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lockStructure="1" workbookAlgorithmName="SHA-512" workbookHashValue="fzjeEhjZ5ul/Ubj/nqeAGmyN1JF/OQi0ZQQNpSQuHRainJKAsrPi9K1hXd71zSLQ0+054zUZHYJhY9u1mRXRoA==" workbookSaltValue="9151dNKA+jWtnRjWmj3GQA==" workbookSpinCount="100000"/>
  <bookViews>
    <workbookView visibility="visible" minimized="0" showHorizontalScroll="1" showVerticalScroll="1" showSheetTabs="1" xWindow="0" yWindow="0" windowWidth="24060" windowHeight="11505" tabRatio="900" firstSheet="0" activeTab="4" autoFilterDateGrouping="1"/>
  </bookViews>
  <sheets>
    <sheet xmlns:r="http://schemas.openxmlformats.org/officeDocument/2006/relationships" name="NOMBRE" sheetId="1" state="visible" r:id="rId1"/>
    <sheet xmlns:r="http://schemas.openxmlformats.org/officeDocument/2006/relationships" name="A01" sheetId="2" state="visible" r:id="rId2"/>
    <sheet xmlns:r="http://schemas.openxmlformats.org/officeDocument/2006/relationships" name="A02" sheetId="3" state="visible" r:id="rId3"/>
    <sheet xmlns:r="http://schemas.openxmlformats.org/officeDocument/2006/relationships" name="A03" sheetId="4" state="visible" r:id="rId4"/>
    <sheet xmlns:r="http://schemas.openxmlformats.org/officeDocument/2006/relationships" name="A04" sheetId="5" state="visible" r:id="rId5"/>
    <sheet xmlns:r="http://schemas.openxmlformats.org/officeDocument/2006/relationships" name="A05" sheetId="6" state="visible" r:id="rId6"/>
    <sheet xmlns:r="http://schemas.openxmlformats.org/officeDocument/2006/relationships" name="A06" sheetId="7" state="visible" r:id="rId7"/>
    <sheet xmlns:r="http://schemas.openxmlformats.org/officeDocument/2006/relationships" name="A07" sheetId="8" state="visible" r:id="rId8"/>
    <sheet xmlns:r="http://schemas.openxmlformats.org/officeDocument/2006/relationships" name="A08" sheetId="9" state="visible" r:id="rId9"/>
    <sheet xmlns:r="http://schemas.openxmlformats.org/officeDocument/2006/relationships" name="A09" sheetId="10" state="visible" r:id="rId10"/>
    <sheet xmlns:r="http://schemas.openxmlformats.org/officeDocument/2006/relationships" name="A11" sheetId="11" state="visible" r:id="rId11"/>
    <sheet xmlns:r="http://schemas.openxmlformats.org/officeDocument/2006/relationships" name="A11a" sheetId="12" state="visible" r:id="rId12"/>
    <sheet xmlns:r="http://schemas.openxmlformats.org/officeDocument/2006/relationships" name="A19a" sheetId="13" state="visible" r:id="rId13"/>
    <sheet xmlns:r="http://schemas.openxmlformats.org/officeDocument/2006/relationships" name="A19b" sheetId="14" state="visible" r:id="rId14"/>
    <sheet xmlns:r="http://schemas.openxmlformats.org/officeDocument/2006/relationships" name="A21" sheetId="15" state="visible" r:id="rId15"/>
    <sheet xmlns:r="http://schemas.openxmlformats.org/officeDocument/2006/relationships" name="A23" sheetId="16" state="visible" r:id="rId16"/>
    <sheet xmlns:r="http://schemas.openxmlformats.org/officeDocument/2006/relationships" name="A24" sheetId="17" state="visible" r:id="rId17"/>
    <sheet xmlns:r="http://schemas.openxmlformats.org/officeDocument/2006/relationships" name="A25" sheetId="18" state="visible" r:id="rId18"/>
    <sheet xmlns:r="http://schemas.openxmlformats.org/officeDocument/2006/relationships" name="A26" sheetId="19" state="visible" r:id="rId19"/>
    <sheet xmlns:r="http://schemas.openxmlformats.org/officeDocument/2006/relationships" name="A27" sheetId="20" state="visible" r:id="rId20"/>
    <sheet xmlns:r="http://schemas.openxmlformats.org/officeDocument/2006/relationships" name="A28" sheetId="21" state="visible" r:id="rId21"/>
    <sheet xmlns:r="http://schemas.openxmlformats.org/officeDocument/2006/relationships" name="A29" sheetId="22" state="visible" r:id="rId22"/>
    <sheet xmlns:r="http://schemas.openxmlformats.org/officeDocument/2006/relationships" name="A30" sheetId="23" state="visible" r:id="rId23"/>
    <sheet xmlns:r="http://schemas.openxmlformats.org/officeDocument/2006/relationships" name="A30AR" sheetId="24" state="visible" r:id="rId24"/>
    <sheet xmlns:r="http://schemas.openxmlformats.org/officeDocument/2006/relationships" name="A31" sheetId="25" state="visible" r:id="rId25"/>
    <sheet xmlns:r="http://schemas.openxmlformats.org/officeDocument/2006/relationships" name="A32" sheetId="26" state="visible" r:id="rId26"/>
    <sheet xmlns:r="http://schemas.openxmlformats.org/officeDocument/2006/relationships" name="A33" sheetId="27" state="visible" r:id="rId27"/>
    <sheet xmlns:r="http://schemas.openxmlformats.org/officeDocument/2006/relationships" name="A34" sheetId="28" state="visible" r:id="rId28"/>
    <sheet xmlns:r="http://schemas.openxmlformats.org/officeDocument/2006/relationships" name="Control" sheetId="29" state="visible" r:id="rId29"/>
    <sheet xmlns:r="http://schemas.openxmlformats.org/officeDocument/2006/relationships" name="MACROS" sheetId="30" state="visible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52511" fullCalcOnLoad="1"/>
</workbook>
</file>

<file path=xl/styles.xml><?xml version="1.0" encoding="utf-8"?>
<styleSheet xmlns="http://schemas.openxmlformats.org/spreadsheetml/2006/main">
  <numFmts count="3">
    <numFmt numFmtId="164" formatCode="#,##0_ ;\-#,##0\ "/>
    <numFmt numFmtId="165" formatCode="_-* #,##0_-;\-* #,##0_-;_-* &quot;-&quot;_-;_-@_-"/>
    <numFmt numFmtId="166" formatCode="_-* #,##0.00_-;\-* #,##0.00_-;_-* &quot;-&quot;??_-;_-@_-"/>
  </numFmts>
  <fonts count="75">
    <font>
      <name val="Calibri"/>
      <family val="2"/>
      <color theme="1"/>
      <sz val="11"/>
      <scheme val="minor"/>
    </font>
    <font>
      <name val="Verdana"/>
      <family val="2"/>
      <b val="1"/>
      <color theme="1"/>
      <sz val="12"/>
    </font>
    <font>
      <name val="Verdana"/>
      <family val="2"/>
      <b val="1"/>
      <color theme="1"/>
      <sz val="9"/>
    </font>
    <font>
      <name val="Verdana"/>
      <family val="2"/>
      <color theme="1"/>
      <sz val="8"/>
    </font>
    <font>
      <name val="Verdana"/>
      <family val="2"/>
      <b val="1"/>
      <color theme="1"/>
      <sz val="8"/>
    </font>
    <font>
      <name val="Verdana"/>
      <family val="2"/>
      <sz val="8"/>
    </font>
    <font>
      <name val="Verdana"/>
      <family val="2"/>
      <color theme="1"/>
      <sz val="9"/>
    </font>
    <font>
      <name val="Calibri"/>
      <family val="2"/>
      <color theme="1"/>
      <sz val="9"/>
      <scheme val="minor"/>
    </font>
    <font>
      <name val="Verdana"/>
      <family val="2"/>
      <color theme="1"/>
      <sz val="11"/>
    </font>
    <font>
      <name val="Calibri"/>
      <family val="2"/>
      <color indexed="8"/>
      <sz val="11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color theme="1"/>
      <sz val="9"/>
    </font>
    <font>
      <name val="Verdana"/>
      <family val="2"/>
      <b val="1"/>
      <sz val="9"/>
    </font>
    <font>
      <name val="Verdana"/>
      <family val="2"/>
      <b val="1"/>
      <sz val="12"/>
    </font>
    <font>
      <name val="Verdana"/>
      <family val="2"/>
      <b val="1"/>
      <sz val="8"/>
    </font>
    <font>
      <name val="Verdana"/>
      <family val="2"/>
      <b val="1"/>
      <sz val="11"/>
    </font>
    <font>
      <name val="Comic Sans MS"/>
      <family val="4"/>
      <sz val="10"/>
    </font>
    <font>
      <name val="Arial"/>
      <family val="2"/>
      <sz val="8"/>
    </font>
    <font>
      <name val="Calibri"/>
      <family val="2"/>
      <color rgb="FF006100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</font>
    <font>
      <name val="Arial"/>
      <family val="2"/>
      <b val="1"/>
      <sz val="10"/>
    </font>
    <font>
      <name val="Calibri"/>
      <family val="2"/>
      <color theme="1"/>
      <sz val="12"/>
      <scheme val="minor"/>
    </font>
    <font>
      <name val="Arial"/>
      <family val="2"/>
      <color theme="1"/>
      <sz val="8"/>
    </font>
    <font>
      <name val="Verdana"/>
      <family val="2"/>
      <sz val="10"/>
    </font>
    <font>
      <name val="Verdana"/>
      <family val="2"/>
      <b val="1"/>
      <color theme="1"/>
      <sz val="11"/>
    </font>
    <font>
      <name val="Verdana"/>
      <family val="2"/>
      <b val="1"/>
      <sz val="10"/>
    </font>
    <font>
      <name val="Verdana"/>
      <family val="2"/>
      <sz val="12"/>
    </font>
    <font>
      <name val="Verdana"/>
      <family val="2"/>
      <color rgb="FFFF0000"/>
      <sz val="10"/>
    </font>
    <font>
      <name val="Verdana"/>
      <family val="2"/>
      <color theme="1"/>
      <sz val="10"/>
    </font>
    <font>
      <name val="Verdana"/>
      <family val="2"/>
      <color indexed="60"/>
      <sz val="12"/>
    </font>
    <font>
      <name val="Verdana"/>
      <family val="2"/>
      <b val="1"/>
      <color indexed="10"/>
      <sz val="8"/>
    </font>
    <font>
      <name val="Verdana"/>
      <family val="2"/>
      <b val="1"/>
      <sz val="28"/>
    </font>
    <font>
      <name val="Verdana"/>
      <family val="2"/>
      <sz val="28"/>
    </font>
    <font>
      <name val="Verdana"/>
      <family val="2"/>
      <color indexed="22"/>
      <sz val="72"/>
    </font>
    <font>
      <name val="Calibri"/>
      <family val="2"/>
      <sz val="8"/>
      <scheme val="minor"/>
    </font>
    <font>
      <name val="Verdana"/>
      <family val="2"/>
      <b val="1"/>
      <sz val="18"/>
    </font>
    <font>
      <name val="Verdana"/>
      <family val="2"/>
      <b val="1"/>
      <color theme="1"/>
      <sz val="10"/>
    </font>
    <font>
      <name val="Verdana"/>
      <family val="2"/>
      <b val="1"/>
      <color indexed="10"/>
      <sz val="10"/>
    </font>
    <font>
      <name val="Verdana"/>
      <family val="2"/>
      <color theme="1"/>
      <sz val="12"/>
    </font>
    <font>
      <name val="Aptos Narrow"/>
      <family val="2"/>
      <color theme="1"/>
      <sz val="9"/>
    </font>
    <font>
      <name val="Aptos Narrow"/>
      <family val="2"/>
      <color theme="1"/>
      <sz val="11"/>
    </font>
    <font>
      <name val="Calibri"/>
      <family val="2"/>
      <b val="1"/>
      <color theme="1"/>
      <sz val="11"/>
      <scheme val="minor"/>
    </font>
    <font>
      <name val="Verdana"/>
      <family val="2"/>
      <color theme="1"/>
      <sz val="16"/>
    </font>
    <font>
      <name val="Calibri"/>
      <family val="2"/>
      <color theme="1"/>
      <sz val="9"/>
    </font>
    <font>
      <name val="Times New Roman"/>
      <family val="1"/>
      <color theme="1"/>
      <sz val="10"/>
    </font>
    <font>
      <name val="Calibri"/>
      <family val="2"/>
      <color theme="1"/>
      <sz val="10"/>
      <scheme val="minor"/>
    </font>
    <font>
      <name val="Verdana"/>
      <family val="2"/>
      <b val="1"/>
      <i val="1"/>
      <color theme="1"/>
      <sz val="9"/>
    </font>
    <font>
      <name val="Verdana"/>
      <family val="2"/>
      <i val="1"/>
      <color theme="1"/>
      <sz val="9"/>
    </font>
    <font>
      <name val="Segoe UI"/>
      <family val="2"/>
      <color theme="1"/>
      <sz val="9"/>
    </font>
    <font>
      <name val="Calibri"/>
      <family val="2"/>
      <b val="1"/>
      <color theme="1"/>
      <sz val="8"/>
      <scheme val="minor"/>
    </font>
    <font>
      <name val="Verdana"/>
      <family val="2"/>
      <b val="1"/>
      <i val="1"/>
      <color theme="1"/>
      <sz val="11"/>
    </font>
    <font>
      <name val="Verdana"/>
      <family val="2"/>
      <strike val="1"/>
      <color theme="1"/>
      <sz val="8"/>
    </font>
    <font>
      <name val="Calibri"/>
      <family val="2"/>
      <b val="1"/>
      <color theme="1"/>
      <sz val="9"/>
    </font>
    <font>
      <name val="Calibri"/>
      <family val="2"/>
      <sz val="11"/>
      <scheme val="minor"/>
    </font>
    <font>
      <name val="Verdana"/>
      <family val="2"/>
      <b val="1"/>
      <color theme="4"/>
      <sz val="12"/>
    </font>
    <font>
      <name val="Verdana"/>
      <family val="2"/>
      <sz val="9"/>
    </font>
    <font>
      <name val="Calibri"/>
      <family val="2"/>
      <sz val="9"/>
      <scheme val="minor"/>
    </font>
    <font>
      <name val="Calibri"/>
      <family val="2"/>
      <sz val="9"/>
    </font>
    <font>
      <name val="Calibri"/>
      <family val="2"/>
      <b val="1"/>
      <sz val="11"/>
      <scheme val="minor"/>
    </font>
    <font>
      <name val="Aptos Narrow"/>
      <family val="2"/>
      <sz val="11"/>
    </font>
    <font>
      <name val="Times New Roman"/>
      <family val="1"/>
      <sz val="10"/>
    </font>
    <font>
      <name val="Arial"/>
      <family val="2"/>
      <sz val="11"/>
    </font>
    <font>
      <name val="Calibri"/>
      <family val="2"/>
      <sz val="10"/>
      <scheme val="minor"/>
    </font>
    <font>
      <name val="Calibri"/>
      <family val="2"/>
      <color rgb="FF000000"/>
      <sz val="12"/>
    </font>
    <font>
      <name val="Calibri"/>
      <family val="2"/>
      <color theme="10"/>
      <sz val="11"/>
      <u val="single"/>
      <scheme val="minor"/>
    </font>
    <font>
      <name val="Calibri"/>
      <family val="2"/>
      <color rgb="FF000000"/>
      <sz val="11"/>
    </font>
    <font>
      <name val="Verdana"/>
      <family val="2"/>
      <sz val="11"/>
    </font>
    <font>
      <name val="Verdana"/>
      <family val="2"/>
      <b val="1"/>
      <sz val="16"/>
    </font>
    <font>
      <name val="Calibri"/>
      <family val="2"/>
      <b val="1"/>
      <sz val="9"/>
      <scheme val="minor"/>
    </font>
    <font>
      <name val="Arial"/>
      <family val="2"/>
      <b val="1"/>
      <sz val="9"/>
    </font>
    <font>
      <name val="Aptos Narrow"/>
      <family val="2"/>
      <sz val="8"/>
    </font>
    <font>
      <name val="Verdana"/>
      <family val="2"/>
      <sz val="8"/>
      <vertAlign val="superscript"/>
    </font>
  </fonts>
  <fills count="65">
    <fill>
      <patternFill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9"/>
        <bgColor indexed="64"/>
      </patternFill>
    </fill>
  </fills>
  <borders count="164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 style="thin">
        <color rgb="FF000000"/>
      </left>
      <right style="hair">
        <color indexed="64"/>
      </right>
      <top/>
      <bottom style="dotted">
        <color rgb="FF000000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/>
      <diagonal/>
    </border>
    <border>
      <left/>
      <right style="double">
        <color rgb="FF000000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double">
        <color rgb="FF000000"/>
      </left>
      <right/>
      <top/>
      <bottom/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auto="1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/>
      <bottom/>
      <diagonal/>
    </border>
    <border>
      <left style="thin">
        <color rgb="FF000000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hair">
        <color auto="1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/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auto="1"/>
      </bottom>
      <diagonal/>
    </border>
    <border>
      <left style="hair">
        <color rgb="FF000000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double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tted">
        <color rgb="FF000000"/>
      </left>
      <right/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/>
      <bottom/>
      <diagonal/>
    </border>
    <border>
      <left style="double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hair">
        <color rgb="FF000000"/>
      </right>
      <top/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/>
      <bottom/>
      <diagonal/>
    </border>
    <border>
      <left style="thin">
        <color auto="1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/>
      <bottom/>
      <diagonal/>
    </border>
    <border>
      <left style="double">
        <color auto="1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/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/>
      <top/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hair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double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/>
      <bottom/>
      <diagonal/>
    </border>
    <border>
      <left style="double">
        <color indexed="64"/>
      </left>
      <right style="hair">
        <color indexed="64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 style="double">
        <color auto="1"/>
      </left>
      <right style="double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154">
    <xf numFmtId="0" fontId="11" fillId="0" borderId="0"/>
    <xf numFmtId="0" fontId="9" fillId="2" borderId="1"/>
    <xf numFmtId="0" fontId="10" fillId="0" borderId="0"/>
    <xf numFmtId="0" fontId="10" fillId="9" borderId="817"/>
    <xf numFmtId="9" fontId="11" fillId="0" borderId="0"/>
    <xf numFmtId="0" fontId="10" fillId="9" borderId="817"/>
    <xf numFmtId="0" fontId="18" fillId="0" borderId="0"/>
    <xf numFmtId="0" fontId="10" fillId="0" borderId="0"/>
    <xf numFmtId="165" fontId="10" fillId="0" borderId="0"/>
    <xf numFmtId="0" fontId="20" fillId="13" borderId="0"/>
    <xf numFmtId="0" fontId="21" fillId="14" borderId="17"/>
    <xf numFmtId="0" fontId="10" fillId="9" borderId="817"/>
    <xf numFmtId="0" fontId="10" fillId="9" borderId="817"/>
    <xf numFmtId="0" fontId="10" fillId="9" borderId="817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/>
    <xf numFmtId="166" fontId="10" fillId="0" borderId="0"/>
    <xf numFmtId="0" fontId="24" fillId="0" borderId="0"/>
    <xf numFmtId="0" fontId="10" fillId="9" borderId="817"/>
    <xf numFmtId="0" fontId="23" fillId="0" borderId="0"/>
    <xf numFmtId="0" fontId="10" fillId="9" borderId="817"/>
    <xf numFmtId="0" fontId="10" fillId="9" borderId="817"/>
    <xf numFmtId="165" fontId="11" fillId="0" borderId="0"/>
    <xf numFmtId="0" fontId="10" fillId="9" borderId="817"/>
    <xf numFmtId="0" fontId="10" fillId="9" borderId="817"/>
    <xf numFmtId="0" fontId="10" fillId="9" borderId="817"/>
    <xf numFmtId="0" fontId="19" fillId="0" borderId="0"/>
    <xf numFmtId="166" fontId="10" fillId="0" borderId="0"/>
    <xf numFmtId="0" fontId="10" fillId="9" borderId="817"/>
    <xf numFmtId="0" fontId="10" fillId="9" borderId="817"/>
    <xf numFmtId="0" fontId="11" fillId="35" borderId="0"/>
    <xf numFmtId="0" fontId="19" fillId="0" borderId="0"/>
    <xf numFmtId="0" fontId="23" fillId="0" borderId="0"/>
    <xf numFmtId="0" fontId="10" fillId="41" borderId="237" applyProtection="1">
      <protection locked="0" hidden="0"/>
    </xf>
    <xf numFmtId="0" fontId="10" fillId="41" borderId="943" applyProtection="1">
      <protection locked="0" hidden="0"/>
    </xf>
    <xf numFmtId="0" fontId="10" fillId="9" borderId="817"/>
    <xf numFmtId="0" fontId="23" fillId="0" borderId="0"/>
    <xf numFmtId="0" fontId="10" fillId="41" borderId="237" applyProtection="1">
      <protection locked="0" hidden="0"/>
    </xf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41" borderId="237" applyProtection="1">
      <protection locked="0" hidden="0"/>
    </xf>
    <xf numFmtId="0" fontId="10" fillId="41" borderId="1354" applyProtection="1">
      <protection locked="0" hidden="0"/>
    </xf>
    <xf numFmtId="0" fontId="10" fillId="9" borderId="817"/>
    <xf numFmtId="0" fontId="10" fillId="41" borderId="237" applyProtection="1">
      <protection locked="0" hidden="0"/>
    </xf>
    <xf numFmtId="0" fontId="10" fillId="41" borderId="237" applyProtection="1">
      <protection locked="0" hidden="0"/>
    </xf>
    <xf numFmtId="0" fontId="10" fillId="41" borderId="1354" applyProtection="1">
      <protection locked="0" hidden="0"/>
    </xf>
    <xf numFmtId="0" fontId="10" fillId="41" borderId="237" applyProtection="1">
      <protection locked="0" hidden="0"/>
    </xf>
    <xf numFmtId="0" fontId="10" fillId="41" borderId="237" applyProtection="1">
      <protection locked="0" hidden="0"/>
    </xf>
    <xf numFmtId="0" fontId="10" fillId="41" borderId="1354" applyProtection="1">
      <protection locked="0" hidden="0"/>
    </xf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41" borderId="237" applyProtection="1">
      <protection locked="0" hidden="0"/>
    </xf>
    <xf numFmtId="0" fontId="10" fillId="9" borderId="817"/>
    <xf numFmtId="0" fontId="10" fillId="41" borderId="237" applyProtection="1">
      <protection locked="0" hidden="0"/>
    </xf>
    <xf numFmtId="0" fontId="10" fillId="41" borderId="237" applyProtection="1">
      <protection locked="0" hidden="0"/>
    </xf>
    <xf numFmtId="0" fontId="10" fillId="41" borderId="237" applyProtection="1">
      <protection locked="0" hidden="0"/>
    </xf>
    <xf numFmtId="0" fontId="10" fillId="41" borderId="237" applyProtection="1">
      <protection locked="0" hidden="0"/>
    </xf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41" borderId="237" applyProtection="1">
      <protection locked="0" hidden="0"/>
    </xf>
    <xf numFmtId="0" fontId="10" fillId="41" borderId="943" applyProtection="1">
      <protection locked="0" hidden="0"/>
    </xf>
    <xf numFmtId="0" fontId="10" fillId="9" borderId="817"/>
    <xf numFmtId="0" fontId="10" fillId="41" borderId="237" applyProtection="1">
      <protection locked="0" hidden="0"/>
    </xf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41" borderId="237" applyProtection="1">
      <protection locked="0" hidden="0"/>
    </xf>
    <xf numFmtId="0" fontId="10" fillId="41" borderId="943" applyProtection="1">
      <protection locked="0" hidden="0"/>
    </xf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9" borderId="817"/>
    <xf numFmtId="0" fontId="10" fillId="41" borderId="237" applyProtection="1">
      <protection locked="0" hidden="0"/>
    </xf>
    <xf numFmtId="0" fontId="10" fillId="41" borderId="943" applyProtection="1">
      <protection locked="0" hidden="0"/>
    </xf>
    <xf numFmtId="0" fontId="10" fillId="9" borderId="817"/>
    <xf numFmtId="0" fontId="67" fillId="0" borderId="0"/>
  </cellStyleXfs>
  <cellXfs count="10742">
    <xf numFmtId="0" fontId="0" fillId="0" borderId="0" pivotButton="0" quotePrefix="0" xfId="0"/>
    <xf numFmtId="1" fontId="2" fillId="3" borderId="0" pivotButton="0" quotePrefix="0" xfId="0"/>
    <xf numFmtId="1" fontId="2" fillId="0" borderId="0" pivotButton="0" quotePrefix="0" xfId="0"/>
    <xf numFmtId="1" fontId="6" fillId="0" borderId="0" pivotButton="0" quotePrefix="0" xfId="0"/>
    <xf numFmtId="1" fontId="6" fillId="5" borderId="0" pivotButton="0" quotePrefix="0" xfId="0"/>
    <xf numFmtId="0" fontId="7" fillId="0" borderId="0" pivotButton="0" quotePrefix="0" xfId="0"/>
    <xf numFmtId="1" fontId="3" fillId="3" borderId="0" pivotButton="0" quotePrefix="0" xfId="0"/>
    <xf numFmtId="1" fontId="6" fillId="3" borderId="0" pivotButton="0" quotePrefix="0" xfId="0"/>
    <xf numFmtId="1" fontId="8" fillId="3" borderId="0" pivotButton="0" quotePrefix="0" xfId="0"/>
    <xf numFmtId="1" fontId="2" fillId="5" borderId="0" pivotButton="0" quotePrefix="0" xfId="0"/>
    <xf numFmtId="1" fontId="3" fillId="0" borderId="6" applyAlignment="1" pivotButton="0" quotePrefix="0" xfId="0">
      <alignment horizontal="center" vertical="center" wrapText="1"/>
    </xf>
    <xf numFmtId="1" fontId="2" fillId="0" borderId="0" applyAlignment="1" pivotButton="0" quotePrefix="0" xfId="0">
      <alignment horizontal="left"/>
    </xf>
    <xf numFmtId="1" fontId="2" fillId="3" borderId="0" applyAlignment="1" pivotButton="0" quotePrefix="0" xfId="0">
      <alignment wrapText="1"/>
    </xf>
    <xf numFmtId="1" fontId="2" fillId="3" borderId="0" applyAlignment="1" pivotButton="0" quotePrefix="0" xfId="0">
      <alignment horizontal="left"/>
    </xf>
    <xf numFmtId="1" fontId="6" fillId="3" borderId="0" applyProtection="1" pivotButton="0" quotePrefix="0" xfId="0">
      <protection locked="1" hidden="1"/>
    </xf>
    <xf numFmtId="1" fontId="6" fillId="5" borderId="0" applyProtection="1" pivotButton="0" quotePrefix="0" xfId="0">
      <protection locked="1" hidden="1"/>
    </xf>
    <xf numFmtId="1" fontId="13" fillId="0" borderId="0" applyAlignment="1" pivotButton="0" quotePrefix="0" xfId="0">
      <alignment horizontal="center" vertical="center" wrapText="1"/>
    </xf>
    <xf numFmtId="0" fontId="3" fillId="0" borderId="0" pivotButton="0" quotePrefix="0" xfId="0"/>
    <xf numFmtId="1" fontId="3" fillId="0" borderId="28" applyAlignment="1" pivotButton="0" quotePrefix="0" xfId="0">
      <alignment horizontal="center" vertical="center" wrapText="1"/>
    </xf>
    <xf numFmtId="1" fontId="3" fillId="0" borderId="0" pivotButton="0" quotePrefix="0" xfId="0"/>
    <xf numFmtId="0" fontId="6" fillId="0" borderId="0" pivotButton="0" quotePrefix="0" xfId="0"/>
    <xf numFmtId="1" fontId="3" fillId="0" borderId="2" applyAlignment="1" pivotButton="0" quotePrefix="0" xfId="0">
      <alignment horizontal="right" vertical="center" wrapText="1"/>
    </xf>
    <xf numFmtId="1" fontId="3" fillId="4" borderId="5" applyAlignment="1" applyProtection="1" pivotButton="0" quotePrefix="0" xfId="0">
      <alignment horizontal="right"/>
      <protection locked="0" hidden="0"/>
    </xf>
    <xf numFmtId="1" fontId="3" fillId="4" borderId="4" applyAlignment="1" applyProtection="1" pivotButton="0" quotePrefix="0" xfId="0">
      <alignment horizontal="right"/>
      <protection locked="0" hidden="0"/>
    </xf>
    <xf numFmtId="0" fontId="12" fillId="0" borderId="0" pivotButton="0" quotePrefix="0" xfId="0"/>
    <xf numFmtId="1" fontId="4" fillId="3" borderId="0" pivotButton="0" quotePrefix="0" xfId="0"/>
    <xf numFmtId="0" fontId="6" fillId="0" borderId="0" applyAlignment="1" pivotButton="0" quotePrefix="0" xfId="0">
      <alignment horizontal="left"/>
    </xf>
    <xf numFmtId="1" fontId="3" fillId="0" borderId="0" applyAlignment="1" pivotButton="0" quotePrefix="0" xfId="0">
      <alignment horizontal="center" vertical="center" wrapText="1"/>
    </xf>
    <xf numFmtId="0" fontId="7" fillId="22" borderId="0" pivotButton="0" quotePrefix="0" xfId="0"/>
    <xf numFmtId="0" fontId="7" fillId="23" borderId="0" pivotButton="0" quotePrefix="0" xfId="0"/>
    <xf numFmtId="1" fontId="2" fillId="0" borderId="0" applyAlignment="1" pivotButton="0" quotePrefix="0" xfId="0">
      <alignment wrapText="1"/>
    </xf>
    <xf numFmtId="1" fontId="2" fillId="0" borderId="0" applyProtection="1" pivotButton="0" quotePrefix="0" xfId="0">
      <protection locked="1" hidden="1"/>
    </xf>
    <xf numFmtId="1" fontId="6" fillId="0" borderId="0" applyProtection="1" pivotButton="0" quotePrefix="0" xfId="0">
      <protection locked="1" hidden="1"/>
    </xf>
    <xf numFmtId="1" fontId="2" fillId="0" borderId="0" applyAlignment="1" applyProtection="1" pivotButton="0" quotePrefix="0" xfId="0">
      <alignment wrapText="1"/>
      <protection locked="1" hidden="1"/>
    </xf>
    <xf numFmtId="1" fontId="6" fillId="0" borderId="0" applyProtection="1" pivotButton="0" quotePrefix="0" xfId="0">
      <protection locked="0" hidden="0"/>
    </xf>
    <xf numFmtId="1" fontId="3" fillId="4" borderId="4" applyProtection="1" pivotButton="0" quotePrefix="0" xfId="0">
      <protection locked="0" hidden="0"/>
    </xf>
    <xf numFmtId="1" fontId="3" fillId="4" borderId="5" applyProtection="1" pivotButton="0" quotePrefix="0" xfId="0">
      <protection locked="0" hidden="0"/>
    </xf>
    <xf numFmtId="1" fontId="3" fillId="4" borderId="0" applyProtection="1" pivotButton="0" quotePrefix="0" xfId="0">
      <protection locked="0" hidden="0"/>
    </xf>
    <xf numFmtId="1" fontId="3" fillId="0" borderId="5" applyAlignment="1" pivotButton="0" quotePrefix="0" xfId="2">
      <alignment wrapText="1"/>
    </xf>
    <xf numFmtId="1" fontId="3" fillId="0" borderId="4" applyAlignment="1" pivotButton="0" quotePrefix="0" xfId="2">
      <alignment wrapText="1"/>
    </xf>
    <xf numFmtId="1" fontId="3" fillId="7" borderId="0" pivotButton="0" quotePrefix="0" xfId="0"/>
    <xf numFmtId="1" fontId="3" fillId="7" borderId="6" pivotButton="0" quotePrefix="0" xfId="0"/>
    <xf numFmtId="1" fontId="3" fillId="4" borderId="8" applyProtection="1" pivotButton="0" quotePrefix="0" xfId="0">
      <protection locked="0" hidden="0"/>
    </xf>
    <xf numFmtId="1" fontId="3" fillId="4" borderId="6" applyProtection="1" pivotButton="0" quotePrefix="0" xfId="0">
      <protection locked="0" hidden="0"/>
    </xf>
    <xf numFmtId="1" fontId="3" fillId="24" borderId="30" pivotButton="0" quotePrefix="0" xfId="0"/>
    <xf numFmtId="1" fontId="3" fillId="0" borderId="32" applyAlignment="1" pivotButton="0" quotePrefix="0" xfId="0">
      <alignment horizontal="right" wrapText="1"/>
    </xf>
    <xf numFmtId="1" fontId="3" fillId="24" borderId="47" pivotButton="0" quotePrefix="0" xfId="0"/>
    <xf numFmtId="1" fontId="3" fillId="24" borderId="59" pivotButton="0" quotePrefix="0" xfId="0"/>
    <xf numFmtId="1" fontId="3" fillId="24" borderId="40" pivotButton="0" quotePrefix="0" xfId="0"/>
    <xf numFmtId="1" fontId="3" fillId="0" borderId="44" applyAlignment="1" pivotButton="0" quotePrefix="0" xfId="0">
      <alignment horizontal="right" wrapText="1"/>
    </xf>
    <xf numFmtId="1" fontId="3" fillId="24" borderId="70" pivotButton="0" quotePrefix="0" xfId="0"/>
    <xf numFmtId="0" fontId="3" fillId="22" borderId="0" pivotButton="0" quotePrefix="0" xfId="0"/>
    <xf numFmtId="0" fontId="3" fillId="23" borderId="0" pivotButton="0" quotePrefix="0" xfId="0"/>
    <xf numFmtId="1" fontId="6" fillId="0" borderId="0" applyAlignment="1" pivotButton="0" quotePrefix="0" xfId="0">
      <alignment horizontal="left" wrapText="1"/>
    </xf>
    <xf numFmtId="0" fontId="4" fillId="0" borderId="0" pivotButton="0" quotePrefix="0" xfId="0"/>
    <xf numFmtId="1" fontId="8" fillId="0" borderId="0" pivotButton="0" quotePrefix="0" xfId="0"/>
    <xf numFmtId="1" fontId="8" fillId="0" borderId="0" applyProtection="1" pivotButton="0" quotePrefix="0" xfId="0">
      <protection locked="0" hidden="0"/>
    </xf>
    <xf numFmtId="1" fontId="27" fillId="0" borderId="0" pivotButton="0" quotePrefix="0" xfId="0"/>
    <xf numFmtId="1" fontId="4" fillId="0" borderId="0" pivotButton="0" quotePrefix="0" xfId="0"/>
    <xf numFmtId="1" fontId="6" fillId="0" borderId="0" applyAlignment="1" pivotButton="0" quotePrefix="0" xfId="0">
      <alignment wrapText="1"/>
    </xf>
    <xf numFmtId="1" fontId="6" fillId="0" borderId="0" applyAlignment="1" pivotButton="0" quotePrefix="0" xfId="0">
      <alignment vertical="top" wrapText="1"/>
    </xf>
    <xf numFmtId="1" fontId="3" fillId="0" borderId="89" applyAlignment="1" pivotButton="0" quotePrefix="0" xfId="0">
      <alignment horizontal="center" vertical="center"/>
    </xf>
    <xf numFmtId="1" fontId="3" fillId="0" borderId="89" applyAlignment="1" pivotButton="0" quotePrefix="0" xfId="0">
      <alignment horizontal="center" vertical="center" wrapText="1"/>
    </xf>
    <xf numFmtId="1" fontId="3" fillId="0" borderId="88" applyAlignment="1" pivotButton="0" quotePrefix="0" xfId="0">
      <alignment horizontal="center" vertical="center" wrapText="1"/>
    </xf>
    <xf numFmtId="0" fontId="7" fillId="0" borderId="0" applyAlignment="1" pivotButton="0" quotePrefix="0" xfId="0">
      <alignment vertical="center"/>
    </xf>
    <xf numFmtId="0" fontId="5" fillId="0" borderId="0" pivotButton="0" quotePrefix="0" xfId="0"/>
    <xf numFmtId="1" fontId="3" fillId="9" borderId="2" applyProtection="1" pivotButton="0" quotePrefix="0" xfId="24">
      <protection locked="0" hidden="0"/>
    </xf>
    <xf numFmtId="1" fontId="3" fillId="9" borderId="6" applyProtection="1" pivotButton="0" quotePrefix="0" xfId="24">
      <protection locked="0" hidden="0"/>
    </xf>
    <xf numFmtId="1" fontId="31" fillId="31" borderId="0" pivotButton="0" quotePrefix="0" xfId="0"/>
    <xf numFmtId="0" fontId="8" fillId="0" borderId="0" pivotButton="0" quotePrefix="0" xfId="0"/>
    <xf numFmtId="1" fontId="8" fillId="37" borderId="0" pivotButton="0" quotePrefix="0" xfId="0"/>
    <xf numFmtId="0" fontId="28" fillId="38" borderId="0" applyAlignment="1" pivotButton="0" quotePrefix="0" xfId="0">
      <alignment horizontal="center" vertical="center" wrapText="1"/>
    </xf>
    <xf numFmtId="0" fontId="26" fillId="0" borderId="0" pivotButton="0" quotePrefix="0" xfId="0"/>
    <xf numFmtId="0" fontId="5" fillId="3" borderId="0" pivotButton="0" quotePrefix="0" xfId="0"/>
    <xf numFmtId="0" fontId="16" fillId="0" borderId="0" applyAlignment="1" pivotButton="0" quotePrefix="0" xfId="0">
      <alignment vertical="center"/>
    </xf>
    <xf numFmtId="0" fontId="17" fillId="3" borderId="0" applyAlignment="1" pivotButton="0" quotePrefix="0" xfId="0">
      <alignment horizontal="center"/>
    </xf>
    <xf numFmtId="0" fontId="33" fillId="0" borderId="0" applyAlignment="1" pivotButton="0" quotePrefix="0" xfId="0">
      <alignment horizontal="left" vertical="center"/>
    </xf>
    <xf numFmtId="0" fontId="16" fillId="0" borderId="0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0" fontId="26" fillId="3" borderId="0" applyAlignment="1" pivotButton="0" quotePrefix="0" xfId="0">
      <alignment horizontal="left"/>
    </xf>
    <xf numFmtId="0" fontId="26" fillId="3" borderId="0" pivotButton="0" quotePrefix="0" xfId="0"/>
    <xf numFmtId="1" fontId="5" fillId="3" borderId="0" applyAlignment="1" pivotButton="0" quotePrefix="0" xfId="0">
      <alignment horizontal="right"/>
    </xf>
    <xf numFmtId="49" fontId="5" fillId="3" borderId="0" applyAlignment="1" pivotButton="0" quotePrefix="0" xfId="0">
      <alignment horizontal="center"/>
    </xf>
    <xf numFmtId="0" fontId="5" fillId="40" borderId="0" pivotButton="0" quotePrefix="0" xfId="0"/>
    <xf numFmtId="0" fontId="5" fillId="3" borderId="0" applyAlignment="1" pivotButton="0" quotePrefix="0" xfId="0">
      <alignment horizontal="left"/>
    </xf>
    <xf numFmtId="0" fontId="30" fillId="5" borderId="0" applyAlignment="1" pivotButton="0" quotePrefix="0" xfId="0">
      <alignment vertical="center" wrapText="1"/>
    </xf>
    <xf numFmtId="0" fontId="5" fillId="3" borderId="0" applyAlignment="1" pivotButton="0" quotePrefix="0" xfId="0">
      <alignment horizontal="center"/>
    </xf>
    <xf numFmtId="0" fontId="36" fillId="3" borderId="0" applyAlignment="1" pivotButton="0" quotePrefix="0" xfId="0">
      <alignment vertical="center" wrapText="1"/>
    </xf>
    <xf numFmtId="0" fontId="5" fillId="0" borderId="0" applyAlignment="1" pivotButton="0" quotePrefix="0" xfId="0">
      <alignment horizontal="left"/>
    </xf>
    <xf numFmtId="1" fontId="3" fillId="4" borderId="5" applyProtection="1" pivotButton="0" quotePrefix="0" xfId="14">
      <protection locked="0" hidden="0"/>
    </xf>
    <xf numFmtId="0" fontId="3" fillId="15" borderId="0" pivotButton="0" quotePrefix="0" xfId="0"/>
    <xf numFmtId="0" fontId="33" fillId="0" borderId="0" applyAlignment="1" pivotButton="0" quotePrefix="0" xfId="0">
      <alignment vertical="center"/>
    </xf>
    <xf numFmtId="0" fontId="16" fillId="23" borderId="0" applyAlignment="1" pivotButton="0" quotePrefix="0" xfId="0">
      <alignment vertical="center"/>
    </xf>
    <xf numFmtId="0" fontId="5" fillId="22" borderId="0" applyAlignment="1" pivotButton="0" quotePrefix="0" xfId="0">
      <alignment vertical="center" wrapText="1"/>
    </xf>
    <xf numFmtId="1" fontId="3" fillId="0" borderId="135" applyAlignment="1" pivotButton="0" quotePrefix="0" xfId="0">
      <alignment horizontal="right" wrapText="1"/>
    </xf>
    <xf numFmtId="0" fontId="2" fillId="0" borderId="0" applyAlignment="1" pivotButton="0" quotePrefix="0" xfId="0">
      <alignment vertical="center"/>
    </xf>
    <xf numFmtId="0" fontId="39" fillId="0" borderId="0" pivotButton="0" quotePrefix="0" xfId="0"/>
    <xf numFmtId="0" fontId="28" fillId="0" borderId="0" pivotButton="0" quotePrefix="0" xfId="0"/>
    <xf numFmtId="0" fontId="17" fillId="0" borderId="0" applyAlignment="1" applyProtection="1" pivotButton="0" quotePrefix="0" xfId="35">
      <alignment horizontal="center"/>
      <protection locked="0" hidden="0"/>
    </xf>
    <xf numFmtId="0" fontId="28" fillId="0" borderId="0" applyAlignment="1" pivotButton="0" quotePrefix="0" xfId="0">
      <alignment horizontal="left" vertical="center"/>
    </xf>
    <xf numFmtId="0" fontId="28" fillId="0" borderId="0" applyAlignment="1" applyProtection="1" pivotButton="0" quotePrefix="0" xfId="37">
      <alignment horizontal="center"/>
      <protection locked="0" hidden="0"/>
    </xf>
    <xf numFmtId="0" fontId="3" fillId="5" borderId="0" pivotButton="0" quotePrefix="0" xfId="0"/>
    <xf numFmtId="1" fontId="3" fillId="0" borderId="138" applyAlignment="1" applyProtection="1" pivotButton="0" quotePrefix="0" xfId="0">
      <alignment horizontal="left" wrapText="1"/>
      <protection locked="1" hidden="1"/>
    </xf>
    <xf numFmtId="1" fontId="3" fillId="0" borderId="137" pivotButton="0" quotePrefix="0" xfId="0"/>
    <xf numFmtId="1" fontId="3" fillId="4" borderId="139" applyProtection="1" pivotButton="0" quotePrefix="0" xfId="0">
      <protection locked="0" hidden="0"/>
    </xf>
    <xf numFmtId="1" fontId="3" fillId="6" borderId="140" pivotButton="0" quotePrefix="0" xfId="0"/>
    <xf numFmtId="1" fontId="3" fillId="6" borderId="139" pivotButton="0" quotePrefix="0" xfId="0"/>
    <xf numFmtId="1" fontId="3" fillId="6" borderId="141" pivotButton="0" quotePrefix="0" xfId="0"/>
    <xf numFmtId="1" fontId="3" fillId="0" borderId="87" applyProtection="1" pivotButton="0" quotePrefix="0" xfId="0">
      <protection locked="1" hidden="1"/>
    </xf>
    <xf numFmtId="0" fontId="6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42" borderId="0" applyAlignment="1" pivotButton="0" quotePrefix="0" xfId="0">
      <alignment vertical="center"/>
    </xf>
    <xf numFmtId="0" fontId="3" fillId="23" borderId="0" applyAlignment="1" pivotButton="0" quotePrefix="0" xfId="0">
      <alignment vertical="center"/>
    </xf>
    <xf numFmtId="0" fontId="3" fillId="5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1" fontId="3" fillId="0" borderId="0" applyAlignment="1" pivotButton="0" quotePrefix="0" xfId="0">
      <alignment vertical="center" wrapText="1"/>
    </xf>
    <xf numFmtId="1" fontId="3" fillId="0" borderId="0" applyAlignment="1" pivotButton="0" quotePrefix="0" xfId="0">
      <alignment vertical="center"/>
    </xf>
    <xf numFmtId="0" fontId="3" fillId="46" borderId="0" applyAlignment="1" pivotButton="0" quotePrefix="0" xfId="0">
      <alignment vertical="center"/>
    </xf>
    <xf numFmtId="1" fontId="3" fillId="4" borderId="5" applyAlignment="1" applyProtection="1" pivotButton="0" quotePrefix="0" xfId="0">
      <alignment vertical="center"/>
      <protection locked="0" hidden="0"/>
    </xf>
    <xf numFmtId="0" fontId="2" fillId="0" borderId="0" applyAlignment="1" pivotButton="0" quotePrefix="0" xfId="20">
      <alignment horizontal="left" vertical="center" wrapText="1"/>
    </xf>
    <xf numFmtId="0" fontId="2" fillId="5" borderId="0" applyAlignment="1" pivotButton="0" quotePrefix="0" xfId="0">
      <alignment vertical="center"/>
    </xf>
    <xf numFmtId="164" fontId="3" fillId="37" borderId="0" applyAlignment="1" pivotButton="0" quotePrefix="0" xfId="0">
      <alignment vertical="center"/>
    </xf>
    <xf numFmtId="0" fontId="3" fillId="37" borderId="0" applyAlignment="1" pivotButton="0" quotePrefix="0" xfId="0">
      <alignment vertical="center"/>
    </xf>
    <xf numFmtId="0" fontId="3" fillId="28" borderId="0" pivotButton="0" quotePrefix="0" xfId="0"/>
    <xf numFmtId="0" fontId="3" fillId="16" borderId="0" pivotButton="0" quotePrefix="0" xfId="0"/>
    <xf numFmtId="0" fontId="7" fillId="48" borderId="0" pivotButton="0" quotePrefix="0" xfId="0"/>
    <xf numFmtId="0" fontId="3" fillId="21" borderId="0" pivotButton="0" quotePrefix="0" xfId="0"/>
    <xf numFmtId="0" fontId="3" fillId="48" borderId="0" pivotButton="0" quotePrefix="0" xfId="0"/>
    <xf numFmtId="1" fontId="1" fillId="3" borderId="0" applyAlignment="1" pivotButton="0" quotePrefix="0" xfId="0">
      <alignment horizontal="center" vertical="center" wrapText="1"/>
    </xf>
    <xf numFmtId="1" fontId="3" fillId="0" borderId="0" applyAlignment="1" pivotButton="0" quotePrefix="0" xfId="0">
      <alignment horizontal="center" vertical="center"/>
    </xf>
    <xf numFmtId="0" fontId="41" fillId="0" borderId="0" pivotButton="0" quotePrefix="0" xfId="0"/>
    <xf numFmtId="0" fontId="22" fillId="0" borderId="0" applyAlignment="1" pivotButton="0" quotePrefix="0" xfId="0">
      <alignment horizontal="center" vertical="center"/>
    </xf>
    <xf numFmtId="0" fontId="22" fillId="0" borderId="0" pivotButton="0" quotePrefix="0" xfId="0"/>
    <xf numFmtId="0" fontId="42" fillId="0" borderId="0" pivotButton="0" quotePrefix="0" xfId="0"/>
    <xf numFmtId="0" fontId="43" fillId="0" borderId="0" pivotButton="0" quotePrefix="0" xfId="0"/>
    <xf numFmtId="1" fontId="3" fillId="4" borderId="2" applyAlignment="1" applyProtection="1" pivotButton="0" quotePrefix="0" xfId="0">
      <alignment horizontal="right" vertical="center"/>
      <protection locked="0" hidden="0"/>
    </xf>
    <xf numFmtId="1" fontId="3" fillId="0" borderId="97" applyAlignment="1" pivotButton="0" quotePrefix="0" xfId="0">
      <alignment horizontal="right" wrapText="1"/>
    </xf>
    <xf numFmtId="1" fontId="3" fillId="0" borderId="96" applyAlignment="1" pivotButton="0" quotePrefix="0" xfId="0">
      <alignment horizontal="center" vertical="center"/>
    </xf>
    <xf numFmtId="1" fontId="3" fillId="0" borderId="61" applyAlignment="1" pivotButton="0" quotePrefix="0" xfId="0">
      <alignment horizontal="right" wrapText="1"/>
    </xf>
    <xf numFmtId="1" fontId="3" fillId="0" borderId="72" applyAlignment="1" pivotButton="0" quotePrefix="0" xfId="0">
      <alignment horizontal="right" wrapText="1"/>
    </xf>
    <xf numFmtId="1" fontId="3" fillId="0" borderId="212" applyAlignment="1" pivotButton="0" quotePrefix="0" xfId="0">
      <alignment horizontal="right" wrapText="1"/>
    </xf>
    <xf numFmtId="1" fontId="3" fillId="4" borderId="2" applyAlignment="1" applyProtection="1" pivotButton="0" quotePrefix="0" xfId="0">
      <alignment horizontal="right"/>
      <protection locked="0" hidden="0"/>
    </xf>
    <xf numFmtId="1" fontId="3" fillId="6" borderId="6" pivotButton="0" quotePrefix="0" xfId="24"/>
    <xf numFmtId="1" fontId="3" fillId="6" borderId="8" pivotButton="0" quotePrefix="0" xfId="24"/>
    <xf numFmtId="1" fontId="3" fillId="6" borderId="2" pivotButton="0" quotePrefix="0" xfId="24"/>
    <xf numFmtId="1" fontId="3" fillId="4" borderId="2" applyProtection="1" pivotButton="0" quotePrefix="0" xfId="0">
      <protection locked="0" hidden="0"/>
    </xf>
    <xf numFmtId="1" fontId="3" fillId="6" borderId="2" pivotButton="0" quotePrefix="0" xfId="0"/>
    <xf numFmtId="1" fontId="3" fillId="0" borderId="2" applyAlignment="1" pivotButton="0" quotePrefix="0" xfId="0">
      <alignment wrapText="1"/>
    </xf>
    <xf numFmtId="1" fontId="3" fillId="0" borderId="2" applyAlignment="1" pivotButton="0" quotePrefix="0" xfId="0">
      <alignment horizontal="right" wrapText="1"/>
    </xf>
    <xf numFmtId="1" fontId="3" fillId="7" borderId="2" applyAlignment="1" pivotButton="0" quotePrefix="0" xfId="0">
      <alignment wrapText="1"/>
    </xf>
    <xf numFmtId="1" fontId="3" fillId="3" borderId="227" applyAlignment="1" pivotButton="0" quotePrefix="0" xfId="0">
      <alignment horizontal="right"/>
    </xf>
    <xf numFmtId="1" fontId="3" fillId="4" borderId="232" applyAlignment="1" applyProtection="1" pivotButton="0" quotePrefix="0" xfId="0">
      <alignment horizontal="right"/>
      <protection locked="0" hidden="0"/>
    </xf>
    <xf numFmtId="1" fontId="3" fillId="4" borderId="226" applyAlignment="1" applyProtection="1" pivotButton="0" quotePrefix="0" xfId="0">
      <alignment horizontal="right" vertical="center"/>
      <protection locked="0" hidden="0"/>
    </xf>
    <xf numFmtId="1" fontId="3" fillId="4" borderId="227" applyAlignment="1" applyProtection="1" pivotButton="0" quotePrefix="0" xfId="0">
      <alignment horizontal="right" vertical="center"/>
      <protection locked="0" hidden="0"/>
    </xf>
    <xf numFmtId="1" fontId="3" fillId="4" borderId="231" applyAlignment="1" applyProtection="1" pivotButton="0" quotePrefix="0" xfId="0">
      <alignment horizontal="right" vertical="center"/>
      <protection locked="0" hidden="0"/>
    </xf>
    <xf numFmtId="1" fontId="3" fillId="4" borderId="226" applyProtection="1" pivotButton="0" quotePrefix="0" xfId="0">
      <protection locked="0" hidden="0"/>
    </xf>
    <xf numFmtId="1" fontId="3" fillId="9" borderId="226" applyProtection="1" pivotButton="0" quotePrefix="0" xfId="24">
      <protection locked="0" hidden="0"/>
    </xf>
    <xf numFmtId="1" fontId="3" fillId="6" borderId="228" pivotButton="0" quotePrefix="0" xfId="24"/>
    <xf numFmtId="1" fontId="3" fillId="6" borderId="226" pivotButton="0" quotePrefix="0" xfId="24"/>
    <xf numFmtId="1" fontId="3" fillId="4" borderId="228" applyProtection="1" pivotButton="0" quotePrefix="0" xfId="0">
      <protection locked="0" hidden="0"/>
    </xf>
    <xf numFmtId="1" fontId="3" fillId="4" borderId="226" applyAlignment="1" applyProtection="1" pivotButton="0" quotePrefix="0" xfId="0">
      <alignment vertical="center"/>
      <protection locked="0" hidden="0"/>
    </xf>
    <xf numFmtId="1" fontId="3" fillId="4" borderId="227" applyAlignment="1" applyProtection="1" pivotButton="0" quotePrefix="0" xfId="0">
      <alignment vertical="center"/>
      <protection locked="0" hidden="0"/>
    </xf>
    <xf numFmtId="1" fontId="3" fillId="8" borderId="226" applyAlignment="1" applyProtection="1" pivotButton="0" quotePrefix="0" xfId="0">
      <alignment vertical="center"/>
      <protection locked="0" hidden="0"/>
    </xf>
    <xf numFmtId="1" fontId="3" fillId="8" borderId="228" applyAlignment="1" applyProtection="1" pivotButton="0" quotePrefix="0" xfId="0">
      <alignment vertical="center"/>
      <protection locked="0" hidden="0"/>
    </xf>
    <xf numFmtId="1" fontId="3" fillId="0" borderId="226" applyAlignment="1" pivotButton="0" quotePrefix="0" xfId="23">
      <alignment horizontal="right" vertical="center"/>
    </xf>
    <xf numFmtId="1" fontId="3" fillId="0" borderId="231" applyAlignment="1" pivotButton="0" quotePrefix="0" xfId="0">
      <alignment horizontal="right" vertical="center" wrapText="1"/>
    </xf>
    <xf numFmtId="1" fontId="3" fillId="0" borderId="227" applyAlignment="1" pivotButton="0" quotePrefix="0" xfId="0">
      <alignment horizontal="right" vertical="center" wrapText="1"/>
    </xf>
    <xf numFmtId="1" fontId="3" fillId="0" borderId="226" applyAlignment="1" pivotButton="0" quotePrefix="0" xfId="0">
      <alignment horizontal="right" vertical="center" wrapText="1"/>
    </xf>
    <xf numFmtId="1" fontId="3" fillId="0" borderId="228" applyAlignment="1" pivotButton="0" quotePrefix="0" xfId="0">
      <alignment horizontal="right" vertical="center" wrapText="1"/>
    </xf>
    <xf numFmtId="1" fontId="3" fillId="6" borderId="227" applyAlignment="1" pivotButton="0" quotePrefix="0" xfId="0">
      <alignment vertical="center"/>
    </xf>
    <xf numFmtId="0" fontId="3" fillId="6" borderId="226" applyAlignment="1" pivotButton="0" quotePrefix="0" xfId="0">
      <alignment vertical="center"/>
    </xf>
    <xf numFmtId="1" fontId="8" fillId="5" borderId="0" applyProtection="1" pivotButton="0" quotePrefix="0" xfId="0">
      <protection locked="0" hidden="0"/>
    </xf>
    <xf numFmtId="1" fontId="3" fillId="7" borderId="4" pivotButton="0" quotePrefix="0" xfId="0"/>
    <xf numFmtId="1" fontId="3" fillId="7" borderId="2" pivotButton="0" quotePrefix="0" xfId="0"/>
    <xf numFmtId="1" fontId="3" fillId="6" borderId="226" pivotButton="0" quotePrefix="0" xfId="0"/>
    <xf numFmtId="1" fontId="3" fillId="6" borderId="230" pivotButton="0" quotePrefix="0" xfId="0"/>
    <xf numFmtId="1" fontId="3" fillId="4" borderId="230" applyProtection="1" pivotButton="0" quotePrefix="0" xfId="0">
      <protection locked="0" hidden="0"/>
    </xf>
    <xf numFmtId="1" fontId="3" fillId="0" borderId="226" pivotButton="0" quotePrefix="0" xfId="0"/>
    <xf numFmtId="1" fontId="3" fillId="0" borderId="228" pivotButton="0" quotePrefix="0" xfId="0"/>
    <xf numFmtId="1" fontId="3" fillId="0" borderId="226" applyAlignment="1" pivotButton="0" quotePrefix="0" xfId="0">
      <alignment horizontal="right"/>
    </xf>
    <xf numFmtId="1" fontId="3" fillId="0" borderId="228" applyAlignment="1" pivotButton="0" quotePrefix="0" xfId="0">
      <alignment horizontal="right"/>
    </xf>
    <xf numFmtId="1" fontId="3" fillId="0" borderId="230" pivotButton="0" quotePrefix="0" xfId="0"/>
    <xf numFmtId="1" fontId="3" fillId="0" borderId="226" applyAlignment="1" pivotButton="0" quotePrefix="0" xfId="0">
      <alignment wrapText="1"/>
    </xf>
    <xf numFmtId="1" fontId="3" fillId="4" borderId="227" applyProtection="1" pivotButton="0" quotePrefix="0" xfId="0">
      <protection locked="0" hidden="0"/>
    </xf>
    <xf numFmtId="1" fontId="3" fillId="7" borderId="226" applyAlignment="1" pivotButton="0" quotePrefix="0" xfId="0">
      <alignment wrapText="1"/>
    </xf>
    <xf numFmtId="1" fontId="3" fillId="4" borderId="231" applyProtection="1" pivotButton="0" quotePrefix="0" xfId="0">
      <protection locked="0" hidden="0"/>
    </xf>
    <xf numFmtId="1" fontId="3" fillId="0" borderId="226" applyAlignment="1" pivotButton="0" quotePrefix="0" xfId="0">
      <alignment horizontal="right" wrapText="1"/>
    </xf>
    <xf numFmtId="1" fontId="3" fillId="4" borderId="228" applyAlignment="1" applyProtection="1" pivotButton="0" quotePrefix="0" xfId="0">
      <alignment wrapText="1"/>
      <protection locked="0" hidden="0"/>
    </xf>
    <xf numFmtId="1" fontId="3" fillId="4" borderId="226" applyAlignment="1" applyProtection="1" pivotButton="0" quotePrefix="0" xfId="0">
      <alignment wrapText="1"/>
      <protection locked="0" hidden="0"/>
    </xf>
    <xf numFmtId="1" fontId="3" fillId="4" borderId="227" applyAlignment="1" applyProtection="1" pivotButton="0" quotePrefix="0" xfId="0">
      <alignment horizontal="right"/>
      <protection locked="0" hidden="0"/>
    </xf>
    <xf numFmtId="1" fontId="3" fillId="4" borderId="230" applyAlignment="1" applyProtection="1" pivotButton="0" quotePrefix="0" xfId="0">
      <alignment horizontal="right"/>
      <protection locked="0" hidden="0"/>
    </xf>
    <xf numFmtId="1" fontId="3" fillId="7" borderId="245" applyAlignment="1" pivotButton="0" quotePrefix="0" xfId="0">
      <alignment horizontal="right"/>
    </xf>
    <xf numFmtId="1" fontId="3" fillId="0" borderId="246" pivotButton="0" quotePrefix="0" xfId="0"/>
    <xf numFmtId="0" fontId="3" fillId="6" borderId="0" pivotButton="0" quotePrefix="0" xfId="0"/>
    <xf numFmtId="0" fontId="7" fillId="15" borderId="0" pivotButton="0" quotePrefix="0" xfId="0"/>
    <xf numFmtId="0" fontId="7" fillId="21" borderId="0" pivotButton="0" quotePrefix="0" xfId="0"/>
    <xf numFmtId="0" fontId="6" fillId="15" borderId="0" pivotButton="0" quotePrefix="0" xfId="0"/>
    <xf numFmtId="0" fontId="6" fillId="23" borderId="0" pivotButton="0" quotePrefix="0" xfId="0"/>
    <xf numFmtId="0" fontId="6" fillId="21" borderId="0" pivotButton="0" quotePrefix="0" xfId="0"/>
    <xf numFmtId="0" fontId="6" fillId="48" borderId="0" pivotButton="0" quotePrefix="0" xfId="0"/>
    <xf numFmtId="0" fontId="6" fillId="16" borderId="0" pivotButton="0" quotePrefix="0" xfId="0"/>
    <xf numFmtId="0" fontId="6" fillId="52" borderId="0" pivotButton="0" quotePrefix="0" xfId="0"/>
    <xf numFmtId="0" fontId="6" fillId="22" borderId="0" pivotButton="0" quotePrefix="0" xfId="0"/>
    <xf numFmtId="1" fontId="3" fillId="6" borderId="247" pivotButton="0" quotePrefix="0" xfId="0"/>
    <xf numFmtId="1" fontId="3" fillId="4" borderId="247" applyProtection="1" pivotButton="0" quotePrefix="0" xfId="0">
      <protection locked="0" hidden="0"/>
    </xf>
    <xf numFmtId="1" fontId="3" fillId="7" borderId="247" pivotButton="0" quotePrefix="0" xfId="0"/>
    <xf numFmtId="0" fontId="3" fillId="59" borderId="0" pivotButton="0" quotePrefix="0" xfId="0"/>
    <xf numFmtId="0" fontId="7" fillId="56" borderId="0" pivotButton="0" quotePrefix="0" xfId="0"/>
    <xf numFmtId="0" fontId="3" fillId="0" borderId="0" applyAlignment="1" pivotButton="0" quotePrefix="0" xfId="0">
      <alignment horizontal="center" wrapText="1"/>
    </xf>
    <xf numFmtId="0" fontId="3" fillId="57" borderId="0" pivotButton="0" quotePrefix="0" xfId="0"/>
    <xf numFmtId="1" fontId="1" fillId="3" borderId="0" applyAlignment="1" pivotButton="0" quotePrefix="0" xfId="0">
      <alignment vertical="center" wrapText="1"/>
    </xf>
    <xf numFmtId="1" fontId="3" fillId="0" borderId="247" applyAlignment="1" pivotButton="0" quotePrefix="0" xfId="0">
      <alignment horizontal="center" vertical="center" wrapText="1"/>
    </xf>
    <xf numFmtId="1" fontId="3" fillId="0" borderId="228" applyAlignment="1" pivotButton="0" quotePrefix="0" xfId="0">
      <alignment horizontal="center" vertical="center" wrapText="1"/>
    </xf>
    <xf numFmtId="1" fontId="3" fillId="0" borderId="227" applyAlignment="1" pivotButton="0" quotePrefix="0" xfId="0">
      <alignment horizontal="center" vertical="center" wrapText="1"/>
    </xf>
    <xf numFmtId="1" fontId="3" fillId="0" borderId="226" applyAlignment="1" pivotButton="0" quotePrefix="0" xfId="0">
      <alignment horizontal="center" vertical="center" wrapText="1"/>
    </xf>
    <xf numFmtId="1" fontId="3" fillId="0" borderId="2" applyAlignment="1" pivotButton="0" quotePrefix="0" xfId="0">
      <alignment horizontal="center" vertical="center" wrapText="1"/>
    </xf>
    <xf numFmtId="1" fontId="3" fillId="0" borderId="230" applyAlignment="1" pivotButton="0" quotePrefix="0" xfId="0">
      <alignment horizontal="center" vertical="center" wrapText="1"/>
    </xf>
    <xf numFmtId="1" fontId="8" fillId="5" borderId="0" pivotButton="0" quotePrefix="0" xfId="0"/>
    <xf numFmtId="1" fontId="3" fillId="5" borderId="0" applyAlignment="1" pivotButton="0" quotePrefix="0" xfId="0">
      <alignment vertical="center"/>
    </xf>
    <xf numFmtId="1" fontId="0" fillId="15" borderId="0" pivotButton="0" quotePrefix="0" xfId="0"/>
    <xf numFmtId="1" fontId="0" fillId="28" borderId="0" pivotButton="0" quotePrefix="0" xfId="0"/>
    <xf numFmtId="0" fontId="0" fillId="23" borderId="0" pivotButton="0" quotePrefix="0" xfId="0"/>
    <xf numFmtId="0" fontId="0" fillId="28" borderId="0" pivotButton="0" quotePrefix="0" xfId="0"/>
    <xf numFmtId="0" fontId="0" fillId="21" borderId="0" pivotButton="0" quotePrefix="0" xfId="0"/>
    <xf numFmtId="1" fontId="3" fillId="4" borderId="226" applyAlignment="1" applyProtection="1" pivotButton="0" quotePrefix="0" xfId="0">
      <alignment horizontal="right"/>
      <protection locked="0" hidden="0"/>
    </xf>
    <xf numFmtId="1" fontId="3" fillId="3" borderId="226" applyAlignment="1" pivotButton="0" quotePrefix="0" xfId="0">
      <alignment horizontal="center" vertical="center" wrapText="1"/>
    </xf>
    <xf numFmtId="1" fontId="0" fillId="0" borderId="0" pivotButton="0" quotePrefix="0" xfId="0"/>
    <xf numFmtId="0" fontId="0" fillId="0" borderId="0" applyAlignment="1" pivotButton="0" quotePrefix="0" xfId="0">
      <alignment vertical="center"/>
    </xf>
    <xf numFmtId="1" fontId="0" fillId="21" borderId="0" pivotButton="0" quotePrefix="0" xfId="0"/>
    <xf numFmtId="1" fontId="3" fillId="4" borderId="8" applyAlignment="1" applyProtection="1" pivotButton="0" quotePrefix="0" xfId="0">
      <alignment horizontal="right"/>
      <protection locked="0" hidden="0"/>
    </xf>
    <xf numFmtId="1" fontId="3" fillId="4" borderId="228" applyAlignment="1" applyProtection="1" pivotButton="0" quotePrefix="0" xfId="0">
      <alignment horizontal="right"/>
      <protection locked="0" hidden="0"/>
    </xf>
    <xf numFmtId="1" fontId="45" fillId="3" borderId="0" pivotButton="0" quotePrefix="0" xfId="0"/>
    <xf numFmtId="1" fontId="3" fillId="5" borderId="0" pivotButton="0" quotePrefix="0" xfId="0"/>
    <xf numFmtId="1" fontId="3" fillId="5" borderId="0" applyAlignment="1" pivotButton="0" quotePrefix="0" xfId="0">
      <alignment wrapText="1"/>
    </xf>
    <xf numFmtId="1" fontId="0" fillId="5" borderId="0" pivotButton="0" quotePrefix="0" xfId="0"/>
    <xf numFmtId="1" fontId="0" fillId="3" borderId="0" pivotButton="0" quotePrefix="0" xfId="0"/>
    <xf numFmtId="1" fontId="7" fillId="3" borderId="0" pivotButton="0" quotePrefix="0" xfId="0"/>
    <xf numFmtId="1" fontId="27" fillId="3" borderId="0" pivotButton="0" quotePrefix="0" xfId="0"/>
    <xf numFmtId="1" fontId="6" fillId="5" borderId="0" applyAlignment="1" pivotButton="0" quotePrefix="0" xfId="0">
      <alignment vertical="center"/>
    </xf>
    <xf numFmtId="1" fontId="7" fillId="0" borderId="0" pivotButton="0" quotePrefix="0" xfId="0"/>
    <xf numFmtId="1" fontId="7" fillId="15" borderId="0" pivotButton="0" quotePrefix="0" xfId="0"/>
    <xf numFmtId="1" fontId="3" fillId="4" borderId="231" applyAlignment="1" applyProtection="1" pivotButton="0" quotePrefix="0" xfId="0">
      <alignment horizontal="right"/>
      <protection locked="0" hidden="0"/>
    </xf>
    <xf numFmtId="1" fontId="7" fillId="15" borderId="0" applyProtection="1" pivotButton="0" quotePrefix="0" xfId="0">
      <protection locked="0" hidden="0"/>
    </xf>
    <xf numFmtId="1" fontId="7" fillId="0" borderId="0" applyProtection="1" pivotButton="0" quotePrefix="0" xfId="0">
      <protection locked="0" hidden="0"/>
    </xf>
    <xf numFmtId="1" fontId="7" fillId="23" borderId="0" applyProtection="1" pivotButton="0" quotePrefix="0" xfId="0">
      <protection locked="0" hidden="0"/>
    </xf>
    <xf numFmtId="1" fontId="3" fillId="6" borderId="4" applyAlignment="1" pivotButton="0" quotePrefix="0" xfId="0">
      <alignment horizontal="right"/>
    </xf>
    <xf numFmtId="1" fontId="7" fillId="48" borderId="0" pivotButton="0" quotePrefix="0" xfId="0"/>
    <xf numFmtId="1" fontId="4" fillId="3" borderId="0" applyAlignment="1" pivotButton="0" quotePrefix="0" xfId="0">
      <alignment wrapText="1"/>
    </xf>
    <xf numFmtId="1" fontId="3" fillId="4" borderId="247" applyAlignment="1" applyProtection="1" pivotButton="0" quotePrefix="0" xfId="0">
      <alignment horizontal="right"/>
      <protection locked="0" hidden="0"/>
    </xf>
    <xf numFmtId="0" fontId="2" fillId="0" borderId="0" pivotButton="0" quotePrefix="0" xfId="0"/>
    <xf numFmtId="1" fontId="3" fillId="0" borderId="52" applyAlignment="1" pivotButton="0" quotePrefix="0" xfId="2">
      <alignment vertical="center" wrapText="1"/>
    </xf>
    <xf numFmtId="1" fontId="48" fillId="31" borderId="0" pivotButton="0" quotePrefix="0" xfId="0"/>
    <xf numFmtId="0" fontId="0" fillId="22" borderId="0" pivotButton="0" quotePrefix="0" xfId="0"/>
    <xf numFmtId="0" fontId="3" fillId="0" borderId="226" applyAlignment="1" pivotButton="0" quotePrefix="0" xfId="0">
      <alignment horizontal="center" vertical="center" wrapText="1"/>
    </xf>
    <xf numFmtId="0" fontId="3" fillId="44" borderId="226" applyProtection="1" pivotButton="0" quotePrefix="0" xfId="0">
      <protection locked="0" hidden="0"/>
    </xf>
    <xf numFmtId="0" fontId="3" fillId="0" borderId="28" applyAlignment="1" pivotButton="0" quotePrefix="0" xfId="0">
      <alignment horizontal="center" vertical="center" wrapText="1"/>
    </xf>
    <xf numFmtId="0" fontId="3" fillId="0" borderId="148" applyAlignment="1" pivotButton="0" quotePrefix="0" xfId="0">
      <alignment horizontal="center" vertical="center" wrapText="1"/>
    </xf>
    <xf numFmtId="0" fontId="3" fillId="0" borderId="19" applyAlignment="1" pivotButton="0" quotePrefix="0" xfId="0">
      <alignment horizontal="center" wrapText="1"/>
    </xf>
    <xf numFmtId="0" fontId="3" fillId="44" borderId="159" applyProtection="1" pivotButton="0" quotePrefix="0" xfId="0">
      <protection locked="0" hidden="0"/>
    </xf>
    <xf numFmtId="0" fontId="3" fillId="44" borderId="72" applyProtection="1" pivotButton="0" quotePrefix="0" xfId="0">
      <protection locked="0" hidden="0"/>
    </xf>
    <xf numFmtId="0" fontId="0" fillId="15" borderId="0" pivotButton="0" quotePrefix="0" xfId="0"/>
    <xf numFmtId="0" fontId="0" fillId="48" borderId="0" pivotButton="0" quotePrefix="0" xfId="0"/>
    <xf numFmtId="0" fontId="0" fillId="56" borderId="0" pivotButton="0" quotePrefix="0" xfId="0"/>
    <xf numFmtId="0" fontId="44" fillId="0" borderId="0" pivotButton="0" quotePrefix="0" xfId="0"/>
    <xf numFmtId="1" fontId="50" fillId="3" borderId="0" pivotButton="0" quotePrefix="0" xfId="0"/>
    <xf numFmtId="1" fontId="3" fillId="3" borderId="247" applyAlignment="1" pivotButton="0" quotePrefix="0" xfId="0">
      <alignment vertical="center" wrapText="1"/>
    </xf>
    <xf numFmtId="1" fontId="3" fillId="6" borderId="73" pivotButton="0" quotePrefix="0" xfId="0"/>
    <xf numFmtId="1" fontId="3" fillId="0" borderId="256" pivotButton="0" quotePrefix="0" xfId="0"/>
    <xf numFmtId="1" fontId="3" fillId="6" borderId="186" pivotButton="0" quotePrefix="0" xfId="0"/>
    <xf numFmtId="1" fontId="3" fillId="6" borderId="185" pivotButton="0" quotePrefix="0" xfId="0"/>
    <xf numFmtId="1" fontId="3" fillId="6" borderId="218" pivotButton="0" quotePrefix="0" xfId="0"/>
    <xf numFmtId="1" fontId="3" fillId="6" borderId="258" pivotButton="0" quotePrefix="0" xfId="0"/>
    <xf numFmtId="1" fontId="3" fillId="6" borderId="221" pivotButton="0" quotePrefix="0" xfId="0"/>
    <xf numFmtId="1" fontId="3" fillId="6" borderId="0" pivotButton="0" quotePrefix="0" xfId="0"/>
    <xf numFmtId="1" fontId="3" fillId="6" borderId="22" pivotButton="0" quotePrefix="0" xfId="0"/>
    <xf numFmtId="1" fontId="3" fillId="6" borderId="260" pivotButton="0" quotePrefix="0" xfId="0"/>
    <xf numFmtId="1" fontId="3" fillId="6" borderId="199" pivotButton="0" quotePrefix="0" xfId="0"/>
    <xf numFmtId="1" fontId="3" fillId="6" borderId="261" pivotButton="0" quotePrefix="0" xfId="0"/>
    <xf numFmtId="1" fontId="3" fillId="6" borderId="257" pivotButton="0" quotePrefix="0" xfId="0"/>
    <xf numFmtId="1" fontId="3" fillId="6" borderId="24" pivotButton="0" quotePrefix="0" xfId="0"/>
    <xf numFmtId="1" fontId="3" fillId="6" borderId="25" pivotButton="0" quotePrefix="0" xfId="0"/>
    <xf numFmtId="1" fontId="3" fillId="6" borderId="259" pivotButton="0" quotePrefix="0" xfId="0"/>
    <xf numFmtId="1" fontId="0" fillId="37" borderId="0" pivotButton="0" quotePrefix="0" xfId="0"/>
    <xf numFmtId="0" fontId="0" fillId="37" borderId="0" pivotButton="0" quotePrefix="0" xfId="0"/>
    <xf numFmtId="1" fontId="4" fillId="3" borderId="0" applyAlignment="1" pivotButton="0" quotePrefix="0" xfId="0">
      <alignment horizontal="left" wrapText="1"/>
    </xf>
    <xf numFmtId="1" fontId="6" fillId="3" borderId="0" applyAlignment="1" pivotButton="0" quotePrefix="0" xfId="0">
      <alignment vertical="center"/>
    </xf>
    <xf numFmtId="1" fontId="6" fillId="3" borderId="0" applyAlignment="1" pivotButton="0" quotePrefix="0" xfId="0">
      <alignment horizontal="center" vertical="center" wrapText="1"/>
    </xf>
    <xf numFmtId="1" fontId="3" fillId="0" borderId="245" pivotButton="0" quotePrefix="0" xfId="0"/>
    <xf numFmtId="0" fontId="51" fillId="0" borderId="0" pivotButton="0" quotePrefix="0" xfId="0"/>
    <xf numFmtId="1" fontId="2" fillId="0" borderId="245" pivotButton="0" quotePrefix="0" xfId="0"/>
    <xf numFmtId="1" fontId="3" fillId="22" borderId="5" applyProtection="1" pivotButton="0" quotePrefix="0" xfId="0">
      <protection locked="0" hidden="0"/>
    </xf>
    <xf numFmtId="1" fontId="3" fillId="0" borderId="227" pivotButton="0" quotePrefix="0" xfId="0"/>
    <xf numFmtId="1" fontId="3" fillId="0" borderId="227" applyAlignment="1" pivotButton="0" quotePrefix="0" xfId="0">
      <alignment horizontal="center" vertical="center"/>
    </xf>
    <xf numFmtId="1" fontId="3" fillId="18" borderId="135" applyProtection="1" pivotButton="0" quotePrefix="0" xfId="0">
      <protection locked="0" hidden="0"/>
    </xf>
    <xf numFmtId="1" fontId="3" fillId="18" borderId="274" applyProtection="1" pivotButton="0" quotePrefix="0" xfId="0">
      <protection locked="0" hidden="0"/>
    </xf>
    <xf numFmtId="1" fontId="3" fillId="18" borderId="61" applyProtection="1" pivotButton="0" quotePrefix="0" xfId="0">
      <protection locked="0" hidden="0"/>
    </xf>
    <xf numFmtId="1" fontId="3" fillId="18" borderId="90" applyProtection="1" pivotButton="0" quotePrefix="0" xfId="0">
      <protection locked="0" hidden="0"/>
    </xf>
    <xf numFmtId="1" fontId="3" fillId="25" borderId="30" pivotButton="0" quotePrefix="0" xfId="0"/>
    <xf numFmtId="1" fontId="3" fillId="18" borderId="32" applyProtection="1" pivotButton="0" quotePrefix="0" xfId="0">
      <protection locked="0" hidden="0"/>
    </xf>
    <xf numFmtId="1" fontId="3" fillId="18" borderId="178" applyProtection="1" pivotButton="0" quotePrefix="0" xfId="0">
      <protection locked="0" hidden="0"/>
    </xf>
    <xf numFmtId="1" fontId="3" fillId="18" borderId="263" applyProtection="1" pivotButton="0" quotePrefix="0" xfId="0">
      <protection locked="0" hidden="0"/>
    </xf>
    <xf numFmtId="1" fontId="3" fillId="18" borderId="92" applyProtection="1" pivotButton="0" quotePrefix="0" xfId="0">
      <protection locked="0" hidden="0"/>
    </xf>
    <xf numFmtId="1" fontId="3" fillId="18" borderId="91" applyProtection="1" pivotButton="0" quotePrefix="0" xfId="0">
      <protection locked="0" hidden="0"/>
    </xf>
    <xf numFmtId="1" fontId="3" fillId="25" borderId="47" pivotButton="0" quotePrefix="0" xfId="0"/>
    <xf numFmtId="1" fontId="3" fillId="18" borderId="41" applyProtection="1" pivotButton="0" quotePrefix="0" xfId="0">
      <protection locked="0" hidden="0"/>
    </xf>
    <xf numFmtId="1" fontId="3" fillId="18" borderId="179" applyProtection="1" pivotButton="0" quotePrefix="0" xfId="0">
      <protection locked="0" hidden="0"/>
    </xf>
    <xf numFmtId="1" fontId="3" fillId="18" borderId="30" applyProtection="1" pivotButton="0" quotePrefix="0" xfId="0">
      <protection locked="0" hidden="0"/>
    </xf>
    <xf numFmtId="1" fontId="3" fillId="18" borderId="47" applyProtection="1" pivotButton="0" quotePrefix="0" xfId="0">
      <protection locked="0" hidden="0"/>
    </xf>
    <xf numFmtId="1" fontId="3" fillId="25" borderId="51" applyAlignment="1" pivotButton="0" quotePrefix="0" xfId="0">
      <alignment horizontal="center"/>
    </xf>
    <xf numFmtId="1" fontId="3" fillId="25" borderId="32" pivotButton="0" quotePrefix="0" xfId="0"/>
    <xf numFmtId="1" fontId="3" fillId="25" borderId="178" pivotButton="0" quotePrefix="0" xfId="0"/>
    <xf numFmtId="1" fontId="3" fillId="25" borderId="53" applyAlignment="1" pivotButton="0" quotePrefix="0" xfId="0">
      <alignment horizontal="center"/>
    </xf>
    <xf numFmtId="1" fontId="3" fillId="25" borderId="41" pivotButton="0" quotePrefix="0" xfId="0"/>
    <xf numFmtId="1" fontId="3" fillId="25" borderId="179" pivotButton="0" quotePrefix="0" xfId="0"/>
    <xf numFmtId="1" fontId="3" fillId="26" borderId="51" pivotButton="0" quotePrefix="0" xfId="0"/>
    <xf numFmtId="1" fontId="3" fillId="26" borderId="47" applyAlignment="1" pivotButton="0" quotePrefix="0" xfId="0">
      <alignment horizontal="center"/>
    </xf>
    <xf numFmtId="1" fontId="3" fillId="18" borderId="44" applyProtection="1" pivotButton="0" quotePrefix="0" xfId="0">
      <protection locked="0" hidden="0"/>
    </xf>
    <xf numFmtId="1" fontId="3" fillId="18" borderId="43" applyProtection="1" pivotButton="0" quotePrefix="0" xfId="0">
      <protection locked="0" hidden="0"/>
    </xf>
    <xf numFmtId="1" fontId="3" fillId="18" borderId="46" applyProtection="1" pivotButton="0" quotePrefix="0" xfId="0">
      <protection locked="0" hidden="0"/>
    </xf>
    <xf numFmtId="1" fontId="3" fillId="27" borderId="274" pivotButton="0" quotePrefix="0" xfId="0"/>
    <xf numFmtId="1" fontId="3" fillId="27" borderId="61" pivotButton="0" quotePrefix="0" xfId="0"/>
    <xf numFmtId="1" fontId="3" fillId="27" borderId="90" pivotButton="0" quotePrefix="0" xfId="0"/>
    <xf numFmtId="1" fontId="3" fillId="26" borderId="51" applyAlignment="1" pivotButton="0" quotePrefix="0" xfId="0">
      <alignment horizontal="center"/>
    </xf>
    <xf numFmtId="1" fontId="3" fillId="27" borderId="275" pivotButton="0" quotePrefix="0" xfId="0"/>
    <xf numFmtId="1" fontId="3" fillId="27" borderId="264" pivotButton="0" quotePrefix="0" xfId="0"/>
    <xf numFmtId="1" fontId="3" fillId="27" borderId="276" pivotButton="0" quotePrefix="0" xfId="0"/>
    <xf numFmtId="1" fontId="3" fillId="26" borderId="95" applyAlignment="1" pivotButton="0" quotePrefix="0" xfId="0">
      <alignment horizontal="center"/>
    </xf>
    <xf numFmtId="1" fontId="3" fillId="25" borderId="71" pivotButton="0" quotePrefix="0" xfId="0"/>
    <xf numFmtId="0" fontId="3" fillId="0" borderId="50" applyAlignment="1" pivotButton="0" quotePrefix="0" xfId="0">
      <alignment horizontal="center" vertical="center"/>
    </xf>
    <xf numFmtId="0" fontId="0" fillId="5" borderId="0" pivotButton="0" quotePrefix="0" xfId="0"/>
    <xf numFmtId="1" fontId="3" fillId="5" borderId="0" applyAlignment="1" pivotButton="0" quotePrefix="0" xfId="0">
      <alignment vertical="top" wrapText="1"/>
    </xf>
    <xf numFmtId="1" fontId="3" fillId="0" borderId="0" applyProtection="1" pivotButton="0" quotePrefix="0" xfId="0">
      <protection locked="0" hidden="0"/>
    </xf>
    <xf numFmtId="1" fontId="3" fillId="0" borderId="245" applyAlignment="1" pivotButton="0" quotePrefix="0" xfId="0">
      <alignment vertical="center" wrapText="1"/>
    </xf>
    <xf numFmtId="1" fontId="3" fillId="7" borderId="226" pivotButton="0" quotePrefix="0" xfId="0"/>
    <xf numFmtId="1" fontId="6" fillId="5" borderId="0" applyAlignment="1" pivotButton="0" quotePrefix="0" xfId="0">
      <alignment horizontal="left" vertical="top"/>
    </xf>
    <xf numFmtId="1" fontId="6" fillId="5" borderId="0" applyAlignment="1" pivotButton="0" quotePrefix="0" xfId="0">
      <alignment vertical="top"/>
    </xf>
    <xf numFmtId="1" fontId="6" fillId="3" borderId="0" applyAlignment="1" pivotButton="0" quotePrefix="0" xfId="0">
      <alignment vertical="top"/>
    </xf>
    <xf numFmtId="1" fontId="3" fillId="5" borderId="226" applyAlignment="1" pivotButton="0" quotePrefix="0" xfId="0">
      <alignment horizontal="center" vertical="center" wrapText="1"/>
    </xf>
    <xf numFmtId="1" fontId="3" fillId="0" borderId="5" pivotButton="0" quotePrefix="0" xfId="0"/>
    <xf numFmtId="1" fontId="6" fillId="3" borderId="0" applyAlignment="1" pivotButton="0" quotePrefix="0" xfId="0">
      <alignment horizontal="left" vertical="top"/>
    </xf>
    <xf numFmtId="1" fontId="6" fillId="0" borderId="0" applyAlignment="1" pivotButton="0" quotePrefix="0" xfId="0">
      <alignment horizontal="left"/>
    </xf>
    <xf numFmtId="1" fontId="3" fillId="0" borderId="0" applyAlignment="1" pivotButton="0" quotePrefix="0" xfId="0">
      <alignment vertical="top" wrapText="1"/>
    </xf>
    <xf numFmtId="1" fontId="3" fillId="4" borderId="5" applyAlignment="1" applyProtection="1" pivotButton="0" quotePrefix="0" xfId="0">
      <alignment horizontal="right" vertical="center" wrapText="1"/>
      <protection locked="0" hidden="0"/>
    </xf>
    <xf numFmtId="1" fontId="3" fillId="3" borderId="5" applyAlignment="1" pivotButton="0" quotePrefix="0" xfId="0">
      <alignment horizontal="left" vertical="center" wrapText="1"/>
    </xf>
    <xf numFmtId="1" fontId="3" fillId="4" borderId="247" applyAlignment="1" applyProtection="1" pivotButton="0" quotePrefix="0" xfId="0">
      <alignment horizontal="right" vertical="center" wrapText="1"/>
      <protection locked="0" hidden="0"/>
    </xf>
    <xf numFmtId="1" fontId="3" fillId="4" borderId="0" applyAlignment="1" applyProtection="1" pivotButton="0" quotePrefix="0" xfId="0">
      <alignment horizontal="right" vertical="center" wrapText="1"/>
      <protection locked="0" hidden="0"/>
    </xf>
    <xf numFmtId="1" fontId="3" fillId="4" borderId="230" applyAlignment="1" applyProtection="1" pivotButton="0" quotePrefix="0" xfId="0">
      <alignment horizontal="right" vertical="center" wrapText="1"/>
      <protection locked="0" hidden="0"/>
    </xf>
    <xf numFmtId="1" fontId="3" fillId="4" borderId="228" applyAlignment="1" applyProtection="1" pivotButton="0" quotePrefix="0" xfId="0">
      <alignment horizontal="right" vertical="center" wrapText="1"/>
      <protection locked="0" hidden="0"/>
    </xf>
    <xf numFmtId="1" fontId="3" fillId="4" borderId="226" applyAlignment="1" applyProtection="1" pivotButton="0" quotePrefix="0" xfId="0">
      <alignment horizontal="right" vertical="center" wrapText="1"/>
      <protection locked="0" hidden="0"/>
    </xf>
    <xf numFmtId="1" fontId="3" fillId="4" borderId="4" applyAlignment="1" applyProtection="1" pivotButton="0" quotePrefix="0" xfId="0">
      <alignment horizontal="right" vertical="center" wrapText="1"/>
      <protection locked="0" hidden="0"/>
    </xf>
    <xf numFmtId="1" fontId="6" fillId="0" borderId="0" applyAlignment="1" pivotButton="0" quotePrefix="0" xfId="0">
      <alignment horizontal="left" vertical="center" wrapText="1"/>
    </xf>
    <xf numFmtId="1" fontId="6" fillId="0" borderId="0" applyAlignment="1" pivotButton="0" quotePrefix="0" xfId="0">
      <alignment horizontal="right"/>
    </xf>
    <xf numFmtId="1" fontId="3" fillId="5" borderId="231" applyAlignment="1" pivotButton="0" quotePrefix="0" xfId="0">
      <alignment horizontal="center" vertical="center" wrapText="1"/>
    </xf>
    <xf numFmtId="1" fontId="3" fillId="5" borderId="227" applyAlignment="1" pivotButton="0" quotePrefix="0" xfId="0">
      <alignment horizontal="center" vertical="center" wrapText="1"/>
    </xf>
    <xf numFmtId="1" fontId="3" fillId="5" borderId="230" applyAlignment="1" pivotButton="0" quotePrefix="0" xfId="0">
      <alignment horizontal="center" vertical="center" wrapText="1"/>
    </xf>
    <xf numFmtId="1" fontId="6" fillId="5" borderId="0" applyAlignment="1" pivotButton="0" quotePrefix="0" xfId="0">
      <alignment horizontal="left"/>
    </xf>
    <xf numFmtId="1" fontId="3" fillId="0" borderId="0" applyAlignment="1" pivotButton="0" quotePrefix="0" xfId="0">
      <alignment horizontal="right" wrapText="1"/>
    </xf>
    <xf numFmtId="1" fontId="3" fillId="0" borderId="0" applyAlignment="1" pivotButton="0" quotePrefix="0" xfId="0">
      <alignment horizontal="right"/>
    </xf>
    <xf numFmtId="1" fontId="3" fillId="3" borderId="0" applyAlignment="1" pivotButton="0" quotePrefix="0" xfId="0">
      <alignment horizontal="right"/>
    </xf>
    <xf numFmtId="1" fontId="6" fillId="3" borderId="0" applyAlignment="1" pivotButton="0" quotePrefix="0" xfId="0">
      <alignment horizontal="left"/>
    </xf>
    <xf numFmtId="1" fontId="3" fillId="7" borderId="227" pivotButton="0" quotePrefix="0" xfId="0"/>
    <xf numFmtId="1" fontId="3" fillId="5" borderId="227" pivotButton="0" quotePrefix="0" xfId="0"/>
    <xf numFmtId="1" fontId="3" fillId="5" borderId="226" pivotButton="0" quotePrefix="0" xfId="0"/>
    <xf numFmtId="1" fontId="3" fillId="6" borderId="5" pivotButton="0" quotePrefix="0" xfId="0"/>
    <xf numFmtId="1" fontId="3" fillId="5" borderId="0" applyAlignment="1" pivotButton="0" quotePrefix="0" xfId="0">
      <alignment horizontal="left" wrapText="1"/>
    </xf>
    <xf numFmtId="1" fontId="3" fillId="6" borderId="4" applyAlignment="1" pivotButton="0" quotePrefix="0" xfId="0">
      <alignment wrapText="1"/>
    </xf>
    <xf numFmtId="1" fontId="3" fillId="3" borderId="2" applyAlignment="1" pivotButton="0" quotePrefix="0" xfId="0">
      <alignment horizontal="right" vertical="center" wrapText="1"/>
    </xf>
    <xf numFmtId="1" fontId="3" fillId="6" borderId="227" applyAlignment="1" pivotButton="0" quotePrefix="0" xfId="0">
      <alignment wrapText="1"/>
    </xf>
    <xf numFmtId="1" fontId="3" fillId="3" borderId="226" applyAlignment="1" pivotButton="0" quotePrefix="0" xfId="0">
      <alignment horizontal="right" wrapText="1"/>
    </xf>
    <xf numFmtId="1" fontId="3" fillId="3" borderId="227" applyAlignment="1" pivotButton="0" quotePrefix="0" xfId="0">
      <alignment horizontal="right" wrapText="1"/>
    </xf>
    <xf numFmtId="1" fontId="1" fillId="3" borderId="0" pivotButton="0" quotePrefix="0" xfId="0"/>
    <xf numFmtId="1" fontId="41" fillId="3" borderId="0" pivotButton="0" quotePrefix="0" xfId="0"/>
    <xf numFmtId="1" fontId="44" fillId="3" borderId="0" pivotButton="0" quotePrefix="0" xfId="0"/>
    <xf numFmtId="1" fontId="0" fillId="5" borderId="0" applyProtection="1" pivotButton="0" quotePrefix="0" xfId="0">
      <protection locked="0" hidden="0"/>
    </xf>
    <xf numFmtId="1" fontId="0" fillId="0" borderId="0" applyProtection="1" pivotButton="0" quotePrefix="0" xfId="0">
      <protection locked="0" hidden="0"/>
    </xf>
    <xf numFmtId="1" fontId="2" fillId="5" borderId="0" applyAlignment="1" pivotButton="0" quotePrefix="0" xfId="0">
      <alignment vertical="center"/>
    </xf>
    <xf numFmtId="1" fontId="0" fillId="23" borderId="0" pivotButton="0" quotePrefix="0" xfId="0"/>
    <xf numFmtId="0" fontId="0" fillId="28" borderId="0" applyAlignment="1" pivotButton="0" quotePrefix="0" xfId="0">
      <alignment vertical="center"/>
    </xf>
    <xf numFmtId="1" fontId="0" fillId="48" borderId="0" pivotButton="0" quotePrefix="0" xfId="0"/>
    <xf numFmtId="0" fontId="0" fillId="15" borderId="0" applyAlignment="1" pivotButton="0" quotePrefix="0" xfId="0">
      <alignment vertical="center"/>
    </xf>
    <xf numFmtId="0" fontId="0" fillId="32" borderId="0" pivotButton="0" quotePrefix="0" xfId="0"/>
    <xf numFmtId="0" fontId="0" fillId="48" borderId="0" applyAlignment="1" pivotButton="0" quotePrefix="0" xfId="0">
      <alignment vertical="center"/>
    </xf>
    <xf numFmtId="0" fontId="0" fillId="0" borderId="0" applyAlignment="1" pivotButton="0" quotePrefix="0" xfId="0">
      <alignment horizontal="left" vertical="center"/>
    </xf>
    <xf numFmtId="0" fontId="44" fillId="6" borderId="110" applyAlignment="1" pivotButton="0" quotePrefix="0" xfId="10">
      <alignment horizontal="right"/>
    </xf>
    <xf numFmtId="0" fontId="44" fillId="6" borderId="111" applyAlignment="1" pivotButton="0" quotePrefix="0" xfId="10">
      <alignment horizontal="right"/>
    </xf>
    <xf numFmtId="0" fontId="44" fillId="6" borderId="112" applyAlignment="1" pivotButton="0" quotePrefix="0" xfId="10">
      <alignment horizontal="right"/>
    </xf>
    <xf numFmtId="0" fontId="44" fillId="6" borderId="113" applyAlignment="1" pivotButton="0" quotePrefix="0" xfId="10">
      <alignment horizontal="right"/>
    </xf>
    <xf numFmtId="0" fontId="44" fillId="6" borderId="114" applyAlignment="1" pivotButton="0" quotePrefix="0" xfId="10">
      <alignment horizontal="right"/>
    </xf>
    <xf numFmtId="0" fontId="44" fillId="6" borderId="115" applyAlignment="1" pivotButton="0" quotePrefix="0" xfId="10">
      <alignment horizontal="right"/>
    </xf>
    <xf numFmtId="1" fontId="3" fillId="4" borderId="116" applyAlignment="1" applyProtection="1" pivotButton="0" quotePrefix="0" xfId="0">
      <alignment horizontal="right"/>
      <protection locked="0" hidden="0"/>
    </xf>
    <xf numFmtId="1" fontId="3" fillId="4" borderId="117" applyAlignment="1" applyProtection="1" pivotButton="0" quotePrefix="0" xfId="0">
      <alignment horizontal="right"/>
      <protection locked="0" hidden="0"/>
    </xf>
    <xf numFmtId="0" fontId="44" fillId="6" borderId="118" applyAlignment="1" pivotButton="0" quotePrefix="0" xfId="10">
      <alignment horizontal="right"/>
    </xf>
    <xf numFmtId="0" fontId="44" fillId="6" borderId="119" applyAlignment="1" pivotButton="0" quotePrefix="0" xfId="10">
      <alignment horizontal="right"/>
    </xf>
    <xf numFmtId="0" fontId="44" fillId="6" borderId="120" applyAlignment="1" pivotButton="0" quotePrefix="0" xfId="10">
      <alignment horizontal="right"/>
    </xf>
    <xf numFmtId="0" fontId="44" fillId="6" borderId="121" applyAlignment="1" pivotButton="0" quotePrefix="0" xfId="10">
      <alignment horizontal="right"/>
    </xf>
    <xf numFmtId="0" fontId="44" fillId="6" borderId="227" applyAlignment="1" pivotButton="0" quotePrefix="0" xfId="10">
      <alignment horizontal="right"/>
    </xf>
    <xf numFmtId="1" fontId="3" fillId="6" borderId="231" applyAlignment="1" pivotButton="0" quotePrefix="0" xfId="0">
      <alignment horizontal="right"/>
    </xf>
    <xf numFmtId="1" fontId="3" fillId="6" borderId="230" applyAlignment="1" pivotButton="0" quotePrefix="0" xfId="0">
      <alignment horizontal="right"/>
    </xf>
    <xf numFmtId="1" fontId="31" fillId="31" borderId="0" applyAlignment="1" pivotButton="0" quotePrefix="0" xfId="0">
      <alignment wrapText="1"/>
    </xf>
    <xf numFmtId="1" fontId="31" fillId="33" borderId="0" pivotButton="0" quotePrefix="0" xfId="0"/>
    <xf numFmtId="1" fontId="3" fillId="0" borderId="4" applyAlignment="1" pivotButton="0" quotePrefix="0" xfId="0">
      <alignment horizontal="right"/>
    </xf>
    <xf numFmtId="1" fontId="3" fillId="4" borderId="245" applyAlignment="1" applyProtection="1" pivotButton="0" quotePrefix="0" xfId="0">
      <alignment horizontal="right"/>
      <protection locked="0" hidden="0"/>
    </xf>
    <xf numFmtId="1" fontId="3" fillId="0" borderId="4" pivotButton="0" quotePrefix="0" xfId="0"/>
    <xf numFmtId="1" fontId="3" fillId="7" borderId="4" applyAlignment="1" pivotButton="0" quotePrefix="0" xfId="0">
      <alignment horizontal="right"/>
    </xf>
    <xf numFmtId="1" fontId="3" fillId="0" borderId="227" applyAlignment="1" pivotButton="0" quotePrefix="0" xfId="0">
      <alignment horizontal="right"/>
    </xf>
    <xf numFmtId="1" fontId="6" fillId="15" borderId="0" pivotButton="0" quotePrefix="0" xfId="0"/>
    <xf numFmtId="1" fontId="6" fillId="57" borderId="0" pivotButton="0" quotePrefix="0" xfId="0"/>
    <xf numFmtId="0" fontId="0" fillId="0" borderId="245" pivotButton="0" quotePrefix="0" xfId="0"/>
    <xf numFmtId="1" fontId="3" fillId="4" borderId="6" applyAlignment="1" applyProtection="1" pivotButton="0" quotePrefix="0" xfId="0">
      <alignment horizontal="right"/>
      <protection locked="0" hidden="0"/>
    </xf>
    <xf numFmtId="1" fontId="3" fillId="2" borderId="1" applyAlignment="1" applyProtection="1" pivotButton="0" quotePrefix="0" xfId="1">
      <alignment horizontal="right" vertical="center"/>
      <protection locked="0" hidden="0"/>
    </xf>
    <xf numFmtId="2" fontId="3" fillId="2" borderId="1" applyAlignment="1" applyProtection="1" pivotButton="0" quotePrefix="0" xfId="1">
      <alignment horizontal="right" vertical="center"/>
      <protection locked="0" hidden="0"/>
    </xf>
    <xf numFmtId="2" fontId="3" fillId="2" borderId="11" applyAlignment="1" applyProtection="1" pivotButton="0" quotePrefix="0" xfId="1">
      <alignment horizontal="right" vertical="center"/>
      <protection locked="0" hidden="0"/>
    </xf>
    <xf numFmtId="2" fontId="3" fillId="2" borderId="12" applyAlignment="1" applyProtection="1" pivotButton="0" quotePrefix="0" xfId="1">
      <alignment horizontal="right" vertical="center"/>
      <protection locked="0" hidden="0"/>
    </xf>
    <xf numFmtId="2" fontId="3" fillId="2" borderId="0" applyAlignment="1" applyProtection="1" pivotButton="0" quotePrefix="0" xfId="1">
      <alignment horizontal="right" vertical="center"/>
      <protection locked="0" hidden="0"/>
    </xf>
    <xf numFmtId="2" fontId="3" fillId="2" borderId="13" applyAlignment="1" applyProtection="1" pivotButton="0" quotePrefix="0" xfId="1">
      <alignment horizontal="right" vertical="center"/>
      <protection locked="0" hidden="0"/>
    </xf>
    <xf numFmtId="2" fontId="3" fillId="2" borderId="14" applyAlignment="1" applyProtection="1" pivotButton="0" quotePrefix="0" xfId="1">
      <alignment horizontal="right" vertical="center"/>
      <protection locked="0" hidden="0"/>
    </xf>
    <xf numFmtId="2" fontId="3" fillId="2" borderId="15" applyAlignment="1" applyProtection="1" pivotButton="0" quotePrefix="0" xfId="1">
      <alignment horizontal="right" vertical="center"/>
      <protection locked="0" hidden="0"/>
    </xf>
    <xf numFmtId="2" fontId="3" fillId="2" borderId="16" applyAlignment="1" applyProtection="1" pivotButton="0" quotePrefix="0" xfId="1">
      <alignment horizontal="right" vertical="center"/>
      <protection locked="0" hidden="0"/>
    </xf>
    <xf numFmtId="1" fontId="1" fillId="3" borderId="0" applyAlignment="1" pivotButton="0" quotePrefix="0" xfId="6">
      <alignment horizontal="left" vertical="center"/>
    </xf>
    <xf numFmtId="1" fontId="2" fillId="0" borderId="0" pivotButton="0" quotePrefix="0" xfId="6"/>
    <xf numFmtId="1" fontId="2" fillId="0" borderId="0" applyAlignment="1" pivotButton="0" quotePrefix="0" xfId="6">
      <alignment horizontal="center"/>
    </xf>
    <xf numFmtId="1" fontId="3" fillId="4" borderId="226" applyProtection="1" pivotButton="0" quotePrefix="0" xfId="6">
      <protection locked="0" hidden="0"/>
    </xf>
    <xf numFmtId="1" fontId="3" fillId="4" borderId="227" applyProtection="1" pivotButton="0" quotePrefix="0" xfId="6">
      <protection locked="0" hidden="0"/>
    </xf>
    <xf numFmtId="1" fontId="6" fillId="0" borderId="0" pivotButton="0" quotePrefix="0" xfId="6"/>
    <xf numFmtId="1" fontId="3" fillId="0" borderId="245" applyAlignment="1" pivotButton="0" quotePrefix="0" xfId="6">
      <alignment horizontal="left"/>
    </xf>
    <xf numFmtId="1" fontId="3" fillId="0" borderId="245" pivotButton="0" quotePrefix="0" xfId="6"/>
    <xf numFmtId="1" fontId="3" fillId="0" borderId="0" applyAlignment="1" pivotButton="0" quotePrefix="0" xfId="6">
      <alignment horizontal="right"/>
    </xf>
    <xf numFmtId="1" fontId="6" fillId="0" borderId="0" applyAlignment="1" pivotButton="0" quotePrefix="0" xfId="6">
      <alignment horizontal="right"/>
    </xf>
    <xf numFmtId="1" fontId="6" fillId="0" borderId="0" applyProtection="1" pivotButton="0" quotePrefix="0" xfId="6">
      <protection locked="0" hidden="0"/>
    </xf>
    <xf numFmtId="1" fontId="3" fillId="0" borderId="54" applyAlignment="1" pivotButton="0" quotePrefix="0" xfId="0">
      <alignment horizontal="center" vertical="center" wrapText="1"/>
    </xf>
    <xf numFmtId="1" fontId="3" fillId="0" borderId="194" applyAlignment="1" pivotButton="0" quotePrefix="0" xfId="0">
      <alignment horizontal="center" vertical="center" wrapText="1"/>
    </xf>
    <xf numFmtId="0" fontId="2" fillId="0" borderId="184" pivotButton="0" quotePrefix="0" xfId="0"/>
    <xf numFmtId="1" fontId="3" fillId="0" borderId="73" applyAlignment="1" pivotButton="0" quotePrefix="0" xfId="6">
      <alignment horizontal="center" vertical="center" wrapText="1"/>
    </xf>
    <xf numFmtId="1" fontId="3" fillId="0" borderId="89" applyAlignment="1" pivotButton="0" quotePrefix="0" xfId="6">
      <alignment horizontal="center" vertical="center" wrapText="1"/>
    </xf>
    <xf numFmtId="1" fontId="3" fillId="0" borderId="27" applyAlignment="1" pivotButton="0" quotePrefix="0" xfId="6">
      <alignment horizontal="center" vertical="center" wrapText="1"/>
    </xf>
    <xf numFmtId="1" fontId="3" fillId="0" borderId="96" applyAlignment="1" pivotButton="0" quotePrefix="0" xfId="6">
      <alignment horizontal="center" vertical="center" wrapText="1"/>
    </xf>
    <xf numFmtId="1" fontId="3" fillId="0" borderId="88" applyAlignment="1" pivotButton="0" quotePrefix="0" xfId="6">
      <alignment horizontal="center" vertical="center" wrapText="1"/>
    </xf>
    <xf numFmtId="1" fontId="3" fillId="0" borderId="28" applyAlignment="1" pivotButton="0" quotePrefix="0" xfId="6">
      <alignment horizontal="center" vertical="center" wrapText="1"/>
    </xf>
    <xf numFmtId="1" fontId="3" fillId="0" borderId="26" applyAlignment="1" pivotButton="0" quotePrefix="0" xfId="6">
      <alignment horizontal="center" vertical="center" wrapText="1"/>
    </xf>
    <xf numFmtId="1" fontId="3" fillId="0" borderId="245" applyAlignment="1" pivotButton="0" quotePrefix="0" xfId="6">
      <alignment wrapText="1"/>
    </xf>
    <xf numFmtId="1" fontId="3" fillId="4" borderId="2" applyAlignment="1" applyProtection="1" pivotButton="0" quotePrefix="0" xfId="6">
      <alignment horizontal="right"/>
      <protection locked="0" hidden="0"/>
    </xf>
    <xf numFmtId="1" fontId="3" fillId="0" borderId="0" pivotButton="0" quotePrefix="0" xfId="6"/>
    <xf numFmtId="1" fontId="2" fillId="5" borderId="0" applyAlignment="1" pivotButton="0" quotePrefix="0" xfId="0">
      <alignment horizontal="left"/>
    </xf>
    <xf numFmtId="1" fontId="3" fillId="5" borderId="0" applyAlignment="1" pivotButton="0" quotePrefix="0" xfId="0">
      <alignment horizontal="center" vertical="center" wrapText="1"/>
    </xf>
    <xf numFmtId="1" fontId="2" fillId="5" borderId="0" applyAlignment="1" applyProtection="1" pivotButton="0" quotePrefix="0" xfId="6">
      <alignment wrapText="1"/>
      <protection locked="1" hidden="1"/>
    </xf>
    <xf numFmtId="1" fontId="3" fillId="0" borderId="22" applyAlignment="1" pivotButton="0" quotePrefix="0" xfId="0">
      <alignment horizontal="center" vertical="center" wrapText="1"/>
    </xf>
    <xf numFmtId="1" fontId="3" fillId="0" borderId="5" pivotButton="0" quotePrefix="0" xfId="6"/>
    <xf numFmtId="1" fontId="3" fillId="4" borderId="186" applyProtection="1" pivotButton="0" quotePrefix="0" xfId="6">
      <protection locked="0" hidden="0"/>
    </xf>
    <xf numFmtId="1" fontId="3" fillId="4" borderId="185" applyProtection="1" pivotButton="0" quotePrefix="0" xfId="6">
      <protection locked="0" hidden="0"/>
    </xf>
    <xf numFmtId="1" fontId="3" fillId="4" borderId="187" applyProtection="1" pivotButton="0" quotePrefix="0" xfId="6">
      <protection locked="0" hidden="0"/>
    </xf>
    <xf numFmtId="1" fontId="3" fillId="5" borderId="188" pivotButton="0" quotePrefix="0" xfId="6"/>
    <xf numFmtId="1" fontId="0" fillId="33" borderId="0" pivotButton="0" quotePrefix="0" xfId="0"/>
    <xf numFmtId="0" fontId="0" fillId="33" borderId="0" pivotButton="0" quotePrefix="0" xfId="0"/>
    <xf numFmtId="1" fontId="4" fillId="5" borderId="0" pivotButton="0" quotePrefix="0" xfId="0"/>
    <xf numFmtId="1" fontId="3" fillId="8" borderId="8" applyProtection="1" pivotButton="0" quotePrefix="0" xfId="0">
      <protection locked="0" hidden="0"/>
    </xf>
    <xf numFmtId="1" fontId="3" fillId="8" borderId="228" applyProtection="1" pivotButton="0" quotePrefix="0" xfId="0">
      <protection locked="0" hidden="0"/>
    </xf>
    <xf numFmtId="1" fontId="3" fillId="0" borderId="0" applyAlignment="1" pivotButton="0" quotePrefix="0" xfId="0">
      <alignment horizontal="left" wrapText="1"/>
    </xf>
    <xf numFmtId="1" fontId="3" fillId="4" borderId="229" applyProtection="1" pivotButton="0" quotePrefix="0" xfId="0">
      <protection locked="0" hidden="0"/>
    </xf>
    <xf numFmtId="1" fontId="3" fillId="4" borderId="3" applyProtection="1" pivotButton="0" quotePrefix="0" xfId="0">
      <protection locked="0" hidden="0"/>
    </xf>
    <xf numFmtId="1" fontId="6" fillId="3" borderId="0" applyAlignment="1" pivotButton="0" quotePrefix="0" xfId="0">
      <alignment wrapText="1"/>
    </xf>
    <xf numFmtId="1" fontId="31" fillId="0" borderId="0" applyAlignment="1" pivotButton="0" quotePrefix="0" xfId="0">
      <alignment wrapText="1"/>
    </xf>
    <xf numFmtId="1" fontId="47" fillId="0" borderId="0" applyAlignment="1" pivotButton="0" quotePrefix="0" xfId="0">
      <alignment wrapText="1"/>
    </xf>
    <xf numFmtId="1" fontId="39" fillId="29" borderId="48" pivotButton="0" quotePrefix="0" xfId="2"/>
    <xf numFmtId="1" fontId="47" fillId="0" borderId="0" applyAlignment="1" pivotButton="0" quotePrefix="0" xfId="2">
      <alignment wrapText="1"/>
    </xf>
    <xf numFmtId="1" fontId="22" fillId="29" borderId="0" pivotButton="0" quotePrefix="0" xfId="2"/>
    <xf numFmtId="1" fontId="6" fillId="0" borderId="0" pivotButton="0" quotePrefix="0" xfId="2"/>
    <xf numFmtId="1" fontId="3" fillId="0" borderId="54" applyAlignment="1" pivotButton="0" quotePrefix="0" xfId="2">
      <alignment horizontal="center" vertical="center" wrapText="1"/>
    </xf>
    <xf numFmtId="1" fontId="3" fillId="0" borderId="103" applyAlignment="1" pivotButton="0" quotePrefix="0" xfId="2">
      <alignment horizontal="center" vertical="center" wrapText="1"/>
    </xf>
    <xf numFmtId="1" fontId="3" fillId="0" borderId="194" applyAlignment="1" pivotButton="0" quotePrefix="0" xfId="2">
      <alignment horizontal="center" vertical="center" wrapText="1"/>
    </xf>
    <xf numFmtId="1" fontId="3" fillId="0" borderId="27" applyAlignment="1" pivotButton="0" quotePrefix="0" xfId="2">
      <alignment horizontal="center" vertical="center" wrapText="1"/>
    </xf>
    <xf numFmtId="1" fontId="3" fillId="0" borderId="28" applyAlignment="1" pivotButton="0" quotePrefix="0" xfId="2">
      <alignment horizontal="center" vertical="center" wrapText="1"/>
    </xf>
    <xf numFmtId="1" fontId="3" fillId="0" borderId="30" applyAlignment="1" pivotButton="0" quotePrefix="0" xfId="2">
      <alignment vertical="center"/>
    </xf>
    <xf numFmtId="1" fontId="3" fillId="0" borderId="52" pivotButton="0" quotePrefix="0" xfId="2"/>
    <xf numFmtId="1" fontId="3" fillId="18" borderId="32" applyProtection="1" pivotButton="0" quotePrefix="0" xfId="2">
      <protection locked="0" hidden="0"/>
    </xf>
    <xf numFmtId="1" fontId="3" fillId="30" borderId="61" pivotButton="0" quotePrefix="0" xfId="2"/>
    <xf numFmtId="1" fontId="3" fillId="30" borderId="60" pivotButton="0" quotePrefix="0" xfId="2"/>
    <xf numFmtId="1" fontId="3" fillId="18" borderId="97" applyProtection="1" pivotButton="0" quotePrefix="0" xfId="2">
      <protection locked="0" hidden="0"/>
    </xf>
    <xf numFmtId="1" fontId="3" fillId="18" borderId="90" applyProtection="1" pivotButton="0" quotePrefix="0" xfId="2">
      <protection locked="0" hidden="0"/>
    </xf>
    <xf numFmtId="1" fontId="3" fillId="0" borderId="37" applyAlignment="1" pivotButton="0" quotePrefix="0" xfId="2">
      <alignment vertical="center"/>
    </xf>
    <xf numFmtId="1" fontId="3" fillId="30" borderId="38" pivotButton="0" quotePrefix="0" xfId="2"/>
    <xf numFmtId="1" fontId="3" fillId="18" borderId="65" applyProtection="1" pivotButton="0" quotePrefix="0" xfId="2">
      <protection locked="0" hidden="0"/>
    </xf>
    <xf numFmtId="1" fontId="3" fillId="30" borderId="65" pivotButton="0" quotePrefix="0" xfId="2"/>
    <xf numFmtId="1" fontId="3" fillId="30" borderId="34" pivotButton="0" quotePrefix="0" xfId="2"/>
    <xf numFmtId="1" fontId="3" fillId="18" borderId="35" applyProtection="1" pivotButton="0" quotePrefix="0" xfId="2">
      <protection locked="0" hidden="0"/>
    </xf>
    <xf numFmtId="1" fontId="3" fillId="18" borderId="98" applyProtection="1" pivotButton="0" quotePrefix="0" xfId="2">
      <protection locked="0" hidden="0"/>
    </xf>
    <xf numFmtId="1" fontId="3" fillId="0" borderId="52" applyAlignment="1" pivotButton="0" quotePrefix="0" xfId="2">
      <alignment vertical="center"/>
    </xf>
    <xf numFmtId="1" fontId="3" fillId="18" borderId="167" applyProtection="1" pivotButton="0" quotePrefix="0" xfId="2">
      <protection locked="0" hidden="0"/>
    </xf>
    <xf numFmtId="1" fontId="3" fillId="18" borderId="67" applyProtection="1" pivotButton="0" quotePrefix="0" xfId="2">
      <protection locked="0" hidden="0"/>
    </xf>
    <xf numFmtId="1" fontId="3" fillId="18" borderId="99" applyProtection="1" pivotButton="0" quotePrefix="0" xfId="2">
      <protection locked="0" hidden="0"/>
    </xf>
    <xf numFmtId="1" fontId="3" fillId="0" borderId="122" applyAlignment="1" pivotButton="0" quotePrefix="0" xfId="2">
      <alignment vertical="center" wrapText="1"/>
    </xf>
    <xf numFmtId="1" fontId="3" fillId="0" borderId="123" pivotButton="0" quotePrefix="0" xfId="2"/>
    <xf numFmtId="1" fontId="3" fillId="30" borderId="41" pivotButton="0" quotePrefix="0" xfId="2"/>
    <xf numFmtId="1" fontId="3" fillId="30" borderId="92" pivotButton="0" quotePrefix="0" xfId="2"/>
    <xf numFmtId="1" fontId="3" fillId="18" borderId="92" applyProtection="1" pivotButton="0" quotePrefix="0" xfId="2">
      <protection locked="0" hidden="0"/>
    </xf>
    <xf numFmtId="1" fontId="3" fillId="18" borderId="104" applyProtection="1" pivotButton="0" quotePrefix="0" xfId="2">
      <protection locked="0" hidden="0"/>
    </xf>
    <xf numFmtId="1" fontId="3" fillId="18" borderId="42" applyProtection="1" pivotButton="0" quotePrefix="0" xfId="2">
      <protection locked="0" hidden="0"/>
    </xf>
    <xf numFmtId="1" fontId="3" fillId="18" borderId="91" applyProtection="1" pivotButton="0" quotePrefix="0" xfId="2">
      <protection locked="0" hidden="0"/>
    </xf>
    <xf numFmtId="1" fontId="3" fillId="18" borderId="101" applyProtection="1" pivotButton="0" quotePrefix="0" xfId="2">
      <protection locked="0" hidden="0"/>
    </xf>
    <xf numFmtId="1" fontId="3" fillId="30" borderId="100" pivotButton="0" quotePrefix="0" xfId="2"/>
    <xf numFmtId="1" fontId="3" fillId="30" borderId="46" pivotButton="0" quotePrefix="0" xfId="2"/>
    <xf numFmtId="1" fontId="3" fillId="18" borderId="102" applyProtection="1" pivotButton="0" quotePrefix="0" xfId="2">
      <protection locked="0" hidden="0"/>
    </xf>
    <xf numFmtId="1" fontId="3" fillId="0" borderId="108" pivotButton="0" quotePrefix="0" xfId="2"/>
    <xf numFmtId="1" fontId="3" fillId="30" borderId="35" pivotButton="0" quotePrefix="0" xfId="2"/>
    <xf numFmtId="1" fontId="3" fillId="60" borderId="65" applyProtection="1" pivotButton="0" quotePrefix="0" xfId="2">
      <protection locked="0" hidden="0"/>
    </xf>
    <xf numFmtId="1" fontId="3" fillId="60" borderId="34" applyProtection="1" pivotButton="0" quotePrefix="0" xfId="2">
      <protection locked="0" hidden="0"/>
    </xf>
    <xf numFmtId="1" fontId="3" fillId="0" borderId="95" applyAlignment="1" pivotButton="0" quotePrefix="0" xfId="2">
      <alignment vertical="center" wrapText="1"/>
    </xf>
    <xf numFmtId="1" fontId="3" fillId="0" borderId="124" pivotButton="0" quotePrefix="0" xfId="2"/>
    <xf numFmtId="1" fontId="3" fillId="30" borderId="42" pivotButton="0" quotePrefix="0" xfId="2"/>
    <xf numFmtId="1" fontId="3" fillId="30" borderId="103" pivotButton="0" quotePrefix="0" xfId="2"/>
    <xf numFmtId="1" fontId="3" fillId="61" borderId="103" pivotButton="0" quotePrefix="0" xfId="2"/>
    <xf numFmtId="1" fontId="3" fillId="18" borderId="103" applyProtection="1" pivotButton="0" quotePrefix="0" xfId="2">
      <protection locked="0" hidden="0"/>
    </xf>
    <xf numFmtId="1" fontId="39" fillId="0" borderId="0" pivotButton="0" quotePrefix="0" xfId="0"/>
    <xf numFmtId="1" fontId="4" fillId="3" borderId="0" applyAlignment="1" pivotButton="0" quotePrefix="0" xfId="0">
      <alignment vertical="center" wrapText="1"/>
    </xf>
    <xf numFmtId="1" fontId="8" fillId="10" borderId="0" pivotButton="0" quotePrefix="0" xfId="0"/>
    <xf numFmtId="1" fontId="3" fillId="0" borderId="0" applyAlignment="1" pivotButton="0" quotePrefix="0" xfId="0">
      <alignment horizontal="left" vertical="center"/>
    </xf>
    <xf numFmtId="1" fontId="6" fillId="3" borderId="0" applyAlignment="1" pivotButton="0" quotePrefix="0" xfId="0">
      <alignment horizontal="left" wrapText="1"/>
    </xf>
    <xf numFmtId="1" fontId="2" fillId="3" borderId="0" applyAlignment="1" pivotButton="0" quotePrefix="0" xfId="0">
      <alignment horizontal="center" vertical="center" wrapText="1"/>
    </xf>
    <xf numFmtId="1" fontId="3" fillId="3" borderId="5" applyAlignment="1" pivotButton="0" quotePrefix="0" xfId="0">
      <alignment horizontal="right" wrapText="1"/>
    </xf>
    <xf numFmtId="1" fontId="6" fillId="0" borderId="0" applyAlignment="1" pivotButton="0" quotePrefix="0" xfId="0">
      <alignment horizontal="right" vertical="center" wrapText="1"/>
    </xf>
    <xf numFmtId="1" fontId="31" fillId="35" borderId="0" pivotButton="0" quotePrefix="0" xfId="33"/>
    <xf numFmtId="1" fontId="1" fillId="3" borderId="0" applyAlignment="1" pivotButton="0" quotePrefix="0" xfId="0">
      <alignment horizontal="left"/>
    </xf>
    <xf numFmtId="1" fontId="3" fillId="3" borderId="0" applyProtection="1" pivotButton="0" quotePrefix="0" xfId="0">
      <protection locked="1" hidden="1"/>
    </xf>
    <xf numFmtId="1" fontId="1" fillId="3" borderId="0" applyAlignment="1" pivotButton="0" quotePrefix="0" xfId="0">
      <alignment horizontal="left" vertical="center"/>
    </xf>
    <xf numFmtId="1" fontId="3" fillId="0" borderId="0" applyAlignment="1" pivotButton="0" quotePrefix="0" xfId="0">
      <alignment horizontal="right" vertical="center"/>
    </xf>
    <xf numFmtId="1" fontId="3" fillId="36" borderId="227" applyProtection="1" pivotButton="0" quotePrefix="0" xfId="0">
      <protection locked="0" hidden="0"/>
    </xf>
    <xf numFmtId="1" fontId="7" fillId="3" borderId="0" applyAlignment="1" pivotButton="0" quotePrefix="0" xfId="0">
      <alignment vertical="center"/>
    </xf>
    <xf numFmtId="1" fontId="3" fillId="6" borderId="227" pivotButton="0" quotePrefix="0" xfId="0"/>
    <xf numFmtId="0" fontId="3" fillId="0" borderId="231" applyAlignment="1" pivotButton="0" quotePrefix="0" xfId="0">
      <alignment horizontal="center" vertical="center" wrapText="1"/>
    </xf>
    <xf numFmtId="1" fontId="3" fillId="8" borderId="226" applyProtection="1" pivotButton="0" quotePrefix="0" xfId="0">
      <protection locked="0" hidden="0"/>
    </xf>
    <xf numFmtId="0" fontId="2" fillId="0" borderId="0" applyAlignment="1" pivotButton="0" quotePrefix="0" xfId="20">
      <alignment vertical="center" wrapText="1"/>
    </xf>
    <xf numFmtId="1" fontId="3" fillId="0" borderId="27" applyAlignment="1" pivotButton="0" quotePrefix="0" xfId="0">
      <alignment horizontal="center" vertical="center" wrapText="1"/>
    </xf>
    <xf numFmtId="1" fontId="3" fillId="17" borderId="35" pivotButton="0" quotePrefix="0" xfId="0"/>
    <xf numFmtId="1" fontId="3" fillId="17" borderId="97" pivotButton="0" quotePrefix="0" xfId="0"/>
    <xf numFmtId="1" fontId="3" fillId="17" borderId="31" pivotButton="0" quotePrefix="0" xfId="0"/>
    <xf numFmtId="1" fontId="3" fillId="18" borderId="31" applyProtection="1" pivotButton="0" quotePrefix="0" xfId="0">
      <protection locked="0" hidden="0"/>
    </xf>
    <xf numFmtId="1" fontId="3" fillId="18" borderId="33" applyProtection="1" pivotButton="0" quotePrefix="0" xfId="0">
      <protection locked="0" hidden="0"/>
    </xf>
    <xf numFmtId="1" fontId="3" fillId="18" borderId="34" applyProtection="1" pivotButton="0" quotePrefix="0" xfId="0">
      <protection locked="0" hidden="0"/>
    </xf>
    <xf numFmtId="1" fontId="3" fillId="18" borderId="35" applyProtection="1" pivotButton="0" quotePrefix="0" xfId="0">
      <protection locked="0" hidden="0"/>
    </xf>
    <xf numFmtId="1" fontId="3" fillId="17" borderId="146" pivotButton="0" quotePrefix="0" xfId="0"/>
    <xf numFmtId="1" fontId="3" fillId="17" borderId="109" pivotButton="0" quotePrefix="0" xfId="0"/>
    <xf numFmtId="1" fontId="3" fillId="17" borderId="191" pivotButton="0" quotePrefix="0" xfId="0"/>
    <xf numFmtId="1" fontId="3" fillId="18" borderId="71" applyProtection="1" pivotButton="0" quotePrefix="0" xfId="0">
      <protection locked="0" hidden="0"/>
    </xf>
    <xf numFmtId="1" fontId="3" fillId="18" borderId="191" applyProtection="1" pivotButton="0" quotePrefix="0" xfId="0">
      <protection locked="0" hidden="0"/>
    </xf>
    <xf numFmtId="1" fontId="3" fillId="18" borderId="213" applyProtection="1" pivotButton="0" quotePrefix="0" xfId="0">
      <protection locked="0" hidden="0"/>
    </xf>
    <xf numFmtId="1" fontId="3" fillId="18" borderId="214" applyProtection="1" pivotButton="0" quotePrefix="0" xfId="0">
      <protection locked="0" hidden="0"/>
    </xf>
    <xf numFmtId="1" fontId="3" fillId="18" borderId="109" applyProtection="1" pivotButton="0" quotePrefix="0" xfId="0">
      <protection locked="0" hidden="0"/>
    </xf>
    <xf numFmtId="1" fontId="3" fillId="17" borderId="101" pivotButton="0" quotePrefix="0" xfId="0"/>
    <xf numFmtId="1" fontId="3" fillId="17" borderId="43" pivotButton="0" quotePrefix="0" xfId="0"/>
    <xf numFmtId="1" fontId="3" fillId="18" borderId="45" applyProtection="1" pivotButton="0" quotePrefix="0" xfId="0">
      <protection locked="0" hidden="0"/>
    </xf>
    <xf numFmtId="1" fontId="3" fillId="18" borderId="101" applyProtection="1" pivotButton="0" quotePrefix="0" xfId="0">
      <protection locked="0" hidden="0"/>
    </xf>
    <xf numFmtId="1" fontId="3" fillId="18" borderId="38" applyProtection="1" pivotButton="0" quotePrefix="0" xfId="0">
      <protection locked="0" hidden="0"/>
    </xf>
    <xf numFmtId="0" fontId="3" fillId="0" borderId="189" applyAlignment="1" pivotButton="0" quotePrefix="0" xfId="0">
      <alignment wrapText="1"/>
    </xf>
    <xf numFmtId="1" fontId="3" fillId="17" borderId="38" pivotButton="0" quotePrefix="0" xfId="0"/>
    <xf numFmtId="0" fontId="3" fillId="18" borderId="130" applyProtection="1" pivotButton="0" quotePrefix="0" xfId="0">
      <protection locked="0" hidden="0"/>
    </xf>
    <xf numFmtId="0" fontId="3" fillId="18" borderId="62" applyProtection="1" pivotButton="0" quotePrefix="0" xfId="0">
      <protection locked="0" hidden="0"/>
    </xf>
    <xf numFmtId="0" fontId="3" fillId="0" borderId="190" applyAlignment="1" pivotButton="0" quotePrefix="0" xfId="0">
      <alignment wrapText="1"/>
    </xf>
    <xf numFmtId="0" fontId="3" fillId="18" borderId="64" applyProtection="1" pivotButton="0" quotePrefix="0" xfId="0">
      <protection locked="0" hidden="0"/>
    </xf>
    <xf numFmtId="0" fontId="3" fillId="0" borderId="62" applyAlignment="1" pivotButton="0" quotePrefix="0" xfId="0">
      <alignment wrapText="1"/>
    </xf>
    <xf numFmtId="1" fontId="3" fillId="17" borderId="41" pivotButton="0" quotePrefix="0" xfId="0"/>
    <xf numFmtId="1" fontId="3" fillId="17" borderId="42" pivotButton="0" quotePrefix="0" xfId="0"/>
    <xf numFmtId="1" fontId="3" fillId="17" borderId="40" pivotButton="0" quotePrefix="0" xfId="0"/>
    <xf numFmtId="1" fontId="3" fillId="18" borderId="40" applyProtection="1" pivotButton="0" quotePrefix="0" xfId="0">
      <protection locked="0" hidden="0"/>
    </xf>
    <xf numFmtId="1" fontId="3" fillId="18" borderId="42" applyProtection="1" pivotButton="0" quotePrefix="0" xfId="0">
      <protection locked="0" hidden="0"/>
    </xf>
    <xf numFmtId="0" fontId="3" fillId="18" borderId="215" applyProtection="1" pivotButton="0" quotePrefix="0" xfId="0">
      <protection locked="0" hidden="0"/>
    </xf>
    <xf numFmtId="0" fontId="3" fillId="18" borderId="40" applyProtection="1" pivotButton="0" quotePrefix="0" xfId="0">
      <protection locked="0" hidden="0"/>
    </xf>
    <xf numFmtId="0" fontId="3" fillId="18" borderId="177" applyProtection="1" pivotButton="0" quotePrefix="0" xfId="0">
      <protection locked="0" hidden="0"/>
    </xf>
    <xf numFmtId="1" fontId="3" fillId="17" borderId="44" pivotButton="0" quotePrefix="0" xfId="0"/>
    <xf numFmtId="1" fontId="3" fillId="27" borderId="128" pivotButton="0" quotePrefix="0" xfId="0"/>
    <xf numFmtId="1" fontId="3" fillId="27" borderId="192" pivotButton="0" quotePrefix="0" xfId="0"/>
    <xf numFmtId="0" fontId="3" fillId="18" borderId="128" applyProtection="1" pivotButton="0" quotePrefix="0" xfId="0">
      <protection locked="0" hidden="0"/>
    </xf>
    <xf numFmtId="0" fontId="3" fillId="18" borderId="192" applyProtection="1" pivotButton="0" quotePrefix="0" xfId="0">
      <protection locked="0" hidden="0"/>
    </xf>
    <xf numFmtId="1" fontId="3" fillId="17" borderId="71" pivotButton="0" quotePrefix="0" xfId="0"/>
    <xf numFmtId="1" fontId="3" fillId="27" borderId="127" pivotButton="0" quotePrefix="0" xfId="0"/>
    <xf numFmtId="1" fontId="3" fillId="27" borderId="131" pivotButton="0" quotePrefix="0" xfId="0"/>
    <xf numFmtId="0" fontId="3" fillId="18" borderId="127" applyProtection="1" pivotButton="0" quotePrefix="0" xfId="0">
      <protection locked="0" hidden="0"/>
    </xf>
    <xf numFmtId="0" fontId="3" fillId="18" borderId="131" applyProtection="1" pivotButton="0" quotePrefix="0" xfId="0">
      <protection locked="0" hidden="0"/>
    </xf>
    <xf numFmtId="0" fontId="3" fillId="0" borderId="190" pivotButton="0" quotePrefix="0" xfId="0"/>
    <xf numFmtId="1" fontId="3" fillId="27" borderId="101" pivotButton="0" quotePrefix="0" xfId="0"/>
    <xf numFmtId="1" fontId="3" fillId="27" borderId="35" pivotButton="0" quotePrefix="0" xfId="0"/>
    <xf numFmtId="1" fontId="3" fillId="27" borderId="130" pivotButton="0" quotePrefix="0" xfId="0"/>
    <xf numFmtId="1" fontId="3" fillId="27" borderId="64" pivotButton="0" quotePrefix="0" xfId="0"/>
    <xf numFmtId="0" fontId="3" fillId="18" borderId="217" applyProtection="1" pivotButton="0" quotePrefix="0" xfId="0">
      <protection locked="0" hidden="0"/>
    </xf>
    <xf numFmtId="0" fontId="3" fillId="18" borderId="216" applyProtection="1" pivotButton="0" quotePrefix="0" xfId="0">
      <protection locked="0" hidden="0"/>
    </xf>
    <xf numFmtId="0" fontId="3" fillId="0" borderId="69" applyAlignment="1" pivotButton="0" quotePrefix="0" xfId="0">
      <alignment wrapText="1"/>
    </xf>
    <xf numFmtId="1" fontId="3" fillId="17" borderId="54" pivotButton="0" quotePrefix="0" xfId="0"/>
    <xf numFmtId="1" fontId="3" fillId="17" borderId="162" pivotButton="0" quotePrefix="0" xfId="0"/>
    <xf numFmtId="1" fontId="3" fillId="17" borderId="91" pivotButton="0" quotePrefix="0" xfId="0"/>
    <xf numFmtId="1" fontId="3" fillId="27" borderId="215" pivotButton="0" quotePrefix="0" xfId="0"/>
    <xf numFmtId="1" fontId="3" fillId="27" borderId="177" pivotButton="0" quotePrefix="0" xfId="0"/>
    <xf numFmtId="0" fontId="3" fillId="29" borderId="0" pivotButton="0" quotePrefix="0" xfId="0"/>
    <xf numFmtId="0" fontId="3" fillId="53" borderId="55" applyAlignment="1" pivotButton="0" quotePrefix="0" xfId="0">
      <alignment horizontal="center" vertical="center" wrapText="1"/>
    </xf>
    <xf numFmtId="0" fontId="3" fillId="0" borderId="220" applyAlignment="1" pivotButton="0" quotePrefix="0" xfId="0">
      <alignment horizontal="center" vertical="center" wrapText="1"/>
    </xf>
    <xf numFmtId="0" fontId="3" fillId="44" borderId="193" applyProtection="1" pivotButton="0" quotePrefix="0" xfId="0">
      <protection locked="0" hidden="0"/>
    </xf>
    <xf numFmtId="0" fontId="3" fillId="44" borderId="219" applyProtection="1" pivotButton="0" quotePrefix="0" xfId="0">
      <protection locked="0" hidden="0"/>
    </xf>
    <xf numFmtId="0" fontId="3" fillId="44" borderId="218" applyProtection="1" pivotButton="0" quotePrefix="0" xfId="0">
      <protection locked="0" hidden="0"/>
    </xf>
    <xf numFmtId="0" fontId="3" fillId="44" borderId="22" applyProtection="1" pivotButton="0" quotePrefix="0" xfId="0">
      <protection locked="0" hidden="0"/>
    </xf>
    <xf numFmtId="0" fontId="3" fillId="44" borderId="36" applyProtection="1" pivotButton="0" quotePrefix="0" xfId="0">
      <protection locked="0" hidden="0"/>
    </xf>
    <xf numFmtId="0" fontId="3" fillId="44" borderId="157" applyProtection="1" pivotButton="0" quotePrefix="0" xfId="0">
      <protection locked="0" hidden="0"/>
    </xf>
    <xf numFmtId="0" fontId="3" fillId="44" borderId="221" applyProtection="1" pivotButton="0" quotePrefix="0" xfId="0">
      <protection locked="0" hidden="0"/>
    </xf>
    <xf numFmtId="0" fontId="3" fillId="0" borderId="23" pivotButton="0" quotePrefix="0" xfId="0"/>
    <xf numFmtId="0" fontId="3" fillId="45" borderId="26" pivotButton="0" quotePrefix="0" xfId="0"/>
    <xf numFmtId="0" fontId="3" fillId="45" borderId="89" pivotButton="0" quotePrefix="0" xfId="0"/>
    <xf numFmtId="0" fontId="3" fillId="45" borderId="28" pivotButton="0" quotePrefix="0" xfId="0"/>
    <xf numFmtId="0" fontId="3" fillId="45" borderId="222" pivotButton="0" quotePrefix="0" xfId="0"/>
    <xf numFmtId="0" fontId="2" fillId="5" borderId="0" pivotButton="0" quotePrefix="0" xfId="0"/>
    <xf numFmtId="0" fontId="55" fillId="5" borderId="0" pivotButton="0" quotePrefix="0" xfId="0"/>
    <xf numFmtId="0" fontId="6" fillId="5" borderId="0" pivotButton="0" quotePrefix="0" xfId="0"/>
    <xf numFmtId="0" fontId="7" fillId="5" borderId="0" pivotButton="0" quotePrefix="0" xfId="0"/>
    <xf numFmtId="0" fontId="3" fillId="44" borderId="230" applyProtection="1" pivotButton="0" quotePrefix="0" xfId="0">
      <protection locked="0" hidden="0"/>
    </xf>
    <xf numFmtId="0" fontId="8" fillId="5" borderId="0" pivotButton="0" quotePrefix="0" xfId="0"/>
    <xf numFmtId="1" fontId="3" fillId="5" borderId="0" applyAlignment="1" pivotButton="0" quotePrefix="0" xfId="0">
      <alignment horizontal="center"/>
    </xf>
    <xf numFmtId="1" fontId="3" fillId="5" borderId="0" applyAlignment="1" pivotButton="0" quotePrefix="0" xfId="0">
      <alignment vertical="center" wrapText="1"/>
    </xf>
    <xf numFmtId="1" fontId="3" fillId="5" borderId="0" applyAlignment="1" pivotButton="0" quotePrefix="0" xfId="0">
      <alignment horizontal="center" vertical="center"/>
    </xf>
    <xf numFmtId="0" fontId="3" fillId="5" borderId="0" applyAlignment="1" pivotButton="0" quotePrefix="0" xfId="0">
      <alignment wrapText="1"/>
    </xf>
    <xf numFmtId="0" fontId="22" fillId="5" borderId="0" pivotButton="0" quotePrefix="0" xfId="0"/>
    <xf numFmtId="0" fontId="3" fillId="0" borderId="0" applyAlignment="1" pivotButton="0" quotePrefix="0" xfId="0">
      <alignment horizontal="center" vertical="center"/>
    </xf>
    <xf numFmtId="0" fontId="46" fillId="5" borderId="0" pivotButton="0" quotePrefix="0" xfId="0"/>
    <xf numFmtId="0" fontId="3" fillId="44" borderId="153" applyProtection="1" pivotButton="0" quotePrefix="0" xfId="0">
      <protection locked="0" hidden="0"/>
    </xf>
    <xf numFmtId="0" fontId="3" fillId="44" borderId="228" applyProtection="1" pivotButton="0" quotePrefix="0" xfId="0">
      <protection locked="0" hidden="0"/>
    </xf>
    <xf numFmtId="1" fontId="3" fillId="4" borderId="226" applyAlignment="1" applyProtection="1" pivotButton="0" quotePrefix="0" xfId="6">
      <alignment horizontal="right"/>
      <protection locked="0" hidden="0"/>
    </xf>
    <xf numFmtId="1" fontId="3" fillId="4" borderId="230" applyAlignment="1" applyProtection="1" pivotButton="0" quotePrefix="0" xfId="6">
      <alignment horizontal="right"/>
      <protection locked="0" hidden="0"/>
    </xf>
    <xf numFmtId="1" fontId="3" fillId="6" borderId="8" pivotButton="0" quotePrefix="0" xfId="0"/>
    <xf numFmtId="0" fontId="56" fillId="0" borderId="0" pivotButton="0" quotePrefix="0" xfId="0"/>
    <xf numFmtId="1" fontId="3" fillId="6" borderId="277" pivotButton="0" quotePrefix="0" xfId="0"/>
    <xf numFmtId="1" fontId="3" fillId="6" borderId="278" pivotButton="0" quotePrefix="0" xfId="0"/>
    <xf numFmtId="0" fontId="3" fillId="44" borderId="101" applyProtection="1" pivotButton="0" quotePrefix="0" xfId="0">
      <protection locked="0" hidden="0"/>
    </xf>
    <xf numFmtId="0" fontId="3" fillId="44" borderId="129" applyProtection="1" pivotButton="0" quotePrefix="0" xfId="0">
      <protection locked="0" hidden="0"/>
    </xf>
    <xf numFmtId="0" fontId="3" fillId="44" borderId="35" applyProtection="1" pivotButton="0" quotePrefix="0" xfId="0">
      <protection locked="0" hidden="0"/>
    </xf>
    <xf numFmtId="0" fontId="3" fillId="44" borderId="68" applyProtection="1" pivotButton="0" quotePrefix="0" xfId="0">
      <protection locked="0" hidden="0"/>
    </xf>
    <xf numFmtId="0" fontId="3" fillId="44" borderId="109" applyProtection="1" pivotButton="0" quotePrefix="0" xfId="0">
      <protection locked="0" hidden="0"/>
    </xf>
    <xf numFmtId="0" fontId="3" fillId="44" borderId="265" applyProtection="1" pivotButton="0" quotePrefix="0" xfId="0">
      <protection locked="0" hidden="0"/>
    </xf>
    <xf numFmtId="0" fontId="3" fillId="44" borderId="227" applyProtection="1" pivotButton="0" quotePrefix="0" xfId="0">
      <protection locked="0" hidden="0"/>
    </xf>
    <xf numFmtId="1" fontId="3" fillId="5" borderId="0" applyAlignment="1" applyProtection="1" pivotButton="0" quotePrefix="0" xfId="6">
      <alignment horizontal="left"/>
      <protection locked="0" hidden="0"/>
    </xf>
    <xf numFmtId="1" fontId="3" fillId="9" borderId="230" applyProtection="1" pivotButton="0" quotePrefix="0" xfId="24">
      <protection locked="0" hidden="0"/>
    </xf>
    <xf numFmtId="1" fontId="3" fillId="6" borderId="5" applyAlignment="1" pivotButton="0" quotePrefix="0" xfId="0">
      <alignment vertical="center"/>
    </xf>
    <xf numFmtId="1" fontId="3" fillId="0" borderId="281" applyAlignment="1" pivotButton="0" quotePrefix="0" xfId="0">
      <alignment horizontal="left" vertical="center" wrapText="1"/>
    </xf>
    <xf numFmtId="1" fontId="3" fillId="0" borderId="282" applyAlignment="1" pivotButton="0" quotePrefix="0" xfId="0">
      <alignment horizontal="right" wrapText="1"/>
    </xf>
    <xf numFmtId="1" fontId="3" fillId="0" borderId="281" pivotButton="0" quotePrefix="0" xfId="0"/>
    <xf numFmtId="1" fontId="3" fillId="4" borderId="282" applyAlignment="1" applyProtection="1" pivotButton="0" quotePrefix="0" xfId="0">
      <alignment horizontal="right"/>
      <protection locked="0" hidden="0"/>
    </xf>
    <xf numFmtId="1" fontId="3" fillId="0" borderId="282" applyAlignment="1" pivotButton="0" quotePrefix="0" xfId="0">
      <alignment horizontal="center" vertical="center" wrapText="1"/>
    </xf>
    <xf numFmtId="1" fontId="3" fillId="0" borderId="282" applyAlignment="1" pivotButton="0" quotePrefix="0" xfId="0">
      <alignment horizontal="right"/>
    </xf>
    <xf numFmtId="1" fontId="3" fillId="0" borderId="281" applyAlignment="1" pivotButton="0" quotePrefix="0" xfId="0">
      <alignment horizontal="left" vertical="center"/>
    </xf>
    <xf numFmtId="0" fontId="0" fillId="0" borderId="283" pivotButton="0" quotePrefix="0" xfId="0"/>
    <xf numFmtId="1" fontId="6" fillId="0" borderId="281" pivotButton="0" quotePrefix="0" xfId="0"/>
    <xf numFmtId="1" fontId="6" fillId="0" borderId="283" pivotButton="0" quotePrefix="0" xfId="0"/>
    <xf numFmtId="1" fontId="3" fillId="4" borderId="282" applyProtection="1" pivotButton="0" quotePrefix="0" xfId="0">
      <protection locked="0" hidden="0"/>
    </xf>
    <xf numFmtId="1" fontId="2" fillId="0" borderId="280" pivotButton="0" quotePrefix="0" xfId="0"/>
    <xf numFmtId="1" fontId="2" fillId="3" borderId="280" pivotButton="0" quotePrefix="0" xfId="0"/>
    <xf numFmtId="1" fontId="3" fillId="4" borderId="283" applyProtection="1" pivotButton="0" quotePrefix="0" xfId="0">
      <protection locked="0" hidden="0"/>
    </xf>
    <xf numFmtId="1" fontId="3" fillId="0" borderId="282" applyAlignment="1" pivotButton="0" quotePrefix="0" xfId="0">
      <alignment wrapText="1"/>
    </xf>
    <xf numFmtId="1" fontId="3" fillId="6" borderId="282" pivotButton="0" quotePrefix="0" xfId="0"/>
    <xf numFmtId="1" fontId="3" fillId="7" borderId="283" pivotButton="0" quotePrefix="0" xfId="0"/>
    <xf numFmtId="1" fontId="3" fillId="7" borderId="282" pivotButton="0" quotePrefix="0" xfId="0"/>
    <xf numFmtId="1" fontId="3" fillId="5" borderId="281" applyAlignment="1" pivotButton="0" quotePrefix="0" xfId="0">
      <alignment vertical="center" wrapText="1"/>
    </xf>
    <xf numFmtId="1" fontId="3" fillId="3" borderId="282" applyAlignment="1" pivotButton="0" quotePrefix="0" xfId="0">
      <alignment vertical="center" wrapText="1"/>
    </xf>
    <xf numFmtId="1" fontId="3" fillId="4" borderId="289" applyProtection="1" pivotButton="0" quotePrefix="0" xfId="0">
      <protection locked="0" hidden="0"/>
    </xf>
    <xf numFmtId="1" fontId="3" fillId="5" borderId="281" applyAlignment="1" pivotButton="0" quotePrefix="0" xfId="0">
      <alignment horizontal="left" vertical="center" wrapText="1"/>
    </xf>
    <xf numFmtId="1" fontId="2" fillId="5" borderId="280" pivotButton="0" quotePrefix="0" xfId="0"/>
    <xf numFmtId="1" fontId="3" fillId="5" borderId="246" applyAlignment="1" pivotButton="0" quotePrefix="0" xfId="0">
      <alignment horizontal="center" vertical="center" wrapText="1"/>
    </xf>
    <xf numFmtId="1" fontId="3" fillId="5" borderId="246" pivotButton="0" quotePrefix="0" xfId="0"/>
    <xf numFmtId="1" fontId="3" fillId="18" borderId="290" applyProtection="1" pivotButton="0" quotePrefix="0" xfId="0">
      <protection locked="0" hidden="0"/>
    </xf>
    <xf numFmtId="1" fontId="3" fillId="18" borderId="291" applyProtection="1" pivotButton="0" quotePrefix="0" xfId="0">
      <protection locked="0" hidden="0"/>
    </xf>
    <xf numFmtId="1" fontId="6" fillId="0" borderId="279" pivotButton="0" quotePrefix="0" xfId="0"/>
    <xf numFmtId="1" fontId="3" fillId="0" borderId="282" applyAlignment="1" pivotButton="0" quotePrefix="0" xfId="0">
      <alignment horizontal="right" vertical="center" wrapText="1"/>
    </xf>
    <xf numFmtId="1" fontId="3" fillId="8" borderId="282" applyProtection="1" pivotButton="0" quotePrefix="0" xfId="0">
      <protection locked="0" hidden="0"/>
    </xf>
    <xf numFmtId="1" fontId="3" fillId="6" borderId="282" applyAlignment="1" pivotButton="0" quotePrefix="0" xfId="0">
      <alignment wrapText="1"/>
    </xf>
    <xf numFmtId="1" fontId="3" fillId="4" borderId="289" applyAlignment="1" applyProtection="1" pivotButton="0" quotePrefix="0" xfId="0">
      <alignment horizontal="right"/>
      <protection locked="0" hidden="0"/>
    </xf>
    <xf numFmtId="1" fontId="3" fillId="4" borderId="282" applyAlignment="1" applyProtection="1" pivotButton="0" quotePrefix="0" xfId="6">
      <alignment horizontal="right"/>
      <protection locked="0" hidden="0"/>
    </xf>
    <xf numFmtId="1" fontId="3" fillId="7" borderId="282" applyAlignment="1" pivotButton="0" quotePrefix="0" xfId="0">
      <alignment horizontal="right"/>
    </xf>
    <xf numFmtId="1" fontId="3" fillId="4" borderId="282" applyProtection="1" pivotButton="0" quotePrefix="0" xfId="14">
      <protection locked="0" hidden="0"/>
    </xf>
    <xf numFmtId="1" fontId="3" fillId="4" borderId="281" applyProtection="1" pivotButton="0" quotePrefix="0" xfId="0">
      <protection locked="0" hidden="0"/>
    </xf>
    <xf numFmtId="1" fontId="3" fillId="0" borderId="281" applyAlignment="1" pivotButton="0" quotePrefix="0" xfId="0">
      <alignment vertical="center" wrapText="1"/>
    </xf>
    <xf numFmtId="1" fontId="3" fillId="0" borderId="281" applyAlignment="1" pivotButton="0" quotePrefix="0" xfId="0">
      <alignment wrapText="1"/>
    </xf>
    <xf numFmtId="1" fontId="3" fillId="4" borderId="282" applyAlignment="1" applyProtection="1" pivotButton="0" quotePrefix="0" xfId="0">
      <alignment horizontal="right" vertical="center"/>
      <protection locked="0" hidden="0"/>
    </xf>
    <xf numFmtId="1" fontId="3" fillId="0" borderId="283" applyAlignment="1" pivotButton="0" quotePrefix="0" xfId="0">
      <alignment vertical="center"/>
    </xf>
    <xf numFmtId="0" fontId="3" fillId="0" borderId="283" pivotButton="0" quotePrefix="0" xfId="0"/>
    <xf numFmtId="1" fontId="3" fillId="5" borderId="283" applyAlignment="1" pivotButton="0" quotePrefix="0" xfId="0">
      <alignment vertical="center"/>
    </xf>
    <xf numFmtId="1" fontId="3" fillId="0" borderId="292" applyAlignment="1" pivotButton="0" quotePrefix="0" xfId="2">
      <alignment vertical="center"/>
    </xf>
    <xf numFmtId="1" fontId="3" fillId="0" borderId="293" pivotButton="0" quotePrefix="0" xfId="2"/>
    <xf numFmtId="1" fontId="3" fillId="5" borderId="282" applyAlignment="1" pivotButton="0" quotePrefix="0" xfId="0">
      <alignment horizontal="right"/>
    </xf>
    <xf numFmtId="1" fontId="3" fillId="0" borderId="281" applyAlignment="1" pivotButton="0" quotePrefix="0" xfId="0">
      <alignment horizontal="left" wrapText="1"/>
    </xf>
    <xf numFmtId="1" fontId="3" fillId="3" borderId="282" applyAlignment="1" pivotButton="0" quotePrefix="0" xfId="0">
      <alignment horizontal="right" wrapText="1"/>
    </xf>
    <xf numFmtId="1" fontId="3" fillId="5" borderId="281" pivotButton="0" quotePrefix="0" xfId="0"/>
    <xf numFmtId="1" fontId="3" fillId="9" borderId="282" applyProtection="1" pivotButton="0" quotePrefix="0" xfId="24">
      <protection locked="0" hidden="0"/>
    </xf>
    <xf numFmtId="1" fontId="3" fillId="0" borderId="283" pivotButton="0" quotePrefix="0" xfId="0"/>
    <xf numFmtId="1" fontId="3" fillId="44" borderId="282" applyProtection="1" pivotButton="0" quotePrefix="0" xfId="0">
      <protection locked="0" hidden="0"/>
    </xf>
    <xf numFmtId="1" fontId="3" fillId="47" borderId="282" applyProtection="1" pivotButton="0" quotePrefix="0" xfId="0">
      <protection locked="0" hidden="0"/>
    </xf>
    <xf numFmtId="1" fontId="3" fillId="36" borderId="282" applyProtection="1" pivotButton="0" quotePrefix="0" xfId="0">
      <protection locked="0" hidden="0"/>
    </xf>
    <xf numFmtId="1" fontId="8" fillId="3" borderId="283" pivotButton="0" quotePrefix="0" xfId="0"/>
    <xf numFmtId="0" fontId="3" fillId="0" borderId="282" applyAlignment="1" pivotButton="0" quotePrefix="0" xfId="0">
      <alignment horizontal="right" vertical="center" wrapText="1"/>
    </xf>
    <xf numFmtId="0" fontId="3" fillId="0" borderId="281" pivotButton="0" quotePrefix="0" xfId="0"/>
    <xf numFmtId="0" fontId="3" fillId="18" borderId="294" applyProtection="1" pivotButton="0" quotePrefix="0" xfId="0">
      <protection locked="0" hidden="0"/>
    </xf>
    <xf numFmtId="0" fontId="3" fillId="18" borderId="287" applyProtection="1" pivotButton="0" quotePrefix="0" xfId="0">
      <protection locked="0" hidden="0"/>
    </xf>
    <xf numFmtId="0" fontId="3" fillId="18" borderId="282" applyProtection="1" pivotButton="0" quotePrefix="0" xfId="0">
      <protection locked="0" hidden="0"/>
    </xf>
    <xf numFmtId="0" fontId="3" fillId="53" borderId="281" applyAlignment="1" pivotButton="0" quotePrefix="0" xfId="0">
      <alignment horizontal="center" vertical="center" wrapText="1"/>
    </xf>
    <xf numFmtId="1" fontId="3" fillId="3" borderId="282" applyAlignment="1" pivotButton="0" quotePrefix="0" xfId="0">
      <alignment horizontal="right" vertical="center" wrapText="1"/>
    </xf>
    <xf numFmtId="0" fontId="3" fillId="0" borderId="281" applyAlignment="1" pivotButton="0" quotePrefix="0" xfId="0">
      <alignment horizontal="center" vertical="center" wrapText="1"/>
    </xf>
    <xf numFmtId="0" fontId="28" fillId="38" borderId="283" applyAlignment="1" applyProtection="1" pivotButton="0" quotePrefix="0" xfId="0">
      <alignment vertical="center"/>
      <protection locked="1" hidden="1"/>
    </xf>
    <xf numFmtId="1" fontId="3" fillId="0" borderId="247" applyAlignment="1" pivotButton="0" quotePrefix="0" xfId="0">
      <alignment horizontal="center" vertical="center"/>
    </xf>
    <xf numFmtId="1" fontId="3" fillId="3" borderId="281" applyAlignment="1" pivotButton="0" quotePrefix="0" xfId="0">
      <alignment horizontal="right" wrapText="1"/>
    </xf>
    <xf numFmtId="1" fontId="6" fillId="0" borderId="297" pivotButton="0" quotePrefix="0" xfId="0"/>
    <xf numFmtId="0" fontId="3" fillId="0" borderId="281" applyAlignment="1" pivotButton="0" quotePrefix="0" xfId="0">
      <alignment vertical="center"/>
    </xf>
    <xf numFmtId="1" fontId="3" fillId="4" borderId="281" applyAlignment="1" applyProtection="1" pivotButton="0" quotePrefix="0" xfId="0">
      <alignment horizontal="right"/>
      <protection locked="0" hidden="0"/>
    </xf>
    <xf numFmtId="1" fontId="3" fillId="0" borderId="281" applyAlignment="1" pivotButton="0" quotePrefix="0" xfId="0">
      <alignment horizontal="right"/>
    </xf>
    <xf numFmtId="1" fontId="3" fillId="4" borderId="281" applyAlignment="1" applyProtection="1" pivotButton="0" quotePrefix="0" xfId="6">
      <alignment horizontal="right"/>
      <protection locked="0" hidden="0"/>
    </xf>
    <xf numFmtId="1" fontId="3" fillId="0" borderId="281" applyAlignment="1" pivotButton="0" quotePrefix="0" xfId="6">
      <alignment horizontal="right"/>
    </xf>
    <xf numFmtId="1" fontId="3" fillId="6" borderId="247" applyAlignment="1" pivotButton="0" quotePrefix="0" xfId="0">
      <alignment wrapText="1"/>
    </xf>
    <xf numFmtId="1" fontId="3" fillId="4" borderId="247" applyAlignment="1" applyProtection="1" pivotButton="0" quotePrefix="0" xfId="0">
      <alignment wrapText="1"/>
      <protection locked="0" hidden="0"/>
    </xf>
    <xf numFmtId="1" fontId="3" fillId="0" borderId="247" applyAlignment="1" pivotButton="0" quotePrefix="0" xfId="0">
      <alignment horizontal="right"/>
    </xf>
    <xf numFmtId="1" fontId="3" fillId="0" borderId="247" applyAlignment="1" pivotButton="0" quotePrefix="0" xfId="14">
      <alignment horizontal="center" vertical="center" wrapText="1"/>
    </xf>
    <xf numFmtId="1" fontId="3" fillId="4" borderId="247" applyAlignment="1" applyProtection="1" pivotButton="0" quotePrefix="0" xfId="0">
      <alignment horizontal="right" vertical="center"/>
      <protection locked="0" hidden="0"/>
    </xf>
    <xf numFmtId="1" fontId="3" fillId="0" borderId="247" applyAlignment="1" pivotButton="0" quotePrefix="0" xfId="0">
      <alignment horizontal="right" vertical="center"/>
    </xf>
    <xf numFmtId="0" fontId="3" fillId="44" borderId="298" applyProtection="1" pivotButton="0" quotePrefix="0" xfId="0">
      <protection locked="0" hidden="0"/>
    </xf>
    <xf numFmtId="0" fontId="3" fillId="44" borderId="247" applyProtection="1" pivotButton="0" quotePrefix="0" xfId="0">
      <protection locked="0" hidden="0"/>
    </xf>
    <xf numFmtId="0" fontId="3" fillId="0" borderId="298" applyAlignment="1" pivotButton="0" quotePrefix="0" xfId="0">
      <alignment horizontal="center" vertical="center" wrapText="1"/>
    </xf>
    <xf numFmtId="0" fontId="3" fillId="52" borderId="0" pivotButton="0" quotePrefix="0" xfId="0"/>
    <xf numFmtId="1" fontId="3" fillId="4" borderId="306" applyProtection="1" pivotButton="0" quotePrefix="0" xfId="0">
      <protection locked="0" hidden="0"/>
    </xf>
    <xf numFmtId="1" fontId="3" fillId="4" borderId="299" applyProtection="1" pivotButton="0" quotePrefix="0" xfId="0">
      <protection locked="0" hidden="0"/>
    </xf>
    <xf numFmtId="1" fontId="3" fillId="4" borderId="308" applyProtection="1" pivotButton="0" quotePrefix="0" xfId="0">
      <protection locked="0" hidden="0"/>
    </xf>
    <xf numFmtId="0" fontId="3" fillId="44" borderId="45" applyProtection="1" pivotButton="0" quotePrefix="0" xfId="0">
      <protection locked="0" hidden="0"/>
    </xf>
    <xf numFmtId="0" fontId="3" fillId="44" borderId="33" applyProtection="1" pivotButton="0" quotePrefix="0" xfId="0">
      <protection locked="0" hidden="0"/>
    </xf>
    <xf numFmtId="0" fontId="3" fillId="44" borderId="309" applyProtection="1" pivotButton="0" quotePrefix="0" xfId="0">
      <protection locked="0" hidden="0"/>
    </xf>
    <xf numFmtId="0" fontId="3" fillId="44" borderId="310" applyProtection="1" pivotButton="0" quotePrefix="0" xfId="0">
      <protection locked="0" hidden="0"/>
    </xf>
    <xf numFmtId="0" fontId="3" fillId="44" borderId="311" applyProtection="1" pivotButton="0" quotePrefix="0" xfId="0">
      <protection locked="0" hidden="0"/>
    </xf>
    <xf numFmtId="0" fontId="3" fillId="44" borderId="312" applyProtection="1" pivotButton="0" quotePrefix="0" xfId="0">
      <protection locked="0" hidden="0"/>
    </xf>
    <xf numFmtId="0" fontId="3" fillId="44" borderId="313" applyProtection="1" pivotButton="0" quotePrefix="0" xfId="0">
      <protection locked="0" hidden="0"/>
    </xf>
    <xf numFmtId="0" fontId="3" fillId="44" borderId="314" applyProtection="1" pivotButton="0" quotePrefix="0" xfId="0">
      <protection locked="0" hidden="0"/>
    </xf>
    <xf numFmtId="0" fontId="3" fillId="44" borderId="315" applyProtection="1" pivotButton="0" quotePrefix="0" xfId="0">
      <protection locked="0" hidden="0"/>
    </xf>
    <xf numFmtId="0" fontId="3" fillId="44" borderId="316" applyProtection="1" pivotButton="0" quotePrefix="0" xfId="0">
      <protection locked="0" hidden="0"/>
    </xf>
    <xf numFmtId="0" fontId="3" fillId="44" borderId="133" applyProtection="1" pivotButton="0" quotePrefix="0" xfId="0">
      <protection locked="0" hidden="0"/>
    </xf>
    <xf numFmtId="0" fontId="3" fillId="44" borderId="317" applyProtection="1" pivotButton="0" quotePrefix="0" xfId="0">
      <protection locked="0" hidden="0"/>
    </xf>
    <xf numFmtId="0" fontId="3" fillId="44" borderId="43" applyProtection="1" pivotButton="0" quotePrefix="0" xfId="0">
      <protection locked="0" hidden="0"/>
    </xf>
    <xf numFmtId="0" fontId="3" fillId="44" borderId="31" applyProtection="1" pivotButton="0" quotePrefix="0" xfId="0">
      <protection locked="0" hidden="0"/>
    </xf>
    <xf numFmtId="0" fontId="3" fillId="44" borderId="40" applyProtection="1" pivotButton="0" quotePrefix="0" xfId="0">
      <protection locked="0" hidden="0"/>
    </xf>
    <xf numFmtId="0" fontId="3" fillId="51" borderId="318" pivotButton="0" quotePrefix="0" xfId="0"/>
    <xf numFmtId="0" fontId="3" fillId="51" borderId="319" pivotButton="0" quotePrefix="0" xfId="0"/>
    <xf numFmtId="0" fontId="3" fillId="51" borderId="320" pivotButton="0" quotePrefix="0" xfId="0"/>
    <xf numFmtId="1" fontId="1" fillId="3" borderId="0" applyAlignment="1" pivotButton="0" quotePrefix="0" xfId="0">
      <alignment vertical="center"/>
    </xf>
    <xf numFmtId="1" fontId="3" fillId="4" borderId="231" applyAlignment="1" applyProtection="1" pivotButton="0" quotePrefix="0" xfId="0">
      <alignment horizontal="right" vertical="center" wrapText="1"/>
      <protection locked="0" hidden="0"/>
    </xf>
    <xf numFmtId="1" fontId="3" fillId="4" borderId="324" applyAlignment="1" applyProtection="1" pivotButton="0" quotePrefix="0" xfId="0">
      <alignment horizontal="right" vertical="center" wrapText="1"/>
      <protection locked="0" hidden="0"/>
    </xf>
    <xf numFmtId="1" fontId="3" fillId="4" borderId="298" applyAlignment="1" applyProtection="1" pivotButton="0" quotePrefix="0" xfId="0">
      <alignment horizontal="right" vertical="center" wrapText="1"/>
      <protection locked="0" hidden="0"/>
    </xf>
    <xf numFmtId="1" fontId="3" fillId="4" borderId="299" applyAlignment="1" applyProtection="1" pivotButton="0" quotePrefix="0" xfId="0">
      <alignment horizontal="right" vertical="center" wrapText="1"/>
      <protection locked="0" hidden="0"/>
    </xf>
    <xf numFmtId="1" fontId="3" fillId="4" borderId="221" applyProtection="1" pivotButton="0" quotePrefix="0" xfId="0">
      <protection locked="0" hidden="0"/>
    </xf>
    <xf numFmtId="1" fontId="3" fillId="4" borderId="298" applyProtection="1" pivotButton="0" quotePrefix="0" xfId="0">
      <protection locked="0" hidden="0"/>
    </xf>
    <xf numFmtId="0" fontId="33" fillId="0" borderId="283" applyAlignment="1" pivotButton="0" quotePrefix="0" xfId="0">
      <alignment vertical="center"/>
    </xf>
    <xf numFmtId="0" fontId="3" fillId="51" borderId="325" pivotButton="0" quotePrefix="0" xfId="0"/>
    <xf numFmtId="1" fontId="3" fillId="6" borderId="281" applyAlignment="1" pivotButton="0" quotePrefix="0" xfId="0">
      <alignment vertical="center" wrapText="1"/>
    </xf>
    <xf numFmtId="1" fontId="3" fillId="4" borderId="326" applyAlignment="1" applyProtection="1" pivotButton="0" quotePrefix="0" xfId="0">
      <alignment horizontal="right"/>
      <protection locked="0" hidden="0"/>
    </xf>
    <xf numFmtId="1" fontId="3" fillId="7" borderId="326" applyAlignment="1" pivotButton="0" quotePrefix="0" xfId="0">
      <alignment horizontal="right"/>
    </xf>
    <xf numFmtId="1" fontId="3" fillId="7" borderId="329" applyAlignment="1" pivotButton="0" quotePrefix="0" xfId="0">
      <alignment horizontal="right"/>
    </xf>
    <xf numFmtId="1" fontId="3" fillId="4" borderId="329" applyAlignment="1" applyProtection="1" pivotButton="0" quotePrefix="0" xfId="0">
      <alignment horizontal="right"/>
      <protection locked="0" hidden="0"/>
    </xf>
    <xf numFmtId="1" fontId="3" fillId="0" borderId="326" applyAlignment="1" pivotButton="0" quotePrefix="0" xfId="0">
      <alignment horizontal="right" wrapText="1"/>
    </xf>
    <xf numFmtId="1" fontId="3" fillId="0" borderId="329" pivotButton="0" quotePrefix="0" xfId="0"/>
    <xf numFmtId="1" fontId="3" fillId="6" borderId="329" pivotButton="0" quotePrefix="0" xfId="0"/>
    <xf numFmtId="0" fontId="3" fillId="44" borderId="329" applyProtection="1" pivotButton="0" quotePrefix="0" xfId="0">
      <protection locked="0" hidden="0"/>
    </xf>
    <xf numFmtId="1" fontId="3" fillId="4" borderId="329" applyProtection="1" pivotButton="0" quotePrefix="0" xfId="0">
      <protection locked="0" hidden="0"/>
    </xf>
    <xf numFmtId="0" fontId="3" fillId="44" borderId="331" applyProtection="1" pivotButton="0" quotePrefix="0" xfId="0">
      <protection locked="0" hidden="0"/>
    </xf>
    <xf numFmtId="1" fontId="3" fillId="0" borderId="329" applyAlignment="1" pivotButton="0" quotePrefix="0" xfId="0">
      <alignment horizontal="right"/>
    </xf>
    <xf numFmtId="1" fontId="3" fillId="4" borderId="331" applyProtection="1" pivotButton="0" quotePrefix="0" xfId="0">
      <protection locked="0" hidden="0"/>
    </xf>
    <xf numFmtId="0" fontId="3" fillId="51" borderId="329" pivotButton="0" quotePrefix="0" xfId="0"/>
    <xf numFmtId="1" fontId="3" fillId="4" borderId="329" applyAlignment="1" applyProtection="1" pivotButton="0" quotePrefix="0" xfId="0">
      <alignment horizontal="right" vertical="center" wrapText="1"/>
      <protection locked="0" hidden="0"/>
    </xf>
    <xf numFmtId="1" fontId="3" fillId="4" borderId="331" applyAlignment="1" applyProtection="1" pivotButton="0" quotePrefix="0" xfId="0">
      <alignment horizontal="right" vertical="center" wrapText="1"/>
      <protection locked="0" hidden="0"/>
    </xf>
    <xf numFmtId="1" fontId="3" fillId="6" borderId="329" applyProtection="1" pivotButton="0" quotePrefix="0" xfId="0">
      <protection locked="0" hidden="0"/>
    </xf>
    <xf numFmtId="1" fontId="3" fillId="7" borderId="329" pivotButton="0" quotePrefix="0" xfId="0"/>
    <xf numFmtId="1" fontId="3" fillId="4" borderId="329" applyAlignment="1" applyProtection="1" pivotButton="0" quotePrefix="0" xfId="0">
      <alignment wrapText="1"/>
      <protection locked="0" hidden="0"/>
    </xf>
    <xf numFmtId="1" fontId="3" fillId="0" borderId="329" applyAlignment="1" pivotButton="0" quotePrefix="0" xfId="0">
      <alignment horizontal="right" vertical="center" wrapText="1"/>
    </xf>
    <xf numFmtId="1" fontId="3" fillId="7" borderId="329" applyAlignment="1" pivotButton="0" quotePrefix="0" xfId="0">
      <alignment wrapText="1"/>
    </xf>
    <xf numFmtId="1" fontId="3" fillId="6" borderId="329" applyAlignment="1" pivotButton="0" quotePrefix="0" xfId="0">
      <alignment wrapText="1"/>
    </xf>
    <xf numFmtId="1" fontId="3" fillId="3" borderId="329" applyAlignment="1" pivotButton="0" quotePrefix="0" xfId="0">
      <alignment horizontal="right" wrapText="1"/>
    </xf>
    <xf numFmtId="1" fontId="3" fillId="4" borderId="329" applyProtection="1" pivotButton="0" quotePrefix="0" xfId="6">
      <protection locked="0" hidden="0"/>
    </xf>
    <xf numFmtId="1" fontId="3" fillId="4" borderId="329" applyProtection="1" pivotButton="0" quotePrefix="0" xfId="14">
      <protection locked="0" hidden="0"/>
    </xf>
    <xf numFmtId="1" fontId="3" fillId="5" borderId="329" applyAlignment="1" pivotButton="0" quotePrefix="0" xfId="0">
      <alignment horizontal="right"/>
    </xf>
    <xf numFmtId="1" fontId="3" fillId="4" borderId="329" applyAlignment="1" applyProtection="1" pivotButton="0" quotePrefix="0" xfId="0">
      <alignment horizontal="right" vertical="center"/>
      <protection locked="0" hidden="0"/>
    </xf>
    <xf numFmtId="1" fontId="3" fillId="36" borderId="329" applyProtection="1" pivotButton="0" quotePrefix="0" xfId="0">
      <protection locked="0" hidden="0"/>
    </xf>
    <xf numFmtId="1" fontId="3" fillId="8" borderId="329" applyProtection="1" pivotButton="0" quotePrefix="0" xfId="0">
      <protection locked="0" hidden="0"/>
    </xf>
    <xf numFmtId="1" fontId="3" fillId="4" borderId="329" applyAlignment="1" applyProtection="1" pivotButton="0" quotePrefix="0" xfId="0">
      <alignment vertical="center"/>
      <protection locked="0" hidden="0"/>
    </xf>
    <xf numFmtId="1" fontId="3" fillId="6" borderId="329" applyAlignment="1" pivotButton="0" quotePrefix="0" xfId="0">
      <alignment vertical="center"/>
    </xf>
    <xf numFmtId="1" fontId="3" fillId="8" borderId="329" applyAlignment="1" applyProtection="1" pivotButton="0" quotePrefix="0" xfId="0">
      <alignment vertical="center"/>
      <protection locked="0" hidden="0"/>
    </xf>
    <xf numFmtId="1" fontId="3" fillId="4" borderId="332" applyAlignment="1" applyProtection="1" pivotButton="0" quotePrefix="0" xfId="0">
      <alignment horizontal="right"/>
      <protection locked="0" hidden="0"/>
    </xf>
    <xf numFmtId="1" fontId="3" fillId="0" borderId="188" applyAlignment="1" pivotButton="0" quotePrefix="0" xfId="0">
      <alignment vertical="center" wrapText="1"/>
    </xf>
    <xf numFmtId="1" fontId="3" fillId="4" borderId="163" applyProtection="1" pivotButton="0" quotePrefix="0" xfId="0">
      <protection locked="0" hidden="0"/>
    </xf>
    <xf numFmtId="1" fontId="3" fillId="4" borderId="256" applyProtection="1" pivotButton="0" quotePrefix="0" xfId="0">
      <protection locked="0" hidden="0"/>
    </xf>
    <xf numFmtId="1" fontId="3" fillId="6" borderId="336" applyAlignment="1" pivotButton="0" quotePrefix="0" xfId="0">
      <alignment horizontal="right"/>
    </xf>
    <xf numFmtId="1" fontId="3" fillId="6" borderId="277" applyAlignment="1" pivotButton="0" quotePrefix="0" xfId="0">
      <alignment horizontal="right"/>
    </xf>
    <xf numFmtId="1" fontId="3" fillId="6" borderId="258" applyAlignment="1" pivotButton="0" quotePrefix="0" xfId="0">
      <alignment horizontal="right"/>
    </xf>
    <xf numFmtId="1" fontId="3" fillId="6" borderId="337" applyAlignment="1" pivotButton="0" quotePrefix="0" xfId="0">
      <alignment horizontal="right"/>
    </xf>
    <xf numFmtId="1" fontId="3" fillId="6" borderId="256" applyAlignment="1" pivotButton="0" quotePrefix="0" xfId="0">
      <alignment horizontal="right"/>
    </xf>
    <xf numFmtId="1" fontId="3" fillId="6" borderId="185" applyAlignment="1" pivotButton="0" quotePrefix="0" xfId="0">
      <alignment horizontal="right"/>
    </xf>
    <xf numFmtId="0" fontId="3" fillId="42" borderId="0" pivotButton="0" quotePrefix="0" xfId="0"/>
    <xf numFmtId="1" fontId="3" fillId="7" borderId="332" applyAlignment="1" pivotButton="0" quotePrefix="0" xfId="0">
      <alignment horizontal="right"/>
    </xf>
    <xf numFmtId="1" fontId="3" fillId="4" borderId="326" applyAlignment="1" applyProtection="1" pivotButton="0" quotePrefix="0" xfId="0">
      <alignment wrapText="1"/>
      <protection locked="0" hidden="0"/>
    </xf>
    <xf numFmtId="1" fontId="3" fillId="0" borderId="326" applyAlignment="1" pivotButton="0" quotePrefix="0" xfId="0">
      <alignment horizontal="right"/>
    </xf>
    <xf numFmtId="1" fontId="3" fillId="4" borderId="332" applyProtection="1" pivotButton="0" quotePrefix="0" xfId="0">
      <protection locked="0" hidden="0"/>
    </xf>
    <xf numFmtId="1" fontId="3" fillId="4" borderId="326" applyProtection="1" pivotButton="0" quotePrefix="0" xfId="0">
      <protection locked="0" hidden="0"/>
    </xf>
    <xf numFmtId="1" fontId="3" fillId="6" borderId="326" pivotButton="0" quotePrefix="0" xfId="0"/>
    <xf numFmtId="1" fontId="3" fillId="6" borderId="332" pivotButton="0" quotePrefix="0" xfId="0"/>
    <xf numFmtId="1" fontId="3" fillId="0" borderId="326" pivotButton="0" quotePrefix="0" xfId="0"/>
    <xf numFmtId="1" fontId="3" fillId="0" borderId="326" applyAlignment="1" pivotButton="0" quotePrefix="0" xfId="0">
      <alignment wrapText="1"/>
    </xf>
    <xf numFmtId="1" fontId="3" fillId="0" borderId="326" applyAlignment="1" pivotButton="0" quotePrefix="0" xfId="0">
      <alignment horizontal="right" vertical="center" wrapText="1"/>
    </xf>
    <xf numFmtId="1" fontId="3" fillId="4" borderId="326" applyAlignment="1" applyProtection="1" pivotButton="0" quotePrefix="0" xfId="0">
      <alignment horizontal="right" vertical="center" wrapText="1"/>
      <protection locked="0" hidden="0"/>
    </xf>
    <xf numFmtId="1" fontId="3" fillId="3" borderId="326" applyAlignment="1" pivotButton="0" quotePrefix="0" xfId="0">
      <alignment horizontal="right" vertical="center" wrapText="1"/>
    </xf>
    <xf numFmtId="1" fontId="3" fillId="4" borderId="332" applyAlignment="1" applyProtection="1" pivotButton="0" quotePrefix="0" xfId="0">
      <alignment horizontal="right" vertical="center" wrapText="1"/>
      <protection locked="0" hidden="0"/>
    </xf>
    <xf numFmtId="1" fontId="3" fillId="7" borderId="326" pivotButton="0" quotePrefix="0" xfId="0"/>
    <xf numFmtId="1" fontId="3" fillId="8" borderId="326" applyProtection="1" pivotButton="0" quotePrefix="0" xfId="0">
      <protection locked="0" hidden="0"/>
    </xf>
    <xf numFmtId="1" fontId="3" fillId="4" borderId="230" applyAlignment="1" applyProtection="1" pivotButton="0" quotePrefix="0" xfId="0">
      <alignment wrapText="1"/>
      <protection locked="0" hidden="0"/>
    </xf>
    <xf numFmtId="1" fontId="3" fillId="3" borderId="326" applyAlignment="1" pivotButton="0" quotePrefix="0" xfId="0">
      <alignment horizontal="right" wrapText="1"/>
    </xf>
    <xf numFmtId="1" fontId="3" fillId="34" borderId="326" applyAlignment="1" applyProtection="1" pivotButton="0" quotePrefix="0" xfId="0">
      <alignment horizontal="right"/>
      <protection locked="0" hidden="0"/>
    </xf>
    <xf numFmtId="1" fontId="3" fillId="4" borderId="326" applyAlignment="1" applyProtection="1" pivotButton="0" quotePrefix="0" xfId="6">
      <alignment horizontal="right"/>
      <protection locked="0" hidden="0"/>
    </xf>
    <xf numFmtId="1" fontId="3" fillId="4" borderId="332" applyAlignment="1" applyProtection="1" pivotButton="0" quotePrefix="0" xfId="6">
      <alignment horizontal="right"/>
      <protection locked="0" hidden="0"/>
    </xf>
    <xf numFmtId="1" fontId="3" fillId="0" borderId="326" applyAlignment="1" pivotButton="0" quotePrefix="0" xfId="0">
      <alignment horizontal="right" vertical="center"/>
    </xf>
    <xf numFmtId="1" fontId="3" fillId="4" borderId="326" applyAlignment="1" applyProtection="1" pivotButton="0" quotePrefix="0" xfId="0">
      <alignment horizontal="right" vertical="center"/>
      <protection locked="0" hidden="0"/>
    </xf>
    <xf numFmtId="1" fontId="3" fillId="4" borderId="332" applyAlignment="1" applyProtection="1" pivotButton="0" quotePrefix="0" xfId="0">
      <alignment wrapText="1"/>
      <protection locked="0" hidden="0"/>
    </xf>
    <xf numFmtId="1" fontId="3" fillId="9" borderId="326" applyProtection="1" pivotButton="0" quotePrefix="0" xfId="24">
      <protection locked="0" hidden="0"/>
    </xf>
    <xf numFmtId="1" fontId="3" fillId="6" borderId="326" pivotButton="0" quotePrefix="0" xfId="24"/>
    <xf numFmtId="1" fontId="3" fillId="4" borderId="326" applyAlignment="1" applyProtection="1" pivotButton="0" quotePrefix="0" xfId="0">
      <alignment vertical="center"/>
      <protection locked="0" hidden="0"/>
    </xf>
    <xf numFmtId="1" fontId="3" fillId="4" borderId="332" applyAlignment="1" applyProtection="1" pivotButton="0" quotePrefix="0" xfId="0">
      <alignment vertical="center"/>
      <protection locked="0" hidden="0"/>
    </xf>
    <xf numFmtId="1" fontId="3" fillId="6" borderId="326" applyAlignment="1" pivotButton="0" quotePrefix="0" xfId="0">
      <alignment vertical="center"/>
    </xf>
    <xf numFmtId="1" fontId="3" fillId="6" borderId="332" applyAlignment="1" pivotButton="0" quotePrefix="0" xfId="0">
      <alignment vertical="center"/>
    </xf>
    <xf numFmtId="1" fontId="3" fillId="3" borderId="326" applyAlignment="1" pivotButton="0" quotePrefix="0" xfId="23">
      <alignment horizontal="right" vertical="center"/>
    </xf>
    <xf numFmtId="1" fontId="3" fillId="8" borderId="326" applyAlignment="1" applyProtection="1" pivotButton="0" quotePrefix="0" xfId="0">
      <alignment vertical="center"/>
      <protection locked="0" hidden="0"/>
    </xf>
    <xf numFmtId="0" fontId="3" fillId="6" borderId="326" applyAlignment="1" pivotButton="0" quotePrefix="0" xfId="0">
      <alignment vertical="center"/>
    </xf>
    <xf numFmtId="0" fontId="3" fillId="44" borderId="332" applyProtection="1" pivotButton="0" quotePrefix="0" xfId="0">
      <protection locked="0" hidden="0"/>
    </xf>
    <xf numFmtId="0" fontId="3" fillId="44" borderId="326" applyAlignment="1" applyProtection="1" pivotButton="0" quotePrefix="0" xfId="0">
      <alignment horizontal="right"/>
      <protection locked="0" hidden="0"/>
    </xf>
    <xf numFmtId="0" fontId="3" fillId="44" borderId="326" applyProtection="1" pivotButton="0" quotePrefix="0" xfId="0">
      <protection locked="0" hidden="0"/>
    </xf>
    <xf numFmtId="1" fontId="3" fillId="4" borderId="338" applyAlignment="1" applyProtection="1" pivotButton="0" quotePrefix="0" xfId="0">
      <alignment horizontal="right"/>
      <protection locked="0" hidden="0"/>
    </xf>
    <xf numFmtId="1" fontId="3" fillId="0" borderId="339" applyAlignment="1" pivotButton="0" quotePrefix="0" xfId="0">
      <alignment horizontal="left" vertical="center"/>
    </xf>
    <xf numFmtId="1" fontId="3" fillId="8" borderId="296" applyAlignment="1" applyProtection="1" pivotButton="0" quotePrefix="0" xfId="0">
      <alignment vertical="center"/>
      <protection locked="0" hidden="0"/>
    </xf>
    <xf numFmtId="1" fontId="3" fillId="4" borderId="325" applyAlignment="1" applyProtection="1" pivotButton="0" quotePrefix="0" xfId="0">
      <alignment vertical="center"/>
      <protection locked="0" hidden="0"/>
    </xf>
    <xf numFmtId="1" fontId="3" fillId="6" borderId="340" applyAlignment="1" pivotButton="0" quotePrefix="0" xfId="0">
      <alignment vertical="center"/>
    </xf>
    <xf numFmtId="0" fontId="3" fillId="51" borderId="341" pivotButton="0" quotePrefix="0" xfId="0"/>
    <xf numFmtId="0" fontId="3" fillId="44" borderId="341" applyProtection="1" pivotButton="0" quotePrefix="0" xfId="0">
      <protection locked="0" hidden="0"/>
    </xf>
    <xf numFmtId="1" fontId="3" fillId="18" borderId="343" applyProtection="1" pivotButton="0" quotePrefix="0" xfId="0">
      <protection locked="0" hidden="0"/>
    </xf>
    <xf numFmtId="0" fontId="3" fillId="44" borderId="342" applyProtection="1" pivotButton="0" quotePrefix="0" xfId="0">
      <protection locked="0" hidden="0"/>
    </xf>
    <xf numFmtId="1" fontId="3" fillId="0" borderId="344" pivotButton="0" quotePrefix="0" xfId="0"/>
    <xf numFmtId="1" fontId="3" fillId="0" borderId="344" applyAlignment="1" pivotButton="0" quotePrefix="0" xfId="0">
      <alignment horizontal="right" wrapText="1"/>
    </xf>
    <xf numFmtId="1" fontId="3" fillId="4" borderId="344" applyProtection="1" pivotButton="0" quotePrefix="0" xfId="0">
      <protection locked="0" hidden="0"/>
    </xf>
    <xf numFmtId="1" fontId="3" fillId="4" borderId="344" applyAlignment="1" applyProtection="1" pivotButton="0" quotePrefix="0" xfId="0">
      <alignment wrapText="1"/>
      <protection locked="0" hidden="0"/>
    </xf>
    <xf numFmtId="1" fontId="3" fillId="5" borderId="344" applyAlignment="1" pivotButton="0" quotePrefix="0" xfId="0">
      <alignment horizontal="right" wrapText="1"/>
    </xf>
    <xf numFmtId="1" fontId="3" fillId="9" borderId="344" applyProtection="1" pivotButton="0" quotePrefix="0" xfId="38">
      <protection locked="0" hidden="0"/>
    </xf>
    <xf numFmtId="1" fontId="3" fillId="7" borderId="344" applyAlignment="1" pivotButton="0" quotePrefix="0" xfId="0">
      <alignment horizontal="right"/>
    </xf>
    <xf numFmtId="1" fontId="3" fillId="0" borderId="344" applyAlignment="1" pivotButton="0" quotePrefix="0" xfId="0">
      <alignment horizontal="right"/>
    </xf>
    <xf numFmtId="1" fontId="3" fillId="4" borderId="344" applyAlignment="1" applyProtection="1" pivotButton="0" quotePrefix="0" xfId="0">
      <alignment horizontal="right"/>
      <protection locked="0" hidden="0"/>
    </xf>
    <xf numFmtId="1" fontId="3" fillId="7" borderId="344" pivotButton="0" quotePrefix="0" xfId="0"/>
    <xf numFmtId="1" fontId="3" fillId="0" borderId="344" applyAlignment="1" pivotButton="0" quotePrefix="0" xfId="0">
      <alignment horizontal="right" vertical="center" wrapText="1"/>
    </xf>
    <xf numFmtId="1" fontId="3" fillId="4" borderId="344" applyAlignment="1" applyProtection="1" pivotButton="0" quotePrefix="0" xfId="0">
      <alignment horizontal="right" vertical="center" wrapText="1"/>
      <protection locked="0" hidden="0"/>
    </xf>
    <xf numFmtId="1" fontId="3" fillId="3" borderId="344" applyAlignment="1" pivotButton="0" quotePrefix="0" xfId="0">
      <alignment horizontal="right" vertical="center" wrapText="1"/>
    </xf>
    <xf numFmtId="1" fontId="3" fillId="8" borderId="344" applyProtection="1" pivotButton="0" quotePrefix="0" xfId="0">
      <protection locked="0" hidden="0"/>
    </xf>
    <xf numFmtId="1" fontId="3" fillId="6" borderId="344" pivotButton="0" quotePrefix="0" xfId="0"/>
    <xf numFmtId="1" fontId="3" fillId="34" borderId="344" applyAlignment="1" applyProtection="1" pivotButton="0" quotePrefix="0" xfId="0">
      <alignment horizontal="right"/>
      <protection locked="0" hidden="0"/>
    </xf>
    <xf numFmtId="1" fontId="3" fillId="34" borderId="344" applyProtection="1" pivotButton="0" quotePrefix="0" xfId="0">
      <protection locked="0" hidden="0"/>
    </xf>
    <xf numFmtId="1" fontId="3" fillId="4" borderId="344" applyProtection="1" pivotButton="0" quotePrefix="0" xfId="6">
      <protection locked="0" hidden="0"/>
    </xf>
    <xf numFmtId="1" fontId="3" fillId="4" borderId="344" applyAlignment="1" applyProtection="1" pivotButton="0" quotePrefix="0" xfId="6">
      <alignment horizontal="right"/>
      <protection locked="0" hidden="0"/>
    </xf>
    <xf numFmtId="2" fontId="3" fillId="4" borderId="344" applyAlignment="1" applyProtection="1" pivotButton="0" quotePrefix="0" xfId="6">
      <alignment horizontal="right"/>
      <protection locked="0" hidden="0"/>
    </xf>
    <xf numFmtId="1" fontId="3" fillId="4" borderId="344" applyAlignment="1" applyProtection="1" pivotButton="0" quotePrefix="0" xfId="0">
      <alignment horizontal="right" vertical="center"/>
      <protection locked="0" hidden="0"/>
    </xf>
    <xf numFmtId="1" fontId="3" fillId="4" borderId="344" applyAlignment="1" applyProtection="1" pivotButton="0" quotePrefix="0" xfId="0">
      <alignment vertical="center"/>
      <protection locked="0" hidden="0"/>
    </xf>
    <xf numFmtId="1" fontId="3" fillId="0" borderId="344" applyAlignment="1" pivotButton="0" quotePrefix="0" xfId="0">
      <alignment wrapText="1"/>
    </xf>
    <xf numFmtId="1" fontId="3" fillId="9" borderId="344" applyProtection="1" pivotButton="0" quotePrefix="0" xfId="24">
      <protection locked="0" hidden="0"/>
    </xf>
    <xf numFmtId="1" fontId="3" fillId="6" borderId="344" pivotButton="0" quotePrefix="0" xfId="24"/>
    <xf numFmtId="1" fontId="3" fillId="9" borderId="344" applyProtection="1" pivotButton="0" quotePrefix="0" xfId="11">
      <protection locked="0" hidden="0"/>
    </xf>
    <xf numFmtId="1" fontId="3" fillId="8" borderId="344" applyAlignment="1" applyProtection="1" pivotButton="0" quotePrefix="0" xfId="20">
      <alignment vertical="center"/>
      <protection locked="0" hidden="0"/>
    </xf>
    <xf numFmtId="1" fontId="3" fillId="9" borderId="344" applyAlignment="1" applyProtection="1" pivotButton="0" quotePrefix="0" xfId="21">
      <alignment vertical="center"/>
      <protection locked="0" hidden="0"/>
    </xf>
    <xf numFmtId="1" fontId="3" fillId="3" borderId="344" applyAlignment="1" pivotButton="0" quotePrefix="0" xfId="23">
      <alignment horizontal="right" vertical="center"/>
    </xf>
    <xf numFmtId="1" fontId="3" fillId="8" borderId="344" applyAlignment="1" applyProtection="1" pivotButton="0" quotePrefix="0" xfId="0">
      <alignment vertical="center"/>
      <protection locked="0" hidden="0"/>
    </xf>
    <xf numFmtId="1" fontId="3" fillId="6" borderId="344" applyProtection="1" pivotButton="0" quotePrefix="0" xfId="0">
      <protection locked="0" hidden="0"/>
    </xf>
    <xf numFmtId="0" fontId="3" fillId="44" borderId="345" applyProtection="1" pivotButton="0" quotePrefix="0" xfId="0">
      <protection locked="0" hidden="0"/>
    </xf>
    <xf numFmtId="1" fontId="3" fillId="3" borderId="344" pivotButton="0" quotePrefix="0" xfId="1"/>
    <xf numFmtId="1" fontId="3" fillId="0" borderId="346" applyAlignment="1" pivotButton="0" quotePrefix="0" xfId="0">
      <alignment horizontal="left" vertical="center" wrapText="1"/>
    </xf>
    <xf numFmtId="1" fontId="3" fillId="0" borderId="347" applyAlignment="1" pivotButton="0" quotePrefix="0" xfId="0">
      <alignment horizontal="right" wrapText="1"/>
    </xf>
    <xf numFmtId="1" fontId="3" fillId="4" borderId="347" applyAlignment="1" applyProtection="1" pivotButton="0" quotePrefix="0" xfId="0">
      <alignment horizontal="right"/>
      <protection locked="0" hidden="0"/>
    </xf>
    <xf numFmtId="1" fontId="3" fillId="0" borderId="347" pivotButton="0" quotePrefix="0" xfId="0"/>
    <xf numFmtId="1" fontId="3" fillId="0" borderId="347" applyAlignment="1" pivotButton="0" quotePrefix="0" xfId="0">
      <alignment horizontal="right"/>
    </xf>
    <xf numFmtId="0" fontId="3" fillId="44" borderId="347" applyProtection="1" pivotButton="0" quotePrefix="0" xfId="0">
      <protection locked="0" hidden="0"/>
    </xf>
    <xf numFmtId="1" fontId="3" fillId="4" borderId="347" applyProtection="1" pivotButton="0" quotePrefix="0" xfId="0">
      <protection locked="0" hidden="0"/>
    </xf>
    <xf numFmtId="1" fontId="3" fillId="6" borderId="347" pivotButton="0" quotePrefix="0" xfId="0"/>
    <xf numFmtId="1" fontId="3" fillId="4" borderId="342" applyProtection="1" pivotButton="0" quotePrefix="0" xfId="0">
      <protection locked="0" hidden="0"/>
    </xf>
    <xf numFmtId="1" fontId="3" fillId="4" borderId="353" applyProtection="1" pivotButton="0" quotePrefix="0" xfId="0">
      <protection locked="0" hidden="0"/>
    </xf>
    <xf numFmtId="1" fontId="3" fillId="4" borderId="345" applyProtection="1" pivotButton="0" quotePrefix="0" xfId="0">
      <protection locked="0" hidden="0"/>
    </xf>
    <xf numFmtId="1" fontId="3" fillId="7" borderId="354" pivotButton="0" quotePrefix="0" xfId="0"/>
    <xf numFmtId="1" fontId="3" fillId="4" borderId="354" applyAlignment="1" applyProtection="1" pivotButton="0" quotePrefix="0" xfId="0">
      <alignment horizontal="right"/>
      <protection locked="0" hidden="0"/>
    </xf>
    <xf numFmtId="1" fontId="3" fillId="4" borderId="355" applyAlignment="1" applyProtection="1" pivotButton="0" quotePrefix="0" xfId="0">
      <alignment horizontal="right"/>
      <protection locked="0" hidden="0"/>
    </xf>
    <xf numFmtId="1" fontId="3" fillId="4" borderId="356" applyAlignment="1" applyProtection="1" pivotButton="0" quotePrefix="0" xfId="0">
      <alignment horizontal="right"/>
      <protection locked="0" hidden="0"/>
    </xf>
    <xf numFmtId="1" fontId="3" fillId="4" borderId="357" applyAlignment="1" applyProtection="1" pivotButton="0" quotePrefix="0" xfId="0">
      <alignment horizontal="right"/>
      <protection locked="0" hidden="0"/>
    </xf>
    <xf numFmtId="1" fontId="3" fillId="4" borderId="358" applyAlignment="1" applyProtection="1" pivotButton="0" quotePrefix="0" xfId="0">
      <alignment horizontal="right"/>
      <protection locked="0" hidden="0"/>
    </xf>
    <xf numFmtId="1" fontId="3" fillId="7" borderId="354" applyAlignment="1" pivotButton="0" quotePrefix="0" xfId="0">
      <alignment horizontal="right"/>
    </xf>
    <xf numFmtId="1" fontId="3" fillId="7" borderId="356" applyAlignment="1" pivotButton="0" quotePrefix="0" xfId="0">
      <alignment horizontal="right"/>
    </xf>
    <xf numFmtId="1" fontId="3" fillId="4" borderId="355" applyProtection="1" pivotButton="0" quotePrefix="0" xfId="0">
      <protection locked="0" hidden="0"/>
    </xf>
    <xf numFmtId="1" fontId="3" fillId="4" borderId="354" applyProtection="1" pivotButton="0" quotePrefix="0" xfId="0">
      <protection locked="0" hidden="0"/>
    </xf>
    <xf numFmtId="1" fontId="3" fillId="4" borderId="357" applyProtection="1" pivotButton="0" quotePrefix="0" xfId="0">
      <protection locked="0" hidden="0"/>
    </xf>
    <xf numFmtId="1" fontId="3" fillId="8" borderId="357" applyProtection="1" pivotButton="0" quotePrefix="0" xfId="0">
      <protection locked="0" hidden="0"/>
    </xf>
    <xf numFmtId="1" fontId="3" fillId="0" borderId="354" applyAlignment="1" pivotButton="0" quotePrefix="0" xfId="0">
      <alignment horizontal="right"/>
    </xf>
    <xf numFmtId="1" fontId="3" fillId="6" borderId="354" pivotButton="0" quotePrefix="0" xfId="0"/>
    <xf numFmtId="1" fontId="3" fillId="7" borderId="347" pivotButton="0" quotePrefix="0" xfId="0"/>
    <xf numFmtId="1" fontId="3" fillId="4" borderId="359" applyProtection="1" pivotButton="0" quotePrefix="0" xfId="0">
      <protection locked="0" hidden="0"/>
    </xf>
    <xf numFmtId="1" fontId="3" fillId="4" borderId="357" applyAlignment="1" applyProtection="1" pivotButton="0" quotePrefix="0" xfId="0">
      <alignment vertical="center"/>
      <protection locked="0" hidden="0"/>
    </xf>
    <xf numFmtId="1" fontId="3" fillId="0" borderId="354" pivotButton="0" quotePrefix="0" xfId="0"/>
    <xf numFmtId="1" fontId="3" fillId="4" borderId="357" applyAlignment="1" applyProtection="1" pivotButton="0" quotePrefix="0" xfId="0">
      <alignment wrapText="1"/>
      <protection locked="0" hidden="0"/>
    </xf>
    <xf numFmtId="1" fontId="3" fillId="6" borderId="357" pivotButton="0" quotePrefix="0" xfId="0"/>
    <xf numFmtId="1" fontId="3" fillId="0" borderId="347" applyAlignment="1" pivotButton="0" quotePrefix="0" xfId="0">
      <alignment wrapText="1"/>
    </xf>
    <xf numFmtId="1" fontId="3" fillId="9" borderId="357" applyProtection="1" pivotButton="0" quotePrefix="0" xfId="24">
      <protection locked="0" hidden="0"/>
    </xf>
    <xf numFmtId="1" fontId="3" fillId="6" borderId="357" pivotButton="0" quotePrefix="0" xfId="24"/>
    <xf numFmtId="1" fontId="3" fillId="36" borderId="357" applyProtection="1" pivotButton="0" quotePrefix="0" xfId="0">
      <protection locked="0" hidden="0"/>
    </xf>
    <xf numFmtId="1" fontId="3" fillId="0" borderId="357" pivotButton="0" quotePrefix="0" xfId="0"/>
    <xf numFmtId="1" fontId="0" fillId="0" borderId="0" applyAlignment="1" pivotButton="0" quotePrefix="0" xfId="0">
      <alignment horizontal="right"/>
    </xf>
    <xf numFmtId="0" fontId="0" fillId="23" borderId="0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0" fontId="0" fillId="49" borderId="0" pivotButton="0" quotePrefix="0" xfId="0"/>
    <xf numFmtId="0" fontId="0" fillId="0" borderId="245" applyAlignment="1" pivotButton="0" quotePrefix="0" xfId="0">
      <alignment wrapText="1"/>
    </xf>
    <xf numFmtId="0" fontId="0" fillId="0" borderId="74" pivotButton="0" quotePrefix="0" xfId="0"/>
    <xf numFmtId="0" fontId="0" fillId="6" borderId="0" pivotButton="0" quotePrefix="0" xfId="0"/>
    <xf numFmtId="1" fontId="0" fillId="3" borderId="0" applyProtection="1" pivotButton="0" quotePrefix="0" xfId="0">
      <protection locked="0" hidden="0"/>
    </xf>
    <xf numFmtId="1" fontId="0" fillId="10" borderId="0" pivotButton="0" quotePrefix="0" xfId="0"/>
    <xf numFmtId="1" fontId="0" fillId="10" borderId="0" applyProtection="1" pivotButton="0" quotePrefix="0" xfId="0">
      <protection locked="0" hidden="0"/>
    </xf>
    <xf numFmtId="1" fontId="0" fillId="23" borderId="0" applyProtection="1" pivotButton="0" quotePrefix="0" xfId="0">
      <protection locked="0" hidden="0"/>
    </xf>
    <xf numFmtId="1" fontId="0" fillId="3" borderId="283" pivotButton="0" quotePrefix="0" xfId="0"/>
    <xf numFmtId="0" fontId="22" fillId="42" borderId="0" pivotButton="0" quotePrefix="0" xfId="0"/>
    <xf numFmtId="1" fontId="0" fillId="31" borderId="0" pivotButton="0" quotePrefix="0" xfId="0"/>
    <xf numFmtId="1" fontId="0" fillId="22" borderId="0" pivotButton="0" quotePrefix="0" xfId="0"/>
    <xf numFmtId="0" fontId="0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wrapText="1"/>
    </xf>
    <xf numFmtId="1" fontId="0" fillId="16" borderId="0" pivotButton="0" quotePrefix="0" xfId="0"/>
    <xf numFmtId="0" fontId="3" fillId="0" borderId="285" pivotButton="0" quotePrefix="0" xfId="0"/>
    <xf numFmtId="0" fontId="3" fillId="0" borderId="62" pivotButton="0" quotePrefix="0" xfId="0"/>
    <xf numFmtId="0" fontId="3" fillId="0" borderId="249" pivotButton="0" quotePrefix="0" xfId="0"/>
    <xf numFmtId="0" fontId="0" fillId="42" borderId="0" pivotButton="0" quotePrefix="0" xfId="0"/>
    <xf numFmtId="0" fontId="2" fillId="0" borderId="183" pivotButton="0" quotePrefix="0" xfId="0"/>
    <xf numFmtId="1" fontId="0" fillId="12" borderId="0" pivotButton="0" quotePrefix="0" xfId="0"/>
    <xf numFmtId="1" fontId="0" fillId="42" borderId="0" pivotButton="0" quotePrefix="0" xfId="0"/>
    <xf numFmtId="1" fontId="14" fillId="3" borderId="0" pivotButton="0" quotePrefix="0" xfId="0"/>
    <xf numFmtId="1" fontId="15" fillId="3" borderId="0" applyAlignment="1" pivotButton="0" quotePrefix="0" xfId="0">
      <alignment wrapText="1"/>
    </xf>
    <xf numFmtId="1" fontId="29" fillId="3" borderId="0" applyAlignment="1" pivotButton="0" quotePrefix="0" xfId="0">
      <alignment wrapText="1"/>
    </xf>
    <xf numFmtId="1" fontId="5" fillId="5" borderId="0" applyAlignment="1" pivotButton="0" quotePrefix="0" xfId="0">
      <alignment wrapText="1"/>
    </xf>
    <xf numFmtId="1" fontId="17" fillId="3" borderId="0" pivotButton="0" quotePrefix="0" xfId="0"/>
    <xf numFmtId="1" fontId="56" fillId="0" borderId="0" pivotButton="0" quotePrefix="0" xfId="0"/>
    <xf numFmtId="1" fontId="56" fillId="0" borderId="279" pivotButton="0" quotePrefix="0" xfId="0"/>
    <xf numFmtId="1" fontId="56" fillId="0" borderId="280" pivotButton="0" quotePrefix="0" xfId="0"/>
    <xf numFmtId="1" fontId="5" fillId="0" borderId="344" applyAlignment="1" pivotButton="0" quotePrefix="0" xfId="0">
      <alignment horizontal="right"/>
    </xf>
    <xf numFmtId="1" fontId="17" fillId="3" borderId="0" applyAlignment="1" pivotButton="0" quotePrefix="0" xfId="0">
      <alignment wrapText="1"/>
    </xf>
    <xf numFmtId="1" fontId="15" fillId="5" borderId="0" applyAlignment="1" pivotButton="0" quotePrefix="0" xfId="0">
      <alignment wrapText="1"/>
    </xf>
    <xf numFmtId="1" fontId="58" fillId="5" borderId="0" applyAlignment="1" pivotButton="0" quotePrefix="0" xfId="0">
      <alignment vertical="center"/>
    </xf>
    <xf numFmtId="0" fontId="59" fillId="0" borderId="0" pivotButton="0" quotePrefix="0" xfId="0"/>
    <xf numFmtId="1" fontId="59" fillId="0" borderId="0" pivotButton="0" quotePrefix="0" xfId="0"/>
    <xf numFmtId="1" fontId="5" fillId="0" borderId="344" applyAlignment="1" pivotButton="0" quotePrefix="0" xfId="0">
      <alignment horizontal="right" wrapText="1"/>
    </xf>
    <xf numFmtId="1" fontId="5" fillId="4" borderId="338" applyAlignment="1" applyProtection="1" pivotButton="0" quotePrefix="0" xfId="0">
      <alignment horizontal="right"/>
      <protection locked="0" hidden="0"/>
    </xf>
    <xf numFmtId="1" fontId="5" fillId="4" borderId="329" applyAlignment="1" applyProtection="1" pivotButton="0" quotePrefix="0" xfId="0">
      <alignment horizontal="right"/>
      <protection locked="0" hidden="0"/>
    </xf>
    <xf numFmtId="1" fontId="5" fillId="0" borderId="326" applyAlignment="1" pivotButton="0" quotePrefix="0" xfId="0">
      <alignment horizontal="right" wrapText="1"/>
    </xf>
    <xf numFmtId="1" fontId="5" fillId="5" borderId="326" applyAlignment="1" pivotButton="0" quotePrefix="0" xfId="0">
      <alignment horizontal="right" wrapText="1"/>
    </xf>
    <xf numFmtId="1" fontId="5" fillId="0" borderId="282" applyAlignment="1" pivotButton="0" quotePrefix="0" xfId="0">
      <alignment horizontal="right" wrapText="1"/>
    </xf>
    <xf numFmtId="1" fontId="5" fillId="0" borderId="2" applyAlignment="1" pivotButton="0" quotePrefix="0" xfId="0">
      <alignment horizontal="right" wrapText="1"/>
    </xf>
    <xf numFmtId="1" fontId="5" fillId="0" borderId="227" applyAlignment="1" pivotButton="0" quotePrefix="0" xfId="0">
      <alignment horizontal="center" vertical="center" wrapText="1"/>
    </xf>
    <xf numFmtId="1" fontId="5" fillId="4" borderId="227" applyAlignment="1" applyProtection="1" pivotButton="0" quotePrefix="0" xfId="0">
      <alignment horizontal="right"/>
      <protection locked="0" hidden="0"/>
    </xf>
    <xf numFmtId="1" fontId="5" fillId="4" borderId="231" applyAlignment="1" applyProtection="1" pivotButton="0" quotePrefix="0" xfId="0">
      <alignment horizontal="right"/>
      <protection locked="0" hidden="0"/>
    </xf>
    <xf numFmtId="1" fontId="5" fillId="4" borderId="228" applyAlignment="1" applyProtection="1" pivotButton="0" quotePrefix="0" xfId="0">
      <alignment horizontal="right"/>
      <protection locked="0" hidden="0"/>
    </xf>
    <xf numFmtId="1" fontId="5" fillId="4" borderId="344" applyAlignment="1" applyProtection="1" pivotButton="0" quotePrefix="0" xfId="0">
      <alignment horizontal="right"/>
      <protection locked="0" hidden="0"/>
    </xf>
    <xf numFmtId="1" fontId="5" fillId="6" borderId="344" applyAlignment="1" pivotButton="0" quotePrefix="0" xfId="0">
      <alignment horizontal="right"/>
    </xf>
    <xf numFmtId="1" fontId="5" fillId="4" borderId="326" applyAlignment="1" applyProtection="1" pivotButton="0" quotePrefix="0" xfId="0">
      <alignment horizontal="right"/>
      <protection locked="0" hidden="0"/>
    </xf>
    <xf numFmtId="1" fontId="5" fillId="7" borderId="326" applyAlignment="1" pivotButton="0" quotePrefix="0" xfId="0">
      <alignment horizontal="right"/>
    </xf>
    <xf numFmtId="1" fontId="5" fillId="7" borderId="332" applyAlignment="1" pivotButton="0" quotePrefix="0" xfId="0">
      <alignment horizontal="right"/>
    </xf>
    <xf numFmtId="1" fontId="5" fillId="6" borderId="326" applyAlignment="1" pivotButton="0" quotePrefix="0" xfId="0">
      <alignment horizontal="right"/>
    </xf>
    <xf numFmtId="1" fontId="5" fillId="9" borderId="326" applyAlignment="1" applyProtection="1" pivotButton="0" quotePrefix="0" xfId="32">
      <alignment horizontal="right"/>
      <protection locked="0" hidden="0"/>
    </xf>
    <xf numFmtId="1" fontId="5" fillId="9" borderId="226" applyAlignment="1" applyProtection="1" pivotButton="0" quotePrefix="0" xfId="32">
      <alignment horizontal="right"/>
      <protection locked="0" hidden="0"/>
    </xf>
    <xf numFmtId="1" fontId="5" fillId="8" borderId="226" applyAlignment="1" applyProtection="1" pivotButton="0" quotePrefix="0" xfId="0">
      <alignment horizontal="right"/>
      <protection locked="0" hidden="0"/>
    </xf>
    <xf numFmtId="1" fontId="5" fillId="4" borderId="226" applyAlignment="1" applyProtection="1" pivotButton="0" quotePrefix="0" xfId="0">
      <alignment horizontal="right"/>
      <protection locked="0" hidden="0"/>
    </xf>
    <xf numFmtId="1" fontId="5" fillId="4" borderId="230" applyAlignment="1" applyProtection="1" pivotButton="0" quotePrefix="0" xfId="0">
      <alignment horizontal="right"/>
      <protection locked="0" hidden="0"/>
    </xf>
    <xf numFmtId="1" fontId="5" fillId="5" borderId="0" applyProtection="1" pivotButton="0" quotePrefix="0" xfId="0">
      <protection locked="0" hidden="0"/>
    </xf>
    <xf numFmtId="1" fontId="14" fillId="5" borderId="0" pivotButton="0" quotePrefix="0" xfId="0"/>
    <xf numFmtId="1" fontId="5" fillId="5" borderId="0" pivotButton="0" quotePrefix="0" xfId="0"/>
    <xf numFmtId="1" fontId="17" fillId="5" borderId="0" pivotButton="0" quotePrefix="0" xfId="0"/>
    <xf numFmtId="1" fontId="5" fillId="7" borderId="344" applyAlignment="1" pivotButton="0" quotePrefix="0" xfId="0">
      <alignment horizontal="right"/>
    </xf>
    <xf numFmtId="1" fontId="5" fillId="0" borderId="0" applyAlignment="1" pivotButton="0" quotePrefix="0" xfId="0">
      <alignment wrapText="1"/>
    </xf>
    <xf numFmtId="1" fontId="5" fillId="0" borderId="0" pivotButton="0" quotePrefix="0" xfId="0"/>
    <xf numFmtId="1" fontId="16" fillId="5" borderId="0" applyAlignment="1" pivotButton="0" quotePrefix="0" xfId="0">
      <alignment wrapText="1"/>
    </xf>
    <xf numFmtId="1" fontId="5" fillId="0" borderId="0" applyAlignment="1" pivotButton="0" quotePrefix="0" xfId="0">
      <alignment horizontal="left"/>
    </xf>
    <xf numFmtId="1" fontId="60" fillId="0" borderId="0" pivotButton="0" quotePrefix="0" xfId="0"/>
    <xf numFmtId="1" fontId="5" fillId="0" borderId="242" applyAlignment="1" pivotButton="0" quotePrefix="0" xfId="0">
      <alignment horizontal="center" vertical="center" wrapText="1"/>
    </xf>
    <xf numFmtId="1" fontId="5" fillId="0" borderId="241" applyAlignment="1" pivotButton="0" quotePrefix="0" xfId="0">
      <alignment horizontal="center" vertical="center" wrapText="1"/>
    </xf>
    <xf numFmtId="1" fontId="5" fillId="0" borderId="240" applyAlignment="1" pivotButton="0" quotePrefix="0" xfId="0">
      <alignment horizontal="center" vertical="center" wrapText="1"/>
    </xf>
    <xf numFmtId="1" fontId="5" fillId="0" borderId="244" applyAlignment="1" pivotButton="0" quotePrefix="0" xfId="0">
      <alignment horizontal="center" vertical="center" wrapText="1"/>
    </xf>
    <xf numFmtId="1" fontId="5" fillId="6" borderId="4" applyAlignment="1" pivotButton="0" quotePrefix="0" xfId="0">
      <alignment horizontal="right"/>
    </xf>
    <xf numFmtId="1" fontId="5" fillId="4" borderId="4" applyAlignment="1" applyProtection="1" pivotButton="0" quotePrefix="0" xfId="0">
      <alignment horizontal="right"/>
      <protection locked="0" hidden="0"/>
    </xf>
    <xf numFmtId="1" fontId="5" fillId="0" borderId="284" applyAlignment="1" pivotButton="0" quotePrefix="0" xfId="0">
      <alignment horizontal="right"/>
    </xf>
    <xf numFmtId="1" fontId="5" fillId="6" borderId="282" applyAlignment="1" pivotButton="0" quotePrefix="0" xfId="0">
      <alignment horizontal="right"/>
    </xf>
    <xf numFmtId="1" fontId="5" fillId="6" borderId="0" applyAlignment="1" pivotButton="0" quotePrefix="0" xfId="0">
      <alignment horizontal="right"/>
    </xf>
    <xf numFmtId="1" fontId="5" fillId="0" borderId="301" applyAlignment="1" pivotButton="0" quotePrefix="0" xfId="0">
      <alignment horizontal="right" wrapText="1"/>
    </xf>
    <xf numFmtId="1" fontId="5" fillId="0" borderId="329" pivotButton="0" quotePrefix="0" xfId="0"/>
    <xf numFmtId="1" fontId="5" fillId="8" borderId="4" applyAlignment="1" applyProtection="1" pivotButton="0" quotePrefix="0" xfId="0">
      <alignment horizontal="right"/>
      <protection locked="0" hidden="0"/>
    </xf>
    <xf numFmtId="1" fontId="5" fillId="6" borderId="329" pivotButton="0" quotePrefix="0" xfId="0"/>
    <xf numFmtId="1" fontId="5" fillId="6" borderId="329" applyAlignment="1" pivotButton="0" quotePrefix="0" xfId="0">
      <alignment horizontal="right"/>
    </xf>
    <xf numFmtId="1" fontId="5" fillId="6" borderId="5" applyAlignment="1" pivotButton="0" quotePrefix="0" xfId="0">
      <alignment horizontal="right"/>
    </xf>
    <xf numFmtId="1" fontId="5" fillId="6" borderId="332" applyAlignment="1" pivotButton="0" quotePrefix="0" xfId="0">
      <alignment horizontal="right"/>
    </xf>
    <xf numFmtId="1" fontId="5" fillId="6" borderId="281" pivotButton="0" quotePrefix="0" xfId="0"/>
    <xf numFmtId="1" fontId="5" fillId="6" borderId="247" pivotButton="0" quotePrefix="0" xfId="0"/>
    <xf numFmtId="1" fontId="5" fillId="6" borderId="283" applyAlignment="1" pivotButton="0" quotePrefix="0" xfId="0">
      <alignment horizontal="right"/>
    </xf>
    <xf numFmtId="1" fontId="5" fillId="3" borderId="0" applyAlignment="1" pivotButton="0" quotePrefix="0" xfId="0">
      <alignment wrapText="1"/>
    </xf>
    <xf numFmtId="1" fontId="56" fillId="5" borderId="0" pivotButton="0" quotePrefix="0" xfId="0"/>
    <xf numFmtId="1" fontId="5" fillId="0" borderId="226" applyAlignment="1" pivotButton="0" quotePrefix="0" xfId="0">
      <alignment horizontal="center" vertical="center" wrapText="1"/>
    </xf>
    <xf numFmtId="1" fontId="16" fillId="3" borderId="0" applyAlignment="1" pivotButton="0" quotePrefix="0" xfId="0">
      <alignment wrapText="1"/>
    </xf>
    <xf numFmtId="1" fontId="5" fillId="0" borderId="281" pivotButton="0" quotePrefix="0" xfId="0"/>
    <xf numFmtId="1" fontId="5" fillId="0" borderId="247" pivotButton="0" quotePrefix="0" xfId="0"/>
    <xf numFmtId="1" fontId="5" fillId="4" borderId="282" applyAlignment="1" applyProtection="1" pivotButton="0" quotePrefix="0" xfId="0">
      <alignment horizontal="right"/>
      <protection locked="0" hidden="0"/>
    </xf>
    <xf numFmtId="1" fontId="5" fillId="4" borderId="247" applyAlignment="1" applyProtection="1" pivotButton="0" quotePrefix="0" xfId="0">
      <alignment horizontal="right"/>
      <protection locked="0" hidden="0"/>
    </xf>
    <xf numFmtId="1" fontId="56" fillId="3" borderId="0" pivotButton="0" quotePrefix="0" xfId="0"/>
    <xf numFmtId="1" fontId="14" fillId="0" borderId="0" pivotButton="0" quotePrefix="0" xfId="0"/>
    <xf numFmtId="1" fontId="61" fillId="0" borderId="0" pivotButton="0" quotePrefix="0" xfId="0"/>
    <xf numFmtId="1" fontId="5" fillId="0" borderId="247" applyAlignment="1" pivotButton="0" quotePrefix="0" xfId="0">
      <alignment horizontal="right" wrapText="1"/>
    </xf>
    <xf numFmtId="1" fontId="5" fillId="4" borderId="332" applyAlignment="1" applyProtection="1" pivotButton="0" quotePrefix="0" xfId="0">
      <alignment horizontal="right"/>
      <protection locked="0" hidden="0"/>
    </xf>
    <xf numFmtId="1" fontId="17" fillId="0" borderId="0" pivotButton="0" quotePrefix="0" xfId="0"/>
    <xf numFmtId="1" fontId="5" fillId="5" borderId="0" applyAlignment="1" pivotButton="0" quotePrefix="0" xfId="0">
      <alignment vertical="center"/>
    </xf>
    <xf numFmtId="1" fontId="5" fillId="4" borderId="8" applyAlignment="1" applyProtection="1" pivotButton="0" quotePrefix="0" xfId="15">
      <alignment horizontal="right"/>
      <protection locked="0" hidden="0"/>
    </xf>
    <xf numFmtId="1" fontId="5" fillId="4" borderId="2" applyAlignment="1" applyProtection="1" pivotButton="0" quotePrefix="0" xfId="15">
      <alignment horizontal="right"/>
      <protection locked="0" hidden="0"/>
    </xf>
    <xf numFmtId="1" fontId="5" fillId="4" borderId="344" applyAlignment="1" applyProtection="1" pivotButton="0" quotePrefix="0" xfId="15">
      <alignment horizontal="right"/>
      <protection locked="0" hidden="0"/>
    </xf>
    <xf numFmtId="0" fontId="14" fillId="0" borderId="0" pivotButton="0" quotePrefix="0" xfId="0"/>
    <xf numFmtId="0" fontId="62" fillId="43" borderId="0" applyAlignment="1" pivotButton="0" quotePrefix="0" xfId="0">
      <alignment vertical="center"/>
    </xf>
    <xf numFmtId="0" fontId="63" fillId="0" borderId="0" pivotButton="0" quotePrefix="0" xfId="0"/>
    <xf numFmtId="1" fontId="5" fillId="8" borderId="282" applyAlignment="1" applyProtection="1" pivotButton="0" quotePrefix="0" xfId="0">
      <alignment horizontal="right"/>
      <protection locked="0" hidden="0"/>
    </xf>
    <xf numFmtId="1" fontId="5" fillId="8" borderId="0" applyAlignment="1" applyProtection="1" pivotButton="0" quotePrefix="0" xfId="0">
      <alignment horizontal="right"/>
      <protection locked="0" hidden="0"/>
    </xf>
    <xf numFmtId="1" fontId="5" fillId="6" borderId="230" pivotButton="0" quotePrefix="0" xfId="0"/>
    <xf numFmtId="0" fontId="14" fillId="0" borderId="0" applyAlignment="1" pivotButton="0" quotePrefix="0" xfId="0">
      <alignment vertical="center"/>
    </xf>
    <xf numFmtId="0" fontId="60" fillId="43" borderId="0" applyAlignment="1" pivotButton="0" quotePrefix="0" xfId="0">
      <alignment vertical="center"/>
    </xf>
    <xf numFmtId="1" fontId="58" fillId="0" borderId="0" applyAlignment="1" pivotButton="0" quotePrefix="0" xfId="0">
      <alignment vertical="center"/>
    </xf>
    <xf numFmtId="1" fontId="17" fillId="29" borderId="0" applyAlignment="1" pivotButton="0" quotePrefix="0" xfId="2">
      <alignment wrapText="1"/>
    </xf>
    <xf numFmtId="1" fontId="5" fillId="0" borderId="29" applyAlignment="1" pivotButton="0" quotePrefix="0" xfId="2">
      <alignment horizontal="center" vertical="center" wrapText="1"/>
    </xf>
    <xf numFmtId="1" fontId="5" fillId="0" borderId="55" applyAlignment="1" pivotButton="0" quotePrefix="0" xfId="2">
      <alignment horizontal="center" vertical="center" wrapText="1"/>
    </xf>
    <xf numFmtId="1" fontId="5" fillId="0" borderId="22" applyAlignment="1" pivotButton="0" quotePrefix="0" xfId="2">
      <alignment horizontal="center" vertical="center" wrapText="1"/>
    </xf>
    <xf numFmtId="1" fontId="5" fillId="0" borderId="89" applyAlignment="1" pivotButton="0" quotePrefix="0" xfId="2">
      <alignment horizontal="center" vertical="center" wrapText="1"/>
    </xf>
    <xf numFmtId="1" fontId="5" fillId="0" borderId="107" applyAlignment="1" pivotButton="0" quotePrefix="0" xfId="2">
      <alignment horizontal="center" vertical="center" wrapText="1"/>
    </xf>
    <xf numFmtId="1" fontId="5" fillId="0" borderId="19" applyAlignment="1" pivotButton="0" quotePrefix="0" xfId="2">
      <alignment horizontal="center" vertical="center" wrapText="1"/>
    </xf>
    <xf numFmtId="1" fontId="5" fillId="0" borderId="285" applyAlignment="1" pivotButton="0" quotePrefix="0" xfId="2">
      <alignment horizontal="right"/>
    </xf>
    <xf numFmtId="1" fontId="5" fillId="0" borderId="286" applyAlignment="1" pivotButton="0" quotePrefix="0" xfId="2">
      <alignment horizontal="right"/>
    </xf>
    <xf numFmtId="1" fontId="5" fillId="0" borderId="287" applyAlignment="1" pivotButton="0" quotePrefix="0" xfId="2">
      <alignment horizontal="right"/>
    </xf>
    <xf numFmtId="1" fontId="5" fillId="18" borderId="35" applyAlignment="1" applyProtection="1" pivotButton="0" quotePrefix="0" xfId="2">
      <alignment horizontal="right"/>
      <protection locked="0" hidden="0"/>
    </xf>
    <xf numFmtId="1" fontId="5" fillId="18" borderId="102" applyAlignment="1" applyProtection="1" pivotButton="0" quotePrefix="0" xfId="2">
      <alignment horizontal="right"/>
      <protection locked="0" hidden="0"/>
    </xf>
    <xf numFmtId="1" fontId="5" fillId="30" borderId="32" applyAlignment="1" pivotButton="0" quotePrefix="0" xfId="2">
      <alignment horizontal="right"/>
    </xf>
    <xf numFmtId="1" fontId="5" fillId="30" borderId="90" applyAlignment="1" pivotButton="0" quotePrefix="0" xfId="2">
      <alignment horizontal="right"/>
    </xf>
    <xf numFmtId="1" fontId="5" fillId="0" borderId="248" applyAlignment="1" pivotButton="0" quotePrefix="0" xfId="2">
      <alignment horizontal="right"/>
    </xf>
    <xf numFmtId="1" fontId="5" fillId="0" borderId="35" applyAlignment="1" pivotButton="0" quotePrefix="0" xfId="2">
      <alignment horizontal="right"/>
    </xf>
    <xf numFmtId="1" fontId="5" fillId="0" borderId="64" applyAlignment="1" pivotButton="0" quotePrefix="0" xfId="2">
      <alignment horizontal="right"/>
    </xf>
    <xf numFmtId="1" fontId="5" fillId="30" borderId="35" applyAlignment="1" pivotButton="0" quotePrefix="0" xfId="2">
      <alignment horizontal="right"/>
    </xf>
    <xf numFmtId="1" fontId="5" fillId="30" borderId="98" applyAlignment="1" pivotButton="0" quotePrefix="0" xfId="2">
      <alignment horizontal="right"/>
    </xf>
    <xf numFmtId="1" fontId="5" fillId="18" borderId="38" applyAlignment="1" applyProtection="1" pivotButton="0" quotePrefix="0" xfId="2">
      <alignment horizontal="right"/>
      <protection locked="0" hidden="0"/>
    </xf>
    <xf numFmtId="1" fontId="5" fillId="18" borderId="98" applyAlignment="1" applyProtection="1" pivotButton="0" quotePrefix="0" xfId="2">
      <alignment horizontal="right"/>
      <protection locked="0" hidden="0"/>
    </xf>
    <xf numFmtId="1" fontId="5" fillId="30" borderId="38" applyAlignment="1" pivotButton="0" quotePrefix="0" xfId="2">
      <alignment horizontal="right"/>
    </xf>
    <xf numFmtId="1" fontId="5" fillId="0" borderId="249" applyAlignment="1" pivotButton="0" quotePrefix="0" xfId="2">
      <alignment horizontal="right" wrapText="1"/>
    </xf>
    <xf numFmtId="1" fontId="5" fillId="0" borderId="109" applyAlignment="1" pivotButton="0" quotePrefix="0" xfId="2">
      <alignment horizontal="right" wrapText="1"/>
    </xf>
    <xf numFmtId="1" fontId="5" fillId="0" borderId="131" applyAlignment="1" pivotButton="0" quotePrefix="0" xfId="2">
      <alignment horizontal="right" wrapText="1"/>
    </xf>
    <xf numFmtId="1" fontId="5" fillId="30" borderId="42" applyAlignment="1" pivotButton="0" quotePrefix="0" xfId="2">
      <alignment horizontal="right"/>
    </xf>
    <xf numFmtId="1" fontId="5" fillId="30" borderId="91" applyAlignment="1" pivotButton="0" quotePrefix="0" xfId="2">
      <alignment horizontal="right"/>
    </xf>
    <xf numFmtId="1" fontId="5" fillId="30" borderId="41" applyAlignment="1" pivotButton="0" quotePrefix="0" xfId="2">
      <alignment horizontal="right"/>
    </xf>
    <xf numFmtId="1" fontId="5" fillId="18" borderId="66" applyAlignment="1" applyProtection="1" pivotButton="0" quotePrefix="0" xfId="2">
      <alignment horizontal="right"/>
      <protection locked="0" hidden="0"/>
    </xf>
    <xf numFmtId="1" fontId="5" fillId="18" borderId="99" applyAlignment="1" applyProtection="1" pivotButton="0" quotePrefix="0" xfId="2">
      <alignment horizontal="right"/>
      <protection locked="0" hidden="0"/>
    </xf>
    <xf numFmtId="1" fontId="5" fillId="18" borderId="41" applyAlignment="1" applyProtection="1" pivotButton="0" quotePrefix="0" xfId="2">
      <alignment horizontal="right"/>
      <protection locked="0" hidden="0"/>
    </xf>
    <xf numFmtId="1" fontId="5" fillId="18" borderId="91" applyAlignment="1" applyProtection="1" pivotButton="0" quotePrefix="0" xfId="2">
      <alignment horizontal="right"/>
      <protection locked="0" hidden="0"/>
    </xf>
    <xf numFmtId="1" fontId="5" fillId="0" borderId="51" applyAlignment="1" pivotButton="0" quotePrefix="0" xfId="2">
      <alignment vertical="center" wrapText="1"/>
    </xf>
    <xf numFmtId="1" fontId="5" fillId="0" borderId="250" applyAlignment="1" pivotButton="0" quotePrefix="0" xfId="2">
      <alignment horizontal="right" wrapText="1"/>
    </xf>
    <xf numFmtId="1" fontId="5" fillId="0" borderId="129" applyAlignment="1" pivotButton="0" quotePrefix="0" xfId="2">
      <alignment horizontal="right" wrapText="1"/>
    </xf>
    <xf numFmtId="1" fontId="5" fillId="18" borderId="101" applyAlignment="1" applyProtection="1" pivotButton="0" quotePrefix="0" xfId="2">
      <alignment horizontal="right"/>
      <protection locked="0" hidden="0"/>
    </xf>
    <xf numFmtId="1" fontId="5" fillId="18" borderId="44" applyAlignment="1" applyProtection="1" pivotButton="0" quotePrefix="0" xfId="2">
      <alignment horizontal="right"/>
      <protection locked="0" hidden="0"/>
    </xf>
    <xf numFmtId="1" fontId="5" fillId="18" borderId="142" applyAlignment="1" applyProtection="1" pivotButton="0" quotePrefix="0" xfId="2">
      <alignment horizontal="right"/>
      <protection locked="0" hidden="0"/>
    </xf>
    <xf numFmtId="1" fontId="5" fillId="18" borderId="288" applyAlignment="1" applyProtection="1" pivotButton="0" quotePrefix="0" xfId="2">
      <alignment horizontal="right"/>
      <protection locked="0" hidden="0"/>
    </xf>
    <xf numFmtId="1" fontId="5" fillId="18" borderId="145" applyAlignment="1" applyProtection="1" pivotButton="0" quotePrefix="0" xfId="2">
      <alignment horizontal="right"/>
      <protection locked="0" hidden="0"/>
    </xf>
    <xf numFmtId="1" fontId="5" fillId="0" borderId="52" applyAlignment="1" pivotButton="0" quotePrefix="0" xfId="2">
      <alignment vertical="center" wrapText="1"/>
    </xf>
    <xf numFmtId="1" fontId="5" fillId="0" borderId="284" applyAlignment="1" pivotButton="0" quotePrefix="0" xfId="2">
      <alignment horizontal="right" wrapText="1"/>
    </xf>
    <xf numFmtId="1" fontId="5" fillId="18" borderId="143" applyAlignment="1" applyProtection="1" pivotButton="0" quotePrefix="0" xfId="2">
      <alignment horizontal="right"/>
      <protection locked="0" hidden="0"/>
    </xf>
    <xf numFmtId="1" fontId="5" fillId="18" borderId="63" applyAlignment="1" applyProtection="1" pivotButton="0" quotePrefix="0" xfId="2">
      <alignment horizontal="right"/>
      <protection locked="0" hidden="0"/>
    </xf>
    <xf numFmtId="1" fontId="5" fillId="18" borderId="68" applyAlignment="1" applyProtection="1" pivotButton="0" quotePrefix="0" xfId="2">
      <alignment horizontal="right"/>
      <protection locked="0" hidden="0"/>
    </xf>
    <xf numFmtId="1" fontId="5" fillId="0" borderId="53" applyAlignment="1" pivotButton="0" quotePrefix="0" xfId="2">
      <alignment vertical="center" wrapText="1"/>
    </xf>
    <xf numFmtId="1" fontId="5" fillId="0" borderId="251" applyAlignment="1" pivotButton="0" quotePrefix="0" xfId="2">
      <alignment horizontal="right" wrapText="1"/>
    </xf>
    <xf numFmtId="1" fontId="5" fillId="0" borderId="162" applyAlignment="1" pivotButton="0" quotePrefix="0" xfId="2">
      <alignment horizontal="right" wrapText="1"/>
    </xf>
    <xf numFmtId="1" fontId="5" fillId="0" borderId="252" applyAlignment="1" pivotButton="0" quotePrefix="0" xfId="2">
      <alignment horizontal="right" wrapText="1"/>
    </xf>
    <xf numFmtId="1" fontId="5" fillId="18" borderId="42" applyAlignment="1" applyProtection="1" pivotButton="0" quotePrefix="0" xfId="2">
      <alignment horizontal="right"/>
      <protection locked="0" hidden="0"/>
    </xf>
    <xf numFmtId="1" fontId="5" fillId="18" borderId="144" applyAlignment="1" applyProtection="1" pivotButton="0" quotePrefix="0" xfId="2">
      <alignment horizontal="right"/>
      <protection locked="0" hidden="0"/>
    </xf>
    <xf numFmtId="1" fontId="5" fillId="18" borderId="253" applyAlignment="1" applyProtection="1" pivotButton="0" quotePrefix="0" xfId="2">
      <alignment horizontal="right"/>
      <protection locked="0" hidden="0"/>
    </xf>
    <xf numFmtId="1" fontId="5" fillId="18" borderId="254" applyAlignment="1" applyProtection="1" pivotButton="0" quotePrefix="0" xfId="2">
      <alignment horizontal="right"/>
      <protection locked="0" hidden="0"/>
    </xf>
    <xf numFmtId="0" fontId="10" fillId="0" borderId="0" pivotButton="0" quotePrefix="0" xfId="2"/>
    <xf numFmtId="1" fontId="5" fillId="0" borderId="0" applyAlignment="1" pivotButton="0" quotePrefix="1" xfId="15">
      <alignment vertical="center" wrapText="1"/>
    </xf>
    <xf numFmtId="1" fontId="5" fillId="0" borderId="0" applyAlignment="1" pivotButton="0" quotePrefix="0" xfId="15">
      <alignment vertical="center" wrapText="1"/>
    </xf>
    <xf numFmtId="1" fontId="5" fillId="0" borderId="0" applyProtection="1" pivotButton="0" quotePrefix="0" xfId="15">
      <protection locked="0" hidden="0"/>
    </xf>
    <xf numFmtId="1" fontId="58" fillId="0" borderId="0" pivotButton="0" quotePrefix="0" xfId="0"/>
    <xf numFmtId="1" fontId="5" fillId="4" borderId="5" applyAlignment="1" applyProtection="1" pivotButton="0" quotePrefix="0" xfId="0">
      <alignment horizontal="right"/>
      <protection locked="0" hidden="0"/>
    </xf>
    <xf numFmtId="1" fontId="65" fillId="31" borderId="0" pivotButton="0" quotePrefix="0" xfId="0"/>
    <xf numFmtId="0" fontId="28" fillId="4" borderId="346" applyAlignment="1" applyProtection="1" pivotButton="0" quotePrefix="0" xfId="37">
      <alignment horizontal="center"/>
      <protection locked="0" hidden="0"/>
    </xf>
    <xf numFmtId="0" fontId="28" fillId="0" borderId="346" pivotButton="0" quotePrefix="0" xfId="0"/>
    <xf numFmtId="1" fontId="3" fillId="7" borderId="358" applyAlignment="1" pivotButton="0" quotePrefix="0" xfId="0">
      <alignment horizontal="right"/>
    </xf>
    <xf numFmtId="1" fontId="5" fillId="0" borderId="366" applyAlignment="1" pivotButton="0" quotePrefix="0" xfId="0">
      <alignment vertical="center" wrapText="1"/>
    </xf>
    <xf numFmtId="1" fontId="5" fillId="4" borderId="347" applyAlignment="1" applyProtection="1" pivotButton="0" quotePrefix="0" xfId="0">
      <alignment horizontal="right"/>
      <protection locked="0" hidden="0"/>
    </xf>
    <xf numFmtId="1" fontId="5" fillId="0" borderId="347" applyAlignment="1" pivotButton="0" quotePrefix="0" xfId="0">
      <alignment horizontal="right" wrapText="1"/>
    </xf>
    <xf numFmtId="1" fontId="5" fillId="9" borderId="347" applyAlignment="1" applyProtection="1" pivotButton="0" quotePrefix="0" xfId="32">
      <alignment horizontal="right"/>
      <protection locked="0" hidden="0"/>
    </xf>
    <xf numFmtId="1" fontId="5" fillId="4" borderId="346" applyAlignment="1" applyProtection="1" pivotButton="0" quotePrefix="0" xfId="0">
      <alignment horizontal="right"/>
      <protection locked="0" hidden="0"/>
    </xf>
    <xf numFmtId="1" fontId="5" fillId="6" borderId="347" applyAlignment="1" pivotButton="0" quotePrefix="0" xfId="0">
      <alignment horizontal="right"/>
    </xf>
    <xf numFmtId="1" fontId="5" fillId="6" borderId="365" applyAlignment="1" pivotButton="0" quotePrefix="0" xfId="0">
      <alignment horizontal="right"/>
    </xf>
    <xf numFmtId="1" fontId="5" fillId="0" borderId="346" pivotButton="0" quotePrefix="0" xfId="0"/>
    <xf numFmtId="1" fontId="5" fillId="6" borderId="347" pivotButton="0" quotePrefix="0" xfId="0"/>
    <xf numFmtId="1" fontId="5" fillId="4" borderId="359" applyAlignment="1" applyProtection="1" pivotButton="0" quotePrefix="0" xfId="15">
      <alignment horizontal="right"/>
      <protection locked="0" hidden="0"/>
    </xf>
    <xf numFmtId="1" fontId="5" fillId="4" borderId="348" applyAlignment="1" applyProtection="1" pivotButton="0" quotePrefix="0" xfId="0">
      <alignment horizontal="right"/>
      <protection locked="0" hidden="0"/>
    </xf>
    <xf numFmtId="0" fontId="3" fillId="0" borderId="347" pivotButton="0" quotePrefix="0" xfId="0"/>
    <xf numFmtId="0" fontId="3" fillId="44" borderId="360" applyProtection="1" pivotButton="0" quotePrefix="0" xfId="0">
      <protection locked="0" hidden="0"/>
    </xf>
    <xf numFmtId="1" fontId="3" fillId="6" borderId="365" pivotButton="0" quotePrefix="0" xfId="0"/>
    <xf numFmtId="0" fontId="2" fillId="20" borderId="368" pivotButton="0" quotePrefix="0" xfId="0"/>
    <xf numFmtId="0" fontId="3" fillId="44" borderId="348" applyProtection="1" pivotButton="0" quotePrefix="0" xfId="0">
      <protection locked="0" hidden="0"/>
    </xf>
    <xf numFmtId="0" fontId="3" fillId="44" borderId="350" applyProtection="1" pivotButton="0" quotePrefix="0" xfId="0">
      <protection locked="0" hidden="0"/>
    </xf>
    <xf numFmtId="1" fontId="3" fillId="0" borderId="354" applyAlignment="1" pivotButton="0" quotePrefix="0" xfId="0">
      <alignment wrapText="1"/>
    </xf>
    <xf numFmtId="1" fontId="3" fillId="4" borderId="361" applyProtection="1" pivotButton="0" quotePrefix="0" xfId="0">
      <protection locked="0" hidden="0"/>
    </xf>
    <xf numFmtId="1" fontId="3" fillId="0" borderId="365" applyAlignment="1" pivotButton="0" quotePrefix="0" xfId="0">
      <alignment horizontal="center" vertical="center" wrapText="1"/>
    </xf>
    <xf numFmtId="1" fontId="3" fillId="4" borderId="354" applyAlignment="1" applyProtection="1" pivotButton="0" quotePrefix="0" xfId="0">
      <alignment wrapText="1"/>
      <protection locked="0" hidden="0"/>
    </xf>
    <xf numFmtId="1" fontId="3" fillId="22" borderId="354" applyProtection="1" pivotButton="0" quotePrefix="0" xfId="0">
      <protection locked="0" hidden="0"/>
    </xf>
    <xf numFmtId="0" fontId="3" fillId="44" borderId="354" applyProtection="1" pivotButton="0" quotePrefix="0" xfId="0">
      <protection locked="0" hidden="0"/>
    </xf>
    <xf numFmtId="0" fontId="3" fillId="51" borderId="354" pivotButton="0" quotePrefix="0" xfId="0"/>
    <xf numFmtId="1" fontId="3" fillId="0" borderId="355" pivotButton="0" quotePrefix="0" xfId="0"/>
    <xf numFmtId="1" fontId="3" fillId="28" borderId="354" applyAlignment="1" pivotButton="0" quotePrefix="0" xfId="0">
      <alignment horizontal="right"/>
    </xf>
    <xf numFmtId="1" fontId="3" fillId="4" borderId="354" applyAlignment="1" applyProtection="1" pivotButton="0" quotePrefix="0" xfId="0">
      <alignment horizontal="right" vertical="center" wrapText="1"/>
      <protection locked="0" hidden="0"/>
    </xf>
    <xf numFmtId="1" fontId="3" fillId="4" borderId="355" applyAlignment="1" applyProtection="1" pivotButton="0" quotePrefix="0" xfId="0">
      <alignment horizontal="right" vertical="center" wrapText="1"/>
      <protection locked="0" hidden="0"/>
    </xf>
    <xf numFmtId="1" fontId="3" fillId="4" borderId="357" applyAlignment="1" applyProtection="1" pivotButton="0" quotePrefix="0" xfId="0">
      <alignment horizontal="right" vertical="center" wrapText="1"/>
      <protection locked="0" hidden="0"/>
    </xf>
    <xf numFmtId="1" fontId="3" fillId="4" borderId="365" applyProtection="1" pivotButton="0" quotePrefix="0" xfId="0">
      <protection locked="0" hidden="0"/>
    </xf>
    <xf numFmtId="1" fontId="3" fillId="4" borderId="360" applyProtection="1" pivotButton="0" quotePrefix="0" xfId="0">
      <protection locked="0" hidden="0"/>
    </xf>
    <xf numFmtId="1" fontId="3" fillId="4" borderId="371" applyAlignment="1" applyProtection="1" pivotButton="0" quotePrefix="0" xfId="0">
      <alignment wrapText="1"/>
      <protection locked="0" hidden="0"/>
    </xf>
    <xf numFmtId="1" fontId="3" fillId="4" borderId="371" applyAlignment="1" applyProtection="1" pivotButton="0" quotePrefix="0" xfId="0">
      <alignment horizontal="right"/>
      <protection locked="0" hidden="0"/>
    </xf>
    <xf numFmtId="1" fontId="3" fillId="4" borderId="373" applyAlignment="1" applyProtection="1" pivotButton="0" quotePrefix="0" xfId="0">
      <alignment horizontal="right"/>
      <protection locked="0" hidden="0"/>
    </xf>
    <xf numFmtId="1" fontId="3" fillId="4" borderId="378" applyAlignment="1" applyProtection="1" pivotButton="0" quotePrefix="0" xfId="6">
      <alignment horizontal="right"/>
      <protection locked="0" hidden="0"/>
    </xf>
    <xf numFmtId="1" fontId="3" fillId="0" borderId="384" pivotButton="0" quotePrefix="0" xfId="0"/>
    <xf numFmtId="1" fontId="3" fillId="4" borderId="386" applyProtection="1" pivotButton="0" quotePrefix="0" xfId="0">
      <protection locked="0" hidden="0"/>
    </xf>
    <xf numFmtId="1" fontId="3" fillId="4" borderId="383" applyProtection="1" pivotButton="0" quotePrefix="0" xfId="0">
      <protection locked="0" hidden="0"/>
    </xf>
    <xf numFmtId="0" fontId="3" fillId="0" borderId="384" pivotButton="0" quotePrefix="0" xfId="0"/>
    <xf numFmtId="1" fontId="3" fillId="0" borderId="380" pivotButton="0" quotePrefix="0" xfId="0"/>
    <xf numFmtId="1" fontId="3" fillId="4" borderId="390" applyAlignment="1" applyProtection="1" pivotButton="0" quotePrefix="0" xfId="0">
      <alignment horizontal="right"/>
      <protection locked="0" hidden="0"/>
    </xf>
    <xf numFmtId="1" fontId="3" fillId="0" borderId="394" applyAlignment="1" pivotButton="0" quotePrefix="0" xfId="0">
      <alignment horizontal="right" vertical="center"/>
    </xf>
    <xf numFmtId="1" fontId="3" fillId="4" borderId="394" applyAlignment="1" applyProtection="1" pivotButton="0" quotePrefix="0" xfId="0">
      <alignment horizontal="right"/>
      <protection locked="0" hidden="0"/>
    </xf>
    <xf numFmtId="1" fontId="3" fillId="4" borderId="389" applyAlignment="1" applyProtection="1" pivotButton="0" quotePrefix="0" xfId="0">
      <alignment horizontal="right"/>
      <protection locked="0" hidden="0"/>
    </xf>
    <xf numFmtId="1" fontId="3" fillId="4" borderId="385" applyAlignment="1" applyProtection="1" pivotButton="0" quotePrefix="0" xfId="0">
      <alignment horizontal="right"/>
      <protection locked="0" hidden="0"/>
    </xf>
    <xf numFmtId="1" fontId="3" fillId="4" borderId="382" applyAlignment="1" applyProtection="1" pivotButton="0" quotePrefix="0" xfId="0">
      <alignment horizontal="right"/>
      <protection locked="0" hidden="0"/>
    </xf>
    <xf numFmtId="1" fontId="3" fillId="4" borderId="391" applyAlignment="1" applyProtection="1" pivotButton="0" quotePrefix="0" xfId="0">
      <alignment horizontal="right"/>
      <protection locked="0" hidden="0"/>
    </xf>
    <xf numFmtId="1" fontId="3" fillId="4" borderId="396" applyAlignment="1" applyProtection="1" pivotButton="0" quotePrefix="0" xfId="0">
      <alignment horizontal="right"/>
      <protection locked="0" hidden="0"/>
    </xf>
    <xf numFmtId="1" fontId="3" fillId="0" borderId="393" applyAlignment="1" pivotButton="0" quotePrefix="0" xfId="0">
      <alignment vertical="center" wrapText="1"/>
    </xf>
    <xf numFmtId="1" fontId="3" fillId="0" borderId="394" applyAlignment="1" pivotButton="0" quotePrefix="0" xfId="0">
      <alignment horizontal="right" vertical="center" wrapText="1"/>
    </xf>
    <xf numFmtId="1" fontId="3" fillId="0" borderId="394" applyAlignment="1" pivotButton="0" quotePrefix="0" xfId="0">
      <alignment vertical="center" wrapText="1"/>
    </xf>
    <xf numFmtId="1" fontId="3" fillId="7" borderId="394" applyAlignment="1" pivotButton="0" quotePrefix="0" xfId="0">
      <alignment horizontal="right"/>
    </xf>
    <xf numFmtId="1" fontId="3" fillId="7" borderId="389" applyAlignment="1" pivotButton="0" quotePrefix="0" xfId="0">
      <alignment horizontal="right"/>
    </xf>
    <xf numFmtId="1" fontId="3" fillId="0" borderId="399" applyAlignment="1" pivotButton="0" quotePrefix="0" xfId="0">
      <alignment horizontal="right" vertical="center" wrapText="1"/>
    </xf>
    <xf numFmtId="1" fontId="3" fillId="0" borderId="378" applyAlignment="1" pivotButton="0" quotePrefix="0" xfId="0">
      <alignment horizontal="right" vertical="center"/>
    </xf>
    <xf numFmtId="1" fontId="3" fillId="4" borderId="399" applyAlignment="1" applyProtection="1" pivotButton="0" quotePrefix="0" xfId="0">
      <alignment horizontal="right"/>
      <protection locked="0" hidden="0"/>
    </xf>
    <xf numFmtId="1" fontId="3" fillId="4" borderId="378" applyAlignment="1" applyProtection="1" pivotButton="0" quotePrefix="0" xfId="0">
      <alignment horizontal="right"/>
      <protection locked="0" hidden="0"/>
    </xf>
    <xf numFmtId="1" fontId="3" fillId="4" borderId="383" applyAlignment="1" applyProtection="1" pivotButton="0" quotePrefix="0" xfId="0">
      <alignment horizontal="right"/>
      <protection locked="0" hidden="0"/>
    </xf>
    <xf numFmtId="1" fontId="3" fillId="4" borderId="388" applyAlignment="1" applyProtection="1" pivotButton="0" quotePrefix="0" xfId="0">
      <alignment horizontal="right"/>
      <protection locked="0" hidden="0"/>
    </xf>
    <xf numFmtId="1" fontId="3" fillId="4" borderId="400" applyAlignment="1" applyProtection="1" pivotButton="0" quotePrefix="0" xfId="0">
      <alignment horizontal="right"/>
      <protection locked="0" hidden="0"/>
    </xf>
    <xf numFmtId="1" fontId="3" fillId="4" borderId="401" applyAlignment="1" applyProtection="1" pivotButton="0" quotePrefix="0" xfId="0">
      <alignment horizontal="right"/>
      <protection locked="0" hidden="0"/>
    </xf>
    <xf numFmtId="1" fontId="3" fillId="4" borderId="402" applyAlignment="1" applyProtection="1" pivotButton="0" quotePrefix="0" xfId="0">
      <alignment horizontal="right"/>
      <protection locked="0" hidden="0"/>
    </xf>
    <xf numFmtId="1" fontId="3" fillId="0" borderId="380" applyAlignment="1" pivotButton="0" quotePrefix="0" xfId="0">
      <alignment vertical="center" wrapText="1"/>
    </xf>
    <xf numFmtId="1" fontId="3" fillId="0" borderId="403" applyAlignment="1" pivotButton="0" quotePrefix="0" xfId="0">
      <alignment vertical="center" wrapText="1"/>
    </xf>
    <xf numFmtId="1" fontId="3" fillId="4" borderId="404" applyAlignment="1" applyProtection="1" pivotButton="0" quotePrefix="0" xfId="0">
      <alignment horizontal="right"/>
      <protection locked="0" hidden="0"/>
    </xf>
    <xf numFmtId="1" fontId="3" fillId="4" borderId="405" applyAlignment="1" applyProtection="1" pivotButton="0" quotePrefix="0" xfId="0">
      <alignment horizontal="right"/>
      <protection locked="0" hidden="0"/>
    </xf>
    <xf numFmtId="1" fontId="3" fillId="4" borderId="406" applyAlignment="1" applyProtection="1" pivotButton="0" quotePrefix="0" xfId="0">
      <alignment horizontal="right"/>
      <protection locked="0" hidden="0"/>
    </xf>
    <xf numFmtId="1" fontId="3" fillId="0" borderId="384" applyAlignment="1" pivotButton="0" quotePrefix="0" xfId="0">
      <alignment vertical="center" wrapText="1"/>
    </xf>
    <xf numFmtId="1" fontId="3" fillId="7" borderId="406" pivotButton="0" quotePrefix="0" xfId="14"/>
    <xf numFmtId="1" fontId="3" fillId="4" borderId="407" applyAlignment="1" applyProtection="1" pivotButton="0" quotePrefix="0" xfId="0">
      <alignment horizontal="right"/>
      <protection locked="0" hidden="0"/>
    </xf>
    <xf numFmtId="1" fontId="3" fillId="4" borderId="387" applyAlignment="1" applyProtection="1" pivotButton="0" quotePrefix="0" xfId="0">
      <alignment horizontal="right"/>
      <protection locked="0" hidden="0"/>
    </xf>
    <xf numFmtId="1" fontId="3" fillId="4" borderId="386" applyAlignment="1" applyProtection="1" pivotButton="0" quotePrefix="0" xfId="0">
      <alignment horizontal="right"/>
      <protection locked="0" hidden="0"/>
    </xf>
    <xf numFmtId="1" fontId="3" fillId="7" borderId="399" applyAlignment="1" pivotButton="0" quotePrefix="0" xfId="0">
      <alignment horizontal="right"/>
    </xf>
    <xf numFmtId="1" fontId="3" fillId="7" borderId="383" applyAlignment="1" pivotButton="0" quotePrefix="0" xfId="0">
      <alignment horizontal="right"/>
    </xf>
    <xf numFmtId="1" fontId="3" fillId="0" borderId="393" applyAlignment="1" pivotButton="0" quotePrefix="0" xfId="0">
      <alignment horizontal="left" vertical="center"/>
    </xf>
    <xf numFmtId="1" fontId="3" fillId="0" borderId="393" applyAlignment="1" pivotButton="0" quotePrefix="0" xfId="0">
      <alignment horizontal="left" vertical="center" wrapText="1"/>
    </xf>
    <xf numFmtId="1" fontId="3" fillId="0" borderId="405" applyAlignment="1" pivotButton="0" quotePrefix="0" xfId="0">
      <alignment horizontal="right" vertical="center"/>
    </xf>
    <xf numFmtId="1" fontId="3" fillId="4" borderId="408" applyProtection="1" pivotButton="0" quotePrefix="0" xfId="14">
      <protection locked="0" hidden="0"/>
    </xf>
    <xf numFmtId="1" fontId="3" fillId="4" borderId="406" applyProtection="1" pivotButton="0" quotePrefix="0" xfId="14">
      <protection locked="0" hidden="0"/>
    </xf>
    <xf numFmtId="1" fontId="3" fillId="0" borderId="390" applyAlignment="1" pivotButton="0" quotePrefix="0" xfId="0">
      <alignment horizontal="right"/>
    </xf>
    <xf numFmtId="1" fontId="3" fillId="0" borderId="394" applyAlignment="1" pivotButton="0" quotePrefix="0" xfId="0">
      <alignment horizontal="right"/>
    </xf>
    <xf numFmtId="1" fontId="3" fillId="0" borderId="382" applyAlignment="1" pivotButton="0" quotePrefix="0" xfId="0">
      <alignment horizontal="right"/>
    </xf>
    <xf numFmtId="1" fontId="3" fillId="4" borderId="404" applyProtection="1" pivotButton="0" quotePrefix="0" xfId="14">
      <protection locked="0" hidden="0"/>
    </xf>
    <xf numFmtId="1" fontId="3" fillId="4" borderId="409" applyProtection="1" pivotButton="0" quotePrefix="0" xfId="14">
      <protection locked="0" hidden="0"/>
    </xf>
    <xf numFmtId="1" fontId="3" fillId="0" borderId="378" applyAlignment="1" pivotButton="0" quotePrefix="0" xfId="14">
      <alignment horizontal="right"/>
    </xf>
    <xf numFmtId="1" fontId="3" fillId="4" borderId="378" applyProtection="1" pivotButton="0" quotePrefix="0" xfId="14">
      <protection locked="0" hidden="0"/>
    </xf>
    <xf numFmtId="1" fontId="3" fillId="4" borderId="401" applyProtection="1" pivotButton="0" quotePrefix="0" xfId="14">
      <protection locked="0" hidden="0"/>
    </xf>
    <xf numFmtId="1" fontId="3" fillId="4" borderId="373" applyProtection="1" pivotButton="0" quotePrefix="0" xfId="0">
      <protection locked="0" hidden="0"/>
    </xf>
    <xf numFmtId="1" fontId="3" fillId="0" borderId="393" pivotButton="0" quotePrefix="0" xfId="0"/>
    <xf numFmtId="1" fontId="3" fillId="0" borderId="389" applyAlignment="1" pivotButton="0" quotePrefix="0" xfId="0">
      <alignment horizontal="right"/>
    </xf>
    <xf numFmtId="1" fontId="3" fillId="4" borderId="394" applyProtection="1" pivotButton="0" quotePrefix="0" xfId="0">
      <protection locked="0" hidden="0"/>
    </xf>
    <xf numFmtId="1" fontId="3" fillId="4" borderId="389" applyProtection="1" pivotButton="0" quotePrefix="0" xfId="0">
      <protection locked="0" hidden="0"/>
    </xf>
    <xf numFmtId="1" fontId="3" fillId="4" borderId="382" applyProtection="1" pivotButton="0" quotePrefix="0" xfId="0">
      <protection locked="0" hidden="0"/>
    </xf>
    <xf numFmtId="1" fontId="3" fillId="4" borderId="393" applyProtection="1" pivotButton="0" quotePrefix="0" xfId="0">
      <protection locked="0" hidden="0"/>
    </xf>
    <xf numFmtId="1" fontId="3" fillId="0" borderId="399" applyAlignment="1" pivotButton="0" quotePrefix="0" xfId="0">
      <alignment horizontal="right"/>
    </xf>
    <xf numFmtId="1" fontId="3" fillId="0" borderId="388" applyAlignment="1" pivotButton="0" quotePrefix="0" xfId="0">
      <alignment horizontal="right"/>
    </xf>
    <xf numFmtId="1" fontId="3" fillId="0" borderId="378" applyAlignment="1" pivotButton="0" quotePrefix="0" xfId="0">
      <alignment horizontal="right"/>
    </xf>
    <xf numFmtId="1" fontId="3" fillId="4" borderId="408" applyProtection="1" pivotButton="0" quotePrefix="0" xfId="0">
      <protection locked="0" hidden="0"/>
    </xf>
    <xf numFmtId="1" fontId="3" fillId="4" borderId="406" applyProtection="1" pivotButton="0" quotePrefix="0" xfId="0">
      <protection locked="0" hidden="0"/>
    </xf>
    <xf numFmtId="1" fontId="3" fillId="4" borderId="410" applyProtection="1" pivotButton="0" quotePrefix="0" xfId="0">
      <protection locked="0" hidden="0"/>
    </xf>
    <xf numFmtId="1" fontId="3" fillId="4" borderId="411" applyProtection="1" pivotButton="0" quotePrefix="0" xfId="0">
      <protection locked="0" hidden="0"/>
    </xf>
    <xf numFmtId="1" fontId="3" fillId="4" borderId="409" applyProtection="1" pivotButton="0" quotePrefix="0" xfId="0">
      <protection locked="0" hidden="0"/>
    </xf>
    <xf numFmtId="1" fontId="3" fillId="4" borderId="412" applyProtection="1" pivotButton="0" quotePrefix="0" xfId="0">
      <protection locked="0" hidden="0"/>
    </xf>
    <xf numFmtId="1" fontId="3" fillId="4" borderId="413" applyProtection="1" pivotButton="0" quotePrefix="0" xfId="0">
      <protection locked="0" hidden="0"/>
    </xf>
    <xf numFmtId="1" fontId="3" fillId="4" borderId="390" applyProtection="1" pivotButton="0" quotePrefix="0" xfId="0">
      <protection locked="0" hidden="0"/>
    </xf>
    <xf numFmtId="1" fontId="3" fillId="0" borderId="407" pivotButton="0" quotePrefix="0" xfId="0"/>
    <xf numFmtId="1" fontId="3" fillId="4" borderId="399" applyProtection="1" pivotButton="0" quotePrefix="0" xfId="0">
      <protection locked="0" hidden="0"/>
    </xf>
    <xf numFmtId="1" fontId="3" fillId="0" borderId="412" applyAlignment="1" pivotButton="0" quotePrefix="0" xfId="0">
      <alignment vertical="center"/>
    </xf>
    <xf numFmtId="1" fontId="3" fillId="0" borderId="408" applyAlignment="1" pivotButton="0" quotePrefix="0" xfId="0">
      <alignment horizontal="right"/>
    </xf>
    <xf numFmtId="1" fontId="3" fillId="0" borderId="410" applyAlignment="1" pivotButton="0" quotePrefix="0" xfId="0">
      <alignment horizontal="right"/>
    </xf>
    <xf numFmtId="1" fontId="3" fillId="4" borderId="378" applyProtection="1" pivotButton="0" quotePrefix="0" xfId="0">
      <protection locked="0" hidden="0"/>
    </xf>
    <xf numFmtId="1" fontId="3" fillId="4" borderId="388" applyProtection="1" pivotButton="0" quotePrefix="0" xfId="0">
      <protection locked="0" hidden="0"/>
    </xf>
    <xf numFmtId="1" fontId="3" fillId="4" borderId="400" applyProtection="1" pivotButton="0" quotePrefix="0" xfId="0">
      <protection locked="0" hidden="0"/>
    </xf>
    <xf numFmtId="1" fontId="3" fillId="4" borderId="407" applyProtection="1" pivotButton="0" quotePrefix="0" xfId="0">
      <protection locked="0" hidden="0"/>
    </xf>
    <xf numFmtId="1" fontId="3" fillId="7" borderId="390" applyAlignment="1" pivotButton="0" quotePrefix="0" xfId="0">
      <alignment horizontal="right"/>
    </xf>
    <xf numFmtId="1" fontId="3" fillId="3" borderId="382" applyAlignment="1" pivotButton="0" quotePrefix="0" xfId="0">
      <alignment horizontal="right" wrapText="1"/>
    </xf>
    <xf numFmtId="1" fontId="3" fillId="4" borderId="408" applyAlignment="1" applyProtection="1" pivotButton="0" quotePrefix="0" xfId="0">
      <alignment horizontal="right"/>
      <protection locked="0" hidden="0"/>
    </xf>
    <xf numFmtId="1" fontId="3" fillId="4" borderId="409" applyAlignment="1" applyProtection="1" pivotButton="0" quotePrefix="0" xfId="0">
      <alignment horizontal="right"/>
      <protection locked="0" hidden="0"/>
    </xf>
    <xf numFmtId="1" fontId="3" fillId="4" borderId="410" applyAlignment="1" applyProtection="1" pivotButton="0" quotePrefix="0" xfId="0">
      <alignment horizontal="right"/>
      <protection locked="0" hidden="0"/>
    </xf>
    <xf numFmtId="1" fontId="3" fillId="4" borderId="411" applyAlignment="1" applyProtection="1" pivotButton="0" quotePrefix="0" xfId="0">
      <alignment horizontal="right"/>
      <protection locked="0" hidden="0"/>
    </xf>
    <xf numFmtId="1" fontId="3" fillId="3" borderId="399" applyAlignment="1" pivotButton="0" quotePrefix="0" xfId="0">
      <alignment horizontal="right" wrapText="1"/>
    </xf>
    <xf numFmtId="1" fontId="3" fillId="3" borderId="388" applyAlignment="1" pivotButton="0" quotePrefix="0" xfId="0">
      <alignment horizontal="right" wrapText="1"/>
    </xf>
    <xf numFmtId="1" fontId="3" fillId="3" borderId="393" pivotButton="0" quotePrefix="0" xfId="0"/>
    <xf numFmtId="1" fontId="3" fillId="0" borderId="407" applyAlignment="1" pivotButton="0" quotePrefix="0" xfId="0">
      <alignment vertical="center" wrapText="1"/>
    </xf>
    <xf numFmtId="1" fontId="3" fillId="3" borderId="394" applyAlignment="1" pivotButton="0" quotePrefix="0" xfId="0">
      <alignment horizontal="right" wrapText="1"/>
    </xf>
    <xf numFmtId="1" fontId="3" fillId="3" borderId="389" applyAlignment="1" pivotButton="0" quotePrefix="0" xfId="0">
      <alignment horizontal="right"/>
    </xf>
    <xf numFmtId="1" fontId="3" fillId="4" borderId="414" applyAlignment="1" applyProtection="1" pivotButton="0" quotePrefix="0" xfId="0">
      <alignment horizontal="right"/>
      <protection locked="0" hidden="0"/>
    </xf>
    <xf numFmtId="1" fontId="3" fillId="0" borderId="380" applyAlignment="1" pivotButton="0" quotePrefix="0" xfId="0">
      <alignment wrapText="1"/>
    </xf>
    <xf numFmtId="1" fontId="3" fillId="3" borderId="382" applyAlignment="1" pivotButton="0" quotePrefix="0" xfId="0">
      <alignment vertical="center" wrapText="1"/>
    </xf>
    <xf numFmtId="1" fontId="3" fillId="3" borderId="388" applyAlignment="1" pivotButton="0" quotePrefix="0" xfId="0">
      <alignment vertical="center" wrapText="1"/>
    </xf>
    <xf numFmtId="1" fontId="3" fillId="5" borderId="410" applyAlignment="1" pivotButton="0" quotePrefix="0" xfId="0">
      <alignment horizontal="right"/>
    </xf>
    <xf numFmtId="1" fontId="3" fillId="5" borderId="409" applyAlignment="1" pivotButton="0" quotePrefix="0" xfId="0">
      <alignment horizontal="right"/>
    </xf>
    <xf numFmtId="1" fontId="3" fillId="5" borderId="384" applyAlignment="1" pivotButton="0" quotePrefix="0" xfId="0">
      <alignment horizontal="right"/>
    </xf>
    <xf numFmtId="1" fontId="3" fillId="0" borderId="380" applyAlignment="1" pivotButton="0" quotePrefix="0" xfId="0">
      <alignment horizontal="left" vertical="center" wrapText="1"/>
    </xf>
    <xf numFmtId="1" fontId="3" fillId="0" borderId="384" applyAlignment="1" pivotButton="0" quotePrefix="0" xfId="0">
      <alignment horizontal="left" vertical="center" wrapText="1"/>
    </xf>
    <xf numFmtId="1" fontId="3" fillId="5" borderId="378" applyAlignment="1" pivotButton="0" quotePrefix="0" xfId="0">
      <alignment horizontal="right"/>
    </xf>
    <xf numFmtId="1" fontId="3" fillId="3" borderId="399" applyAlignment="1" pivotButton="0" quotePrefix="0" xfId="0">
      <alignment vertical="center" wrapText="1"/>
    </xf>
    <xf numFmtId="1" fontId="3" fillId="3" borderId="378" applyAlignment="1" pivotButton="0" quotePrefix="0" xfId="0">
      <alignment vertical="center" wrapText="1"/>
    </xf>
    <xf numFmtId="1" fontId="3" fillId="4" borderId="380" applyProtection="1" pivotButton="0" quotePrefix="0" xfId="0">
      <protection locked="0" hidden="0"/>
    </xf>
    <xf numFmtId="1" fontId="3" fillId="4" borderId="381" applyProtection="1" pivotButton="0" quotePrefix="0" xfId="0">
      <protection locked="0" hidden="0"/>
    </xf>
    <xf numFmtId="1" fontId="3" fillId="4" borderId="391" applyProtection="1" pivotButton="0" quotePrefix="0" xfId="0">
      <protection locked="0" hidden="0"/>
    </xf>
    <xf numFmtId="1" fontId="3" fillId="4" borderId="384" applyProtection="1" pivotButton="0" quotePrefix="0" xfId="0">
      <protection locked="0" hidden="0"/>
    </xf>
    <xf numFmtId="1" fontId="3" fillId="4" borderId="402" applyProtection="1" pivotButton="0" quotePrefix="0" xfId="0">
      <protection locked="0" hidden="0"/>
    </xf>
    <xf numFmtId="1" fontId="3" fillId="4" borderId="387" applyProtection="1" pivotButton="0" quotePrefix="0" xfId="0">
      <protection locked="0" hidden="0"/>
    </xf>
    <xf numFmtId="1" fontId="3" fillId="4" borderId="415" applyProtection="1" pivotButton="0" quotePrefix="0" xfId="0">
      <protection locked="0" hidden="0"/>
    </xf>
    <xf numFmtId="1" fontId="3" fillId="4" borderId="401" applyProtection="1" pivotButton="0" quotePrefix="0" xfId="0">
      <protection locked="0" hidden="0"/>
    </xf>
    <xf numFmtId="1" fontId="3" fillId="4" borderId="405" applyProtection="1" pivotButton="0" quotePrefix="0" xfId="0">
      <protection locked="0" hidden="0"/>
    </xf>
    <xf numFmtId="1" fontId="3" fillId="4" borderId="403" applyProtection="1" pivotButton="0" quotePrefix="0" xfId="0">
      <protection locked="0" hidden="0"/>
    </xf>
    <xf numFmtId="1" fontId="3" fillId="4" borderId="404" applyProtection="1" pivotButton="0" quotePrefix="0" xfId="0">
      <protection locked="0" hidden="0"/>
    </xf>
    <xf numFmtId="1" fontId="3" fillId="4" borderId="416" applyProtection="1" pivotButton="0" quotePrefix="0" xfId="0">
      <protection locked="0" hidden="0"/>
    </xf>
    <xf numFmtId="1" fontId="3" fillId="0" borderId="378" applyAlignment="1" pivotButton="0" quotePrefix="0" xfId="0">
      <alignment vertical="center" wrapText="1"/>
    </xf>
    <xf numFmtId="1" fontId="3" fillId="6" borderId="378" pivotButton="0" quotePrefix="0" xfId="0"/>
    <xf numFmtId="1" fontId="3" fillId="6" borderId="390" pivotButton="0" quotePrefix="0" xfId="0"/>
    <xf numFmtId="1" fontId="3" fillId="0" borderId="380" applyAlignment="1" pivotButton="0" quotePrefix="0" xfId="0">
      <alignment horizontal="left" vertical="center"/>
    </xf>
    <xf numFmtId="1" fontId="3" fillId="0" borderId="403" applyAlignment="1" pivotButton="0" quotePrefix="0" xfId="0">
      <alignment horizontal="left" vertical="center"/>
    </xf>
    <xf numFmtId="1" fontId="3" fillId="6" borderId="386" pivotButton="0" quotePrefix="0" xfId="0"/>
    <xf numFmtId="1" fontId="3" fillId="5" borderId="406" applyAlignment="1" pivotButton="0" quotePrefix="0" xfId="0">
      <alignment horizontal="left" vertical="center" wrapText="1"/>
    </xf>
    <xf numFmtId="1" fontId="3" fillId="0" borderId="401" applyAlignment="1" pivotButton="0" quotePrefix="0" xfId="0">
      <alignment wrapText="1"/>
    </xf>
    <xf numFmtId="1" fontId="3" fillId="0" borderId="384" applyAlignment="1" pivotButton="0" quotePrefix="0" xfId="0">
      <alignment wrapText="1"/>
    </xf>
    <xf numFmtId="1" fontId="3" fillId="8" borderId="379" applyProtection="1" pivotButton="0" quotePrefix="0" xfId="0">
      <protection locked="0" hidden="0"/>
    </xf>
    <xf numFmtId="1" fontId="3" fillId="8" borderId="394" applyProtection="1" pivotButton="0" quotePrefix="0" xfId="0">
      <protection locked="0" hidden="0"/>
    </xf>
    <xf numFmtId="1" fontId="3" fillId="8" borderId="381" applyProtection="1" pivotButton="0" quotePrefix="0" xfId="0">
      <protection locked="0" hidden="0"/>
    </xf>
    <xf numFmtId="1" fontId="3" fillId="5" borderId="380" pivotButton="0" quotePrefix="0" xfId="0"/>
    <xf numFmtId="1" fontId="3" fillId="8" borderId="399" applyProtection="1" pivotButton="0" quotePrefix="0" xfId="0">
      <protection locked="0" hidden="0"/>
    </xf>
    <xf numFmtId="1" fontId="3" fillId="8" borderId="415" applyProtection="1" pivotButton="0" quotePrefix="0" xfId="0">
      <protection locked="0" hidden="0"/>
    </xf>
    <xf numFmtId="1" fontId="3" fillId="4" borderId="418" applyProtection="1" pivotButton="0" quotePrefix="0" xfId="0">
      <protection locked="0" hidden="0"/>
    </xf>
    <xf numFmtId="1" fontId="3" fillId="0" borderId="405" applyAlignment="1" pivotButton="0" quotePrefix="0" xfId="0">
      <alignment horizontal="right"/>
    </xf>
    <xf numFmtId="1" fontId="3" fillId="0" borderId="409" applyAlignment="1" pivotButton="0" quotePrefix="0" xfId="0">
      <alignment horizontal="right"/>
    </xf>
    <xf numFmtId="1" fontId="3" fillId="7" borderId="390" pivotButton="0" quotePrefix="0" xfId="0"/>
    <xf numFmtId="1" fontId="3" fillId="0" borderId="407" applyAlignment="1" pivotButton="0" quotePrefix="0" xfId="0">
      <alignment horizontal="left"/>
    </xf>
    <xf numFmtId="1" fontId="3" fillId="0" borderId="399" applyAlignment="1" pivotButton="0" quotePrefix="0" xfId="0">
      <alignment horizontal="right" wrapText="1"/>
    </xf>
    <xf numFmtId="1" fontId="3" fillId="0" borderId="386" applyAlignment="1" pivotButton="0" quotePrefix="0" xfId="0">
      <alignment horizontal="right" wrapText="1"/>
    </xf>
    <xf numFmtId="1" fontId="3" fillId="0" borderId="394" applyAlignment="1" pivotButton="0" quotePrefix="0" xfId="0">
      <alignment horizontal="right" wrapText="1"/>
    </xf>
    <xf numFmtId="1" fontId="3" fillId="5" borderId="393" applyAlignment="1" pivotButton="0" quotePrefix="0" xfId="0">
      <alignment horizontal="left" vertical="center" wrapText="1"/>
    </xf>
    <xf numFmtId="1" fontId="3" fillId="5" borderId="389" applyAlignment="1" pivotButton="0" quotePrefix="0" xfId="0">
      <alignment horizontal="left" vertical="center" wrapText="1"/>
    </xf>
    <xf numFmtId="1" fontId="3" fillId="5" borderId="391" applyAlignment="1" pivotButton="0" quotePrefix="0" xfId="0">
      <alignment horizontal="left" vertical="center" wrapText="1"/>
    </xf>
    <xf numFmtId="1" fontId="3" fillId="4" borderId="394" applyAlignment="1" applyProtection="1" pivotButton="0" quotePrefix="0" xfId="0">
      <alignment horizontal="right" vertical="center" wrapText="1"/>
      <protection locked="0" hidden="0"/>
    </xf>
    <xf numFmtId="1" fontId="3" fillId="4" borderId="389" applyAlignment="1" applyProtection="1" pivotButton="0" quotePrefix="0" xfId="0">
      <alignment horizontal="right" vertical="center" wrapText="1"/>
      <protection locked="0" hidden="0"/>
    </xf>
    <xf numFmtId="1" fontId="3" fillId="4" borderId="408" applyAlignment="1" applyProtection="1" pivotButton="0" quotePrefix="0" xfId="0">
      <alignment horizontal="right" vertical="center" wrapText="1"/>
      <protection locked="0" hidden="0"/>
    </xf>
    <xf numFmtId="1" fontId="3" fillId="4" borderId="406" applyAlignment="1" applyProtection="1" pivotButton="0" quotePrefix="0" xfId="0">
      <alignment horizontal="right" vertical="center" wrapText="1"/>
      <protection locked="0" hidden="0"/>
    </xf>
    <xf numFmtId="1" fontId="3" fillId="4" borderId="405" applyAlignment="1" applyProtection="1" pivotButton="0" quotePrefix="0" xfId="0">
      <alignment horizontal="right" vertical="center" wrapText="1"/>
      <protection locked="0" hidden="0"/>
    </xf>
    <xf numFmtId="1" fontId="3" fillId="3" borderId="389" applyAlignment="1" pivotButton="0" quotePrefix="0" xfId="0">
      <alignment horizontal="left" vertical="center" wrapText="1"/>
    </xf>
    <xf numFmtId="1" fontId="3" fillId="3" borderId="407" applyAlignment="1" pivotButton="0" quotePrefix="0" xfId="0">
      <alignment horizontal="left" vertical="center" wrapText="1"/>
    </xf>
    <xf numFmtId="1" fontId="3" fillId="3" borderId="378" applyAlignment="1" pivotButton="0" quotePrefix="0" xfId="0">
      <alignment horizontal="left" vertical="center" wrapText="1"/>
    </xf>
    <xf numFmtId="1" fontId="3" fillId="4" borderId="390" applyAlignment="1" applyProtection="1" pivotButton="0" quotePrefix="0" xfId="0">
      <alignment horizontal="right" vertical="center" wrapText="1"/>
      <protection locked="0" hidden="0"/>
    </xf>
    <xf numFmtId="1" fontId="3" fillId="0" borderId="380" applyAlignment="1" pivotButton="0" quotePrefix="0" xfId="0">
      <alignment horizontal="right" vertical="center" wrapText="1"/>
    </xf>
    <xf numFmtId="1" fontId="3" fillId="0" borderId="384" applyAlignment="1" pivotButton="0" quotePrefix="0" xfId="0">
      <alignment horizontal="right" vertical="center" wrapText="1"/>
    </xf>
    <xf numFmtId="1" fontId="3" fillId="4" borderId="399" applyAlignment="1" applyProtection="1" pivotButton="0" quotePrefix="0" xfId="0">
      <alignment horizontal="right" vertical="center" wrapText="1"/>
      <protection locked="0" hidden="0"/>
    </xf>
    <xf numFmtId="1" fontId="3" fillId="4" borderId="386" applyAlignment="1" applyProtection="1" pivotButton="0" quotePrefix="0" xfId="0">
      <alignment horizontal="right" vertical="center" wrapText="1"/>
      <protection locked="0" hidden="0"/>
    </xf>
    <xf numFmtId="1" fontId="3" fillId="4" borderId="378" applyAlignment="1" applyProtection="1" pivotButton="0" quotePrefix="0" xfId="0">
      <alignment horizontal="right" vertical="center" wrapText="1"/>
      <protection locked="0" hidden="0"/>
    </xf>
    <xf numFmtId="1" fontId="3" fillId="3" borderId="380" pivotButton="0" quotePrefix="0" xfId="0"/>
    <xf numFmtId="1" fontId="3" fillId="3" borderId="384" pivotButton="0" quotePrefix="0" xfId="0"/>
    <xf numFmtId="1" fontId="3" fillId="4" borderId="394" applyAlignment="1" applyProtection="1" pivotButton="0" quotePrefix="0" xfId="0">
      <alignment wrapText="1"/>
      <protection locked="0" hidden="0"/>
    </xf>
    <xf numFmtId="1" fontId="3" fillId="4" borderId="389" applyAlignment="1" applyProtection="1" pivotButton="0" quotePrefix="0" xfId="0">
      <alignment wrapText="1"/>
      <protection locked="0" hidden="0"/>
    </xf>
    <xf numFmtId="1" fontId="3" fillId="4" borderId="399" applyAlignment="1" applyProtection="1" pivotButton="0" quotePrefix="0" xfId="0">
      <alignment wrapText="1"/>
      <protection locked="0" hidden="0"/>
    </xf>
    <xf numFmtId="1" fontId="3" fillId="4" borderId="378" applyAlignment="1" applyProtection="1" pivotButton="0" quotePrefix="0" xfId="0">
      <alignment wrapText="1"/>
      <protection locked="0" hidden="0"/>
    </xf>
    <xf numFmtId="1" fontId="3" fillId="4" borderId="390" applyAlignment="1" applyProtection="1" pivotButton="0" quotePrefix="0" xfId="0">
      <alignment wrapText="1"/>
      <protection locked="0" hidden="0"/>
    </xf>
    <xf numFmtId="1" fontId="3" fillId="3" borderId="407" pivotButton="0" quotePrefix="0" xfId="0"/>
    <xf numFmtId="1" fontId="3" fillId="3" borderId="378" pivotButton="0" quotePrefix="0" xfId="0"/>
    <xf numFmtId="0" fontId="3" fillId="0" borderId="380" applyAlignment="1" pivotButton="0" quotePrefix="0" xfId="0">
      <alignment vertical="center"/>
    </xf>
    <xf numFmtId="0" fontId="3" fillId="0" borderId="380" pivotButton="0" quotePrefix="0" xfId="0"/>
    <xf numFmtId="1" fontId="3" fillId="0" borderId="394" applyAlignment="1" pivotButton="0" quotePrefix="0" xfId="0">
      <alignment wrapText="1"/>
    </xf>
    <xf numFmtId="1" fontId="3" fillId="4" borderId="382" applyAlignment="1" applyProtection="1" pivotButton="0" quotePrefix="0" xfId="0">
      <alignment wrapText="1"/>
      <protection locked="0" hidden="0"/>
    </xf>
    <xf numFmtId="1" fontId="3" fillId="4" borderId="405" applyAlignment="1" applyProtection="1" pivotButton="0" quotePrefix="0" xfId="0">
      <alignment horizontal="right" vertical="center"/>
      <protection locked="0" hidden="0"/>
    </xf>
    <xf numFmtId="1" fontId="3" fillId="0" borderId="403" pivotButton="0" quotePrefix="1" xfId="0"/>
    <xf numFmtId="1" fontId="3" fillId="4" borderId="403" applyAlignment="1" applyProtection="1" pivotButton="0" quotePrefix="0" xfId="0">
      <alignment horizontal="right" vertical="center"/>
      <protection locked="0" hidden="0"/>
    </xf>
    <xf numFmtId="1" fontId="3" fillId="4" borderId="410" applyAlignment="1" applyProtection="1" pivotButton="0" quotePrefix="0" xfId="0">
      <alignment horizontal="right" vertical="center"/>
      <protection locked="0" hidden="0"/>
    </xf>
    <xf numFmtId="1" fontId="3" fillId="7" borderId="389" pivotButton="0" quotePrefix="0" xfId="0"/>
    <xf numFmtId="1" fontId="3" fillId="0" borderId="407" applyAlignment="1" pivotButton="0" quotePrefix="0" xfId="0">
      <alignment horizontal="left" vertical="center" wrapText="1"/>
    </xf>
    <xf numFmtId="1" fontId="3" fillId="7" borderId="425" pivotButton="0" quotePrefix="0" xfId="0"/>
    <xf numFmtId="1" fontId="3" fillId="4" borderId="419" applyProtection="1" pivotButton="0" quotePrefix="0" xfId="0">
      <protection locked="0" hidden="0"/>
    </xf>
    <xf numFmtId="1" fontId="3" fillId="4" borderId="426" applyProtection="1" pivotButton="0" quotePrefix="0" xfId="0">
      <protection locked="0" hidden="0"/>
    </xf>
    <xf numFmtId="1" fontId="3" fillId="4" borderId="427" applyProtection="1" pivotButton="0" quotePrefix="0" xfId="0">
      <protection locked="0" hidden="0"/>
    </xf>
    <xf numFmtId="1" fontId="3" fillId="7" borderId="428" pivotButton="0" quotePrefix="0" xfId="0"/>
    <xf numFmtId="1" fontId="3" fillId="4" borderId="428" applyProtection="1" pivotButton="0" quotePrefix="0" xfId="0">
      <protection locked="0" hidden="0"/>
    </xf>
    <xf numFmtId="1" fontId="3" fillId="4" borderId="379" applyProtection="1" pivotButton="0" quotePrefix="0" xfId="0">
      <protection locked="0" hidden="0"/>
    </xf>
    <xf numFmtId="1" fontId="3" fillId="4" borderId="380" applyAlignment="1" applyProtection="1" pivotButton="0" quotePrefix="0" xfId="0">
      <alignment horizontal="right"/>
      <protection locked="0" hidden="0"/>
    </xf>
    <xf numFmtId="1" fontId="3" fillId="4" borderId="384" applyAlignment="1" applyProtection="1" pivotButton="0" quotePrefix="0" xfId="0">
      <alignment horizontal="right"/>
      <protection locked="0" hidden="0"/>
    </xf>
    <xf numFmtId="1" fontId="3" fillId="0" borderId="384" applyAlignment="1" applyProtection="1" pivotButton="0" quotePrefix="0" xfId="0">
      <alignment vertical="center" wrapText="1"/>
      <protection locked="1" hidden="1"/>
    </xf>
    <xf numFmtId="1" fontId="3" fillId="4" borderId="412" applyAlignment="1" applyProtection="1" pivotButton="0" quotePrefix="0" xfId="0">
      <alignment horizontal="right"/>
      <protection locked="0" hidden="0"/>
    </xf>
    <xf numFmtId="1" fontId="3" fillId="8" borderId="382" applyProtection="1" pivotButton="0" quotePrefix="0" xfId="0">
      <protection locked="0" hidden="0"/>
    </xf>
    <xf numFmtId="1" fontId="3" fillId="0" borderId="406" applyAlignment="1" pivotButton="0" quotePrefix="0" xfId="0">
      <alignment horizontal="left" vertical="center"/>
    </xf>
    <xf numFmtId="1" fontId="3" fillId="7" borderId="408" pivotButton="0" quotePrefix="0" xfId="0"/>
    <xf numFmtId="1" fontId="3" fillId="7" borderId="405" pivotButton="0" quotePrefix="0" xfId="0"/>
    <xf numFmtId="1" fontId="3" fillId="7" borderId="406" pivotButton="0" quotePrefix="0" xfId="0"/>
    <xf numFmtId="1" fontId="3" fillId="0" borderId="384" applyAlignment="1" pivotButton="0" quotePrefix="0" xfId="0">
      <alignment horizontal="left" vertical="center"/>
    </xf>
    <xf numFmtId="1" fontId="3" fillId="0" borderId="403" pivotButton="0" quotePrefix="0" xfId="0"/>
    <xf numFmtId="1" fontId="3" fillId="7" borderId="411" pivotButton="0" quotePrefix="0" xfId="0"/>
    <xf numFmtId="1" fontId="3" fillId="6" borderId="409" pivotButton="0" quotePrefix="0" xfId="0"/>
    <xf numFmtId="1" fontId="3" fillId="4" borderId="429" applyProtection="1" pivotButton="0" quotePrefix="0" xfId="0">
      <protection locked="0" hidden="0"/>
    </xf>
    <xf numFmtId="1" fontId="3" fillId="7" borderId="399" pivotButton="0" quotePrefix="0" xfId="0"/>
    <xf numFmtId="1" fontId="3" fillId="7" borderId="386" pivotButton="0" quotePrefix="0" xfId="0"/>
    <xf numFmtId="1" fontId="3" fillId="7" borderId="378" pivotButton="0" quotePrefix="0" xfId="0"/>
    <xf numFmtId="1" fontId="3" fillId="7" borderId="400" pivotButton="0" quotePrefix="0" xfId="0"/>
    <xf numFmtId="1" fontId="3" fillId="8" borderId="387" applyProtection="1" pivotButton="0" quotePrefix="0" xfId="0">
      <protection locked="0" hidden="0"/>
    </xf>
    <xf numFmtId="1" fontId="3" fillId="6" borderId="383" pivotButton="0" quotePrefix="0" xfId="0"/>
    <xf numFmtId="1" fontId="3" fillId="7" borderId="409" pivotButton="0" quotePrefix="0" xfId="0"/>
    <xf numFmtId="1" fontId="3" fillId="7" borderId="382" pivotButton="0" quotePrefix="0" xfId="0"/>
    <xf numFmtId="1" fontId="3" fillId="8" borderId="404" applyProtection="1" pivotButton="0" quotePrefix="0" xfId="0">
      <protection locked="0" hidden="0"/>
    </xf>
    <xf numFmtId="1" fontId="3" fillId="7" borderId="413" pivotButton="0" quotePrefix="0" xfId="0"/>
    <xf numFmtId="1" fontId="3" fillId="7" borderId="388" pivotButton="0" quotePrefix="0" xfId="0"/>
    <xf numFmtId="1" fontId="3" fillId="7" borderId="383" pivotButton="0" quotePrefix="0" xfId="0"/>
    <xf numFmtId="1" fontId="3" fillId="7" borderId="402" pivotButton="0" quotePrefix="0" xfId="0"/>
    <xf numFmtId="1" fontId="3" fillId="7" borderId="394" pivotButton="0" quotePrefix="0" xfId="0"/>
    <xf numFmtId="1" fontId="3" fillId="0" borderId="380" applyAlignment="1" pivotButton="0" quotePrefix="0" xfId="0">
      <alignment horizontal="left" wrapText="1"/>
    </xf>
    <xf numFmtId="1" fontId="3" fillId="3" borderId="380" applyAlignment="1" pivotButton="0" quotePrefix="0" xfId="0">
      <alignment horizontal="left" wrapText="1"/>
    </xf>
    <xf numFmtId="1" fontId="3" fillId="3" borderId="403" applyAlignment="1" pivotButton="0" quotePrefix="0" xfId="0">
      <alignment horizontal="left" vertical="top" wrapText="1"/>
    </xf>
    <xf numFmtId="1" fontId="3" fillId="4" borderId="430" applyProtection="1" pivotButton="0" quotePrefix="0" xfId="0">
      <protection locked="0" hidden="0"/>
    </xf>
    <xf numFmtId="1" fontId="3" fillId="4" borderId="414" applyProtection="1" pivotButton="0" quotePrefix="0" xfId="0">
      <protection locked="0" hidden="0"/>
    </xf>
    <xf numFmtId="1" fontId="3" fillId="0" borderId="384" applyAlignment="1" pivotButton="0" quotePrefix="0" xfId="0">
      <alignment horizontal="left" wrapText="1"/>
    </xf>
    <xf numFmtId="1" fontId="3" fillId="5" borderId="380" applyAlignment="1" pivotButton="0" quotePrefix="0" xfId="0">
      <alignment vertical="center"/>
    </xf>
    <xf numFmtId="1" fontId="3" fillId="4" borderId="394" applyAlignment="1" applyProtection="1" pivotButton="0" quotePrefix="0" xfId="0">
      <alignment vertical="center"/>
      <protection locked="0" hidden="0"/>
    </xf>
    <xf numFmtId="1" fontId="3" fillId="4" borderId="428" applyAlignment="1" applyProtection="1" pivotButton="0" quotePrefix="0" xfId="0">
      <alignment vertical="center"/>
      <protection locked="0" hidden="0"/>
    </xf>
    <xf numFmtId="1" fontId="3" fillId="5" borderId="378" applyAlignment="1" pivotButton="0" quotePrefix="0" xfId="0">
      <alignment vertical="center"/>
    </xf>
    <xf numFmtId="1" fontId="3" fillId="4" borderId="378" applyAlignment="1" applyProtection="1" pivotButton="0" quotePrefix="0" xfId="0">
      <alignment vertical="center"/>
      <protection locked="0" hidden="0"/>
    </xf>
    <xf numFmtId="1" fontId="3" fillId="0" borderId="380" applyAlignment="1" pivotButton="0" quotePrefix="0" xfId="0">
      <alignment vertical="center"/>
    </xf>
    <xf numFmtId="1" fontId="3" fillId="3" borderId="410" applyAlignment="1" pivotButton="0" quotePrefix="0" xfId="1">
      <alignment horizontal="right"/>
    </xf>
    <xf numFmtId="1" fontId="3" fillId="3" borderId="406" applyAlignment="1" pivotButton="0" quotePrefix="0" xfId="1">
      <alignment horizontal="right"/>
    </xf>
    <xf numFmtId="1" fontId="3" fillId="0" borderId="403" applyAlignment="1" pivotButton="0" quotePrefix="0" xfId="0">
      <alignment horizontal="left"/>
    </xf>
    <xf numFmtId="1" fontId="3" fillId="3" borderId="378" applyAlignment="1" pivotButton="0" quotePrefix="0" xfId="1">
      <alignment horizontal="right"/>
    </xf>
    <xf numFmtId="1" fontId="3" fillId="0" borderId="390" pivotButton="0" quotePrefix="0" xfId="0"/>
    <xf numFmtId="1" fontId="3" fillId="3" borderId="410" applyAlignment="1" pivotButton="0" quotePrefix="0" xfId="0">
      <alignment vertical="center" wrapText="1"/>
    </xf>
    <xf numFmtId="1" fontId="3" fillId="3" borderId="408" applyAlignment="1" pivotButton="0" quotePrefix="0" xfId="0">
      <alignment vertical="center" wrapText="1"/>
    </xf>
    <xf numFmtId="1" fontId="3" fillId="0" borderId="378" pivotButton="0" quotePrefix="0" xfId="0"/>
    <xf numFmtId="1" fontId="3" fillId="4" borderId="430" applyAlignment="1" applyProtection="1" pivotButton="0" quotePrefix="0" xfId="0">
      <alignment horizontal="right"/>
      <protection locked="0" hidden="0"/>
    </xf>
    <xf numFmtId="1" fontId="3" fillId="0" borderId="384" applyAlignment="1" pivotButton="0" quotePrefix="0" xfId="0">
      <alignment vertical="center"/>
    </xf>
    <xf numFmtId="1" fontId="3" fillId="4" borderId="388" applyAlignment="1" applyProtection="1" pivotButton="0" quotePrefix="0" xfId="0">
      <alignment wrapText="1"/>
      <protection locked="0" hidden="0"/>
    </xf>
    <xf numFmtId="1" fontId="3" fillId="4" borderId="402" applyAlignment="1" applyProtection="1" pivotButton="0" quotePrefix="0" xfId="0">
      <alignment wrapText="1"/>
      <protection locked="0" hidden="0"/>
    </xf>
    <xf numFmtId="1" fontId="3" fillId="4" borderId="387" applyAlignment="1" applyProtection="1" pivotButton="0" quotePrefix="0" xfId="0">
      <alignment wrapText="1"/>
      <protection locked="0" hidden="0"/>
    </xf>
    <xf numFmtId="1" fontId="3" fillId="0" borderId="378" applyAlignment="1" pivotButton="0" quotePrefix="0" xfId="0">
      <alignment wrapText="1"/>
    </xf>
    <xf numFmtId="1" fontId="3" fillId="0" borderId="399" applyAlignment="1" pivotButton="0" quotePrefix="0" xfId="0">
      <alignment wrapText="1"/>
    </xf>
    <xf numFmtId="1" fontId="3" fillId="0" borderId="386" applyAlignment="1" pivotButton="0" quotePrefix="0" xfId="0">
      <alignment wrapText="1"/>
    </xf>
    <xf numFmtId="1" fontId="3" fillId="5" borderId="384" pivotButton="0" quotePrefix="0" xfId="0"/>
    <xf numFmtId="1" fontId="3" fillId="0" borderId="403" applyAlignment="1" pivotButton="0" quotePrefix="0" xfId="0">
      <alignment horizontal="left" wrapText="1"/>
    </xf>
    <xf numFmtId="1" fontId="3" fillId="0" borderId="383" applyAlignment="1" pivotButton="0" quotePrefix="0" xfId="0">
      <alignment horizontal="center" vertical="center" wrapText="1"/>
    </xf>
    <xf numFmtId="1" fontId="3" fillId="3" borderId="401" applyAlignment="1" pivotButton="0" quotePrefix="0" xfId="0">
      <alignment horizontal="right" wrapText="1"/>
    </xf>
    <xf numFmtId="1" fontId="3" fillId="0" borderId="386" pivotButton="0" quotePrefix="0" xfId="0"/>
    <xf numFmtId="1" fontId="3" fillId="0" borderId="383" pivotButton="0" quotePrefix="0" xfId="0"/>
    <xf numFmtId="1" fontId="3" fillId="0" borderId="399" pivotButton="0" quotePrefix="0" xfId="0"/>
    <xf numFmtId="1" fontId="3" fillId="0" borderId="403" applyAlignment="1" pivotButton="0" quotePrefix="0" xfId="0">
      <alignment wrapText="1"/>
    </xf>
    <xf numFmtId="1" fontId="3" fillId="0" borderId="403" applyAlignment="1" pivotButton="0" quotePrefix="0" xfId="0">
      <alignment horizontal="right" vertical="center" wrapText="1"/>
    </xf>
    <xf numFmtId="1" fontId="3" fillId="0" borderId="408" applyAlignment="1" pivotButton="0" quotePrefix="0" xfId="0">
      <alignment wrapText="1"/>
    </xf>
    <xf numFmtId="1" fontId="3" fillId="0" borderId="405" applyAlignment="1" pivotButton="0" quotePrefix="0" xfId="0">
      <alignment wrapText="1"/>
    </xf>
    <xf numFmtId="1" fontId="3" fillId="0" borderId="406" applyAlignment="1" pivotButton="0" quotePrefix="0" xfId="0">
      <alignment wrapText="1"/>
    </xf>
    <xf numFmtId="1" fontId="3" fillId="6" borderId="416" pivotButton="0" quotePrefix="0" xfId="0"/>
    <xf numFmtId="1" fontId="3" fillId="0" borderId="390" applyAlignment="1" pivotButton="0" quotePrefix="0" xfId="0">
      <alignment wrapText="1"/>
    </xf>
    <xf numFmtId="1" fontId="3" fillId="6" borderId="379" pivotButton="0" quotePrefix="0" xfId="0"/>
    <xf numFmtId="0" fontId="3" fillId="0" borderId="401" pivotButton="0" quotePrefix="0" xfId="0"/>
    <xf numFmtId="1" fontId="3" fillId="6" borderId="387" pivotButton="0" quotePrefix="0" xfId="0"/>
    <xf numFmtId="1" fontId="3" fillId="6" borderId="406" pivotButton="0" quotePrefix="0" xfId="0"/>
    <xf numFmtId="1" fontId="3" fillId="6" borderId="399" pivotButton="0" quotePrefix="0" xfId="0"/>
    <xf numFmtId="1" fontId="3" fillId="9" borderId="378" applyProtection="1" pivotButton="0" quotePrefix="0" xfId="24">
      <protection locked="0" hidden="0"/>
    </xf>
    <xf numFmtId="1" fontId="3" fillId="9" borderId="408" applyProtection="1" pivotButton="0" quotePrefix="0" xfId="24">
      <protection locked="0" hidden="0"/>
    </xf>
    <xf numFmtId="0" fontId="3" fillId="0" borderId="378" applyAlignment="1" pivotButton="0" quotePrefix="0" xfId="0">
      <alignment vertical="center"/>
    </xf>
    <xf numFmtId="1" fontId="3" fillId="0" borderId="449" applyAlignment="1" pivotButton="0" quotePrefix="0" xfId="0">
      <alignment horizontal="left" vertical="center"/>
    </xf>
    <xf numFmtId="1" fontId="3" fillId="0" borderId="449" applyAlignment="1" pivotButton="0" quotePrefix="0" xfId="0">
      <alignment horizontal="left" vertical="center" wrapText="1"/>
    </xf>
    <xf numFmtId="1" fontId="3" fillId="6" borderId="378" pivotButton="0" quotePrefix="0" xfId="24"/>
    <xf numFmtId="1" fontId="3" fillId="0" borderId="388" pivotButton="0" quotePrefix="0" xfId="0"/>
    <xf numFmtId="1" fontId="3" fillId="0" borderId="452" pivotButton="0" quotePrefix="0" xfId="0"/>
    <xf numFmtId="1" fontId="3" fillId="0" borderId="410" pivotButton="0" quotePrefix="0" xfId="0"/>
    <xf numFmtId="1" fontId="3" fillId="0" borderId="409" pivotButton="0" quotePrefix="0" xfId="0"/>
    <xf numFmtId="1" fontId="3" fillId="0" borderId="408" pivotButton="0" quotePrefix="0" xfId="0"/>
    <xf numFmtId="1" fontId="3" fillId="0" borderId="411" pivotButton="0" quotePrefix="0" xfId="0"/>
    <xf numFmtId="1" fontId="3" fillId="36" borderId="404" applyProtection="1" pivotButton="0" quotePrefix="0" xfId="0">
      <protection locked="0" hidden="0"/>
    </xf>
    <xf numFmtId="1" fontId="3" fillId="36" borderId="409" applyProtection="1" pivotButton="0" quotePrefix="0" xfId="0">
      <protection locked="0" hidden="0"/>
    </xf>
    <xf numFmtId="1" fontId="3" fillId="36" borderId="410" applyProtection="1" pivotButton="0" quotePrefix="0" xfId="0">
      <protection locked="0" hidden="0"/>
    </xf>
    <xf numFmtId="1" fontId="3" fillId="36" borderId="408" applyProtection="1" pivotButton="0" quotePrefix="0" xfId="0">
      <protection locked="0" hidden="0"/>
    </xf>
    <xf numFmtId="1" fontId="3" fillId="7" borderId="401" pivotButton="0" quotePrefix="0" xfId="0"/>
    <xf numFmtId="1" fontId="3" fillId="7" borderId="415" pivotButton="0" quotePrefix="0" xfId="0"/>
    <xf numFmtId="1" fontId="3" fillId="0" borderId="404" pivotButton="0" quotePrefix="0" xfId="0"/>
    <xf numFmtId="1" fontId="3" fillId="0" borderId="413" pivotButton="0" quotePrefix="0" xfId="0"/>
    <xf numFmtId="1" fontId="3" fillId="6" borderId="404" pivotButton="0" quotePrefix="0" xfId="0"/>
    <xf numFmtId="1" fontId="3" fillId="6" borderId="410" pivotButton="0" quotePrefix="0" xfId="0"/>
    <xf numFmtId="1" fontId="3" fillId="6" borderId="408" pivotButton="0" quotePrefix="0" xfId="0"/>
    <xf numFmtId="1" fontId="3" fillId="8" borderId="406" applyProtection="1" pivotButton="0" quotePrefix="0" xfId="0">
      <protection locked="0" hidden="0"/>
    </xf>
    <xf numFmtId="1" fontId="3" fillId="8" borderId="410" applyProtection="1" pivotButton="0" quotePrefix="0" xfId="0">
      <protection locked="0" hidden="0"/>
    </xf>
    <xf numFmtId="1" fontId="3" fillId="6" borderId="378" applyProtection="1" pivotButton="0" quotePrefix="0" xfId="0">
      <protection locked="0" hidden="0"/>
    </xf>
    <xf numFmtId="1" fontId="3" fillId="0" borderId="448" pivotButton="0" quotePrefix="0" xfId="0"/>
    <xf numFmtId="1" fontId="3" fillId="0" borderId="403" applyAlignment="1" pivotButton="0" quotePrefix="0" xfId="0">
      <alignment horizontal="center" vertical="center" wrapText="1"/>
    </xf>
    <xf numFmtId="0" fontId="3" fillId="0" borderId="390" pivotButton="0" quotePrefix="0" xfId="0"/>
    <xf numFmtId="0" fontId="3" fillId="0" borderId="378" pivotButton="0" quotePrefix="0" xfId="0"/>
    <xf numFmtId="0" fontId="3" fillId="0" borderId="403" applyAlignment="1" pivotButton="0" quotePrefix="0" xfId="0">
      <alignment horizontal="left" vertical="center" wrapText="1"/>
    </xf>
    <xf numFmtId="1" fontId="3" fillId="7" borderId="378" applyAlignment="1" pivotButton="0" quotePrefix="0" xfId="0">
      <alignment vertical="center"/>
    </xf>
    <xf numFmtId="1" fontId="3" fillId="0" borderId="378" applyAlignment="1" pivotButton="0" quotePrefix="0" xfId="0">
      <alignment vertical="center"/>
    </xf>
    <xf numFmtId="1" fontId="3" fillId="0" borderId="461" applyAlignment="1" pivotButton="0" quotePrefix="0" xfId="0">
      <alignment horizontal="right" vertical="center"/>
    </xf>
    <xf numFmtId="1" fontId="3" fillId="3" borderId="378" applyAlignment="1" pivotButton="0" quotePrefix="0" xfId="23">
      <alignment horizontal="right" vertical="center"/>
    </xf>
    <xf numFmtId="1" fontId="3" fillId="8" borderId="378" applyAlignment="1" applyProtection="1" pivotButton="0" quotePrefix="0" xfId="0">
      <alignment vertical="center"/>
      <protection locked="0" hidden="0"/>
    </xf>
    <xf numFmtId="1" fontId="3" fillId="4" borderId="341" applyAlignment="1" applyProtection="1" pivotButton="0" quotePrefix="0" xfId="0">
      <alignment vertical="center"/>
      <protection locked="0" hidden="0"/>
    </xf>
    <xf numFmtId="1" fontId="3" fillId="6" borderId="378" applyAlignment="1" pivotButton="0" quotePrefix="0" xfId="23">
      <alignment horizontal="right" vertical="center"/>
    </xf>
    <xf numFmtId="0" fontId="3" fillId="6" borderId="378" applyAlignment="1" pivotButton="0" quotePrefix="0" xfId="0">
      <alignment vertical="center"/>
    </xf>
    <xf numFmtId="0" fontId="3" fillId="44" borderId="431" applyProtection="1" pivotButton="0" quotePrefix="0" xfId="0">
      <protection locked="0" hidden="0"/>
    </xf>
    <xf numFmtId="0" fontId="3" fillId="44" borderId="390" applyProtection="1" pivotButton="0" quotePrefix="0" xfId="0">
      <protection locked="0" hidden="0"/>
    </xf>
    <xf numFmtId="1" fontId="3" fillId="4" borderId="413" applyAlignment="1" applyProtection="1" pivotButton="0" quotePrefix="0" xfId="0">
      <alignment horizontal="right"/>
      <protection locked="0" hidden="0"/>
    </xf>
    <xf numFmtId="1" fontId="3" fillId="0" borderId="408" applyAlignment="1" pivotButton="0" quotePrefix="0" xfId="0">
      <alignment horizontal="right" vertical="center"/>
    </xf>
    <xf numFmtId="1" fontId="3" fillId="4" borderId="415" applyAlignment="1" applyProtection="1" pivotButton="0" quotePrefix="0" xfId="0">
      <alignment horizontal="right"/>
      <protection locked="0" hidden="0"/>
    </xf>
    <xf numFmtId="1" fontId="3" fillId="0" borderId="412" pivotButton="0" quotePrefix="0" xfId="0"/>
    <xf numFmtId="1" fontId="3" fillId="4" borderId="403" applyAlignment="1" applyProtection="1" pivotButton="0" quotePrefix="0" xfId="0">
      <alignment horizontal="right"/>
      <protection locked="0" hidden="0"/>
    </xf>
    <xf numFmtId="1" fontId="3" fillId="4" borderId="465" applyAlignment="1" applyProtection="1" pivotButton="0" quotePrefix="0" xfId="0">
      <alignment horizontal="right"/>
      <protection locked="0" hidden="0"/>
    </xf>
    <xf numFmtId="1" fontId="3" fillId="4" borderId="419" applyAlignment="1" applyProtection="1" pivotButton="0" quotePrefix="0" xfId="0">
      <alignment horizontal="right"/>
      <protection locked="0" hidden="0"/>
    </xf>
    <xf numFmtId="1" fontId="3" fillId="3" borderId="399" applyAlignment="1" pivotButton="0" quotePrefix="0" xfId="0">
      <alignment horizontal="right" vertical="center" wrapText="1"/>
    </xf>
    <xf numFmtId="0" fontId="3" fillId="0" borderId="390" applyAlignment="1" pivotButton="0" quotePrefix="0" xfId="0">
      <alignment horizontal="right"/>
    </xf>
    <xf numFmtId="0" fontId="3" fillId="0" borderId="384" applyAlignment="1" pivotButton="0" quotePrefix="0" xfId="0">
      <alignment horizontal="left" wrapText="1"/>
    </xf>
    <xf numFmtId="0" fontId="3" fillId="0" borderId="384" applyAlignment="1" pivotButton="0" quotePrefix="0" xfId="0">
      <alignment horizontal="right"/>
    </xf>
    <xf numFmtId="1" fontId="3" fillId="3" borderId="384" applyAlignment="1" pivotButton="0" quotePrefix="0" xfId="0">
      <alignment vertical="center" wrapText="1"/>
    </xf>
    <xf numFmtId="0" fontId="3" fillId="0" borderId="378" applyAlignment="1" pivotButton="0" quotePrefix="0" xfId="0">
      <alignment vertical="center" wrapText="1"/>
    </xf>
    <xf numFmtId="0" fontId="3" fillId="0" borderId="461" applyAlignment="1" pivotButton="0" quotePrefix="0" xfId="0">
      <alignment wrapText="1"/>
    </xf>
    <xf numFmtId="0" fontId="7" fillId="28" borderId="0" pivotButton="0" quotePrefix="0" xfId="0"/>
    <xf numFmtId="1" fontId="3" fillId="0" borderId="468" applyAlignment="1" pivotButton="0" quotePrefix="0" xfId="0">
      <alignment horizontal="center" vertical="center"/>
    </xf>
    <xf numFmtId="1" fontId="3" fillId="4" borderId="423" applyProtection="1" pivotButton="0" quotePrefix="0" xfId="0">
      <protection locked="0" hidden="0"/>
    </xf>
    <xf numFmtId="1" fontId="3" fillId="0" borderId="469" applyAlignment="1" pivotButton="0" quotePrefix="0" xfId="0">
      <alignment horizontal="center" vertical="center" wrapText="1"/>
    </xf>
    <xf numFmtId="1" fontId="3" fillId="4" borderId="470" applyProtection="1" pivotButton="0" quotePrefix="0" xfId="0">
      <protection locked="0" hidden="0"/>
    </xf>
    <xf numFmtId="1" fontId="3" fillId="4" borderId="471" applyProtection="1" pivotButton="0" quotePrefix="0" xfId="0">
      <protection locked="0" hidden="0"/>
    </xf>
    <xf numFmtId="1" fontId="3" fillId="4" borderId="469" applyProtection="1" pivotButton="0" quotePrefix="0" xfId="0">
      <protection locked="0" hidden="0"/>
    </xf>
    <xf numFmtId="0" fontId="28" fillId="0" borderId="433" applyAlignment="1" pivotButton="0" quotePrefix="0" xfId="0">
      <alignment horizontal="left" vertical="center"/>
    </xf>
    <xf numFmtId="0" fontId="28" fillId="4" borderId="454" applyAlignment="1" applyProtection="1" pivotButton="0" quotePrefix="0" xfId="0">
      <alignment horizontal="center"/>
      <protection locked="0" hidden="0"/>
    </xf>
    <xf numFmtId="0" fontId="17" fillId="40" borderId="455" applyAlignment="1" applyProtection="1" pivotButton="0" quotePrefix="0" xfId="35">
      <alignment horizontal="center"/>
      <protection locked="0" hidden="0"/>
    </xf>
    <xf numFmtId="0" fontId="17" fillId="40" borderId="458" applyAlignment="1" applyProtection="1" pivotButton="0" quotePrefix="0" xfId="35">
      <alignment horizontal="center"/>
      <protection locked="0" hidden="0"/>
    </xf>
    <xf numFmtId="0" fontId="17" fillId="40" borderId="457" applyAlignment="1" applyProtection="1" pivotButton="0" quotePrefix="0" xfId="35">
      <alignment horizontal="center"/>
      <protection locked="0" hidden="0"/>
    </xf>
    <xf numFmtId="0" fontId="5" fillId="3" borderId="459" pivotButton="0" quotePrefix="0" xfId="0"/>
    <xf numFmtId="0" fontId="28" fillId="0" borderId="439" applyAlignment="1" pivotButton="0" quotePrefix="0" xfId="0">
      <alignment horizontal="left" vertical="center"/>
    </xf>
    <xf numFmtId="0" fontId="28" fillId="4" borderId="454" applyAlignment="1" applyProtection="1" pivotButton="0" quotePrefix="0" xfId="37">
      <alignment horizontal="center"/>
      <protection locked="0" hidden="0"/>
    </xf>
    <xf numFmtId="0" fontId="28" fillId="0" borderId="472" applyAlignment="1" pivotButton="0" quotePrefix="0" xfId="0">
      <alignment horizontal="left" vertical="center"/>
    </xf>
    <xf numFmtId="0" fontId="28" fillId="0" borderId="472" applyAlignment="1" applyProtection="1" pivotButton="0" quotePrefix="0" xfId="37">
      <alignment horizontal="center"/>
      <protection locked="0" hidden="0"/>
    </xf>
    <xf numFmtId="0" fontId="17" fillId="0" borderId="472" applyAlignment="1" applyProtection="1" pivotButton="0" quotePrefix="0" xfId="35">
      <alignment horizontal="center"/>
      <protection locked="0" hidden="0"/>
    </xf>
    <xf numFmtId="0" fontId="15" fillId="0" borderId="454" applyAlignment="1" pivotButton="0" quotePrefix="0" xfId="0">
      <alignment horizontal="center"/>
    </xf>
    <xf numFmtId="0" fontId="28" fillId="3" borderId="433" applyAlignment="1" pivotButton="0" quotePrefix="0" xfId="0">
      <alignment horizontal="left" vertical="center"/>
    </xf>
    <xf numFmtId="0" fontId="28" fillId="3" borderId="433" applyAlignment="1" pivotButton="0" quotePrefix="0" xfId="0">
      <alignment horizontal="centerContinuous" vertical="center"/>
    </xf>
    <xf numFmtId="0" fontId="28" fillId="0" borderId="454" applyAlignment="1" pivotButton="0" quotePrefix="0" xfId="0">
      <alignment wrapText="1"/>
    </xf>
    <xf numFmtId="0" fontId="26" fillId="4" borderId="454" applyAlignment="1" applyProtection="1" pivotButton="0" quotePrefix="0" xfId="0">
      <alignment horizontal="center"/>
      <protection locked="0" hidden="0"/>
    </xf>
    <xf numFmtId="0" fontId="26" fillId="3" borderId="433" pivotButton="0" quotePrefix="0" xfId="0"/>
    <xf numFmtId="1" fontId="3" fillId="4" borderId="470" applyAlignment="1" applyProtection="1" pivotButton="0" quotePrefix="0" xfId="0">
      <alignment horizontal="right"/>
      <protection locked="0" hidden="0"/>
    </xf>
    <xf numFmtId="1" fontId="3" fillId="4" borderId="447" applyAlignment="1" applyProtection="1" pivotButton="0" quotePrefix="0" xfId="0">
      <alignment horizontal="right"/>
      <protection locked="0" hidden="0"/>
    </xf>
    <xf numFmtId="1" fontId="3" fillId="4" borderId="372" applyAlignment="1" applyProtection="1" pivotButton="0" quotePrefix="0" xfId="0">
      <alignment horizontal="right"/>
      <protection locked="0" hidden="0"/>
    </xf>
    <xf numFmtId="1" fontId="3" fillId="7" borderId="388" applyAlignment="1" pivotButton="0" quotePrefix="0" xfId="0">
      <alignment horizontal="right"/>
    </xf>
    <xf numFmtId="1" fontId="3" fillId="7" borderId="386" applyAlignment="1" pivotButton="0" quotePrefix="0" xfId="0">
      <alignment horizontal="right"/>
    </xf>
    <xf numFmtId="1" fontId="3" fillId="7" borderId="402" applyAlignment="1" pivotButton="0" quotePrefix="0" xfId="0">
      <alignment horizontal="right"/>
    </xf>
    <xf numFmtId="1" fontId="3" fillId="4" borderId="379" applyAlignment="1" applyProtection="1" pivotButton="0" quotePrefix="0" xfId="0">
      <alignment horizontal="right"/>
      <protection locked="0" hidden="0"/>
    </xf>
    <xf numFmtId="1" fontId="3" fillId="7" borderId="408" applyAlignment="1" pivotButton="0" quotePrefix="0" xfId="0">
      <alignment horizontal="right"/>
    </xf>
    <xf numFmtId="1" fontId="3" fillId="7" borderId="410" applyAlignment="1" pivotButton="0" quotePrefix="0" xfId="0">
      <alignment horizontal="right"/>
    </xf>
    <xf numFmtId="1" fontId="3" fillId="7" borderId="413" applyAlignment="1" pivotButton="0" quotePrefix="0" xfId="0">
      <alignment horizontal="right"/>
    </xf>
    <xf numFmtId="1" fontId="3" fillId="7" borderId="374" applyAlignment="1" pivotButton="0" quotePrefix="0" xfId="0">
      <alignment horizontal="right"/>
    </xf>
    <xf numFmtId="1" fontId="3" fillId="6" borderId="399" applyAlignment="1" pivotButton="0" quotePrefix="0" xfId="0">
      <alignment horizontal="right"/>
    </xf>
    <xf numFmtId="1" fontId="3" fillId="6" borderId="378" applyAlignment="1" pivotButton="0" quotePrefix="0" xfId="0">
      <alignment horizontal="right"/>
    </xf>
    <xf numFmtId="1" fontId="3" fillId="4" borderId="374" applyAlignment="1" applyProtection="1" pivotButton="0" quotePrefix="0" xfId="0">
      <alignment horizontal="right"/>
      <protection locked="0" hidden="0"/>
    </xf>
    <xf numFmtId="1" fontId="3" fillId="28" borderId="389" applyAlignment="1" pivotButton="0" quotePrefix="0" xfId="0">
      <alignment horizontal="right"/>
    </xf>
    <xf numFmtId="1" fontId="3" fillId="7" borderId="378" applyAlignment="1" pivotButton="0" quotePrefix="0" xfId="0">
      <alignment horizontal="right"/>
    </xf>
    <xf numFmtId="1" fontId="3" fillId="7" borderId="407" applyAlignment="1" pivotButton="0" quotePrefix="0" xfId="0">
      <alignment horizontal="right"/>
    </xf>
    <xf numFmtId="1" fontId="3" fillId="0" borderId="389" pivotButton="0" quotePrefix="0" xfId="0"/>
    <xf numFmtId="1" fontId="3" fillId="0" borderId="403" applyAlignment="1" pivotButton="0" quotePrefix="0" xfId="0">
      <alignment horizontal="left" vertical="center" wrapText="1"/>
    </xf>
    <xf numFmtId="1" fontId="3" fillId="0" borderId="523" pivotButton="0" quotePrefix="0" xfId="0"/>
    <xf numFmtId="1" fontId="3" fillId="0" borderId="524" pivotButton="0" quotePrefix="0" xfId="0"/>
    <xf numFmtId="1" fontId="3" fillId="0" borderId="525" pivotButton="0" quotePrefix="0" xfId="0"/>
    <xf numFmtId="1" fontId="3" fillId="28" borderId="382" applyAlignment="1" pivotButton="0" quotePrefix="0" xfId="0">
      <alignment horizontal="right"/>
    </xf>
    <xf numFmtId="1" fontId="3" fillId="0" borderId="533" applyAlignment="1" pivotButton="0" quotePrefix="0" xfId="0">
      <alignment horizontal="center" vertical="center"/>
    </xf>
    <xf numFmtId="1" fontId="3" fillId="3" borderId="394" applyAlignment="1" pivotButton="0" quotePrefix="0" xfId="1">
      <alignment horizontal="right"/>
    </xf>
    <xf numFmtId="1" fontId="3" fillId="0" borderId="524" applyAlignment="1" pivotButton="0" quotePrefix="0" xfId="0">
      <alignment horizontal="center" vertical="center"/>
    </xf>
    <xf numFmtId="1" fontId="3" fillId="0" borderId="523" applyAlignment="1" pivotButton="0" quotePrefix="0" xfId="0">
      <alignment horizontal="center" vertical="center"/>
    </xf>
    <xf numFmtId="1" fontId="3" fillId="0" borderId="540" applyAlignment="1" pivotButton="0" quotePrefix="0" xfId="0">
      <alignment horizontal="center" vertical="center"/>
    </xf>
    <xf numFmtId="1" fontId="3" fillId="0" borderId="525" applyAlignment="1" pivotButton="0" quotePrefix="0" xfId="0">
      <alignment horizontal="center" vertical="center"/>
    </xf>
    <xf numFmtId="1" fontId="3" fillId="0" borderId="535" applyAlignment="1" pivotButton="0" quotePrefix="0" xfId="0">
      <alignment horizontal="center" vertical="center"/>
    </xf>
    <xf numFmtId="1" fontId="3" fillId="0" borderId="533" pivotButton="0" quotePrefix="0" xfId="0"/>
    <xf numFmtId="1" fontId="3" fillId="0" borderId="540" pivotButton="0" quotePrefix="0" xfId="0"/>
    <xf numFmtId="1" fontId="3" fillId="0" borderId="486" pivotButton="0" quotePrefix="0" xfId="0"/>
    <xf numFmtId="1" fontId="3" fillId="0" borderId="394" pivotButton="0" quotePrefix="0" xfId="0"/>
    <xf numFmtId="1" fontId="3" fillId="0" borderId="382" pivotButton="0" quotePrefix="0" xfId="0"/>
    <xf numFmtId="1" fontId="3" fillId="3" borderId="384" applyAlignment="1" pivotButton="0" quotePrefix="0" xfId="0">
      <alignment horizontal="left" vertical="center"/>
    </xf>
    <xf numFmtId="1" fontId="3" fillId="0" borderId="447" pivotButton="0" quotePrefix="0" xfId="0"/>
    <xf numFmtId="1" fontId="29" fillId="3" borderId="541" applyAlignment="1" pivotButton="0" quotePrefix="0" xfId="0">
      <alignment wrapText="1"/>
    </xf>
    <xf numFmtId="1" fontId="14" fillId="0" borderId="472" pivotButton="0" quotePrefix="0" xfId="0"/>
    <xf numFmtId="1" fontId="17" fillId="3" borderId="472" pivotButton="0" quotePrefix="0" xfId="0"/>
    <xf numFmtId="1" fontId="56" fillId="0" borderId="542" pivotButton="0" quotePrefix="0" xfId="0"/>
    <xf numFmtId="1" fontId="56" fillId="0" borderId="541" pivotButton="0" quotePrefix="0" xfId="0"/>
    <xf numFmtId="1" fontId="5" fillId="0" borderId="522" applyAlignment="1" pivotButton="0" quotePrefix="0" xfId="0">
      <alignment horizontal="center" vertical="center" wrapText="1"/>
    </xf>
    <xf numFmtId="1" fontId="5" fillId="0" borderId="433" applyAlignment="1" pivotButton="0" quotePrefix="0" xfId="0">
      <alignment horizontal="center" vertical="center" wrapText="1"/>
    </xf>
    <xf numFmtId="1" fontId="5" fillId="0" borderId="436" applyAlignment="1" pivotButton="0" quotePrefix="0" xfId="0">
      <alignment horizontal="center" vertical="center" wrapText="1"/>
    </xf>
    <xf numFmtId="1" fontId="5" fillId="0" borderId="515" applyAlignment="1" pivotButton="0" quotePrefix="0" xfId="0">
      <alignment horizontal="center" vertical="center" wrapText="1"/>
    </xf>
    <xf numFmtId="1" fontId="5" fillId="0" borderId="486" applyAlignment="1" pivotButton="0" quotePrefix="0" xfId="0">
      <alignment horizontal="center" vertical="center" wrapText="1"/>
    </xf>
    <xf numFmtId="1" fontId="5" fillId="0" borderId="524" applyAlignment="1" pivotButton="0" quotePrefix="0" xfId="0">
      <alignment horizontal="center" vertical="center" wrapText="1"/>
    </xf>
    <xf numFmtId="1" fontId="5" fillId="0" borderId="533" applyAlignment="1" pivotButton="0" quotePrefix="0" xfId="0">
      <alignment horizontal="center" vertical="center" wrapText="1"/>
    </xf>
    <xf numFmtId="1" fontId="5" fillId="0" borderId="523" applyAlignment="1" pivotButton="0" quotePrefix="0" xfId="0">
      <alignment horizontal="center" vertical="center" wrapText="1"/>
    </xf>
    <xf numFmtId="1" fontId="5" fillId="0" borderId="442" applyAlignment="1" pivotButton="0" quotePrefix="0" xfId="0">
      <alignment horizontal="center" vertical="center"/>
    </xf>
    <xf numFmtId="1" fontId="5" fillId="0" borderId="533" applyAlignment="1" pivotButton="0" quotePrefix="0" xfId="0">
      <alignment horizontal="right"/>
    </xf>
    <xf numFmtId="1" fontId="5" fillId="0" borderId="523" applyAlignment="1" pivotButton="0" quotePrefix="0" xfId="0">
      <alignment horizontal="right"/>
    </xf>
    <xf numFmtId="1" fontId="5" fillId="0" borderId="524" applyAlignment="1" pivotButton="0" quotePrefix="0" xfId="0">
      <alignment horizontal="right"/>
    </xf>
    <xf numFmtId="1" fontId="5" fillId="4" borderId="533" applyAlignment="1" applyProtection="1" pivotButton="0" quotePrefix="0" xfId="0">
      <alignment horizontal="right"/>
      <protection locked="0" hidden="0"/>
    </xf>
    <xf numFmtId="1" fontId="5" fillId="4" borderId="524" applyAlignment="1" applyProtection="1" pivotButton="0" quotePrefix="0" xfId="0">
      <alignment horizontal="right"/>
      <protection locked="0" hidden="0"/>
    </xf>
    <xf numFmtId="1" fontId="5" fillId="0" borderId="449" applyAlignment="1" pivotButton="0" quotePrefix="0" xfId="0">
      <alignment horizontal="left" vertical="center"/>
    </xf>
    <xf numFmtId="1" fontId="5" fillId="0" borderId="447" applyAlignment="1" pivotButton="0" quotePrefix="0" xfId="0">
      <alignment horizontal="right" wrapText="1"/>
    </xf>
    <xf numFmtId="1" fontId="5" fillId="0" borderId="448" applyAlignment="1" pivotButton="0" quotePrefix="0" xfId="0">
      <alignment horizontal="right"/>
    </xf>
    <xf numFmtId="1" fontId="5" fillId="4" borderId="447" applyAlignment="1" applyProtection="1" pivotButton="0" quotePrefix="0" xfId="0">
      <alignment horizontal="right"/>
      <protection locked="0" hidden="0"/>
    </xf>
    <xf numFmtId="1" fontId="5" fillId="4" borderId="448" applyAlignment="1" applyProtection="1" pivotButton="0" quotePrefix="0" xfId="0">
      <alignment horizontal="right"/>
      <protection locked="0" hidden="0"/>
    </xf>
    <xf numFmtId="1" fontId="5" fillId="0" borderId="384" applyAlignment="1" pivotButton="0" quotePrefix="0" xfId="0">
      <alignment horizontal="left" vertical="center" wrapText="1"/>
    </xf>
    <xf numFmtId="1" fontId="5" fillId="0" borderId="399" applyAlignment="1" pivotButton="0" quotePrefix="0" xfId="0">
      <alignment horizontal="right" wrapText="1"/>
    </xf>
    <xf numFmtId="1" fontId="5" fillId="0" borderId="469" applyAlignment="1" pivotButton="0" quotePrefix="0" xfId="0">
      <alignment horizontal="right"/>
    </xf>
    <xf numFmtId="1" fontId="5" fillId="0" borderId="378" applyAlignment="1" pivotButton="0" quotePrefix="0" xfId="0">
      <alignment horizontal="right"/>
    </xf>
    <xf numFmtId="1" fontId="5" fillId="9" borderId="543" applyAlignment="1" applyProtection="1" pivotButton="0" quotePrefix="0" xfId="32">
      <alignment horizontal="right"/>
      <protection locked="0" hidden="0"/>
    </xf>
    <xf numFmtId="1" fontId="5" fillId="9" borderId="544" applyAlignment="1" applyProtection="1" pivotButton="0" quotePrefix="0" xfId="32">
      <alignment horizontal="right"/>
      <protection locked="0" hidden="0"/>
    </xf>
    <xf numFmtId="1" fontId="5" fillId="4" borderId="399" applyAlignment="1" applyProtection="1" pivotButton="0" quotePrefix="0" xfId="0">
      <alignment horizontal="right"/>
      <protection locked="0" hidden="0"/>
    </xf>
    <xf numFmtId="1" fontId="5" fillId="4" borderId="378" applyAlignment="1" applyProtection="1" pivotButton="0" quotePrefix="0" xfId="0">
      <alignment horizontal="right"/>
      <protection locked="0" hidden="0"/>
    </xf>
    <xf numFmtId="1" fontId="5" fillId="9" borderId="545" applyAlignment="1" applyProtection="1" pivotButton="0" quotePrefix="0" xfId="32">
      <alignment horizontal="right"/>
      <protection locked="0" hidden="0"/>
    </xf>
    <xf numFmtId="1" fontId="5" fillId="0" borderId="437" applyAlignment="1" pivotButton="0" quotePrefix="0" xfId="0">
      <alignment horizontal="center" vertical="center" wrapText="1"/>
    </xf>
    <xf numFmtId="1" fontId="5" fillId="0" borderId="442" applyAlignment="1" pivotButton="0" quotePrefix="0" xfId="0">
      <alignment horizontal="center" vertical="center" wrapText="1"/>
    </xf>
    <xf numFmtId="1" fontId="5" fillId="0" borderId="458" applyAlignment="1" pivotButton="0" quotePrefix="0" xfId="0">
      <alignment horizontal="center" vertical="center" wrapText="1"/>
    </xf>
    <xf numFmtId="1" fontId="5" fillId="0" borderId="442" applyAlignment="1" pivotButton="0" quotePrefix="0" xfId="0">
      <alignment horizontal="right" wrapText="1"/>
    </xf>
    <xf numFmtId="1" fontId="5" fillId="0" borderId="446" applyAlignment="1" pivotButton="0" quotePrefix="0" xfId="0">
      <alignment horizontal="right" wrapText="1"/>
    </xf>
    <xf numFmtId="1" fontId="5" fillId="0" borderId="524" applyAlignment="1" pivotButton="0" quotePrefix="0" xfId="0">
      <alignment horizontal="right" wrapText="1"/>
    </xf>
    <xf numFmtId="1" fontId="5" fillId="4" borderId="547" applyAlignment="1" applyProtection="1" pivotButton="0" quotePrefix="0" xfId="0">
      <alignment horizontal="right"/>
      <protection locked="0" hidden="0"/>
    </xf>
    <xf numFmtId="1" fontId="5" fillId="4" borderId="548" applyAlignment="1" applyProtection="1" pivotButton="0" quotePrefix="0" xfId="0">
      <alignment horizontal="right"/>
      <protection locked="0" hidden="0"/>
    </xf>
    <xf numFmtId="1" fontId="5" fillId="0" borderId="437" applyAlignment="1" pivotButton="0" quotePrefix="0" xfId="0">
      <alignment horizontal="left" vertical="center" wrapText="1"/>
    </xf>
    <xf numFmtId="1" fontId="5" fillId="0" borderId="449" applyAlignment="1" pivotButton="0" quotePrefix="0" xfId="0">
      <alignment horizontal="left" vertical="center" wrapText="1"/>
    </xf>
    <xf numFmtId="1" fontId="5" fillId="4" borderId="550" applyAlignment="1" applyProtection="1" pivotButton="0" quotePrefix="0" xfId="0">
      <alignment horizontal="right"/>
      <protection locked="0" hidden="0"/>
    </xf>
    <xf numFmtId="1" fontId="5" fillId="4" borderId="551" applyAlignment="1" applyProtection="1" pivotButton="0" quotePrefix="0" xfId="0">
      <alignment horizontal="right"/>
      <protection locked="0" hidden="0"/>
    </xf>
    <xf numFmtId="1" fontId="5" fillId="4" borderId="552" applyAlignment="1" applyProtection="1" pivotButton="0" quotePrefix="0" xfId="0">
      <alignment horizontal="right"/>
      <protection locked="0" hidden="0"/>
    </xf>
    <xf numFmtId="1" fontId="5" fillId="4" borderId="390" applyAlignment="1" applyProtection="1" pivotButton="0" quotePrefix="0" xfId="0">
      <alignment horizontal="right"/>
      <protection locked="0" hidden="0"/>
    </xf>
    <xf numFmtId="1" fontId="5" fillId="0" borderId="380" applyAlignment="1" pivotButton="0" quotePrefix="0" xfId="0">
      <alignment horizontal="left" vertical="center" wrapText="1"/>
    </xf>
    <xf numFmtId="1" fontId="5" fillId="0" borderId="553" applyAlignment="1" pivotButton="0" quotePrefix="0" xfId="0">
      <alignment horizontal="right" wrapText="1"/>
    </xf>
    <xf numFmtId="1" fontId="5" fillId="0" borderId="390" applyAlignment="1" pivotButton="0" quotePrefix="0" xfId="0">
      <alignment horizontal="right"/>
    </xf>
    <xf numFmtId="1" fontId="5" fillId="4" borderId="394" applyAlignment="1" applyProtection="1" pivotButton="0" quotePrefix="0" xfId="0">
      <alignment horizontal="right"/>
      <protection locked="0" hidden="0"/>
    </xf>
    <xf numFmtId="1" fontId="5" fillId="4" borderId="385" applyAlignment="1" applyProtection="1" pivotButton="0" quotePrefix="0" xfId="0">
      <alignment horizontal="right"/>
      <protection locked="0" hidden="0"/>
    </xf>
    <xf numFmtId="1" fontId="5" fillId="4" borderId="393" applyAlignment="1" applyProtection="1" pivotButton="0" quotePrefix="0" xfId="0">
      <alignment horizontal="right"/>
      <protection locked="0" hidden="0"/>
    </xf>
    <xf numFmtId="1" fontId="5" fillId="4" borderId="395" applyAlignment="1" applyProtection="1" pivotButton="0" quotePrefix="0" xfId="0">
      <alignment horizontal="right"/>
      <protection locked="0" hidden="0"/>
    </xf>
    <xf numFmtId="1" fontId="5" fillId="4" borderId="397" applyAlignment="1" applyProtection="1" pivotButton="0" quotePrefix="0" xfId="0">
      <alignment horizontal="right"/>
      <protection locked="0" hidden="0"/>
    </xf>
    <xf numFmtId="1" fontId="5" fillId="4" borderId="389" applyAlignment="1" applyProtection="1" pivotButton="0" quotePrefix="0" xfId="0">
      <alignment horizontal="right"/>
      <protection locked="0" hidden="0"/>
    </xf>
    <xf numFmtId="1" fontId="5" fillId="0" borderId="554" applyAlignment="1" pivotButton="0" quotePrefix="0" xfId="0">
      <alignment horizontal="left" vertical="center" wrapText="1"/>
    </xf>
    <xf numFmtId="1" fontId="5" fillId="0" borderId="394" applyAlignment="1" pivotButton="0" quotePrefix="0" xfId="0">
      <alignment horizontal="right" wrapText="1"/>
    </xf>
    <xf numFmtId="1" fontId="5" fillId="0" borderId="398" applyAlignment="1" pivotButton="0" quotePrefix="0" xfId="0">
      <alignment horizontal="right" wrapText="1"/>
    </xf>
    <xf numFmtId="1" fontId="5" fillId="0" borderId="389" applyAlignment="1" pivotButton="0" quotePrefix="0" xfId="0">
      <alignment horizontal="right"/>
    </xf>
    <xf numFmtId="1" fontId="5" fillId="0" borderId="386" applyAlignment="1" pivotButton="0" quotePrefix="0" xfId="0">
      <alignment horizontal="right" wrapText="1"/>
    </xf>
    <xf numFmtId="1" fontId="5" fillId="4" borderId="383" applyAlignment="1" applyProtection="1" pivotButton="0" quotePrefix="0" xfId="0">
      <alignment horizontal="right"/>
      <protection locked="0" hidden="0"/>
    </xf>
    <xf numFmtId="1" fontId="5" fillId="4" borderId="407" applyAlignment="1" applyProtection="1" pivotButton="0" quotePrefix="0" xfId="0">
      <alignment horizontal="right"/>
      <protection locked="0" hidden="0"/>
    </xf>
    <xf numFmtId="1" fontId="5" fillId="4" borderId="400" applyAlignment="1" applyProtection="1" pivotButton="0" quotePrefix="0" xfId="0">
      <alignment horizontal="right"/>
      <protection locked="0" hidden="0"/>
    </xf>
    <xf numFmtId="1" fontId="5" fillId="4" borderId="387" applyAlignment="1" applyProtection="1" pivotButton="0" quotePrefix="0" xfId="0">
      <alignment horizontal="right"/>
      <protection locked="0" hidden="0"/>
    </xf>
    <xf numFmtId="1" fontId="5" fillId="4" borderId="373" applyAlignment="1" applyProtection="1" pivotButton="0" quotePrefix="0" xfId="0">
      <alignment horizontal="right"/>
      <protection locked="0" hidden="0"/>
    </xf>
    <xf numFmtId="1" fontId="5" fillId="4" borderId="450" applyAlignment="1" applyProtection="1" pivotButton="0" quotePrefix="0" xfId="0">
      <alignment horizontal="right"/>
      <protection locked="0" hidden="0"/>
    </xf>
    <xf numFmtId="1" fontId="5" fillId="4" borderId="377" applyAlignment="1" applyProtection="1" pivotButton="0" quotePrefix="0" xfId="0">
      <alignment horizontal="right"/>
      <protection locked="0" hidden="0"/>
    </xf>
    <xf numFmtId="1" fontId="5" fillId="0" borderId="550" applyAlignment="1" pivotButton="0" quotePrefix="0" xfId="0">
      <alignment horizontal="left" vertical="center" wrapText="1"/>
    </xf>
    <xf numFmtId="1" fontId="5" fillId="5" borderId="550" applyAlignment="1" pivotButton="0" quotePrefix="0" xfId="0">
      <alignment horizontal="left" vertical="center" wrapText="1"/>
    </xf>
    <xf numFmtId="1" fontId="5" fillId="5" borderId="553" applyAlignment="1" pivotButton="0" quotePrefix="0" xfId="0">
      <alignment horizontal="right" wrapText="1"/>
    </xf>
    <xf numFmtId="1" fontId="5" fillId="5" borderId="390" applyAlignment="1" pivotButton="0" quotePrefix="0" xfId="0">
      <alignment horizontal="right"/>
    </xf>
    <xf numFmtId="1" fontId="5" fillId="4" borderId="408" applyAlignment="1" applyProtection="1" pivotButton="0" quotePrefix="0" xfId="0">
      <alignment horizontal="right"/>
      <protection locked="0" hidden="0"/>
    </xf>
    <xf numFmtId="1" fontId="5" fillId="4" borderId="409" applyAlignment="1" applyProtection="1" pivotButton="0" quotePrefix="0" xfId="0">
      <alignment horizontal="right"/>
      <protection locked="0" hidden="0"/>
    </xf>
    <xf numFmtId="1" fontId="5" fillId="4" borderId="412" applyAlignment="1" applyProtection="1" pivotButton="0" quotePrefix="0" xfId="0">
      <alignment horizontal="right"/>
      <protection locked="0" hidden="0"/>
    </xf>
    <xf numFmtId="1" fontId="5" fillId="4" borderId="411" applyAlignment="1" applyProtection="1" pivotButton="0" quotePrefix="0" xfId="0">
      <alignment horizontal="right"/>
      <protection locked="0" hidden="0"/>
    </xf>
    <xf numFmtId="1" fontId="5" fillId="4" borderId="406" applyAlignment="1" applyProtection="1" pivotButton="0" quotePrefix="0" xfId="0">
      <alignment horizontal="right"/>
      <protection locked="0" hidden="0"/>
    </xf>
    <xf numFmtId="0" fontId="5" fillId="0" borderId="380" pivotButton="0" quotePrefix="0" xfId="0"/>
    <xf numFmtId="1" fontId="5" fillId="0" borderId="546" applyAlignment="1" pivotButton="0" quotePrefix="0" xfId="0">
      <alignment horizontal="right"/>
    </xf>
    <xf numFmtId="0" fontId="5" fillId="0" borderId="384" pivotButton="0" quotePrefix="0" xfId="0"/>
    <xf numFmtId="1" fontId="5" fillId="0" borderId="408" applyAlignment="1" pivotButton="0" quotePrefix="0" xfId="0">
      <alignment horizontal="right" wrapText="1"/>
    </xf>
    <xf numFmtId="1" fontId="5" fillId="0" borderId="405" applyAlignment="1" pivotButton="0" quotePrefix="0" xfId="0">
      <alignment horizontal="right" wrapText="1"/>
    </xf>
    <xf numFmtId="1" fontId="5" fillId="0" borderId="406" applyAlignment="1" pivotButton="0" quotePrefix="0" xfId="0">
      <alignment horizontal="right"/>
    </xf>
    <xf numFmtId="1" fontId="14" fillId="0" borderId="486" pivotButton="0" quotePrefix="0" xfId="0"/>
    <xf numFmtId="1" fontId="17" fillId="0" borderId="486" pivotButton="0" quotePrefix="0" xfId="0"/>
    <xf numFmtId="1" fontId="5" fillId="0" borderId="555" applyAlignment="1" pivotButton="0" quotePrefix="0" xfId="0">
      <alignment horizontal="center" vertical="center" wrapText="1"/>
    </xf>
    <xf numFmtId="1" fontId="5" fillId="0" borderId="521" applyAlignment="1" pivotButton="0" quotePrefix="0" xfId="0">
      <alignment horizontal="center" vertical="center" wrapText="1"/>
    </xf>
    <xf numFmtId="1" fontId="5" fillId="0" borderId="450" applyAlignment="1" pivotButton="0" quotePrefix="0" xfId="0">
      <alignment vertical="center" wrapText="1"/>
    </xf>
    <xf numFmtId="1" fontId="5" fillId="0" borderId="556" applyAlignment="1" pivotButton="0" quotePrefix="0" xfId="0">
      <alignment vertical="center" wrapText="1"/>
    </xf>
    <xf numFmtId="1" fontId="5" fillId="0" borderId="452" applyAlignment="1" pivotButton="0" quotePrefix="0" xfId="0">
      <alignment vertical="center" wrapText="1"/>
    </xf>
    <xf numFmtId="1" fontId="5" fillId="0" borderId="448" pivotButton="0" quotePrefix="0" xfId="0"/>
    <xf numFmtId="1" fontId="5" fillId="0" borderId="393" applyAlignment="1" pivotButton="0" quotePrefix="0" xfId="0">
      <alignment vertical="center" wrapText="1"/>
    </xf>
    <xf numFmtId="1" fontId="5" fillId="0" borderId="557" applyAlignment="1" pivotButton="0" quotePrefix="0" xfId="0">
      <alignment vertical="center" wrapText="1"/>
    </xf>
    <xf numFmtId="1" fontId="5" fillId="0" borderId="470" applyAlignment="1" pivotButton="0" quotePrefix="0" xfId="0">
      <alignment vertical="center" wrapText="1"/>
    </xf>
    <xf numFmtId="1" fontId="5" fillId="0" borderId="390" pivotButton="0" quotePrefix="0" xfId="0"/>
    <xf numFmtId="1" fontId="5" fillId="0" borderId="461" applyAlignment="1" pivotButton="0" quotePrefix="0" xfId="0">
      <alignment vertical="center" wrapText="1"/>
    </xf>
    <xf numFmtId="1" fontId="5" fillId="0" borderId="382" applyAlignment="1" pivotButton="0" quotePrefix="0" xfId="0">
      <alignment vertical="center" wrapText="1"/>
    </xf>
    <xf numFmtId="1" fontId="5" fillId="0" borderId="389" pivotButton="0" quotePrefix="0" xfId="0"/>
    <xf numFmtId="1" fontId="5" fillId="0" borderId="367" applyAlignment="1" pivotButton="0" quotePrefix="0" xfId="0">
      <alignment vertical="center" wrapText="1"/>
    </xf>
    <xf numFmtId="1" fontId="5" fillId="0" borderId="469" applyAlignment="1" pivotButton="0" quotePrefix="0" xfId="0">
      <alignment vertical="center" wrapText="1"/>
    </xf>
    <xf numFmtId="1" fontId="5" fillId="0" borderId="521" pivotButton="0" quotePrefix="0" xfId="0"/>
    <xf numFmtId="1" fontId="5" fillId="4" borderId="521" applyAlignment="1" applyProtection="1" pivotButton="0" quotePrefix="0" xfId="0">
      <alignment horizontal="right"/>
      <protection locked="0" hidden="0"/>
    </xf>
    <xf numFmtId="1" fontId="5" fillId="4" borderId="367" applyAlignment="1" applyProtection="1" pivotButton="0" quotePrefix="0" xfId="0">
      <alignment horizontal="right"/>
      <protection locked="0" hidden="0"/>
    </xf>
    <xf numFmtId="1" fontId="5" fillId="0" borderId="515" applyAlignment="1" pivotButton="0" quotePrefix="0" xfId="0">
      <alignment vertical="center" wrapText="1"/>
    </xf>
    <xf numFmtId="1" fontId="5" fillId="0" borderId="558" applyAlignment="1" pivotButton="0" quotePrefix="0" xfId="0">
      <alignment horizontal="right" wrapText="1"/>
    </xf>
    <xf numFmtId="1" fontId="5" fillId="0" borderId="523" applyAlignment="1" pivotButton="0" quotePrefix="0" xfId="0">
      <alignment horizontal="right" wrapText="1"/>
    </xf>
    <xf numFmtId="1" fontId="5" fillId="0" borderId="520" pivotButton="0" quotePrefix="0" xfId="0"/>
    <xf numFmtId="1" fontId="5" fillId="0" borderId="524" pivotButton="0" quotePrefix="0" xfId="0"/>
    <xf numFmtId="1" fontId="5" fillId="0" borderId="515" pivotButton="0" quotePrefix="0" xfId="0"/>
    <xf numFmtId="1" fontId="5" fillId="0" borderId="548" pivotButton="0" quotePrefix="0" xfId="0"/>
    <xf numFmtId="1" fontId="5" fillId="0" borderId="559" pivotButton="0" quotePrefix="0" xfId="0"/>
    <xf numFmtId="1" fontId="5" fillId="0" borderId="547" pivotButton="0" quotePrefix="0" xfId="0"/>
    <xf numFmtId="1" fontId="5" fillId="0" borderId="550" applyAlignment="1" pivotButton="0" quotePrefix="0" xfId="0">
      <alignment vertical="center"/>
    </xf>
    <xf numFmtId="1" fontId="5" fillId="0" borderId="557" applyAlignment="1" pivotButton="0" quotePrefix="0" xfId="0">
      <alignment horizontal="right"/>
    </xf>
    <xf numFmtId="1" fontId="5" fillId="0" borderId="470" applyAlignment="1" pivotButton="0" quotePrefix="0" xfId="0">
      <alignment horizontal="right"/>
    </xf>
    <xf numFmtId="1" fontId="5" fillId="0" borderId="461" applyAlignment="1" pivotButton="0" quotePrefix="0" xfId="0">
      <alignment horizontal="right" wrapText="1"/>
    </xf>
    <xf numFmtId="1" fontId="5" fillId="0" borderId="382" applyAlignment="1" pivotButton="0" quotePrefix="0" xfId="0">
      <alignment horizontal="right" wrapText="1"/>
    </xf>
    <xf numFmtId="1" fontId="5" fillId="0" borderId="407" applyAlignment="1" pivotButton="0" quotePrefix="0" xfId="0">
      <alignment vertical="center" wrapText="1"/>
    </xf>
    <xf numFmtId="1" fontId="5" fillId="0" borderId="467" applyAlignment="1" pivotButton="0" quotePrefix="0" xfId="0">
      <alignment horizontal="right" wrapText="1"/>
    </xf>
    <xf numFmtId="1" fontId="5" fillId="0" borderId="388" applyAlignment="1" pivotButton="0" quotePrefix="0" xfId="0">
      <alignment horizontal="right" wrapText="1"/>
    </xf>
    <xf numFmtId="1" fontId="5" fillId="0" borderId="529" applyAlignment="1" pivotButton="0" quotePrefix="0" xfId="0">
      <alignment horizontal="center" vertical="center" wrapText="1"/>
    </xf>
    <xf numFmtId="1" fontId="5" fillId="0" borderId="456" applyAlignment="1" pivotButton="0" quotePrefix="0" xfId="0">
      <alignment horizontal="center" vertical="center" wrapText="1"/>
    </xf>
    <xf numFmtId="1" fontId="5" fillId="0" borderId="449" applyAlignment="1" pivotButton="0" quotePrefix="0" xfId="0">
      <alignment horizontal="right" wrapText="1"/>
    </xf>
    <xf numFmtId="1" fontId="5" fillId="6" borderId="374" applyAlignment="1" pivotButton="0" quotePrefix="0" xfId="0">
      <alignment horizontal="right"/>
    </xf>
    <xf numFmtId="1" fontId="5" fillId="4" borderId="452" applyAlignment="1" applyProtection="1" pivotButton="0" quotePrefix="0" xfId="0">
      <alignment horizontal="right"/>
      <protection locked="0" hidden="0"/>
    </xf>
    <xf numFmtId="1" fontId="5" fillId="0" borderId="380" applyAlignment="1" pivotButton="0" quotePrefix="0" xfId="0">
      <alignment horizontal="right" wrapText="1"/>
    </xf>
    <xf numFmtId="1" fontId="5" fillId="4" borderId="382" applyAlignment="1" applyProtection="1" pivotButton="0" quotePrefix="0" xfId="0">
      <alignment horizontal="right"/>
      <protection locked="0" hidden="0"/>
    </xf>
    <xf numFmtId="1" fontId="5" fillId="4" borderId="398" applyAlignment="1" applyProtection="1" pivotButton="0" quotePrefix="0" xfId="0">
      <alignment horizontal="right"/>
      <protection locked="0" hidden="0"/>
    </xf>
    <xf numFmtId="1" fontId="5" fillId="7" borderId="398" applyAlignment="1" pivotButton="0" quotePrefix="0" xfId="0">
      <alignment horizontal="right"/>
    </xf>
    <xf numFmtId="1" fontId="5" fillId="7" borderId="396" applyAlignment="1" pivotButton="0" quotePrefix="0" xfId="0">
      <alignment horizontal="right"/>
    </xf>
    <xf numFmtId="1" fontId="5" fillId="6" borderId="553" applyAlignment="1" pivotButton="0" quotePrefix="0" xfId="0">
      <alignment horizontal="right"/>
    </xf>
    <xf numFmtId="1" fontId="5" fillId="4" borderId="396" applyAlignment="1" applyProtection="1" pivotButton="0" quotePrefix="0" xfId="0">
      <alignment horizontal="right"/>
      <protection locked="0" hidden="0"/>
    </xf>
    <xf numFmtId="1" fontId="5" fillId="0" borderId="384" applyAlignment="1" pivotButton="0" quotePrefix="0" xfId="0">
      <alignment horizontal="right" wrapText="1"/>
    </xf>
    <xf numFmtId="1" fontId="5" fillId="7" borderId="399" applyAlignment="1" pivotButton="0" quotePrefix="0" xfId="0">
      <alignment horizontal="right"/>
    </xf>
    <xf numFmtId="1" fontId="5" fillId="7" borderId="386" applyAlignment="1" pivotButton="0" quotePrefix="0" xfId="0">
      <alignment horizontal="right"/>
    </xf>
    <xf numFmtId="1" fontId="5" fillId="9" borderId="386" applyAlignment="1" applyProtection="1" pivotButton="0" quotePrefix="0" xfId="32">
      <alignment horizontal="right"/>
      <protection locked="0" hidden="0"/>
    </xf>
    <xf numFmtId="1" fontId="5" fillId="4" borderId="386" applyAlignment="1" applyProtection="1" pivotButton="0" quotePrefix="0" xfId="0">
      <alignment horizontal="right"/>
      <protection locked="0" hidden="0"/>
    </xf>
    <xf numFmtId="1" fontId="5" fillId="4" borderId="402" applyAlignment="1" applyProtection="1" pivotButton="0" quotePrefix="0" xfId="0">
      <alignment horizontal="right"/>
      <protection locked="0" hidden="0"/>
    </xf>
    <xf numFmtId="1" fontId="5" fillId="4" borderId="388" applyAlignment="1" applyProtection="1" pivotButton="0" quotePrefix="0" xfId="0">
      <alignment horizontal="right"/>
      <protection locked="0" hidden="0"/>
    </xf>
    <xf numFmtId="1" fontId="5" fillId="4" borderId="469" applyAlignment="1" applyProtection="1" pivotButton="0" quotePrefix="0" xfId="0">
      <alignment horizontal="right"/>
      <protection locked="0" hidden="0"/>
    </xf>
    <xf numFmtId="1" fontId="5" fillId="0" borderId="558" applyAlignment="1" pivotButton="0" quotePrefix="0" xfId="0">
      <alignment horizontal="center" vertical="center" wrapText="1"/>
    </xf>
    <xf numFmtId="1" fontId="5" fillId="0" borderId="550" applyAlignment="1" pivotButton="0" quotePrefix="0" xfId="0">
      <alignment vertical="center" wrapText="1"/>
    </xf>
    <xf numFmtId="1" fontId="5" fillId="0" borderId="557" applyAlignment="1" pivotButton="0" quotePrefix="0" xfId="0">
      <alignment horizontal="right" wrapText="1"/>
    </xf>
    <xf numFmtId="1" fontId="5" fillId="5" borderId="470" pivotButton="0" quotePrefix="0" xfId="0"/>
    <xf numFmtId="1" fontId="5" fillId="5" borderId="390" pivotButton="0" quotePrefix="0" xfId="0"/>
    <xf numFmtId="1" fontId="5" fillId="4" borderId="379" applyAlignment="1" applyProtection="1" pivotButton="0" quotePrefix="0" xfId="0">
      <alignment horizontal="right"/>
      <protection locked="0" hidden="0"/>
    </xf>
    <xf numFmtId="1" fontId="5" fillId="4" borderId="470" applyAlignment="1" applyProtection="1" pivotButton="0" quotePrefix="0" xfId="0">
      <alignment horizontal="right"/>
      <protection locked="0" hidden="0"/>
    </xf>
    <xf numFmtId="1" fontId="5" fillId="0" borderId="391" applyAlignment="1" pivotButton="0" quotePrefix="0" xfId="0">
      <alignment vertical="center" wrapText="1"/>
    </xf>
    <xf numFmtId="1" fontId="5" fillId="5" borderId="382" pivotButton="0" quotePrefix="0" xfId="0"/>
    <xf numFmtId="1" fontId="5" fillId="5" borderId="389" pivotButton="0" quotePrefix="0" xfId="0"/>
    <xf numFmtId="1" fontId="5" fillId="4" borderId="381" applyAlignment="1" applyProtection="1" pivotButton="0" quotePrefix="0" xfId="0">
      <alignment horizontal="right"/>
      <protection locked="0" hidden="0"/>
    </xf>
    <xf numFmtId="1" fontId="5" fillId="5" borderId="388" pivotButton="0" quotePrefix="0" xfId="0"/>
    <xf numFmtId="1" fontId="5" fillId="5" borderId="378" pivotButton="0" quotePrefix="0" xfId="0"/>
    <xf numFmtId="1" fontId="5" fillId="4" borderId="415" applyAlignment="1" applyProtection="1" pivotButton="0" quotePrefix="0" xfId="0">
      <alignment horizontal="right"/>
      <protection locked="0" hidden="0"/>
    </xf>
    <xf numFmtId="1" fontId="5" fillId="0" borderId="522" pivotButton="0" quotePrefix="0" xfId="0"/>
    <xf numFmtId="1" fontId="5" fillId="0" borderId="554" pivotButton="0" quotePrefix="0" xfId="0"/>
    <xf numFmtId="1" fontId="5" fillId="4" borderId="554" applyAlignment="1" applyProtection="1" pivotButton="0" quotePrefix="0" xfId="0">
      <alignment horizontal="right"/>
      <protection locked="0" hidden="0"/>
    </xf>
    <xf numFmtId="1" fontId="5" fillId="0" borderId="380" pivotButton="0" quotePrefix="0" xfId="0"/>
    <xf numFmtId="1" fontId="5" fillId="4" borderId="380" applyAlignment="1" applyProtection="1" pivotButton="0" quotePrefix="0" xfId="0">
      <alignment horizontal="right"/>
      <protection locked="0" hidden="0"/>
    </xf>
    <xf numFmtId="1" fontId="5" fillId="0" borderId="384" pivotButton="0" quotePrefix="0" xfId="0"/>
    <xf numFmtId="1" fontId="5" fillId="4" borderId="384" applyAlignment="1" applyProtection="1" pivotButton="0" quotePrefix="0" xfId="0">
      <alignment horizontal="right"/>
      <protection locked="0" hidden="0"/>
    </xf>
    <xf numFmtId="1" fontId="5" fillId="0" borderId="450" applyAlignment="1" pivotButton="0" quotePrefix="0" xfId="0">
      <alignment vertical="center"/>
    </xf>
    <xf numFmtId="1" fontId="5" fillId="4" borderId="449" applyAlignment="1" applyProtection="1" pivotButton="0" quotePrefix="0" xfId="0">
      <alignment horizontal="right"/>
      <protection locked="0" hidden="0"/>
    </xf>
    <xf numFmtId="1" fontId="5" fillId="0" borderId="367" applyAlignment="1" pivotButton="0" quotePrefix="0" xfId="0">
      <alignment vertical="center"/>
    </xf>
    <xf numFmtId="1" fontId="5" fillId="0" borderId="449" applyAlignment="1" pivotButton="0" quotePrefix="0" xfId="0">
      <alignment vertical="center" wrapText="1"/>
    </xf>
    <xf numFmtId="1" fontId="5" fillId="4" borderId="374" applyAlignment="1" applyProtection="1" pivotButton="0" quotePrefix="0" xfId="0">
      <alignment horizontal="right"/>
      <protection locked="0" hidden="0"/>
    </xf>
    <xf numFmtId="1" fontId="5" fillId="0" borderId="384" applyAlignment="1" pivotButton="0" quotePrefix="0" xfId="0">
      <alignment vertical="center" wrapText="1"/>
    </xf>
    <xf numFmtId="1" fontId="5" fillId="6" borderId="386" applyAlignment="1" pivotButton="0" quotePrefix="0" xfId="0">
      <alignment horizontal="right"/>
    </xf>
    <xf numFmtId="1" fontId="5" fillId="0" borderId="554" applyAlignment="1" pivotButton="0" quotePrefix="0" xfId="0">
      <alignment vertical="center" wrapText="1"/>
    </xf>
    <xf numFmtId="1" fontId="5" fillId="7" borderId="374" applyAlignment="1" pivotButton="0" quotePrefix="0" xfId="0">
      <alignment horizontal="right"/>
    </xf>
    <xf numFmtId="1" fontId="5" fillId="4" borderId="376" applyAlignment="1" applyProtection="1" pivotButton="0" quotePrefix="0" xfId="0">
      <alignment horizontal="right"/>
      <protection locked="0" hidden="0"/>
    </xf>
    <xf numFmtId="1" fontId="5" fillId="7" borderId="402" applyAlignment="1" pivotButton="0" quotePrefix="0" xfId="0">
      <alignment horizontal="right"/>
    </xf>
    <xf numFmtId="1" fontId="5" fillId="4" borderId="414" applyAlignment="1" applyProtection="1" pivotButton="0" quotePrefix="0" xfId="0">
      <alignment horizontal="right"/>
      <protection locked="0" hidden="0"/>
    </xf>
    <xf numFmtId="1" fontId="5" fillId="0" borderId="523" pivotButton="0" quotePrefix="0" xfId="0"/>
    <xf numFmtId="1" fontId="5" fillId="0" borderId="447" pivotButton="0" quotePrefix="0" xfId="0"/>
    <xf numFmtId="1" fontId="5" fillId="0" borderId="452" pivotButton="0" quotePrefix="0" xfId="0"/>
    <xf numFmtId="1" fontId="5" fillId="0" borderId="553" pivotButton="0" quotePrefix="0" xfId="0"/>
    <xf numFmtId="1" fontId="5" fillId="0" borderId="470" pivotButton="0" quotePrefix="0" xfId="0"/>
    <xf numFmtId="1" fontId="5" fillId="0" borderId="408" pivotButton="0" quotePrefix="0" xfId="0"/>
    <xf numFmtId="1" fontId="5" fillId="0" borderId="410" pivotButton="0" quotePrefix="0" xfId="0"/>
    <xf numFmtId="1" fontId="5" fillId="0" borderId="406" pivotButton="0" quotePrefix="0" xfId="0"/>
    <xf numFmtId="1" fontId="5" fillId="0" borderId="399" pivotButton="0" quotePrefix="0" xfId="0"/>
    <xf numFmtId="1" fontId="5" fillId="0" borderId="388" pivotButton="0" quotePrefix="0" xfId="0"/>
    <xf numFmtId="1" fontId="5" fillId="0" borderId="378" pivotButton="0" quotePrefix="0" xfId="0"/>
    <xf numFmtId="1" fontId="5" fillId="0" borderId="546" applyAlignment="1" pivotButton="0" quotePrefix="0" xfId="0">
      <alignment horizontal="center" vertical="center"/>
    </xf>
    <xf numFmtId="1" fontId="5" fillId="0" borderId="556" applyAlignment="1" pivotButton="0" quotePrefix="0" xfId="0">
      <alignment horizontal="right"/>
    </xf>
    <xf numFmtId="1" fontId="5" fillId="0" borderId="452" applyAlignment="1" pivotButton="0" quotePrefix="0" xfId="0">
      <alignment horizontal="right"/>
    </xf>
    <xf numFmtId="1" fontId="5" fillId="6" borderId="447" applyAlignment="1" pivotButton="0" quotePrefix="0" xfId="0">
      <alignment horizontal="right"/>
    </xf>
    <xf numFmtId="1" fontId="5" fillId="6" borderId="453" applyAlignment="1" pivotButton="0" quotePrefix="0" xfId="0">
      <alignment horizontal="right"/>
    </xf>
    <xf numFmtId="1" fontId="5" fillId="0" borderId="461" applyAlignment="1" pivotButton="0" quotePrefix="0" xfId="0">
      <alignment horizontal="right"/>
    </xf>
    <xf numFmtId="1" fontId="5" fillId="0" borderId="382" applyAlignment="1" pivotButton="0" quotePrefix="0" xfId="0">
      <alignment horizontal="right"/>
    </xf>
    <xf numFmtId="1" fontId="5" fillId="6" borderId="394" applyAlignment="1" pivotButton="0" quotePrefix="0" xfId="0">
      <alignment horizontal="right"/>
    </xf>
    <xf numFmtId="1" fontId="5" fillId="6" borderId="391" applyAlignment="1" pivotButton="0" quotePrefix="0" xfId="0">
      <alignment horizontal="right"/>
    </xf>
    <xf numFmtId="1" fontId="5" fillId="6" borderId="385" applyAlignment="1" pivotButton="0" quotePrefix="0" xfId="0">
      <alignment horizontal="right"/>
    </xf>
    <xf numFmtId="1" fontId="5" fillId="6" borderId="408" applyAlignment="1" pivotButton="0" quotePrefix="0" xfId="0">
      <alignment horizontal="right"/>
    </xf>
    <xf numFmtId="1" fontId="5" fillId="6" borderId="409" applyAlignment="1" pivotButton="0" quotePrefix="0" xfId="0">
      <alignment horizontal="right"/>
    </xf>
    <xf numFmtId="1" fontId="5" fillId="6" borderId="393" applyAlignment="1" pivotButton="0" quotePrefix="0" xfId="0">
      <alignment horizontal="right"/>
    </xf>
    <xf numFmtId="1" fontId="5" fillId="6" borderId="395" applyAlignment="1" pivotButton="0" quotePrefix="0" xfId="0">
      <alignment horizontal="right"/>
    </xf>
    <xf numFmtId="1" fontId="5" fillId="6" borderId="389" applyAlignment="1" pivotButton="0" quotePrefix="0" xfId="0">
      <alignment horizontal="right"/>
    </xf>
    <xf numFmtId="1" fontId="5" fillId="6" borderId="381" applyAlignment="1" pivotButton="0" quotePrefix="0" xfId="0">
      <alignment horizontal="right"/>
    </xf>
    <xf numFmtId="1" fontId="5" fillId="4" borderId="466" applyAlignment="1" applyProtection="1" pivotButton="0" quotePrefix="0" xfId="0">
      <alignment horizontal="right"/>
      <protection locked="0" hidden="0"/>
    </xf>
    <xf numFmtId="1" fontId="5" fillId="6" borderId="546" applyAlignment="1" pivotButton="0" quotePrefix="0" xfId="0">
      <alignment horizontal="right"/>
    </xf>
    <xf numFmtId="1" fontId="5" fillId="0" borderId="442" applyAlignment="1" pivotButton="0" quotePrefix="0" xfId="0">
      <alignment vertical="center" wrapText="1"/>
    </xf>
    <xf numFmtId="1" fontId="5" fillId="0" borderId="555" applyAlignment="1" pivotButton="0" quotePrefix="0" xfId="0">
      <alignment horizontal="right" wrapText="1"/>
    </xf>
    <xf numFmtId="1" fontId="5" fillId="0" borderId="364" applyAlignment="1" pivotButton="0" quotePrefix="0" xfId="0">
      <alignment horizontal="right" wrapText="1"/>
    </xf>
    <xf numFmtId="1" fontId="5" fillId="8" borderId="453" applyAlignment="1" applyProtection="1" pivotButton="0" quotePrefix="0" xfId="0">
      <alignment horizontal="right"/>
      <protection locked="0" hidden="0"/>
    </xf>
    <xf numFmtId="1" fontId="5" fillId="0" borderId="394" applyAlignment="1" pivotButton="0" quotePrefix="0" xfId="0">
      <alignment vertical="center" wrapText="1"/>
    </xf>
    <xf numFmtId="1" fontId="5" fillId="0" borderId="410" applyAlignment="1" pivotButton="0" quotePrefix="0" xfId="0">
      <alignment horizontal="right" wrapText="1"/>
    </xf>
    <xf numFmtId="1" fontId="5" fillId="0" borderId="406" applyAlignment="1" pivotButton="0" quotePrefix="0" xfId="0">
      <alignment horizontal="right" wrapText="1"/>
    </xf>
    <xf numFmtId="1" fontId="5" fillId="0" borderId="564" applyAlignment="1" pivotButton="0" quotePrefix="0" xfId="0">
      <alignment vertical="center" wrapText="1"/>
    </xf>
    <xf numFmtId="1" fontId="5" fillId="0" borderId="565" applyAlignment="1" pivotButton="0" quotePrefix="0" xfId="0">
      <alignment horizontal="right" wrapText="1"/>
    </xf>
    <xf numFmtId="1" fontId="5" fillId="0" borderId="424" applyAlignment="1" pivotButton="0" quotePrefix="0" xfId="0">
      <alignment horizontal="right" wrapText="1"/>
    </xf>
    <xf numFmtId="1" fontId="5" fillId="0" borderId="566" applyAlignment="1" pivotButton="0" quotePrefix="0" xfId="0">
      <alignment horizontal="right" wrapText="1"/>
    </xf>
    <xf numFmtId="1" fontId="5" fillId="4" borderId="564" applyAlignment="1" applyProtection="1" pivotButton="0" quotePrefix="0" xfId="0">
      <alignment horizontal="right"/>
      <protection locked="0" hidden="0"/>
    </xf>
    <xf numFmtId="1" fontId="5" fillId="4" borderId="567" applyAlignment="1" applyProtection="1" pivotButton="0" quotePrefix="0" xfId="0">
      <alignment horizontal="right"/>
      <protection locked="0" hidden="0"/>
    </xf>
    <xf numFmtId="1" fontId="5" fillId="4" borderId="566" applyAlignment="1" applyProtection="1" pivotButton="0" quotePrefix="0" xfId="0">
      <alignment horizontal="right"/>
      <protection locked="0" hidden="0"/>
    </xf>
    <xf numFmtId="1" fontId="5" fillId="4" borderId="568" applyAlignment="1" applyProtection="1" pivotButton="0" quotePrefix="0" xfId="0">
      <alignment horizontal="right"/>
      <protection locked="0" hidden="0"/>
    </xf>
    <xf numFmtId="1" fontId="17" fillId="0" borderId="569" pivotButton="0" quotePrefix="0" xfId="0"/>
    <xf numFmtId="1" fontId="5" fillId="0" borderId="569" applyAlignment="1" pivotButton="0" quotePrefix="0" xfId="0">
      <alignment wrapText="1"/>
    </xf>
    <xf numFmtId="1" fontId="16" fillId="0" borderId="569" applyAlignment="1" pivotButton="0" quotePrefix="0" xfId="0">
      <alignment wrapText="1"/>
    </xf>
    <xf numFmtId="1" fontId="16" fillId="3" borderId="570" applyAlignment="1" pivotButton="0" quotePrefix="0" xfId="0">
      <alignment wrapText="1"/>
    </xf>
    <xf numFmtId="1" fontId="16" fillId="0" borderId="571" applyAlignment="1" pivotButton="0" quotePrefix="0" xfId="0">
      <alignment wrapText="1"/>
    </xf>
    <xf numFmtId="1" fontId="16" fillId="0" borderId="570" applyAlignment="1" pivotButton="0" quotePrefix="0" xfId="0">
      <alignment wrapText="1"/>
    </xf>
    <xf numFmtId="1" fontId="5" fillId="0" borderId="570" applyAlignment="1" pivotButton="0" quotePrefix="0" xfId="0">
      <alignment wrapText="1"/>
    </xf>
    <xf numFmtId="1" fontId="5" fillId="0" borderId="572" applyAlignment="1" pivotButton="0" quotePrefix="0" xfId="0">
      <alignment wrapText="1"/>
    </xf>
    <xf numFmtId="1" fontId="5" fillId="0" borderId="571" applyAlignment="1" pivotButton="0" quotePrefix="0" xfId="0">
      <alignment wrapText="1"/>
    </xf>
    <xf numFmtId="1" fontId="5" fillId="5" borderId="570" applyAlignment="1" pivotButton="0" quotePrefix="0" xfId="0">
      <alignment wrapText="1"/>
    </xf>
    <xf numFmtId="1" fontId="5" fillId="5" borderId="569" applyAlignment="1" pivotButton="0" quotePrefix="0" xfId="0">
      <alignment wrapText="1"/>
    </xf>
    <xf numFmtId="1" fontId="5" fillId="5" borderId="529" applyAlignment="1" pivotButton="0" quotePrefix="0" xfId="0">
      <alignment horizontal="center" vertical="center" wrapText="1"/>
    </xf>
    <xf numFmtId="1" fontId="5" fillId="0" borderId="547" applyAlignment="1" pivotButton="0" quotePrefix="0" xfId="0">
      <alignment horizontal="center" vertical="center" wrapText="1"/>
    </xf>
    <xf numFmtId="1" fontId="5" fillId="5" borderId="520" applyAlignment="1" pivotButton="0" quotePrefix="0" xfId="0">
      <alignment horizontal="center" vertical="center" wrapText="1"/>
    </xf>
    <xf numFmtId="1" fontId="5" fillId="5" borderId="521" applyAlignment="1" pivotButton="0" quotePrefix="0" xfId="0">
      <alignment horizontal="center" vertical="center" wrapText="1"/>
    </xf>
    <xf numFmtId="1" fontId="5" fillId="0" borderId="449" pivotButton="0" quotePrefix="0" xfId="0"/>
    <xf numFmtId="1" fontId="5" fillId="0" borderId="373" pivotButton="0" quotePrefix="0" xfId="0"/>
    <xf numFmtId="1" fontId="5" fillId="4" borderId="453" applyAlignment="1" applyProtection="1" pivotButton="0" quotePrefix="0" xfId="0">
      <alignment horizontal="right"/>
      <protection locked="0" hidden="0"/>
    </xf>
    <xf numFmtId="1" fontId="5" fillId="8" borderId="374" applyAlignment="1" applyProtection="1" pivotButton="0" quotePrefix="0" xfId="0">
      <alignment horizontal="right"/>
      <protection locked="0" hidden="0"/>
    </xf>
    <xf numFmtId="1" fontId="5" fillId="8" borderId="373" applyAlignment="1" applyProtection="1" pivotButton="0" quotePrefix="0" xfId="0">
      <alignment horizontal="right"/>
      <protection locked="0" hidden="0"/>
    </xf>
    <xf numFmtId="1" fontId="5" fillId="4" borderId="391" applyAlignment="1" applyProtection="1" pivotButton="0" quotePrefix="0" xfId="0">
      <alignment horizontal="right"/>
      <protection locked="0" hidden="0"/>
    </xf>
    <xf numFmtId="1" fontId="5" fillId="8" borderId="391" applyAlignment="1" applyProtection="1" pivotButton="0" quotePrefix="0" xfId="0">
      <alignment horizontal="right"/>
      <protection locked="0" hidden="0"/>
    </xf>
    <xf numFmtId="1" fontId="5" fillId="8" borderId="396" applyAlignment="1" applyProtection="1" pivotButton="0" quotePrefix="0" xfId="0">
      <alignment horizontal="right"/>
      <protection locked="0" hidden="0"/>
    </xf>
    <xf numFmtId="1" fontId="5" fillId="8" borderId="385" applyAlignment="1" applyProtection="1" pivotButton="0" quotePrefix="0" xfId="0">
      <alignment horizontal="right"/>
      <protection locked="0" hidden="0"/>
    </xf>
    <xf numFmtId="1" fontId="5" fillId="0" borderId="382" pivotButton="0" quotePrefix="0" xfId="0"/>
    <xf numFmtId="1" fontId="5" fillId="0" borderId="385" pivotButton="0" quotePrefix="0" xfId="0"/>
    <xf numFmtId="1" fontId="5" fillId="0" borderId="383" pivotButton="0" quotePrefix="0" xfId="0"/>
    <xf numFmtId="1" fontId="5" fillId="4" borderId="401" applyAlignment="1" applyProtection="1" pivotButton="0" quotePrefix="0" xfId="0">
      <alignment horizontal="right"/>
      <protection locked="0" hidden="0"/>
    </xf>
    <xf numFmtId="1" fontId="5" fillId="8" borderId="401" applyAlignment="1" applyProtection="1" pivotButton="0" quotePrefix="0" xfId="0">
      <alignment horizontal="right"/>
      <protection locked="0" hidden="0"/>
    </xf>
    <xf numFmtId="1" fontId="5" fillId="8" borderId="402" applyAlignment="1" applyProtection="1" pivotButton="0" quotePrefix="0" xfId="0">
      <alignment horizontal="right"/>
      <protection locked="0" hidden="0"/>
    </xf>
    <xf numFmtId="1" fontId="5" fillId="8" borderId="383" applyAlignment="1" applyProtection="1" pivotButton="0" quotePrefix="0" xfId="0">
      <alignment horizontal="right"/>
      <protection locked="0" hidden="0"/>
    </xf>
    <xf numFmtId="1" fontId="5" fillId="0" borderId="403" pivotButton="0" quotePrefix="0" xfId="0"/>
    <xf numFmtId="1" fontId="5" fillId="0" borderId="409" pivotButton="0" quotePrefix="0" xfId="0"/>
    <xf numFmtId="1" fontId="5" fillId="8" borderId="413" applyAlignment="1" applyProtection="1" pivotButton="0" quotePrefix="0" xfId="0">
      <alignment horizontal="right"/>
      <protection locked="0" hidden="0"/>
    </xf>
    <xf numFmtId="1" fontId="5" fillId="0" borderId="522" applyAlignment="1" pivotButton="0" quotePrefix="0" xfId="0">
      <alignment vertical="center"/>
    </xf>
    <xf numFmtId="1" fontId="5" fillId="0" borderId="523" applyAlignment="1" pivotButton="0" quotePrefix="0" xfId="0">
      <alignment vertical="center"/>
    </xf>
    <xf numFmtId="1" fontId="5" fillId="0" borderId="547" applyAlignment="1" pivotButton="0" quotePrefix="0" xfId="0">
      <alignment vertical="center"/>
    </xf>
    <xf numFmtId="1" fontId="5" fillId="0" borderId="520" applyAlignment="1" pivotButton="0" quotePrefix="0" xfId="0">
      <alignment vertical="center"/>
    </xf>
    <xf numFmtId="1" fontId="5" fillId="0" borderId="524" applyAlignment="1" pivotButton="0" quotePrefix="0" xfId="0">
      <alignment vertical="center"/>
    </xf>
    <xf numFmtId="1" fontId="5" fillId="5" borderId="520" applyAlignment="1" pivotButton="0" quotePrefix="0" xfId="0">
      <alignment vertical="center"/>
    </xf>
    <xf numFmtId="1" fontId="5" fillId="5" borderId="529" applyAlignment="1" pivotButton="0" quotePrefix="0" xfId="0">
      <alignment vertical="center"/>
    </xf>
    <xf numFmtId="1" fontId="5" fillId="6" borderId="554" applyAlignment="1" pivotButton="0" quotePrefix="0" xfId="0">
      <alignment horizontal="left" vertical="center" wrapText="1"/>
    </xf>
    <xf numFmtId="1" fontId="5" fillId="6" borderId="554" pivotButton="0" quotePrefix="0" xfId="0"/>
    <xf numFmtId="1" fontId="5" fillId="6" borderId="470" pivotButton="0" quotePrefix="0" xfId="0"/>
    <xf numFmtId="1" fontId="5" fillId="6" borderId="390" applyAlignment="1" pivotButton="0" quotePrefix="0" xfId="0">
      <alignment horizontal="right"/>
    </xf>
    <xf numFmtId="1" fontId="5" fillId="6" borderId="550" applyAlignment="1" pivotButton="0" quotePrefix="0" xfId="0">
      <alignment horizontal="right"/>
    </xf>
    <xf numFmtId="1" fontId="5" fillId="6" borderId="380" applyAlignment="1" pivotButton="0" quotePrefix="0" xfId="0">
      <alignment horizontal="left" vertical="center" wrapText="1"/>
    </xf>
    <xf numFmtId="1" fontId="5" fillId="6" borderId="384" applyAlignment="1" pivotButton="0" quotePrefix="0" xfId="0">
      <alignment horizontal="left" vertical="center" wrapText="1"/>
    </xf>
    <xf numFmtId="1" fontId="5" fillId="6" borderId="505" pivotButton="0" quotePrefix="0" xfId="0"/>
    <xf numFmtId="1" fontId="5" fillId="6" borderId="505" applyAlignment="1" pivotButton="0" quotePrefix="0" xfId="0">
      <alignment horizontal="right"/>
    </xf>
    <xf numFmtId="1" fontId="5" fillId="6" borderId="522" applyAlignment="1" pivotButton="0" quotePrefix="0" xfId="0">
      <alignment vertical="center"/>
    </xf>
    <xf numFmtId="1" fontId="5" fillId="6" borderId="523" applyAlignment="1" pivotButton="0" quotePrefix="0" xfId="0">
      <alignment vertical="center"/>
    </xf>
    <xf numFmtId="1" fontId="5" fillId="6" borderId="547" applyAlignment="1" pivotButton="0" quotePrefix="0" xfId="0">
      <alignment vertical="center"/>
    </xf>
    <xf numFmtId="1" fontId="5" fillId="6" borderId="520" applyAlignment="1" pivotButton="0" quotePrefix="0" xfId="0">
      <alignment vertical="center"/>
    </xf>
    <xf numFmtId="1" fontId="5" fillId="6" borderId="524" applyAlignment="1" pivotButton="0" quotePrefix="0" xfId="0">
      <alignment vertical="center"/>
    </xf>
    <xf numFmtId="1" fontId="5" fillId="6" borderId="529" applyAlignment="1" pivotButton="0" quotePrefix="0" xfId="0">
      <alignment vertical="center"/>
    </xf>
    <xf numFmtId="1" fontId="14" fillId="3" borderId="569" pivotButton="0" quotePrefix="0" xfId="0"/>
    <xf numFmtId="1" fontId="5" fillId="0" borderId="569" pivotButton="0" quotePrefix="0" xfId="0"/>
    <xf numFmtId="1" fontId="5" fillId="0" borderId="364" applyAlignment="1" pivotButton="0" quotePrefix="0" xfId="0">
      <alignment horizontal="center" vertical="center"/>
    </xf>
    <xf numFmtId="1" fontId="5" fillId="5" borderId="523" applyAlignment="1" pivotButton="0" quotePrefix="0" xfId="0">
      <alignment horizontal="center" vertical="center" wrapText="1"/>
    </xf>
    <xf numFmtId="1" fontId="5" fillId="0" borderId="450" pivotButton="0" quotePrefix="0" xfId="0"/>
    <xf numFmtId="1" fontId="5" fillId="8" borderId="447" applyAlignment="1" applyProtection="1" pivotButton="0" quotePrefix="0" xfId="0">
      <alignment horizontal="right"/>
      <protection locked="0" hidden="0"/>
    </xf>
    <xf numFmtId="1" fontId="5" fillId="8" borderId="452" applyAlignment="1" applyProtection="1" pivotButton="0" quotePrefix="0" xfId="0">
      <alignment horizontal="right"/>
      <protection locked="0" hidden="0"/>
    </xf>
    <xf numFmtId="1" fontId="5" fillId="0" borderId="393" pivotButton="0" quotePrefix="0" xfId="0"/>
    <xf numFmtId="1" fontId="5" fillId="8" borderId="394" applyAlignment="1" applyProtection="1" pivotButton="0" quotePrefix="0" xfId="0">
      <alignment horizontal="right"/>
      <protection locked="0" hidden="0"/>
    </xf>
    <xf numFmtId="1" fontId="5" fillId="8" borderId="382" applyAlignment="1" applyProtection="1" pivotButton="0" quotePrefix="0" xfId="0">
      <alignment horizontal="right"/>
      <protection locked="0" hidden="0"/>
    </xf>
    <xf numFmtId="1" fontId="5" fillId="0" borderId="407" applyAlignment="1" pivotButton="0" quotePrefix="0" xfId="0">
      <alignment horizontal="left"/>
    </xf>
    <xf numFmtId="1" fontId="5" fillId="0" borderId="469" pivotButton="0" quotePrefix="0" xfId="0"/>
    <xf numFmtId="1" fontId="5" fillId="8" borderId="399" applyAlignment="1" applyProtection="1" pivotButton="0" quotePrefix="0" xfId="0">
      <alignment horizontal="right"/>
      <protection locked="0" hidden="0"/>
    </xf>
    <xf numFmtId="1" fontId="5" fillId="8" borderId="388" applyAlignment="1" applyProtection="1" pivotButton="0" quotePrefix="0" xfId="0">
      <alignment horizontal="right"/>
      <protection locked="0" hidden="0"/>
    </xf>
    <xf numFmtId="1" fontId="5" fillId="0" borderId="546" pivotButton="0" quotePrefix="0" xfId="0"/>
    <xf numFmtId="1" fontId="5" fillId="4" borderId="475" applyAlignment="1" applyProtection="1" pivotButton="0" quotePrefix="0" xfId="0">
      <alignment horizontal="right"/>
      <protection locked="0" hidden="0"/>
    </xf>
    <xf numFmtId="1" fontId="5" fillId="4" borderId="505" applyAlignment="1" applyProtection="1" pivotButton="0" quotePrefix="0" xfId="0">
      <alignment horizontal="right"/>
      <protection locked="0" hidden="0"/>
    </xf>
    <xf numFmtId="1" fontId="5" fillId="0" borderId="384" applyAlignment="1" pivotButton="0" quotePrefix="0" xfId="0">
      <alignment wrapText="1"/>
    </xf>
    <xf numFmtId="1" fontId="5" fillId="0" borderId="403" applyAlignment="1" pivotButton="0" quotePrefix="0" xfId="0">
      <alignment wrapText="1"/>
    </xf>
    <xf numFmtId="1" fontId="5" fillId="4" borderId="410" applyAlignment="1" applyProtection="1" pivotButton="0" quotePrefix="0" xfId="0">
      <alignment horizontal="right"/>
      <protection locked="0" hidden="0"/>
    </xf>
    <xf numFmtId="1" fontId="5" fillId="0" borderId="362" applyAlignment="1" pivotButton="0" quotePrefix="0" xfId="0">
      <alignment horizontal="center" vertical="center"/>
    </xf>
    <xf numFmtId="1" fontId="5" fillId="0" borderId="380" applyAlignment="1" pivotButton="0" quotePrefix="0" xfId="0">
      <alignment wrapText="1"/>
    </xf>
    <xf numFmtId="1" fontId="5" fillId="0" borderId="554" applyAlignment="1" pivotButton="0" quotePrefix="0" xfId="0">
      <alignment horizontal="right" wrapText="1"/>
    </xf>
    <xf numFmtId="1" fontId="5" fillId="0" borderId="470" applyAlignment="1" pivotButton="0" quotePrefix="0" xfId="0">
      <alignment horizontal="right" wrapText="1"/>
    </xf>
    <xf numFmtId="1" fontId="5" fillId="0" borderId="390" applyAlignment="1" pivotButton="0" quotePrefix="0" xfId="0">
      <alignment horizontal="right" wrapText="1"/>
    </xf>
    <xf numFmtId="1" fontId="5" fillId="6" borderId="470" applyAlignment="1" pivotButton="0" quotePrefix="0" xfId="0">
      <alignment horizontal="right"/>
    </xf>
    <xf numFmtId="1" fontId="5" fillId="0" borderId="403" applyAlignment="1" pivotButton="0" quotePrefix="0" xfId="0">
      <alignment horizontal="right" wrapText="1"/>
    </xf>
    <xf numFmtId="1" fontId="5" fillId="0" borderId="546" applyAlignment="1" pivotButton="0" quotePrefix="0" xfId="0">
      <alignment horizontal="right" wrapText="1"/>
    </xf>
    <xf numFmtId="1" fontId="5" fillId="6" borderId="410" applyAlignment="1" pivotButton="0" quotePrefix="0" xfId="0">
      <alignment horizontal="right"/>
    </xf>
    <xf numFmtId="1" fontId="5" fillId="0" borderId="522" applyAlignment="1" pivotButton="0" quotePrefix="0" xfId="0">
      <alignment horizontal="right" wrapText="1"/>
    </xf>
    <xf numFmtId="1" fontId="5" fillId="4" borderId="441" applyAlignment="1" applyProtection="1" pivotButton="0" quotePrefix="0" xfId="0">
      <alignment horizontal="right"/>
      <protection locked="0" hidden="0"/>
    </xf>
    <xf numFmtId="1" fontId="5" fillId="4" borderId="362" applyAlignment="1" applyProtection="1" pivotButton="0" quotePrefix="0" xfId="0">
      <alignment horizontal="right"/>
      <protection locked="0" hidden="0"/>
    </xf>
    <xf numFmtId="1" fontId="5" fillId="4" borderId="413" applyAlignment="1" applyProtection="1" pivotButton="0" quotePrefix="0" xfId="0">
      <alignment horizontal="right"/>
      <protection locked="0" hidden="0"/>
    </xf>
    <xf numFmtId="1" fontId="5" fillId="0" borderId="456" pivotButton="0" quotePrefix="0" xfId="0"/>
    <xf numFmtId="1" fontId="5" fillId="0" borderId="549" pivotButton="0" quotePrefix="0" xfId="0"/>
    <xf numFmtId="1" fontId="5" fillId="0" borderId="458" pivotButton="0" quotePrefix="0" xfId="0"/>
    <xf numFmtId="1" fontId="5" fillId="0" borderId="362" applyAlignment="1" pivotButton="0" quotePrefix="0" xfId="15">
      <alignment horizontal="center" vertical="center" wrapText="1"/>
    </xf>
    <xf numFmtId="1" fontId="5" fillId="0" borderId="437" applyAlignment="1" applyProtection="1" pivotButton="0" quotePrefix="0" xfId="16">
      <alignment horizontal="center" vertical="center"/>
      <protection locked="1" hidden="1"/>
    </xf>
    <xf numFmtId="1" fontId="5" fillId="0" borderId="364" applyAlignment="1" pivotButton="0" quotePrefix="0" xfId="15">
      <alignment horizontal="center" vertical="center" wrapText="1"/>
    </xf>
    <xf numFmtId="1" fontId="5" fillId="0" borderId="520" applyAlignment="1" pivotButton="0" quotePrefix="0" xfId="15">
      <alignment horizontal="center" vertical="center" wrapText="1"/>
    </xf>
    <xf numFmtId="1" fontId="5" fillId="0" borderId="547" applyAlignment="1" pivotButton="0" quotePrefix="0" xfId="15">
      <alignment horizontal="center" vertical="center" wrapText="1"/>
    </xf>
    <xf numFmtId="1" fontId="5" fillId="0" borderId="456" applyAlignment="1" pivotButton="0" quotePrefix="0" xfId="15">
      <alignment horizontal="center" vertical="center" wrapText="1"/>
    </xf>
    <xf numFmtId="1" fontId="5" fillId="0" borderId="523" applyAlignment="1" pivotButton="0" quotePrefix="0" xfId="15">
      <alignment horizontal="center" vertical="center" wrapText="1"/>
    </xf>
    <xf numFmtId="1" fontId="5" fillId="0" borderId="449" pivotButton="0" quotePrefix="0" xfId="15"/>
    <xf numFmtId="1" fontId="5" fillId="0" borderId="452" pivotButton="0" quotePrefix="0" xfId="15"/>
    <xf numFmtId="1" fontId="5" fillId="0" borderId="448" pivotButton="0" quotePrefix="0" xfId="15"/>
    <xf numFmtId="1" fontId="5" fillId="4" borderId="447" applyAlignment="1" applyProtection="1" pivotButton="0" quotePrefix="0" xfId="15">
      <alignment horizontal="right"/>
      <protection locked="0" hidden="0"/>
    </xf>
    <xf numFmtId="1" fontId="5" fillId="4" borderId="452" applyAlignment="1" applyProtection="1" pivotButton="0" quotePrefix="0" xfId="15">
      <alignment horizontal="right"/>
      <protection locked="0" hidden="0"/>
    </xf>
    <xf numFmtId="1" fontId="5" fillId="4" borderId="448" applyAlignment="1" applyProtection="1" pivotButton="0" quotePrefix="0" xfId="15">
      <alignment horizontal="right"/>
      <protection locked="0" hidden="0"/>
    </xf>
    <xf numFmtId="1" fontId="5" fillId="4" borderId="451" applyAlignment="1" applyProtection="1" pivotButton="0" quotePrefix="0" xfId="15">
      <alignment horizontal="right"/>
      <protection locked="0" hidden="0"/>
    </xf>
    <xf numFmtId="1" fontId="5" fillId="0" borderId="384" pivotButton="0" quotePrefix="0" xfId="15"/>
    <xf numFmtId="1" fontId="5" fillId="0" borderId="554" pivotButton="0" quotePrefix="0" xfId="15"/>
    <xf numFmtId="1" fontId="5" fillId="0" borderId="470" pivotButton="0" quotePrefix="0" xfId="15"/>
    <xf numFmtId="1" fontId="5" fillId="0" borderId="390" pivotButton="0" quotePrefix="0" xfId="15"/>
    <xf numFmtId="1" fontId="5" fillId="4" borderId="399" applyAlignment="1" applyProtection="1" pivotButton="0" quotePrefix="0" xfId="15">
      <alignment horizontal="right"/>
      <protection locked="0" hidden="0"/>
    </xf>
    <xf numFmtId="1" fontId="5" fillId="4" borderId="382" applyAlignment="1" applyProtection="1" pivotButton="0" quotePrefix="0" xfId="15">
      <alignment horizontal="right"/>
      <protection locked="0" hidden="0"/>
    </xf>
    <xf numFmtId="1" fontId="5" fillId="4" borderId="378" applyAlignment="1" applyProtection="1" pivotButton="0" quotePrefix="0" xfId="15">
      <alignment horizontal="right"/>
      <protection locked="0" hidden="0"/>
    </xf>
    <xf numFmtId="1" fontId="5" fillId="4" borderId="415" applyAlignment="1" applyProtection="1" pivotButton="0" quotePrefix="0" xfId="15">
      <alignment horizontal="right"/>
      <protection locked="0" hidden="0"/>
    </xf>
    <xf numFmtId="1" fontId="5" fillId="4" borderId="388" applyAlignment="1" applyProtection="1" pivotButton="0" quotePrefix="0" xfId="15">
      <alignment horizontal="right"/>
      <protection locked="0" hidden="0"/>
    </xf>
    <xf numFmtId="1" fontId="5" fillId="0" borderId="522" pivotButton="0" quotePrefix="0" xfId="15"/>
    <xf numFmtId="1" fontId="5" fillId="0" borderId="523" pivotButton="0" quotePrefix="0" xfId="15"/>
    <xf numFmtId="1" fontId="5" fillId="0" borderId="524" pivotButton="0" quotePrefix="0" xfId="15"/>
    <xf numFmtId="1" fontId="5" fillId="0" borderId="520" pivotButton="0" quotePrefix="0" xfId="15"/>
    <xf numFmtId="1" fontId="5" fillId="0" borderId="547" pivotButton="0" quotePrefix="0" xfId="15"/>
    <xf numFmtId="1" fontId="5" fillId="0" borderId="456" pivotButton="0" quotePrefix="0" xfId="15"/>
    <xf numFmtId="1" fontId="5" fillId="0" borderId="548" applyAlignment="1" pivotButton="0" quotePrefix="0" xfId="15">
      <alignment horizontal="center" vertical="center" wrapText="1"/>
    </xf>
    <xf numFmtId="1" fontId="5" fillId="0" borderId="549" applyAlignment="1" applyProtection="1" pivotButton="0" quotePrefix="0" xfId="15">
      <alignment horizontal="center" vertical="center" wrapText="1"/>
      <protection locked="0" hidden="0"/>
    </xf>
    <xf numFmtId="0" fontId="5" fillId="0" borderId="458" applyAlignment="1" applyProtection="1" pivotButton="0" quotePrefix="0" xfId="15">
      <alignment horizontal="center" vertical="center" wrapText="1"/>
      <protection locked="0" hidden="0"/>
    </xf>
    <xf numFmtId="49" fontId="5" fillId="0" borderId="458" applyAlignment="1" applyProtection="1" pivotButton="0" quotePrefix="0" xfId="15">
      <alignment horizontal="center" vertical="center" wrapText="1"/>
      <protection locked="0" hidden="0"/>
    </xf>
    <xf numFmtId="49" fontId="5" fillId="0" borderId="547" applyAlignment="1" applyProtection="1" pivotButton="0" quotePrefix="0" xfId="15">
      <alignment horizontal="center" vertical="center" wrapText="1"/>
      <protection locked="0" hidden="0"/>
    </xf>
    <xf numFmtId="49" fontId="5" fillId="0" borderId="520" applyAlignment="1" applyProtection="1" pivotButton="0" quotePrefix="0" xfId="15">
      <alignment horizontal="center" vertical="center" wrapText="1"/>
      <protection locked="0" hidden="0"/>
    </xf>
    <xf numFmtId="49" fontId="5" fillId="0" borderId="524" applyAlignment="1" applyProtection="1" pivotButton="0" quotePrefix="0" xfId="15">
      <alignment horizontal="center" vertical="center" wrapText="1"/>
      <protection locked="0" hidden="0"/>
    </xf>
    <xf numFmtId="1" fontId="5" fillId="0" borderId="437" pivotButton="0" quotePrefix="0" xfId="15"/>
    <xf numFmtId="1" fontId="5" fillId="0" borderId="364" pivotButton="0" quotePrefix="0" xfId="15"/>
    <xf numFmtId="1" fontId="5" fillId="0" borderId="443" pivotButton="0" quotePrefix="0" xfId="15"/>
    <xf numFmtId="1" fontId="5" fillId="4" borderId="442" applyAlignment="1" applyProtection="1" pivotButton="0" quotePrefix="0" xfId="15">
      <alignment horizontal="right"/>
      <protection locked="0" hidden="0"/>
    </xf>
    <xf numFmtId="1" fontId="5" fillId="4" borderId="362" applyAlignment="1" applyProtection="1" pivotButton="0" quotePrefix="0" xfId="15">
      <alignment horizontal="right"/>
      <protection locked="0" hidden="0"/>
    </xf>
    <xf numFmtId="1" fontId="5" fillId="4" borderId="363" applyAlignment="1" applyProtection="1" pivotButton="0" quotePrefix="0" xfId="15">
      <alignment horizontal="right"/>
      <protection locked="0" hidden="0"/>
    </xf>
    <xf numFmtId="1" fontId="5" fillId="4" borderId="446" applyAlignment="1" applyProtection="1" pivotButton="0" quotePrefix="0" xfId="15">
      <alignment horizontal="right"/>
      <protection locked="0" hidden="0"/>
    </xf>
    <xf numFmtId="1" fontId="5" fillId="4" borderId="352" applyAlignment="1" applyProtection="1" pivotButton="0" quotePrefix="0" xfId="15">
      <alignment horizontal="right"/>
      <protection locked="0" hidden="0"/>
    </xf>
    <xf numFmtId="1" fontId="5" fillId="4" borderId="441" applyAlignment="1" applyProtection="1" pivotButton="0" quotePrefix="0" xfId="15">
      <alignment horizontal="right"/>
      <protection locked="0" hidden="0"/>
    </xf>
    <xf numFmtId="1" fontId="5" fillId="4" borderId="505" applyAlignment="1" applyProtection="1" pivotButton="0" quotePrefix="0" xfId="15">
      <alignment horizontal="right"/>
      <protection locked="0" hidden="0"/>
    </xf>
    <xf numFmtId="1" fontId="5" fillId="0" borderId="373" pivotButton="0" quotePrefix="0" xfId="15"/>
    <xf numFmtId="1" fontId="5" fillId="4" borderId="453" applyAlignment="1" applyProtection="1" pivotButton="0" quotePrefix="0" xfId="15">
      <alignment horizontal="right"/>
      <protection locked="0" hidden="0"/>
    </xf>
    <xf numFmtId="1" fontId="5" fillId="4" borderId="375" applyAlignment="1" applyProtection="1" pivotButton="0" quotePrefix="0" xfId="15">
      <alignment horizontal="right"/>
      <protection locked="0" hidden="0"/>
    </xf>
    <xf numFmtId="1" fontId="5" fillId="4" borderId="373" applyAlignment="1" applyProtection="1" pivotButton="0" quotePrefix="0" xfId="15">
      <alignment horizontal="right"/>
      <protection locked="0" hidden="0"/>
    </xf>
    <xf numFmtId="1" fontId="5" fillId="0" borderId="388" pivotButton="0" quotePrefix="0" xfId="15"/>
    <xf numFmtId="1" fontId="5" fillId="0" borderId="383" pivotButton="0" quotePrefix="0" xfId="15"/>
    <xf numFmtId="1" fontId="5" fillId="4" borderId="401" applyAlignment="1" applyProtection="1" pivotButton="0" quotePrefix="0" xfId="15">
      <alignment horizontal="right"/>
      <protection locked="0" hidden="0"/>
    </xf>
    <xf numFmtId="1" fontId="5" fillId="4" borderId="386" applyAlignment="1" applyProtection="1" pivotButton="0" quotePrefix="0" xfId="15">
      <alignment horizontal="right"/>
      <protection locked="0" hidden="0"/>
    </xf>
    <xf numFmtId="1" fontId="5" fillId="4" borderId="387" applyAlignment="1" applyProtection="1" pivotButton="0" quotePrefix="0" xfId="15">
      <alignment horizontal="right"/>
      <protection locked="0" hidden="0"/>
    </xf>
    <xf numFmtId="1" fontId="5" fillId="4" borderId="383" applyAlignment="1" applyProtection="1" pivotButton="0" quotePrefix="0" xfId="15">
      <alignment horizontal="right"/>
      <protection locked="0" hidden="0"/>
    </xf>
    <xf numFmtId="0" fontId="5" fillId="0" borderId="529" applyAlignment="1" pivotButton="0" quotePrefix="0" xfId="0">
      <alignment horizontal="center" wrapText="1"/>
    </xf>
    <xf numFmtId="0" fontId="5" fillId="0" borderId="520" applyAlignment="1" pivotButton="0" quotePrefix="0" xfId="0">
      <alignment horizontal="center" wrapText="1"/>
    </xf>
    <xf numFmtId="1" fontId="5" fillId="8" borderId="442" applyAlignment="1" applyProtection="1" pivotButton="0" quotePrefix="0" xfId="0">
      <alignment horizontal="right"/>
      <protection locked="0" hidden="0"/>
    </xf>
    <xf numFmtId="1" fontId="5" fillId="8" borderId="448" applyAlignment="1" applyProtection="1" pivotButton="0" quotePrefix="0" xfId="0">
      <alignment horizontal="right"/>
      <protection locked="0" hidden="0"/>
    </xf>
    <xf numFmtId="1" fontId="5" fillId="8" borderId="451" applyAlignment="1" applyProtection="1" pivotButton="0" quotePrefix="0" xfId="0">
      <alignment horizontal="right"/>
      <protection locked="0" hidden="0"/>
    </xf>
    <xf numFmtId="1" fontId="5" fillId="8" borderId="546" applyAlignment="1" applyProtection="1" pivotButton="0" quotePrefix="0" xfId="0">
      <alignment horizontal="right"/>
      <protection locked="0" hidden="0"/>
    </xf>
    <xf numFmtId="1" fontId="5" fillId="8" borderId="378" applyAlignment="1" applyProtection="1" pivotButton="0" quotePrefix="0" xfId="0">
      <alignment horizontal="right"/>
      <protection locked="0" hidden="0"/>
    </xf>
    <xf numFmtId="0" fontId="5" fillId="0" borderId="515" applyAlignment="1" pivotButton="0" quotePrefix="0" xfId="0">
      <alignment horizontal="center" vertical="center" wrapText="1"/>
    </xf>
    <xf numFmtId="0" fontId="5" fillId="0" borderId="515" applyAlignment="1" pivotButton="0" quotePrefix="0" xfId="0">
      <alignment horizontal="right" wrapText="1"/>
    </xf>
    <xf numFmtId="0" fontId="5" fillId="0" borderId="547" applyAlignment="1" pivotButton="0" quotePrefix="0" xfId="0">
      <alignment horizontal="right" wrapText="1"/>
    </xf>
    <xf numFmtId="0" fontId="5" fillId="0" borderId="520" applyAlignment="1" pivotButton="0" quotePrefix="0" xfId="0">
      <alignment horizontal="right" wrapText="1"/>
    </xf>
    <xf numFmtId="0" fontId="5" fillId="0" borderId="456" applyAlignment="1" pivotButton="0" quotePrefix="0" xfId="0">
      <alignment horizontal="right" wrapText="1"/>
    </xf>
    <xf numFmtId="0" fontId="5" fillId="8" borderId="442" applyAlignment="1" applyProtection="1" pivotButton="0" quotePrefix="0" xfId="0">
      <alignment horizontal="right"/>
      <protection locked="0" hidden="0"/>
    </xf>
    <xf numFmtId="0" fontId="5" fillId="8" borderId="448" applyAlignment="1" applyProtection="1" pivotButton="0" quotePrefix="0" xfId="0">
      <alignment horizontal="right"/>
      <protection locked="0" hidden="0"/>
    </xf>
    <xf numFmtId="1" fontId="5" fillId="6" borderId="382" applyAlignment="1" pivotButton="0" quotePrefix="0" xfId="0">
      <alignment horizontal="right"/>
    </xf>
    <xf numFmtId="0" fontId="5" fillId="8" borderId="394" applyAlignment="1" applyProtection="1" pivotButton="0" quotePrefix="0" xfId="0">
      <alignment horizontal="right"/>
      <protection locked="0" hidden="0"/>
    </xf>
    <xf numFmtId="0" fontId="5" fillId="8" borderId="390" applyAlignment="1" applyProtection="1" pivotButton="0" quotePrefix="0" xfId="0">
      <alignment horizontal="right"/>
      <protection locked="0" hidden="0"/>
    </xf>
    <xf numFmtId="0" fontId="5" fillId="8" borderId="408" applyAlignment="1" applyProtection="1" pivotButton="0" quotePrefix="0" xfId="0">
      <alignment horizontal="right"/>
      <protection locked="0" hidden="0"/>
    </xf>
    <xf numFmtId="0" fontId="5" fillId="0" borderId="384" applyAlignment="1" pivotButton="0" quotePrefix="0" xfId="0">
      <alignment horizontal="left" vertical="center" wrapText="1"/>
    </xf>
    <xf numFmtId="0" fontId="5" fillId="8" borderId="399" applyAlignment="1" applyProtection="1" pivotButton="0" quotePrefix="0" xfId="0">
      <alignment horizontal="right"/>
      <protection locked="0" hidden="0"/>
    </xf>
    <xf numFmtId="0" fontId="5" fillId="8" borderId="521" applyAlignment="1" applyProtection="1" pivotButton="0" quotePrefix="0" xfId="0">
      <alignment horizontal="right"/>
      <protection locked="0" hidden="0"/>
    </xf>
    <xf numFmtId="1" fontId="5" fillId="6" borderId="399" applyAlignment="1" pivotButton="0" quotePrefix="0" xfId="0">
      <alignment horizontal="right"/>
    </xf>
    <xf numFmtId="1" fontId="5" fillId="6" borderId="402" applyAlignment="1" pivotButton="0" quotePrefix="0" xfId="0">
      <alignment horizontal="right"/>
    </xf>
    <xf numFmtId="0" fontId="5" fillId="0" borderId="456" applyAlignment="1" pivotButton="0" quotePrefix="0" xfId="0">
      <alignment horizontal="center" vertical="center" wrapText="1"/>
    </xf>
    <xf numFmtId="0" fontId="5" fillId="0" borderId="449" applyAlignment="1" pivotButton="0" quotePrefix="0" xfId="0">
      <alignment vertical="center" wrapText="1"/>
    </xf>
    <xf numFmtId="0" fontId="5" fillId="8" borderId="447" applyProtection="1" pivotButton="0" quotePrefix="0" xfId="0">
      <protection locked="0" hidden="0"/>
    </xf>
    <xf numFmtId="0" fontId="5" fillId="8" borderId="374" applyProtection="1" pivotButton="0" quotePrefix="0" xfId="0">
      <protection locked="0" hidden="0"/>
    </xf>
    <xf numFmtId="0" fontId="5" fillId="0" borderId="384" applyAlignment="1" pivotButton="0" quotePrefix="0" xfId="0">
      <alignment vertical="center" wrapText="1"/>
    </xf>
    <xf numFmtId="0" fontId="5" fillId="8" borderId="399" applyProtection="1" pivotButton="0" quotePrefix="0" xfId="0">
      <protection locked="0" hidden="0"/>
    </xf>
    <xf numFmtId="0" fontId="5" fillId="8" borderId="402" applyProtection="1" pivotButton="0" quotePrefix="0" xfId="0">
      <protection locked="0" hidden="0"/>
    </xf>
    <xf numFmtId="0" fontId="5" fillId="0" borderId="515" applyAlignment="1" pivotButton="0" quotePrefix="0" xfId="0">
      <alignment horizontal="right" vertical="center" wrapText="1"/>
    </xf>
    <xf numFmtId="0" fontId="5" fillId="0" borderId="456" applyAlignment="1" pivotButton="0" quotePrefix="0" xfId="0">
      <alignment horizontal="right" vertical="center" wrapText="1"/>
    </xf>
    <xf numFmtId="1" fontId="5" fillId="0" borderId="515" applyAlignment="1" pivotButton="0" quotePrefix="0" xfId="15">
      <alignment horizontal="center" vertical="center" wrapText="1"/>
    </xf>
    <xf numFmtId="1" fontId="5" fillId="4" borderId="450" applyAlignment="1" applyProtection="1" pivotButton="0" quotePrefix="0" xfId="15">
      <alignment horizontal="right"/>
      <protection locked="0" hidden="0"/>
    </xf>
    <xf numFmtId="1" fontId="5" fillId="4" borderId="550" applyAlignment="1" applyProtection="1" pivotButton="0" quotePrefix="0" xfId="15">
      <alignment horizontal="right"/>
      <protection locked="0" hidden="0"/>
    </xf>
    <xf numFmtId="1" fontId="5" fillId="4" borderId="393" applyAlignment="1" applyProtection="1" pivotButton="0" quotePrefix="0" xfId="15">
      <alignment horizontal="right"/>
      <protection locked="0" hidden="0"/>
    </xf>
    <xf numFmtId="1" fontId="5" fillId="4" borderId="385" applyAlignment="1" applyProtection="1" pivotButton="0" quotePrefix="0" xfId="15">
      <alignment horizontal="right"/>
      <protection locked="0" hidden="0"/>
    </xf>
    <xf numFmtId="1" fontId="5" fillId="4" borderId="367" applyAlignment="1" applyProtection="1" pivotButton="0" quotePrefix="0" xfId="15">
      <alignment horizontal="right"/>
      <protection locked="0" hidden="0"/>
    </xf>
    <xf numFmtId="1" fontId="5" fillId="4" borderId="407" applyAlignment="1" applyProtection="1" pivotButton="0" quotePrefix="0" xfId="15">
      <alignment horizontal="right"/>
      <protection locked="0" hidden="0"/>
    </xf>
    <xf numFmtId="1" fontId="5" fillId="0" borderId="574" applyAlignment="1" pivotButton="0" quotePrefix="0" xfId="2">
      <alignment horizontal="right" wrapText="1"/>
    </xf>
    <xf numFmtId="1" fontId="5" fillId="0" borderId="576" applyAlignment="1" pivotButton="0" quotePrefix="0" xfId="0">
      <alignment horizontal="center" vertical="center" wrapText="1"/>
    </xf>
    <xf numFmtId="1" fontId="5" fillId="4" borderId="376" applyAlignment="1" applyProtection="1" pivotButton="0" quotePrefix="0" xfId="15">
      <alignment horizontal="right"/>
      <protection locked="0" hidden="0"/>
    </xf>
    <xf numFmtId="0" fontId="5" fillId="0" borderId="380" applyAlignment="1" pivotButton="0" quotePrefix="0" xfId="0">
      <alignment vertical="center" wrapText="1"/>
    </xf>
    <xf numFmtId="1" fontId="5" fillId="4" borderId="430" applyAlignment="1" applyProtection="1" pivotButton="0" quotePrefix="0" xfId="15">
      <alignment horizontal="right"/>
      <protection locked="0" hidden="0"/>
    </xf>
    <xf numFmtId="1" fontId="5" fillId="6" borderId="448" applyAlignment="1" pivotButton="0" quotePrefix="0" xfId="0">
      <alignment horizontal="right"/>
    </xf>
    <xf numFmtId="1" fontId="5" fillId="6" borderId="378" applyAlignment="1" pivotButton="0" quotePrefix="0" xfId="0">
      <alignment horizontal="right"/>
    </xf>
    <xf numFmtId="1" fontId="5" fillId="0" borderId="522" applyAlignment="1" pivotButton="0" quotePrefix="0" xfId="0">
      <alignment horizontal="center" vertical="center"/>
    </xf>
    <xf numFmtId="1" fontId="5" fillId="0" borderId="523" applyAlignment="1" pivotButton="0" quotePrefix="0" xfId="0">
      <alignment horizontal="center" vertical="center"/>
    </xf>
    <xf numFmtId="1" fontId="5" fillId="0" borderId="449" applyAlignment="1" pivotButton="0" quotePrefix="0" xfId="0">
      <alignment vertical="top" wrapText="1"/>
    </xf>
    <xf numFmtId="1" fontId="5" fillId="0" borderId="452" applyAlignment="1" pivotButton="0" quotePrefix="0" xfId="0">
      <alignment horizontal="right" wrapText="1"/>
    </xf>
    <xf numFmtId="1" fontId="5" fillId="0" borderId="448" applyAlignment="1" pivotButton="0" quotePrefix="0" xfId="0">
      <alignment horizontal="right" wrapText="1"/>
    </xf>
    <xf numFmtId="1" fontId="5" fillId="4" borderId="451" applyAlignment="1" applyProtection="1" pivotButton="0" quotePrefix="0" xfId="0">
      <alignment horizontal="right"/>
      <protection locked="0" hidden="0"/>
    </xf>
    <xf numFmtId="1" fontId="5" fillId="7" borderId="375" applyAlignment="1" pivotButton="0" quotePrefix="0" xfId="0">
      <alignment horizontal="right"/>
    </xf>
    <xf numFmtId="1" fontId="5" fillId="7" borderId="453" applyAlignment="1" pivotButton="0" quotePrefix="0" xfId="0">
      <alignment horizontal="right"/>
    </xf>
    <xf numFmtId="1" fontId="5" fillId="7" borderId="579" applyAlignment="1" pivotButton="0" quotePrefix="0" xfId="0">
      <alignment horizontal="right"/>
    </xf>
    <xf numFmtId="1" fontId="5" fillId="7" borderId="563" applyAlignment="1" pivotButton="0" quotePrefix="0" xfId="0">
      <alignment horizontal="right"/>
    </xf>
    <xf numFmtId="1" fontId="5" fillId="7" borderId="452" applyAlignment="1" pivotButton="0" quotePrefix="0" xfId="0">
      <alignment horizontal="right"/>
    </xf>
    <xf numFmtId="1" fontId="5" fillId="7" borderId="448" applyAlignment="1" pivotButton="0" quotePrefix="0" xfId="0">
      <alignment horizontal="right"/>
    </xf>
    <xf numFmtId="1" fontId="5" fillId="7" borderId="447" applyAlignment="1" pivotButton="0" quotePrefix="0" xfId="0">
      <alignment horizontal="right"/>
    </xf>
    <xf numFmtId="1" fontId="5" fillId="4" borderId="580" applyAlignment="1" applyProtection="1" pivotButton="0" quotePrefix="0" xfId="0">
      <alignment horizontal="right"/>
      <protection locked="0" hidden="0"/>
    </xf>
    <xf numFmtId="1" fontId="5" fillId="4" borderId="431" applyAlignment="1" applyProtection="1" pivotButton="0" quotePrefix="0" xfId="0">
      <alignment horizontal="right"/>
      <protection locked="0" hidden="0"/>
    </xf>
    <xf numFmtId="1" fontId="5" fillId="0" borderId="389" applyAlignment="1" pivotButton="0" quotePrefix="0" xfId="0">
      <alignment horizontal="right" wrapText="1"/>
    </xf>
    <xf numFmtId="1" fontId="5" fillId="4" borderId="581" applyAlignment="1" applyProtection="1" pivotButton="0" quotePrefix="0" xfId="0">
      <alignment horizontal="right"/>
      <protection locked="0" hidden="0"/>
    </xf>
    <xf numFmtId="1" fontId="5" fillId="0" borderId="378" applyAlignment="1" pivotButton="0" quotePrefix="0" xfId="0">
      <alignment horizontal="right" wrapText="1"/>
    </xf>
    <xf numFmtId="1" fontId="5" fillId="4" borderId="539" applyAlignment="1" applyProtection="1" pivotButton="0" quotePrefix="0" xfId="0">
      <alignment horizontal="right"/>
      <protection locked="0" hidden="0"/>
    </xf>
    <xf numFmtId="1" fontId="5" fillId="4" borderId="569" applyAlignment="1" applyProtection="1" pivotButton="0" quotePrefix="0" xfId="0">
      <alignment horizontal="right"/>
      <protection locked="0" hidden="0"/>
    </xf>
    <xf numFmtId="1" fontId="5" fillId="4" borderId="578" applyAlignment="1" applyProtection="1" pivotButton="0" quotePrefix="0" xfId="0">
      <alignment horizontal="right"/>
      <protection locked="0" hidden="0"/>
    </xf>
    <xf numFmtId="1" fontId="3" fillId="0" borderId="521" applyAlignment="1" pivotButton="0" quotePrefix="0" xfId="0">
      <alignment horizontal="center" vertical="center" wrapText="1"/>
    </xf>
    <xf numFmtId="1" fontId="3" fillId="0" borderId="546" applyAlignment="1" pivotButton="0" quotePrefix="0" xfId="0">
      <alignment horizontal="center" vertical="center" wrapText="1"/>
    </xf>
    <xf numFmtId="1" fontId="3" fillId="0" borderId="470" applyAlignment="1" pivotButton="0" quotePrefix="0" xfId="0">
      <alignment horizontal="right" vertical="center"/>
    </xf>
    <xf numFmtId="1" fontId="3" fillId="0" borderId="553" applyAlignment="1" pivotButton="0" quotePrefix="0" xfId="0">
      <alignment horizontal="right" vertical="center"/>
    </xf>
    <xf numFmtId="1" fontId="3" fillId="0" borderId="550" pivotButton="0" quotePrefix="0" xfId="0"/>
    <xf numFmtId="1" fontId="3" fillId="0" borderId="553" applyAlignment="1" pivotButton="0" quotePrefix="0" xfId="0">
      <alignment horizontal="right"/>
    </xf>
    <xf numFmtId="1" fontId="3" fillId="7" borderId="356" pivotButton="0" quotePrefix="0" xfId="0"/>
    <xf numFmtId="1" fontId="3" fillId="4" borderId="358" applyAlignment="1" applyProtection="1" pivotButton="0" quotePrefix="0" xfId="0">
      <alignment wrapText="1"/>
      <protection locked="0" hidden="0"/>
    </xf>
    <xf numFmtId="1" fontId="3" fillId="4" borderId="356" applyProtection="1" pivotButton="0" quotePrefix="0" xfId="0">
      <protection locked="0" hidden="0"/>
    </xf>
    <xf numFmtId="1" fontId="3" fillId="0" borderId="554" applyAlignment="1" pivotButton="0" quotePrefix="0" xfId="0">
      <alignment vertical="center" wrapText="1"/>
    </xf>
    <xf numFmtId="1" fontId="3" fillId="0" borderId="553" applyAlignment="1" pivotButton="0" quotePrefix="0" xfId="0">
      <alignment horizontal="right" wrapText="1"/>
    </xf>
    <xf numFmtId="1" fontId="3" fillId="0" borderId="470" applyAlignment="1" pivotButton="0" quotePrefix="0" xfId="0">
      <alignment horizontal="right" wrapText="1"/>
    </xf>
    <xf numFmtId="1" fontId="3" fillId="3" borderId="390" applyAlignment="1" pivotButton="0" quotePrefix="0" xfId="0">
      <alignment horizontal="right"/>
    </xf>
    <xf numFmtId="1" fontId="3" fillId="0" borderId="380" applyAlignment="1" pivotButton="0" quotePrefix="0" xfId="0">
      <alignment horizontal="left"/>
    </xf>
    <xf numFmtId="1" fontId="3" fillId="4" borderId="553" applyProtection="1" pivotButton="0" quotePrefix="0" xfId="0">
      <protection locked="0" hidden="0"/>
    </xf>
    <xf numFmtId="1" fontId="3" fillId="3" borderId="406" applyAlignment="1" pivotButton="0" quotePrefix="0" xfId="0">
      <alignment horizontal="right"/>
    </xf>
    <xf numFmtId="1" fontId="3" fillId="4" borderId="404" applyAlignment="1" applyProtection="1" pivotButton="0" quotePrefix="0" xfId="0">
      <alignment wrapText="1"/>
      <protection locked="0" hidden="0"/>
    </xf>
    <xf numFmtId="1" fontId="3" fillId="7" borderId="553" pivotButton="0" quotePrefix="0" xfId="0"/>
    <xf numFmtId="1" fontId="3" fillId="0" borderId="469" applyAlignment="1" pivotButton="0" quotePrefix="0" xfId="0">
      <alignment horizontal="right" wrapText="1"/>
    </xf>
    <xf numFmtId="1" fontId="3" fillId="4" borderId="374" applyProtection="1" pivotButton="0" quotePrefix="0" xfId="0">
      <protection locked="0" hidden="0"/>
    </xf>
    <xf numFmtId="1" fontId="3" fillId="6" borderId="394" pivotButton="0" quotePrefix="0" xfId="0"/>
    <xf numFmtId="1" fontId="3" fillId="6" borderId="382" pivotButton="0" quotePrefix="0" xfId="0"/>
    <xf numFmtId="1" fontId="3" fillId="6" borderId="391" pivotButton="0" quotePrefix="0" xfId="0"/>
    <xf numFmtId="1" fontId="3" fillId="4" borderId="552" applyAlignment="1" applyProtection="1" pivotButton="0" quotePrefix="0" xfId="0">
      <alignment wrapText="1"/>
      <protection locked="0" hidden="0"/>
    </xf>
    <xf numFmtId="1" fontId="3" fillId="4" borderId="470" applyAlignment="1" applyProtection="1" pivotButton="0" quotePrefix="0" xfId="0">
      <alignment wrapText="1"/>
      <protection locked="0" hidden="0"/>
    </xf>
    <xf numFmtId="1" fontId="3" fillId="0" borderId="554" pivotButton="0" quotePrefix="0" xfId="0"/>
    <xf numFmtId="1" fontId="3" fillId="7" borderId="410" pivotButton="0" quotePrefix="0" xfId="0"/>
    <xf numFmtId="1" fontId="3" fillId="6" borderId="389" pivotButton="0" quotePrefix="0" xfId="0"/>
    <xf numFmtId="1" fontId="3" fillId="4" borderId="410" applyAlignment="1" applyProtection="1" pivotButton="0" quotePrefix="0" xfId="0">
      <alignment wrapText="1"/>
      <protection locked="0" hidden="0"/>
    </xf>
    <xf numFmtId="1" fontId="3" fillId="4" borderId="406" applyAlignment="1" applyProtection="1" pivotButton="0" quotePrefix="0" xfId="0">
      <alignment wrapText="1"/>
      <protection locked="0" hidden="0"/>
    </xf>
    <xf numFmtId="1" fontId="3" fillId="6" borderId="553" pivotButton="0" quotePrefix="0" xfId="0"/>
    <xf numFmtId="1" fontId="3" fillId="6" borderId="381" pivotButton="0" quotePrefix="0" xfId="0"/>
    <xf numFmtId="1" fontId="3" fillId="4" borderId="521" applyProtection="1" pivotButton="0" quotePrefix="0" xfId="0">
      <protection locked="0" hidden="0"/>
    </xf>
    <xf numFmtId="1" fontId="3" fillId="4" borderId="539" applyProtection="1" pivotButton="0" quotePrefix="0" xfId="0">
      <protection locked="0" hidden="0"/>
    </xf>
    <xf numFmtId="0" fontId="3" fillId="0" borderId="469" applyAlignment="1" pivotButton="0" quotePrefix="0" xfId="0">
      <alignment horizontal="center" vertical="center" wrapText="1"/>
    </xf>
    <xf numFmtId="0" fontId="3" fillId="44" borderId="553" applyProtection="1" pivotButton="0" quotePrefix="0" xfId="0">
      <protection locked="0" hidden="0"/>
    </xf>
    <xf numFmtId="0" fontId="3" fillId="44" borderId="470" applyProtection="1" pivotButton="0" quotePrefix="0" xfId="0">
      <protection locked="0" hidden="0"/>
    </xf>
    <xf numFmtId="0" fontId="3" fillId="0" borderId="384" applyAlignment="1" pivotButton="0" quotePrefix="0" xfId="0">
      <alignment wrapText="1"/>
    </xf>
    <xf numFmtId="0" fontId="3" fillId="0" borderId="469" pivotButton="0" quotePrefix="0" xfId="0"/>
    <xf numFmtId="0" fontId="3" fillId="44" borderId="399" applyProtection="1" pivotButton="0" quotePrefix="0" xfId="0">
      <protection locked="0" hidden="0"/>
    </xf>
    <xf numFmtId="0" fontId="3" fillId="44" borderId="388" applyProtection="1" pivotButton="0" quotePrefix="0" xfId="0">
      <protection locked="0" hidden="0"/>
    </xf>
    <xf numFmtId="0" fontId="3" fillId="44" borderId="383" applyProtection="1" pivotButton="0" quotePrefix="0" xfId="0">
      <protection locked="0" hidden="0"/>
    </xf>
    <xf numFmtId="1" fontId="3" fillId="0" borderId="539" applyAlignment="1" pivotButton="0" quotePrefix="0" xfId="0">
      <alignment horizontal="center" vertical="center" wrapText="1"/>
    </xf>
    <xf numFmtId="1" fontId="3" fillId="4" borderId="554" applyProtection="1" pivotButton="0" quotePrefix="0" xfId="0">
      <protection locked="0" hidden="0"/>
    </xf>
    <xf numFmtId="1" fontId="3" fillId="4" borderId="594" applyProtection="1" pivotButton="0" quotePrefix="0" xfId="0">
      <protection locked="0" hidden="0"/>
    </xf>
    <xf numFmtId="1" fontId="3" fillId="4" borderId="552" applyProtection="1" pivotButton="0" quotePrefix="0" xfId="0">
      <protection locked="0" hidden="0"/>
    </xf>
    <xf numFmtId="1" fontId="3" fillId="4" borderId="384" applyAlignment="1" applyProtection="1" pivotButton="0" quotePrefix="0" xfId="0">
      <alignment wrapText="1"/>
      <protection locked="0" hidden="0"/>
    </xf>
    <xf numFmtId="1" fontId="3" fillId="0" borderId="521" applyAlignment="1" pivotButton="0" quotePrefix="0" xfId="0">
      <alignment horizontal="center" vertical="center"/>
    </xf>
    <xf numFmtId="1" fontId="3" fillId="0" borderId="469" applyAlignment="1" pivotButton="0" quotePrefix="0" xfId="0">
      <alignment horizontal="center" vertical="center"/>
    </xf>
    <xf numFmtId="1" fontId="3" fillId="0" borderId="470" applyAlignment="1" pivotButton="0" quotePrefix="0" xfId="0">
      <alignment horizontal="right"/>
    </xf>
    <xf numFmtId="1" fontId="3" fillId="4" borderId="553" applyAlignment="1" applyProtection="1" pivotButton="0" quotePrefix="0" xfId="0">
      <alignment horizontal="right"/>
      <protection locked="0" hidden="0"/>
    </xf>
    <xf numFmtId="1" fontId="3" fillId="4" borderId="552" applyAlignment="1" applyProtection="1" pivotButton="0" quotePrefix="0" xfId="0">
      <alignment horizontal="right"/>
      <protection locked="0" hidden="0"/>
    </xf>
    <xf numFmtId="1" fontId="3" fillId="0" borderId="618" applyAlignment="1" pivotButton="0" quotePrefix="0" xfId="0">
      <alignment horizontal="left" vertical="center" wrapText="1"/>
    </xf>
    <xf numFmtId="1" fontId="3" fillId="0" borderId="618" applyAlignment="1" pivotButton="0" quotePrefix="0" xfId="0">
      <alignment horizontal="right" vertical="center" wrapText="1"/>
    </xf>
    <xf numFmtId="1" fontId="3" fillId="0" borderId="389" applyAlignment="1" pivotButton="0" quotePrefix="0" xfId="0">
      <alignment wrapText="1"/>
    </xf>
    <xf numFmtId="1" fontId="3" fillId="0" borderId="521" pivotButton="0" quotePrefix="0" xfId="0"/>
    <xf numFmtId="1" fontId="3" fillId="0" borderId="569" applyAlignment="1" pivotButton="0" quotePrefix="0" xfId="0">
      <alignment horizontal="center" vertical="center"/>
    </xf>
    <xf numFmtId="1" fontId="3" fillId="0" borderId="553" pivotButton="0" quotePrefix="0" xfId="0"/>
    <xf numFmtId="1" fontId="3" fillId="0" borderId="673" applyAlignment="1" pivotButton="0" quotePrefix="0" xfId="0">
      <alignment horizontal="center" vertical="center" wrapText="1"/>
    </xf>
    <xf numFmtId="1" fontId="3" fillId="0" borderId="672" applyAlignment="1" pivotButton="0" quotePrefix="0" xfId="0">
      <alignment horizontal="center" vertical="center" wrapText="1"/>
    </xf>
    <xf numFmtId="1" fontId="3" fillId="0" borderId="675" applyAlignment="1" pivotButton="0" quotePrefix="0" xfId="0">
      <alignment horizontal="center" vertical="center" wrapText="1"/>
    </xf>
    <xf numFmtId="1" fontId="3" fillId="0" borderId="676" pivotButton="0" quotePrefix="0" xfId="0"/>
    <xf numFmtId="1" fontId="3" fillId="4" borderId="678" applyProtection="1" pivotButton="0" quotePrefix="0" xfId="0">
      <protection locked="0" hidden="0"/>
    </xf>
    <xf numFmtId="1" fontId="3" fillId="0" borderId="406" pivotButton="0" quotePrefix="0" xfId="0"/>
    <xf numFmtId="0" fontId="3" fillId="0" borderId="679" applyAlignment="1" pivotButton="0" quotePrefix="0" xfId="0">
      <alignment horizontal="center" vertical="center"/>
    </xf>
    <xf numFmtId="0" fontId="3" fillId="0" borderId="680" applyAlignment="1" pivotButton="0" quotePrefix="0" xfId="0">
      <alignment horizontal="center" vertical="center" wrapText="1"/>
    </xf>
    <xf numFmtId="0" fontId="3" fillId="0" borderId="681" applyAlignment="1" pivotButton="0" quotePrefix="0" xfId="0">
      <alignment horizontal="center" vertical="center"/>
    </xf>
    <xf numFmtId="1" fontId="3" fillId="0" borderId="681" pivotButton="0" quotePrefix="0" xfId="0"/>
    <xf numFmtId="1" fontId="3" fillId="0" borderId="684" applyAlignment="1" pivotButton="0" quotePrefix="0" xfId="0">
      <alignment horizontal="center" vertical="center" wrapText="1"/>
    </xf>
    <xf numFmtId="1" fontId="3" fillId="5" borderId="685" applyAlignment="1" pivotButton="0" quotePrefix="0" xfId="0">
      <alignment horizontal="center" vertical="center" wrapText="1"/>
    </xf>
    <xf numFmtId="1" fontId="3" fillId="5" borderId="681" applyAlignment="1" pivotButton="0" quotePrefix="0" xfId="0">
      <alignment horizontal="center" vertical="center" wrapText="1"/>
    </xf>
    <xf numFmtId="1" fontId="3" fillId="5" borderId="684" applyAlignment="1" pivotButton="0" quotePrefix="0" xfId="0">
      <alignment horizontal="center" vertical="center" wrapText="1"/>
    </xf>
    <xf numFmtId="1" fontId="3" fillId="0" borderId="661" pivotButton="0" quotePrefix="0" xfId="0"/>
    <xf numFmtId="1" fontId="3" fillId="0" borderId="550" applyAlignment="1" pivotButton="0" quotePrefix="0" xfId="0">
      <alignment horizontal="left" vertical="center" wrapText="1"/>
    </xf>
    <xf numFmtId="1" fontId="3" fillId="5" borderId="553" applyAlignment="1" pivotButton="0" quotePrefix="0" xfId="0">
      <alignment horizontal="right" wrapText="1"/>
    </xf>
    <xf numFmtId="1" fontId="3" fillId="5" borderId="470" applyAlignment="1" pivotButton="0" quotePrefix="0" xfId="0">
      <alignment horizontal="right" wrapText="1"/>
    </xf>
    <xf numFmtId="1" fontId="3" fillId="0" borderId="470" pivotButton="0" quotePrefix="0" xfId="0"/>
    <xf numFmtId="1" fontId="3" fillId="0" borderId="670" applyAlignment="1" pivotButton="0" quotePrefix="0" xfId="0">
      <alignment horizontal="center" vertical="center"/>
    </xf>
    <xf numFmtId="1" fontId="3" fillId="0" borderId="683" applyAlignment="1" pivotButton="0" quotePrefix="0" xfId="0">
      <alignment horizontal="center" vertical="center" wrapText="1"/>
    </xf>
    <xf numFmtId="1" fontId="3" fillId="3" borderId="550" applyAlignment="1" pivotButton="0" quotePrefix="0" xfId="0">
      <alignment horizontal="right"/>
    </xf>
    <xf numFmtId="1" fontId="3" fillId="4" borderId="358" applyProtection="1" pivotButton="0" quotePrefix="0" xfId="0">
      <protection locked="0" hidden="0"/>
    </xf>
    <xf numFmtId="1" fontId="3" fillId="0" borderId="550" applyAlignment="1" pivotButton="0" quotePrefix="0" xfId="0">
      <alignment vertical="center" wrapText="1"/>
    </xf>
    <xf numFmtId="1" fontId="3" fillId="3" borderId="401" applyAlignment="1" pivotButton="0" quotePrefix="0" xfId="0">
      <alignment horizontal="right"/>
    </xf>
    <xf numFmtId="1" fontId="3" fillId="0" borderId="694" applyAlignment="1" pivotButton="0" quotePrefix="0" xfId="0">
      <alignment horizontal="center" vertical="center" wrapText="1"/>
    </xf>
    <xf numFmtId="1" fontId="3" fillId="0" borderId="378" applyAlignment="1" pivotButton="0" quotePrefix="0" xfId="0">
      <alignment horizontal="right" vertical="center" wrapText="1"/>
    </xf>
    <xf numFmtId="1" fontId="3" fillId="0" borderId="695" applyAlignment="1" pivotButton="0" quotePrefix="0" xfId="0">
      <alignment horizontal="center" vertical="center" wrapText="1"/>
    </xf>
    <xf numFmtId="1" fontId="3" fillId="0" borderId="679" applyAlignment="1" pivotButton="0" quotePrefix="0" xfId="0">
      <alignment horizontal="center" vertical="center" wrapText="1"/>
    </xf>
    <xf numFmtId="1" fontId="3" fillId="0" borderId="672" applyAlignment="1" pivotButton="0" quotePrefix="0" xfId="0">
      <alignment horizontal="center" vertical="center"/>
    </xf>
    <xf numFmtId="1" fontId="3" fillId="0" borderId="618" applyAlignment="1" pivotButton="0" quotePrefix="0" xfId="0">
      <alignment horizontal="center" vertical="center" wrapText="1"/>
    </xf>
    <xf numFmtId="1" fontId="3" fillId="0" borderId="681" applyAlignment="1" pivotButton="0" quotePrefix="0" xfId="0">
      <alignment horizontal="center" vertical="center" wrapText="1"/>
    </xf>
    <xf numFmtId="1" fontId="3" fillId="0" borderId="689" applyAlignment="1" pivotButton="0" quotePrefix="0" xfId="0">
      <alignment horizontal="center" vertical="center" wrapText="1"/>
    </xf>
    <xf numFmtId="1" fontId="3" fillId="0" borderId="682" applyAlignment="1" pivotButton="0" quotePrefix="0" xfId="0">
      <alignment horizontal="center" vertical="center"/>
    </xf>
    <xf numFmtId="1" fontId="3" fillId="3" borderId="679" pivotButton="0" quotePrefix="0" xfId="0"/>
    <xf numFmtId="1" fontId="3" fillId="4" borderId="687" applyProtection="1" pivotButton="0" quotePrefix="0" xfId="0">
      <protection locked="0" hidden="0"/>
    </xf>
    <xf numFmtId="1" fontId="3" fillId="4" borderId="699" applyProtection="1" pivotButton="0" quotePrefix="0" xfId="0">
      <protection locked="0" hidden="0"/>
    </xf>
    <xf numFmtId="1" fontId="3" fillId="4" borderId="693" applyProtection="1" pivotButton="0" quotePrefix="0" xfId="0">
      <protection locked="0" hidden="0"/>
    </xf>
    <xf numFmtId="1" fontId="3" fillId="4" borderId="700" applyProtection="1" pivotButton="0" quotePrefix="0" xfId="0">
      <protection locked="0" hidden="0"/>
    </xf>
    <xf numFmtId="1" fontId="3" fillId="4" borderId="701" applyProtection="1" pivotButton="0" quotePrefix="0" xfId="0">
      <protection locked="0" hidden="0"/>
    </xf>
    <xf numFmtId="1" fontId="3" fillId="4" borderId="695" applyProtection="1" pivotButton="0" quotePrefix="0" xfId="0">
      <protection locked="0" hidden="0"/>
    </xf>
    <xf numFmtId="1" fontId="3" fillId="0" borderId="660" pivotButton="0" quotePrefix="0" xfId="0"/>
    <xf numFmtId="1" fontId="3" fillId="3" borderId="660" pivotButton="0" quotePrefix="0" xfId="0"/>
    <xf numFmtId="1" fontId="3" fillId="4" borderId="691" applyProtection="1" pivotButton="0" quotePrefix="0" xfId="0">
      <protection locked="0" hidden="0"/>
    </xf>
    <xf numFmtId="1" fontId="3" fillId="4" borderId="676" applyProtection="1" pivotButton="0" quotePrefix="0" xfId="0">
      <protection locked="0" hidden="0"/>
    </xf>
    <xf numFmtId="1" fontId="3" fillId="4" borderId="702" applyProtection="1" pivotButton="0" quotePrefix="0" xfId="0">
      <protection locked="0" hidden="0"/>
    </xf>
    <xf numFmtId="1" fontId="3" fillId="4" borderId="703" applyProtection="1" pivotButton="0" quotePrefix="0" xfId="0">
      <protection locked="0" hidden="0"/>
    </xf>
    <xf numFmtId="0" fontId="3" fillId="44" borderId="471" applyProtection="1" pivotButton="0" quotePrefix="0" xfId="0">
      <protection locked="0" hidden="0"/>
    </xf>
    <xf numFmtId="0" fontId="3" fillId="44" borderId="676" applyProtection="1" pivotButton="0" quotePrefix="0" xfId="0">
      <protection locked="0" hidden="0"/>
    </xf>
    <xf numFmtId="0" fontId="3" fillId="44" borderId="704" applyProtection="1" pivotButton="0" quotePrefix="0" xfId="0">
      <protection locked="0" hidden="0"/>
    </xf>
    <xf numFmtId="1" fontId="3" fillId="4" borderId="677" applyProtection="1" pivotButton="0" quotePrefix="0" xfId="0">
      <protection locked="0" hidden="0"/>
    </xf>
    <xf numFmtId="1" fontId="3" fillId="0" borderId="393" applyAlignment="1" pivotButton="0" quotePrefix="0" xfId="0">
      <alignment wrapText="1"/>
    </xf>
    <xf numFmtId="0" fontId="3" fillId="44" borderId="469" applyProtection="1" pivotButton="0" quotePrefix="0" xfId="0">
      <protection locked="0" hidden="0"/>
    </xf>
    <xf numFmtId="0" fontId="3" fillId="44" borderId="578" applyProtection="1" pivotButton="0" quotePrefix="0" xfId="0">
      <protection locked="0" hidden="0"/>
    </xf>
    <xf numFmtId="1" fontId="3" fillId="0" borderId="687" applyAlignment="1" pivotButton="0" quotePrefix="0" xfId="0">
      <alignment horizontal="center" vertical="center" wrapText="1"/>
    </xf>
    <xf numFmtId="1" fontId="3" fillId="0" borderId="701" applyAlignment="1" pivotButton="0" quotePrefix="0" xfId="0">
      <alignment horizontal="center" vertical="center" wrapText="1"/>
    </xf>
    <xf numFmtId="1" fontId="3" fillId="0" borderId="699" applyAlignment="1" pivotButton="0" quotePrefix="0" xfId="0">
      <alignment horizontal="center" vertical="center" wrapText="1"/>
    </xf>
    <xf numFmtId="1" fontId="3" fillId="4" borderId="681" applyProtection="1" pivotButton="0" quotePrefix="0" xfId="0">
      <protection locked="0" hidden="0"/>
    </xf>
    <xf numFmtId="1" fontId="3" fillId="4" borderId="675" applyProtection="1" pivotButton="0" quotePrefix="0" xfId="0">
      <protection locked="0" hidden="0"/>
    </xf>
    <xf numFmtId="1" fontId="3" fillId="4" borderId="689" applyProtection="1" pivotButton="0" quotePrefix="0" xfId="0">
      <protection locked="0" hidden="0"/>
    </xf>
    <xf numFmtId="1" fontId="3" fillId="4" borderId="673" applyProtection="1" pivotButton="0" quotePrefix="0" xfId="0">
      <protection locked="0" hidden="0"/>
    </xf>
    <xf numFmtId="0" fontId="3" fillId="0" borderId="687" applyAlignment="1" pivotButton="0" quotePrefix="0" xfId="0">
      <alignment horizontal="center" wrapText="1"/>
    </xf>
    <xf numFmtId="1" fontId="3" fillId="0" borderId="688" applyAlignment="1" pivotButton="0" quotePrefix="0" xfId="0">
      <alignment horizontal="center" vertical="center" wrapText="1"/>
    </xf>
    <xf numFmtId="1" fontId="3" fillId="0" borderId="689" applyAlignment="1" pivotButton="0" quotePrefix="0" xfId="0">
      <alignment horizontal="center" vertical="center"/>
    </xf>
    <xf numFmtId="0" fontId="3" fillId="0" borderId="681" applyAlignment="1" pivotButton="0" quotePrefix="0" xfId="0">
      <alignment horizontal="center" vertical="center" wrapText="1"/>
    </xf>
    <xf numFmtId="0" fontId="3" fillId="0" borderId="682" applyAlignment="1" pivotButton="0" quotePrefix="0" xfId="0">
      <alignment horizontal="center" vertical="center" wrapText="1"/>
    </xf>
    <xf numFmtId="1" fontId="3" fillId="0" borderId="685" pivotButton="0" quotePrefix="0" xfId="0"/>
    <xf numFmtId="1" fontId="3" fillId="0" borderId="682" pivotButton="0" quotePrefix="0" xfId="0"/>
    <xf numFmtId="1" fontId="3" fillId="0" borderId="680" pivotButton="0" quotePrefix="0" xfId="0"/>
    <xf numFmtId="1" fontId="3" fillId="0" borderId="673" pivotButton="0" quotePrefix="0" xfId="0"/>
    <xf numFmtId="1" fontId="3" fillId="6" borderId="374" pivotButton="0" quotePrefix="0" xfId="0"/>
    <xf numFmtId="1" fontId="3" fillId="6" borderId="402" pivotButton="0" quotePrefix="0" xfId="0"/>
    <xf numFmtId="1" fontId="3" fillId="0" borderId="685" applyAlignment="1" pivotButton="0" quotePrefix="0" xfId="0">
      <alignment horizontal="left" vertical="center" wrapText="1"/>
    </xf>
    <xf numFmtId="1" fontId="3" fillId="0" borderId="677" applyAlignment="1" applyProtection="1" pivotButton="0" quotePrefix="0" xfId="0">
      <alignment horizontal="left" wrapText="1"/>
      <protection locked="1" hidden="1"/>
    </xf>
    <xf numFmtId="1" fontId="3" fillId="0" borderId="389" applyAlignment="1" applyProtection="1" pivotButton="0" quotePrefix="0" xfId="0">
      <alignment horizontal="left" wrapText="1"/>
      <protection locked="1" hidden="1"/>
    </xf>
    <xf numFmtId="1" fontId="3" fillId="6" borderId="358" pivotButton="0" quotePrefix="0" xfId="0"/>
    <xf numFmtId="1" fontId="3" fillId="6" borderId="356" pivotButton="0" quotePrefix="0" xfId="0"/>
    <xf numFmtId="1" fontId="3" fillId="0" borderId="406" applyAlignment="1" applyProtection="1" pivotButton="0" quotePrefix="0" xfId="0">
      <alignment horizontal="left" wrapText="1"/>
      <protection locked="1" hidden="1"/>
    </xf>
    <xf numFmtId="1" fontId="3" fillId="4" borderId="546" applyProtection="1" pivotButton="0" quotePrefix="0" xfId="0">
      <protection locked="0" hidden="0"/>
    </xf>
    <xf numFmtId="1" fontId="3" fillId="0" borderId="384" applyAlignment="1" applyProtection="1" pivotButton="0" quotePrefix="0" xfId="0">
      <alignment horizontal="left" wrapText="1"/>
      <protection locked="1" hidden="1"/>
    </xf>
    <xf numFmtId="1" fontId="3" fillId="0" borderId="521" applyAlignment="1" applyProtection="1" pivotButton="0" quotePrefix="0" xfId="0">
      <alignment horizontal="left" wrapText="1"/>
      <protection locked="1" hidden="1"/>
    </xf>
    <xf numFmtId="1" fontId="3" fillId="0" borderId="618" pivotButton="0" quotePrefix="0" xfId="0"/>
    <xf numFmtId="1" fontId="3" fillId="4" borderId="682" applyProtection="1" pivotButton="0" quotePrefix="0" xfId="0">
      <protection locked="0" hidden="0"/>
    </xf>
    <xf numFmtId="1" fontId="3" fillId="6" borderId="682" pivotButton="0" quotePrefix="0" xfId="0"/>
    <xf numFmtId="1" fontId="3" fillId="6" borderId="675" pivotButton="0" quotePrefix="0" xfId="0"/>
    <xf numFmtId="1" fontId="3" fillId="4" borderId="680" applyProtection="1" pivotButton="0" quotePrefix="0" xfId="0">
      <protection locked="0" hidden="0"/>
    </xf>
    <xf numFmtId="1" fontId="3" fillId="0" borderId="660" applyAlignment="1" applyProtection="1" pivotButton="0" quotePrefix="0" xfId="0">
      <alignment horizontal="left" wrapText="1"/>
      <protection locked="1" hidden="1"/>
    </xf>
    <xf numFmtId="1" fontId="3" fillId="0" borderId="403" applyAlignment="1" applyProtection="1" pivotButton="0" quotePrefix="0" xfId="0">
      <alignment horizontal="left" wrapText="1"/>
      <protection locked="1" hidden="1"/>
    </xf>
    <xf numFmtId="1" fontId="3" fillId="0" borderId="618" applyAlignment="1" applyProtection="1" pivotButton="0" quotePrefix="0" xfId="0">
      <alignment horizontal="left" wrapText="1"/>
      <protection locked="1" hidden="1"/>
    </xf>
    <xf numFmtId="1" fontId="3" fillId="0" borderId="670" pivotButton="0" quotePrefix="0" xfId="0"/>
    <xf numFmtId="1" fontId="3" fillId="0" borderId="672" pivotButton="0" quotePrefix="0" xfId="0"/>
    <xf numFmtId="1" fontId="3" fillId="6" borderId="676" pivotButton="0" quotePrefix="0" xfId="0"/>
    <xf numFmtId="1" fontId="3" fillId="6" borderId="388" pivotButton="0" quotePrefix="0" xfId="0"/>
    <xf numFmtId="1" fontId="3" fillId="4" borderId="706" applyProtection="1" pivotButton="0" quotePrefix="0" xfId="0">
      <protection locked="0" hidden="0"/>
    </xf>
    <xf numFmtId="1" fontId="3" fillId="4" borderId="707" applyProtection="1" pivotButton="0" quotePrefix="0" xfId="0">
      <protection locked="0" hidden="0"/>
    </xf>
    <xf numFmtId="1" fontId="3" fillId="6" borderId="470" pivotButton="0" quotePrefix="0" xfId="0"/>
    <xf numFmtId="1" fontId="3" fillId="6" borderId="469" pivotButton="0" quotePrefix="0" xfId="0"/>
    <xf numFmtId="1" fontId="3" fillId="0" borderId="685" applyAlignment="1" pivotButton="0" quotePrefix="0" xfId="0">
      <alignment horizontal="center" vertical="center" wrapText="1"/>
    </xf>
    <xf numFmtId="1" fontId="3" fillId="0" borderId="686" applyAlignment="1" pivotButton="0" quotePrefix="0" xfId="0">
      <alignment horizontal="center" vertical="center" wrapText="1"/>
    </xf>
    <xf numFmtId="1" fontId="3" fillId="4" borderId="686" applyProtection="1" pivotButton="0" quotePrefix="0" xfId="0">
      <protection locked="0" hidden="0"/>
    </xf>
    <xf numFmtId="0" fontId="3" fillId="44" borderId="680" applyProtection="1" pivotButton="0" quotePrefix="0" xfId="0">
      <protection locked="0" hidden="0"/>
    </xf>
    <xf numFmtId="0" fontId="3" fillId="44" borderId="673" applyProtection="1" pivotButton="0" quotePrefix="0" xfId="0">
      <protection locked="0" hidden="0"/>
    </xf>
    <xf numFmtId="1" fontId="8" fillId="3" borderId="569" pivotButton="0" quotePrefix="0" xfId="0"/>
    <xf numFmtId="0" fontId="3" fillId="0" borderId="695" applyAlignment="1" pivotButton="0" quotePrefix="0" xfId="0">
      <alignment horizontal="center" vertical="center" wrapText="1"/>
    </xf>
    <xf numFmtId="0" fontId="3" fillId="0" borderId="694" applyAlignment="1" pivotButton="0" quotePrefix="0" xfId="0">
      <alignment horizontal="center" vertical="center" wrapText="1"/>
    </xf>
    <xf numFmtId="0" fontId="3" fillId="0" borderId="681" applyAlignment="1" pivotButton="0" quotePrefix="0" xfId="0">
      <alignment wrapText="1"/>
    </xf>
    <xf numFmtId="0" fontId="3" fillId="0" borderId="469" applyAlignment="1" pivotButton="0" quotePrefix="0" xfId="0">
      <alignment horizontal="center" wrapText="1"/>
    </xf>
    <xf numFmtId="0" fontId="3" fillId="0" borderId="521" applyAlignment="1" pivotButton="0" quotePrefix="0" xfId="0">
      <alignment horizontal="center" wrapText="1"/>
    </xf>
    <xf numFmtId="0" fontId="3" fillId="0" borderId="578" applyAlignment="1" pivotButton="0" quotePrefix="0" xfId="0">
      <alignment horizontal="center" wrapText="1"/>
    </xf>
    <xf numFmtId="0" fontId="3" fillId="0" borderId="684" applyAlignment="1" pivotButton="0" quotePrefix="0" xfId="0">
      <alignment horizontal="center" wrapText="1"/>
    </xf>
    <xf numFmtId="0" fontId="3" fillId="0" borderId="711" applyAlignment="1" pivotButton="0" quotePrefix="0" xfId="0">
      <alignment horizontal="center" wrapText="1"/>
    </xf>
    <xf numFmtId="0" fontId="3" fillId="0" borderId="699" applyAlignment="1" pivotButton="0" quotePrefix="0" xfId="0">
      <alignment horizontal="center" wrapText="1"/>
    </xf>
    <xf numFmtId="0" fontId="3" fillId="0" borderId="468" applyAlignment="1" pivotButton="0" quotePrefix="0" xfId="0">
      <alignment horizontal="center" wrapText="1"/>
    </xf>
    <xf numFmtId="0" fontId="3" fillId="0" borderId="691" pivotButton="0" quotePrefix="0" xfId="0"/>
    <xf numFmtId="0" fontId="3" fillId="0" borderId="676" pivotButton="0" quotePrefix="0" xfId="0"/>
    <xf numFmtId="0" fontId="3" fillId="0" borderId="677" pivotButton="0" quotePrefix="0" xfId="0"/>
    <xf numFmtId="0" fontId="3" fillId="44" borderId="691" applyProtection="1" pivotButton="0" quotePrefix="0" xfId="0">
      <protection locked="0" hidden="0"/>
    </xf>
    <xf numFmtId="0" fontId="3" fillId="44" borderId="712" applyProtection="1" pivotButton="0" quotePrefix="0" xfId="0">
      <protection locked="0" hidden="0"/>
    </xf>
    <xf numFmtId="0" fontId="3" fillId="44" borderId="713" applyProtection="1" pivotButton="0" quotePrefix="0" xfId="0">
      <protection locked="0" hidden="0"/>
    </xf>
    <xf numFmtId="0" fontId="3" fillId="44" borderId="714" applyProtection="1" pivotButton="0" quotePrefix="0" xfId="0">
      <protection locked="0" hidden="0"/>
    </xf>
    <xf numFmtId="0" fontId="3" fillId="0" borderId="394" pivotButton="0" quotePrefix="0" xfId="0"/>
    <xf numFmtId="0" fontId="3" fillId="0" borderId="470" pivotButton="0" quotePrefix="0" xfId="0"/>
    <xf numFmtId="0" fontId="3" fillId="44" borderId="466" applyProtection="1" pivotButton="0" quotePrefix="0" xfId="0">
      <protection locked="0" hidden="0"/>
    </xf>
    <xf numFmtId="0" fontId="3" fillId="44" borderId="580" applyProtection="1" pivotButton="0" quotePrefix="0" xfId="0">
      <protection locked="0" hidden="0"/>
    </xf>
    <xf numFmtId="0" fontId="3" fillId="44" borderId="389" applyProtection="1" pivotButton="0" quotePrefix="0" xfId="0">
      <protection locked="0" hidden="0"/>
    </xf>
    <xf numFmtId="0" fontId="3" fillId="44" borderId="716" applyProtection="1" pivotButton="0" quotePrefix="0" xfId="0">
      <protection locked="0" hidden="0"/>
    </xf>
    <xf numFmtId="0" fontId="3" fillId="0" borderId="553" pivotButton="0" quotePrefix="0" xfId="0"/>
    <xf numFmtId="0" fontId="3" fillId="44" borderId="521" applyProtection="1" pivotButton="0" quotePrefix="0" xfId="0">
      <protection locked="0" hidden="0"/>
    </xf>
    <xf numFmtId="0" fontId="3" fillId="44" borderId="428" applyProtection="1" pivotButton="0" quotePrefix="0" xfId="0">
      <protection locked="0" hidden="0"/>
    </xf>
    <xf numFmtId="0" fontId="3" fillId="44" borderId="422" applyProtection="1" pivotButton="0" quotePrefix="0" xfId="0">
      <protection locked="0" hidden="0"/>
    </xf>
    <xf numFmtId="0" fontId="3" fillId="44" borderId="468" applyProtection="1" pivotButton="0" quotePrefix="0" xfId="0">
      <protection locked="0" hidden="0"/>
    </xf>
    <xf numFmtId="1" fontId="3" fillId="0" borderId="682" applyAlignment="1" pivotButton="0" quotePrefix="0" xfId="0">
      <alignment horizontal="center" vertical="center" wrapText="1"/>
    </xf>
    <xf numFmtId="1" fontId="3" fillId="0" borderId="717" applyAlignment="1" pivotButton="0" quotePrefix="0" xfId="0">
      <alignment horizontal="center" vertical="center" wrapText="1"/>
    </xf>
    <xf numFmtId="1" fontId="3" fillId="0" borderId="691" pivotButton="0" quotePrefix="0" xfId="0"/>
    <xf numFmtId="1" fontId="3" fillId="4" borderId="718" applyProtection="1" pivotButton="0" quotePrefix="0" xfId="0">
      <protection locked="0" hidden="0"/>
    </xf>
    <xf numFmtId="1" fontId="3" fillId="4" borderId="660" applyProtection="1" pivotButton="0" quotePrefix="0" xfId="0">
      <protection locked="0" hidden="0"/>
    </xf>
    <xf numFmtId="1" fontId="3" fillId="4" borderId="662" applyProtection="1" pivotButton="0" quotePrefix="0" xfId="0">
      <protection locked="0" hidden="0"/>
    </xf>
    <xf numFmtId="1" fontId="3" fillId="7" borderId="521" pivotButton="0" quotePrefix="0" xfId="0"/>
    <xf numFmtId="1" fontId="3" fillId="0" borderId="687" applyAlignment="1" pivotButton="0" quotePrefix="0" xfId="0">
      <alignment horizontal="center" vertical="center"/>
    </xf>
    <xf numFmtId="1" fontId="3" fillId="3" borderId="681" pivotButton="0" quotePrefix="0" xfId="1"/>
    <xf numFmtId="1" fontId="3" fillId="3" borderId="682" pivotButton="0" quotePrefix="0" xfId="1"/>
    <xf numFmtId="1" fontId="3" fillId="3" borderId="719" pivotButton="0" quotePrefix="0" xfId="1"/>
    <xf numFmtId="1" fontId="3" fillId="0" borderId="689" pivotButton="0" quotePrefix="0" xfId="0"/>
    <xf numFmtId="1" fontId="3" fillId="3" borderId="691" pivotButton="0" quotePrefix="0" xfId="1"/>
    <xf numFmtId="1" fontId="3" fillId="3" borderId="720" pivotButton="0" quotePrefix="0" xfId="1"/>
    <xf numFmtId="1" fontId="3" fillId="4" borderId="661" applyProtection="1" pivotButton="0" quotePrefix="0" xfId="0">
      <protection locked="0" hidden="0"/>
    </xf>
    <xf numFmtId="1" fontId="3" fillId="3" borderId="394" pivotButton="0" quotePrefix="0" xfId="1"/>
    <xf numFmtId="1" fontId="3" fillId="3" borderId="358" pivotButton="0" quotePrefix="0" xfId="1"/>
    <xf numFmtId="1" fontId="3" fillId="3" borderId="721" pivotButton="0" quotePrefix="0" xfId="1"/>
    <xf numFmtId="1" fontId="3" fillId="3" borderId="399" pivotButton="0" quotePrefix="0" xfId="1"/>
    <xf numFmtId="1" fontId="3" fillId="3" borderId="386" pivotButton="0" quotePrefix="0" xfId="1"/>
    <xf numFmtId="1" fontId="3" fillId="3" borderId="722" pivotButton="0" quotePrefix="0" xfId="1"/>
    <xf numFmtId="1" fontId="2" fillId="3" borderId="638" pivotButton="0" quotePrefix="0" xfId="0"/>
    <xf numFmtId="1" fontId="3" fillId="0" borderId="685" applyAlignment="1" pivotButton="0" quotePrefix="0" xfId="0">
      <alignment horizontal="center" vertical="center"/>
    </xf>
    <xf numFmtId="1" fontId="3" fillId="0" borderId="684" pivotButton="0" quotePrefix="0" xfId="0"/>
    <xf numFmtId="1" fontId="3" fillId="0" borderId="358" pivotButton="0" quotePrefix="0" xfId="0"/>
    <xf numFmtId="1" fontId="3" fillId="0" borderId="405" pivotButton="0" quotePrefix="0" xfId="0"/>
    <xf numFmtId="1" fontId="3" fillId="58" borderId="399" pivotButton="0" quotePrefix="0" xfId="0"/>
    <xf numFmtId="1" fontId="3" fillId="58" borderId="378" pivotButton="0" quotePrefix="0" xfId="0"/>
    <xf numFmtId="1" fontId="6" fillId="0" borderId="723" pivotButton="0" quotePrefix="0" xfId="0"/>
    <xf numFmtId="1" fontId="3" fillId="0" borderId="725" applyAlignment="1" pivotButton="0" quotePrefix="0" xfId="0">
      <alignment horizontal="center" vertical="center" wrapText="1"/>
    </xf>
    <xf numFmtId="1" fontId="3" fillId="0" borderId="685" applyAlignment="1" pivotButton="0" quotePrefix="0" xfId="0">
      <alignment horizontal="center"/>
    </xf>
    <xf numFmtId="1" fontId="3" fillId="0" borderId="726" pivotButton="0" quotePrefix="0" xfId="0"/>
    <xf numFmtId="1" fontId="6" fillId="0" borderId="671" pivotButton="0" quotePrefix="0" xfId="0"/>
    <xf numFmtId="1" fontId="6" fillId="0" borderId="727" pivotButton="0" quotePrefix="0" xfId="0"/>
    <xf numFmtId="1" fontId="6" fillId="0" borderId="728" pivotButton="0" quotePrefix="0" xfId="0"/>
    <xf numFmtId="1" fontId="3" fillId="0" borderId="729" applyAlignment="1" pivotButton="0" quotePrefix="0" xfId="0">
      <alignment horizontal="center" vertical="center" wrapText="1"/>
    </xf>
    <xf numFmtId="1" fontId="3" fillId="0" borderId="403" applyAlignment="1" applyProtection="1" pivotButton="0" quotePrefix="0" xfId="0">
      <alignment wrapText="1"/>
      <protection locked="1" hidden="1"/>
    </xf>
    <xf numFmtId="1" fontId="3" fillId="0" borderId="729" pivotButton="0" quotePrefix="0" xfId="0"/>
    <xf numFmtId="1" fontId="3" fillId="0" borderId="539" pivotButton="0" quotePrefix="0" xfId="0"/>
    <xf numFmtId="1" fontId="3" fillId="0" borderId="730" applyAlignment="1" pivotButton="0" quotePrefix="0" xfId="0">
      <alignment horizontal="center" vertical="center" wrapText="1"/>
    </xf>
    <xf numFmtId="1" fontId="3" fillId="0" borderId="680" applyAlignment="1" pivotButton="0" quotePrefix="0" xfId="0">
      <alignment horizontal="center" vertical="center" wrapText="1"/>
    </xf>
    <xf numFmtId="1" fontId="3" fillId="0" borderId="731" applyAlignment="1" pivotButton="0" quotePrefix="0" xfId="0">
      <alignment horizontal="right" vertical="center" wrapText="1"/>
    </xf>
    <xf numFmtId="1" fontId="3" fillId="0" borderId="726" applyAlignment="1" pivotButton="0" quotePrefix="0" xfId="0">
      <alignment horizontal="right"/>
    </xf>
    <xf numFmtId="1" fontId="3" fillId="0" borderId="358" applyAlignment="1" pivotButton="0" quotePrefix="0" xfId="0">
      <alignment horizontal="right"/>
    </xf>
    <xf numFmtId="1" fontId="3" fillId="0" borderId="406" applyAlignment="1" pivotButton="0" quotePrefix="0" xfId="0">
      <alignment horizontal="right"/>
    </xf>
    <xf numFmtId="1" fontId="3" fillId="0" borderId="681" applyAlignment="1" pivotButton="0" quotePrefix="0" xfId="0">
      <alignment horizontal="right"/>
    </xf>
    <xf numFmtId="1" fontId="3" fillId="0" borderId="732" applyAlignment="1" pivotButton="0" quotePrefix="0" xfId="0">
      <alignment horizontal="right"/>
    </xf>
    <xf numFmtId="1" fontId="3" fillId="0" borderId="729" applyAlignment="1" pivotButton="0" quotePrefix="0" xfId="0">
      <alignment horizontal="right"/>
    </xf>
    <xf numFmtId="1" fontId="3" fillId="0" borderId="730" applyAlignment="1" pivotButton="0" quotePrefix="0" xfId="0">
      <alignment horizontal="right"/>
    </xf>
    <xf numFmtId="1" fontId="3" fillId="0" borderId="680" applyAlignment="1" pivotButton="0" quotePrefix="0" xfId="0">
      <alignment horizontal="right"/>
    </xf>
    <xf numFmtId="1" fontId="3" fillId="0" borderId="672" applyAlignment="1" pivotButton="0" quotePrefix="0" xfId="0">
      <alignment horizontal="right"/>
    </xf>
    <xf numFmtId="1" fontId="3" fillId="0" borderId="521" applyAlignment="1" pivotButton="0" quotePrefix="0" xfId="0">
      <alignment horizontal="right"/>
    </xf>
    <xf numFmtId="1" fontId="3" fillId="0" borderId="569" applyAlignment="1" pivotButton="0" quotePrefix="0" xfId="0">
      <alignment horizontal="right"/>
    </xf>
    <xf numFmtId="1" fontId="3" fillId="0" borderId="539" applyAlignment="1" pivotButton="0" quotePrefix="0" xfId="0">
      <alignment horizontal="right"/>
    </xf>
    <xf numFmtId="1" fontId="3" fillId="4" borderId="550" applyProtection="1" pivotButton="0" quotePrefix="0" xfId="0">
      <protection locked="0" hidden="0"/>
    </xf>
    <xf numFmtId="1" fontId="3" fillId="0" borderId="553" applyAlignment="1" pivotButton="0" quotePrefix="0" xfId="0">
      <alignment horizontal="right" vertical="center" wrapText="1"/>
    </xf>
    <xf numFmtId="1" fontId="3" fillId="0" borderId="386" applyAlignment="1" pivotButton="0" quotePrefix="0" xfId="0">
      <alignment horizontal="right"/>
    </xf>
    <xf numFmtId="1" fontId="3" fillId="0" borderId="681" applyAlignment="1" pivotButton="0" quotePrefix="0" xfId="0">
      <alignment horizontal="center" vertical="center"/>
    </xf>
    <xf numFmtId="1" fontId="2" fillId="0" borderId="730" pivotButton="0" quotePrefix="0" xfId="0"/>
    <xf numFmtId="1" fontId="3" fillId="0" borderId="681" applyAlignment="1" pivotButton="0" quotePrefix="0" xfId="0">
      <alignment wrapText="1"/>
    </xf>
    <xf numFmtId="1" fontId="3" fillId="0" borderId="732" applyAlignment="1" pivotButton="0" quotePrefix="0" xfId="0">
      <alignment wrapText="1"/>
    </xf>
    <xf numFmtId="1" fontId="3" fillId="0" borderId="546" applyAlignment="1" pivotButton="0" quotePrefix="0" xfId="0">
      <alignment wrapText="1"/>
    </xf>
    <xf numFmtId="1" fontId="3" fillId="4" borderId="730" applyProtection="1" pivotButton="0" quotePrefix="0" xfId="0">
      <protection locked="0" hidden="0"/>
    </xf>
    <xf numFmtId="1" fontId="3" fillId="4" borderId="684" applyProtection="1" pivotButton="0" quotePrefix="0" xfId="0">
      <protection locked="0" hidden="0"/>
    </xf>
    <xf numFmtId="1" fontId="3" fillId="4" borderId="685" applyProtection="1" pivotButton="0" quotePrefix="0" xfId="0">
      <protection locked="0" hidden="0"/>
    </xf>
    <xf numFmtId="1" fontId="6" fillId="6" borderId="670" applyAlignment="1" pivotButton="0" quotePrefix="0" xfId="0">
      <alignment horizontal="center"/>
    </xf>
    <xf numFmtId="1" fontId="6" fillId="6" borderId="730" applyAlignment="1" pivotButton="0" quotePrefix="0" xfId="0">
      <alignment horizontal="center"/>
    </xf>
    <xf numFmtId="1" fontId="6" fillId="6" borderId="729" applyAlignment="1" pivotButton="0" quotePrefix="0" xfId="0">
      <alignment horizontal="center"/>
    </xf>
    <xf numFmtId="1" fontId="6" fillId="6" borderId="685" applyAlignment="1" pivotButton="0" quotePrefix="0" xfId="0">
      <alignment horizontal="center"/>
    </xf>
    <xf numFmtId="1" fontId="3" fillId="0" borderId="726" applyAlignment="1" pivotButton="0" quotePrefix="0" xfId="0">
      <alignment wrapText="1"/>
    </xf>
    <xf numFmtId="1" fontId="3" fillId="0" borderId="731" applyAlignment="1" pivotButton="0" quotePrefix="0" xfId="0">
      <alignment wrapText="1"/>
    </xf>
    <xf numFmtId="1" fontId="3" fillId="0" borderId="553" applyAlignment="1" pivotButton="0" quotePrefix="0" xfId="0">
      <alignment wrapText="1"/>
    </xf>
    <xf numFmtId="1" fontId="3" fillId="0" borderId="521" applyAlignment="1" pivotButton="0" quotePrefix="0" xfId="0">
      <alignment wrapText="1"/>
    </xf>
    <xf numFmtId="1" fontId="3" fillId="4" borderId="569" applyProtection="1" pivotButton="0" quotePrefix="0" xfId="0">
      <protection locked="0" hidden="0"/>
    </xf>
    <xf numFmtId="1" fontId="3" fillId="6" borderId="729" applyAlignment="1" pivotButton="0" quotePrefix="0" xfId="0">
      <alignment wrapText="1"/>
    </xf>
    <xf numFmtId="1" fontId="3" fillId="6" borderId="681" applyAlignment="1" pivotButton="0" quotePrefix="0" xfId="0">
      <alignment wrapText="1"/>
    </xf>
    <xf numFmtId="1" fontId="3" fillId="6" borderId="732" applyAlignment="1" pivotButton="0" quotePrefix="0" xfId="0">
      <alignment wrapText="1"/>
    </xf>
    <xf numFmtId="1" fontId="3" fillId="6" borderId="681" pivotButton="0" quotePrefix="0" xfId="0"/>
    <xf numFmtId="1" fontId="3" fillId="6" borderId="729" pivotButton="0" quotePrefix="0" xfId="0"/>
    <xf numFmtId="1" fontId="3" fillId="6" borderId="730" pivotButton="0" quotePrefix="0" xfId="0"/>
    <xf numFmtId="1" fontId="3" fillId="6" borderId="680" pivotButton="0" quotePrefix="0" xfId="0"/>
    <xf numFmtId="1" fontId="3" fillId="6" borderId="684" pivotButton="0" quotePrefix="0" xfId="0"/>
    <xf numFmtId="1" fontId="3" fillId="6" borderId="731" pivotButton="0" quotePrefix="0" xfId="0"/>
    <xf numFmtId="1" fontId="3" fillId="6" borderId="726" pivotButton="0" quotePrefix="0" xfId="0"/>
    <xf numFmtId="1" fontId="3" fillId="6" borderId="546" pivotButton="0" quotePrefix="0" xfId="0"/>
    <xf numFmtId="1" fontId="2" fillId="0" borderId="670" pivotButton="0" quotePrefix="0" xfId="0"/>
    <xf numFmtId="1" fontId="3" fillId="4" borderId="505" applyProtection="1" pivotButton="0" quotePrefix="0" xfId="0">
      <protection locked="0" hidden="0"/>
    </xf>
    <xf numFmtId="1" fontId="3" fillId="0" borderId="358" applyAlignment="1" pivotButton="0" quotePrefix="0" xfId="0">
      <alignment wrapText="1"/>
    </xf>
    <xf numFmtId="1" fontId="3" fillId="0" borderId="391" applyAlignment="1" pivotButton="0" quotePrefix="0" xfId="0">
      <alignment wrapText="1"/>
    </xf>
    <xf numFmtId="1" fontId="3" fillId="0" borderId="391" applyAlignment="1" pivotButton="0" quotePrefix="0" xfId="2">
      <alignment wrapText="1"/>
    </xf>
    <xf numFmtId="1" fontId="3" fillId="58" borderId="408" pivotButton="0" quotePrefix="0" xfId="0"/>
    <xf numFmtId="1" fontId="3" fillId="58" borderId="406" pivotButton="0" quotePrefix="0" xfId="0"/>
    <xf numFmtId="1" fontId="3" fillId="0" borderId="735" applyAlignment="1" pivotButton="0" quotePrefix="0" xfId="0">
      <alignment wrapText="1"/>
    </xf>
    <xf numFmtId="1" fontId="3" fillId="4" borderId="694" applyProtection="1" pivotButton="0" quotePrefix="0" xfId="0">
      <protection locked="0" hidden="0"/>
    </xf>
    <xf numFmtId="1" fontId="3" fillId="4" borderId="688" applyProtection="1" pivotButton="0" quotePrefix="0" xfId="0">
      <protection locked="0" hidden="0"/>
    </xf>
    <xf numFmtId="1" fontId="3" fillId="7" borderId="683" pivotButton="0" quotePrefix="0" xfId="0"/>
    <xf numFmtId="1" fontId="3" fillId="7" borderId="694" pivotButton="0" quotePrefix="0" xfId="0"/>
    <xf numFmtId="1" fontId="3" fillId="7" borderId="725" pivotButton="0" quotePrefix="0" xfId="0"/>
    <xf numFmtId="1" fontId="3" fillId="7" borderId="695" pivotButton="0" quotePrefix="0" xfId="0"/>
    <xf numFmtId="1" fontId="3" fillId="7" borderId="546" pivotButton="0" quotePrefix="0" xfId="0"/>
    <xf numFmtId="1" fontId="3" fillId="7" borderId="705" pivotButton="0" quotePrefix="0" xfId="0"/>
    <xf numFmtId="1" fontId="3" fillId="7" borderId="569" pivotButton="0" quotePrefix="0" xfId="0"/>
    <xf numFmtId="1" fontId="3" fillId="7" borderId="539" pivotButton="0" quotePrefix="0" xfId="0"/>
    <xf numFmtId="1" fontId="3" fillId="0" borderId="736" applyAlignment="1" pivotButton="0" quotePrefix="0" xfId="0">
      <alignment wrapText="1"/>
    </xf>
    <xf numFmtId="1" fontId="3" fillId="0" borderId="550" applyAlignment="1" pivotButton="0" quotePrefix="0" xfId="0">
      <alignment wrapText="1"/>
    </xf>
    <xf numFmtId="1" fontId="3" fillId="0" borderId="569" applyAlignment="1" pivotButton="0" quotePrefix="0" xfId="0">
      <alignment wrapText="1"/>
    </xf>
    <xf numFmtId="1" fontId="3" fillId="6" borderId="687" pivotButton="0" quotePrefix="0" xfId="0"/>
    <xf numFmtId="1" fontId="3" fillId="6" borderId="695" pivotButton="0" quotePrefix="0" xfId="0"/>
    <xf numFmtId="1" fontId="3" fillId="0" borderId="737" applyAlignment="1" pivotButton="0" quotePrefix="0" xfId="0">
      <alignment wrapText="1"/>
    </xf>
    <xf numFmtId="1" fontId="3" fillId="0" borderId="383" applyAlignment="1" pivotButton="0" quotePrefix="0" xfId="0">
      <alignment wrapText="1"/>
    </xf>
    <xf numFmtId="1" fontId="3" fillId="6" borderId="683" pivotButton="0" quotePrefix="0" xfId="0"/>
    <xf numFmtId="1" fontId="3" fillId="6" borderId="694" pivotButton="0" quotePrefix="0" xfId="0"/>
    <xf numFmtId="1" fontId="6" fillId="6" borderId="694" pivotButton="0" quotePrefix="0" xfId="0"/>
    <xf numFmtId="1" fontId="6" fillId="6" borderId="730" pivotButton="0" quotePrefix="0" xfId="0"/>
    <xf numFmtId="1" fontId="6" fillId="6" borderId="672" pivotButton="0" quotePrefix="0" xfId="0"/>
    <xf numFmtId="1" fontId="6" fillId="6" borderId="729" pivotButton="0" quotePrefix="0" xfId="0"/>
    <xf numFmtId="1" fontId="3" fillId="6" borderId="689" applyAlignment="1" pivotButton="0" quotePrefix="0" xfId="0">
      <alignment wrapText="1"/>
    </xf>
    <xf numFmtId="1" fontId="3" fillId="6" borderId="735" pivotButton="0" quotePrefix="0" xfId="0"/>
    <xf numFmtId="1" fontId="3" fillId="6" borderId="738" pivotButton="0" quotePrefix="0" xfId="0"/>
    <xf numFmtId="1" fontId="3" fillId="6" borderId="739" pivotButton="0" quotePrefix="0" xfId="0"/>
    <xf numFmtId="1" fontId="3" fillId="6" borderId="689" pivotButton="0" quotePrefix="0" xfId="0"/>
    <xf numFmtId="1" fontId="6" fillId="4" borderId="681" applyProtection="1" pivotButton="0" quotePrefix="0" xfId="0">
      <protection locked="0" hidden="0"/>
    </xf>
    <xf numFmtId="1" fontId="6" fillId="4" borderId="729" applyProtection="1" pivotButton="0" quotePrefix="0" xfId="0">
      <protection locked="0" hidden="0"/>
    </xf>
    <xf numFmtId="1" fontId="3" fillId="7" borderId="358" pivotButton="0" quotePrefix="0" xfId="0"/>
    <xf numFmtId="1" fontId="3" fillId="6" borderId="521" pivotButton="0" quotePrefix="0" xfId="0"/>
    <xf numFmtId="1" fontId="3" fillId="7" borderId="469" pivotButton="0" quotePrefix="0" xfId="0"/>
    <xf numFmtId="1" fontId="3" fillId="0" borderId="679" applyAlignment="1" applyProtection="1" pivotButton="0" quotePrefix="0" xfId="0">
      <alignment horizontal="center" vertical="center"/>
      <protection locked="1" hidden="1"/>
    </xf>
    <xf numFmtId="1" fontId="3" fillId="0" borderId="679" applyAlignment="1" applyProtection="1" pivotButton="0" quotePrefix="0" xfId="0">
      <alignment horizontal="center" vertical="center" wrapText="1"/>
      <protection locked="1" hidden="1"/>
    </xf>
    <xf numFmtId="1" fontId="3" fillId="0" borderId="687" applyAlignment="1" applyProtection="1" pivotButton="0" quotePrefix="0" xfId="0">
      <alignment horizontal="center" vertical="center" wrapText="1"/>
      <protection locked="1" hidden="1"/>
    </xf>
    <xf numFmtId="1" fontId="3" fillId="0" borderId="740" applyAlignment="1" applyProtection="1" pivotButton="0" quotePrefix="0" xfId="0">
      <alignment horizontal="center" vertical="center" wrapText="1"/>
      <protection locked="1" hidden="1"/>
    </xf>
    <xf numFmtId="1" fontId="3" fillId="0" borderId="687" applyAlignment="1" applyProtection="1" pivotButton="0" quotePrefix="0" xfId="0">
      <alignment horizontal="center" vertical="center"/>
      <protection locked="1" hidden="1"/>
    </xf>
    <xf numFmtId="1" fontId="3" fillId="0" borderId="695" applyAlignment="1" applyProtection="1" pivotButton="0" quotePrefix="0" xfId="0">
      <alignment horizontal="center" vertical="center"/>
      <protection locked="1" hidden="1"/>
    </xf>
    <xf numFmtId="1" fontId="3" fillId="0" borderId="681" applyAlignment="1" applyProtection="1" pivotButton="0" quotePrefix="0" xfId="0">
      <alignment horizontal="center" vertical="center"/>
      <protection locked="1" hidden="1"/>
    </xf>
    <xf numFmtId="1" fontId="3" fillId="0" borderId="725" applyAlignment="1" applyProtection="1" pivotButton="0" quotePrefix="0" xfId="0">
      <alignment horizontal="center" vertical="center"/>
      <protection locked="1" hidden="1"/>
    </xf>
    <xf numFmtId="1" fontId="3" fillId="0" borderId="679" applyAlignment="1" applyProtection="1" pivotButton="0" quotePrefix="0" xfId="0">
      <alignment wrapText="1"/>
      <protection locked="1" hidden="1"/>
    </xf>
    <xf numFmtId="1" fontId="3" fillId="0" borderId="687" applyAlignment="1" pivotButton="0" quotePrefix="0" xfId="0">
      <alignment horizontal="right" wrapText="1"/>
    </xf>
    <xf numFmtId="1" fontId="3" fillId="0" borderId="740" applyAlignment="1" pivotButton="0" quotePrefix="0" xfId="0">
      <alignment horizontal="right" wrapText="1"/>
    </xf>
    <xf numFmtId="1" fontId="3" fillId="0" borderId="618" applyAlignment="1" applyProtection="1" pivotButton="0" quotePrefix="0" xfId="0">
      <alignment horizontal="left" vertical="center" wrapText="1"/>
      <protection locked="1" hidden="1"/>
    </xf>
    <xf numFmtId="1" fontId="3" fillId="0" borderId="384" applyAlignment="1" applyProtection="1" pivotButton="0" quotePrefix="0" xfId="0">
      <alignment wrapText="1"/>
      <protection locked="1" hidden="1"/>
    </xf>
    <xf numFmtId="1" fontId="3" fillId="0" borderId="729" applyAlignment="1" pivotButton="0" quotePrefix="0" xfId="0">
      <alignment horizontal="center" vertical="center"/>
    </xf>
    <xf numFmtId="1" fontId="3" fillId="0" borderId="729" applyAlignment="1" pivotButton="0" quotePrefix="0" xfId="0">
      <alignment wrapText="1"/>
    </xf>
    <xf numFmtId="1" fontId="3" fillId="0" borderId="684" applyAlignment="1" pivotButton="0" quotePrefix="0" xfId="0">
      <alignment wrapText="1"/>
    </xf>
    <xf numFmtId="1" fontId="3" fillId="0" borderId="675" applyAlignment="1" pivotButton="0" quotePrefix="0" xfId="0">
      <alignment wrapText="1"/>
    </xf>
    <xf numFmtId="1" fontId="3" fillId="0" borderId="689" applyAlignment="1" pivotButton="0" quotePrefix="0" xfId="0">
      <alignment wrapText="1"/>
    </xf>
    <xf numFmtId="1" fontId="3" fillId="0" borderId="730" applyAlignment="1" pivotButton="0" quotePrefix="0" xfId="0">
      <alignment wrapText="1"/>
    </xf>
    <xf numFmtId="1" fontId="3" fillId="9" borderId="742" applyProtection="1" pivotButton="0" quotePrefix="0" xfId="31">
      <protection locked="0" hidden="0"/>
    </xf>
    <xf numFmtId="1" fontId="3" fillId="9" borderId="743" applyProtection="1" pivotButton="0" quotePrefix="0" xfId="31">
      <protection locked="0" hidden="0"/>
    </xf>
    <xf numFmtId="1" fontId="3" fillId="9" borderId="593" applyProtection="1" pivotButton="0" quotePrefix="0" xfId="31">
      <protection locked="0" hidden="0"/>
    </xf>
    <xf numFmtId="1" fontId="3" fillId="9" borderId="744" applyProtection="1" pivotButton="0" quotePrefix="0" xfId="31">
      <protection locked="0" hidden="0"/>
    </xf>
    <xf numFmtId="1" fontId="3" fillId="9" borderId="745" applyProtection="1" pivotButton="0" quotePrefix="0" xfId="31">
      <protection locked="0" hidden="0"/>
    </xf>
    <xf numFmtId="1" fontId="3" fillId="9" borderId="746" applyProtection="1" pivotButton="0" quotePrefix="0" xfId="31">
      <protection locked="0" hidden="0"/>
    </xf>
    <xf numFmtId="1" fontId="3" fillId="4" borderId="551" applyProtection="1" pivotButton="0" quotePrefix="0" xfId="0">
      <protection locked="0" hidden="0"/>
    </xf>
    <xf numFmtId="1" fontId="6" fillId="0" borderId="747" pivotButton="0" quotePrefix="0" xfId="0"/>
    <xf numFmtId="1" fontId="3" fillId="0" borderId="695" applyAlignment="1" pivotButton="0" quotePrefix="0" xfId="0">
      <alignment horizontal="center" vertical="center"/>
    </xf>
    <xf numFmtId="1" fontId="3" fillId="0" borderId="740" applyAlignment="1" pivotButton="0" quotePrefix="0" xfId="0">
      <alignment horizontal="center" vertical="center" wrapText="1"/>
    </xf>
    <xf numFmtId="1" fontId="3" fillId="6" borderId="749" pivotButton="0" quotePrefix="0" xfId="0"/>
    <xf numFmtId="1" fontId="3" fillId="4" borderId="731" applyProtection="1" pivotButton="0" quotePrefix="0" xfId="0">
      <protection locked="0" hidden="0"/>
    </xf>
    <xf numFmtId="1" fontId="3" fillId="4" borderId="734" applyProtection="1" pivotButton="0" quotePrefix="0" xfId="0">
      <protection locked="0" hidden="0"/>
    </xf>
    <xf numFmtId="1" fontId="3" fillId="4" borderId="672" applyProtection="1" pivotButton="0" quotePrefix="0" xfId="0">
      <protection locked="0" hidden="0"/>
    </xf>
    <xf numFmtId="1" fontId="3" fillId="4" borderId="741" applyProtection="1" pivotButton="0" quotePrefix="0" xfId="0">
      <protection locked="0" hidden="0"/>
    </xf>
    <xf numFmtId="1" fontId="3" fillId="7" borderId="407" pivotButton="0" quotePrefix="0" xfId="0"/>
    <xf numFmtId="1" fontId="3" fillId="7" borderId="421" pivotButton="0" quotePrefix="0" xfId="0"/>
    <xf numFmtId="1" fontId="3" fillId="0" borderId="618" applyAlignment="1" pivotButton="0" quotePrefix="0" xfId="0">
      <alignment wrapText="1"/>
    </xf>
    <xf numFmtId="1" fontId="2" fillId="0" borderId="750" pivotButton="0" quotePrefix="0" xfId="0"/>
    <xf numFmtId="1" fontId="6" fillId="0" borderId="751" pivotButton="0" quotePrefix="0" xfId="0"/>
    <xf numFmtId="1" fontId="3" fillId="0" borderId="734" applyAlignment="1" pivotButton="0" quotePrefix="0" xfId="0">
      <alignment horizontal="right" wrapText="1"/>
    </xf>
    <xf numFmtId="1" fontId="3" fillId="4" borderId="749" applyProtection="1" pivotButton="0" quotePrefix="0" xfId="0">
      <protection locked="0" hidden="0"/>
    </xf>
    <xf numFmtId="1" fontId="3" fillId="6" borderId="387" pivotButton="0" quotePrefix="0" xfId="15"/>
    <xf numFmtId="1" fontId="3" fillId="7" borderId="732" pivotButton="0" quotePrefix="0" xfId="0"/>
    <xf numFmtId="1" fontId="3" fillId="7" borderId="729" pivotButton="0" quotePrefix="0" xfId="0"/>
    <xf numFmtId="1" fontId="3" fillId="4" borderId="738" applyProtection="1" pivotButton="0" quotePrefix="0" xfId="15">
      <protection locked="0" hidden="0"/>
    </xf>
    <xf numFmtId="1" fontId="3" fillId="4" borderId="387" applyProtection="1" pivotButton="0" quotePrefix="0" xfId="15">
      <protection locked="0" hidden="0"/>
    </xf>
    <xf numFmtId="1" fontId="3" fillId="0" borderId="731" applyAlignment="1" pivotButton="0" quotePrefix="0" xfId="0">
      <alignment horizontal="right" wrapText="1"/>
    </xf>
    <xf numFmtId="1" fontId="3" fillId="0" borderId="726" applyAlignment="1" pivotButton="0" quotePrefix="0" xfId="0">
      <alignment horizontal="right" wrapText="1"/>
    </xf>
    <xf numFmtId="1" fontId="3" fillId="0" borderId="382" applyAlignment="1" pivotButton="0" quotePrefix="0" xfId="0">
      <alignment horizontal="right" wrapText="1"/>
    </xf>
    <xf numFmtId="1" fontId="3" fillId="0" borderId="389" applyAlignment="1" pivotButton="0" quotePrefix="0" xfId="0">
      <alignment horizontal="right" wrapText="1"/>
    </xf>
    <xf numFmtId="1" fontId="3" fillId="0" borderId="408" applyAlignment="1" pivotButton="0" quotePrefix="0" xfId="0">
      <alignment horizontal="right" wrapText="1"/>
    </xf>
    <xf numFmtId="1" fontId="3" fillId="0" borderId="410" applyAlignment="1" pivotButton="0" quotePrefix="0" xfId="0">
      <alignment horizontal="right" wrapText="1"/>
    </xf>
    <xf numFmtId="1" fontId="3" fillId="0" borderId="406" applyAlignment="1" pivotButton="0" quotePrefix="0" xfId="0">
      <alignment horizontal="right" wrapText="1"/>
    </xf>
    <xf numFmtId="1" fontId="3" fillId="0" borderId="388" applyAlignment="1" pivotButton="0" quotePrefix="0" xfId="0">
      <alignment horizontal="right" wrapText="1"/>
    </xf>
    <xf numFmtId="1" fontId="3" fillId="0" borderId="378" applyAlignment="1" pivotButton="0" quotePrefix="0" xfId="0">
      <alignment horizontal="right" wrapText="1"/>
    </xf>
    <xf numFmtId="1" fontId="3" fillId="0" borderId="390" applyAlignment="1" pivotButton="0" quotePrefix="0" xfId="0">
      <alignment horizontal="right" wrapText="1"/>
    </xf>
    <xf numFmtId="1" fontId="4" fillId="5" borderId="685" pivotButton="0" quotePrefix="0" xfId="0"/>
    <xf numFmtId="1" fontId="3" fillId="6" borderId="672" pivotButton="0" quotePrefix="0" xfId="0"/>
    <xf numFmtId="1" fontId="3" fillId="6" borderId="686" pivotButton="0" quotePrefix="0" xfId="0"/>
    <xf numFmtId="1" fontId="3" fillId="5" borderId="554" applyAlignment="1" pivotButton="0" quotePrefix="0" xfId="0">
      <alignment vertical="center" wrapText="1"/>
    </xf>
    <xf numFmtId="1" fontId="3" fillId="0" borderId="731" applyAlignment="1" pivotButton="0" quotePrefix="0" xfId="0">
      <alignment vertical="center" wrapText="1"/>
    </xf>
    <xf numFmtId="1" fontId="3" fillId="0" borderId="734" applyAlignment="1" pivotButton="0" quotePrefix="0" xfId="0">
      <alignment vertical="center" wrapText="1"/>
    </xf>
    <xf numFmtId="1" fontId="3" fillId="4" borderId="753" applyProtection="1" pivotButton="0" quotePrefix="0" xfId="0">
      <protection locked="0" hidden="0"/>
    </xf>
    <xf numFmtId="1" fontId="4" fillId="5" borderId="685" applyAlignment="1" pivotButton="0" quotePrefix="0" xfId="0">
      <alignment vertical="center" wrapText="1"/>
    </xf>
    <xf numFmtId="1" fontId="3" fillId="6" borderId="681" applyAlignment="1" pivotButton="0" quotePrefix="0" xfId="0">
      <alignment vertical="center" wrapText="1"/>
    </xf>
    <xf numFmtId="1" fontId="3" fillId="6" borderId="689" applyAlignment="1" pivotButton="0" quotePrefix="0" xfId="0">
      <alignment vertical="center" wrapText="1"/>
    </xf>
    <xf numFmtId="1" fontId="3" fillId="3" borderId="553" applyAlignment="1" pivotButton="0" quotePrefix="0" xfId="0">
      <alignment vertical="center" wrapText="1"/>
    </xf>
    <xf numFmtId="1" fontId="3" fillId="6" borderId="552" pivotButton="0" quotePrefix="0" xfId="0"/>
    <xf numFmtId="1" fontId="3" fillId="5" borderId="403" applyAlignment="1" pivotButton="0" quotePrefix="0" xfId="0">
      <alignment vertical="center" wrapText="1"/>
    </xf>
    <xf numFmtId="1" fontId="3" fillId="6" borderId="405" pivotButton="0" quotePrefix="0" xfId="0"/>
    <xf numFmtId="1" fontId="3" fillId="4" borderId="465" applyProtection="1" pivotButton="0" quotePrefix="0" xfId="0">
      <protection locked="0" hidden="0"/>
    </xf>
    <xf numFmtId="1" fontId="3" fillId="0" borderId="505" pivotButton="0" quotePrefix="0" xfId="0"/>
    <xf numFmtId="1" fontId="3" fillId="5" borderId="380" applyAlignment="1" pivotButton="0" quotePrefix="0" xfId="0">
      <alignment vertical="center" wrapText="1"/>
    </xf>
    <xf numFmtId="1" fontId="3" fillId="3" borderId="394" applyAlignment="1" pivotButton="0" quotePrefix="0" xfId="0">
      <alignment vertical="center" wrapText="1"/>
    </xf>
    <xf numFmtId="1" fontId="3" fillId="5" borderId="736" applyAlignment="1" pivotButton="0" quotePrefix="0" xfId="0">
      <alignment vertical="center" wrapText="1"/>
    </xf>
    <xf numFmtId="1" fontId="3" fillId="3" borderId="731" applyAlignment="1" pivotButton="0" quotePrefix="0" xfId="0">
      <alignment vertical="center" wrapText="1"/>
    </xf>
    <xf numFmtId="1" fontId="3" fillId="3" borderId="734" applyAlignment="1" pivotButton="0" quotePrefix="0" xfId="0">
      <alignment vertical="center" wrapText="1"/>
    </xf>
    <xf numFmtId="1" fontId="3" fillId="5" borderId="384" applyAlignment="1" pivotButton="0" quotePrefix="0" xfId="0">
      <alignment vertical="center" wrapText="1"/>
    </xf>
    <xf numFmtId="1" fontId="3" fillId="0" borderId="469" pivotButton="0" quotePrefix="0" xfId="0"/>
    <xf numFmtId="1" fontId="3" fillId="0" borderId="736" applyAlignment="1" pivotButton="0" quotePrefix="0" xfId="0">
      <alignment vertical="center" wrapText="1"/>
    </xf>
    <xf numFmtId="1" fontId="3" fillId="3" borderId="380" applyAlignment="1" pivotButton="0" quotePrefix="0" xfId="0">
      <alignment vertical="center" wrapText="1"/>
    </xf>
    <xf numFmtId="1" fontId="3" fillId="0" borderId="675" pivotButton="0" quotePrefix="0" xfId="0"/>
    <xf numFmtId="1" fontId="3" fillId="0" borderId="687" pivotButton="0" quotePrefix="0" xfId="0"/>
    <xf numFmtId="1" fontId="3" fillId="0" borderId="695" pivotButton="0" quotePrefix="0" xfId="0"/>
    <xf numFmtId="1" fontId="3" fillId="0" borderId="699" pivotButton="0" quotePrefix="0" xfId="0"/>
    <xf numFmtId="1" fontId="3" fillId="5" borderId="757" applyAlignment="1" pivotButton="0" quotePrefix="0" xfId="0">
      <alignment vertical="center" wrapText="1"/>
    </xf>
    <xf numFmtId="1" fontId="3" fillId="0" borderId="757" applyAlignment="1" pivotButton="0" quotePrefix="0" xfId="0">
      <alignment vertical="center" wrapText="1"/>
    </xf>
    <xf numFmtId="1" fontId="3" fillId="4" borderId="758" applyProtection="1" pivotButton="0" quotePrefix="0" xfId="0">
      <protection locked="0" hidden="0"/>
    </xf>
    <xf numFmtId="1" fontId="3" fillId="4" borderId="759" applyProtection="1" pivotButton="0" quotePrefix="0" xfId="0">
      <protection locked="0" hidden="0"/>
    </xf>
    <xf numFmtId="1" fontId="3" fillId="4" borderId="760" applyProtection="1" pivotButton="0" quotePrefix="0" xfId="0">
      <protection locked="0" hidden="0"/>
    </xf>
    <xf numFmtId="1" fontId="3" fillId="4" borderId="761" applyProtection="1" pivotButton="0" quotePrefix="0" xfId="0">
      <protection locked="0" hidden="0"/>
    </xf>
    <xf numFmtId="1" fontId="3" fillId="5" borderId="618" applyAlignment="1" pivotButton="0" quotePrefix="0" xfId="0">
      <alignment vertical="center" wrapText="1"/>
    </xf>
    <xf numFmtId="1" fontId="3" fillId="0" borderId="618" applyAlignment="1" pivotButton="0" quotePrefix="0" xfId="0">
      <alignment vertical="center" wrapText="1"/>
    </xf>
    <xf numFmtId="1" fontId="3" fillId="4" borderId="765" applyProtection="1" pivotButton="0" quotePrefix="0" xfId="0">
      <protection locked="0" hidden="0"/>
    </xf>
    <xf numFmtId="1" fontId="3" fillId="4" borderId="766" applyProtection="1" pivotButton="0" quotePrefix="0" xfId="0">
      <protection locked="0" hidden="0"/>
    </xf>
    <xf numFmtId="1" fontId="3" fillId="4" borderId="460" applyProtection="1" pivotButton="0" quotePrefix="0" xfId="0">
      <protection locked="0" hidden="0"/>
    </xf>
    <xf numFmtId="1" fontId="3" fillId="4" borderId="767" applyProtection="1" pivotButton="0" quotePrefix="0" xfId="0">
      <protection locked="0" hidden="0"/>
    </xf>
    <xf numFmtId="1" fontId="3" fillId="0" borderId="679" applyAlignment="1" pivotButton="0" quotePrefix="0" xfId="0">
      <alignment horizontal="center" vertical="center"/>
    </xf>
    <xf numFmtId="1" fontId="3" fillId="0" borderId="748" applyAlignment="1" pivotButton="0" quotePrefix="0" xfId="0">
      <alignment horizontal="center" vertical="center" wrapText="1"/>
    </xf>
    <xf numFmtId="1" fontId="3" fillId="0" borderId="749" applyAlignment="1" pivotButton="0" quotePrefix="0" xfId="0">
      <alignment vertical="center" wrapText="1"/>
    </xf>
    <xf numFmtId="1" fontId="3" fillId="4" borderId="726" applyProtection="1" pivotButton="0" quotePrefix="0" xfId="0">
      <protection locked="0" hidden="0"/>
    </xf>
    <xf numFmtId="1" fontId="3" fillId="4" borderId="737" applyProtection="1" pivotButton="0" quotePrefix="0" xfId="0">
      <protection locked="0" hidden="0"/>
    </xf>
    <xf numFmtId="1" fontId="3" fillId="4" borderId="772" applyProtection="1" pivotButton="0" quotePrefix="0" xfId="0">
      <protection locked="0" hidden="0"/>
    </xf>
    <xf numFmtId="1" fontId="3" fillId="4" borderId="773" applyProtection="1" pivotButton="0" quotePrefix="0" xfId="0">
      <protection locked="0" hidden="0"/>
    </xf>
    <xf numFmtId="1" fontId="3" fillId="0" borderId="358" applyAlignment="1" pivotButton="0" quotePrefix="0" xfId="0">
      <alignment horizontal="right" wrapText="1"/>
    </xf>
    <xf numFmtId="1" fontId="3" fillId="4" borderId="774" applyProtection="1" pivotButton="0" quotePrefix="0" xfId="0">
      <protection locked="0" hidden="0"/>
    </xf>
    <xf numFmtId="1" fontId="3" fillId="4" borderId="775" applyProtection="1" pivotButton="0" quotePrefix="0" xfId="0">
      <protection locked="0" hidden="0"/>
    </xf>
    <xf numFmtId="1" fontId="3" fillId="0" borderId="405" applyAlignment="1" pivotButton="0" quotePrefix="0" xfId="0">
      <alignment horizontal="right" wrapText="1"/>
    </xf>
    <xf numFmtId="1" fontId="3" fillId="0" borderId="776" pivotButton="0" quotePrefix="0" xfId="0"/>
    <xf numFmtId="1" fontId="3" fillId="0" borderId="732" pivotButton="0" quotePrefix="0" xfId="0"/>
    <xf numFmtId="1" fontId="3" fillId="0" borderId="741" pivotButton="0" quotePrefix="0" xfId="0"/>
    <xf numFmtId="1" fontId="3" fillId="0" borderId="777" pivotButton="0" quotePrefix="0" xfId="0"/>
    <xf numFmtId="1" fontId="3" fillId="0" borderId="778" pivotButton="0" quotePrefix="0" xfId="0"/>
    <xf numFmtId="1" fontId="3" fillId="0" borderId="681" applyAlignment="1" pivotButton="0" quotePrefix="0" xfId="0">
      <alignment horizontal="right" wrapText="1"/>
    </xf>
    <xf numFmtId="1" fontId="3" fillId="0" borderId="732" applyAlignment="1" pivotButton="0" quotePrefix="0" xfId="0">
      <alignment horizontal="right" wrapText="1"/>
    </xf>
    <xf numFmtId="1" fontId="3" fillId="4" borderId="729" applyProtection="1" pivotButton="0" quotePrefix="0" xfId="0">
      <protection locked="0" hidden="0"/>
    </xf>
    <xf numFmtId="1" fontId="3" fillId="4" borderId="670" applyProtection="1" pivotButton="0" quotePrefix="0" xfId="0">
      <protection locked="0" hidden="0"/>
    </xf>
    <xf numFmtId="1" fontId="3" fillId="4" borderId="776" applyProtection="1" pivotButton="0" quotePrefix="0" xfId="0">
      <protection locked="0" hidden="0"/>
    </xf>
    <xf numFmtId="1" fontId="3" fillId="4" borderId="732" applyProtection="1" pivotButton="0" quotePrefix="0" xfId="0">
      <protection locked="0" hidden="0"/>
    </xf>
    <xf numFmtId="1" fontId="3" fillId="4" borderId="777" applyProtection="1" pivotButton="0" quotePrefix="0" xfId="0">
      <protection locked="0" hidden="0"/>
    </xf>
    <xf numFmtId="1" fontId="3" fillId="4" borderId="778" applyProtection="1" pivotButton="0" quotePrefix="0" xfId="0">
      <protection locked="0" hidden="0"/>
    </xf>
    <xf numFmtId="1" fontId="3" fillId="0" borderId="683" applyAlignment="1" pivotButton="0" quotePrefix="0" xfId="0">
      <alignment horizontal="left" vertical="center" wrapText="1"/>
    </xf>
    <xf numFmtId="1" fontId="3" fillId="0" borderId="695" applyAlignment="1" pivotButton="0" quotePrefix="0" xfId="0">
      <alignment horizontal="right"/>
    </xf>
    <xf numFmtId="1" fontId="3" fillId="4" borderId="683" applyProtection="1" pivotButton="0" quotePrefix="0" xfId="0">
      <protection locked="0" hidden="0"/>
    </xf>
    <xf numFmtId="1" fontId="3" fillId="4" borderId="769" applyProtection="1" pivotButton="0" quotePrefix="0" xfId="0">
      <protection locked="0" hidden="0"/>
    </xf>
    <xf numFmtId="1" fontId="3" fillId="4" borderId="740" applyProtection="1" pivotButton="0" quotePrefix="0" xfId="0">
      <protection locked="0" hidden="0"/>
    </xf>
    <xf numFmtId="1" fontId="3" fillId="4" borderId="697" applyProtection="1" pivotButton="0" quotePrefix="0" xfId="0">
      <protection locked="0" hidden="0"/>
    </xf>
    <xf numFmtId="1" fontId="3" fillId="4" borderId="762" applyProtection="1" pivotButton="0" quotePrefix="0" xfId="0">
      <protection locked="0" hidden="0"/>
    </xf>
    <xf numFmtId="1" fontId="3" fillId="4" borderId="770" applyProtection="1" pivotButton="0" quotePrefix="0" xfId="0">
      <protection locked="0" hidden="0"/>
    </xf>
    <xf numFmtId="1" fontId="3" fillId="0" borderId="736" applyAlignment="1" pivotButton="0" quotePrefix="0" xfId="0">
      <alignment horizontal="left" vertical="center" wrapText="1"/>
    </xf>
    <xf numFmtId="1" fontId="3" fillId="0" borderId="705" applyAlignment="1" pivotButton="0" quotePrefix="0" xfId="0">
      <alignment horizontal="left" vertical="center" wrapText="1"/>
    </xf>
    <xf numFmtId="1" fontId="3" fillId="0" borderId="747" applyAlignment="1" pivotButton="0" quotePrefix="0" xfId="0">
      <alignment horizontal="right"/>
    </xf>
    <xf numFmtId="1" fontId="3" fillId="4" borderId="748" applyProtection="1" pivotButton="0" quotePrefix="0" xfId="0">
      <protection locked="0" hidden="0"/>
    </xf>
    <xf numFmtId="1" fontId="3" fillId="4" borderId="705" applyProtection="1" pivotButton="0" quotePrefix="0" xfId="0">
      <protection locked="0" hidden="0"/>
    </xf>
    <xf numFmtId="1" fontId="3" fillId="4" borderId="779" applyProtection="1" pivotButton="0" quotePrefix="0" xfId="0">
      <protection locked="0" hidden="0"/>
    </xf>
    <xf numFmtId="1" fontId="3" fillId="4" borderId="780" applyProtection="1" pivotButton="0" quotePrefix="0" xfId="0">
      <protection locked="0" hidden="0"/>
    </xf>
    <xf numFmtId="1" fontId="3" fillId="0" borderId="732" applyAlignment="1" pivotButton="0" quotePrefix="0" xfId="0">
      <alignment horizontal="center" vertical="center" wrapText="1"/>
    </xf>
    <xf numFmtId="1" fontId="3" fillId="0" borderId="736" applyAlignment="1" pivotButton="0" quotePrefix="0" xfId="0">
      <alignment horizontal="right" vertical="center" wrapText="1"/>
    </xf>
    <xf numFmtId="1" fontId="3" fillId="4" borderId="736" applyProtection="1" pivotButton="0" quotePrefix="0" xfId="0">
      <protection locked="0" hidden="0"/>
    </xf>
    <xf numFmtId="1" fontId="3" fillId="0" borderId="734" pivotButton="0" quotePrefix="0" xfId="0"/>
    <xf numFmtId="1" fontId="3" fillId="4" borderId="738" applyProtection="1" pivotButton="0" quotePrefix="0" xfId="0">
      <protection locked="0" hidden="0"/>
    </xf>
    <xf numFmtId="1" fontId="3" fillId="0" borderId="554" applyAlignment="1" pivotButton="0" quotePrefix="0" xfId="0">
      <alignment horizontal="left" vertical="center" wrapText="1"/>
    </xf>
    <xf numFmtId="0" fontId="3" fillId="0" borderId="685" applyAlignment="1" pivotButton="0" quotePrefix="0" xfId="0">
      <alignment horizontal="center"/>
    </xf>
    <xf numFmtId="9" fontId="3" fillId="0" borderId="729" applyAlignment="1" pivotButton="0" quotePrefix="0" xfId="4">
      <alignment horizontal="center" vertical="center" wrapText="1"/>
    </xf>
    <xf numFmtId="0" fontId="3" fillId="0" borderId="732" applyAlignment="1" pivotButton="0" quotePrefix="0" xfId="0">
      <alignment horizontal="center" vertical="center" wrapText="1"/>
    </xf>
    <xf numFmtId="0" fontId="3" fillId="0" borderId="729" applyAlignment="1" pivotButton="0" quotePrefix="0" xfId="0">
      <alignment horizontal="center" vertical="center" wrapText="1"/>
    </xf>
    <xf numFmtId="1" fontId="3" fillId="0" borderId="731" pivotButton="0" quotePrefix="0" xfId="0"/>
    <xf numFmtId="1" fontId="3" fillId="5" borderId="681" pivotButton="0" quotePrefix="0" xfId="0"/>
    <xf numFmtId="1" fontId="3" fillId="5" borderId="729" pivotButton="0" quotePrefix="0" xfId="0"/>
    <xf numFmtId="1" fontId="3" fillId="5" borderId="689" pivotButton="0" quotePrefix="0" xfId="0"/>
    <xf numFmtId="1" fontId="3" fillId="5" borderId="732" pivotButton="0" quotePrefix="0" xfId="0"/>
    <xf numFmtId="1" fontId="3" fillId="5" borderId="684" pivotButton="0" quotePrefix="0" xfId="0"/>
    <xf numFmtId="1" fontId="3" fillId="4" borderId="679" applyProtection="1" pivotButton="0" quotePrefix="0" xfId="0">
      <protection locked="0" hidden="0"/>
    </xf>
    <xf numFmtId="1" fontId="2" fillId="3" borderId="730" applyAlignment="1" applyProtection="1" pivotButton="0" quotePrefix="0" xfId="0">
      <alignment horizontal="left"/>
      <protection locked="1" hidden="1"/>
    </xf>
    <xf numFmtId="1" fontId="2" fillId="3" borderId="747" applyAlignment="1" applyProtection="1" pivotButton="0" quotePrefix="0" xfId="0">
      <alignment horizontal="left"/>
      <protection locked="1" hidden="1"/>
    </xf>
    <xf numFmtId="1" fontId="2" fillId="3" borderId="747" applyAlignment="1" pivotButton="0" quotePrefix="0" xfId="0">
      <alignment horizontal="left" wrapText="1"/>
    </xf>
    <xf numFmtId="1" fontId="2" fillId="3" borderId="747" applyAlignment="1" applyProtection="1" pivotButton="0" quotePrefix="0" xfId="0">
      <alignment horizontal="left" wrapText="1"/>
      <protection locked="1" hidden="1"/>
    </xf>
    <xf numFmtId="1" fontId="2" fillId="3" borderId="747" applyProtection="1" pivotButton="0" quotePrefix="0" xfId="0">
      <protection locked="1" hidden="1"/>
    </xf>
    <xf numFmtId="1" fontId="6" fillId="3" borderId="747" applyProtection="1" pivotButton="0" quotePrefix="0" xfId="0">
      <protection locked="1" hidden="1"/>
    </xf>
    <xf numFmtId="1" fontId="2" fillId="3" borderId="747" applyAlignment="1" applyProtection="1" pivotButton="0" quotePrefix="0" xfId="0">
      <alignment wrapText="1"/>
      <protection locked="1" hidden="1"/>
    </xf>
    <xf numFmtId="1" fontId="3" fillId="0" borderId="748" applyAlignment="1" applyProtection="1" pivotButton="0" quotePrefix="0" xfId="0">
      <alignment horizontal="center" vertical="center" wrapText="1"/>
      <protection locked="1" hidden="1"/>
    </xf>
    <xf numFmtId="1" fontId="3" fillId="0" borderId="740" applyAlignment="1" applyProtection="1" pivotButton="0" quotePrefix="0" xfId="0">
      <alignment horizontal="center" vertical="center"/>
      <protection locked="1" hidden="1"/>
    </xf>
    <xf numFmtId="1" fontId="3" fillId="0" borderId="736" applyAlignment="1" applyProtection="1" pivotButton="0" quotePrefix="0" xfId="0">
      <alignment horizontal="left" vertical="center" wrapText="1"/>
      <protection locked="1" hidden="1"/>
    </xf>
    <xf numFmtId="1" fontId="3" fillId="4" borderId="735" applyProtection="1" pivotButton="0" quotePrefix="0" xfId="0">
      <protection locked="0" hidden="0"/>
    </xf>
    <xf numFmtId="1" fontId="3" fillId="4" borderId="738" applyAlignment="1" applyProtection="1" pivotButton="0" quotePrefix="0" xfId="0">
      <alignment wrapText="1"/>
      <protection locked="0" hidden="0"/>
    </xf>
    <xf numFmtId="1" fontId="3" fillId="4" borderId="726" applyAlignment="1" applyProtection="1" pivotButton="0" quotePrefix="0" xfId="0">
      <alignment wrapText="1"/>
      <protection locked="0" hidden="0"/>
    </xf>
    <xf numFmtId="1" fontId="3" fillId="0" borderId="748" applyAlignment="1" pivotButton="0" quotePrefix="0" xfId="0">
      <alignment horizontal="right"/>
    </xf>
    <xf numFmtId="1" fontId="3" fillId="4" borderId="747" applyProtection="1" pivotButton="0" quotePrefix="0" xfId="0">
      <protection locked="0" hidden="0"/>
    </xf>
    <xf numFmtId="1" fontId="3" fillId="4" borderId="748" applyAlignment="1" applyProtection="1" pivotButton="0" quotePrefix="0" xfId="0">
      <alignment wrapText="1"/>
      <protection locked="0" hidden="0"/>
    </xf>
    <xf numFmtId="1" fontId="2" fillId="0" borderId="730" applyAlignment="1" applyProtection="1" pivotButton="0" quotePrefix="0" xfId="0">
      <alignment horizontal="left" wrapText="1"/>
      <protection locked="1" hidden="1"/>
    </xf>
    <xf numFmtId="1" fontId="3" fillId="0" borderId="670" applyAlignment="1" applyProtection="1" pivotButton="0" quotePrefix="0" xfId="0">
      <alignment horizontal="center" vertical="center" wrapText="1"/>
      <protection locked="1" hidden="1"/>
    </xf>
    <xf numFmtId="1" fontId="3" fillId="0" borderId="732" applyAlignment="1" applyProtection="1" pivotButton="0" quotePrefix="0" xfId="0">
      <alignment horizontal="center" vertical="center"/>
      <protection locked="1" hidden="1"/>
    </xf>
    <xf numFmtId="1" fontId="3" fillId="0" borderId="546" applyAlignment="1" applyProtection="1" pivotButton="0" quotePrefix="0" xfId="0">
      <alignment horizontal="center" vertical="center" wrapText="1"/>
      <protection locked="1" hidden="1"/>
    </xf>
    <xf numFmtId="1" fontId="3" fillId="0" borderId="749" applyAlignment="1" applyProtection="1" pivotButton="0" quotePrefix="0" xfId="0">
      <alignment horizontal="left" vertical="center" wrapText="1"/>
      <protection locked="1" hidden="1"/>
    </xf>
    <xf numFmtId="1" fontId="3" fillId="0" borderId="380" applyAlignment="1" applyProtection="1" pivotButton="0" quotePrefix="0" xfId="0">
      <alignment horizontal="left" vertical="center" wrapText="1"/>
      <protection locked="1" hidden="1"/>
    </xf>
    <xf numFmtId="1" fontId="3" fillId="0" borderId="384" applyAlignment="1" applyProtection="1" pivotButton="0" quotePrefix="0" xfId="0">
      <alignment horizontal="left" vertical="center" wrapText="1"/>
      <protection locked="1" hidden="1"/>
    </xf>
    <xf numFmtId="1" fontId="3" fillId="7" borderId="731" pivotButton="0" quotePrefix="0" xfId="0"/>
    <xf numFmtId="1" fontId="3" fillId="7" borderId="726" pivotButton="0" quotePrefix="0" xfId="0"/>
    <xf numFmtId="1" fontId="3" fillId="7" borderId="749" pivotButton="0" quotePrefix="0" xfId="0"/>
    <xf numFmtId="1" fontId="3" fillId="7" borderId="737" pivotButton="0" quotePrefix="0" xfId="0"/>
    <xf numFmtId="1" fontId="3" fillId="7" borderId="374" pivotButton="0" quotePrefix="0" xfId="0"/>
    <xf numFmtId="1" fontId="3" fillId="7" borderId="393" pivotButton="0" quotePrefix="0" xfId="0"/>
    <xf numFmtId="1" fontId="2" fillId="0" borderId="730" applyAlignment="1" applyProtection="1" pivotButton="0" quotePrefix="0" xfId="0">
      <alignment horizontal="left"/>
      <protection locked="1" hidden="1"/>
    </xf>
    <xf numFmtId="1" fontId="2" fillId="0" borderId="747" applyAlignment="1" applyProtection="1" pivotButton="0" quotePrefix="0" xfId="0">
      <alignment horizontal="left" wrapText="1"/>
      <protection locked="1" hidden="1"/>
    </xf>
    <xf numFmtId="1" fontId="3" fillId="0" borderId="685" applyAlignment="1" applyProtection="1" pivotButton="0" quotePrefix="0" xfId="0">
      <alignment horizontal="center" vertical="center" wrapText="1"/>
      <protection locked="1" hidden="1"/>
    </xf>
    <xf numFmtId="1" fontId="3" fillId="0" borderId="729" applyAlignment="1" applyProtection="1" pivotButton="0" quotePrefix="0" xfId="0">
      <alignment horizontal="center" vertical="center" wrapText="1"/>
      <protection locked="1" hidden="1"/>
    </xf>
    <xf numFmtId="1" fontId="3" fillId="0" borderId="681" applyAlignment="1" applyProtection="1" pivotButton="0" quotePrefix="0" xfId="0">
      <alignment horizontal="center" vertical="center" wrapText="1"/>
      <protection locked="1" hidden="1"/>
    </xf>
    <xf numFmtId="1" fontId="3" fillId="0" borderId="684" applyAlignment="1" applyProtection="1" pivotButton="0" quotePrefix="0" xfId="0">
      <alignment horizontal="center" vertical="center" wrapText="1"/>
      <protection locked="1" hidden="1"/>
    </xf>
    <xf numFmtId="1" fontId="3" fillId="0" borderId="675" applyAlignment="1" applyProtection="1" pivotButton="0" quotePrefix="0" xfId="0">
      <alignment horizontal="center" vertical="center" wrapText="1"/>
      <protection locked="1" hidden="1"/>
    </xf>
    <xf numFmtId="1" fontId="3" fillId="0" borderId="689" applyAlignment="1" applyProtection="1" pivotButton="0" quotePrefix="0" xfId="0">
      <alignment horizontal="center" vertical="center" wrapText="1"/>
      <protection locked="1" hidden="1"/>
    </xf>
    <xf numFmtId="1" fontId="3" fillId="0" borderId="736" applyAlignment="1" applyProtection="1" pivotButton="0" quotePrefix="0" xfId="0">
      <alignment vertical="center" wrapText="1"/>
      <protection locked="1" hidden="1"/>
    </xf>
    <xf numFmtId="1" fontId="3" fillId="4" borderId="731" applyAlignment="1" applyProtection="1" pivotButton="0" quotePrefix="0" xfId="0">
      <alignment wrapText="1"/>
      <protection locked="0" hidden="0"/>
    </xf>
    <xf numFmtId="1" fontId="3" fillId="4" borderId="737" applyAlignment="1" applyProtection="1" pivotButton="0" quotePrefix="0" xfId="0">
      <alignment wrapText="1"/>
      <protection locked="0" hidden="0"/>
    </xf>
    <xf numFmtId="1" fontId="3" fillId="4" borderId="374" applyAlignment="1" applyProtection="1" pivotButton="0" quotePrefix="0" xfId="0">
      <alignment wrapText="1"/>
      <protection locked="0" hidden="0"/>
    </xf>
    <xf numFmtId="1" fontId="3" fillId="4" borderId="734" applyAlignment="1" applyProtection="1" pivotButton="0" quotePrefix="0" xfId="0">
      <alignment wrapText="1"/>
      <protection locked="0" hidden="0"/>
    </xf>
    <xf numFmtId="1" fontId="3" fillId="0" borderId="380" applyAlignment="1" applyProtection="1" pivotButton="0" quotePrefix="0" xfId="0">
      <alignment vertical="center" wrapText="1"/>
      <protection locked="1" hidden="1"/>
    </xf>
    <xf numFmtId="1" fontId="3" fillId="4" borderId="356" applyAlignment="1" applyProtection="1" pivotButton="0" quotePrefix="0" xfId="0">
      <alignment wrapText="1"/>
      <protection locked="0" hidden="0"/>
    </xf>
    <xf numFmtId="1" fontId="3" fillId="0" borderId="688" applyAlignment="1" applyProtection="1" pivotButton="0" quotePrefix="0" xfId="0">
      <alignment horizontal="center" vertical="center" wrapText="1"/>
      <protection locked="1" hidden="1"/>
    </xf>
    <xf numFmtId="1" fontId="3" fillId="0" borderId="554" applyAlignment="1" applyProtection="1" pivotButton="0" quotePrefix="0" xfId="0">
      <alignment vertical="center" wrapText="1"/>
      <protection locked="1" hidden="1"/>
    </xf>
    <xf numFmtId="1" fontId="3" fillId="4" borderId="736" applyAlignment="1" applyProtection="1" pivotButton="0" quotePrefix="0" xfId="0">
      <alignment horizontal="right" wrapText="1"/>
      <protection locked="0" hidden="0"/>
    </xf>
    <xf numFmtId="1" fontId="3" fillId="4" borderId="731" applyAlignment="1" applyProtection="1" pivotButton="0" quotePrefix="0" xfId="0">
      <alignment horizontal="right"/>
      <protection locked="0" hidden="0"/>
    </xf>
    <xf numFmtId="1" fontId="3" fillId="4" borderId="726" applyAlignment="1" applyProtection="1" pivotButton="0" quotePrefix="0" xfId="0">
      <alignment horizontal="right"/>
      <protection locked="0" hidden="0"/>
    </xf>
    <xf numFmtId="1" fontId="3" fillId="4" borderId="380" applyAlignment="1" applyProtection="1" pivotButton="0" quotePrefix="0" xfId="0">
      <alignment horizontal="right" wrapText="1"/>
      <protection locked="0" hidden="0"/>
    </xf>
    <xf numFmtId="1" fontId="3" fillId="3" borderId="380" applyAlignment="1" applyProtection="1" pivotButton="0" quotePrefix="0" xfId="0">
      <alignment vertical="center" wrapText="1"/>
      <protection locked="1" hidden="1"/>
    </xf>
    <xf numFmtId="1" fontId="3" fillId="4" borderId="389" applyAlignment="1" applyProtection="1" pivotButton="0" quotePrefix="0" xfId="0">
      <alignment horizontal="right" wrapText="1"/>
      <protection locked="0" hidden="0"/>
    </xf>
    <xf numFmtId="1" fontId="3" fillId="4" borderId="384" applyAlignment="1" applyProtection="1" pivotButton="0" quotePrefix="0" xfId="0">
      <alignment horizontal="right" wrapText="1"/>
      <protection locked="0" hidden="0"/>
    </xf>
    <xf numFmtId="1" fontId="3" fillId="0" borderId="749" applyAlignment="1" pivotButton="0" quotePrefix="0" xfId="0">
      <alignment horizontal="left" vertical="center" wrapText="1"/>
    </xf>
    <xf numFmtId="1" fontId="3" fillId="0" borderId="681" applyAlignment="1" pivotButton="0" quotePrefix="0" xfId="0">
      <alignment horizontal="right" vertical="center" wrapText="1"/>
    </xf>
    <xf numFmtId="1" fontId="3" fillId="0" borderId="732" applyAlignment="1" pivotButton="0" quotePrefix="0" xfId="0">
      <alignment horizontal="right" vertical="center" wrapText="1"/>
    </xf>
    <xf numFmtId="1" fontId="3" fillId="0" borderId="730" applyAlignment="1" pivotButton="0" quotePrefix="0" xfId="0">
      <alignment horizontal="right" vertical="center" wrapText="1"/>
    </xf>
    <xf numFmtId="1" fontId="3" fillId="0" borderId="684" applyAlignment="1" pivotButton="0" quotePrefix="0" xfId="0">
      <alignment horizontal="right" vertical="center" wrapText="1"/>
    </xf>
    <xf numFmtId="1" fontId="3" fillId="4" borderId="371" applyProtection="1" pivotButton="0" quotePrefix="0" xfId="0">
      <protection locked="0" hidden="0"/>
    </xf>
    <xf numFmtId="1" fontId="3" fillId="0" borderId="686" applyAlignment="1" pivotButton="0" quotePrefix="0" xfId="0">
      <alignment horizontal="right" vertical="center" wrapText="1"/>
    </xf>
    <xf numFmtId="1" fontId="3" fillId="0" borderId="689" applyAlignment="1" pivotButton="0" quotePrefix="0" xfId="0">
      <alignment horizontal="right" vertical="center" wrapText="1"/>
    </xf>
    <xf numFmtId="1" fontId="2" fillId="0" borderId="782" applyAlignment="1" pivotButton="0" quotePrefix="0" xfId="0">
      <alignment horizontal="left"/>
    </xf>
    <xf numFmtId="1" fontId="6" fillId="0" borderId="783" pivotButton="0" quotePrefix="0" xfId="0"/>
    <xf numFmtId="1" fontId="3" fillId="3" borderId="672" applyProtection="1" pivotButton="0" quotePrefix="0" xfId="0">
      <protection locked="1" hidden="1"/>
    </xf>
    <xf numFmtId="1" fontId="3" fillId="0" borderId="783" applyAlignment="1" pivotButton="0" quotePrefix="0" xfId="0">
      <alignment horizontal="center" vertical="center" wrapText="1"/>
    </xf>
    <xf numFmtId="1" fontId="3" fillId="0" borderId="785" applyAlignment="1" pivotButton="0" quotePrefix="0" xfId="0">
      <alignment horizontal="center" vertical="center" wrapText="1"/>
    </xf>
    <xf numFmtId="1" fontId="3" fillId="4" borderId="737" applyAlignment="1" applyProtection="1" pivotButton="0" quotePrefix="0" xfId="0">
      <alignment horizontal="right"/>
      <protection locked="0" hidden="0"/>
    </xf>
    <xf numFmtId="1" fontId="3" fillId="4" borderId="749" applyAlignment="1" applyProtection="1" pivotButton="0" quotePrefix="0" xfId="0">
      <alignment horizontal="right"/>
      <protection locked="0" hidden="0"/>
    </xf>
    <xf numFmtId="1" fontId="3" fillId="4" borderId="765" applyAlignment="1" applyProtection="1" pivotButton="0" quotePrefix="0" xfId="0">
      <alignment horizontal="right"/>
      <protection locked="0" hidden="0"/>
    </xf>
    <xf numFmtId="1" fontId="3" fillId="4" borderId="766" applyAlignment="1" applyProtection="1" pivotButton="0" quotePrefix="0" xfId="0">
      <alignment horizontal="right"/>
      <protection locked="0" hidden="0"/>
    </xf>
    <xf numFmtId="1" fontId="3" fillId="4" borderId="460" applyAlignment="1" applyProtection="1" pivotButton="0" quotePrefix="0" xfId="0">
      <alignment horizontal="right"/>
      <protection locked="0" hidden="0"/>
    </xf>
    <xf numFmtId="1" fontId="3" fillId="4" borderId="767" applyAlignment="1" applyProtection="1" pivotButton="0" quotePrefix="0" xfId="0">
      <alignment horizontal="right"/>
      <protection locked="0" hidden="0"/>
    </xf>
    <xf numFmtId="1" fontId="3" fillId="0" borderId="786" applyAlignment="1" pivotButton="0" quotePrefix="0" xfId="0">
      <alignment horizontal="left" vertical="center" wrapText="1"/>
    </xf>
    <xf numFmtId="1" fontId="3" fillId="0" borderId="788" applyAlignment="1" pivotButton="0" quotePrefix="0" xfId="0">
      <alignment horizontal="right" wrapText="1"/>
    </xf>
    <xf numFmtId="1" fontId="3" fillId="0" borderId="789" applyAlignment="1" pivotButton="0" quotePrefix="0" xfId="0">
      <alignment horizontal="right" wrapText="1"/>
    </xf>
    <xf numFmtId="1" fontId="3" fillId="0" borderId="785" applyAlignment="1" pivotButton="0" quotePrefix="0" xfId="0">
      <alignment horizontal="right"/>
    </xf>
    <xf numFmtId="1" fontId="3" fillId="4" borderId="788" applyAlignment="1" applyProtection="1" pivotButton="0" quotePrefix="0" xfId="0">
      <alignment horizontal="right"/>
      <protection locked="0" hidden="0"/>
    </xf>
    <xf numFmtId="1" fontId="3" fillId="4" borderId="785" applyAlignment="1" applyProtection="1" pivotButton="0" quotePrefix="0" xfId="0">
      <alignment horizontal="right"/>
      <protection locked="0" hidden="0"/>
    </xf>
    <xf numFmtId="1" fontId="3" fillId="4" borderId="783" applyAlignment="1" applyProtection="1" pivotButton="0" quotePrefix="0" xfId="0">
      <alignment horizontal="right"/>
      <protection locked="0" hidden="0"/>
    </xf>
    <xf numFmtId="1" fontId="3" fillId="4" borderId="790" applyAlignment="1" applyProtection="1" pivotButton="0" quotePrefix="0" xfId="0">
      <alignment horizontal="right"/>
      <protection locked="0" hidden="0"/>
    </xf>
    <xf numFmtId="1" fontId="3" fillId="4" borderId="787" applyAlignment="1" applyProtection="1" pivotButton="0" quotePrefix="0" xfId="0">
      <alignment horizontal="right"/>
      <protection locked="0" hidden="0"/>
    </xf>
    <xf numFmtId="1" fontId="3" fillId="0" borderId="786" applyAlignment="1" pivotButton="0" quotePrefix="0" xfId="0">
      <alignment horizontal="center" vertical="center" wrapText="1"/>
    </xf>
    <xf numFmtId="1" fontId="3" fillId="0" borderId="732" applyAlignment="1" pivotButton="0" quotePrefix="0" xfId="0">
      <alignment horizontal="center" vertical="center"/>
    </xf>
    <xf numFmtId="1" fontId="3" fillId="4" borderId="681" applyAlignment="1" applyProtection="1" pivotButton="0" quotePrefix="0" xfId="0">
      <alignment horizontal="right"/>
      <protection locked="0" hidden="0"/>
    </xf>
    <xf numFmtId="1" fontId="3" fillId="4" borderId="732" applyAlignment="1" applyProtection="1" pivotButton="0" quotePrefix="0" xfId="0">
      <alignment horizontal="right"/>
      <protection locked="0" hidden="0"/>
    </xf>
    <xf numFmtId="1" fontId="3" fillId="4" borderId="672" applyAlignment="1" applyProtection="1" pivotButton="0" quotePrefix="0" xfId="0">
      <alignment horizontal="right"/>
      <protection locked="0" hidden="0"/>
    </xf>
    <xf numFmtId="1" fontId="3" fillId="4" borderId="717" applyAlignment="1" applyProtection="1" pivotButton="0" quotePrefix="0" xfId="0">
      <alignment horizontal="right"/>
      <protection locked="0" hidden="0"/>
    </xf>
    <xf numFmtId="1" fontId="6" fillId="3" borderId="783" applyProtection="1" pivotButton="0" quotePrefix="0" xfId="0">
      <protection locked="1" hidden="1"/>
    </xf>
    <xf numFmtId="1" fontId="13" fillId="0" borderId="792" applyAlignment="1" pivotButton="0" quotePrefix="0" xfId="0">
      <alignment horizontal="center" vertical="center" wrapText="1"/>
    </xf>
    <xf numFmtId="1" fontId="13" fillId="0" borderId="783" applyAlignment="1" pivotButton="0" quotePrefix="0" xfId="0">
      <alignment horizontal="center" vertical="center" wrapText="1"/>
    </xf>
    <xf numFmtId="1" fontId="13" fillId="3" borderId="783" applyAlignment="1" applyProtection="1" pivotButton="0" quotePrefix="0" xfId="0">
      <alignment horizontal="center" vertical="center" wrapText="1"/>
      <protection locked="1" hidden="1"/>
    </xf>
    <xf numFmtId="1" fontId="3" fillId="0" borderId="685" applyAlignment="1" pivotButton="0" quotePrefix="0" xfId="0">
      <alignment vertical="center" wrapText="1"/>
    </xf>
    <xf numFmtId="1" fontId="3" fillId="0" borderId="685" applyAlignment="1" pivotButton="0" quotePrefix="0" xfId="0">
      <alignment horizontal="right" vertical="center" wrapText="1"/>
    </xf>
    <xf numFmtId="1" fontId="3" fillId="4" borderId="689" applyAlignment="1" applyProtection="1" pivotButton="0" quotePrefix="0" xfId="0">
      <alignment horizontal="right"/>
      <protection locked="0" hidden="0"/>
    </xf>
    <xf numFmtId="1" fontId="3" fillId="4" borderId="684" applyAlignment="1" applyProtection="1" pivotButton="0" quotePrefix="0" xfId="0">
      <alignment horizontal="right"/>
      <protection locked="0" hidden="0"/>
    </xf>
    <xf numFmtId="1" fontId="3" fillId="4" borderId="729" applyAlignment="1" applyProtection="1" pivotButton="0" quotePrefix="0" xfId="0">
      <alignment horizontal="right"/>
      <protection locked="0" hidden="0"/>
    </xf>
    <xf numFmtId="1" fontId="3" fillId="5" borderId="749" applyAlignment="1" pivotButton="0" quotePrefix="0" xfId="0">
      <alignment vertical="center" wrapText="1"/>
    </xf>
    <xf numFmtId="1" fontId="3" fillId="5" borderId="731" applyAlignment="1" pivotButton="0" quotePrefix="0" xfId="0">
      <alignment horizontal="right" wrapText="1"/>
    </xf>
    <xf numFmtId="1" fontId="3" fillId="5" borderId="726" applyAlignment="1" pivotButton="0" quotePrefix="0" xfId="0">
      <alignment horizontal="right"/>
    </xf>
    <xf numFmtId="1" fontId="3" fillId="4" borderId="795" applyProtection="1" pivotButton="0" quotePrefix="0" xfId="0">
      <protection locked="0" hidden="0"/>
    </xf>
    <xf numFmtId="1" fontId="3" fillId="4" borderId="796" applyProtection="1" pivotButton="0" quotePrefix="0" xfId="0">
      <protection locked="0" hidden="0"/>
    </xf>
    <xf numFmtId="1" fontId="3" fillId="5" borderId="393" applyAlignment="1" pivotButton="0" quotePrefix="0" xfId="0">
      <alignment vertical="center" wrapText="1"/>
    </xf>
    <xf numFmtId="1" fontId="3" fillId="5" borderId="394" applyAlignment="1" pivotButton="0" quotePrefix="0" xfId="0">
      <alignment horizontal="right" wrapText="1"/>
    </xf>
    <xf numFmtId="1" fontId="3" fillId="5" borderId="358" applyAlignment="1" pivotButton="0" quotePrefix="0" xfId="0">
      <alignment horizontal="right" wrapText="1"/>
    </xf>
    <xf numFmtId="1" fontId="3" fillId="5" borderId="389" applyAlignment="1" pivotButton="0" quotePrefix="0" xfId="0">
      <alignment horizontal="right"/>
    </xf>
    <xf numFmtId="1" fontId="3" fillId="4" borderId="797" applyProtection="1" pivotButton="0" quotePrefix="0" xfId="0">
      <protection locked="0" hidden="0"/>
    </xf>
    <xf numFmtId="1" fontId="3" fillId="4" borderId="581" applyProtection="1" pivotButton="0" quotePrefix="0" xfId="0">
      <protection locked="0" hidden="0"/>
    </xf>
    <xf numFmtId="1" fontId="3" fillId="4" borderId="421" applyProtection="1" pivotButton="0" quotePrefix="0" xfId="0">
      <protection locked="0" hidden="0"/>
    </xf>
    <xf numFmtId="1" fontId="3" fillId="4" borderId="422" applyProtection="1" pivotButton="0" quotePrefix="0" xfId="0">
      <protection locked="0" hidden="0"/>
    </xf>
    <xf numFmtId="1" fontId="2" fillId="0" borderId="783" pivotButton="0" quotePrefix="0" xfId="0"/>
    <xf numFmtId="1" fontId="3" fillId="0" borderId="393" pivotButton="0" quotePrefix="1" xfId="0"/>
    <xf numFmtId="1" fontId="3" fillId="3" borderId="412" pivotButton="0" quotePrefix="0" xfId="0"/>
    <xf numFmtId="1" fontId="3" fillId="0" borderId="784" pivotButton="0" quotePrefix="0" xfId="0"/>
    <xf numFmtId="1" fontId="2" fillId="3" borderId="783" pivotButton="0" quotePrefix="0" xfId="0"/>
    <xf numFmtId="0" fontId="3" fillId="0" borderId="685" applyAlignment="1" pivotButton="0" quotePrefix="0" xfId="0">
      <alignment horizontal="center" vertical="center" wrapText="1"/>
    </xf>
    <xf numFmtId="0" fontId="3" fillId="0" borderId="736" applyAlignment="1" pivotButton="0" quotePrefix="0" xfId="0">
      <alignment vertical="center" wrapText="1"/>
    </xf>
    <xf numFmtId="0" fontId="3" fillId="0" borderId="384" applyAlignment="1" pivotButton="0" quotePrefix="0" xfId="0">
      <alignment vertical="center" wrapText="1"/>
    </xf>
    <xf numFmtId="1" fontId="2" fillId="0" borderId="783" applyAlignment="1" pivotButton="0" quotePrefix="0" xfId="0">
      <alignment horizontal="left"/>
    </xf>
    <xf numFmtId="1" fontId="3" fillId="0" borderId="799" applyAlignment="1" pivotButton="0" quotePrefix="0" xfId="0">
      <alignment horizontal="center" vertical="center" wrapText="1"/>
    </xf>
    <xf numFmtId="1" fontId="3" fillId="0" borderId="789" applyAlignment="1" pivotButton="0" quotePrefix="0" xfId="0">
      <alignment horizontal="center" vertical="center" wrapText="1"/>
    </xf>
    <xf numFmtId="1" fontId="3" fillId="0" borderId="788" applyAlignment="1" pivotButton="0" quotePrefix="0" xfId="0">
      <alignment horizontal="center" vertical="center" wrapText="1"/>
    </xf>
    <xf numFmtId="1" fontId="3" fillId="0" borderId="737" applyAlignment="1" pivotButton="0" quotePrefix="0" xfId="0">
      <alignment horizontal="right"/>
    </xf>
    <xf numFmtId="1" fontId="3" fillId="4" borderId="739" applyProtection="1" pivotButton="0" quotePrefix="0" xfId="0">
      <protection locked="0" hidden="0"/>
    </xf>
    <xf numFmtId="1" fontId="3" fillId="0" borderId="383" applyAlignment="1" pivotButton="0" quotePrefix="0" xfId="0">
      <alignment horizontal="right"/>
    </xf>
    <xf numFmtId="1" fontId="3" fillId="0" borderId="786" applyAlignment="1" pivotButton="0" quotePrefix="0" xfId="0">
      <alignment vertical="center" wrapText="1"/>
    </xf>
    <xf numFmtId="1" fontId="3" fillId="0" borderId="684" applyAlignment="1" pivotButton="0" quotePrefix="0" xfId="0">
      <alignment horizontal="right"/>
    </xf>
    <xf numFmtId="1" fontId="3" fillId="0" borderId="724" pivotButton="0" quotePrefix="0" xfId="0"/>
    <xf numFmtId="1" fontId="3" fillId="0" borderId="800" pivotButton="0" quotePrefix="0" xfId="0"/>
    <xf numFmtId="1" fontId="3" fillId="4" borderId="724" applyProtection="1" pivotButton="0" quotePrefix="0" xfId="0">
      <protection locked="0" hidden="0"/>
    </xf>
    <xf numFmtId="1" fontId="3" fillId="4" borderId="800" applyProtection="1" pivotButton="0" quotePrefix="0" xfId="0">
      <protection locked="0" hidden="0"/>
    </xf>
    <xf numFmtId="1" fontId="39" fillId="0" borderId="783" applyAlignment="1" applyProtection="1" pivotButton="0" quotePrefix="0" xfId="0">
      <alignment horizontal="left"/>
      <protection locked="1" hidden="1"/>
    </xf>
    <xf numFmtId="1" fontId="3" fillId="0" borderId="710" applyAlignment="1" pivotButton="0" quotePrefix="0" xfId="0">
      <alignment vertical="center" wrapText="1"/>
    </xf>
    <xf numFmtId="1" fontId="3" fillId="0" borderId="710" applyAlignment="1" pivotButton="0" quotePrefix="0" xfId="0">
      <alignment horizontal="center" vertical="center" wrapText="1"/>
    </xf>
    <xf numFmtId="1" fontId="3" fillId="4" borderId="801" applyProtection="1" pivotButton="0" quotePrefix="0" xfId="0">
      <protection locked="0" hidden="0"/>
    </xf>
    <xf numFmtId="1" fontId="3" fillId="4" borderId="734" applyAlignment="1" applyProtection="1" pivotButton="0" quotePrefix="0" xfId="0">
      <alignment horizontal="right"/>
      <protection locked="0" hidden="0"/>
    </xf>
    <xf numFmtId="1" fontId="3" fillId="4" borderId="462" applyProtection="1" pivotButton="0" quotePrefix="0" xfId="0">
      <protection locked="0" hidden="0"/>
    </xf>
    <xf numFmtId="1" fontId="3" fillId="0" borderId="710" applyAlignment="1" pivotButton="0" quotePrefix="0" xfId="0">
      <alignment horizontal="right"/>
    </xf>
    <xf numFmtId="1" fontId="3" fillId="0" borderId="689" applyAlignment="1" pivotButton="0" quotePrefix="0" xfId="0">
      <alignment horizontal="right"/>
    </xf>
    <xf numFmtId="1" fontId="3" fillId="5" borderId="695" applyAlignment="1" pivotButton="0" quotePrefix="0" xfId="0">
      <alignment horizontal="center" vertical="center" wrapText="1"/>
    </xf>
    <xf numFmtId="1" fontId="3" fillId="0" borderId="724" applyAlignment="1" pivotButton="0" quotePrefix="0" xfId="0">
      <alignment horizontal="center" vertical="center"/>
    </xf>
    <xf numFmtId="1" fontId="3" fillId="5" borderId="785" applyAlignment="1" pivotButton="0" quotePrefix="0" xfId="0">
      <alignment horizontal="center" vertical="center" wrapText="1"/>
    </xf>
    <xf numFmtId="1" fontId="3" fillId="0" borderId="802" applyAlignment="1" pivotButton="0" quotePrefix="0" xfId="0">
      <alignment horizontal="center" vertical="center" wrapText="1"/>
    </xf>
    <xf numFmtId="1" fontId="3" fillId="0" borderId="741" applyAlignment="1" pivotButton="0" quotePrefix="0" xfId="0">
      <alignment horizontal="center" vertical="center" wrapText="1"/>
    </xf>
    <xf numFmtId="1" fontId="3" fillId="9" borderId="374" applyProtection="1" pivotButton="0" quotePrefix="0" xfId="38">
      <protection locked="0" hidden="0"/>
    </xf>
    <xf numFmtId="1" fontId="3" fillId="0" borderId="804" pivotButton="0" quotePrefix="0" xfId="0"/>
    <xf numFmtId="1" fontId="3" fillId="0" borderId="797" pivotButton="0" quotePrefix="0" xfId="0"/>
    <xf numFmtId="1" fontId="3" fillId="9" borderId="358" applyProtection="1" pivotButton="0" quotePrefix="0" xfId="38">
      <protection locked="0" hidden="0"/>
    </xf>
    <xf numFmtId="1" fontId="3" fillId="9" borderId="394" applyProtection="1" pivotButton="0" quotePrefix="0" xfId="38">
      <protection locked="0" hidden="0"/>
    </xf>
    <xf numFmtId="1" fontId="3" fillId="5" borderId="393" pivotButton="0" quotePrefix="0" xfId="0"/>
    <xf numFmtId="1" fontId="3" fillId="0" borderId="421" pivotButton="0" quotePrefix="0" xfId="0"/>
    <xf numFmtId="1" fontId="3" fillId="0" borderId="788" pivotButton="0" quotePrefix="0" xfId="0"/>
    <xf numFmtId="1" fontId="3" fillId="0" borderId="783" pivotButton="0" quotePrefix="0" xfId="0"/>
    <xf numFmtId="1" fontId="3" fillId="0" borderId="793" pivotButton="0" quotePrefix="0" xfId="0"/>
    <xf numFmtId="1" fontId="3" fillId="0" borderId="799" pivotButton="0" quotePrefix="0" xfId="0"/>
    <xf numFmtId="1" fontId="3" fillId="0" borderId="789" pivotButton="0" quotePrefix="0" xfId="0"/>
    <xf numFmtId="1" fontId="3" fillId="3" borderId="789" pivotButton="0" quotePrefix="0" xfId="0"/>
    <xf numFmtId="1" fontId="3" fillId="3" borderId="785" pivotButton="0" quotePrefix="0" xfId="0"/>
    <xf numFmtId="1" fontId="3" fillId="5" borderId="732" applyAlignment="1" pivotButton="0" quotePrefix="0" xfId="0">
      <alignment horizontal="center" vertical="center" wrapText="1"/>
    </xf>
    <xf numFmtId="1" fontId="3" fillId="5" borderId="789" applyAlignment="1" pivotButton="0" quotePrefix="0" xfId="0">
      <alignment horizontal="center" vertical="center" wrapText="1"/>
    </xf>
    <xf numFmtId="1" fontId="3" fillId="22" borderId="681" applyAlignment="1" pivotButton="0" quotePrefix="0" xfId="0">
      <alignment horizontal="center" vertical="center" wrapText="1"/>
    </xf>
    <xf numFmtId="1" fontId="3" fillId="22" borderId="729" applyAlignment="1" pivotButton="0" quotePrefix="0" xfId="0">
      <alignment horizontal="center" vertical="center" wrapText="1"/>
    </xf>
    <xf numFmtId="1" fontId="3" fillId="0" borderId="732" applyAlignment="1" applyProtection="1" pivotButton="0" quotePrefix="0" xfId="0">
      <alignment horizontal="center" vertical="center" wrapText="1"/>
      <protection locked="1" hidden="1"/>
    </xf>
    <xf numFmtId="1" fontId="3" fillId="5" borderId="679" pivotButton="0" quotePrefix="0" xfId="0"/>
    <xf numFmtId="1" fontId="3" fillId="5" borderId="736" pivotButton="0" quotePrefix="0" xfId="0"/>
    <xf numFmtId="1" fontId="3" fillId="22" borderId="553" applyProtection="1" pivotButton="0" quotePrefix="0" xfId="0">
      <protection locked="0" hidden="0"/>
    </xf>
    <xf numFmtId="1" fontId="3" fillId="22" borderId="390" applyProtection="1" pivotButton="0" quotePrefix="0" xfId="0">
      <protection locked="0" hidden="0"/>
    </xf>
    <xf numFmtId="1" fontId="3" fillId="5" borderId="403" pivotButton="0" quotePrefix="0" xfId="0"/>
    <xf numFmtId="1" fontId="3" fillId="4" borderId="475" applyProtection="1" pivotButton="0" quotePrefix="0" xfId="0">
      <protection locked="0" hidden="0"/>
    </xf>
    <xf numFmtId="1" fontId="3" fillId="5" borderId="554" pivotButton="0" quotePrefix="0" xfId="0"/>
    <xf numFmtId="1" fontId="3" fillId="22" borderId="394" applyProtection="1" pivotButton="0" quotePrefix="0" xfId="0">
      <protection locked="0" hidden="0"/>
    </xf>
    <xf numFmtId="1" fontId="3" fillId="22" borderId="399" applyProtection="1" pivotButton="0" quotePrefix="0" xfId="0">
      <protection locked="0" hidden="0"/>
    </xf>
    <xf numFmtId="1" fontId="3" fillId="22" borderId="401" applyProtection="1" pivotButton="0" quotePrefix="0" xfId="0">
      <protection locked="0" hidden="0"/>
    </xf>
    <xf numFmtId="1" fontId="3" fillId="0" borderId="786" pivotButton="0" quotePrefix="0" xfId="0"/>
    <xf numFmtId="1" fontId="3" fillId="0" borderId="785" pivotButton="0" quotePrefix="0" xfId="0"/>
    <xf numFmtId="1" fontId="2" fillId="0" borderId="546" pivotButton="0" quotePrefix="0" xfId="0"/>
    <xf numFmtId="1" fontId="6" fillId="0" borderId="785" applyProtection="1" pivotButton="0" quotePrefix="0" xfId="0">
      <protection locked="0" hidden="0"/>
    </xf>
    <xf numFmtId="1" fontId="3" fillId="0" borderId="736" pivotButton="0" quotePrefix="0" xfId="0"/>
    <xf numFmtId="1" fontId="3" fillId="28" borderId="399" pivotButton="0" quotePrefix="0" xfId="0"/>
    <xf numFmtId="1" fontId="3" fillId="28" borderId="386" pivotButton="0" quotePrefix="0" xfId="0"/>
    <xf numFmtId="1" fontId="3" fillId="0" borderId="785" applyAlignment="1" pivotButton="0" quotePrefix="0" xfId="0">
      <alignment horizontal="center" vertical="center"/>
    </xf>
    <xf numFmtId="1" fontId="3" fillId="0" borderId="399" applyAlignment="1" pivotButton="0" quotePrefix="0" xfId="0">
      <alignment horizontal="center" vertical="center" wrapText="1"/>
    </xf>
    <xf numFmtId="1" fontId="3" fillId="0" borderId="740" applyAlignment="1" pivotButton="0" quotePrefix="0" xfId="0">
      <alignment horizontal="right"/>
    </xf>
    <xf numFmtId="1" fontId="3" fillId="7" borderId="681" applyAlignment="1" pivotButton="0" quotePrefix="0" xfId="0">
      <alignment horizontal="right"/>
    </xf>
    <xf numFmtId="1" fontId="3" fillId="7" borderId="684" applyAlignment="1" pivotButton="0" quotePrefix="0" xfId="0">
      <alignment horizontal="right"/>
    </xf>
    <xf numFmtId="1" fontId="3" fillId="7" borderId="731" applyAlignment="1" pivotButton="0" quotePrefix="0" xfId="0">
      <alignment horizontal="right"/>
    </xf>
    <xf numFmtId="1" fontId="3" fillId="7" borderId="737" applyAlignment="1" pivotButton="0" quotePrefix="0" xfId="0">
      <alignment horizontal="right"/>
    </xf>
    <xf numFmtId="1" fontId="3" fillId="7" borderId="550" pivotButton="0" quotePrefix="0" xfId="0"/>
    <xf numFmtId="1" fontId="3" fillId="0" borderId="788" applyAlignment="1" pivotButton="0" quotePrefix="0" xfId="0">
      <alignment horizontal="right"/>
    </xf>
    <xf numFmtId="1" fontId="3" fillId="0" borderId="394" applyAlignment="1" pivotButton="0" quotePrefix="0" xfId="0">
      <alignment horizontal="right" shrinkToFit="1"/>
    </xf>
    <xf numFmtId="1" fontId="2" fillId="0" borderId="694" pivotButton="0" quotePrefix="0" xfId="0"/>
    <xf numFmtId="1" fontId="3" fillId="0" borderId="736" applyAlignment="1" pivotButton="0" quotePrefix="0" xfId="0">
      <alignment vertical="center"/>
    </xf>
    <xf numFmtId="1" fontId="3" fillId="0" borderId="731" applyAlignment="1" pivotButton="0" quotePrefix="0" xfId="0">
      <alignment horizontal="right"/>
    </xf>
    <xf numFmtId="1" fontId="3" fillId="4" borderId="812" applyProtection="1" pivotButton="0" quotePrefix="0" xfId="0">
      <protection locked="0" hidden="0"/>
    </xf>
    <xf numFmtId="1" fontId="3" fillId="4" borderId="813" applyProtection="1" pivotButton="0" quotePrefix="0" xfId="0">
      <protection locked="0" hidden="0"/>
    </xf>
    <xf numFmtId="1" fontId="3" fillId="4" borderId="814" applyProtection="1" pivotButton="0" quotePrefix="0" xfId="0">
      <protection locked="0" hidden="0"/>
    </xf>
    <xf numFmtId="1" fontId="3" fillId="0" borderId="736" applyAlignment="1" pivotButton="0" quotePrefix="0" xfId="0">
      <alignment horizontal="left" vertical="center"/>
    </xf>
    <xf numFmtId="1" fontId="3" fillId="0" borderId="403" applyAlignment="1" pivotButton="0" quotePrefix="0" xfId="0">
      <alignment vertical="center"/>
    </xf>
    <xf numFmtId="1" fontId="3" fillId="4" borderId="815" applyProtection="1" pivotButton="0" quotePrefix="0" xfId="0">
      <protection locked="0" hidden="0"/>
    </xf>
    <xf numFmtId="1" fontId="3" fillId="4" borderId="816" applyProtection="1" pivotButton="0" quotePrefix="0" xfId="0">
      <protection locked="0" hidden="0"/>
    </xf>
    <xf numFmtId="1" fontId="3" fillId="4" borderId="613" applyProtection="1" pivotButton="0" quotePrefix="0" xfId="0">
      <protection locked="0" hidden="0"/>
    </xf>
    <xf numFmtId="1" fontId="3" fillId="0" borderId="687" applyAlignment="1" pivotButton="0" quotePrefix="0" xfId="0">
      <alignment horizontal="right"/>
    </xf>
    <xf numFmtId="1" fontId="3" fillId="7" borderId="687" pivotButton="0" quotePrefix="0" xfId="0"/>
    <xf numFmtId="1" fontId="3" fillId="9" borderId="817" applyProtection="1" pivotButton="0" quotePrefix="0" xfId="38">
      <protection locked="0" hidden="0"/>
    </xf>
    <xf numFmtId="1" fontId="3" fillId="4" borderId="818" applyProtection="1" pivotButton="0" quotePrefix="0" xfId="0">
      <protection locked="0" hidden="0"/>
    </xf>
    <xf numFmtId="1" fontId="3" fillId="4" borderId="807" applyProtection="1" pivotButton="0" quotePrefix="0" xfId="0">
      <protection locked="0" hidden="0"/>
    </xf>
    <xf numFmtId="1" fontId="3" fillId="4" borderId="763" applyProtection="1" pivotButton="0" quotePrefix="0" xfId="0">
      <protection locked="0" hidden="0"/>
    </xf>
    <xf numFmtId="1" fontId="3" fillId="9" borderId="819" applyProtection="1" pivotButton="0" quotePrefix="0" xfId="38">
      <protection locked="0" hidden="0"/>
    </xf>
    <xf numFmtId="1" fontId="3" fillId="0" borderId="823" applyAlignment="1" pivotButton="0" quotePrefix="0" xfId="0">
      <alignment horizontal="right" wrapText="1"/>
    </xf>
    <xf numFmtId="1" fontId="3" fillId="0" borderId="824" applyAlignment="1" pivotButton="0" quotePrefix="0" xfId="0">
      <alignment horizontal="right" wrapText="1"/>
    </xf>
    <xf numFmtId="1" fontId="3" fillId="18" borderId="823" applyProtection="1" pivotButton="0" quotePrefix="0" xfId="0">
      <protection locked="0" hidden="0"/>
    </xf>
    <xf numFmtId="1" fontId="3" fillId="18" borderId="803" applyProtection="1" pivotButton="0" quotePrefix="0" xfId="0">
      <protection locked="0" hidden="0"/>
    </xf>
    <xf numFmtId="1" fontId="3" fillId="18" borderId="825" applyProtection="1" pivotButton="0" quotePrefix="0" xfId="0">
      <protection locked="0" hidden="0"/>
    </xf>
    <xf numFmtId="0" fontId="3" fillId="0" borderId="729" applyAlignment="1" pivotButton="0" quotePrefix="0" xfId="0">
      <alignment horizontal="center" vertical="center"/>
    </xf>
    <xf numFmtId="0" fontId="3" fillId="0" borderId="789" applyAlignment="1" pivotButton="0" quotePrefix="0" xfId="0">
      <alignment horizontal="center" vertical="center"/>
    </xf>
    <xf numFmtId="0" fontId="3" fillId="20" borderId="689" applyAlignment="1" pivotButton="0" quotePrefix="0" xfId="0">
      <alignment horizontal="center" vertical="center" wrapText="1"/>
    </xf>
    <xf numFmtId="0" fontId="3" fillId="20" borderId="684" applyAlignment="1" pivotButton="0" quotePrefix="0" xfId="0">
      <alignment horizontal="center" vertical="center" wrapText="1"/>
    </xf>
    <xf numFmtId="1" fontId="3" fillId="3" borderId="681" pivotButton="0" quotePrefix="0" xfId="0"/>
    <xf numFmtId="0" fontId="3" fillId="0" borderId="732" pivotButton="0" quotePrefix="0" xfId="0"/>
    <xf numFmtId="0" fontId="3" fillId="0" borderId="729" pivotButton="0" quotePrefix="0" xfId="0"/>
    <xf numFmtId="0" fontId="3" fillId="44" borderId="681" applyProtection="1" pivotButton="0" quotePrefix="0" xfId="0">
      <protection locked="0" hidden="0"/>
    </xf>
    <xf numFmtId="0" fontId="3" fillId="44" borderId="684" applyProtection="1" pivotButton="0" quotePrefix="0" xfId="0">
      <protection locked="0" hidden="0"/>
    </xf>
    <xf numFmtId="0" fontId="3" fillId="44" borderId="689" applyProtection="1" pivotButton="0" quotePrefix="0" xfId="0">
      <protection locked="0" hidden="0"/>
    </xf>
    <xf numFmtId="0" fontId="3" fillId="44" borderId="828" applyProtection="1" pivotButton="0" quotePrefix="0" xfId="0">
      <protection locked="0" hidden="0"/>
    </xf>
    <xf numFmtId="0" fontId="3" fillId="44" borderId="829" applyProtection="1" pivotButton="0" quotePrefix="0" xfId="0">
      <protection locked="0" hidden="0"/>
    </xf>
    <xf numFmtId="0" fontId="3" fillId="44" borderId="830" applyProtection="1" pivotButton="0" quotePrefix="0" xfId="0">
      <protection locked="0" hidden="0"/>
    </xf>
    <xf numFmtId="0" fontId="3" fillId="44" borderId="831" applyProtection="1" pivotButton="0" quotePrefix="0" xfId="0">
      <protection locked="0" hidden="0"/>
    </xf>
    <xf numFmtId="0" fontId="3" fillId="44" borderId="832" applyProtection="1" pivotButton="0" quotePrefix="0" xfId="0">
      <protection locked="0" hidden="0"/>
    </xf>
    <xf numFmtId="0" fontId="3" fillId="44" borderId="833" applyProtection="1" pivotButton="0" quotePrefix="0" xfId="0">
      <protection locked="0" hidden="0"/>
    </xf>
    <xf numFmtId="0" fontId="3" fillId="44" borderId="834" applyProtection="1" pivotButton="0" quotePrefix="0" xfId="0">
      <protection locked="0" hidden="0"/>
    </xf>
    <xf numFmtId="0" fontId="3" fillId="44" borderId="835" applyProtection="1" pivotButton="0" quotePrefix="0" xfId="0">
      <protection locked="0" hidden="0"/>
    </xf>
    <xf numFmtId="0" fontId="3" fillId="44" borderId="836" applyProtection="1" pivotButton="0" quotePrefix="0" xfId="0">
      <protection locked="0" hidden="0"/>
    </xf>
    <xf numFmtId="0" fontId="3" fillId="0" borderId="554" applyAlignment="1" pivotButton="0" quotePrefix="0" xfId="0">
      <alignment wrapText="1"/>
    </xf>
    <xf numFmtId="0" fontId="3" fillId="51" borderId="553" pivotButton="0" quotePrefix="0" xfId="0"/>
    <xf numFmtId="0" fontId="3" fillId="51" borderId="470" pivotButton="0" quotePrefix="0" xfId="0"/>
    <xf numFmtId="0" fontId="3" fillId="0" borderId="380" applyAlignment="1" pivotButton="0" quotePrefix="0" xfId="0">
      <alignment wrapText="1"/>
    </xf>
    <xf numFmtId="0" fontId="3" fillId="44" borderId="394" applyProtection="1" pivotButton="0" quotePrefix="0" xfId="0">
      <protection locked="0" hidden="0"/>
    </xf>
    <xf numFmtId="0" fontId="3" fillId="51" borderId="394" pivotButton="0" quotePrefix="0" xfId="0"/>
    <xf numFmtId="0" fontId="3" fillId="51" borderId="382" pivotButton="0" quotePrefix="0" xfId="0"/>
    <xf numFmtId="0" fontId="3" fillId="44" borderId="382" applyProtection="1" pivotButton="0" quotePrefix="0" xfId="0">
      <protection locked="0" hidden="0"/>
    </xf>
    <xf numFmtId="0" fontId="3" fillId="44" borderId="462" applyProtection="1" pivotButton="0" quotePrefix="0" xfId="0">
      <protection locked="0" hidden="0"/>
    </xf>
    <xf numFmtId="1" fontId="3" fillId="3" borderId="685" pivotButton="0" quotePrefix="0" xfId="0"/>
    <xf numFmtId="1" fontId="3" fillId="3" borderId="731" pivotButton="0" quotePrefix="0" xfId="0"/>
    <xf numFmtId="1" fontId="3" fillId="3" borderId="735" pivotButton="0" quotePrefix="0" xfId="0"/>
    <xf numFmtId="0" fontId="3" fillId="44" borderId="731" applyProtection="1" pivotButton="0" quotePrefix="0" xfId="0">
      <protection locked="0" hidden="0"/>
    </xf>
    <xf numFmtId="0" fontId="3" fillId="44" borderId="737" applyProtection="1" pivotButton="0" quotePrefix="0" xfId="0">
      <protection locked="0" hidden="0"/>
    </xf>
    <xf numFmtId="0" fontId="3" fillId="44" borderId="734" applyProtection="1" pivotButton="0" quotePrefix="0" xfId="0">
      <protection locked="0" hidden="0"/>
    </xf>
    <xf numFmtId="0" fontId="3" fillId="44" borderId="726" applyProtection="1" pivotButton="0" quotePrefix="0" xfId="0">
      <protection locked="0" hidden="0"/>
    </xf>
    <xf numFmtId="0" fontId="3" fillId="44" borderId="788" applyProtection="1" pivotButton="0" quotePrefix="0" xfId="0">
      <protection locked="0" hidden="0"/>
    </xf>
    <xf numFmtId="0" fontId="3" fillId="44" borderId="789" applyProtection="1" pivotButton="0" quotePrefix="0" xfId="0">
      <protection locked="0" hidden="0"/>
    </xf>
    <xf numFmtId="0" fontId="3" fillId="44" borderId="785" applyProtection="1" pivotButton="0" quotePrefix="0" xfId="0">
      <protection locked="0" hidden="0"/>
    </xf>
    <xf numFmtId="0" fontId="3" fillId="0" borderId="687" applyAlignment="1" pivotButton="0" quotePrefix="0" xfId="0">
      <alignment horizontal="center" vertical="center" wrapText="1"/>
    </xf>
    <xf numFmtId="0" fontId="3" fillId="0" borderId="725" applyAlignment="1" pivotButton="0" quotePrefix="0" xfId="0">
      <alignment horizontal="center" vertical="center" wrapText="1"/>
    </xf>
    <xf numFmtId="0" fontId="3" fillId="0" borderId="680" applyAlignment="1" pivotButton="0" quotePrefix="0" xfId="0">
      <alignment horizontal="center" wrapText="1"/>
    </xf>
    <xf numFmtId="0" fontId="3" fillId="0" borderId="732" applyAlignment="1" pivotButton="0" quotePrefix="0" xfId="0">
      <alignment horizontal="center" wrapText="1"/>
    </xf>
    <xf numFmtId="0" fontId="3" fillId="0" borderId="729" applyAlignment="1" pivotButton="0" quotePrefix="0" xfId="0">
      <alignment horizontal="center"/>
    </xf>
    <xf numFmtId="1" fontId="3" fillId="4" borderId="788" applyProtection="1" pivotButton="0" quotePrefix="0" xfId="0">
      <protection locked="0" hidden="0"/>
    </xf>
    <xf numFmtId="1" fontId="3" fillId="4" borderId="785" applyProtection="1" pivotButton="0" quotePrefix="0" xfId="0">
      <protection locked="0" hidden="0"/>
    </xf>
    <xf numFmtId="1" fontId="3" fillId="4" borderId="783" applyProtection="1" pivotButton="0" quotePrefix="0" xfId="0">
      <protection locked="0" hidden="0"/>
    </xf>
    <xf numFmtId="1" fontId="3" fillId="4" borderId="799" applyProtection="1" pivotButton="0" quotePrefix="0" xfId="0">
      <protection locked="0" hidden="0"/>
    </xf>
    <xf numFmtId="1" fontId="3" fillId="4" borderId="431" applyProtection="1" pivotButton="0" quotePrefix="0" xfId="0">
      <protection locked="0" hidden="0"/>
    </xf>
    <xf numFmtId="1" fontId="3" fillId="6" borderId="393" pivotButton="0" quotePrefix="0" xfId="0"/>
    <xf numFmtId="1" fontId="3" fillId="6" borderId="380" applyAlignment="1" pivotButton="0" quotePrefix="0" xfId="0">
      <alignment horizontal="left" vertical="center" wrapText="1"/>
    </xf>
    <xf numFmtId="1" fontId="3" fillId="6" borderId="389" applyAlignment="1" pivotButton="0" quotePrefix="0" xfId="0">
      <alignment horizontal="right"/>
    </xf>
    <xf numFmtId="1" fontId="3" fillId="4" borderId="789" applyProtection="1" pivotButton="0" quotePrefix="0" xfId="0">
      <protection locked="0" hidden="0"/>
    </xf>
    <xf numFmtId="1" fontId="3" fillId="11" borderId="389" pivotButton="0" quotePrefix="0" xfId="0"/>
    <xf numFmtId="1" fontId="3" fillId="0" borderId="391" applyAlignment="1" pivotButton="0" quotePrefix="0" xfId="0">
      <alignment horizontal="right" wrapText="1"/>
    </xf>
    <xf numFmtId="1" fontId="3" fillId="6" borderId="389" applyAlignment="1" pivotButton="0" quotePrefix="0" xfId="0">
      <alignment horizontal="right" wrapText="1"/>
    </xf>
    <xf numFmtId="1" fontId="3" fillId="0" borderId="736" applyAlignment="1" pivotButton="0" quotePrefix="0" xfId="0">
      <alignment horizontal="center" vertical="center" wrapText="1"/>
    </xf>
    <xf numFmtId="1" fontId="3" fillId="0" borderId="380" applyAlignment="1" pivotButton="0" quotePrefix="0" xfId="0">
      <alignment horizontal="center" vertical="center" wrapText="1"/>
    </xf>
    <xf numFmtId="1" fontId="3" fillId="0" borderId="785" applyAlignment="1" pivotButton="0" quotePrefix="0" xfId="0">
      <alignment horizontal="left" vertical="center" wrapText="1"/>
    </xf>
    <xf numFmtId="1" fontId="3" fillId="0" borderId="384" applyAlignment="1" pivotButton="0" quotePrefix="0" xfId="0">
      <alignment horizontal="center" vertical="center" wrapText="1"/>
    </xf>
    <xf numFmtId="1" fontId="3" fillId="4" borderId="551" applyAlignment="1" applyProtection="1" pivotButton="0" quotePrefix="0" xfId="0">
      <alignment horizontal="right"/>
      <protection locked="0" hidden="0"/>
    </xf>
    <xf numFmtId="1" fontId="3" fillId="4" borderId="594" applyAlignment="1" applyProtection="1" pivotButton="0" quotePrefix="0" xfId="0">
      <alignment horizontal="right"/>
      <protection locked="0" hidden="0"/>
    </xf>
    <xf numFmtId="1" fontId="3" fillId="4" borderId="799" applyAlignment="1" applyProtection="1" pivotButton="0" quotePrefix="0" xfId="0">
      <alignment horizontal="right"/>
      <protection locked="0" hidden="0"/>
    </xf>
    <xf numFmtId="1" fontId="3" fillId="4" borderId="847" applyAlignment="1" applyProtection="1" pivotButton="0" quotePrefix="0" xfId="0">
      <alignment horizontal="right"/>
      <protection locked="0" hidden="0"/>
    </xf>
    <xf numFmtId="1" fontId="3" fillId="4" borderId="789" applyAlignment="1" applyProtection="1" pivotButton="0" quotePrefix="0" xfId="0">
      <alignment horizontal="right"/>
      <protection locked="0" hidden="0"/>
    </xf>
    <xf numFmtId="1" fontId="3" fillId="0" borderId="850" applyAlignment="1" pivotButton="0" quotePrefix="0" xfId="0">
      <alignment vertical="center"/>
    </xf>
    <xf numFmtId="1" fontId="3" fillId="0" borderId="849" applyAlignment="1" pivotButton="0" quotePrefix="0" xfId="0">
      <alignment horizontal="left" vertical="center" wrapText="1"/>
    </xf>
    <xf numFmtId="1" fontId="3" fillId="0" borderId="849" applyAlignment="1" pivotButton="0" quotePrefix="0" xfId="0">
      <alignment horizontal="center" vertical="center" wrapText="1"/>
    </xf>
    <xf numFmtId="1" fontId="3" fillId="0" borderId="554" applyAlignment="1" pivotButton="0" quotePrefix="0" xfId="0">
      <alignment wrapText="1"/>
    </xf>
    <xf numFmtId="1" fontId="3" fillId="0" borderId="849" pivotButton="0" quotePrefix="0" xfId="0"/>
    <xf numFmtId="1" fontId="3" fillId="4" borderId="849" applyProtection="1" pivotButton="0" quotePrefix="0" xfId="0">
      <protection locked="0" hidden="0"/>
    </xf>
    <xf numFmtId="1" fontId="3" fillId="7" borderId="785" pivotButton="0" quotePrefix="0" xfId="0"/>
    <xf numFmtId="1" fontId="3" fillId="3" borderId="726" applyAlignment="1" pivotButton="0" quotePrefix="0" xfId="0">
      <alignment horizontal="right"/>
    </xf>
    <xf numFmtId="1" fontId="3" fillId="3" borderId="408" applyAlignment="1" pivotButton="0" quotePrefix="0" xfId="0">
      <alignment horizontal="right" wrapText="1"/>
    </xf>
    <xf numFmtId="1" fontId="3" fillId="3" borderId="785" applyAlignment="1" pivotButton="0" quotePrefix="0" xfId="0">
      <alignment horizontal="right"/>
    </xf>
    <xf numFmtId="1" fontId="2" fillId="3" borderId="865" pivotButton="0" quotePrefix="0" xfId="0"/>
    <xf numFmtId="1" fontId="3" fillId="0" borderId="869" applyAlignment="1" pivotButton="0" quotePrefix="0" xfId="0">
      <alignment horizontal="center" vertical="center" wrapText="1"/>
    </xf>
    <xf numFmtId="1" fontId="2" fillId="3" borderId="866" pivotButton="0" quotePrefix="0" xfId="0"/>
    <xf numFmtId="1" fontId="3" fillId="0" borderId="874" applyAlignment="1" pivotButton="0" quotePrefix="0" xfId="0">
      <alignment horizontal="center" vertical="center" wrapText="1"/>
    </xf>
    <xf numFmtId="1" fontId="3" fillId="0" borderId="877" applyAlignment="1" pivotButton="0" quotePrefix="0" xfId="0">
      <alignment horizontal="center" vertical="center" wrapText="1"/>
    </xf>
    <xf numFmtId="1" fontId="3" fillId="0" borderId="870" applyAlignment="1" pivotButton="0" quotePrefix="0" xfId="0">
      <alignment horizontal="center" vertical="center"/>
    </xf>
    <xf numFmtId="1" fontId="3" fillId="0" borderId="878" applyAlignment="1" pivotButton="0" quotePrefix="0" xfId="0">
      <alignment horizontal="right"/>
    </xf>
    <xf numFmtId="1" fontId="3" fillId="0" borderId="879" applyAlignment="1" pivotButton="0" quotePrefix="0" xfId="0">
      <alignment horizontal="right"/>
    </xf>
    <xf numFmtId="1" fontId="3" fillId="0" borderId="867" applyAlignment="1" pivotButton="0" quotePrefix="0" xfId="0">
      <alignment horizontal="center" vertical="center" wrapText="1"/>
    </xf>
    <xf numFmtId="1" fontId="3" fillId="0" borderId="788" applyAlignment="1" pivotButton="0" quotePrefix="0" xfId="0">
      <alignment horizontal="right" vertical="center"/>
    </xf>
    <xf numFmtId="1" fontId="3" fillId="0" borderId="785" applyAlignment="1" pivotButton="0" quotePrefix="0" xfId="0">
      <alignment vertical="center" wrapText="1"/>
    </xf>
    <xf numFmtId="1" fontId="3" fillId="0" borderId="867" applyAlignment="1" pivotButton="0" quotePrefix="0" xfId="0">
      <alignment horizontal="right"/>
    </xf>
    <xf numFmtId="1" fontId="3" fillId="4" borderId="883" applyAlignment="1" applyProtection="1" pivotButton="0" quotePrefix="0" xfId="0">
      <alignment horizontal="right"/>
      <protection locked="0" hidden="0"/>
    </xf>
    <xf numFmtId="1" fontId="3" fillId="4" borderId="884" applyAlignment="1" applyProtection="1" pivotButton="0" quotePrefix="0" xfId="0">
      <alignment horizontal="right"/>
      <protection locked="0" hidden="0"/>
    </xf>
    <xf numFmtId="1" fontId="3" fillId="4" borderId="416" applyAlignment="1" applyProtection="1" pivotButton="0" quotePrefix="0" xfId="0">
      <alignment horizontal="right"/>
      <protection locked="0" hidden="0"/>
    </xf>
    <xf numFmtId="1" fontId="3" fillId="0" borderId="788" applyAlignment="1" pivotButton="0" quotePrefix="0" xfId="0">
      <alignment horizontal="right" vertical="center" wrapText="1"/>
    </xf>
    <xf numFmtId="1" fontId="3" fillId="0" borderId="875" applyAlignment="1" pivotButton="0" quotePrefix="0" xfId="0">
      <alignment horizontal="center" vertical="center" wrapText="1"/>
    </xf>
    <xf numFmtId="1" fontId="3" fillId="0" borderId="866" applyAlignment="1" pivotButton="0" quotePrefix="0" xfId="0">
      <alignment horizontal="center" vertical="center" wrapText="1"/>
    </xf>
    <xf numFmtId="1" fontId="3" fillId="0" borderId="886" applyAlignment="1" pivotButton="0" quotePrefix="0" xfId="0">
      <alignment horizontal="center" vertical="center" wrapText="1"/>
    </xf>
    <xf numFmtId="1" fontId="3" fillId="0" borderId="874" applyAlignment="1" pivotButton="0" quotePrefix="0" xfId="0">
      <alignment horizontal="center" vertical="center"/>
    </xf>
    <xf numFmtId="1" fontId="3" fillId="0" borderId="878" applyAlignment="1" pivotButton="0" quotePrefix="0" xfId="0">
      <alignment horizontal="center" vertical="center"/>
    </xf>
    <xf numFmtId="1" fontId="3" fillId="0" borderId="877" applyAlignment="1" pivotButton="0" quotePrefix="0" xfId="0">
      <alignment horizontal="center" vertical="center"/>
    </xf>
    <xf numFmtId="1" fontId="3" fillId="0" borderId="878" applyAlignment="1" pivotButton="0" quotePrefix="0" xfId="0">
      <alignment horizontal="center" vertical="center" wrapText="1"/>
    </xf>
    <xf numFmtId="1" fontId="3" fillId="0" borderId="812" pivotButton="0" quotePrefix="0" xfId="0"/>
    <xf numFmtId="1" fontId="3" fillId="4" borderId="580" applyProtection="1" pivotButton="0" quotePrefix="0" xfId="0">
      <protection locked="0" hidden="0"/>
    </xf>
    <xf numFmtId="1" fontId="3" fillId="0" borderId="391" pivotButton="0" quotePrefix="0" xfId="0"/>
    <xf numFmtId="1" fontId="6" fillId="3" borderId="866" applyAlignment="1" pivotButton="0" quotePrefix="0" xfId="0">
      <alignment vertical="top"/>
    </xf>
    <xf numFmtId="1" fontId="3" fillId="0" borderId="870" applyAlignment="1" pivotButton="0" quotePrefix="0" xfId="0">
      <alignment horizontal="center" vertical="center" wrapText="1"/>
    </xf>
    <xf numFmtId="1" fontId="3" fillId="0" borderId="850" applyAlignment="1" pivotButton="0" quotePrefix="0" xfId="0">
      <alignment horizontal="center" vertical="center"/>
    </xf>
    <xf numFmtId="1" fontId="3" fillId="0" borderId="890" applyAlignment="1" pivotButton="0" quotePrefix="0" xfId="0">
      <alignment horizontal="center" vertical="center" wrapText="1"/>
    </xf>
    <xf numFmtId="1" fontId="3" fillId="0" borderId="737" pivotButton="0" quotePrefix="0" xfId="0"/>
    <xf numFmtId="1" fontId="3" fillId="3" borderId="394" pivotButton="0" quotePrefix="0" xfId="0"/>
    <xf numFmtId="1" fontId="3" fillId="3" borderId="401" applyAlignment="1" pivotButton="0" quotePrefix="0" xfId="0">
      <alignment horizontal="left" vertical="center" wrapText="1"/>
    </xf>
    <xf numFmtId="1" fontId="3" fillId="0" borderId="878" pivotButton="0" quotePrefix="0" xfId="0"/>
    <xf numFmtId="1" fontId="3" fillId="0" borderId="877" pivotButton="0" quotePrefix="0" xfId="0"/>
    <xf numFmtId="1" fontId="3" fillId="0" borderId="874" pivotButton="0" quotePrefix="0" xfId="0"/>
    <xf numFmtId="1" fontId="3" fillId="0" borderId="866" pivotButton="0" quotePrefix="0" xfId="0"/>
    <xf numFmtId="1" fontId="3" fillId="0" borderId="891" pivotButton="0" quotePrefix="0" xfId="0"/>
    <xf numFmtId="1" fontId="3" fillId="0" borderId="888" applyAlignment="1" pivotButton="0" quotePrefix="0" xfId="0">
      <alignment horizontal="center" vertical="center" wrapText="1"/>
    </xf>
    <xf numFmtId="1" fontId="3" fillId="0" borderId="879" applyAlignment="1" pivotButton="0" quotePrefix="0" xfId="0">
      <alignment horizontal="center" vertical="center"/>
    </xf>
    <xf numFmtId="1" fontId="3" fillId="0" borderId="726" applyAlignment="1" pivotButton="0" quotePrefix="0" xfId="0">
      <alignment horizontal="right" vertical="center" wrapText="1"/>
    </xf>
    <xf numFmtId="1" fontId="3" fillId="4" borderId="731" applyAlignment="1" applyProtection="1" pivotButton="0" quotePrefix="0" xfId="0">
      <alignment horizontal="right" vertical="center" wrapText="1"/>
      <protection locked="0" hidden="0"/>
    </xf>
    <xf numFmtId="1" fontId="3" fillId="4" borderId="737" applyAlignment="1" applyProtection="1" pivotButton="0" quotePrefix="0" xfId="0">
      <alignment horizontal="right" vertical="center" wrapText="1"/>
      <protection locked="0" hidden="0"/>
    </xf>
    <xf numFmtId="1" fontId="3" fillId="4" borderId="734" applyAlignment="1" applyProtection="1" pivotButton="0" quotePrefix="0" xfId="0">
      <alignment horizontal="right" vertical="center" wrapText="1"/>
      <protection locked="0" hidden="0"/>
    </xf>
    <xf numFmtId="1" fontId="3" fillId="4" borderId="749" applyAlignment="1" applyProtection="1" pivotButton="0" quotePrefix="0" xfId="0">
      <alignment horizontal="right" vertical="center" wrapText="1"/>
      <protection locked="0" hidden="0"/>
    </xf>
    <xf numFmtId="1" fontId="3" fillId="4" borderId="735" applyAlignment="1" applyProtection="1" pivotButton="0" quotePrefix="0" xfId="0">
      <alignment horizontal="right" vertical="center" wrapText="1"/>
      <protection locked="0" hidden="0"/>
    </xf>
    <xf numFmtId="1" fontId="3" fillId="4" borderId="374" applyAlignment="1" applyProtection="1" pivotButton="0" quotePrefix="0" xfId="0">
      <alignment horizontal="right" vertical="center" wrapText="1"/>
      <protection locked="0" hidden="0"/>
    </xf>
    <xf numFmtId="1" fontId="3" fillId="4" borderId="738" applyAlignment="1" applyProtection="1" pivotButton="0" quotePrefix="0" xfId="0">
      <alignment horizontal="right" vertical="center" wrapText="1"/>
      <protection locked="0" hidden="0"/>
    </xf>
    <xf numFmtId="1" fontId="3" fillId="4" borderId="812" applyAlignment="1" applyProtection="1" pivotButton="0" quotePrefix="0" xfId="0">
      <alignment horizontal="right" vertical="center" wrapText="1"/>
      <protection locked="0" hidden="0"/>
    </xf>
    <xf numFmtId="1" fontId="3" fillId="4" borderId="796" applyAlignment="1" applyProtection="1" pivotButton="0" quotePrefix="0" xfId="0">
      <alignment horizontal="right" vertical="center" wrapText="1"/>
      <protection locked="0" hidden="0"/>
    </xf>
    <xf numFmtId="1" fontId="3" fillId="4" borderId="471" applyAlignment="1" applyProtection="1" pivotButton="0" quotePrefix="0" xfId="0">
      <alignment horizontal="right" vertical="center" wrapText="1"/>
      <protection locked="0" hidden="0"/>
    </xf>
    <xf numFmtId="1" fontId="3" fillId="4" borderId="726" applyAlignment="1" applyProtection="1" pivotButton="0" quotePrefix="0" xfId="0">
      <alignment horizontal="right" vertical="center" wrapText="1"/>
      <protection locked="0" hidden="0"/>
    </xf>
    <xf numFmtId="1" fontId="3" fillId="0" borderId="390" applyAlignment="1" pivotButton="0" quotePrefix="0" xfId="0">
      <alignment horizontal="right" vertical="center" wrapText="1"/>
    </xf>
    <xf numFmtId="1" fontId="3" fillId="4" borderId="553" applyAlignment="1" applyProtection="1" pivotButton="0" quotePrefix="0" xfId="0">
      <alignment horizontal="right" vertical="center" wrapText="1"/>
      <protection locked="0" hidden="0"/>
    </xf>
    <xf numFmtId="1" fontId="3" fillId="28" borderId="394" applyAlignment="1" pivotButton="0" quotePrefix="0" xfId="0">
      <alignment horizontal="right"/>
    </xf>
    <xf numFmtId="1" fontId="3" fillId="28" borderId="391" applyAlignment="1" pivotButton="0" quotePrefix="0" xfId="0">
      <alignment horizontal="right"/>
    </xf>
    <xf numFmtId="1" fontId="3" fillId="28" borderId="356" applyAlignment="1" pivotButton="0" quotePrefix="0" xfId="0">
      <alignment horizontal="right"/>
    </xf>
    <xf numFmtId="1" fontId="3" fillId="4" borderId="552" applyAlignment="1" applyProtection="1" pivotButton="0" quotePrefix="0" xfId="0">
      <alignment horizontal="right" vertical="center" wrapText="1"/>
      <protection locked="0" hidden="0"/>
    </xf>
    <xf numFmtId="1" fontId="3" fillId="4" borderId="358" applyAlignment="1" applyProtection="1" pivotButton="0" quotePrefix="0" xfId="0">
      <alignment horizontal="right" vertical="center" wrapText="1"/>
      <protection locked="0" hidden="0"/>
    </xf>
    <xf numFmtId="1" fontId="3" fillId="28" borderId="358" applyAlignment="1" pivotButton="0" quotePrefix="0" xfId="0">
      <alignment horizontal="right"/>
    </xf>
    <xf numFmtId="1" fontId="3" fillId="4" borderId="551" applyAlignment="1" applyProtection="1" pivotButton="0" quotePrefix="0" xfId="0">
      <alignment horizontal="right" vertical="center" wrapText="1"/>
      <protection locked="0" hidden="0"/>
    </xf>
    <xf numFmtId="1" fontId="3" fillId="4" borderId="580" applyAlignment="1" applyProtection="1" pivotButton="0" quotePrefix="0" xfId="0">
      <alignment horizontal="right" vertical="center" wrapText="1"/>
      <protection locked="0" hidden="0"/>
    </xf>
    <xf numFmtId="1" fontId="3" fillId="4" borderId="382" applyAlignment="1" applyProtection="1" pivotButton="0" quotePrefix="0" xfId="0">
      <alignment horizontal="right" vertical="center" wrapText="1"/>
      <protection locked="0" hidden="0"/>
    </xf>
    <xf numFmtId="1" fontId="3" fillId="4" borderId="356" applyAlignment="1" applyProtection="1" pivotButton="0" quotePrefix="0" xfId="0">
      <alignment horizontal="right" vertical="center" wrapText="1"/>
      <protection locked="0" hidden="0"/>
    </xf>
    <xf numFmtId="1" fontId="3" fillId="4" borderId="581" applyAlignment="1" applyProtection="1" pivotButton="0" quotePrefix="0" xfId="0">
      <alignment horizontal="right" vertical="center" wrapText="1"/>
      <protection locked="0" hidden="0"/>
    </xf>
    <xf numFmtId="1" fontId="3" fillId="4" borderId="361" applyAlignment="1" applyProtection="1" pivotButton="0" quotePrefix="0" xfId="0">
      <alignment horizontal="right" vertical="center" wrapText="1"/>
      <protection locked="0" hidden="0"/>
    </xf>
    <xf numFmtId="1" fontId="3" fillId="0" borderId="470" applyAlignment="1" pivotButton="0" quotePrefix="0" xfId="0">
      <alignment horizontal="right" vertical="center" wrapText="1"/>
    </xf>
    <xf numFmtId="1" fontId="3" fillId="4" borderId="391" applyAlignment="1" applyProtection="1" pivotButton="0" quotePrefix="0" xfId="0">
      <alignment horizontal="right" vertical="center" wrapText="1"/>
      <protection locked="0" hidden="0"/>
    </xf>
    <xf numFmtId="1" fontId="3" fillId="4" borderId="788" applyAlignment="1" applyProtection="1" pivotButton="0" quotePrefix="0" xfId="0">
      <alignment horizontal="right" vertical="center" wrapText="1"/>
      <protection locked="0" hidden="0"/>
    </xf>
    <xf numFmtId="1" fontId="3" fillId="4" borderId="785" applyAlignment="1" applyProtection="1" pivotButton="0" quotePrefix="0" xfId="0">
      <alignment horizontal="right" vertical="center" wrapText="1"/>
      <protection locked="0" hidden="0"/>
    </xf>
    <xf numFmtId="1" fontId="3" fillId="4" borderId="789" applyAlignment="1" applyProtection="1" pivotButton="0" quotePrefix="0" xfId="0">
      <alignment horizontal="right" vertical="center" wrapText="1"/>
      <protection locked="0" hidden="0"/>
    </xf>
    <xf numFmtId="1" fontId="3" fillId="4" borderId="783" applyAlignment="1" applyProtection="1" pivotButton="0" quotePrefix="0" xfId="0">
      <alignment horizontal="right" vertical="center" wrapText="1"/>
      <protection locked="0" hidden="0"/>
    </xf>
    <xf numFmtId="1" fontId="3" fillId="4" borderId="794" applyAlignment="1" applyProtection="1" pivotButton="0" quotePrefix="0" xfId="0">
      <alignment horizontal="right" vertical="center" wrapText="1"/>
      <protection locked="0" hidden="0"/>
    </xf>
    <xf numFmtId="1" fontId="3" fillId="0" borderId="878" applyAlignment="1" pivotButton="0" quotePrefix="0" xfId="0">
      <alignment horizontal="right" vertical="center" wrapText="1"/>
    </xf>
    <xf numFmtId="1" fontId="3" fillId="0" borderId="879" applyAlignment="1" pivotButton="0" quotePrefix="0" xfId="0">
      <alignment horizontal="right" vertical="center" wrapText="1"/>
    </xf>
    <xf numFmtId="1" fontId="3" fillId="0" borderId="874" applyAlignment="1" pivotButton="0" quotePrefix="0" xfId="0">
      <alignment horizontal="right" vertical="center" wrapText="1"/>
    </xf>
    <xf numFmtId="1" fontId="3" fillId="4" borderId="878" applyAlignment="1" applyProtection="1" pivotButton="0" quotePrefix="0" xfId="0">
      <alignment horizontal="right" vertical="center" wrapText="1"/>
      <protection locked="0" hidden="0"/>
    </xf>
    <xf numFmtId="1" fontId="3" fillId="4" borderId="874" applyAlignment="1" applyProtection="1" pivotButton="0" quotePrefix="0" xfId="0">
      <alignment horizontal="right" vertical="center" wrapText="1"/>
      <protection locked="0" hidden="0"/>
    </xf>
    <xf numFmtId="1" fontId="3" fillId="4" borderId="866" applyAlignment="1" applyProtection="1" pivotButton="0" quotePrefix="0" xfId="0">
      <alignment horizontal="right" vertical="center" wrapText="1"/>
      <protection locked="0" hidden="0"/>
    </xf>
    <xf numFmtId="1" fontId="3" fillId="4" borderId="880" applyAlignment="1" applyProtection="1" pivotButton="0" quotePrefix="0" xfId="0">
      <alignment horizontal="right" vertical="center" wrapText="1"/>
      <protection locked="0" hidden="0"/>
    </xf>
    <xf numFmtId="1" fontId="3" fillId="4" borderId="875" applyAlignment="1" applyProtection="1" pivotButton="0" quotePrefix="0" xfId="0">
      <alignment horizontal="right" vertical="center" wrapText="1"/>
      <protection locked="0" hidden="0"/>
    </xf>
    <xf numFmtId="1" fontId="3" fillId="4" borderId="877" applyAlignment="1" applyProtection="1" pivotButton="0" quotePrefix="0" xfId="0">
      <alignment horizontal="right" vertical="center" wrapText="1"/>
      <protection locked="0" hidden="0"/>
    </xf>
    <xf numFmtId="1" fontId="3" fillId="4" borderId="893" applyAlignment="1" applyProtection="1" pivotButton="0" quotePrefix="0" xfId="0">
      <alignment horizontal="right" vertical="center" wrapText="1"/>
      <protection locked="0" hidden="0"/>
    </xf>
    <xf numFmtId="1" fontId="3" fillId="4" borderId="894" applyAlignment="1" applyProtection="1" pivotButton="0" quotePrefix="0" xfId="0">
      <alignment horizontal="right" vertical="center" wrapText="1"/>
      <protection locked="0" hidden="0"/>
    </xf>
    <xf numFmtId="1" fontId="3" fillId="4" borderId="879" applyAlignment="1" applyProtection="1" pivotButton="0" quotePrefix="0" xfId="0">
      <alignment horizontal="right" vertical="center" wrapText="1"/>
      <protection locked="0" hidden="0"/>
    </xf>
    <xf numFmtId="1" fontId="3" fillId="4" borderId="895" applyAlignment="1" applyProtection="1" pivotButton="0" quotePrefix="0" xfId="0">
      <alignment horizontal="right" vertical="center" wrapText="1"/>
      <protection locked="0" hidden="0"/>
    </xf>
    <xf numFmtId="1" fontId="3" fillId="4" borderId="891" applyAlignment="1" applyProtection="1" pivotButton="0" quotePrefix="0" xfId="0">
      <alignment horizontal="right" vertical="center" wrapText="1"/>
      <protection locked="0" hidden="0"/>
    </xf>
    <xf numFmtId="1" fontId="3" fillId="4" borderId="896" applyAlignment="1" applyProtection="1" pivotButton="0" quotePrefix="0" xfId="0">
      <alignment horizontal="right" vertical="center" wrapText="1"/>
      <protection locked="0" hidden="0"/>
    </xf>
    <xf numFmtId="1" fontId="3" fillId="3" borderId="554" applyAlignment="1" pivotButton="0" quotePrefix="0" xfId="0">
      <alignment horizontal="center" vertical="center" wrapText="1"/>
    </xf>
    <xf numFmtId="1" fontId="3" fillId="3" borderId="553" applyAlignment="1" pivotButton="0" quotePrefix="0" xfId="0">
      <alignment horizontal="right" vertical="center" wrapText="1"/>
    </xf>
    <xf numFmtId="1" fontId="3" fillId="4" borderId="550" applyAlignment="1" applyProtection="1" pivotButton="0" quotePrefix="0" xfId="0">
      <alignment horizontal="right" vertical="center" wrapText="1"/>
      <protection locked="0" hidden="0"/>
    </xf>
    <xf numFmtId="1" fontId="3" fillId="4" borderId="470" applyAlignment="1" applyProtection="1" pivotButton="0" quotePrefix="0" xfId="0">
      <alignment horizontal="right" vertical="center" wrapText="1"/>
      <protection locked="0" hidden="0"/>
    </xf>
    <xf numFmtId="1" fontId="3" fillId="4" borderId="393" applyAlignment="1" applyProtection="1" pivotButton="0" quotePrefix="0" xfId="0">
      <alignment horizontal="right" vertical="center" wrapText="1"/>
      <protection locked="0" hidden="0"/>
    </xf>
    <xf numFmtId="1" fontId="3" fillId="0" borderId="408" applyAlignment="1" pivotButton="0" quotePrefix="0" xfId="0">
      <alignment horizontal="right" vertical="center" wrapText="1"/>
    </xf>
    <xf numFmtId="1" fontId="3" fillId="4" borderId="409" applyAlignment="1" applyProtection="1" pivotButton="0" quotePrefix="0" xfId="0">
      <alignment horizontal="right" vertical="center" wrapText="1"/>
      <protection locked="0" hidden="0"/>
    </xf>
    <xf numFmtId="1" fontId="3" fillId="4" borderId="412" applyAlignment="1" applyProtection="1" pivotButton="0" quotePrefix="0" xfId="0">
      <alignment horizontal="right" vertical="center" wrapText="1"/>
      <protection locked="0" hidden="0"/>
    </xf>
    <xf numFmtId="1" fontId="3" fillId="4" borderId="410" applyAlignment="1" applyProtection="1" pivotButton="0" quotePrefix="0" xfId="0">
      <alignment horizontal="right" vertical="center" wrapText="1"/>
      <protection locked="0" hidden="0"/>
    </xf>
    <xf numFmtId="1" fontId="3" fillId="4" borderId="413" applyAlignment="1" applyProtection="1" pivotButton="0" quotePrefix="0" xfId="0">
      <alignment horizontal="right" vertical="center" wrapText="1"/>
      <protection locked="0" hidden="0"/>
    </xf>
    <xf numFmtId="1" fontId="3" fillId="4" borderId="404" applyAlignment="1" applyProtection="1" pivotButton="0" quotePrefix="0" xfId="0">
      <alignment horizontal="right" vertical="center" wrapText="1"/>
      <protection locked="0" hidden="0"/>
    </xf>
    <xf numFmtId="1" fontId="3" fillId="4" borderId="411" applyAlignment="1" applyProtection="1" pivotButton="0" quotePrefix="0" xfId="0">
      <alignment horizontal="right" vertical="center" wrapText="1"/>
      <protection locked="0" hidden="0"/>
    </xf>
    <xf numFmtId="1" fontId="3" fillId="3" borderId="386" applyAlignment="1" pivotButton="0" quotePrefix="0" xfId="0">
      <alignment horizontal="right" vertical="center" wrapText="1"/>
    </xf>
    <xf numFmtId="1" fontId="3" fillId="11" borderId="399" applyAlignment="1" pivotButton="0" quotePrefix="0" xfId="0">
      <alignment horizontal="right" vertical="center" wrapText="1"/>
    </xf>
    <xf numFmtId="1" fontId="3" fillId="11" borderId="378" applyAlignment="1" pivotButton="0" quotePrefix="0" xfId="0">
      <alignment horizontal="right" vertical="center" wrapText="1"/>
    </xf>
    <xf numFmtId="1" fontId="3" fillId="4" borderId="383" applyAlignment="1" applyProtection="1" pivotButton="0" quotePrefix="0" xfId="0">
      <alignment horizontal="right" vertical="center" wrapText="1"/>
      <protection locked="0" hidden="0"/>
    </xf>
    <xf numFmtId="1" fontId="3" fillId="4" borderId="407" applyAlignment="1" applyProtection="1" pivotButton="0" quotePrefix="0" xfId="0">
      <alignment horizontal="right" vertical="center" wrapText="1"/>
      <protection locked="0" hidden="0"/>
    </xf>
    <xf numFmtId="1" fontId="3" fillId="4" borderId="388" applyAlignment="1" applyProtection="1" pivotButton="0" quotePrefix="0" xfId="0">
      <alignment horizontal="right" vertical="center" wrapText="1"/>
      <protection locked="0" hidden="0"/>
    </xf>
    <xf numFmtId="1" fontId="3" fillId="4" borderId="401" applyAlignment="1" applyProtection="1" pivotButton="0" quotePrefix="0" xfId="0">
      <alignment horizontal="right" vertical="center" wrapText="1"/>
      <protection locked="0" hidden="0"/>
    </xf>
    <xf numFmtId="1" fontId="3" fillId="4" borderId="402" applyAlignment="1" applyProtection="1" pivotButton="0" quotePrefix="0" xfId="0">
      <alignment horizontal="right" vertical="center" wrapText="1"/>
      <protection locked="0" hidden="0"/>
    </xf>
    <xf numFmtId="1" fontId="3" fillId="4" borderId="387" applyAlignment="1" applyProtection="1" pivotButton="0" quotePrefix="0" xfId="0">
      <alignment horizontal="right" vertical="center" wrapText="1"/>
      <protection locked="0" hidden="0"/>
    </xf>
    <xf numFmtId="1" fontId="3" fillId="4" borderId="400" applyAlignment="1" applyProtection="1" pivotButton="0" quotePrefix="0" xfId="0">
      <alignment horizontal="right" vertical="center" wrapText="1"/>
      <protection locked="0" hidden="0"/>
    </xf>
    <xf numFmtId="1" fontId="3" fillId="4" borderId="422" applyAlignment="1" applyProtection="1" pivotButton="0" quotePrefix="0" xfId="0">
      <alignment horizontal="right" vertical="center" wrapText="1"/>
      <protection locked="0" hidden="0"/>
    </xf>
    <xf numFmtId="1" fontId="3" fillId="4" borderId="423" applyAlignment="1" applyProtection="1" pivotButton="0" quotePrefix="0" xfId="0">
      <alignment horizontal="right" vertical="center" wrapText="1"/>
      <protection locked="0" hidden="0"/>
    </xf>
    <xf numFmtId="1" fontId="3" fillId="0" borderId="877" applyAlignment="1" pivotButton="0" quotePrefix="0" xfId="0">
      <alignment horizontal="right" vertical="center" wrapText="1"/>
    </xf>
    <xf numFmtId="1" fontId="3" fillId="0" borderId="893" applyAlignment="1" pivotButton="0" quotePrefix="0" xfId="0">
      <alignment horizontal="right" vertical="center" wrapText="1"/>
    </xf>
    <xf numFmtId="1" fontId="3" fillId="0" borderId="894" applyAlignment="1" pivotButton="0" quotePrefix="0" xfId="0">
      <alignment horizontal="right" vertical="center" wrapText="1"/>
    </xf>
    <xf numFmtId="1" fontId="3" fillId="0" borderId="895" applyAlignment="1" pivotButton="0" quotePrefix="0" xfId="0">
      <alignment horizontal="right" vertical="center" wrapText="1"/>
    </xf>
    <xf numFmtId="1" fontId="3" fillId="0" borderId="891" applyAlignment="1" pivotButton="0" quotePrefix="0" xfId="0">
      <alignment horizontal="right" vertical="center" wrapText="1"/>
    </xf>
    <xf numFmtId="1" fontId="3" fillId="0" borderId="896" applyAlignment="1" pivotButton="0" quotePrefix="0" xfId="0">
      <alignment horizontal="right" vertical="center" wrapText="1"/>
    </xf>
    <xf numFmtId="1" fontId="3" fillId="0" borderId="554" applyAlignment="1" pivotButton="0" quotePrefix="0" xfId="0">
      <alignment horizontal="center" vertical="center" wrapText="1"/>
    </xf>
    <xf numFmtId="1" fontId="3" fillId="0" borderId="737" applyAlignment="1" pivotButton="0" quotePrefix="0" xfId="0">
      <alignment horizontal="right" vertical="center" wrapText="1"/>
    </xf>
    <xf numFmtId="1" fontId="3" fillId="3" borderId="358" applyAlignment="1" pivotButton="0" quotePrefix="0" xfId="0">
      <alignment horizontal="right" vertical="center" wrapText="1"/>
    </xf>
    <xf numFmtId="1" fontId="3" fillId="0" borderId="354" applyAlignment="1" pivotButton="0" quotePrefix="0" xfId="0">
      <alignment horizontal="right" vertical="center" wrapText="1"/>
    </xf>
    <xf numFmtId="1" fontId="3" fillId="11" borderId="394" applyAlignment="1" pivotButton="0" quotePrefix="0" xfId="0">
      <alignment horizontal="right" vertical="center" wrapText="1"/>
    </xf>
    <xf numFmtId="1" fontId="3" fillId="11" borderId="354" applyAlignment="1" pivotButton="0" quotePrefix="0" xfId="0">
      <alignment horizontal="right" vertical="center" wrapText="1"/>
    </xf>
    <xf numFmtId="1" fontId="3" fillId="0" borderId="383" applyAlignment="1" pivotButton="0" quotePrefix="0" xfId="0">
      <alignment horizontal="right" vertical="center" wrapText="1"/>
    </xf>
    <xf numFmtId="1" fontId="3" fillId="11" borderId="383" applyAlignment="1" pivotButton="0" quotePrefix="0" xfId="0">
      <alignment horizontal="right" vertical="center" wrapText="1"/>
    </xf>
    <xf numFmtId="1" fontId="3" fillId="0" borderId="880" applyAlignment="1" pivotButton="0" quotePrefix="0" xfId="0">
      <alignment horizontal="right" vertical="center" wrapText="1"/>
    </xf>
    <xf numFmtId="1" fontId="3" fillId="0" borderId="405" applyAlignment="1" pivotButton="0" quotePrefix="0" xfId="0">
      <alignment horizontal="right" vertical="center" wrapText="1"/>
    </xf>
    <xf numFmtId="1" fontId="3" fillId="0" borderId="389" applyAlignment="1" pivotButton="0" quotePrefix="0" xfId="0">
      <alignment horizontal="right" vertical="center" wrapText="1"/>
    </xf>
    <xf numFmtId="0" fontId="0" fillId="19" borderId="731" applyAlignment="1" pivotButton="0" quotePrefix="0" xfId="0">
      <alignment horizontal="right"/>
    </xf>
    <xf numFmtId="0" fontId="0" fillId="19" borderId="737" applyAlignment="1" pivotButton="0" quotePrefix="0" xfId="0">
      <alignment horizontal="right"/>
    </xf>
    <xf numFmtId="0" fontId="0" fillId="19" borderId="734" applyAlignment="1" pivotButton="0" quotePrefix="0" xfId="0">
      <alignment horizontal="right"/>
    </xf>
    <xf numFmtId="1" fontId="3" fillId="6" borderId="408" applyAlignment="1" pivotButton="0" quotePrefix="0" xfId="0">
      <alignment horizontal="right" vertical="center" wrapText="1"/>
    </xf>
    <xf numFmtId="1" fontId="3" fillId="6" borderId="409" applyAlignment="1" pivotButton="0" quotePrefix="0" xfId="0">
      <alignment horizontal="right" vertical="center" wrapText="1"/>
    </xf>
    <xf numFmtId="1" fontId="3" fillId="4" borderId="890" applyAlignment="1" applyProtection="1" pivotButton="0" quotePrefix="0" xfId="0">
      <alignment horizontal="right" vertical="center" wrapText="1"/>
      <protection locked="0" hidden="0"/>
    </xf>
    <xf numFmtId="1" fontId="3" fillId="4" borderId="897" applyAlignment="1" applyProtection="1" pivotButton="0" quotePrefix="0" xfId="0">
      <alignment horizontal="right" vertical="center" wrapText="1"/>
      <protection locked="0" hidden="0"/>
    </xf>
    <xf numFmtId="1" fontId="3" fillId="4" borderId="505" applyAlignment="1" applyProtection="1" pivotButton="0" quotePrefix="0" xfId="0">
      <alignment horizontal="right" vertical="center" wrapText="1"/>
      <protection locked="0" hidden="0"/>
    </xf>
    <xf numFmtId="1" fontId="3" fillId="4" borderId="889" applyAlignment="1" applyProtection="1" pivotButton="0" quotePrefix="0" xfId="0">
      <alignment horizontal="right" vertical="center" wrapText="1"/>
      <protection locked="0" hidden="0"/>
    </xf>
    <xf numFmtId="1" fontId="3" fillId="4" borderId="886" applyAlignment="1" applyProtection="1" pivotButton="0" quotePrefix="0" xfId="0">
      <alignment horizontal="right" vertical="center" wrapText="1"/>
      <protection locked="0" hidden="0"/>
    </xf>
    <xf numFmtId="1" fontId="3" fillId="4" borderId="695" applyAlignment="1" applyProtection="1" pivotButton="0" quotePrefix="0" xfId="0">
      <alignment horizontal="right" vertical="center" wrapText="1"/>
      <protection locked="0" hidden="0"/>
    </xf>
    <xf numFmtId="0" fontId="0" fillId="19" borderId="394" applyAlignment="1" pivotButton="0" quotePrefix="0" xfId="0">
      <alignment horizontal="right"/>
    </xf>
    <xf numFmtId="0" fontId="0" fillId="19" borderId="354" applyAlignment="1" pivotButton="0" quotePrefix="0" xfId="0">
      <alignment horizontal="right"/>
    </xf>
    <xf numFmtId="1" fontId="3" fillId="5" borderId="870" applyAlignment="1" pivotButton="0" quotePrefix="0" xfId="0">
      <alignment horizontal="center" vertical="center" wrapText="1"/>
    </xf>
    <xf numFmtId="1" fontId="3" fillId="5" borderId="788" applyAlignment="1" pivotButton="0" quotePrefix="0" xfId="0">
      <alignment horizontal="center" vertical="center" wrapText="1"/>
    </xf>
    <xf numFmtId="1" fontId="3" fillId="0" borderId="898" applyAlignment="1" pivotButton="0" quotePrefix="0" xfId="0">
      <alignment horizontal="right" vertical="center" wrapText="1"/>
    </xf>
    <xf numFmtId="1" fontId="3" fillId="4" borderId="890" applyProtection="1" pivotButton="0" quotePrefix="0" xfId="0">
      <protection locked="0" hidden="0"/>
    </xf>
    <xf numFmtId="1" fontId="3" fillId="4" borderId="886" applyProtection="1" pivotButton="0" quotePrefix="0" xfId="0">
      <protection locked="0" hidden="0"/>
    </xf>
    <xf numFmtId="1" fontId="3" fillId="4" borderId="897" applyProtection="1" pivotButton="0" quotePrefix="0" xfId="0">
      <protection locked="0" hidden="0"/>
    </xf>
    <xf numFmtId="1" fontId="3" fillId="4" borderId="899" applyProtection="1" pivotButton="0" quotePrefix="0" xfId="0">
      <protection locked="0" hidden="0"/>
    </xf>
    <xf numFmtId="1" fontId="3" fillId="0" borderId="880" applyAlignment="1" pivotButton="0" quotePrefix="0" xfId="0">
      <alignment horizontal="center" vertical="center"/>
    </xf>
    <xf numFmtId="1" fontId="3" fillId="6" borderId="785" pivotButton="0" quotePrefix="0" xfId="0"/>
    <xf numFmtId="1" fontId="3" fillId="4" borderId="794" applyProtection="1" pivotButton="0" quotePrefix="0" xfId="0">
      <protection locked="0" hidden="0"/>
    </xf>
    <xf numFmtId="1" fontId="3" fillId="6" borderId="355" pivotButton="0" quotePrefix="0" xfId="0"/>
    <xf numFmtId="1" fontId="3" fillId="7" borderId="355" pivotButton="0" quotePrefix="0" xfId="0"/>
    <xf numFmtId="1" fontId="3" fillId="28" borderId="354" pivotButton="0" quotePrefix="0" xfId="0"/>
    <xf numFmtId="1" fontId="3" fillId="8" borderId="354" applyProtection="1" pivotButton="0" quotePrefix="0" xfId="0">
      <protection locked="0" hidden="0"/>
    </xf>
    <xf numFmtId="1" fontId="3" fillId="8" borderId="358" applyProtection="1" pivotButton="0" quotePrefix="0" xfId="0">
      <protection locked="0" hidden="0"/>
    </xf>
    <xf numFmtId="1" fontId="3" fillId="8" borderId="355" applyProtection="1" pivotButton="0" quotePrefix="0" xfId="0">
      <protection locked="0" hidden="0"/>
    </xf>
    <xf numFmtId="1" fontId="3" fillId="8" borderId="408" applyProtection="1" pivotButton="0" quotePrefix="0" xfId="0">
      <protection locked="0" hidden="0"/>
    </xf>
    <xf numFmtId="1" fontId="3" fillId="8" borderId="505" applyProtection="1" pivotButton="0" quotePrefix="0" xfId="0">
      <protection locked="0" hidden="0"/>
    </xf>
    <xf numFmtId="1" fontId="3" fillId="0" borderId="878" applyAlignment="1" pivotButton="0" quotePrefix="0" xfId="0">
      <alignment horizontal="right" wrapText="1"/>
    </xf>
    <xf numFmtId="1" fontId="3" fillId="0" borderId="880" pivotButton="0" quotePrefix="0" xfId="0"/>
    <xf numFmtId="1" fontId="3" fillId="0" borderId="874" applyAlignment="1" pivotButton="0" quotePrefix="0" xfId="0">
      <alignment horizontal="right" wrapText="1"/>
    </xf>
    <xf numFmtId="1" fontId="3" fillId="0" borderId="866" applyAlignment="1" pivotButton="0" quotePrefix="0" xfId="0">
      <alignment horizontal="right" wrapText="1"/>
    </xf>
    <xf numFmtId="1" fontId="3" fillId="0" borderId="874" applyAlignment="1" pivotButton="0" quotePrefix="0" xfId="0">
      <alignment horizontal="right"/>
    </xf>
    <xf numFmtId="1" fontId="3" fillId="0" borderId="877" applyAlignment="1" pivotButton="0" quotePrefix="0" xfId="0">
      <alignment horizontal="right"/>
    </xf>
    <xf numFmtId="1" fontId="3" fillId="0" borderId="894" applyAlignment="1" pivotButton="0" quotePrefix="0" xfId="0">
      <alignment horizontal="right"/>
    </xf>
    <xf numFmtId="1" fontId="3" fillId="0" borderId="895" applyAlignment="1" pivotButton="0" quotePrefix="0" xfId="0">
      <alignment horizontal="right"/>
    </xf>
    <xf numFmtId="1" fontId="3" fillId="0" borderId="891" applyAlignment="1" pivotButton="0" quotePrefix="0" xfId="0">
      <alignment horizontal="right"/>
    </xf>
    <xf numFmtId="1" fontId="3" fillId="0" borderId="896" applyAlignment="1" pivotButton="0" quotePrefix="0" xfId="0">
      <alignment horizontal="right"/>
    </xf>
    <xf numFmtId="1" fontId="3" fillId="0" borderId="898" applyAlignment="1" pivotButton="0" quotePrefix="0" xfId="0">
      <alignment horizontal="center" vertical="center" wrapText="1"/>
    </xf>
    <xf numFmtId="1" fontId="3" fillId="0" borderId="897" applyAlignment="1" pivotButton="0" quotePrefix="0" xfId="0">
      <alignment horizontal="center" vertical="center"/>
    </xf>
    <xf numFmtId="1" fontId="3" fillId="0" borderId="849" applyAlignment="1" pivotButton="0" quotePrefix="0" xfId="0">
      <alignment horizontal="center" vertical="center"/>
    </xf>
    <xf numFmtId="1" fontId="3" fillId="5" borderId="403" applyProtection="1" pivotButton="0" quotePrefix="0" xfId="0">
      <protection locked="0" hidden="0"/>
    </xf>
    <xf numFmtId="1" fontId="3" fillId="5" borderId="898" pivotButton="0" quotePrefix="0" xfId="0"/>
    <xf numFmtId="1" fontId="3" fillId="8" borderId="731" applyAlignment="1" applyProtection="1" pivotButton="0" quotePrefix="0" xfId="0">
      <alignment horizontal="right" wrapText="1"/>
      <protection locked="0" hidden="0"/>
    </xf>
    <xf numFmtId="1" fontId="3" fillId="8" borderId="374" applyProtection="1" pivotButton="0" quotePrefix="0" xfId="0">
      <protection locked="0" hidden="0"/>
    </xf>
    <xf numFmtId="1" fontId="3" fillId="8" borderId="897" applyProtection="1" pivotButton="0" quotePrefix="0" xfId="0">
      <protection locked="0" hidden="0"/>
    </xf>
    <xf numFmtId="1" fontId="3" fillId="8" borderId="731" applyProtection="1" pivotButton="0" quotePrefix="0" xfId="0">
      <protection locked="0" hidden="0"/>
    </xf>
    <xf numFmtId="1" fontId="3" fillId="8" borderId="546" applyProtection="1" pivotButton="0" quotePrefix="0" xfId="0">
      <protection locked="0" hidden="0"/>
    </xf>
    <xf numFmtId="1" fontId="3" fillId="8" borderId="394" applyAlignment="1" applyProtection="1" pivotButton="0" quotePrefix="0" xfId="0">
      <alignment horizontal="right" wrapText="1"/>
      <protection locked="0" hidden="0"/>
    </xf>
    <xf numFmtId="1" fontId="3" fillId="8" borderId="356" applyProtection="1" pivotButton="0" quotePrefix="0" xfId="0">
      <protection locked="0" hidden="0"/>
    </xf>
    <xf numFmtId="1" fontId="3" fillId="8" borderId="409" applyProtection="1" pivotButton="0" quotePrefix="0" xfId="0">
      <protection locked="0" hidden="0"/>
    </xf>
    <xf numFmtId="1" fontId="3" fillId="8" borderId="408" applyAlignment="1" applyProtection="1" pivotButton="0" quotePrefix="0" xfId="0">
      <alignment horizontal="right" wrapText="1"/>
      <protection locked="0" hidden="0"/>
    </xf>
    <xf numFmtId="1" fontId="3" fillId="5" borderId="403" applyAlignment="1" applyProtection="1" pivotButton="0" quotePrefix="0" xfId="0">
      <alignment vertical="top" wrapText="1"/>
      <protection locked="0" hidden="0"/>
    </xf>
    <xf numFmtId="1" fontId="3" fillId="8" borderId="399" applyAlignment="1" applyProtection="1" pivotButton="0" quotePrefix="0" xfId="0">
      <alignment horizontal="right" wrapText="1"/>
      <protection locked="0" hidden="0"/>
    </xf>
    <xf numFmtId="1" fontId="3" fillId="8" borderId="386" applyProtection="1" pivotButton="0" quotePrefix="0" xfId="0">
      <protection locked="0" hidden="0"/>
    </xf>
    <xf numFmtId="1" fontId="3" fillId="8" borderId="402" applyProtection="1" pivotButton="0" quotePrefix="0" xfId="0">
      <protection locked="0" hidden="0"/>
    </xf>
    <xf numFmtId="1" fontId="3" fillId="8" borderId="383" applyProtection="1" pivotButton="0" quotePrefix="0" xfId="0">
      <protection locked="0" hidden="0"/>
    </xf>
    <xf numFmtId="1" fontId="3" fillId="8" borderId="413" applyProtection="1" pivotButton="0" quotePrefix="0" xfId="0">
      <protection locked="0" hidden="0"/>
    </xf>
    <xf numFmtId="1" fontId="3" fillId="0" borderId="870" applyAlignment="1" pivotButton="0" quotePrefix="0" xfId="0">
      <alignment horizontal="right" wrapText="1"/>
    </xf>
    <xf numFmtId="1" fontId="3" fillId="0" borderId="783" applyAlignment="1" pivotButton="0" quotePrefix="0" xfId="0">
      <alignment vertical="center" wrapText="1"/>
    </xf>
    <xf numFmtId="1" fontId="3" fillId="0" borderId="877" applyAlignment="1" pivotButton="0" quotePrefix="0" xfId="0">
      <alignment horizontal="right" wrapText="1"/>
    </xf>
    <xf numFmtId="1" fontId="3" fillId="3" borderId="879" applyAlignment="1" pivotButton="0" quotePrefix="0" xfId="0">
      <alignment horizontal="right"/>
    </xf>
    <xf numFmtId="1" fontId="3" fillId="3" borderId="895" applyAlignment="1" pivotButton="0" quotePrefix="0" xfId="0">
      <alignment horizontal="right"/>
    </xf>
    <xf numFmtId="1" fontId="3" fillId="3" borderId="891" applyAlignment="1" pivotButton="0" quotePrefix="0" xfId="0">
      <alignment horizontal="right"/>
    </xf>
    <xf numFmtId="1" fontId="3" fillId="3" borderId="896" applyAlignment="1" pivotButton="0" quotePrefix="0" xfId="0">
      <alignment horizontal="right"/>
    </xf>
    <xf numFmtId="1" fontId="3" fillId="3" borderId="874" applyAlignment="1" pivotButton="0" quotePrefix="0" xfId="0">
      <alignment horizontal="right"/>
    </xf>
    <xf numFmtId="1" fontId="3" fillId="0" borderId="900" applyAlignment="1" pivotButton="0" quotePrefix="0" xfId="0">
      <alignment horizontal="center" vertical="center" wrapText="1"/>
    </xf>
    <xf numFmtId="1" fontId="3" fillId="0" borderId="880" applyAlignment="1" pivotButton="0" quotePrefix="0" xfId="0">
      <alignment horizontal="center" vertical="center" wrapText="1"/>
    </xf>
    <xf numFmtId="1" fontId="3" fillId="6" borderId="736" applyAlignment="1" pivotButton="0" quotePrefix="0" xfId="0">
      <alignment horizontal="right" wrapText="1"/>
    </xf>
    <xf numFmtId="1" fontId="3" fillId="6" borderId="734" applyAlignment="1" pivotButton="0" quotePrefix="0" xfId="0">
      <alignment horizontal="right" wrapText="1"/>
    </xf>
    <xf numFmtId="1" fontId="3" fillId="6" borderId="737" applyAlignment="1" pivotButton="0" quotePrefix="0" xfId="0">
      <alignment horizontal="right" wrapText="1"/>
    </xf>
    <xf numFmtId="1" fontId="3" fillId="6" borderId="734" pivotButton="0" quotePrefix="0" xfId="0"/>
    <xf numFmtId="1" fontId="3" fillId="6" borderId="737" pivotButton="0" quotePrefix="0" xfId="0"/>
    <xf numFmtId="1" fontId="3" fillId="6" borderId="737" applyProtection="1" pivotButton="0" quotePrefix="0" xfId="0">
      <protection locked="0" hidden="0"/>
    </xf>
    <xf numFmtId="1" fontId="3" fillId="6" borderId="390" applyProtection="1" pivotButton="0" quotePrefix="0" xfId="0">
      <protection locked="0" hidden="0"/>
    </xf>
    <xf numFmtId="1" fontId="3" fillId="6" borderId="380" applyAlignment="1" pivotButton="0" quotePrefix="0" xfId="0">
      <alignment horizontal="right" wrapText="1"/>
    </xf>
    <xf numFmtId="1" fontId="3" fillId="6" borderId="382" applyAlignment="1" pivotButton="0" quotePrefix="0" xfId="0">
      <alignment horizontal="right" wrapText="1"/>
    </xf>
    <xf numFmtId="1" fontId="3" fillId="6" borderId="354" applyAlignment="1" pivotButton="0" quotePrefix="0" xfId="0">
      <alignment horizontal="right" wrapText="1"/>
    </xf>
    <xf numFmtId="1" fontId="3" fillId="6" borderId="505" applyProtection="1" pivotButton="0" quotePrefix="0" xfId="0">
      <protection locked="0" hidden="0"/>
    </xf>
    <xf numFmtId="1" fontId="3" fillId="6" borderId="546" applyProtection="1" pivotButton="0" quotePrefix="0" xfId="0">
      <protection locked="0" hidden="0"/>
    </xf>
    <xf numFmtId="1" fontId="3" fillId="3" borderId="403" applyAlignment="1" pivotButton="0" quotePrefix="0" xfId="0">
      <alignment horizontal="right" wrapText="1"/>
    </xf>
    <xf numFmtId="1" fontId="3" fillId="6" borderId="410" applyAlignment="1" pivotButton="0" quotePrefix="0" xfId="0">
      <alignment horizontal="right" wrapText="1"/>
    </xf>
    <xf numFmtId="1" fontId="3" fillId="3" borderId="870" applyAlignment="1" pivotButton="0" quotePrefix="0" xfId="0">
      <alignment horizontal="right" wrapText="1"/>
    </xf>
    <xf numFmtId="1" fontId="3" fillId="6" borderId="877" applyAlignment="1" pivotButton="0" quotePrefix="0" xfId="0">
      <alignment horizontal="right" wrapText="1"/>
    </xf>
    <xf numFmtId="1" fontId="3" fillId="7" borderId="877" pivotButton="0" quotePrefix="0" xfId="0"/>
    <xf numFmtId="1" fontId="3" fillId="7" borderId="880" pivotButton="0" quotePrefix="0" xfId="0"/>
    <xf numFmtId="1" fontId="3" fillId="6" borderId="877" pivotButton="0" quotePrefix="0" xfId="0"/>
    <xf numFmtId="1" fontId="3" fillId="6" borderId="878" pivotButton="0" quotePrefix="0" xfId="0"/>
    <xf numFmtId="1" fontId="3" fillId="0" borderId="554" applyAlignment="1" pivotButton="0" quotePrefix="0" xfId="0">
      <alignment horizontal="left" vertical="center"/>
    </xf>
    <xf numFmtId="1" fontId="3" fillId="3" borderId="554" applyAlignment="1" pivotButton="0" quotePrefix="0" xfId="0">
      <alignment horizontal="right" wrapText="1"/>
    </xf>
    <xf numFmtId="1" fontId="3" fillId="6" borderId="470" applyAlignment="1" pivotButton="0" quotePrefix="0" xfId="0">
      <alignment horizontal="right" wrapText="1"/>
    </xf>
    <xf numFmtId="1" fontId="3" fillId="7" borderId="470" pivotButton="0" quotePrefix="0" xfId="0"/>
    <xf numFmtId="1" fontId="3" fillId="6" borderId="849" applyAlignment="1" pivotButton="0" quotePrefix="0" xfId="0">
      <alignment vertical="center" wrapText="1"/>
    </xf>
    <xf numFmtId="1" fontId="3" fillId="6" borderId="849" applyAlignment="1" pivotButton="0" quotePrefix="0" xfId="0">
      <alignment horizontal="left" vertical="center" wrapText="1"/>
    </xf>
    <xf numFmtId="1" fontId="3" fillId="6" borderId="378" applyAlignment="1" pivotButton="0" quotePrefix="0" xfId="0">
      <alignment horizontal="right" wrapText="1"/>
    </xf>
    <xf numFmtId="1" fontId="3" fillId="6" borderId="546" applyAlignment="1" pivotButton="0" quotePrefix="0" xfId="0">
      <alignment horizontal="right"/>
    </xf>
    <xf numFmtId="1" fontId="3" fillId="6" borderId="505" pivotButton="0" quotePrefix="0" xfId="0"/>
    <xf numFmtId="1" fontId="3" fillId="6" borderId="726" applyAlignment="1" pivotButton="0" quotePrefix="0" xfId="0">
      <alignment horizontal="right" wrapText="1"/>
    </xf>
    <xf numFmtId="1" fontId="3" fillId="6" borderId="736" pivotButton="0" quotePrefix="0" xfId="0"/>
    <xf numFmtId="1" fontId="3" fillId="6" borderId="554" applyAlignment="1" pivotButton="0" quotePrefix="0" xfId="0">
      <alignment horizontal="right" wrapText="1"/>
    </xf>
    <xf numFmtId="1" fontId="3" fillId="6" borderId="554" pivotButton="0" quotePrefix="0" xfId="0"/>
    <xf numFmtId="1" fontId="3" fillId="6" borderId="380" pivotButton="0" quotePrefix="0" xfId="0"/>
    <xf numFmtId="1" fontId="3" fillId="6" borderId="412" pivotButton="0" quotePrefix="0" xfId="0"/>
    <xf numFmtId="1" fontId="3" fillId="6" borderId="403" pivotButton="0" quotePrefix="0" xfId="0"/>
    <xf numFmtId="1" fontId="3" fillId="3" borderId="849" applyAlignment="1" pivotButton="0" quotePrefix="0" xfId="0">
      <alignment horizontal="right" wrapText="1"/>
    </xf>
    <xf numFmtId="1" fontId="3" fillId="3" borderId="789" applyAlignment="1" pivotButton="0" quotePrefix="0" xfId="0">
      <alignment horizontal="right" wrapText="1"/>
    </xf>
    <xf numFmtId="1" fontId="3" fillId="6" borderId="849" pivotButton="0" quotePrefix="0" xfId="0"/>
    <xf numFmtId="1" fontId="3" fillId="6" borderId="847" pivotButton="0" quotePrefix="0" xfId="0"/>
    <xf numFmtId="1" fontId="3" fillId="5" borderId="901" applyAlignment="1" pivotButton="0" quotePrefix="0" xfId="0">
      <alignment horizontal="center" vertical="center"/>
    </xf>
    <xf numFmtId="1" fontId="3" fillId="3" borderId="756" applyAlignment="1" pivotButton="0" quotePrefix="0" xfId="0">
      <alignment horizontal="right" wrapText="1"/>
    </xf>
    <xf numFmtId="1" fontId="3" fillId="3" borderId="831" applyAlignment="1" pivotButton="0" quotePrefix="0" xfId="0">
      <alignment horizontal="right" wrapText="1"/>
    </xf>
    <xf numFmtId="1" fontId="3" fillId="6" borderId="756" applyAlignment="1" pivotButton="0" quotePrefix="0" xfId="0">
      <alignment horizontal="right" wrapText="1"/>
    </xf>
    <xf numFmtId="1" fontId="3" fillId="7" borderId="902" pivotButton="0" quotePrefix="0" xfId="0"/>
    <xf numFmtId="1" fontId="3" fillId="7" borderId="903" pivotButton="0" quotePrefix="0" xfId="0"/>
    <xf numFmtId="1" fontId="3" fillId="7" borderId="831" pivotButton="0" quotePrefix="0" xfId="0"/>
    <xf numFmtId="1" fontId="3" fillId="6" borderId="903" pivotButton="0" quotePrefix="0" xfId="0"/>
    <xf numFmtId="1" fontId="3" fillId="0" borderId="902" pivotButton="0" quotePrefix="0" xfId="0"/>
    <xf numFmtId="1" fontId="3" fillId="6" borderId="756" pivotButton="0" quotePrefix="0" xfId="0"/>
    <xf numFmtId="1" fontId="3" fillId="0" borderId="904" pivotButton="0" quotePrefix="0" xfId="0"/>
    <xf numFmtId="1" fontId="3" fillId="6" borderId="904" pivotButton="0" quotePrefix="0" xfId="0"/>
    <xf numFmtId="1" fontId="3" fillId="6" borderId="905" pivotButton="0" quotePrefix="0" xfId="0"/>
    <xf numFmtId="1" fontId="3" fillId="0" borderId="756" pivotButton="0" quotePrefix="0" xfId="0"/>
    <xf numFmtId="1" fontId="3" fillId="3" borderId="470" applyAlignment="1" pivotButton="0" quotePrefix="0" xfId="0">
      <alignment horizontal="right" wrapText="1"/>
    </xf>
    <xf numFmtId="1" fontId="3" fillId="6" borderId="594" pivotButton="0" quotePrefix="0" xfId="0"/>
    <xf numFmtId="1" fontId="3" fillId="6" borderId="550" applyAlignment="1" pivotButton="0" quotePrefix="0" xfId="0">
      <alignment vertical="center" wrapText="1"/>
    </xf>
    <xf numFmtId="1" fontId="3" fillId="6" borderId="384" applyAlignment="1" pivotButton="0" quotePrefix="0" xfId="0">
      <alignment horizontal="right" wrapText="1"/>
    </xf>
    <xf numFmtId="1" fontId="3" fillId="6" borderId="388" applyAlignment="1" pivotButton="0" quotePrefix="0" xfId="0">
      <alignment horizontal="right" wrapText="1"/>
    </xf>
    <xf numFmtId="1" fontId="3" fillId="6" borderId="785" applyAlignment="1" pivotButton="0" quotePrefix="0" xfId="0">
      <alignment horizontal="right"/>
    </xf>
    <xf numFmtId="1" fontId="3" fillId="6" borderId="788" pivotButton="0" quotePrefix="0" xfId="0"/>
    <xf numFmtId="1" fontId="3" fillId="6" borderId="850" pivotButton="0" quotePrefix="0" xfId="0"/>
    <xf numFmtId="1" fontId="3" fillId="6" borderId="384" pivotButton="0" quotePrefix="0" xfId="0"/>
    <xf numFmtId="1" fontId="3" fillId="5" borderId="736" applyAlignment="1" pivotButton="0" quotePrefix="0" xfId="0">
      <alignment horizontal="center" vertical="center"/>
    </xf>
    <xf numFmtId="1" fontId="3" fillId="0" borderId="849" applyAlignment="1" pivotButton="0" quotePrefix="0" xfId="0">
      <alignment horizontal="right" wrapText="1"/>
    </xf>
    <xf numFmtId="1" fontId="3" fillId="5" borderId="789" pivotButton="0" quotePrefix="0" xfId="0"/>
    <xf numFmtId="1" fontId="3" fillId="5" borderId="785" pivotButton="0" quotePrefix="0" xfId="0"/>
    <xf numFmtId="1" fontId="3" fillId="5" borderId="788" pivotButton="0" quotePrefix="0" xfId="0"/>
    <xf numFmtId="1" fontId="3" fillId="5" borderId="736" applyAlignment="1" pivotButton="0" quotePrefix="0" xfId="0">
      <alignment horizontal="left" vertical="center"/>
    </xf>
    <xf numFmtId="1" fontId="3" fillId="3" borderId="726" applyAlignment="1" pivotButton="0" quotePrefix="0" xfId="0">
      <alignment horizontal="right" wrapText="1"/>
    </xf>
    <xf numFmtId="1" fontId="3" fillId="5" borderId="554" applyAlignment="1" pivotButton="0" quotePrefix="0" xfId="0">
      <alignment horizontal="left" vertical="center" wrapText="1"/>
    </xf>
    <xf numFmtId="1" fontId="3" fillId="3" borderId="384" applyAlignment="1" pivotButton="0" quotePrefix="0" xfId="0">
      <alignment horizontal="right" wrapText="1"/>
    </xf>
    <xf numFmtId="1" fontId="3" fillId="3" borderId="378" applyAlignment="1" pivotButton="0" quotePrefix="0" xfId="0">
      <alignment horizontal="right" wrapText="1"/>
    </xf>
    <xf numFmtId="1" fontId="3" fillId="3" borderId="390" applyAlignment="1" pivotButton="0" quotePrefix="0" xfId="0">
      <alignment horizontal="right" wrapText="1"/>
    </xf>
    <xf numFmtId="1" fontId="3" fillId="3" borderId="736" applyAlignment="1" pivotButton="0" quotePrefix="0" xfId="0">
      <alignment horizontal="right" wrapText="1"/>
    </xf>
    <xf numFmtId="1" fontId="3" fillId="5" borderId="384" applyAlignment="1" pivotButton="0" quotePrefix="0" xfId="0">
      <alignment horizontal="left" vertical="center" wrapText="1"/>
    </xf>
    <xf numFmtId="1" fontId="3" fillId="3" borderId="877" applyAlignment="1" pivotButton="0" quotePrefix="0" xfId="0">
      <alignment horizontal="right" wrapText="1"/>
    </xf>
    <xf numFmtId="1" fontId="3" fillId="3" borderId="874" applyAlignment="1" pivotButton="0" quotePrefix="0" xfId="0">
      <alignment horizontal="right" wrapText="1"/>
    </xf>
    <xf numFmtId="1" fontId="3" fillId="7" borderId="734" pivotButton="0" quotePrefix="0" xfId="0"/>
    <xf numFmtId="1" fontId="3" fillId="3" borderId="734" applyAlignment="1" pivotButton="0" quotePrefix="0" xfId="0">
      <alignment horizontal="right" wrapText="1"/>
    </xf>
    <xf numFmtId="1" fontId="3" fillId="3" borderId="380" applyAlignment="1" pivotButton="0" quotePrefix="0" xfId="0">
      <alignment horizontal="right" wrapText="1"/>
    </xf>
    <xf numFmtId="1" fontId="3" fillId="3" borderId="378" applyAlignment="1" pivotButton="0" quotePrefix="0" xfId="0">
      <alignment horizontal="right"/>
    </xf>
    <xf numFmtId="1" fontId="3" fillId="3" borderId="731" applyAlignment="1" pivotButton="0" quotePrefix="0" xfId="0">
      <alignment horizontal="right" wrapText="1"/>
    </xf>
    <xf numFmtId="1" fontId="3" fillId="0" borderId="850" applyAlignment="1" pivotButton="0" quotePrefix="0" xfId="0">
      <alignment vertical="center" wrapText="1"/>
    </xf>
    <xf numFmtId="1" fontId="3" fillId="3" borderId="788" applyAlignment="1" pivotButton="0" quotePrefix="0" xfId="0">
      <alignment horizontal="right" wrapText="1"/>
    </xf>
    <xf numFmtId="1" fontId="3" fillId="3" borderId="886" applyAlignment="1" pivotButton="0" quotePrefix="0" xfId="0">
      <alignment horizontal="center" vertical="center" wrapText="1"/>
    </xf>
    <xf numFmtId="1" fontId="3" fillId="6" borderId="403" applyAlignment="1" pivotButton="0" quotePrefix="0" xfId="0">
      <alignment horizontal="right" wrapText="1"/>
    </xf>
    <xf numFmtId="1" fontId="3" fillId="6" borderId="410" applyAlignment="1" pivotButton="0" quotePrefix="0" xfId="0">
      <alignment horizontal="right"/>
    </xf>
    <xf numFmtId="1" fontId="3" fillId="6" borderId="406" applyAlignment="1" pivotButton="0" quotePrefix="0" xfId="0">
      <alignment horizontal="right"/>
    </xf>
    <xf numFmtId="1" fontId="3" fillId="6" borderId="388" applyAlignment="1" pivotButton="0" quotePrefix="0" xfId="0">
      <alignment horizontal="right"/>
    </xf>
    <xf numFmtId="1" fontId="6" fillId="0" borderId="907" pivotButton="0" quotePrefix="0" xfId="0"/>
    <xf numFmtId="1" fontId="3" fillId="0" borderId="906" applyAlignment="1" pivotButton="0" quotePrefix="0" xfId="0">
      <alignment horizontal="center" vertical="center" wrapText="1"/>
    </xf>
    <xf numFmtId="1" fontId="3" fillId="0" borderId="736" applyAlignment="1" pivotButton="0" quotePrefix="0" xfId="0">
      <alignment horizontal="right" wrapText="1"/>
    </xf>
    <xf numFmtId="1" fontId="3" fillId="8" borderId="739" applyProtection="1" pivotButton="0" quotePrefix="0" xfId="0">
      <protection locked="0" hidden="0"/>
    </xf>
    <xf numFmtId="1" fontId="3" fillId="8" borderId="738" applyProtection="1" pivotButton="0" quotePrefix="0" xfId="0">
      <protection locked="0" hidden="0"/>
    </xf>
    <xf numFmtId="1" fontId="3" fillId="0" borderId="380" applyAlignment="1" pivotButton="0" quotePrefix="0" xfId="0">
      <alignment horizontal="right" wrapText="1"/>
    </xf>
    <xf numFmtId="1" fontId="3" fillId="0" borderId="384" applyAlignment="1" pivotButton="0" quotePrefix="0" xfId="0">
      <alignment horizontal="right" wrapText="1"/>
    </xf>
    <xf numFmtId="1" fontId="3" fillId="5" borderId="783" applyAlignment="1" pivotButton="0" quotePrefix="0" xfId="0">
      <alignment wrapText="1"/>
    </xf>
    <xf numFmtId="1" fontId="3" fillId="0" borderId="783" applyAlignment="1" pivotButton="0" quotePrefix="0" xfId="0">
      <alignment wrapText="1"/>
    </xf>
    <xf numFmtId="1" fontId="3" fillId="5" borderId="909" applyAlignment="1" pivotButton="0" quotePrefix="0" xfId="0">
      <alignment wrapText="1"/>
    </xf>
    <xf numFmtId="1" fontId="3" fillId="5" borderId="910" applyAlignment="1" pivotButton="0" quotePrefix="0" xfId="0">
      <alignment wrapText="1"/>
    </xf>
    <xf numFmtId="1" fontId="3" fillId="3" borderId="890" applyAlignment="1" pivotButton="0" quotePrefix="0" xfId="0">
      <alignment horizontal="center" vertical="center" wrapText="1"/>
    </xf>
    <xf numFmtId="1" fontId="3" fillId="3" borderId="788" applyAlignment="1" pivotButton="0" quotePrefix="0" xfId="0">
      <alignment horizontal="center" vertical="center" wrapText="1"/>
    </xf>
    <xf numFmtId="1" fontId="3" fillId="3" borderId="731" applyAlignment="1" pivotButton="0" quotePrefix="0" xfId="0">
      <alignment horizontal="right" vertical="center" wrapText="1"/>
    </xf>
    <xf numFmtId="1" fontId="3" fillId="4" borderId="812" applyAlignment="1" applyProtection="1" pivotButton="0" quotePrefix="0" xfId="0">
      <alignment wrapText="1"/>
      <protection locked="0" hidden="0"/>
    </xf>
    <xf numFmtId="1" fontId="3" fillId="6" borderId="911" applyAlignment="1" pivotButton="0" quotePrefix="0" xfId="0">
      <alignment wrapText="1"/>
    </xf>
    <xf numFmtId="1" fontId="3" fillId="6" borderId="912" applyAlignment="1" pivotButton="0" quotePrefix="0" xfId="0">
      <alignment wrapText="1"/>
    </xf>
    <xf numFmtId="1" fontId="3" fillId="6" borderId="737" applyAlignment="1" pivotButton="0" quotePrefix="0" xfId="0">
      <alignment wrapText="1"/>
    </xf>
    <xf numFmtId="1" fontId="3" fillId="4" borderId="383" applyAlignment="1" applyProtection="1" pivotButton="0" quotePrefix="0" xfId="0">
      <alignment wrapText="1"/>
      <protection locked="0" hidden="0"/>
    </xf>
    <xf numFmtId="1" fontId="3" fillId="4" borderId="400" applyAlignment="1" applyProtection="1" pivotButton="0" quotePrefix="0" xfId="0">
      <alignment wrapText="1"/>
      <protection locked="0" hidden="0"/>
    </xf>
    <xf numFmtId="1" fontId="3" fillId="6" borderId="383" applyAlignment="1" pivotButton="0" quotePrefix="0" xfId="0">
      <alignment wrapText="1"/>
    </xf>
    <xf numFmtId="1" fontId="3" fillId="3" borderId="554" applyAlignment="1" pivotButton="0" quotePrefix="0" xfId="0">
      <alignment horizontal="left" vertical="center" wrapText="1"/>
    </xf>
    <xf numFmtId="1" fontId="3" fillId="4" borderId="553" applyAlignment="1" applyProtection="1" pivotButton="0" quotePrefix="0" xfId="0">
      <alignment wrapText="1"/>
      <protection locked="0" hidden="0"/>
    </xf>
    <xf numFmtId="1" fontId="3" fillId="4" borderId="551" applyAlignment="1" applyProtection="1" pivotButton="0" quotePrefix="0" xfId="0">
      <alignment wrapText="1"/>
      <protection locked="0" hidden="0"/>
    </xf>
    <xf numFmtId="1" fontId="3" fillId="3" borderId="911" applyAlignment="1" pivotButton="0" quotePrefix="0" xfId="0">
      <alignment horizontal="right" wrapText="1"/>
    </xf>
    <xf numFmtId="1" fontId="3" fillId="3" borderId="914" applyAlignment="1" pivotButton="0" quotePrefix="0" xfId="0">
      <alignment horizontal="right" vertical="center" wrapText="1"/>
    </xf>
    <xf numFmtId="1" fontId="3" fillId="4" borderId="911" applyAlignment="1" applyProtection="1" pivotButton="0" quotePrefix="0" xfId="0">
      <alignment wrapText="1"/>
      <protection locked="0" hidden="0"/>
    </xf>
    <xf numFmtId="1" fontId="3" fillId="4" borderId="912" applyAlignment="1" applyProtection="1" pivotButton="0" quotePrefix="0" xfId="0">
      <alignment wrapText="1"/>
      <protection locked="0" hidden="0"/>
    </xf>
    <xf numFmtId="1" fontId="3" fillId="4" borderId="915" applyAlignment="1" applyProtection="1" pivotButton="0" quotePrefix="0" xfId="0">
      <alignment wrapText="1"/>
      <protection locked="0" hidden="0"/>
    </xf>
    <xf numFmtId="1" fontId="3" fillId="4" borderId="916" applyAlignment="1" applyProtection="1" pivotButton="0" quotePrefix="0" xfId="0">
      <alignment wrapText="1"/>
      <protection locked="0" hidden="0"/>
    </xf>
    <xf numFmtId="1" fontId="3" fillId="4" borderId="917" applyAlignment="1" applyProtection="1" pivotButton="0" quotePrefix="0" xfId="0">
      <alignment wrapText="1"/>
      <protection locked="0" hidden="0"/>
    </xf>
    <xf numFmtId="1" fontId="3" fillId="6" borderId="915" applyAlignment="1" pivotButton="0" quotePrefix="0" xfId="0">
      <alignment wrapText="1"/>
    </xf>
    <xf numFmtId="1" fontId="3" fillId="4" borderId="408" applyAlignment="1" applyProtection="1" pivotButton="0" quotePrefix="0" xfId="0">
      <alignment wrapText="1"/>
      <protection locked="0" hidden="0"/>
    </xf>
    <xf numFmtId="1" fontId="3" fillId="4" borderId="409" applyAlignment="1" applyProtection="1" pivotButton="0" quotePrefix="0" xfId="0">
      <alignment wrapText="1"/>
      <protection locked="0" hidden="0"/>
    </xf>
    <xf numFmtId="1" fontId="3" fillId="4" borderId="411" applyAlignment="1" applyProtection="1" pivotButton="0" quotePrefix="0" xfId="0">
      <alignment wrapText="1"/>
      <protection locked="0" hidden="0"/>
    </xf>
    <xf numFmtId="1" fontId="3" fillId="6" borderId="408" applyAlignment="1" pivotButton="0" quotePrefix="0" xfId="0">
      <alignment wrapText="1"/>
    </xf>
    <xf numFmtId="1" fontId="3" fillId="6" borderId="409" applyAlignment="1" pivotButton="0" quotePrefix="0" xfId="0">
      <alignment wrapText="1"/>
    </xf>
    <xf numFmtId="1" fontId="3" fillId="6" borderId="399" applyAlignment="1" pivotButton="0" quotePrefix="0" xfId="0">
      <alignment wrapText="1"/>
    </xf>
    <xf numFmtId="1" fontId="3" fillId="6" borderId="401" applyAlignment="1" pivotButton="0" quotePrefix="0" xfId="0">
      <alignment wrapText="1"/>
    </xf>
    <xf numFmtId="1" fontId="3" fillId="2" borderId="919" applyAlignment="1" applyProtection="1" pivotButton="0" quotePrefix="0" xfId="1">
      <alignment wrapText="1"/>
      <protection locked="0" hidden="0"/>
    </xf>
    <xf numFmtId="1" fontId="3" fillId="2" borderId="920" applyAlignment="1" applyProtection="1" pivotButton="0" quotePrefix="0" xfId="1">
      <alignment wrapText="1"/>
      <protection locked="0" hidden="0"/>
    </xf>
    <xf numFmtId="1" fontId="3" fillId="2" borderId="921" applyAlignment="1" applyProtection="1" pivotButton="0" quotePrefix="0" xfId="1">
      <alignment wrapText="1"/>
      <protection locked="0" hidden="0"/>
    </xf>
    <xf numFmtId="1" fontId="3" fillId="2" borderId="922" applyAlignment="1" applyProtection="1" pivotButton="0" quotePrefix="0" xfId="1">
      <alignment wrapText="1"/>
      <protection locked="0" hidden="0"/>
    </xf>
    <xf numFmtId="1" fontId="3" fillId="2" borderId="923" applyAlignment="1" applyProtection="1" pivotButton="0" quotePrefix="0" xfId="1">
      <alignment wrapText="1"/>
      <protection locked="0" hidden="0"/>
    </xf>
    <xf numFmtId="1" fontId="3" fillId="2" borderId="924" applyAlignment="1" applyProtection="1" pivotButton="0" quotePrefix="0" xfId="1">
      <alignment wrapText="1"/>
      <protection locked="0" hidden="0"/>
    </xf>
    <xf numFmtId="1" fontId="3" fillId="2" borderId="925" applyAlignment="1" applyProtection="1" pivotButton="0" quotePrefix="0" xfId="1">
      <alignment wrapText="1"/>
      <protection locked="0" hidden="0"/>
    </xf>
    <xf numFmtId="1" fontId="3" fillId="2" borderId="926" applyAlignment="1" applyProtection="1" pivotButton="0" quotePrefix="0" xfId="1">
      <alignment wrapText="1"/>
      <protection locked="0" hidden="0"/>
    </xf>
    <xf numFmtId="1" fontId="3" fillId="3" borderId="927" applyAlignment="1" pivotButton="0" quotePrefix="0" xfId="0">
      <alignment horizontal="right" vertical="center" wrapText="1"/>
    </xf>
    <xf numFmtId="1" fontId="3" fillId="0" borderId="897" applyAlignment="1" pivotButton="0" quotePrefix="0" xfId="0">
      <alignment horizontal="right" vertical="center" wrapText="1"/>
    </xf>
    <xf numFmtId="1" fontId="3" fillId="0" borderId="912" applyAlignment="1" pivotButton="0" quotePrefix="0" xfId="0">
      <alignment horizontal="right" vertical="center" wrapText="1"/>
    </xf>
    <xf numFmtId="1" fontId="3" fillId="4" borderId="928" applyAlignment="1" applyProtection="1" pivotButton="0" quotePrefix="0" xfId="0">
      <alignment wrapText="1"/>
      <protection locked="0" hidden="0"/>
    </xf>
    <xf numFmtId="1" fontId="3" fillId="0" borderId="546" applyAlignment="1" pivotButton="0" quotePrefix="0" xfId="0">
      <alignment horizontal="right" vertical="center" wrapText="1"/>
    </xf>
    <xf numFmtId="1" fontId="3" fillId="4" borderId="413" applyAlignment="1" applyProtection="1" pivotButton="0" quotePrefix="0" xfId="0">
      <alignment wrapText="1"/>
      <protection locked="0" hidden="0"/>
    </xf>
    <xf numFmtId="1" fontId="3" fillId="0" borderId="908" applyAlignment="1" pivotButton="0" quotePrefix="0" xfId="0">
      <alignment horizontal="right" vertical="center" wrapText="1"/>
    </xf>
    <xf numFmtId="1" fontId="3" fillId="4" borderId="789" applyAlignment="1" applyProtection="1" pivotButton="0" quotePrefix="0" xfId="0">
      <alignment wrapText="1"/>
      <protection locked="0" hidden="0"/>
    </xf>
    <xf numFmtId="1" fontId="3" fillId="4" borderId="785" applyAlignment="1" applyProtection="1" pivotButton="0" quotePrefix="0" xfId="0">
      <alignment wrapText="1"/>
      <protection locked="0" hidden="0"/>
    </xf>
    <xf numFmtId="1" fontId="3" fillId="6" borderId="788" applyAlignment="1" pivotButton="0" quotePrefix="0" xfId="0">
      <alignment wrapText="1"/>
    </xf>
    <xf numFmtId="1" fontId="3" fillId="3" borderId="553" applyAlignment="1" pivotButton="0" quotePrefix="0" xfId="0">
      <alignment horizontal="right" wrapText="1"/>
    </xf>
    <xf numFmtId="1" fontId="3" fillId="0" borderId="929" applyAlignment="1" pivotButton="0" quotePrefix="0" xfId="0">
      <alignment horizontal="right" vertical="center" wrapText="1"/>
    </xf>
    <xf numFmtId="1" fontId="3" fillId="7" borderId="731" applyAlignment="1" pivotButton="0" quotePrefix="0" xfId="0">
      <alignment wrapText="1"/>
    </xf>
    <xf numFmtId="1" fontId="3" fillId="7" borderId="737" applyAlignment="1" pivotButton="0" quotePrefix="0" xfId="0">
      <alignment wrapText="1"/>
    </xf>
    <xf numFmtId="1" fontId="3" fillId="7" borderId="734" applyAlignment="1" pivotButton="0" quotePrefix="0" xfId="0">
      <alignment wrapText="1"/>
    </xf>
    <xf numFmtId="1" fontId="3" fillId="6" borderId="731" applyAlignment="1" pivotButton="0" quotePrefix="0" xfId="0">
      <alignment wrapText="1"/>
    </xf>
    <xf numFmtId="1" fontId="3" fillId="6" borderId="734" applyAlignment="1" pivotButton="0" quotePrefix="0" xfId="0">
      <alignment wrapText="1"/>
    </xf>
    <xf numFmtId="1" fontId="3" fillId="7" borderId="915" applyAlignment="1" pivotButton="0" quotePrefix="0" xfId="0">
      <alignment wrapText="1"/>
    </xf>
    <xf numFmtId="1" fontId="3" fillId="7" borderId="912" applyAlignment="1" pivotButton="0" quotePrefix="0" xfId="0">
      <alignment wrapText="1"/>
    </xf>
    <xf numFmtId="1" fontId="3" fillId="7" borderId="410" applyAlignment="1" pivotButton="0" quotePrefix="0" xfId="0">
      <alignment wrapText="1"/>
    </xf>
    <xf numFmtId="1" fontId="3" fillId="7" borderId="409" applyAlignment="1" pivotButton="0" quotePrefix="0" xfId="0">
      <alignment wrapText="1"/>
    </xf>
    <xf numFmtId="1" fontId="3" fillId="7" borderId="399" applyAlignment="1" pivotButton="0" quotePrefix="0" xfId="0">
      <alignment wrapText="1"/>
    </xf>
    <xf numFmtId="1" fontId="3" fillId="7" borderId="383" applyAlignment="1" pivotButton="0" quotePrefix="0" xfId="0">
      <alignment wrapText="1"/>
    </xf>
    <xf numFmtId="1" fontId="3" fillId="7" borderId="388" applyAlignment="1" pivotButton="0" quotePrefix="0" xfId="0">
      <alignment wrapText="1"/>
    </xf>
    <xf numFmtId="1" fontId="3" fillId="7" borderId="553" applyAlignment="1" pivotButton="0" quotePrefix="0" xfId="0">
      <alignment wrapText="1"/>
    </xf>
    <xf numFmtId="1" fontId="3" fillId="7" borderId="470" applyAlignment="1" pivotButton="0" quotePrefix="0" xfId="0">
      <alignment wrapText="1"/>
    </xf>
    <xf numFmtId="1" fontId="3" fillId="6" borderId="470" applyAlignment="1" pivotButton="0" quotePrefix="0" xfId="0">
      <alignment wrapText="1"/>
    </xf>
    <xf numFmtId="1" fontId="3" fillId="7" borderId="911" applyAlignment="1" pivotButton="0" quotePrefix="0" xfId="0">
      <alignment wrapText="1"/>
    </xf>
    <xf numFmtId="1" fontId="3" fillId="7" borderId="408" applyAlignment="1" pivotButton="0" quotePrefix="0" xfId="0">
      <alignment wrapText="1"/>
    </xf>
    <xf numFmtId="1" fontId="3" fillId="6" borderId="553" applyAlignment="1" pivotButton="0" quotePrefix="0" xfId="0">
      <alignment wrapText="1"/>
    </xf>
    <xf numFmtId="1" fontId="3" fillId="6" borderId="908" applyAlignment="1" pivotButton="0" quotePrefix="0" xfId="0">
      <alignment wrapText="1"/>
    </xf>
    <xf numFmtId="1" fontId="3" fillId="6" borderId="789" applyAlignment="1" pivotButton="0" quotePrefix="0" xfId="0">
      <alignment wrapText="1"/>
    </xf>
    <xf numFmtId="1" fontId="3" fillId="2" borderId="930" applyAlignment="1" applyProtection="1" pivotButton="0" quotePrefix="0" xfId="1">
      <alignment wrapText="1"/>
      <protection locked="0" hidden="0"/>
    </xf>
    <xf numFmtId="1" fontId="3" fillId="2" borderId="931" applyAlignment="1" applyProtection="1" pivotButton="0" quotePrefix="0" xfId="1">
      <alignment wrapText="1"/>
      <protection locked="0" hidden="0"/>
    </xf>
    <xf numFmtId="1" fontId="3" fillId="2" borderId="932" applyAlignment="1" applyProtection="1" pivotButton="0" quotePrefix="0" xfId="1">
      <alignment wrapText="1"/>
      <protection locked="0" hidden="0"/>
    </xf>
    <xf numFmtId="1" fontId="3" fillId="2" borderId="897" applyAlignment="1" applyProtection="1" pivotButton="0" quotePrefix="0" xfId="1">
      <alignment wrapText="1"/>
      <protection locked="0" hidden="0"/>
    </xf>
    <xf numFmtId="1" fontId="3" fillId="0" borderId="911" applyAlignment="1" pivotButton="0" quotePrefix="0" xfId="0">
      <alignment horizontal="right" wrapText="1"/>
    </xf>
    <xf numFmtId="1" fontId="3" fillId="2" borderId="933" applyAlignment="1" applyProtection="1" pivotButton="0" quotePrefix="0" xfId="1">
      <alignment wrapText="1"/>
      <protection locked="0" hidden="0"/>
    </xf>
    <xf numFmtId="1" fontId="3" fillId="2" borderId="934" applyAlignment="1" applyProtection="1" pivotButton="0" quotePrefix="0" xfId="1">
      <alignment wrapText="1"/>
      <protection locked="0" hidden="0"/>
    </xf>
    <xf numFmtId="1" fontId="3" fillId="2" borderId="935" applyAlignment="1" applyProtection="1" pivotButton="0" quotePrefix="0" xfId="1">
      <alignment wrapText="1"/>
      <protection locked="0" hidden="0"/>
    </xf>
    <xf numFmtId="1" fontId="3" fillId="2" borderId="936" applyAlignment="1" applyProtection="1" pivotButton="0" quotePrefix="0" xfId="1">
      <alignment wrapText="1"/>
      <protection locked="0" hidden="0"/>
    </xf>
    <xf numFmtId="1" fontId="3" fillId="4" borderId="937" applyAlignment="1" applyProtection="1" pivotButton="0" quotePrefix="0" xfId="0">
      <alignment wrapText="1"/>
      <protection locked="0" hidden="0"/>
    </xf>
    <xf numFmtId="1" fontId="3" fillId="4" borderId="938" applyAlignment="1" applyProtection="1" pivotButton="0" quotePrefix="0" xfId="0">
      <alignment wrapText="1"/>
      <protection locked="0" hidden="0"/>
    </xf>
    <xf numFmtId="1" fontId="3" fillId="4" borderId="939" applyAlignment="1" applyProtection="1" pivotButton="0" quotePrefix="0" xfId="0">
      <alignment wrapText="1"/>
      <protection locked="0" hidden="0"/>
    </xf>
    <xf numFmtId="1" fontId="3" fillId="2" borderId="940" applyAlignment="1" applyProtection="1" pivotButton="0" quotePrefix="0" xfId="1">
      <alignment wrapText="1"/>
      <protection locked="0" hidden="0"/>
    </xf>
    <xf numFmtId="1" fontId="3" fillId="4" borderId="941" applyAlignment="1" applyProtection="1" pivotButton="0" quotePrefix="0" xfId="0">
      <alignment wrapText="1"/>
      <protection locked="0" hidden="0"/>
    </xf>
    <xf numFmtId="1" fontId="3" fillId="4" borderId="546" applyAlignment="1" applyProtection="1" pivotButton="0" quotePrefix="0" xfId="0">
      <alignment wrapText="1"/>
      <protection locked="0" hidden="0"/>
    </xf>
    <xf numFmtId="1" fontId="3" fillId="2" borderId="942" applyAlignment="1" applyProtection="1" pivotButton="0" quotePrefix="0" xfId="1">
      <alignment wrapText="1"/>
      <protection locked="0" hidden="0"/>
    </xf>
    <xf numFmtId="1" fontId="3" fillId="4" borderId="944" applyAlignment="1" applyProtection="1" pivotButton="0" quotePrefix="0" xfId="0">
      <alignment wrapText="1"/>
      <protection locked="0" hidden="0"/>
    </xf>
    <xf numFmtId="1" fontId="3" fillId="4" borderId="908" applyAlignment="1" applyProtection="1" pivotButton="0" quotePrefix="0" xfId="0">
      <alignment wrapText="1"/>
      <protection locked="0" hidden="0"/>
    </xf>
    <xf numFmtId="1" fontId="3" fillId="2" borderId="945" applyAlignment="1" applyProtection="1" pivotButton="0" quotePrefix="0" xfId="1">
      <alignment wrapText="1"/>
      <protection locked="0" hidden="0"/>
    </xf>
    <xf numFmtId="1" fontId="3" fillId="3" borderId="946" applyAlignment="1" pivotButton="0" quotePrefix="0" xfId="0">
      <alignment horizontal="right" wrapText="1"/>
    </xf>
    <xf numFmtId="1" fontId="3" fillId="3" borderId="947" applyAlignment="1" pivotButton="0" quotePrefix="0" xfId="0">
      <alignment horizontal="right" wrapText="1"/>
    </xf>
    <xf numFmtId="1" fontId="3" fillId="3" borderId="948" applyAlignment="1" pivotButton="0" quotePrefix="0" xfId="0">
      <alignment horizontal="right" wrapText="1"/>
    </xf>
    <xf numFmtId="1" fontId="3" fillId="3" borderId="915" applyAlignment="1" pivotButton="0" quotePrefix="0" xfId="0">
      <alignment horizontal="right" wrapText="1"/>
    </xf>
    <xf numFmtId="1" fontId="3" fillId="3" borderId="928" applyAlignment="1" pivotButton="0" quotePrefix="0" xfId="0">
      <alignment horizontal="right" wrapText="1"/>
    </xf>
    <xf numFmtId="1" fontId="3" fillId="6" borderId="911" applyAlignment="1" pivotButton="0" quotePrefix="0" xfId="0">
      <alignment horizontal="right" wrapText="1"/>
    </xf>
    <xf numFmtId="1" fontId="3" fillId="6" borderId="912" applyAlignment="1" pivotButton="0" quotePrefix="0" xfId="0">
      <alignment horizontal="right" wrapText="1"/>
    </xf>
    <xf numFmtId="1" fontId="3" fillId="3" borderId="912" applyAlignment="1" pivotButton="0" quotePrefix="0" xfId="0">
      <alignment horizontal="right" wrapText="1"/>
    </xf>
    <xf numFmtId="1" fontId="3" fillId="3" borderId="389" applyAlignment="1" pivotButton="0" quotePrefix="0" xfId="0">
      <alignment horizontal="right" wrapText="1"/>
    </xf>
    <xf numFmtId="1" fontId="3" fillId="3" borderId="849" applyAlignment="1" pivotButton="0" quotePrefix="0" xfId="0">
      <alignment horizontal="left" vertical="center" wrapText="1"/>
    </xf>
    <xf numFmtId="1" fontId="3" fillId="3" borderId="402" applyAlignment="1" pivotButton="0" quotePrefix="0" xfId="0">
      <alignment horizontal="right" wrapText="1"/>
    </xf>
    <xf numFmtId="1" fontId="3" fillId="6" borderId="399" applyAlignment="1" pivotButton="0" quotePrefix="0" xfId="0">
      <alignment horizontal="right" wrapText="1"/>
    </xf>
    <xf numFmtId="1" fontId="3" fillId="6" borderId="383" applyAlignment="1" pivotButton="0" quotePrefix="0" xfId="0">
      <alignment horizontal="right" wrapText="1"/>
    </xf>
    <xf numFmtId="1" fontId="3" fillId="3" borderId="383" applyAlignment="1" pivotButton="0" quotePrefix="0" xfId="0">
      <alignment horizontal="right" wrapText="1"/>
    </xf>
    <xf numFmtId="1" fontId="3" fillId="0" borderId="918" applyAlignment="1" pivotButton="0" quotePrefix="0" xfId="0">
      <alignment horizontal="left" vertical="center" wrapText="1"/>
    </xf>
    <xf numFmtId="1" fontId="3" fillId="4" borderId="915" applyProtection="1" pivotButton="0" quotePrefix="0" xfId="0">
      <protection locked="0" hidden="0"/>
    </xf>
    <xf numFmtId="1" fontId="3" fillId="4" borderId="912" applyProtection="1" pivotButton="0" quotePrefix="0" xfId="0">
      <protection locked="0" hidden="0"/>
    </xf>
    <xf numFmtId="1" fontId="1" fillId="5" borderId="783" applyAlignment="1" pivotButton="0" quotePrefix="0" xfId="0">
      <alignment horizontal="left"/>
    </xf>
    <xf numFmtId="1" fontId="1" fillId="3" borderId="783" applyAlignment="1" pivotButton="0" quotePrefix="0" xfId="0">
      <alignment horizontal="left"/>
    </xf>
    <xf numFmtId="1" fontId="3" fillId="0" borderId="929" applyAlignment="1" pivotButton="0" quotePrefix="0" xfId="0">
      <alignment horizontal="center" vertical="center"/>
    </xf>
    <xf numFmtId="1" fontId="3" fillId="0" borderId="954" applyAlignment="1" pivotButton="0" quotePrefix="0" xfId="0">
      <alignment horizontal="center" vertical="center"/>
    </xf>
    <xf numFmtId="1" fontId="3" fillId="0" borderId="956" applyAlignment="1" pivotButton="0" quotePrefix="0" xfId="0">
      <alignment horizontal="center" vertical="center" wrapText="1"/>
    </xf>
    <xf numFmtId="1" fontId="3" fillId="0" borderId="929" applyAlignment="1" pivotButton="0" quotePrefix="0" xfId="0">
      <alignment horizontal="center" vertical="center" wrapText="1"/>
    </xf>
    <xf numFmtId="1" fontId="3" fillId="0" borderId="954" applyAlignment="1" pivotButton="0" quotePrefix="0" xfId="0">
      <alignment horizontal="center" vertical="center" wrapText="1"/>
    </xf>
    <xf numFmtId="1" fontId="3" fillId="0" borderId="951" applyAlignment="1" pivotButton="0" quotePrefix="0" xfId="0">
      <alignment horizontal="center" vertical="center" wrapText="1"/>
    </xf>
    <xf numFmtId="1" fontId="3" fillId="0" borderId="949" applyAlignment="1" pivotButton="0" quotePrefix="0" xfId="0">
      <alignment horizontal="center" vertical="center" wrapText="1"/>
    </xf>
    <xf numFmtId="1" fontId="3" fillId="0" borderId="950" applyAlignment="1" pivotButton="0" quotePrefix="0" xfId="0">
      <alignment horizontal="center" vertical="center" wrapText="1"/>
    </xf>
    <xf numFmtId="1" fontId="3" fillId="0" borderId="957" applyAlignment="1" pivotButton="0" quotePrefix="0" xfId="0">
      <alignment horizontal="center" vertical="center" wrapText="1"/>
    </xf>
    <xf numFmtId="1" fontId="3" fillId="0" borderId="958" applyAlignment="1" pivotButton="0" quotePrefix="0" xfId="0">
      <alignment horizontal="center" vertical="center" wrapText="1"/>
    </xf>
    <xf numFmtId="1" fontId="3" fillId="0" borderId="959" applyAlignment="1" pivotButton="0" quotePrefix="0" xfId="0">
      <alignment horizontal="center" vertical="center" wrapText="1"/>
    </xf>
    <xf numFmtId="1" fontId="3" fillId="0" borderId="952" applyAlignment="1" pivotButton="0" quotePrefix="0" xfId="0">
      <alignment horizontal="left" vertical="center"/>
    </xf>
    <xf numFmtId="1" fontId="3" fillId="0" borderId="960" applyAlignment="1" pivotButton="0" quotePrefix="0" xfId="0">
      <alignment horizontal="right"/>
    </xf>
    <xf numFmtId="1" fontId="3" fillId="0" borderId="953" applyAlignment="1" pivotButton="0" quotePrefix="0" xfId="0">
      <alignment horizontal="right"/>
    </xf>
    <xf numFmtId="1" fontId="3" fillId="7" borderId="553" applyAlignment="1" pivotButton="0" quotePrefix="0" xfId="0">
      <alignment horizontal="right"/>
    </xf>
    <xf numFmtId="1" fontId="3" fillId="6" borderId="915" applyAlignment="1" pivotButton="0" quotePrefix="0" xfId="0">
      <alignment horizontal="right"/>
    </xf>
    <xf numFmtId="1" fontId="3" fillId="4" borderId="928" applyAlignment="1" applyProtection="1" pivotButton="0" quotePrefix="0" xfId="0">
      <alignment horizontal="right"/>
      <protection locked="0" hidden="0"/>
    </xf>
    <xf numFmtId="1" fontId="3" fillId="4" borderId="916" applyAlignment="1" applyProtection="1" pivotButton="0" quotePrefix="0" xfId="0">
      <alignment horizontal="right"/>
      <protection locked="0" hidden="0"/>
    </xf>
    <xf numFmtId="1" fontId="3" fillId="4" borderId="915" applyAlignment="1" applyProtection="1" pivotButton="0" quotePrefix="0" xfId="0">
      <alignment horizontal="right"/>
      <protection locked="0" hidden="0"/>
    </xf>
    <xf numFmtId="1" fontId="3" fillId="4" borderId="912" applyAlignment="1" applyProtection="1" pivotButton="0" quotePrefix="0" xfId="0">
      <alignment horizontal="right"/>
      <protection locked="0" hidden="0"/>
    </xf>
    <xf numFmtId="1" fontId="3" fillId="0" borderId="918" applyAlignment="1" pivotButton="0" quotePrefix="0" xfId="0">
      <alignment horizontal="left" vertical="center"/>
    </xf>
    <xf numFmtId="1" fontId="3" fillId="0" borderId="911" applyAlignment="1" pivotButton="0" quotePrefix="0" xfId="0">
      <alignment horizontal="right"/>
    </xf>
    <xf numFmtId="1" fontId="3" fillId="7" borderId="911" applyAlignment="1" pivotButton="0" quotePrefix="0" xfId="0">
      <alignment horizontal="right"/>
    </xf>
    <xf numFmtId="1" fontId="3" fillId="7" borderId="914" applyAlignment="1" pivotButton="0" quotePrefix="0" xfId="0">
      <alignment horizontal="right"/>
    </xf>
    <xf numFmtId="1" fontId="3" fillId="7" borderId="912" applyAlignment="1" pivotButton="0" quotePrefix="0" xfId="0">
      <alignment horizontal="right"/>
    </xf>
    <xf numFmtId="1" fontId="3" fillId="4" borderId="914" applyAlignment="1" applyProtection="1" pivotButton="0" quotePrefix="0" xfId="0">
      <alignment horizontal="right"/>
      <protection locked="0" hidden="0"/>
    </xf>
    <xf numFmtId="1" fontId="3" fillId="4" borderId="911" applyAlignment="1" applyProtection="1" pivotButton="0" quotePrefix="0" xfId="0">
      <alignment horizontal="right"/>
      <protection locked="0" hidden="0"/>
    </xf>
    <xf numFmtId="1" fontId="3" fillId="6" borderId="911" applyAlignment="1" pivotButton="0" quotePrefix="0" xfId="0">
      <alignment horizontal="right"/>
    </xf>
    <xf numFmtId="1" fontId="3" fillId="6" borderId="914" applyAlignment="1" pivotButton="0" quotePrefix="0" xfId="0">
      <alignment horizontal="right"/>
    </xf>
    <xf numFmtId="1" fontId="3" fillId="6" borderId="928" applyAlignment="1" pivotButton="0" quotePrefix="0" xfId="0">
      <alignment horizontal="right"/>
    </xf>
    <xf numFmtId="1" fontId="3" fillId="7" borderId="915" applyAlignment="1" pivotButton="0" quotePrefix="0" xfId="0">
      <alignment horizontal="right"/>
    </xf>
    <xf numFmtId="1" fontId="3" fillId="6" borderId="912" applyAlignment="1" pivotButton="0" quotePrefix="0" xfId="0">
      <alignment horizontal="right"/>
    </xf>
    <xf numFmtId="1" fontId="3" fillId="7" borderId="928" applyAlignment="1" pivotButton="0" quotePrefix="0" xfId="0">
      <alignment horizontal="right"/>
    </xf>
    <xf numFmtId="1" fontId="3" fillId="0" borderId="850" applyAlignment="1" pivotButton="0" quotePrefix="0" xfId="0">
      <alignment horizontal="left" vertical="center"/>
    </xf>
    <xf numFmtId="1" fontId="2" fillId="0" borderId="955" applyAlignment="1" pivotButton="0" quotePrefix="0" xfId="0">
      <alignment vertical="center"/>
    </xf>
    <xf numFmtId="1" fontId="3" fillId="0" borderId="865" applyAlignment="1" pivotButton="0" quotePrefix="0" xfId="0">
      <alignment horizontal="center" vertical="center"/>
    </xf>
    <xf numFmtId="1" fontId="3" fillId="0" borderId="961" applyAlignment="1" pivotButton="0" quotePrefix="0" xfId="0">
      <alignment horizontal="left" vertical="center"/>
    </xf>
    <xf numFmtId="1" fontId="3" fillId="0" borderId="913" applyAlignment="1" pivotButton="0" quotePrefix="0" xfId="0">
      <alignment horizontal="left" vertical="center"/>
    </xf>
    <xf numFmtId="1" fontId="3" fillId="0" borderId="913" applyAlignment="1" pivotButton="0" quotePrefix="0" xfId="0">
      <alignment horizontal="left" vertical="center" wrapText="1"/>
    </xf>
    <xf numFmtId="1" fontId="3" fillId="0" borderId="849" applyAlignment="1" pivotButton="0" quotePrefix="0" xfId="0">
      <alignment horizontal="left" vertical="center"/>
    </xf>
    <xf numFmtId="1" fontId="3" fillId="0" borderId="962" applyAlignment="1" pivotButton="0" quotePrefix="0" xfId="0">
      <alignment horizontal="center" vertical="center"/>
    </xf>
    <xf numFmtId="1" fontId="3" fillId="4" borderId="890" applyAlignment="1" applyProtection="1" pivotButton="0" quotePrefix="0" xfId="0">
      <alignment horizontal="right"/>
      <protection locked="0" hidden="0"/>
    </xf>
    <xf numFmtId="1" fontId="3" fillId="4" borderId="886" applyAlignment="1" applyProtection="1" pivotButton="0" quotePrefix="0" xfId="0">
      <alignment horizontal="right"/>
      <protection locked="0" hidden="0"/>
    </xf>
    <xf numFmtId="1" fontId="3" fillId="4" borderId="546" applyAlignment="1" applyProtection="1" pivotButton="0" quotePrefix="0" xfId="0">
      <alignment horizontal="right"/>
      <protection locked="0" hidden="0"/>
    </xf>
    <xf numFmtId="1" fontId="3" fillId="4" borderId="897" applyAlignment="1" applyProtection="1" pivotButton="0" quotePrefix="0" xfId="0">
      <alignment horizontal="right"/>
      <protection locked="0" hidden="0"/>
    </xf>
    <xf numFmtId="1" fontId="3" fillId="0" borderId="961" applyAlignment="1" pivotButton="0" quotePrefix="0" xfId="0">
      <alignment horizontal="left" vertical="center" wrapText="1"/>
    </xf>
    <xf numFmtId="1" fontId="3" fillId="4" borderId="960" applyAlignment="1" applyProtection="1" pivotButton="0" quotePrefix="0" xfId="0">
      <alignment horizontal="right"/>
      <protection locked="0" hidden="0"/>
    </xf>
    <xf numFmtId="1" fontId="3" fillId="4" borderId="946" applyAlignment="1" applyProtection="1" pivotButton="0" quotePrefix="0" xfId="0">
      <alignment horizontal="right"/>
      <protection locked="0" hidden="0"/>
    </xf>
    <xf numFmtId="1" fontId="3" fillId="4" borderId="953" applyAlignment="1" applyProtection="1" pivotButton="0" quotePrefix="0" xfId="0">
      <alignment horizontal="right"/>
      <protection locked="0" hidden="0"/>
    </xf>
    <xf numFmtId="1" fontId="3" fillId="4" borderId="947" applyAlignment="1" applyProtection="1" pivotButton="0" quotePrefix="0" xfId="0">
      <alignment horizontal="right"/>
      <protection locked="0" hidden="0"/>
    </xf>
    <xf numFmtId="1" fontId="3" fillId="0" borderId="949" applyAlignment="1" pivotButton="0" quotePrefix="0" xfId="0">
      <alignment horizontal="center" wrapText="1"/>
    </xf>
    <xf numFmtId="1" fontId="3" fillId="0" borderId="950" applyAlignment="1" pivotButton="0" quotePrefix="0" xfId="0">
      <alignment horizontal="center" wrapText="1"/>
    </xf>
    <xf numFmtId="1" fontId="3" fillId="0" borderId="951" applyAlignment="1" pivotButton="0" quotePrefix="0" xfId="0">
      <alignment horizontal="center" wrapText="1"/>
    </xf>
    <xf numFmtId="1" fontId="3" fillId="0" borderId="957" applyAlignment="1" pivotButton="0" quotePrefix="0" xfId="0">
      <alignment horizontal="center" wrapText="1"/>
    </xf>
    <xf numFmtId="1" fontId="3" fillId="0" borderId="961" applyAlignment="1" pivotButton="0" quotePrefix="0" xfId="0">
      <alignment vertical="center" wrapText="1"/>
    </xf>
    <xf numFmtId="1" fontId="3" fillId="0" borderId="913" applyAlignment="1" pivotButton="0" quotePrefix="0" xfId="0">
      <alignment vertical="center" wrapText="1"/>
    </xf>
    <xf numFmtId="1" fontId="2" fillId="3" borderId="783" applyAlignment="1" pivotButton="0" quotePrefix="0" xfId="0">
      <alignment vertical="center" wrapText="1"/>
    </xf>
    <xf numFmtId="0" fontId="3" fillId="0" borderId="951" applyAlignment="1" pivotButton="0" quotePrefix="0" xfId="0">
      <alignment horizontal="center" vertical="center" wrapText="1"/>
    </xf>
    <xf numFmtId="0" fontId="3" fillId="0" borderId="956" applyAlignment="1" pivotButton="0" quotePrefix="0" xfId="0">
      <alignment horizontal="center" vertical="center" wrapText="1"/>
    </xf>
    <xf numFmtId="1" fontId="3" fillId="0" borderId="964" applyAlignment="1" pivotButton="0" quotePrefix="0" xfId="0">
      <alignment horizontal="center" vertical="center" wrapText="1"/>
    </xf>
    <xf numFmtId="1" fontId="3" fillId="0" borderId="947" applyAlignment="1" pivotButton="0" quotePrefix="0" xfId="0">
      <alignment horizontal="right"/>
    </xf>
    <xf numFmtId="1" fontId="3" fillId="7" borderId="960" applyAlignment="1" pivotButton="0" quotePrefix="0" xfId="0">
      <alignment horizontal="right"/>
    </xf>
    <xf numFmtId="1" fontId="3" fillId="7" borderId="946" applyAlignment="1" pivotButton="0" quotePrefix="0" xfId="0">
      <alignment horizontal="right"/>
    </xf>
    <xf numFmtId="1" fontId="3" fillId="7" borderId="947" applyAlignment="1" pivotButton="0" quotePrefix="0" xfId="0">
      <alignment horizontal="right"/>
    </xf>
    <xf numFmtId="1" fontId="3" fillId="7" borderId="948" applyAlignment="1" pivotButton="0" quotePrefix="0" xfId="0">
      <alignment horizontal="right"/>
    </xf>
    <xf numFmtId="1" fontId="3" fillId="6" borderId="470" applyAlignment="1" pivotButton="0" quotePrefix="0" xfId="0">
      <alignment horizontal="right"/>
    </xf>
    <xf numFmtId="1" fontId="3" fillId="6" borderId="390" applyAlignment="1" pivotButton="0" quotePrefix="0" xfId="0">
      <alignment horizontal="right"/>
    </xf>
    <xf numFmtId="1" fontId="3" fillId="4" borderId="965" applyAlignment="1" applyProtection="1" pivotButton="0" quotePrefix="0" xfId="0">
      <alignment horizontal="right"/>
      <protection locked="0" hidden="0"/>
    </xf>
    <xf numFmtId="1" fontId="3" fillId="0" borderId="912" applyAlignment="1" pivotButton="0" quotePrefix="0" xfId="0">
      <alignment horizontal="right"/>
    </xf>
    <xf numFmtId="1" fontId="3" fillId="4" borderId="916" applyAlignment="1" applyProtection="1" pivotButton="0" quotePrefix="0" xfId="0">
      <alignment horizontal="right" wrapText="1"/>
      <protection locked="0" hidden="0"/>
    </xf>
    <xf numFmtId="1" fontId="3" fillId="4" borderId="911" applyAlignment="1" applyProtection="1" pivotButton="0" quotePrefix="0" xfId="0">
      <alignment horizontal="right" wrapText="1"/>
      <protection locked="0" hidden="0"/>
    </xf>
    <xf numFmtId="1" fontId="3" fillId="0" borderId="908" applyAlignment="1" pivotButton="0" quotePrefix="0" xfId="0">
      <alignment horizontal="right"/>
    </xf>
    <xf numFmtId="1" fontId="3" fillId="7" borderId="890" applyAlignment="1" pivotButton="0" quotePrefix="0" xfId="0">
      <alignment horizontal="right"/>
    </xf>
    <xf numFmtId="1" fontId="3" fillId="7" borderId="897" applyAlignment="1" pivotButton="0" quotePrefix="0" xfId="0">
      <alignment horizontal="right"/>
    </xf>
    <xf numFmtId="1" fontId="3" fillId="4" borderId="966" applyAlignment="1" applyProtection="1" pivotButton="0" quotePrefix="0" xfId="0">
      <alignment horizontal="right"/>
      <protection locked="0" hidden="0"/>
    </xf>
    <xf numFmtId="1" fontId="3" fillId="4" borderId="967" applyAlignment="1" applyProtection="1" pivotButton="0" quotePrefix="0" xfId="0">
      <alignment horizontal="right"/>
      <protection locked="0" hidden="0"/>
    </xf>
    <xf numFmtId="1" fontId="3" fillId="4" borderId="968" applyAlignment="1" applyProtection="1" pivotButton="0" quotePrefix="0" xfId="0">
      <alignment horizontal="right"/>
      <protection locked="0" hidden="0"/>
    </xf>
    <xf numFmtId="1" fontId="3" fillId="6" borderId="966" applyAlignment="1" pivotButton="0" quotePrefix="0" xfId="0">
      <alignment horizontal="right"/>
    </xf>
    <xf numFmtId="1" fontId="3" fillId="6" borderId="953" applyAlignment="1" pivotButton="0" quotePrefix="0" xfId="0">
      <alignment horizontal="right"/>
    </xf>
    <xf numFmtId="1" fontId="3" fillId="6" borderId="916" applyAlignment="1" pivotButton="0" quotePrefix="0" xfId="0">
      <alignment horizontal="right"/>
    </xf>
    <xf numFmtId="1" fontId="3" fillId="6" borderId="387" applyAlignment="1" pivotButton="0" quotePrefix="0" xfId="0">
      <alignment horizontal="right"/>
    </xf>
    <xf numFmtId="1" fontId="3" fillId="4" borderId="941" applyAlignment="1" applyProtection="1" pivotButton="0" quotePrefix="0" xfId="0">
      <alignment horizontal="right"/>
      <protection locked="0" hidden="0"/>
    </xf>
    <xf numFmtId="1" fontId="2" fillId="3" borderId="866" applyAlignment="1" pivotButton="0" quotePrefix="0" xfId="0">
      <alignment vertical="center" wrapText="1"/>
    </xf>
    <xf numFmtId="1" fontId="2" fillId="3" borderId="866" applyAlignment="1" pivotButton="0" quotePrefix="0" xfId="0">
      <alignment vertical="center"/>
    </xf>
    <xf numFmtId="0" fontId="3" fillId="0" borderId="969" applyAlignment="1" pivotButton="0" quotePrefix="0" xfId="0">
      <alignment horizontal="center" vertical="center" wrapText="1"/>
    </xf>
    <xf numFmtId="0" fontId="3" fillId="0" borderId="962" applyAlignment="1" pivotButton="0" quotePrefix="0" xfId="0">
      <alignment horizontal="center" vertical="center" wrapText="1"/>
    </xf>
    <xf numFmtId="0" fontId="3" fillId="0" borderId="890" applyAlignment="1" pivotButton="0" quotePrefix="0" xfId="0">
      <alignment horizontal="center" vertical="center" wrapText="1"/>
    </xf>
    <xf numFmtId="0" fontId="3" fillId="0" borderId="929" applyAlignment="1" pivotButton="0" quotePrefix="0" xfId="0">
      <alignment horizontal="center" vertical="center" wrapText="1"/>
    </xf>
    <xf numFmtId="0" fontId="3" fillId="0" borderId="949" applyAlignment="1" pivotButton="0" quotePrefix="0" xfId="0">
      <alignment horizontal="center" vertical="center" wrapText="1"/>
    </xf>
    <xf numFmtId="1" fontId="3" fillId="0" borderId="918" applyAlignment="1" pivotButton="0" quotePrefix="0" xfId="0">
      <alignment horizontal="left"/>
    </xf>
    <xf numFmtId="1" fontId="3" fillId="4" borderId="913" applyAlignment="1" applyProtection="1" pivotButton="0" quotePrefix="0" xfId="0">
      <alignment horizontal="right"/>
      <protection locked="0" hidden="0"/>
    </xf>
    <xf numFmtId="1" fontId="3" fillId="0" borderId="918" applyAlignment="1" pivotButton="0" quotePrefix="0" xfId="0">
      <alignment horizontal="left" wrapText="1"/>
    </xf>
    <xf numFmtId="0" fontId="3" fillId="0" borderId="956" applyAlignment="1" pivotButton="0" quotePrefix="0" xfId="0">
      <alignment horizontal="center" vertical="center"/>
    </xf>
    <xf numFmtId="1" fontId="3" fillId="0" borderId="961" pivotButton="0" quotePrefix="0" xfId="0"/>
    <xf numFmtId="1" fontId="3" fillId="0" borderId="968" applyAlignment="1" pivotButton="0" quotePrefix="0" xfId="0">
      <alignment horizontal="right"/>
    </xf>
    <xf numFmtId="1" fontId="3" fillId="6" borderId="965" applyAlignment="1" pivotButton="0" quotePrefix="0" xfId="0">
      <alignment horizontal="right"/>
    </xf>
    <xf numFmtId="1" fontId="3" fillId="0" borderId="913" pivotButton="0" quotePrefix="0" xfId="0"/>
    <xf numFmtId="1" fontId="3" fillId="0" borderId="915" applyAlignment="1" pivotButton="0" quotePrefix="0" xfId="0">
      <alignment horizontal="right"/>
    </xf>
    <xf numFmtId="1" fontId="3" fillId="0" borderId="913" applyAlignment="1" pivotButton="0" quotePrefix="0" xfId="0">
      <alignment wrapText="1"/>
    </xf>
    <xf numFmtId="0" fontId="3" fillId="0" borderId="389" applyAlignment="1" pivotButton="0" quotePrefix="0" xfId="0">
      <alignment horizontal="right"/>
    </xf>
    <xf numFmtId="1" fontId="3" fillId="0" borderId="913" applyAlignment="1" pivotButton="0" quotePrefix="0" xfId="0">
      <alignment vertical="top" wrapText="1"/>
    </xf>
    <xf numFmtId="1" fontId="3" fillId="0" borderId="915" applyAlignment="1" pivotButton="0" quotePrefix="0" xfId="0">
      <alignment horizontal="right" wrapText="1"/>
    </xf>
    <xf numFmtId="0" fontId="44" fillId="6" borderId="971" applyAlignment="1" pivotButton="0" quotePrefix="0" xfId="10">
      <alignment horizontal="right"/>
    </xf>
    <xf numFmtId="0" fontId="3" fillId="0" borderId="915" applyAlignment="1" pivotButton="0" quotePrefix="0" xfId="0">
      <alignment horizontal="right"/>
    </xf>
    <xf numFmtId="0" fontId="44" fillId="6" borderId="788" applyAlignment="1" pivotButton="0" quotePrefix="0" xfId="10">
      <alignment horizontal="right"/>
    </xf>
    <xf numFmtId="0" fontId="44" fillId="6" borderId="789" applyAlignment="1" pivotButton="0" quotePrefix="0" xfId="10">
      <alignment horizontal="right"/>
    </xf>
    <xf numFmtId="0" fontId="3" fillId="0" borderId="470" applyAlignment="1" pivotButton="0" quotePrefix="0" xfId="0">
      <alignment horizontal="right"/>
    </xf>
    <xf numFmtId="0" fontId="3" fillId="0" borderId="388" applyAlignment="1" pivotButton="0" quotePrefix="0" xfId="0">
      <alignment horizontal="right"/>
    </xf>
    <xf numFmtId="0" fontId="3" fillId="0" borderId="378" applyAlignment="1" pivotButton="0" quotePrefix="0" xfId="0">
      <alignment horizontal="right"/>
    </xf>
    <xf numFmtId="0" fontId="3" fillId="0" borderId="949" applyAlignment="1" pivotButton="0" quotePrefix="0" xfId="0">
      <alignment horizontal="center"/>
    </xf>
    <xf numFmtId="0" fontId="3" fillId="0" borderId="961" applyAlignment="1" pivotButton="0" quotePrefix="0" xfId="0">
      <alignment horizontal="left" wrapText="1"/>
    </xf>
    <xf numFmtId="1" fontId="3" fillId="0" borderId="960" applyAlignment="1" pivotButton="0" quotePrefix="0" xfId="0">
      <alignment horizontal="right" wrapText="1"/>
    </xf>
    <xf numFmtId="1" fontId="3" fillId="0" borderId="968" applyAlignment="1" pivotButton="0" quotePrefix="0" xfId="0">
      <alignment horizontal="right" wrapText="1"/>
    </xf>
    <xf numFmtId="0" fontId="3" fillId="0" borderId="953" applyAlignment="1" pivotButton="0" quotePrefix="0" xfId="0">
      <alignment horizontal="right"/>
    </xf>
    <xf numFmtId="1" fontId="3" fillId="4" borderId="911" applyProtection="1" pivotButton="0" quotePrefix="0" xfId="0">
      <protection locked="0" hidden="0"/>
    </xf>
    <xf numFmtId="0" fontId="3" fillId="0" borderId="849" applyAlignment="1" pivotButton="0" quotePrefix="0" xfId="0">
      <alignment horizontal="left" wrapText="1"/>
    </xf>
    <xf numFmtId="0" fontId="3" fillId="0" borderId="788" applyAlignment="1" pivotButton="0" quotePrefix="0" xfId="0">
      <alignment horizontal="right" wrapText="1"/>
    </xf>
    <xf numFmtId="0" fontId="3" fillId="0" borderId="789" applyAlignment="1" pivotButton="0" quotePrefix="0" xfId="0">
      <alignment horizontal="right" wrapText="1"/>
    </xf>
    <xf numFmtId="1" fontId="3" fillId="0" borderId="785" applyAlignment="1" pivotButton="0" quotePrefix="0" xfId="0">
      <alignment horizontal="right" wrapText="1"/>
    </xf>
    <xf numFmtId="1" fontId="3" fillId="0" borderId="960" applyAlignment="1" pivotButton="0" quotePrefix="0" xfId="0">
      <alignment horizontal="right" vertical="center" wrapText="1"/>
    </xf>
    <xf numFmtId="1" fontId="3" fillId="0" borderId="968" applyAlignment="1" pivotButton="0" quotePrefix="0" xfId="0">
      <alignment horizontal="right" vertical="center" wrapText="1"/>
    </xf>
    <xf numFmtId="0" fontId="3" fillId="0" borderId="913" applyAlignment="1" pivotButton="0" quotePrefix="0" xfId="0">
      <alignment horizontal="left" wrapText="1"/>
    </xf>
    <xf numFmtId="0" fontId="3" fillId="0" borderId="911" applyAlignment="1" pivotButton="0" quotePrefix="0" xfId="0">
      <alignment horizontal="right" wrapText="1"/>
    </xf>
    <xf numFmtId="0" fontId="3" fillId="0" borderId="915" applyAlignment="1" pivotButton="0" quotePrefix="0" xfId="0">
      <alignment horizontal="right" wrapText="1"/>
    </xf>
    <xf numFmtId="0" fontId="3" fillId="0" borderId="788" applyAlignment="1" pivotButton="0" quotePrefix="0" xfId="0">
      <alignment horizontal="right"/>
    </xf>
    <xf numFmtId="0" fontId="3" fillId="0" borderId="789" applyAlignment="1" pivotButton="0" quotePrefix="0" xfId="0">
      <alignment horizontal="right"/>
    </xf>
    <xf numFmtId="0" fontId="27" fillId="5" borderId="783" applyAlignment="1" pivotButton="0" quotePrefix="0" xfId="0">
      <alignment wrapText="1"/>
    </xf>
    <xf numFmtId="0" fontId="3" fillId="0" borderId="849" applyAlignment="1" pivotButton="0" quotePrefix="0" xfId="0">
      <alignment horizontal="center" vertical="center" wrapText="1"/>
    </xf>
    <xf numFmtId="0" fontId="3" fillId="0" borderId="949" applyAlignment="1" pivotButton="0" quotePrefix="0" xfId="0">
      <alignment horizontal="center" vertical="center"/>
    </xf>
    <xf numFmtId="0" fontId="3" fillId="0" borderId="950" applyAlignment="1" pivotButton="0" quotePrefix="0" xfId="0">
      <alignment horizontal="center" vertical="center"/>
    </xf>
    <xf numFmtId="0" fontId="3" fillId="0" borderId="898" applyAlignment="1" pivotButton="0" quotePrefix="0" xfId="0">
      <alignment vertical="center"/>
    </xf>
    <xf numFmtId="0" fontId="3" fillId="6" borderId="954" applyAlignment="1" pivotButton="0" quotePrefix="0" xfId="0">
      <alignment vertical="center"/>
    </xf>
    <xf numFmtId="0" fontId="3" fillId="6" borderId="866" applyAlignment="1" pivotButton="0" quotePrefix="0" xfId="0">
      <alignment vertical="center"/>
    </xf>
    <xf numFmtId="0" fontId="3" fillId="6" borderId="956" applyAlignment="1" pivotButton="0" quotePrefix="0" xfId="0">
      <alignment vertical="center"/>
    </xf>
    <xf numFmtId="0" fontId="3" fillId="0" borderId="961" applyAlignment="1" pivotButton="0" quotePrefix="0" xfId="0">
      <alignment wrapText="1"/>
    </xf>
    <xf numFmtId="1" fontId="3" fillId="0" borderId="953" applyAlignment="1" pivotButton="0" quotePrefix="0" xfId="0">
      <alignment horizontal="right" wrapText="1"/>
    </xf>
    <xf numFmtId="0" fontId="3" fillId="0" borderId="849" applyAlignment="1" pivotButton="0" quotePrefix="0" xfId="0">
      <alignment wrapText="1"/>
    </xf>
    <xf numFmtId="0" fontId="3" fillId="6" borderId="850" applyAlignment="1" pivotButton="0" quotePrefix="0" xfId="0">
      <alignment vertical="center"/>
    </xf>
    <xf numFmtId="1" fontId="3" fillId="6" borderId="783" pivotButton="0" quotePrefix="0" xfId="0"/>
    <xf numFmtId="1" fontId="3" fillId="6" borderId="799" pivotButton="0" quotePrefix="0" xfId="0"/>
    <xf numFmtId="0" fontId="3" fillId="0" borderId="849" applyAlignment="1" pivotButton="0" quotePrefix="0" xfId="0">
      <alignment vertical="center"/>
    </xf>
    <xf numFmtId="0" fontId="0" fillId="0" borderId="962" applyAlignment="1" pivotButton="0" quotePrefix="0" xfId="0">
      <alignment horizontal="center" vertical="center" wrapText="1"/>
    </xf>
    <xf numFmtId="0" fontId="3" fillId="0" borderId="964" applyAlignment="1" pivotButton="0" quotePrefix="0" xfId="0">
      <alignment horizontal="center" vertical="center" wrapText="1"/>
    </xf>
    <xf numFmtId="1" fontId="3" fillId="4" borderId="972" applyAlignment="1" applyProtection="1" pivotButton="0" quotePrefix="0" xfId="0">
      <alignment horizontal="right"/>
      <protection locked="0" hidden="0"/>
    </xf>
    <xf numFmtId="0" fontId="3" fillId="0" borderId="958" applyAlignment="1" pivotButton="0" quotePrefix="0" xfId="0">
      <alignment horizontal="center" vertical="center"/>
    </xf>
    <xf numFmtId="1" fontId="3" fillId="4" borderId="554" applyAlignment="1" applyProtection="1" pivotButton="0" quotePrefix="0" xfId="0">
      <alignment horizontal="right"/>
      <protection locked="0" hidden="0"/>
    </xf>
    <xf numFmtId="0" fontId="44" fillId="0" borderId="962" applyAlignment="1" pivotButton="0" quotePrefix="0" xfId="0">
      <alignment wrapText="1"/>
    </xf>
    <xf numFmtId="1" fontId="3" fillId="0" borderId="913" applyAlignment="1" pivotButton="0" quotePrefix="0" xfId="0">
      <alignment horizontal="right"/>
    </xf>
    <xf numFmtId="1" fontId="3" fillId="0" borderId="384" applyAlignment="1" pivotButton="0" quotePrefix="0" xfId="0">
      <alignment horizontal="right"/>
    </xf>
    <xf numFmtId="1" fontId="3" fillId="0" borderId="554" applyAlignment="1" pivotButton="0" quotePrefix="0" xfId="0">
      <alignment horizontal="right"/>
    </xf>
    <xf numFmtId="0" fontId="52" fillId="0" borderId="962" applyAlignment="1" pivotButton="0" quotePrefix="0" xfId="0">
      <alignment horizontal="center" vertical="center" wrapText="1"/>
    </xf>
    <xf numFmtId="0" fontId="3" fillId="0" borderId="959" applyAlignment="1" pivotButton="0" quotePrefix="0" xfId="0">
      <alignment horizontal="center" vertical="center"/>
    </xf>
    <xf numFmtId="0" fontId="3" fillId="0" borderId="962" applyAlignment="1" pivotButton="0" quotePrefix="0" xfId="0">
      <alignment vertical="center" wrapText="1"/>
    </xf>
    <xf numFmtId="0" fontId="3" fillId="6" borderId="954" applyAlignment="1" pivotButton="0" quotePrefix="0" xfId="0">
      <alignment horizontal="center" vertical="center"/>
    </xf>
    <xf numFmtId="0" fontId="3" fillId="6" borderId="866" applyAlignment="1" pivotButton="0" quotePrefix="0" xfId="0">
      <alignment horizontal="center" vertical="center"/>
    </xf>
    <xf numFmtId="0" fontId="3" fillId="6" borderId="956" applyAlignment="1" pivotButton="0" quotePrefix="0" xfId="0">
      <alignment horizontal="center" vertical="center"/>
    </xf>
    <xf numFmtId="1" fontId="3" fillId="5" borderId="953" applyAlignment="1" pivotButton="0" quotePrefix="0" xfId="0">
      <alignment horizontal="right"/>
    </xf>
    <xf numFmtId="0" fontId="3" fillId="0" borderId="849" applyAlignment="1" pivotButton="0" quotePrefix="0" xfId="0">
      <alignment vertical="center" wrapText="1"/>
    </xf>
    <xf numFmtId="0" fontId="3" fillId="6" borderId="783" applyAlignment="1" pivotButton="0" quotePrefix="0" xfId="0">
      <alignment horizontal="right" vertical="center"/>
    </xf>
    <xf numFmtId="1" fontId="3" fillId="6" borderId="789" applyAlignment="1" pivotButton="0" quotePrefix="0" xfId="0">
      <alignment horizontal="right"/>
    </xf>
    <xf numFmtId="1" fontId="3" fillId="6" borderId="799" applyAlignment="1" pivotButton="0" quotePrefix="0" xfId="0">
      <alignment horizontal="right"/>
    </xf>
    <xf numFmtId="1" fontId="3" fillId="6" borderId="783" applyAlignment="1" pivotButton="0" quotePrefix="0" xfId="0">
      <alignment horizontal="right"/>
    </xf>
    <xf numFmtId="1" fontId="3" fillId="5" borderId="785" applyAlignment="1" pivotButton="0" quotePrefix="0" xfId="0">
      <alignment horizontal="right"/>
    </xf>
    <xf numFmtId="0" fontId="3" fillId="0" borderId="951" applyAlignment="1" pivotButton="0" quotePrefix="0" xfId="0">
      <alignment vertical="center" wrapText="1"/>
    </xf>
    <xf numFmtId="0" fontId="3" fillId="6" borderId="954" applyAlignment="1" pivotButton="0" quotePrefix="0" xfId="0">
      <alignment horizontal="center"/>
    </xf>
    <xf numFmtId="0" fontId="3" fillId="6" borderId="959" applyAlignment="1" pivotButton="0" quotePrefix="0" xfId="0">
      <alignment horizontal="center" vertical="center"/>
    </xf>
    <xf numFmtId="1" fontId="3" fillId="5" borderId="554" applyAlignment="1" pivotButton="0" quotePrefix="0" xfId="0">
      <alignment horizontal="right"/>
    </xf>
    <xf numFmtId="0" fontId="3" fillId="0" borderId="384" applyAlignment="1" pivotButton="0" quotePrefix="0" xfId="0">
      <alignment vertical="top" wrapText="1"/>
    </xf>
    <xf numFmtId="1" fontId="3" fillId="6" borderId="850" applyAlignment="1" pivotButton="0" quotePrefix="0" xfId="0">
      <alignment horizontal="right"/>
    </xf>
    <xf numFmtId="0" fontId="3" fillId="0" borderId="950" applyAlignment="1" pivotButton="0" quotePrefix="0" xfId="0">
      <alignment horizontal="center" vertical="center" wrapText="1"/>
    </xf>
    <xf numFmtId="0" fontId="3" fillId="0" borderId="961" applyAlignment="1" pivotButton="0" quotePrefix="0" xfId="0">
      <alignment horizontal="left" vertical="center" wrapText="1"/>
    </xf>
    <xf numFmtId="1" fontId="3" fillId="0" borderId="961" applyAlignment="1" pivotButton="0" quotePrefix="0" xfId="0">
      <alignment horizontal="right" vertical="center" wrapText="1"/>
    </xf>
    <xf numFmtId="0" fontId="3" fillId="0" borderId="913" applyAlignment="1" pivotButton="0" quotePrefix="0" xfId="0">
      <alignment horizontal="left" vertical="center" wrapText="1"/>
    </xf>
    <xf numFmtId="3" fontId="3" fillId="0" borderId="913" applyAlignment="1" pivotButton="0" quotePrefix="0" xfId="0">
      <alignment horizontal="right" wrapText="1"/>
    </xf>
    <xf numFmtId="1" fontId="3" fillId="4" borderId="965" applyProtection="1" pivotButton="0" quotePrefix="0" xfId="0">
      <protection locked="0" hidden="0"/>
    </xf>
    <xf numFmtId="0" fontId="3" fillId="0" borderId="913" applyAlignment="1" pivotButton="0" quotePrefix="0" xfId="0">
      <alignment horizontal="right"/>
    </xf>
    <xf numFmtId="0" fontId="3" fillId="0" borderId="849" applyAlignment="1" pivotButton="0" quotePrefix="0" xfId="0">
      <alignment horizontal="left" vertical="center" wrapText="1"/>
    </xf>
    <xf numFmtId="0" fontId="3" fillId="0" borderId="950" applyAlignment="1" pivotButton="0" quotePrefix="0" xfId="0">
      <alignment horizontal="center"/>
    </xf>
    <xf numFmtId="0" fontId="3" fillId="0" borderId="956" applyAlignment="1" pivotButton="0" quotePrefix="0" xfId="0">
      <alignment horizontal="center"/>
    </xf>
    <xf numFmtId="1" fontId="3" fillId="4" borderId="960" applyProtection="1" pivotButton="0" quotePrefix="0" xfId="0">
      <protection locked="0" hidden="0"/>
    </xf>
    <xf numFmtId="1" fontId="3" fillId="4" borderId="967" applyProtection="1" pivotButton="0" quotePrefix="0" xfId="0">
      <protection locked="0" hidden="0"/>
    </xf>
    <xf numFmtId="1" fontId="3" fillId="4" borderId="966" applyProtection="1" pivotButton="0" quotePrefix="0" xfId="0">
      <protection locked="0" hidden="0"/>
    </xf>
    <xf numFmtId="1" fontId="3" fillId="0" borderId="913" applyAlignment="1" pivotButton="0" quotePrefix="0" xfId="0">
      <alignment horizontal="right" vertical="center" wrapText="1"/>
    </xf>
    <xf numFmtId="0" fontId="3" fillId="0" borderId="913" applyAlignment="1" pivotButton="0" quotePrefix="0" xfId="0">
      <alignment wrapText="1"/>
    </xf>
    <xf numFmtId="0" fontId="3" fillId="0" borderId="849" applyAlignment="1" pivotButton="0" quotePrefix="0" xfId="0">
      <alignment horizontal="right"/>
    </xf>
    <xf numFmtId="0" fontId="3" fillId="0" borderId="553" applyAlignment="1" pivotButton="0" quotePrefix="0" xfId="0">
      <alignment horizontal="right" wrapText="1"/>
    </xf>
    <xf numFmtId="0" fontId="3" fillId="0" borderId="470" applyAlignment="1" pivotButton="0" quotePrefix="0" xfId="0">
      <alignment horizontal="right" wrapText="1"/>
    </xf>
    <xf numFmtId="1" fontId="3" fillId="0" borderId="906" applyAlignment="1" pivotButton="0" quotePrefix="0" xfId="0">
      <alignment horizontal="center" vertical="center"/>
    </xf>
    <xf numFmtId="1" fontId="3" fillId="0" borderId="962" applyAlignment="1" pivotButton="0" quotePrefix="0" xfId="0">
      <alignment horizontal="center" vertical="center" wrapText="1"/>
    </xf>
    <xf numFmtId="1" fontId="3" fillId="0" borderId="952" pivotButton="0" quotePrefix="0" xfId="0"/>
    <xf numFmtId="1" fontId="3" fillId="0" borderId="973" applyAlignment="1" pivotButton="0" quotePrefix="0" xfId="0">
      <alignment horizontal="right"/>
    </xf>
    <xf numFmtId="1" fontId="3" fillId="4" borderId="929" applyAlignment="1" applyProtection="1" pivotButton="0" quotePrefix="0" xfId="0">
      <alignment horizontal="right"/>
      <protection locked="0" hidden="0"/>
    </xf>
    <xf numFmtId="1" fontId="3" fillId="4" borderId="888" applyAlignment="1" applyProtection="1" pivotButton="0" quotePrefix="0" xfId="0">
      <alignment horizontal="right"/>
      <protection locked="0" hidden="0"/>
    </xf>
    <xf numFmtId="1" fontId="3" fillId="4" borderId="899" applyAlignment="1" applyProtection="1" pivotButton="0" quotePrefix="0" xfId="0">
      <alignment horizontal="right"/>
      <protection locked="0" hidden="0"/>
    </xf>
    <xf numFmtId="1" fontId="3" fillId="4" borderId="974" applyAlignment="1" applyProtection="1" pivotButton="0" quotePrefix="0" xfId="0">
      <alignment horizontal="right"/>
      <protection locked="0" hidden="0"/>
    </xf>
    <xf numFmtId="1" fontId="3" fillId="4" borderId="869" applyAlignment="1" applyProtection="1" pivotButton="0" quotePrefix="0" xfId="0">
      <alignment horizontal="right"/>
      <protection locked="0" hidden="0"/>
    </xf>
    <xf numFmtId="1" fontId="3" fillId="6" borderId="952" applyAlignment="1" pivotButton="0" quotePrefix="0" xfId="0">
      <alignment horizontal="right"/>
    </xf>
    <xf numFmtId="1" fontId="3" fillId="0" borderId="918" pivotButton="0" quotePrefix="0" xfId="0"/>
    <xf numFmtId="1" fontId="3" fillId="0" borderId="391" applyAlignment="1" pivotButton="0" quotePrefix="0" xfId="0">
      <alignment horizontal="right"/>
    </xf>
    <xf numFmtId="1" fontId="3" fillId="4" borderId="918" applyAlignment="1" applyProtection="1" pivotButton="0" quotePrefix="0" xfId="0">
      <alignment horizontal="right"/>
      <protection locked="0" hidden="0"/>
    </xf>
    <xf numFmtId="1" fontId="3" fillId="4" borderId="975" applyAlignment="1" applyProtection="1" pivotButton="0" quotePrefix="0" xfId="0">
      <alignment horizontal="right"/>
      <protection locked="0" hidden="0"/>
    </xf>
    <xf numFmtId="1" fontId="3" fillId="6" borderId="918" applyAlignment="1" pivotButton="0" quotePrefix="0" xfId="0">
      <alignment horizontal="right"/>
    </xf>
    <xf numFmtId="1" fontId="3" fillId="0" borderId="918" applyAlignment="1" pivotButton="0" quotePrefix="0" xfId="0">
      <alignment wrapText="1"/>
    </xf>
    <xf numFmtId="1" fontId="3" fillId="0" borderId="401" applyAlignment="1" pivotButton="0" quotePrefix="0" xfId="0">
      <alignment horizontal="right"/>
    </xf>
    <xf numFmtId="1" fontId="3" fillId="6" borderId="407" applyAlignment="1" pivotButton="0" quotePrefix="0" xfId="0">
      <alignment horizontal="right"/>
    </xf>
    <xf numFmtId="1" fontId="3" fillId="7" borderId="929" applyAlignment="1" pivotButton="0" quotePrefix="0" xfId="0">
      <alignment horizontal="right"/>
    </xf>
    <xf numFmtId="1" fontId="3" fillId="7" borderId="406" applyAlignment="1" pivotButton="0" quotePrefix="0" xfId="0">
      <alignment horizontal="right"/>
    </xf>
    <xf numFmtId="1" fontId="3" fillId="7" borderId="785" applyAlignment="1" pivotButton="0" quotePrefix="0" xfId="0">
      <alignment horizontal="right"/>
    </xf>
    <xf numFmtId="1" fontId="3" fillId="4" borderId="850" applyAlignment="1" applyProtection="1" pivotButton="0" quotePrefix="0" xfId="0">
      <alignment horizontal="right"/>
      <protection locked="0" hidden="0"/>
    </xf>
    <xf numFmtId="1" fontId="3" fillId="6" borderId="550" applyAlignment="1" pivotButton="0" quotePrefix="0" xfId="0">
      <alignment horizontal="right"/>
    </xf>
    <xf numFmtId="1" fontId="3" fillId="4" borderId="917" applyAlignment="1" applyProtection="1" pivotButton="0" quotePrefix="0" xfId="0">
      <alignment horizontal="right"/>
      <protection locked="0" hidden="0"/>
    </xf>
    <xf numFmtId="1" fontId="3" fillId="7" borderId="952" applyAlignment="1" pivotButton="0" quotePrefix="0" xfId="0">
      <alignment horizontal="right"/>
    </xf>
    <xf numFmtId="1" fontId="3" fillId="4" borderId="952" applyAlignment="1" applyProtection="1" pivotButton="0" quotePrefix="0" xfId="0">
      <alignment horizontal="right"/>
      <protection locked="0" hidden="0"/>
    </xf>
    <xf numFmtId="1" fontId="3" fillId="7" borderId="918" applyAlignment="1" pivotButton="0" quotePrefix="0" xfId="0">
      <alignment horizontal="right"/>
    </xf>
    <xf numFmtId="1" fontId="3" fillId="7" borderId="409" applyAlignment="1" pivotButton="0" quotePrefix="0" xfId="0">
      <alignment horizontal="right"/>
    </xf>
    <xf numFmtId="1" fontId="3" fillId="7" borderId="412" applyAlignment="1" pivotButton="0" quotePrefix="0" xfId="0">
      <alignment horizontal="right"/>
    </xf>
    <xf numFmtId="1" fontId="3" fillId="7" borderId="869" applyAlignment="1" pivotButton="0" quotePrefix="0" xfId="0">
      <alignment horizontal="right"/>
    </xf>
    <xf numFmtId="1" fontId="3" fillId="6" borderId="408" applyAlignment="1" pivotButton="0" quotePrefix="0" xfId="0">
      <alignment horizontal="right"/>
    </xf>
    <xf numFmtId="1" fontId="3" fillId="6" borderId="409" applyAlignment="1" pivotButton="0" quotePrefix="0" xfId="0">
      <alignment horizontal="right"/>
    </xf>
    <xf numFmtId="1" fontId="3" fillId="6" borderId="383" applyAlignment="1" pivotButton="0" quotePrefix="0" xfId="0">
      <alignment horizontal="right"/>
    </xf>
    <xf numFmtId="1" fontId="3" fillId="0" borderId="960" pivotButton="0" quotePrefix="0" xfId="0"/>
    <xf numFmtId="1" fontId="3" fillId="0" borderId="911" pivotButton="0" quotePrefix="0" xfId="0"/>
    <xf numFmtId="1" fontId="3" fillId="0" borderId="915" pivotButton="0" quotePrefix="0" xfId="0"/>
    <xf numFmtId="1" fontId="3" fillId="0" borderId="401" pivotButton="0" quotePrefix="0" xfId="0"/>
    <xf numFmtId="1" fontId="3" fillId="0" borderId="952" applyAlignment="1" pivotButton="0" quotePrefix="0" xfId="0">
      <alignment vertical="top" wrapText="1"/>
    </xf>
    <xf numFmtId="1" fontId="3" fillId="6" borderId="960" applyAlignment="1" pivotButton="0" quotePrefix="0" xfId="0">
      <alignment horizontal="right"/>
    </xf>
    <xf numFmtId="1" fontId="3" fillId="6" borderId="973" applyAlignment="1" pivotButton="0" quotePrefix="0" xfId="0">
      <alignment horizontal="right"/>
    </xf>
    <xf numFmtId="1" fontId="3" fillId="4" borderId="812" applyAlignment="1" applyProtection="1" pivotButton="0" quotePrefix="0" xfId="0">
      <alignment horizontal="right"/>
      <protection locked="0" hidden="0"/>
    </xf>
    <xf numFmtId="1" fontId="3" fillId="4" borderId="973" applyAlignment="1" applyProtection="1" pivotButton="0" quotePrefix="0" xfId="0">
      <alignment horizontal="right"/>
      <protection locked="0" hidden="0"/>
    </xf>
    <xf numFmtId="1" fontId="3" fillId="6" borderId="374" applyAlignment="1" pivotButton="0" quotePrefix="0" xfId="0">
      <alignment horizontal="right"/>
    </xf>
    <xf numFmtId="1" fontId="3" fillId="7" borderId="411" applyAlignment="1" pivotButton="0" quotePrefix="0" xfId="0">
      <alignment horizontal="right"/>
    </xf>
    <xf numFmtId="1" fontId="3" fillId="6" borderId="412" applyAlignment="1" pivotButton="0" quotePrefix="0" xfId="0">
      <alignment horizontal="right"/>
    </xf>
    <xf numFmtId="1" fontId="3" fillId="6" borderId="411" applyAlignment="1" pivotButton="0" quotePrefix="0" xfId="0">
      <alignment horizontal="right"/>
    </xf>
    <xf numFmtId="1" fontId="3" fillId="6" borderId="413" applyAlignment="1" pivotButton="0" quotePrefix="0" xfId="0">
      <alignment horizontal="right"/>
    </xf>
    <xf numFmtId="1" fontId="3" fillId="0" borderId="952" applyAlignment="1" pivotButton="0" quotePrefix="0" xfId="0">
      <alignment horizontal="left" vertical="center" wrapText="1"/>
    </xf>
    <xf numFmtId="1" fontId="3" fillId="4" borderId="961" applyAlignment="1" applyProtection="1" pivotButton="0" quotePrefix="0" xfId="0">
      <alignment horizontal="right"/>
      <protection locked="0" hidden="0"/>
    </xf>
    <xf numFmtId="1" fontId="3" fillId="7" borderId="913" applyAlignment="1" pivotButton="0" quotePrefix="0" xfId="0">
      <alignment horizontal="right"/>
    </xf>
    <xf numFmtId="1" fontId="3" fillId="4" borderId="849" applyAlignment="1" applyProtection="1" pivotButton="0" quotePrefix="0" xfId="0">
      <alignment horizontal="right"/>
      <protection locked="0" hidden="0"/>
    </xf>
    <xf numFmtId="1" fontId="3" fillId="4" borderId="865" applyAlignment="1" applyProtection="1" pivotButton="0" quotePrefix="0" xfId="0">
      <alignment horizontal="right"/>
      <protection locked="0" hidden="0"/>
    </xf>
    <xf numFmtId="1" fontId="3" fillId="4" borderId="889" applyAlignment="1" applyProtection="1" pivotButton="0" quotePrefix="0" xfId="0">
      <alignment horizontal="right"/>
      <protection locked="0" hidden="0"/>
    </xf>
    <xf numFmtId="1" fontId="3" fillId="0" borderId="941" applyAlignment="1" pivotButton="0" quotePrefix="0" xfId="0">
      <alignment horizontal="center" vertical="center" wrapText="1"/>
    </xf>
    <xf numFmtId="1" fontId="3" fillId="0" borderId="969" applyAlignment="1" pivotButton="0" quotePrefix="0" xfId="0">
      <alignment horizontal="center" vertical="center" wrapText="1"/>
    </xf>
    <xf numFmtId="1" fontId="3" fillId="0" borderId="898" applyAlignment="1" pivotButton="0" quotePrefix="0" xfId="0">
      <alignment horizontal="right"/>
    </xf>
    <xf numFmtId="1" fontId="3" fillId="4" borderId="898" applyAlignment="1" applyProtection="1" pivotButton="0" quotePrefix="0" xfId="0">
      <alignment horizontal="right"/>
      <protection locked="0" hidden="0"/>
    </xf>
    <xf numFmtId="1" fontId="3" fillId="4" borderId="970" applyAlignment="1" applyProtection="1" pivotButton="0" quotePrefix="0" xfId="0">
      <alignment horizontal="right"/>
      <protection locked="0" hidden="0"/>
    </xf>
    <xf numFmtId="1" fontId="3" fillId="0" borderId="403" applyAlignment="1" pivotButton="0" quotePrefix="0" xfId="0">
      <alignment horizontal="right"/>
    </xf>
    <xf numFmtId="1" fontId="3" fillId="4" borderId="977" applyAlignment="1" applyProtection="1" pivotButton="0" quotePrefix="0" xfId="0">
      <alignment horizontal="right"/>
      <protection locked="0" hidden="0"/>
    </xf>
    <xf numFmtId="1" fontId="3" fillId="4" borderId="908" applyAlignment="1" applyProtection="1" pivotButton="0" quotePrefix="0" xfId="0">
      <alignment horizontal="right"/>
      <protection locked="0" hidden="0"/>
    </xf>
    <xf numFmtId="1" fontId="3" fillId="0" borderId="961" applyAlignment="1" pivotButton="0" quotePrefix="0" xfId="0">
      <alignment horizontal="right"/>
    </xf>
    <xf numFmtId="1" fontId="3" fillId="34" borderId="737" applyAlignment="1" applyProtection="1" pivotButton="0" quotePrefix="0" xfId="0">
      <alignment horizontal="right"/>
      <protection locked="0" hidden="0"/>
    </xf>
    <xf numFmtId="1" fontId="3" fillId="4" borderId="973" applyProtection="1" pivotButton="0" quotePrefix="0" xfId="0">
      <protection locked="0" hidden="0"/>
    </xf>
    <xf numFmtId="1" fontId="3" fillId="34" borderId="953" applyProtection="1" pivotButton="0" quotePrefix="0" xfId="0">
      <protection locked="0" hidden="0"/>
    </xf>
    <xf numFmtId="1" fontId="3" fillId="0" borderId="898" applyAlignment="1" pivotButton="0" quotePrefix="0" xfId="0">
      <alignment vertical="center" wrapText="1"/>
    </xf>
    <xf numFmtId="1" fontId="3" fillId="0" borderId="865" applyAlignment="1" pivotButton="0" quotePrefix="0" xfId="0">
      <alignment horizontal="right"/>
    </xf>
    <xf numFmtId="1" fontId="3" fillId="0" borderId="849" applyAlignment="1" pivotButton="0" quotePrefix="0" xfId="0">
      <alignment vertical="center" wrapText="1"/>
    </xf>
    <xf numFmtId="1" fontId="3" fillId="0" borderId="789" applyAlignment="1" pivotButton="0" quotePrefix="0" xfId="0">
      <alignment horizontal="right"/>
    </xf>
    <xf numFmtId="1" fontId="3" fillId="0" borderId="783" applyAlignment="1" pivotButton="0" quotePrefix="0" xfId="0">
      <alignment horizontal="right"/>
    </xf>
    <xf numFmtId="1" fontId="3" fillId="0" borderId="850" applyAlignment="1" pivotButton="0" quotePrefix="0" xfId="0">
      <alignment horizontal="right"/>
    </xf>
    <xf numFmtId="1" fontId="3" fillId="0" borderId="957" applyAlignment="1" pivotButton="0" quotePrefix="0" xfId="0">
      <alignment horizontal="right"/>
    </xf>
    <xf numFmtId="1" fontId="3" fillId="0" borderId="407" applyAlignment="1" pivotButton="0" quotePrefix="0" xfId="0">
      <alignment horizontal="right"/>
    </xf>
    <xf numFmtId="1" fontId="3" fillId="0" borderId="949" applyAlignment="1" pivotButton="0" quotePrefix="0" xfId="0">
      <alignment horizontal="right"/>
    </xf>
    <xf numFmtId="1" fontId="3" fillId="0" borderId="952" applyAlignment="1" pivotButton="0" quotePrefix="0" xfId="0">
      <alignment vertical="center" wrapText="1"/>
    </xf>
    <xf numFmtId="1" fontId="3" fillId="3" borderId="961" applyAlignment="1" pivotButton="0" quotePrefix="0" xfId="0">
      <alignment horizontal="right"/>
    </xf>
    <xf numFmtId="1" fontId="3" fillId="0" borderId="918" applyAlignment="1" pivotButton="0" quotePrefix="0" xfId="0">
      <alignment vertical="center" wrapText="1"/>
    </xf>
    <xf numFmtId="1" fontId="3" fillId="0" borderId="890" applyAlignment="1" pivotButton="0" quotePrefix="0" xfId="0">
      <alignment horizontal="center" vertical="center"/>
    </xf>
    <xf numFmtId="1" fontId="3" fillId="0" borderId="964" applyAlignment="1" pivotButton="0" quotePrefix="0" xfId="0">
      <alignment horizontal="center" vertical="center"/>
    </xf>
    <xf numFmtId="1" fontId="3" fillId="3" borderId="954" applyAlignment="1" pivotButton="0" quotePrefix="0" xfId="0">
      <alignment horizontal="right"/>
    </xf>
    <xf numFmtId="1" fontId="3" fillId="3" borderId="949" applyAlignment="1" pivotButton="0" quotePrefix="0" xfId="0">
      <alignment horizontal="right"/>
    </xf>
    <xf numFmtId="1" fontId="3" fillId="3" borderId="957" applyAlignment="1" pivotButton="0" quotePrefix="0" xfId="0">
      <alignment horizontal="right"/>
    </xf>
    <xf numFmtId="1" fontId="3" fillId="3" borderId="951" applyAlignment="1" pivotButton="0" quotePrefix="0" xfId="0">
      <alignment horizontal="right"/>
    </xf>
    <xf numFmtId="1" fontId="3" fillId="3" borderId="950" applyAlignment="1" pivotButton="0" quotePrefix="0" xfId="0">
      <alignment horizontal="right"/>
    </xf>
    <xf numFmtId="1" fontId="3" fillId="3" borderId="959" applyAlignment="1" pivotButton="0" quotePrefix="0" xfId="0">
      <alignment horizontal="right"/>
    </xf>
    <xf numFmtId="1" fontId="3" fillId="3" borderId="964" applyAlignment="1" pivotButton="0" quotePrefix="0" xfId="0">
      <alignment horizontal="right"/>
    </xf>
    <xf numFmtId="1" fontId="3" fillId="0" borderId="550" applyAlignment="1" pivotButton="0" quotePrefix="0" xfId="0">
      <alignment horizontal="right"/>
    </xf>
    <xf numFmtId="1" fontId="3" fillId="0" borderId="918" applyAlignment="1" pivotButton="0" quotePrefix="0" xfId="0">
      <alignment horizontal="right"/>
    </xf>
    <xf numFmtId="1" fontId="3" fillId="0" borderId="380" applyAlignment="1" pivotButton="0" quotePrefix="0" xfId="0">
      <alignment horizontal="right"/>
    </xf>
    <xf numFmtId="1" fontId="3" fillId="3" borderId="962" applyAlignment="1" pivotButton="0" quotePrefix="0" xfId="0">
      <alignment horizontal="right"/>
    </xf>
    <xf numFmtId="0" fontId="0" fillId="0" borderId="866" pivotButton="0" quotePrefix="0" xfId="0"/>
    <xf numFmtId="1" fontId="3" fillId="3" borderId="958" applyAlignment="1" pivotButton="0" quotePrefix="0" xfId="0">
      <alignment horizontal="right"/>
    </xf>
    <xf numFmtId="1" fontId="3" fillId="0" borderId="978" applyAlignment="1" pivotButton="0" quotePrefix="0" xfId="0">
      <alignment horizontal="center" vertical="center" wrapText="1"/>
    </xf>
    <xf numFmtId="1" fontId="3" fillId="0" borderId="961" applyAlignment="1" pivotButton="0" quotePrefix="0" xfId="0">
      <alignment wrapText="1"/>
    </xf>
    <xf numFmtId="1" fontId="3" fillId="0" borderId="953" applyAlignment="1" pivotButton="0" quotePrefix="0" xfId="0">
      <alignment wrapText="1"/>
    </xf>
    <xf numFmtId="1" fontId="3" fillId="0" borderId="890" applyAlignment="1" pivotButton="0" quotePrefix="0" xfId="0">
      <alignment horizontal="right"/>
    </xf>
    <xf numFmtId="1" fontId="3" fillId="0" borderId="962" applyAlignment="1" pivotButton="0" quotePrefix="0" xfId="0">
      <alignment horizontal="center" wrapText="1"/>
    </xf>
    <xf numFmtId="1" fontId="3" fillId="0" borderId="951" applyAlignment="1" pivotButton="0" quotePrefix="0" xfId="0">
      <alignment wrapText="1"/>
    </xf>
    <xf numFmtId="1" fontId="3" fillId="0" borderId="950" applyAlignment="1" pivotButton="0" quotePrefix="0" xfId="0">
      <alignment horizontal="right"/>
    </xf>
    <xf numFmtId="1" fontId="3" fillId="0" borderId="958" applyAlignment="1" pivotButton="0" quotePrefix="0" xfId="0">
      <alignment horizontal="right"/>
    </xf>
    <xf numFmtId="1" fontId="3" fillId="0" borderId="956" applyAlignment="1" pivotButton="0" quotePrefix="0" xfId="0">
      <alignment horizontal="right"/>
    </xf>
    <xf numFmtId="1" fontId="3" fillId="0" borderId="866" applyAlignment="1" pivotButton="0" quotePrefix="0" xfId="0">
      <alignment horizontal="right"/>
    </xf>
    <xf numFmtId="1" fontId="3" fillId="0" borderId="959" applyAlignment="1" pivotButton="0" quotePrefix="0" xfId="0">
      <alignment horizontal="right"/>
    </xf>
    <xf numFmtId="1" fontId="3" fillId="0" borderId="964" applyAlignment="1" pivotButton="0" quotePrefix="0" xfId="0">
      <alignment horizontal="right"/>
    </xf>
    <xf numFmtId="1" fontId="3" fillId="0" borderId="951" applyAlignment="1" pivotButton="0" quotePrefix="0" xfId="0">
      <alignment horizontal="right"/>
    </xf>
    <xf numFmtId="1" fontId="3" fillId="0" borderId="952" applyAlignment="1" pivotButton="0" quotePrefix="0" xfId="0">
      <alignment wrapText="1"/>
    </xf>
    <xf numFmtId="1" fontId="3" fillId="0" borderId="412" applyAlignment="1" pivotButton="0" quotePrefix="0" xfId="0">
      <alignment wrapText="1"/>
    </xf>
    <xf numFmtId="1" fontId="3" fillId="0" borderId="962" applyAlignment="1" pivotButton="0" quotePrefix="0" xfId="0">
      <alignment horizontal="right"/>
    </xf>
    <xf numFmtId="1" fontId="3" fillId="0" borderId="978" applyAlignment="1" pivotButton="0" quotePrefix="0" xfId="0">
      <alignment horizontal="right"/>
    </xf>
    <xf numFmtId="1" fontId="3" fillId="4" borderId="906" applyAlignment="1" applyProtection="1" pivotButton="0" quotePrefix="0" xfId="0">
      <alignment horizontal="right"/>
      <protection locked="0" hidden="0"/>
    </xf>
    <xf numFmtId="1" fontId="3" fillId="0" borderId="929" applyAlignment="1" pivotButton="0" quotePrefix="0" xfId="0">
      <alignment horizontal="right"/>
    </xf>
    <xf numFmtId="1" fontId="3" fillId="4" borderId="979" applyAlignment="1" applyProtection="1" pivotButton="0" quotePrefix="0" xfId="0">
      <alignment horizontal="right"/>
      <protection locked="0" hidden="0"/>
    </xf>
    <xf numFmtId="1" fontId="3" fillId="0" borderId="962" applyAlignment="1" pivotButton="0" quotePrefix="0" xfId="0">
      <alignment wrapText="1"/>
    </xf>
    <xf numFmtId="1" fontId="3" fillId="0" borderId="950" applyAlignment="1" pivotButton="0" quotePrefix="0" xfId="0">
      <alignment wrapText="1"/>
    </xf>
    <xf numFmtId="1" fontId="3" fillId="0" borderId="956" applyAlignment="1" pivotButton="0" quotePrefix="0" xfId="0">
      <alignment wrapText="1"/>
    </xf>
    <xf numFmtId="1" fontId="2" fillId="5" borderId="783" pivotButton="0" quotePrefix="0" xfId="6"/>
    <xf numFmtId="1" fontId="3" fillId="3" borderId="929" applyAlignment="1" pivotButton="0" quotePrefix="0" xfId="0">
      <alignment horizontal="center" vertical="center" wrapText="1"/>
    </xf>
    <xf numFmtId="1" fontId="3" fillId="3" borderId="949" applyAlignment="1" pivotButton="0" quotePrefix="0" xfId="0">
      <alignment horizontal="center" vertical="center" wrapText="1"/>
    </xf>
    <xf numFmtId="1" fontId="3" fillId="3" borderId="950" applyAlignment="1" pivotButton="0" quotePrefix="0" xfId="0">
      <alignment horizontal="center" vertical="center" wrapText="1"/>
    </xf>
    <xf numFmtId="1" fontId="3" fillId="3" borderId="951" applyAlignment="1" pivotButton="0" quotePrefix="0" xfId="0">
      <alignment horizontal="center" vertical="center" wrapText="1"/>
    </xf>
    <xf numFmtId="1" fontId="3" fillId="3" borderId="956" applyAlignment="1" pivotButton="0" quotePrefix="0" xfId="0">
      <alignment horizontal="center" vertical="center" wrapText="1"/>
    </xf>
    <xf numFmtId="1" fontId="3" fillId="3" borderId="958" applyAlignment="1" pivotButton="0" quotePrefix="0" xfId="0">
      <alignment horizontal="center" vertical="center" wrapText="1"/>
    </xf>
    <xf numFmtId="1" fontId="3" fillId="3" borderId="957" applyAlignment="1" pivotButton="0" quotePrefix="0" xfId="0">
      <alignment horizontal="center" vertical="center" wrapText="1"/>
    </xf>
    <xf numFmtId="1" fontId="3" fillId="3" borderId="962" applyAlignment="1" pivotButton="0" quotePrefix="0" xfId="0">
      <alignment horizontal="center" vertical="center"/>
    </xf>
    <xf numFmtId="1" fontId="3" fillId="3" borderId="949" applyAlignment="1" pivotButton="0" quotePrefix="0" xfId="0">
      <alignment horizontal="right" vertical="center"/>
    </xf>
    <xf numFmtId="2" fontId="3" fillId="3" borderId="958" applyAlignment="1" pivotButton="0" quotePrefix="0" xfId="0">
      <alignment horizontal="right" vertical="center"/>
    </xf>
    <xf numFmtId="2" fontId="3" fillId="3" borderId="950" applyAlignment="1" pivotButton="0" quotePrefix="0" xfId="0">
      <alignment horizontal="right" vertical="center"/>
    </xf>
    <xf numFmtId="2" fontId="3" fillId="3" borderId="951" applyAlignment="1" pivotButton="0" quotePrefix="0" xfId="0">
      <alignment horizontal="right" vertical="center"/>
    </xf>
    <xf numFmtId="2" fontId="3" fillId="3" borderId="949" applyAlignment="1" pivotButton="0" quotePrefix="0" xfId="0">
      <alignment horizontal="right" vertical="center"/>
    </xf>
    <xf numFmtId="2" fontId="3" fillId="3" borderId="956" applyAlignment="1" pivotButton="0" quotePrefix="0" xfId="0">
      <alignment horizontal="right" vertical="center"/>
    </xf>
    <xf numFmtId="2" fontId="3" fillId="3" borderId="957" applyAlignment="1" pivotButton="0" quotePrefix="0" xfId="0">
      <alignment horizontal="right" vertical="center"/>
    </xf>
    <xf numFmtId="1" fontId="3" fillId="3" borderId="554" applyAlignment="1" pivotButton="0" quotePrefix="0" xfId="0">
      <alignment horizontal="left" vertical="center"/>
    </xf>
    <xf numFmtId="1" fontId="3" fillId="2" borderId="980" applyAlignment="1" applyProtection="1" pivotButton="0" quotePrefix="0" xfId="1">
      <alignment horizontal="right" vertical="center"/>
      <protection locked="0" hidden="0"/>
    </xf>
    <xf numFmtId="2" fontId="3" fillId="2" borderId="980" applyAlignment="1" applyProtection="1" pivotButton="0" quotePrefix="0" xfId="1">
      <alignment horizontal="right" vertical="center"/>
      <protection locked="0" hidden="0"/>
    </xf>
    <xf numFmtId="2" fontId="3" fillId="3" borderId="553" applyAlignment="1" pivotButton="0" quotePrefix="0" xfId="0">
      <alignment horizontal="right" vertical="center"/>
    </xf>
    <xf numFmtId="2" fontId="3" fillId="2" borderId="981" applyAlignment="1" applyProtection="1" pivotButton="0" quotePrefix="0" xfId="1">
      <alignment horizontal="right" vertical="center"/>
      <protection locked="0" hidden="0"/>
    </xf>
    <xf numFmtId="2" fontId="3" fillId="3" borderId="960" applyAlignment="1" pivotButton="0" quotePrefix="0" xfId="0">
      <alignment horizontal="right" vertical="center"/>
    </xf>
    <xf numFmtId="2" fontId="3" fillId="2" borderId="982" applyAlignment="1" applyProtection="1" pivotButton="0" quotePrefix="0" xfId="1">
      <alignment horizontal="right" vertical="center"/>
      <protection locked="0" hidden="0"/>
    </xf>
    <xf numFmtId="2" fontId="3" fillId="2" borderId="983" applyAlignment="1" applyProtection="1" pivotButton="0" quotePrefix="0" xfId="1">
      <alignment horizontal="right" vertical="center"/>
      <protection locked="0" hidden="0"/>
    </xf>
    <xf numFmtId="2" fontId="3" fillId="2" borderId="984" applyAlignment="1" applyProtection="1" pivotButton="0" quotePrefix="0" xfId="1">
      <alignment horizontal="right" vertical="center"/>
      <protection locked="0" hidden="0"/>
    </xf>
    <xf numFmtId="2" fontId="3" fillId="3" borderId="968" applyAlignment="1" pivotButton="0" quotePrefix="0" xfId="0">
      <alignment horizontal="right" vertical="center"/>
    </xf>
    <xf numFmtId="2" fontId="3" fillId="2" borderId="546" applyAlignment="1" applyProtection="1" pivotButton="0" quotePrefix="0" xfId="1">
      <alignment horizontal="right" vertical="center"/>
      <protection locked="0" hidden="0"/>
    </xf>
    <xf numFmtId="1" fontId="3" fillId="3" borderId="380" applyAlignment="1" pivotButton="0" quotePrefix="0" xfId="0">
      <alignment horizontal="left" vertical="center"/>
    </xf>
    <xf numFmtId="2" fontId="3" fillId="3" borderId="394" applyAlignment="1" pivotButton="0" quotePrefix="0" xfId="0">
      <alignment horizontal="right" vertical="center"/>
    </xf>
    <xf numFmtId="2" fontId="3" fillId="2" borderId="985" applyAlignment="1" applyProtection="1" pivotButton="0" quotePrefix="0" xfId="1">
      <alignment horizontal="right" vertical="center"/>
      <protection locked="0" hidden="0"/>
    </xf>
    <xf numFmtId="2" fontId="3" fillId="2" borderId="986" applyAlignment="1" applyProtection="1" pivotButton="0" quotePrefix="0" xfId="1">
      <alignment horizontal="right" vertical="center"/>
      <protection locked="0" hidden="0"/>
    </xf>
    <xf numFmtId="2" fontId="3" fillId="2" borderId="987" applyAlignment="1" applyProtection="1" pivotButton="0" quotePrefix="0" xfId="1">
      <alignment horizontal="right" vertical="center"/>
      <protection locked="0" hidden="0"/>
    </xf>
    <xf numFmtId="2" fontId="3" fillId="3" borderId="915" applyAlignment="1" pivotButton="0" quotePrefix="0" xfId="0">
      <alignment horizontal="right" vertical="center"/>
    </xf>
    <xf numFmtId="1" fontId="3" fillId="5" borderId="380" applyAlignment="1" pivotButton="0" quotePrefix="0" xfId="0">
      <alignment horizontal="left" vertical="center"/>
    </xf>
    <xf numFmtId="2" fontId="3" fillId="2" borderId="988" applyAlignment="1" applyProtection="1" pivotButton="0" quotePrefix="0" xfId="1">
      <alignment horizontal="right" vertical="center"/>
      <protection locked="0" hidden="0"/>
    </xf>
    <xf numFmtId="2" fontId="3" fillId="2" borderId="989" applyAlignment="1" applyProtection="1" pivotButton="0" quotePrefix="0" xfId="1">
      <alignment horizontal="right" vertical="center"/>
      <protection locked="0" hidden="0"/>
    </xf>
    <xf numFmtId="2" fontId="3" fillId="2" borderId="990" applyAlignment="1" applyProtection="1" pivotButton="0" quotePrefix="0" xfId="1">
      <alignment horizontal="right" vertical="center"/>
      <protection locked="0" hidden="0"/>
    </xf>
    <xf numFmtId="1" fontId="3" fillId="3" borderId="384" applyAlignment="1" pivotButton="0" quotePrefix="0" xfId="6">
      <alignment horizontal="left" vertical="center"/>
    </xf>
    <xf numFmtId="1" fontId="3" fillId="2" borderId="991" applyAlignment="1" applyProtection="1" pivotButton="0" quotePrefix="0" xfId="1">
      <alignment horizontal="right" vertical="center"/>
      <protection locked="0" hidden="0"/>
    </xf>
    <xf numFmtId="2" fontId="3" fillId="2" borderId="992" applyAlignment="1" applyProtection="1" pivotButton="0" quotePrefix="0" xfId="1">
      <alignment horizontal="right" vertical="center"/>
      <protection locked="0" hidden="0"/>
    </xf>
    <xf numFmtId="2" fontId="3" fillId="3" borderId="788" applyAlignment="1" pivotButton="0" quotePrefix="0" xfId="0">
      <alignment horizontal="right" vertical="center"/>
    </xf>
    <xf numFmtId="2" fontId="3" fillId="2" borderId="993" applyAlignment="1" applyProtection="1" pivotButton="0" quotePrefix="0" xfId="1">
      <alignment horizontal="right" vertical="center"/>
      <protection locked="0" hidden="0"/>
    </xf>
    <xf numFmtId="2" fontId="3" fillId="3" borderId="399" applyAlignment="1" pivotButton="0" quotePrefix="0" xfId="0">
      <alignment horizontal="right" vertical="center"/>
    </xf>
    <xf numFmtId="2" fontId="3" fillId="2" borderId="994" applyAlignment="1" applyProtection="1" pivotButton="0" quotePrefix="0" xfId="1">
      <alignment horizontal="right" vertical="center"/>
      <protection locked="0" hidden="0"/>
    </xf>
    <xf numFmtId="2" fontId="3" fillId="2" borderId="995" applyAlignment="1" applyProtection="1" pivotButton="0" quotePrefix="0" xfId="1">
      <alignment horizontal="right" vertical="center"/>
      <protection locked="0" hidden="0"/>
    </xf>
    <xf numFmtId="2" fontId="3" fillId="2" borderId="996" applyAlignment="1" applyProtection="1" pivotButton="0" quotePrefix="0" xfId="1">
      <alignment horizontal="right" vertical="center"/>
      <protection locked="0" hidden="0"/>
    </xf>
    <xf numFmtId="2" fontId="3" fillId="3" borderId="789" applyAlignment="1" pivotButton="0" quotePrefix="0" xfId="0">
      <alignment horizontal="right" vertical="center"/>
    </xf>
    <xf numFmtId="2" fontId="3" fillId="2" borderId="785" applyAlignment="1" applyProtection="1" pivotButton="0" quotePrefix="0" xfId="1">
      <alignment horizontal="right" vertical="center"/>
      <protection locked="0" hidden="0"/>
    </xf>
    <xf numFmtId="1" fontId="6" fillId="0" borderId="997" applyProtection="1" pivotButton="0" quotePrefix="0" xfId="6">
      <protection locked="1" hidden="1"/>
    </xf>
    <xf numFmtId="1" fontId="3" fillId="0" borderId="998" applyAlignment="1" pivotButton="0" quotePrefix="0" xfId="6">
      <alignment horizontal="center" vertical="center" wrapText="1"/>
    </xf>
    <xf numFmtId="1" fontId="3" fillId="0" borderId="999" applyAlignment="1" pivotButton="0" quotePrefix="0" xfId="6">
      <alignment horizontal="center" vertical="center" wrapText="1"/>
    </xf>
    <xf numFmtId="1" fontId="3" fillId="0" borderId="1000" applyAlignment="1" pivotButton="0" quotePrefix="0" xfId="6">
      <alignment horizontal="center" vertical="center" wrapText="1"/>
    </xf>
    <xf numFmtId="1" fontId="3" fillId="0" borderId="1001" applyAlignment="1" pivotButton="0" quotePrefix="0" xfId="6">
      <alignment horizontal="center" vertical="center" wrapText="1"/>
    </xf>
    <xf numFmtId="1" fontId="3" fillId="0" borderId="1002" pivotButton="0" quotePrefix="0" xfId="6"/>
    <xf numFmtId="1" fontId="3" fillId="0" borderId="1003" pivotButton="0" quotePrefix="0" xfId="6"/>
    <xf numFmtId="1" fontId="3" fillId="4" borderId="737" applyProtection="1" pivotButton="0" quotePrefix="0" xfId="6">
      <protection locked="0" hidden="0"/>
    </xf>
    <xf numFmtId="1" fontId="3" fillId="0" borderId="1004" pivotButton="0" quotePrefix="0" xfId="6"/>
    <xf numFmtId="1" fontId="3" fillId="0" borderId="1005" pivotButton="0" quotePrefix="0" xfId="6"/>
    <xf numFmtId="1" fontId="3" fillId="4" borderId="1006" applyProtection="1" pivotButton="0" quotePrefix="0" xfId="6">
      <protection locked="0" hidden="0"/>
    </xf>
    <xf numFmtId="1" fontId="3" fillId="4" borderId="1007" applyProtection="1" pivotButton="0" quotePrefix="0" xfId="6">
      <protection locked="0" hidden="0"/>
    </xf>
    <xf numFmtId="1" fontId="3" fillId="0" borderId="850" pivotButton="0" quotePrefix="0" xfId="6"/>
    <xf numFmtId="1" fontId="3" fillId="0" borderId="384" pivotButton="0" quotePrefix="0" xfId="6"/>
    <xf numFmtId="1" fontId="6" fillId="0" borderId="1008" pivotButton="0" quotePrefix="0" xfId="6"/>
    <xf numFmtId="1" fontId="6" fillId="0" borderId="1009" pivotButton="0" quotePrefix="0" xfId="6"/>
    <xf numFmtId="1" fontId="6" fillId="0" borderId="1010" pivotButton="0" quotePrefix="0" xfId="6"/>
    <xf numFmtId="1" fontId="3" fillId="0" borderId="1013" applyAlignment="1" pivotButton="0" quotePrefix="0" xfId="6">
      <alignment horizontal="center" vertical="center" wrapText="1"/>
    </xf>
    <xf numFmtId="1" fontId="3" fillId="0" borderId="1014" applyAlignment="1" pivotButton="0" quotePrefix="0" xfId="6">
      <alignment horizontal="center" vertical="center" wrapText="1"/>
    </xf>
    <xf numFmtId="1" fontId="3" fillId="0" borderId="1015" applyAlignment="1" pivotButton="0" quotePrefix="0" xfId="6">
      <alignment horizontal="center" vertical="center" wrapText="1"/>
    </xf>
    <xf numFmtId="1" fontId="3" fillId="0" borderId="1018" applyAlignment="1" pivotButton="0" quotePrefix="0" xfId="6">
      <alignment horizontal="center" vertical="center" wrapText="1"/>
    </xf>
    <xf numFmtId="1" fontId="3" fillId="0" borderId="1019" applyAlignment="1" pivotButton="0" quotePrefix="0" xfId="6">
      <alignment horizontal="center" vertical="center" wrapText="1"/>
    </xf>
    <xf numFmtId="1" fontId="3" fillId="0" borderId="1020" applyAlignment="1" pivotButton="0" quotePrefix="0" xfId="6">
      <alignment horizontal="center" vertical="center" wrapText="1"/>
    </xf>
    <xf numFmtId="1" fontId="3" fillId="0" borderId="1017" applyAlignment="1" pivotButton="0" quotePrefix="0" xfId="6">
      <alignment horizontal="center" vertical="center" wrapText="1"/>
    </xf>
    <xf numFmtId="1" fontId="3" fillId="0" borderId="1021" applyAlignment="1" pivotButton="0" quotePrefix="0" xfId="6">
      <alignment horizontal="center" vertical="center" wrapText="1"/>
    </xf>
    <xf numFmtId="1" fontId="3" fillId="0" borderId="550" pivotButton="0" quotePrefix="0" xfId="6"/>
    <xf numFmtId="1" fontId="3" fillId="4" borderId="553" applyAlignment="1" applyProtection="1" pivotButton="0" quotePrefix="0" xfId="6">
      <alignment horizontal="right"/>
      <protection locked="0" hidden="0"/>
    </xf>
    <xf numFmtId="1" fontId="3" fillId="4" borderId="390" applyAlignment="1" applyProtection="1" pivotButton="0" quotePrefix="0" xfId="6">
      <alignment horizontal="right"/>
      <protection locked="0" hidden="0"/>
    </xf>
    <xf numFmtId="1" fontId="3" fillId="4" borderId="554" applyAlignment="1" applyProtection="1" pivotButton="0" quotePrefix="0" xfId="6">
      <alignment horizontal="right"/>
      <protection locked="0" hidden="0"/>
    </xf>
    <xf numFmtId="1" fontId="3" fillId="4" borderId="1024" applyAlignment="1" applyProtection="1" pivotButton="0" quotePrefix="0" xfId="6">
      <alignment horizontal="right"/>
      <protection locked="0" hidden="0"/>
    </xf>
    <xf numFmtId="1" fontId="3" fillId="4" borderId="1006" applyAlignment="1" applyProtection="1" pivotButton="0" quotePrefix="0" xfId="6">
      <alignment horizontal="right"/>
      <protection locked="0" hidden="0"/>
    </xf>
    <xf numFmtId="1" fontId="3" fillId="4" borderId="1025" applyAlignment="1" applyProtection="1" pivotButton="0" quotePrefix="0" xfId="6">
      <alignment horizontal="right"/>
      <protection locked="0" hidden="0"/>
    </xf>
    <xf numFmtId="1" fontId="3" fillId="59" borderId="390" applyAlignment="1" pivotButton="0" quotePrefix="0" xfId="6">
      <alignment horizontal="right"/>
    </xf>
    <xf numFmtId="1" fontId="3" fillId="59" borderId="554" applyAlignment="1" pivotButton="0" quotePrefix="0" xfId="6">
      <alignment horizontal="right"/>
    </xf>
    <xf numFmtId="1" fontId="3" fillId="0" borderId="407" applyAlignment="1" pivotButton="0" quotePrefix="0" xfId="6">
      <alignment horizontal="left"/>
    </xf>
    <xf numFmtId="1" fontId="3" fillId="4" borderId="1026" applyAlignment="1" applyProtection="1" pivotButton="0" quotePrefix="0" xfId="6">
      <alignment horizontal="right"/>
      <protection locked="0" hidden="0"/>
    </xf>
    <xf numFmtId="1" fontId="3" fillId="4" borderId="1027" applyAlignment="1" applyProtection="1" pivotButton="0" quotePrefix="0" xfId="6">
      <alignment horizontal="right"/>
      <protection locked="0" hidden="0"/>
    </xf>
    <xf numFmtId="1" fontId="3" fillId="4" borderId="1028" applyAlignment="1" applyProtection="1" pivotButton="0" quotePrefix="0" xfId="6">
      <alignment horizontal="right"/>
      <protection locked="0" hidden="0"/>
    </xf>
    <xf numFmtId="1" fontId="3" fillId="59" borderId="378" applyAlignment="1" pivotButton="0" quotePrefix="0" xfId="6">
      <alignment horizontal="right"/>
    </xf>
    <xf numFmtId="1" fontId="3" fillId="59" borderId="384" applyAlignment="1" pivotButton="0" quotePrefix="0" xfId="6">
      <alignment horizontal="right"/>
    </xf>
    <xf numFmtId="1" fontId="3" fillId="4" borderId="384" applyAlignment="1" applyProtection="1" pivotButton="0" quotePrefix="0" xfId="6">
      <alignment horizontal="right"/>
      <protection locked="0" hidden="0"/>
    </xf>
    <xf numFmtId="1" fontId="3" fillId="0" borderId="849" pivotButton="0" quotePrefix="0" xfId="6"/>
    <xf numFmtId="1" fontId="3" fillId="59" borderId="785" applyAlignment="1" pivotButton="0" quotePrefix="0" xfId="6">
      <alignment horizontal="right"/>
    </xf>
    <xf numFmtId="1" fontId="3" fillId="59" borderId="849" applyAlignment="1" pivotButton="0" quotePrefix="0" xfId="6">
      <alignment horizontal="right"/>
    </xf>
    <xf numFmtId="1" fontId="3" fillId="0" borderId="1021" pivotButton="0" quotePrefix="0" xfId="6"/>
    <xf numFmtId="1" fontId="3" fillId="4" borderId="788" applyAlignment="1" applyProtection="1" pivotButton="0" quotePrefix="0" xfId="6">
      <alignment horizontal="right"/>
      <protection locked="0" hidden="0"/>
    </xf>
    <xf numFmtId="1" fontId="3" fillId="4" borderId="1021" applyAlignment="1" applyProtection="1" pivotButton="0" quotePrefix="0" xfId="6">
      <alignment horizontal="right"/>
      <protection locked="0" hidden="0"/>
    </xf>
    <xf numFmtId="1" fontId="2" fillId="0" borderId="1029" applyProtection="1" pivotButton="0" quotePrefix="0" xfId="6">
      <protection locked="1" hidden="1"/>
    </xf>
    <xf numFmtId="1" fontId="6" fillId="0" borderId="1029" applyProtection="1" pivotButton="0" quotePrefix="0" xfId="6">
      <protection locked="1" hidden="1"/>
    </xf>
    <xf numFmtId="1" fontId="3" fillId="0" borderId="407" pivotButton="0" quotePrefix="0" xfId="6"/>
    <xf numFmtId="1" fontId="2" fillId="5" borderId="1030" applyProtection="1" pivotButton="0" quotePrefix="0" xfId="6">
      <protection locked="1" hidden="1"/>
    </xf>
    <xf numFmtId="1" fontId="6" fillId="0" borderId="1030" applyProtection="1" pivotButton="0" quotePrefix="0" xfId="6">
      <protection locked="1" hidden="1"/>
    </xf>
    <xf numFmtId="1" fontId="6" fillId="0" borderId="1031" applyProtection="1" pivotButton="0" quotePrefix="0" xfId="6">
      <protection locked="1" hidden="1"/>
    </xf>
    <xf numFmtId="1" fontId="3" fillId="0" borderId="1032" applyAlignment="1" pivotButton="0" quotePrefix="0" xfId="6">
      <alignment horizontal="center" vertical="center" wrapText="1"/>
    </xf>
    <xf numFmtId="1" fontId="3" fillId="0" borderId="554" applyAlignment="1" pivotButton="0" quotePrefix="0" xfId="6">
      <alignment horizontal="right"/>
    </xf>
    <xf numFmtId="1" fontId="3" fillId="4" borderId="554" applyProtection="1" pivotButton="0" quotePrefix="0" xfId="6">
      <protection locked="0" hidden="0"/>
    </xf>
    <xf numFmtId="1" fontId="3" fillId="6" borderId="554" pivotButton="0" quotePrefix="0" xfId="6"/>
    <xf numFmtId="1" fontId="3" fillId="4" borderId="594" applyProtection="1" pivotButton="0" quotePrefix="0" xfId="6">
      <protection locked="0" hidden="0"/>
    </xf>
    <xf numFmtId="1" fontId="3" fillId="4" borderId="390" applyProtection="1" pivotButton="0" quotePrefix="0" xfId="6">
      <protection locked="0" hidden="0"/>
    </xf>
    <xf numFmtId="1" fontId="3" fillId="0" borderId="384" applyAlignment="1" pivotButton="0" quotePrefix="0" xfId="6">
      <alignment horizontal="right"/>
    </xf>
    <xf numFmtId="1" fontId="3" fillId="4" borderId="384" applyProtection="1" pivotButton="0" quotePrefix="0" xfId="6">
      <protection locked="0" hidden="0"/>
    </xf>
    <xf numFmtId="1" fontId="3" fillId="6" borderId="384" pivotButton="0" quotePrefix="0" xfId="6"/>
    <xf numFmtId="1" fontId="3" fillId="4" borderId="419" applyProtection="1" pivotButton="0" quotePrefix="0" xfId="6">
      <protection locked="0" hidden="0"/>
    </xf>
    <xf numFmtId="1" fontId="3" fillId="4" borderId="378" applyProtection="1" pivotButton="0" quotePrefix="0" xfId="6">
      <protection locked="0" hidden="0"/>
    </xf>
    <xf numFmtId="1" fontId="2" fillId="0" borderId="1030" applyProtection="1" pivotButton="0" quotePrefix="0" xfId="6">
      <protection locked="1" hidden="1"/>
    </xf>
    <xf numFmtId="1" fontId="6" fillId="0" borderId="1033" applyProtection="1" pivotButton="0" quotePrefix="0" xfId="6">
      <protection locked="1" hidden="1"/>
    </xf>
    <xf numFmtId="1" fontId="3" fillId="0" borderId="1021" applyAlignment="1" pivotButton="0" quotePrefix="0" xfId="0">
      <alignment horizontal="center" vertical="center" wrapText="1"/>
    </xf>
    <xf numFmtId="1" fontId="3" fillId="0" borderId="1034" applyAlignment="1" pivotButton="0" quotePrefix="0" xfId="6">
      <alignment horizontal="center" vertical="center" wrapText="1"/>
    </xf>
    <xf numFmtId="0" fontId="3" fillId="0" borderId="1003" applyAlignment="1" pivotButton="0" quotePrefix="0" xfId="0">
      <alignment vertical="center" wrapText="1"/>
    </xf>
    <xf numFmtId="1" fontId="3" fillId="0" borderId="1003" applyAlignment="1" pivotButton="0" quotePrefix="0" xfId="0">
      <alignment horizontal="right"/>
    </xf>
    <xf numFmtId="1" fontId="3" fillId="4" borderId="1035" applyProtection="1" pivotButton="0" quotePrefix="0" xfId="0">
      <protection locked="0" hidden="0"/>
    </xf>
    <xf numFmtId="1" fontId="3" fillId="4" borderId="1036" applyProtection="1" pivotButton="0" quotePrefix="0" xfId="0">
      <protection locked="0" hidden="0"/>
    </xf>
    <xf numFmtId="0" fontId="3" fillId="0" borderId="1037" applyAlignment="1" pivotButton="0" quotePrefix="0" xfId="0">
      <alignment vertical="center" wrapText="1"/>
    </xf>
    <xf numFmtId="1" fontId="3" fillId="0" borderId="1037" applyAlignment="1" pivotButton="0" quotePrefix="0" xfId="0">
      <alignment horizontal="right" vertical="center"/>
    </xf>
    <xf numFmtId="1" fontId="3" fillId="4" borderId="1038" applyProtection="1" pivotButton="0" quotePrefix="0" xfId="0">
      <protection locked="0" hidden="0"/>
    </xf>
    <xf numFmtId="1" fontId="3" fillId="4" borderId="1039" applyProtection="1" pivotButton="0" quotePrefix="0" xfId="0">
      <protection locked="0" hidden="0"/>
    </xf>
    <xf numFmtId="1" fontId="3" fillId="4" borderId="1040" applyProtection="1" pivotButton="0" quotePrefix="0" xfId="0">
      <protection locked="0" hidden="0"/>
    </xf>
    <xf numFmtId="1" fontId="3" fillId="0" borderId="849" applyAlignment="1" pivotButton="0" quotePrefix="0" xfId="0">
      <alignment horizontal="right" vertical="center"/>
    </xf>
    <xf numFmtId="1" fontId="3" fillId="4" borderId="1041" applyProtection="1" pivotButton="0" quotePrefix="0" xfId="0">
      <protection locked="0" hidden="0"/>
    </xf>
    <xf numFmtId="1" fontId="3" fillId="4" borderId="1042" applyProtection="1" pivotButton="0" quotePrefix="0" xfId="0">
      <protection locked="0" hidden="0"/>
    </xf>
    <xf numFmtId="1" fontId="2" fillId="0" borderId="1031" applyProtection="1" pivotButton="0" quotePrefix="0" xfId="6">
      <protection locked="1" hidden="1"/>
    </xf>
    <xf numFmtId="0" fontId="3" fillId="0" borderId="788" applyAlignment="1" pivotButton="0" quotePrefix="0" xfId="0">
      <alignment horizontal="center" wrapText="1"/>
    </xf>
    <xf numFmtId="1" fontId="3" fillId="0" borderId="1035" pivotButton="0" quotePrefix="0" xfId="0"/>
    <xf numFmtId="1" fontId="3" fillId="5" borderId="1003" pivotButton="0" quotePrefix="0" xfId="0"/>
    <xf numFmtId="1" fontId="3" fillId="4" borderId="1043" applyProtection="1" pivotButton="0" quotePrefix="0" xfId="0">
      <protection locked="0" hidden="0"/>
    </xf>
    <xf numFmtId="1" fontId="3" fillId="4" borderId="1044" applyProtection="1" pivotButton="0" quotePrefix="0" xfId="0">
      <protection locked="0" hidden="0"/>
    </xf>
    <xf numFmtId="1" fontId="3" fillId="4" borderId="1045" applyProtection="1" pivotButton="0" quotePrefix="0" xfId="0">
      <protection locked="0" hidden="0"/>
    </xf>
    <xf numFmtId="1" fontId="3" fillId="4" borderId="1003" applyProtection="1" pivotButton="0" quotePrefix="0" xfId="0">
      <protection locked="0" hidden="0"/>
    </xf>
    <xf numFmtId="1" fontId="3" fillId="4" borderId="1022" applyProtection="1" pivotButton="0" quotePrefix="0" xfId="0">
      <protection locked="0" hidden="0"/>
    </xf>
    <xf numFmtId="1" fontId="3" fillId="0" borderId="1038" pivotButton="0" quotePrefix="0" xfId="0"/>
    <xf numFmtId="1" fontId="3" fillId="5" borderId="1037" pivotButton="0" quotePrefix="0" xfId="0"/>
    <xf numFmtId="1" fontId="3" fillId="4" borderId="1046" applyProtection="1" pivotButton="0" quotePrefix="0" xfId="0">
      <protection locked="0" hidden="0"/>
    </xf>
    <xf numFmtId="1" fontId="3" fillId="4" borderId="1047" applyProtection="1" pivotButton="0" quotePrefix="0" xfId="0">
      <protection locked="0" hidden="0"/>
    </xf>
    <xf numFmtId="1" fontId="3" fillId="4" borderId="1048" applyProtection="1" pivotButton="0" quotePrefix="0" xfId="0">
      <protection locked="0" hidden="0"/>
    </xf>
    <xf numFmtId="1" fontId="3" fillId="4" borderId="1037" applyProtection="1" pivotButton="0" quotePrefix="0" xfId="0">
      <protection locked="0" hidden="0"/>
    </xf>
    <xf numFmtId="1" fontId="3" fillId="4" borderId="1049" applyProtection="1" pivotButton="0" quotePrefix="0" xfId="0">
      <protection locked="0" hidden="0"/>
    </xf>
    <xf numFmtId="1" fontId="3" fillId="0" borderId="1041" pivotButton="0" quotePrefix="0" xfId="0"/>
    <xf numFmtId="1" fontId="3" fillId="4" borderId="1050" applyProtection="1" pivotButton="0" quotePrefix="0" xfId="0">
      <protection locked="0" hidden="0"/>
    </xf>
    <xf numFmtId="1" fontId="3" fillId="0" borderId="1013" applyAlignment="1" pivotButton="0" quotePrefix="0" xfId="0">
      <alignment horizontal="center"/>
    </xf>
    <xf numFmtId="1" fontId="3" fillId="0" borderId="1051" pivotButton="0" quotePrefix="0" xfId="0"/>
    <xf numFmtId="1" fontId="3" fillId="0" borderId="1017" pivotButton="0" quotePrefix="0" xfId="0"/>
    <xf numFmtId="1" fontId="3" fillId="4" borderId="1052" applyProtection="1" pivotButton="0" quotePrefix="0" xfId="0">
      <protection locked="0" hidden="0"/>
    </xf>
    <xf numFmtId="1" fontId="3" fillId="4" borderId="1053" applyProtection="1" pivotButton="0" quotePrefix="0" xfId="0">
      <protection locked="0" hidden="0"/>
    </xf>
    <xf numFmtId="1" fontId="3" fillId="4" borderId="1054" applyProtection="1" pivotButton="0" quotePrefix="0" xfId="0">
      <protection locked="0" hidden="0"/>
    </xf>
    <xf numFmtId="1" fontId="3" fillId="4" borderId="1055" applyProtection="1" pivotButton="0" quotePrefix="0" xfId="0">
      <protection locked="0" hidden="0"/>
    </xf>
    <xf numFmtId="1" fontId="3" fillId="4" borderId="1056" applyProtection="1" pivotButton="0" quotePrefix="0" xfId="0">
      <protection locked="0" hidden="0"/>
    </xf>
    <xf numFmtId="1" fontId="3" fillId="4" borderId="1057" applyProtection="1" pivotButton="0" quotePrefix="0" xfId="0">
      <protection locked="0" hidden="0"/>
    </xf>
    <xf numFmtId="1" fontId="3" fillId="4" borderId="1058" applyProtection="1" pivotButton="0" quotePrefix="0" xfId="0">
      <protection locked="0" hidden="0"/>
    </xf>
    <xf numFmtId="1" fontId="3" fillId="4" borderId="1059" applyProtection="1" pivotButton="0" quotePrefix="0" xfId="0">
      <protection locked="0" hidden="0"/>
    </xf>
    <xf numFmtId="1" fontId="3" fillId="4" borderId="467" applyProtection="1" pivotButton="0" quotePrefix="0" xfId="0">
      <protection locked="0" hidden="0"/>
    </xf>
    <xf numFmtId="1" fontId="6" fillId="0" borderId="1062" pivotButton="0" quotePrefix="0" xfId="6"/>
    <xf numFmtId="1" fontId="3" fillId="0" borderId="1018" applyAlignment="1" pivotButton="0" quotePrefix="0" xfId="6">
      <alignment horizontal="center" vertical="center"/>
    </xf>
    <xf numFmtId="1" fontId="3" fillId="0" borderId="1019" applyAlignment="1" pivotButton="0" quotePrefix="0" xfId="7">
      <alignment horizontal="center" vertical="center" wrapText="1"/>
    </xf>
    <xf numFmtId="1" fontId="3" fillId="0" borderId="1019" applyAlignment="1" pivotButton="0" quotePrefix="0" xfId="7">
      <alignment horizontal="center" vertical="center"/>
    </xf>
    <xf numFmtId="1" fontId="3" fillId="0" borderId="1017" applyAlignment="1" pivotButton="0" quotePrefix="0" xfId="7">
      <alignment horizontal="center" vertical="center"/>
    </xf>
    <xf numFmtId="1" fontId="3" fillId="0" borderId="1021" applyAlignment="1" pivotButton="0" quotePrefix="0" xfId="6">
      <alignment horizontal="right"/>
    </xf>
    <xf numFmtId="1" fontId="3" fillId="4" borderId="1018" applyAlignment="1" applyProtection="1" pivotButton="0" quotePrefix="0" xfId="6">
      <alignment horizontal="right"/>
      <protection locked="0" hidden="0"/>
    </xf>
    <xf numFmtId="1" fontId="3" fillId="4" borderId="1019" applyAlignment="1" applyProtection="1" pivotButton="0" quotePrefix="0" xfId="6">
      <alignment horizontal="right"/>
      <protection locked="0" hidden="0"/>
    </xf>
    <xf numFmtId="1" fontId="3" fillId="4" borderId="1017" applyAlignment="1" applyProtection="1" pivotButton="0" quotePrefix="0" xfId="6">
      <alignment horizontal="right"/>
      <protection locked="0" hidden="0"/>
    </xf>
    <xf numFmtId="1" fontId="3" fillId="0" borderId="1002" applyAlignment="1" pivotButton="0" quotePrefix="0" xfId="6">
      <alignment wrapText="1"/>
    </xf>
    <xf numFmtId="1" fontId="3" fillId="0" borderId="1003" applyAlignment="1" pivotButton="0" quotePrefix="0" xfId="6">
      <alignment horizontal="right"/>
    </xf>
    <xf numFmtId="1" fontId="3" fillId="4" borderId="546" applyAlignment="1" applyProtection="1" pivotButton="0" quotePrefix="0" xfId="6">
      <alignment horizontal="right"/>
      <protection locked="0" hidden="0"/>
    </xf>
    <xf numFmtId="1" fontId="3" fillId="4" borderId="1035" applyAlignment="1" applyProtection="1" pivotButton="0" quotePrefix="0" xfId="6">
      <alignment horizontal="right"/>
      <protection locked="0" hidden="0"/>
    </xf>
    <xf numFmtId="1" fontId="3" fillId="4" borderId="1022" applyAlignment="1" applyProtection="1" pivotButton="0" quotePrefix="0" xfId="6">
      <alignment horizontal="right"/>
      <protection locked="0" hidden="0"/>
    </xf>
    <xf numFmtId="1" fontId="3" fillId="0" borderId="850" applyAlignment="1" pivotButton="0" quotePrefix="0" xfId="6">
      <alignment wrapText="1"/>
    </xf>
    <xf numFmtId="1" fontId="3" fillId="0" borderId="849" applyAlignment="1" pivotButton="0" quotePrefix="0" xfId="6">
      <alignment horizontal="right"/>
    </xf>
    <xf numFmtId="1" fontId="3" fillId="4" borderId="1041" applyAlignment="1" applyProtection="1" pivotButton="0" quotePrefix="0" xfId="6">
      <alignment horizontal="right"/>
      <protection locked="0" hidden="0"/>
    </xf>
    <xf numFmtId="1" fontId="3" fillId="4" borderId="1063" applyAlignment="1" applyProtection="1" pivotButton="0" quotePrefix="0" xfId="6">
      <alignment horizontal="right"/>
      <protection locked="0" hidden="0"/>
    </xf>
    <xf numFmtId="1" fontId="6" fillId="0" borderId="1064" pivotButton="0" quotePrefix="0" xfId="6"/>
    <xf numFmtId="1" fontId="3" fillId="0" borderId="1065" applyAlignment="1" pivotButton="0" quotePrefix="0" xfId="6">
      <alignment horizontal="center" vertical="center" wrapText="1"/>
    </xf>
    <xf numFmtId="1" fontId="3" fillId="0" borderId="1003" applyAlignment="1" pivotButton="0" quotePrefix="0" xfId="6">
      <alignment wrapText="1"/>
    </xf>
    <xf numFmtId="1" fontId="3" fillId="4" borderId="553" applyProtection="1" pivotButton="0" quotePrefix="0" xfId="6">
      <protection locked="0" hidden="0"/>
    </xf>
    <xf numFmtId="1" fontId="3" fillId="0" borderId="1066" applyAlignment="1" pivotButton="0" quotePrefix="0" xfId="6">
      <alignment wrapText="1"/>
    </xf>
    <xf numFmtId="1" fontId="3" fillId="4" borderId="1067" applyAlignment="1" applyProtection="1" pivotButton="0" quotePrefix="0" xfId="6">
      <alignment horizontal="right"/>
      <protection locked="0" hidden="0"/>
    </xf>
    <xf numFmtId="1" fontId="3" fillId="4" borderId="1068" applyAlignment="1" applyProtection="1" pivotButton="0" quotePrefix="0" xfId="6">
      <alignment horizontal="right"/>
      <protection locked="0" hidden="0"/>
    </xf>
    <xf numFmtId="1" fontId="3" fillId="4" borderId="1067" applyProtection="1" pivotButton="0" quotePrefix="0" xfId="6">
      <protection locked="0" hidden="0"/>
    </xf>
    <xf numFmtId="1" fontId="3" fillId="4" borderId="1068" applyProtection="1" pivotButton="0" quotePrefix="0" xfId="6">
      <protection locked="0" hidden="0"/>
    </xf>
    <xf numFmtId="1" fontId="3" fillId="0" borderId="1021" applyAlignment="1" pivotButton="0" quotePrefix="0" xfId="6">
      <alignment horizontal="center" wrapText="1"/>
    </xf>
    <xf numFmtId="1" fontId="3" fillId="0" borderId="1018" applyAlignment="1" pivotButton="0" quotePrefix="0" xfId="6">
      <alignment horizontal="right"/>
    </xf>
    <xf numFmtId="1" fontId="3" fillId="0" borderId="1034" applyAlignment="1" pivotButton="0" quotePrefix="0" xfId="6">
      <alignment horizontal="right"/>
    </xf>
    <xf numFmtId="1" fontId="3" fillId="0" borderId="1017" applyAlignment="1" pivotButton="0" quotePrefix="0" xfId="6">
      <alignment horizontal="right"/>
    </xf>
    <xf numFmtId="1" fontId="3" fillId="4" borderId="1069" applyProtection="1" pivotButton="0" quotePrefix="0" xfId="6">
      <protection locked="0" hidden="0"/>
    </xf>
    <xf numFmtId="1" fontId="3" fillId="4" borderId="470" applyProtection="1" pivotButton="0" quotePrefix="0" xfId="6">
      <protection locked="0" hidden="0"/>
    </xf>
    <xf numFmtId="1" fontId="3" fillId="0" borderId="1070" applyAlignment="1" pivotButton="0" quotePrefix="0" xfId="6">
      <alignment wrapText="1"/>
    </xf>
    <xf numFmtId="1" fontId="3" fillId="4" borderId="1071" applyProtection="1" pivotButton="0" quotePrefix="0" xfId="6">
      <protection locked="0" hidden="0"/>
    </xf>
    <xf numFmtId="1" fontId="3" fillId="4" borderId="1072" applyProtection="1" pivotButton="0" quotePrefix="0" xfId="6">
      <protection locked="0" hidden="0"/>
    </xf>
    <xf numFmtId="1" fontId="3" fillId="0" borderId="849" applyAlignment="1" pivotButton="0" quotePrefix="0" xfId="6">
      <alignment wrapText="1"/>
    </xf>
    <xf numFmtId="1" fontId="3" fillId="4" borderId="1073" applyProtection="1" pivotButton="0" quotePrefix="0" xfId="6">
      <protection locked="0" hidden="0"/>
    </xf>
    <xf numFmtId="1" fontId="3" fillId="0" borderId="1074" applyAlignment="1" pivotButton="0" quotePrefix="0" xfId="6">
      <alignment horizontal="center" wrapText="1"/>
    </xf>
    <xf numFmtId="1" fontId="3" fillId="0" borderId="1018" pivotButton="0" quotePrefix="0" xfId="6"/>
    <xf numFmtId="1" fontId="3" fillId="0" borderId="1015" pivotButton="0" quotePrefix="0" xfId="6"/>
    <xf numFmtId="1" fontId="3" fillId="0" borderId="1034" pivotButton="0" quotePrefix="0" xfId="6"/>
    <xf numFmtId="1" fontId="3" fillId="0" borderId="1065" pivotButton="0" quotePrefix="0" xfId="6"/>
    <xf numFmtId="1" fontId="3" fillId="0" borderId="1013" applyAlignment="1" pivotButton="0" quotePrefix="0" xfId="0">
      <alignment horizontal="center" vertical="center" wrapText="1"/>
    </xf>
    <xf numFmtId="1" fontId="3" fillId="0" borderId="1014" applyAlignment="1" pivotButton="0" quotePrefix="0" xfId="0">
      <alignment horizontal="center" vertical="center" wrapText="1"/>
    </xf>
    <xf numFmtId="1" fontId="3" fillId="0" borderId="1015" applyAlignment="1" pivotButton="0" quotePrefix="0" xfId="0">
      <alignment horizontal="center" vertical="center" wrapText="1"/>
    </xf>
    <xf numFmtId="1" fontId="3" fillId="0" borderId="1017" applyAlignment="1" pivotButton="0" quotePrefix="0" xfId="0">
      <alignment horizontal="center" vertical="center"/>
    </xf>
    <xf numFmtId="1" fontId="3" fillId="0" borderId="1018" applyAlignment="1" pivotButton="0" quotePrefix="0" xfId="0">
      <alignment horizontal="center" vertical="center" wrapText="1"/>
    </xf>
    <xf numFmtId="1" fontId="3" fillId="0" borderId="1019" applyAlignment="1" pivotButton="0" quotePrefix="0" xfId="0">
      <alignment horizontal="center" vertical="center"/>
    </xf>
    <xf numFmtId="1" fontId="3" fillId="0" borderId="1014" applyAlignment="1" pivotButton="0" quotePrefix="0" xfId="0">
      <alignment horizontal="center" vertical="center"/>
    </xf>
    <xf numFmtId="1" fontId="3" fillId="0" borderId="1075" applyAlignment="1" pivotButton="0" quotePrefix="0" xfId="0">
      <alignment horizontal="center" vertical="center"/>
    </xf>
    <xf numFmtId="1" fontId="3" fillId="0" borderId="1065" applyAlignment="1" pivotButton="0" quotePrefix="0" xfId="0">
      <alignment horizontal="center" vertical="center"/>
    </xf>
    <xf numFmtId="1" fontId="3" fillId="0" borderId="1003" applyAlignment="1" pivotButton="0" quotePrefix="0" xfId="0">
      <alignment horizontal="left"/>
    </xf>
    <xf numFmtId="1" fontId="3" fillId="0" borderId="1003" pivotButton="0" quotePrefix="0" xfId="0"/>
    <xf numFmtId="1" fontId="3" fillId="7" borderId="1076" pivotButton="0" quotePrefix="0" xfId="0"/>
    <xf numFmtId="1" fontId="3" fillId="0" borderId="1074" applyAlignment="1" pivotButton="0" quotePrefix="0" xfId="0">
      <alignment horizontal="left"/>
    </xf>
    <xf numFmtId="1" fontId="3" fillId="0" borderId="1074" pivotButton="0" quotePrefix="0" xfId="0"/>
    <xf numFmtId="1" fontId="3" fillId="4" borderId="1077" applyProtection="1" pivotButton="0" quotePrefix="0" xfId="0">
      <protection locked="0" hidden="0"/>
    </xf>
    <xf numFmtId="1" fontId="3" fillId="7" borderId="1078" pivotButton="0" quotePrefix="0" xfId="0"/>
    <xf numFmtId="1" fontId="3" fillId="4" borderId="1079" applyProtection="1" pivotButton="0" quotePrefix="0" xfId="0">
      <protection locked="0" hidden="0"/>
    </xf>
    <xf numFmtId="1" fontId="3" fillId="5" borderId="1021" applyAlignment="1" pivotButton="0" quotePrefix="0" xfId="6">
      <alignment horizontal="center" vertical="center" wrapText="1"/>
    </xf>
    <xf numFmtId="2" fontId="3" fillId="5" borderId="1034" applyAlignment="1" pivotButton="0" quotePrefix="0" xfId="0">
      <alignment horizontal="center" vertical="center" wrapText="1"/>
    </xf>
    <xf numFmtId="1" fontId="3" fillId="5" borderId="1019" applyAlignment="1" pivotButton="0" quotePrefix="0" xfId="0">
      <alignment horizontal="center" vertical="center" wrapText="1"/>
    </xf>
    <xf numFmtId="1" fontId="3" fillId="5" borderId="1065" applyAlignment="1" pivotButton="0" quotePrefix="0" xfId="0">
      <alignment horizontal="center" vertical="center" wrapText="1"/>
    </xf>
    <xf numFmtId="2" fontId="3" fillId="0" borderId="1021" pivotButton="0" quotePrefix="0" xfId="0"/>
    <xf numFmtId="2" fontId="3" fillId="0" borderId="1034" pivotButton="0" quotePrefix="0" xfId="0"/>
    <xf numFmtId="2" fontId="3" fillId="0" borderId="1019" pivotButton="0" quotePrefix="0" xfId="0"/>
    <xf numFmtId="2" fontId="3" fillId="0" borderId="1065" pivotButton="0" quotePrefix="0" xfId="0"/>
    <xf numFmtId="1" fontId="3" fillId="0" borderId="1003" applyAlignment="1" pivotButton="0" quotePrefix="0" xfId="6">
      <alignment horizontal="left" vertical="center" wrapText="1"/>
    </xf>
    <xf numFmtId="2" fontId="3" fillId="4" borderId="1003" applyAlignment="1" applyProtection="1" pivotButton="0" quotePrefix="0" xfId="6">
      <alignment horizontal="right"/>
      <protection locked="0" hidden="0"/>
    </xf>
    <xf numFmtId="2" fontId="3" fillId="4" borderId="1036" applyAlignment="1" applyProtection="1" pivotButton="0" quotePrefix="0" xfId="6">
      <alignment horizontal="right"/>
      <protection locked="0" hidden="0"/>
    </xf>
    <xf numFmtId="2" fontId="3" fillId="4" borderId="737" applyAlignment="1" applyProtection="1" pivotButton="0" quotePrefix="0" xfId="6">
      <alignment horizontal="right"/>
      <protection locked="0" hidden="0"/>
    </xf>
    <xf numFmtId="0" fontId="3" fillId="0" borderId="1074" pivotButton="0" quotePrefix="0" xfId="0"/>
    <xf numFmtId="2" fontId="3" fillId="4" borderId="1074" applyAlignment="1" applyProtection="1" pivotButton="0" quotePrefix="0" xfId="6">
      <alignment horizontal="right"/>
      <protection locked="0" hidden="0"/>
    </xf>
    <xf numFmtId="2" fontId="3" fillId="4" borderId="1080" applyProtection="1" pivotButton="0" quotePrefix="0" xfId="0">
      <protection locked="0" hidden="0"/>
    </xf>
    <xf numFmtId="2" fontId="3" fillId="4" borderId="1077" applyProtection="1" pivotButton="0" quotePrefix="0" xfId="0">
      <protection locked="0" hidden="0"/>
    </xf>
    <xf numFmtId="2" fontId="3" fillId="4" borderId="1079" applyProtection="1" pivotButton="0" quotePrefix="0" xfId="0">
      <protection locked="0" hidden="0"/>
    </xf>
    <xf numFmtId="2" fontId="3" fillId="4" borderId="1079" applyAlignment="1" applyProtection="1" pivotButton="0" quotePrefix="0" xfId="6">
      <alignment horizontal="right"/>
      <protection locked="0" hidden="0"/>
    </xf>
    <xf numFmtId="1" fontId="3" fillId="0" borderId="929" applyAlignment="1" pivotButton="0" quotePrefix="0" xfId="6">
      <alignment horizontal="center" vertical="center" wrapText="1"/>
    </xf>
    <xf numFmtId="1" fontId="3" fillId="5" borderId="1018" applyAlignment="1" pivotButton="0" quotePrefix="0" xfId="6">
      <alignment horizontal="center" vertical="center" wrapText="1"/>
    </xf>
    <xf numFmtId="1" fontId="3" fillId="5" borderId="1034" applyAlignment="1" pivotButton="0" quotePrefix="0" xfId="6">
      <alignment horizontal="center" vertical="center" wrapText="1"/>
    </xf>
    <xf numFmtId="1" fontId="3" fillId="5" borderId="1017" applyAlignment="1" pivotButton="0" quotePrefix="0" xfId="6">
      <alignment horizontal="center" vertical="center" wrapText="1"/>
    </xf>
    <xf numFmtId="1" fontId="3" fillId="4" borderId="1081" applyProtection="1" pivotButton="0" quotePrefix="0" xfId="6">
      <protection locked="0" hidden="0"/>
    </xf>
    <xf numFmtId="1" fontId="3" fillId="4" borderId="546" applyProtection="1" pivotButton="0" quotePrefix="0" xfId="6">
      <protection locked="0" hidden="0"/>
    </xf>
    <xf numFmtId="1" fontId="3" fillId="5" borderId="1021" applyAlignment="1" pivotButton="0" quotePrefix="0" xfId="6">
      <alignment horizontal="center" wrapText="1"/>
    </xf>
    <xf numFmtId="1" fontId="3" fillId="5" borderId="1018" applyAlignment="1" pivotButton="0" quotePrefix="0" xfId="6">
      <alignment horizontal="right"/>
    </xf>
    <xf numFmtId="1" fontId="3" fillId="5" borderId="1017" applyAlignment="1" pivotButton="0" quotePrefix="0" xfId="6">
      <alignment horizontal="right"/>
    </xf>
    <xf numFmtId="1" fontId="3" fillId="4" borderId="715" applyProtection="1" pivotButton="0" quotePrefix="0" xfId="6">
      <protection locked="0" hidden="0"/>
    </xf>
    <xf numFmtId="1" fontId="3" fillId="6" borderId="1083" pivotButton="0" quotePrefix="0" xfId="6"/>
    <xf numFmtId="1" fontId="3" fillId="6" borderId="1084" pivotButton="0" quotePrefix="0" xfId="6"/>
    <xf numFmtId="1" fontId="3" fillId="0" borderId="1085" pivotButton="0" quotePrefix="0" xfId="0"/>
    <xf numFmtId="1" fontId="3" fillId="4" borderId="1086" applyProtection="1" pivotButton="0" quotePrefix="0" xfId="6">
      <protection locked="0" hidden="0"/>
    </xf>
    <xf numFmtId="1" fontId="3" fillId="4" borderId="1087" applyProtection="1" pivotButton="0" quotePrefix="0" xfId="6">
      <protection locked="0" hidden="0"/>
    </xf>
    <xf numFmtId="1" fontId="3" fillId="4" borderId="1088" applyProtection="1" pivotButton="0" quotePrefix="0" xfId="6">
      <protection locked="0" hidden="0"/>
    </xf>
    <xf numFmtId="1" fontId="3" fillId="4" borderId="1089" applyProtection="1" pivotButton="0" quotePrefix="0" xfId="6">
      <protection locked="0" hidden="0"/>
    </xf>
    <xf numFmtId="1" fontId="3" fillId="6" borderId="1089" pivotButton="0" quotePrefix="0" xfId="6"/>
    <xf numFmtId="1" fontId="3" fillId="4" borderId="1090" applyProtection="1" pivotButton="0" quotePrefix="0" xfId="6">
      <protection locked="0" hidden="0"/>
    </xf>
    <xf numFmtId="1" fontId="3" fillId="5" borderId="1015" applyAlignment="1" pivotButton="0" quotePrefix="0" xfId="6">
      <alignment horizontal="right"/>
    </xf>
    <xf numFmtId="1" fontId="3" fillId="5" borderId="1017" applyAlignment="1" pivotButton="0" quotePrefix="0" xfId="6">
      <alignment horizontal="center"/>
    </xf>
    <xf numFmtId="1" fontId="3" fillId="5" borderId="1032" applyAlignment="1" pivotButton="0" quotePrefix="0" xfId="6">
      <alignment horizontal="right"/>
    </xf>
    <xf numFmtId="1" fontId="3" fillId="0" borderId="1018" applyAlignment="1" pivotButton="0" quotePrefix="0" xfId="0">
      <alignment horizontal="center" vertical="center"/>
    </xf>
    <xf numFmtId="1" fontId="3" fillId="0" borderId="1034" applyAlignment="1" pivotButton="0" quotePrefix="0" xfId="0">
      <alignment horizontal="center" vertical="center"/>
    </xf>
    <xf numFmtId="1" fontId="3" fillId="0" borderId="1093" applyAlignment="1" pivotButton="0" quotePrefix="0" xfId="0">
      <alignment horizontal="center" vertical="center"/>
    </xf>
    <xf numFmtId="1" fontId="3" fillId="0" borderId="1035" applyAlignment="1" pivotButton="0" quotePrefix="0" xfId="0">
      <alignment vertical="center"/>
    </xf>
    <xf numFmtId="1" fontId="3" fillId="0" borderId="1035" applyAlignment="1" pivotButton="0" quotePrefix="0" xfId="0">
      <alignment horizontal="right" vertical="center"/>
    </xf>
    <xf numFmtId="1" fontId="3" fillId="0" borderId="1036" applyAlignment="1" pivotButton="0" quotePrefix="0" xfId="0">
      <alignment horizontal="right" vertical="center"/>
    </xf>
    <xf numFmtId="1" fontId="3" fillId="0" borderId="1022" applyAlignment="1" pivotButton="0" quotePrefix="0" xfId="0">
      <alignment horizontal="right" vertical="center"/>
    </xf>
    <xf numFmtId="1" fontId="3" fillId="4" borderId="1084" applyAlignment="1" applyProtection="1" pivotButton="0" quotePrefix="0" xfId="0">
      <alignment horizontal="right"/>
      <protection locked="0" hidden="0"/>
    </xf>
    <xf numFmtId="1" fontId="3" fillId="4" borderId="1022" applyAlignment="1" applyProtection="1" pivotButton="0" quotePrefix="0" xfId="0">
      <alignment horizontal="right"/>
      <protection locked="0" hidden="0"/>
    </xf>
    <xf numFmtId="1" fontId="3" fillId="0" borderId="1094" applyAlignment="1" pivotButton="0" quotePrefix="0" xfId="0">
      <alignment vertical="center"/>
    </xf>
    <xf numFmtId="1" fontId="3" fillId="0" borderId="1095" applyAlignment="1" pivotButton="0" quotePrefix="0" xfId="0">
      <alignment horizontal="right" vertical="center"/>
    </xf>
    <xf numFmtId="1" fontId="3" fillId="0" borderId="1096" applyAlignment="1" pivotButton="0" quotePrefix="0" xfId="0">
      <alignment horizontal="right" vertical="center"/>
    </xf>
    <xf numFmtId="1" fontId="3" fillId="0" borderId="1081" applyAlignment="1" pivotButton="0" quotePrefix="0" xfId="0">
      <alignment horizontal="right" vertical="center"/>
    </xf>
    <xf numFmtId="1" fontId="3" fillId="4" borderId="1095" applyAlignment="1" applyProtection="1" pivotButton="0" quotePrefix="0" xfId="0">
      <alignment horizontal="right"/>
      <protection locked="0" hidden="0"/>
    </xf>
    <xf numFmtId="1" fontId="3" fillId="4" borderId="1081" applyAlignment="1" applyProtection="1" pivotButton="0" quotePrefix="0" xfId="0">
      <alignment horizontal="right"/>
      <protection locked="0" hidden="0"/>
    </xf>
    <xf numFmtId="1" fontId="3" fillId="4" borderId="1076" applyAlignment="1" applyProtection="1" pivotButton="0" quotePrefix="0" xfId="0">
      <alignment horizontal="right"/>
      <protection locked="0" hidden="0"/>
    </xf>
    <xf numFmtId="1" fontId="3" fillId="4" borderId="1096" applyAlignment="1" applyProtection="1" pivotButton="0" quotePrefix="0" xfId="0">
      <alignment horizontal="right"/>
      <protection locked="0" hidden="0"/>
    </xf>
    <xf numFmtId="1" fontId="3" fillId="4" borderId="1097" applyAlignment="1" applyProtection="1" pivotButton="0" quotePrefix="0" xfId="0">
      <alignment horizontal="right"/>
      <protection locked="0" hidden="0"/>
    </xf>
    <xf numFmtId="1" fontId="3" fillId="4" borderId="1087" applyAlignment="1" applyProtection="1" pivotButton="0" quotePrefix="0" xfId="0">
      <alignment horizontal="right"/>
      <protection locked="0" hidden="0"/>
    </xf>
    <xf numFmtId="1" fontId="3" fillId="4" borderId="1098" applyAlignment="1" applyProtection="1" pivotButton="0" quotePrefix="0" xfId="0">
      <alignment horizontal="right"/>
      <protection locked="0" hidden="0"/>
    </xf>
    <xf numFmtId="1" fontId="3" fillId="4" borderId="1100" applyAlignment="1" applyProtection="1" pivotButton="0" quotePrefix="0" xfId="0">
      <alignment horizontal="right"/>
      <protection locked="0" hidden="0"/>
    </xf>
    <xf numFmtId="1" fontId="3" fillId="0" borderId="1094" applyAlignment="1" pivotButton="0" quotePrefix="0" xfId="0">
      <alignment vertical="center" wrapText="1"/>
    </xf>
    <xf numFmtId="1" fontId="3" fillId="0" borderId="1095" applyAlignment="1" pivotButton="0" quotePrefix="0" xfId="0">
      <alignment horizontal="right" vertical="center" wrapText="1"/>
    </xf>
    <xf numFmtId="1" fontId="3" fillId="0" borderId="1096" applyAlignment="1" pivotButton="0" quotePrefix="0" xfId="0">
      <alignment horizontal="right" vertical="center" wrapText="1"/>
    </xf>
    <xf numFmtId="1" fontId="3" fillId="0" borderId="1095" applyAlignment="1" pivotButton="0" quotePrefix="0" xfId="0">
      <alignment vertical="center"/>
    </xf>
    <xf numFmtId="1" fontId="3" fillId="0" borderId="1095" applyAlignment="1" pivotButton="0" quotePrefix="0" xfId="0">
      <alignment vertical="center" wrapText="1"/>
    </xf>
    <xf numFmtId="1" fontId="3" fillId="7" borderId="1095" applyAlignment="1" pivotButton="0" quotePrefix="0" xfId="0">
      <alignment horizontal="right"/>
    </xf>
    <xf numFmtId="1" fontId="3" fillId="7" borderId="1076" applyAlignment="1" pivotButton="0" quotePrefix="0" xfId="0">
      <alignment horizontal="right"/>
    </xf>
    <xf numFmtId="1" fontId="3" fillId="7" borderId="1096" applyAlignment="1" pivotButton="0" quotePrefix="0" xfId="0">
      <alignment horizontal="right"/>
    </xf>
    <xf numFmtId="1" fontId="3" fillId="7" borderId="1097" applyAlignment="1" pivotButton="0" quotePrefix="0" xfId="0">
      <alignment horizontal="right"/>
    </xf>
    <xf numFmtId="1" fontId="3" fillId="7" borderId="1087" applyAlignment="1" pivotButton="0" quotePrefix="0" xfId="0">
      <alignment horizontal="right"/>
    </xf>
    <xf numFmtId="1" fontId="3" fillId="7" borderId="1098" applyAlignment="1" pivotButton="0" quotePrefix="0" xfId="0">
      <alignment horizontal="right"/>
    </xf>
    <xf numFmtId="1" fontId="3" fillId="7" borderId="1081" applyAlignment="1" pivotButton="0" quotePrefix="0" xfId="0">
      <alignment horizontal="right"/>
    </xf>
    <xf numFmtId="1" fontId="3" fillId="0" borderId="1101" applyAlignment="1" pivotButton="0" quotePrefix="0" xfId="0">
      <alignment vertical="center" wrapText="1"/>
    </xf>
    <xf numFmtId="1" fontId="3" fillId="0" borderId="1101" applyAlignment="1" pivotButton="0" quotePrefix="0" xfId="0">
      <alignment horizontal="right" vertical="center" wrapText="1"/>
    </xf>
    <xf numFmtId="1" fontId="3" fillId="0" borderId="1080" applyAlignment="1" pivotButton="0" quotePrefix="0" xfId="0">
      <alignment horizontal="right" vertical="center" wrapText="1"/>
    </xf>
    <xf numFmtId="1" fontId="3" fillId="4" borderId="1101" applyAlignment="1" applyProtection="1" pivotButton="0" quotePrefix="0" xfId="0">
      <alignment horizontal="right"/>
      <protection locked="0" hidden="0"/>
    </xf>
    <xf numFmtId="1" fontId="3" fillId="4" borderId="1079" applyAlignment="1" applyProtection="1" pivotButton="0" quotePrefix="0" xfId="0">
      <alignment horizontal="right"/>
      <protection locked="0" hidden="0"/>
    </xf>
    <xf numFmtId="1" fontId="3" fillId="4" borderId="1080" applyAlignment="1" applyProtection="1" pivotButton="0" quotePrefix="0" xfId="0">
      <alignment horizontal="right"/>
      <protection locked="0" hidden="0"/>
    </xf>
    <xf numFmtId="1" fontId="3" fillId="4" borderId="1102" applyAlignment="1" applyProtection="1" pivotButton="0" quotePrefix="0" xfId="0">
      <alignment horizontal="right"/>
      <protection locked="0" hidden="0"/>
    </xf>
    <xf numFmtId="1" fontId="3" fillId="4" borderId="1103" applyAlignment="1" applyProtection="1" pivotButton="0" quotePrefix="0" xfId="0">
      <alignment horizontal="right"/>
      <protection locked="0" hidden="0"/>
    </xf>
    <xf numFmtId="1" fontId="3" fillId="0" borderId="789" applyAlignment="1" pivotButton="0" quotePrefix="0" xfId="0">
      <alignment horizontal="right" vertical="center"/>
    </xf>
    <xf numFmtId="1" fontId="3" fillId="0" borderId="785" applyAlignment="1" pivotButton="0" quotePrefix="0" xfId="0">
      <alignment horizontal="right" vertical="center"/>
    </xf>
    <xf numFmtId="1" fontId="3" fillId="0" borderId="1018" applyAlignment="1" pivotButton="0" quotePrefix="0" xfId="0">
      <alignment horizontal="right"/>
    </xf>
    <xf numFmtId="1" fontId="3" fillId="0" borderId="1017" applyAlignment="1" pivotButton="0" quotePrefix="0" xfId="0">
      <alignment horizontal="right"/>
    </xf>
    <xf numFmtId="1" fontId="3" fillId="0" borderId="1104" applyAlignment="1" pivotButton="0" quotePrefix="0" xfId="0">
      <alignment horizontal="right"/>
    </xf>
    <xf numFmtId="1" fontId="3" fillId="0" borderId="1034" applyAlignment="1" pivotButton="0" quotePrefix="0" xfId="0">
      <alignment horizontal="right"/>
    </xf>
    <xf numFmtId="1" fontId="3" fillId="0" borderId="1105" applyAlignment="1" pivotButton="0" quotePrefix="0" xfId="0">
      <alignment horizontal="right"/>
    </xf>
    <xf numFmtId="1" fontId="3" fillId="0" borderId="1106" applyAlignment="1" pivotButton="0" quotePrefix="0" xfId="0">
      <alignment horizontal="right"/>
    </xf>
    <xf numFmtId="1" fontId="3" fillId="0" borderId="1019" applyAlignment="1" pivotButton="0" quotePrefix="0" xfId="0">
      <alignment horizontal="right"/>
    </xf>
    <xf numFmtId="1" fontId="3" fillId="3" borderId="929" applyAlignment="1" pivotButton="0" quotePrefix="0" xfId="0">
      <alignment horizontal="center" vertical="center"/>
    </xf>
    <xf numFmtId="1" fontId="3" fillId="0" borderId="1015" applyAlignment="1" pivotButton="0" quotePrefix="0" xfId="0">
      <alignment horizontal="center" vertical="center"/>
    </xf>
    <xf numFmtId="1" fontId="3" fillId="0" borderId="1003" applyAlignment="1" pivotButton="0" quotePrefix="0" xfId="0">
      <alignment vertical="center" wrapText="1"/>
    </xf>
    <xf numFmtId="1" fontId="3" fillId="0" borderId="1084" applyAlignment="1" pivotButton="0" quotePrefix="0" xfId="0">
      <alignment horizontal="right" vertical="center"/>
    </xf>
    <xf numFmtId="1" fontId="3" fillId="7" borderId="550" applyAlignment="1" pivotButton="0" quotePrefix="0" xfId="0">
      <alignment horizontal="right"/>
    </xf>
    <xf numFmtId="1" fontId="3" fillId="0" borderId="1085" applyAlignment="1" pivotButton="0" quotePrefix="0" xfId="0">
      <alignment vertical="center" wrapText="1"/>
    </xf>
    <xf numFmtId="1" fontId="3" fillId="0" borderId="546" applyAlignment="1" pivotButton="0" quotePrefix="0" xfId="0">
      <alignment horizontal="right" vertical="center"/>
    </xf>
    <xf numFmtId="1" fontId="3" fillId="7" borderId="908" applyAlignment="1" pivotButton="0" quotePrefix="0" xfId="0">
      <alignment horizontal="right"/>
    </xf>
    <xf numFmtId="1" fontId="3" fillId="7" borderId="979" applyAlignment="1" pivotButton="0" quotePrefix="0" xfId="0">
      <alignment horizontal="right"/>
    </xf>
    <xf numFmtId="1" fontId="3" fillId="0" borderId="1035" applyAlignment="1" pivotButton="0" quotePrefix="0" xfId="0">
      <alignment horizontal="right" vertical="center" wrapText="1"/>
    </xf>
    <xf numFmtId="1" fontId="3" fillId="7" borderId="1035" pivotButton="0" quotePrefix="0" xfId="14"/>
    <xf numFmtId="1" fontId="3" fillId="7" borderId="1022" pivotButton="0" quotePrefix="0" xfId="14"/>
    <xf numFmtId="1" fontId="3" fillId="4" borderId="1035" applyAlignment="1" applyProtection="1" pivotButton="0" quotePrefix="0" xfId="0">
      <alignment horizontal="right"/>
      <protection locked="0" hidden="0"/>
    </xf>
    <xf numFmtId="1" fontId="3" fillId="4" borderId="1002" applyAlignment="1" applyProtection="1" pivotButton="0" quotePrefix="0" xfId="0">
      <alignment horizontal="right"/>
      <protection locked="0" hidden="0"/>
    </xf>
    <xf numFmtId="1" fontId="3" fillId="7" borderId="1095" pivotButton="0" quotePrefix="0" xfId="14"/>
    <xf numFmtId="1" fontId="3" fillId="7" borderId="1081" pivotButton="0" quotePrefix="0" xfId="14"/>
    <xf numFmtId="1" fontId="3" fillId="4" borderId="550" applyAlignment="1" applyProtection="1" pivotButton="0" quotePrefix="0" xfId="0">
      <alignment horizontal="right"/>
      <protection locked="0" hidden="0"/>
    </xf>
    <xf numFmtId="1" fontId="3" fillId="0" borderId="1074" applyAlignment="1" pivotButton="0" quotePrefix="0" xfId="0">
      <alignment vertical="center" wrapText="1"/>
    </xf>
    <xf numFmtId="1" fontId="3" fillId="4" borderId="1107" applyAlignment="1" applyProtection="1" pivotButton="0" quotePrefix="0" xfId="0">
      <alignment horizontal="right"/>
      <protection locked="0" hidden="0"/>
    </xf>
    <xf numFmtId="1" fontId="3" fillId="4" borderId="1078" applyAlignment="1" applyProtection="1" pivotButton="0" quotePrefix="0" xfId="0">
      <alignment horizontal="right"/>
      <protection locked="0" hidden="0"/>
    </xf>
    <xf numFmtId="1" fontId="3" fillId="4" borderId="1077" applyAlignment="1" applyProtection="1" pivotButton="0" quotePrefix="0" xfId="0">
      <alignment horizontal="right"/>
      <protection locked="0" hidden="0"/>
    </xf>
    <xf numFmtId="1" fontId="3" fillId="7" borderId="1035" applyAlignment="1" pivotButton="0" quotePrefix="0" xfId="0">
      <alignment horizontal="right"/>
    </xf>
    <xf numFmtId="1" fontId="3" fillId="0" borderId="1077" applyAlignment="1" pivotButton="0" quotePrefix="0" xfId="0">
      <alignment horizontal="right" vertical="center" wrapText="1"/>
    </xf>
    <xf numFmtId="1" fontId="3" fillId="7" borderId="1101" applyAlignment="1" pivotButton="0" quotePrefix="0" xfId="0">
      <alignment horizontal="right"/>
    </xf>
    <xf numFmtId="1" fontId="3" fillId="7" borderId="1079" applyAlignment="1" pivotButton="0" quotePrefix="0" xfId="0">
      <alignment horizontal="right"/>
    </xf>
    <xf numFmtId="1" fontId="3" fillId="0" borderId="1094" applyAlignment="1" pivotButton="0" quotePrefix="0" xfId="0">
      <alignment horizontal="left" vertical="center"/>
    </xf>
    <xf numFmtId="1" fontId="3" fillId="0" borderId="1081" applyAlignment="1" pivotButton="0" quotePrefix="0" xfId="0">
      <alignment horizontal="left" vertical="center"/>
    </xf>
    <xf numFmtId="1" fontId="3" fillId="0" borderId="1100" applyAlignment="1" pivotButton="0" quotePrefix="0" xfId="0">
      <alignment horizontal="right" vertical="center"/>
    </xf>
    <xf numFmtId="1" fontId="3" fillId="4" borderId="1094" applyAlignment="1" applyProtection="1" pivotButton="0" quotePrefix="0" xfId="0">
      <alignment horizontal="right"/>
      <protection locked="0" hidden="0"/>
    </xf>
    <xf numFmtId="1" fontId="3" fillId="0" borderId="1094" applyAlignment="1" pivotButton="0" quotePrefix="0" xfId="0">
      <alignment horizontal="left" vertical="center" wrapText="1"/>
    </xf>
    <xf numFmtId="1" fontId="3" fillId="0" borderId="1081" applyAlignment="1" pivotButton="0" quotePrefix="0" xfId="0">
      <alignment horizontal="left" vertical="center" wrapText="1"/>
    </xf>
    <xf numFmtId="1" fontId="3" fillId="0" borderId="1100" applyAlignment="1" pivotButton="0" quotePrefix="0" xfId="0">
      <alignment horizontal="right" vertical="center" wrapText="1"/>
    </xf>
    <xf numFmtId="1" fontId="3" fillId="0" borderId="1101" applyAlignment="1" pivotButton="0" quotePrefix="0" xfId="0">
      <alignment horizontal="right" vertical="center"/>
    </xf>
    <xf numFmtId="1" fontId="3" fillId="0" borderId="1013" applyAlignment="1" pivotButton="0" quotePrefix="0" xfId="0">
      <alignment horizontal="right"/>
    </xf>
    <xf numFmtId="1" fontId="3" fillId="0" borderId="1014" applyAlignment="1" pivotButton="0" quotePrefix="0" xfId="0">
      <alignment horizontal="right"/>
    </xf>
    <xf numFmtId="1" fontId="3" fillId="0" borderId="1021" applyAlignment="1" pivotButton="0" quotePrefix="0" xfId="0">
      <alignment horizontal="right"/>
    </xf>
    <xf numFmtId="1" fontId="3" fillId="0" borderId="1013" applyAlignment="1" pivotButton="0" quotePrefix="0" xfId="0">
      <alignment horizontal="center" vertical="center"/>
    </xf>
    <xf numFmtId="1" fontId="3" fillId="0" borderId="890" applyAlignment="1" pivotButton="0" quotePrefix="0" xfId="14">
      <alignment horizontal="center" vertical="center" wrapText="1"/>
    </xf>
    <xf numFmtId="1" fontId="3" fillId="0" borderId="546" applyAlignment="1" pivotButton="0" quotePrefix="0" xfId="14">
      <alignment horizontal="center" vertical="center"/>
    </xf>
    <xf numFmtId="1" fontId="3" fillId="0" borderId="1075" applyAlignment="1" applyProtection="1" pivotButton="0" quotePrefix="0" xfId="14">
      <alignment horizontal="center" vertical="center"/>
      <protection locked="1" hidden="1"/>
    </xf>
    <xf numFmtId="1" fontId="3" fillId="0" borderId="1104" applyAlignment="1" applyProtection="1" pivotButton="0" quotePrefix="0" xfId="14">
      <alignment horizontal="center" vertical="center"/>
      <protection locked="1" hidden="1"/>
    </xf>
    <xf numFmtId="1" fontId="3" fillId="0" borderId="1002" applyAlignment="1" pivotButton="0" quotePrefix="0" xfId="15">
      <alignment wrapText="1"/>
    </xf>
    <xf numFmtId="1" fontId="3" fillId="0" borderId="1035" applyAlignment="1" pivotButton="0" quotePrefix="0" xfId="15">
      <alignment horizontal="right" wrapText="1"/>
    </xf>
    <xf numFmtId="1" fontId="3" fillId="0" borderId="1036" applyAlignment="1" pivotButton="0" quotePrefix="0" xfId="15">
      <alignment horizontal="right" wrapText="1"/>
    </xf>
    <xf numFmtId="1" fontId="3" fillId="0" borderId="1022" applyAlignment="1" pivotButton="0" quotePrefix="0" xfId="14">
      <alignment horizontal="right"/>
    </xf>
    <xf numFmtId="1" fontId="3" fillId="4" borderId="1035" applyProtection="1" pivotButton="0" quotePrefix="0" xfId="14">
      <protection locked="0" hidden="0"/>
    </xf>
    <xf numFmtId="1" fontId="3" fillId="4" borderId="1022" applyProtection="1" pivotButton="0" quotePrefix="0" xfId="14">
      <protection locked="0" hidden="0"/>
    </xf>
    <xf numFmtId="1" fontId="3" fillId="7" borderId="1084" pivotButton="0" quotePrefix="0" xfId="14"/>
    <xf numFmtId="1" fontId="3" fillId="7" borderId="1045" pivotButton="0" quotePrefix="0" xfId="14"/>
    <xf numFmtId="1" fontId="3" fillId="4" borderId="552" applyProtection="1" pivotButton="0" quotePrefix="0" xfId="14">
      <protection locked="0" hidden="0"/>
    </xf>
    <xf numFmtId="1" fontId="3" fillId="0" borderId="1094" applyAlignment="1" pivotButton="0" quotePrefix="0" xfId="16">
      <alignment vertical="center" wrapText="1"/>
    </xf>
    <xf numFmtId="1" fontId="3" fillId="0" borderId="1095" applyAlignment="1" pivotButton="0" quotePrefix="0" xfId="16">
      <alignment horizontal="right" wrapText="1"/>
    </xf>
    <xf numFmtId="1" fontId="3" fillId="0" borderId="1096" applyAlignment="1" pivotButton="0" quotePrefix="0" xfId="16">
      <alignment horizontal="right" wrapText="1"/>
    </xf>
    <xf numFmtId="1" fontId="3" fillId="0" borderId="1081" applyAlignment="1" pivotButton="0" quotePrefix="0" xfId="14">
      <alignment horizontal="right"/>
    </xf>
    <xf numFmtId="1" fontId="3" fillId="7" borderId="546" pivotButton="0" quotePrefix="0" xfId="14"/>
    <xf numFmtId="1" fontId="3" fillId="4" borderId="546" applyProtection="1" pivotButton="0" quotePrefix="0" xfId="14">
      <protection locked="0" hidden="0"/>
    </xf>
    <xf numFmtId="1" fontId="3" fillId="4" borderId="1095" applyProtection="1" pivotButton="0" quotePrefix="0" xfId="14">
      <protection locked="0" hidden="0"/>
    </xf>
    <xf numFmtId="1" fontId="3" fillId="4" borderId="1081" applyProtection="1" pivotButton="0" quotePrefix="0" xfId="14">
      <protection locked="0" hidden="0"/>
    </xf>
    <xf numFmtId="1" fontId="3" fillId="4" borderId="1087" applyProtection="1" pivotButton="0" quotePrefix="0" xfId="14">
      <protection locked="0" hidden="0"/>
    </xf>
    <xf numFmtId="1" fontId="3" fillId="4" borderId="1099" applyProtection="1" pivotButton="0" quotePrefix="0" xfId="14">
      <protection locked="0" hidden="0"/>
    </xf>
    <xf numFmtId="1" fontId="3" fillId="4" borderId="1076" applyProtection="1" pivotButton="0" quotePrefix="0" xfId="14">
      <protection locked="0" hidden="0"/>
    </xf>
    <xf numFmtId="1" fontId="3" fillId="0" borderId="553" applyAlignment="1" pivotButton="0" quotePrefix="0" xfId="16">
      <alignment horizontal="right" wrapText="1"/>
    </xf>
    <xf numFmtId="1" fontId="3" fillId="0" borderId="470" applyAlignment="1" pivotButton="0" quotePrefix="0" xfId="16">
      <alignment horizontal="right" wrapText="1"/>
    </xf>
    <xf numFmtId="1" fontId="3" fillId="0" borderId="1084" applyAlignment="1" pivotButton="0" quotePrefix="0" xfId="14">
      <alignment horizontal="right"/>
    </xf>
    <xf numFmtId="1" fontId="3" fillId="7" borderId="553" pivotButton="0" quotePrefix="0" xfId="14"/>
    <xf numFmtId="1" fontId="3" fillId="4" borderId="553" applyProtection="1" pivotButton="0" quotePrefix="0" xfId="14">
      <protection locked="0" hidden="0"/>
    </xf>
    <xf numFmtId="1" fontId="3" fillId="4" borderId="1084" applyProtection="1" pivotButton="0" quotePrefix="0" xfId="14">
      <protection locked="0" hidden="0"/>
    </xf>
    <xf numFmtId="1" fontId="3" fillId="0" borderId="550" applyAlignment="1" pivotButton="0" quotePrefix="0" xfId="0">
      <alignment vertical="center"/>
    </xf>
    <xf numFmtId="1" fontId="3" fillId="0" borderId="1084" applyAlignment="1" pivotButton="0" quotePrefix="0" xfId="0">
      <alignment horizontal="right"/>
    </xf>
    <xf numFmtId="1" fontId="3" fillId="0" borderId="1094" applyAlignment="1" pivotButton="0" quotePrefix="0" xfId="15">
      <alignment vertical="center" wrapText="1"/>
    </xf>
    <xf numFmtId="1" fontId="3" fillId="0" borderId="1095" applyAlignment="1" pivotButton="0" quotePrefix="0" xfId="0">
      <alignment horizontal="right"/>
    </xf>
    <xf numFmtId="1" fontId="3" fillId="0" borderId="1096" applyAlignment="1" pivotButton="0" quotePrefix="0" xfId="0">
      <alignment horizontal="right"/>
    </xf>
    <xf numFmtId="1" fontId="3" fillId="0" borderId="1085" applyAlignment="1" pivotButton="0" quotePrefix="0" xfId="15">
      <alignment vertical="center" wrapText="1"/>
    </xf>
    <xf numFmtId="1" fontId="3" fillId="0" borderId="1087" applyAlignment="1" pivotButton="0" quotePrefix="0" xfId="0">
      <alignment vertical="center" wrapText="1"/>
    </xf>
    <xf numFmtId="1" fontId="3" fillId="0" borderId="1074" applyAlignment="1" pivotButton="0" quotePrefix="0" xfId="15">
      <alignment vertical="center" wrapText="1"/>
    </xf>
    <xf numFmtId="1" fontId="3" fillId="4" borderId="1101" applyProtection="1" pivotButton="0" quotePrefix="0" xfId="14">
      <protection locked="0" hidden="0"/>
    </xf>
    <xf numFmtId="1" fontId="3" fillId="4" borderId="1078" applyProtection="1" pivotButton="0" quotePrefix="0" xfId="14">
      <protection locked="0" hidden="0"/>
    </xf>
    <xf numFmtId="1" fontId="3" fillId="4" borderId="1079" applyProtection="1" pivotButton="0" quotePrefix="0" xfId="14">
      <protection locked="0" hidden="0"/>
    </xf>
    <xf numFmtId="1" fontId="3" fillId="0" borderId="1017" applyAlignment="1" pivotButton="0" quotePrefix="0" xfId="0">
      <alignment horizontal="center" vertical="center" wrapText="1"/>
    </xf>
    <xf numFmtId="1" fontId="3" fillId="0" borderId="869" applyAlignment="1" pivotButton="0" quotePrefix="0" xfId="0">
      <alignment horizontal="center" vertical="center"/>
    </xf>
    <xf numFmtId="1" fontId="3" fillId="0" borderId="1021" pivotButton="0" quotePrefix="0" xfId="0"/>
    <xf numFmtId="1" fontId="3" fillId="4" borderId="1018" applyProtection="1" pivotButton="0" quotePrefix="0" xfId="0">
      <protection locked="0" hidden="0"/>
    </xf>
    <xf numFmtId="1" fontId="3" fillId="4" borderId="1017" applyProtection="1" pivotButton="0" quotePrefix="0" xfId="0">
      <protection locked="0" hidden="0"/>
    </xf>
    <xf numFmtId="1" fontId="3" fillId="4" borderId="1034" applyProtection="1" pivotButton="0" quotePrefix="0" xfId="0">
      <protection locked="0" hidden="0"/>
    </xf>
    <xf numFmtId="1" fontId="3" fillId="4" borderId="1105" applyProtection="1" pivotButton="0" quotePrefix="0" xfId="0">
      <protection locked="0" hidden="0"/>
    </xf>
    <xf numFmtId="1" fontId="3" fillId="4" borderId="1104" applyProtection="1" pivotButton="0" quotePrefix="0" xfId="0">
      <protection locked="0" hidden="0"/>
    </xf>
    <xf numFmtId="1" fontId="3" fillId="4" borderId="1106" applyProtection="1" pivotButton="0" quotePrefix="0" xfId="0">
      <protection locked="0" hidden="0"/>
    </xf>
    <xf numFmtId="1" fontId="3" fillId="0" borderId="898" pivotButton="0" quotePrefix="0" xfId="0"/>
    <xf numFmtId="1" fontId="3" fillId="0" borderId="1035" applyAlignment="1" pivotButton="0" quotePrefix="0" xfId="0">
      <alignment horizontal="right"/>
    </xf>
    <xf numFmtId="1" fontId="3" fillId="0" borderId="1036" applyAlignment="1" pivotButton="0" quotePrefix="0" xfId="0">
      <alignment horizontal="right"/>
    </xf>
    <xf numFmtId="1" fontId="3" fillId="0" borderId="1022" applyAlignment="1" pivotButton="0" quotePrefix="0" xfId="0">
      <alignment horizontal="right"/>
    </xf>
    <xf numFmtId="1" fontId="3" fillId="4" borderId="1002" applyProtection="1" pivotButton="0" quotePrefix="0" xfId="0">
      <protection locked="0" hidden="0"/>
    </xf>
    <xf numFmtId="1" fontId="3" fillId="4" borderId="929" applyProtection="1" pivotButton="0" quotePrefix="0" xfId="0">
      <protection locked="0" hidden="0"/>
    </xf>
    <xf numFmtId="1" fontId="3" fillId="0" borderId="1094" pivotButton="0" quotePrefix="0" xfId="0"/>
    <xf numFmtId="1" fontId="3" fillId="0" borderId="1081" applyAlignment="1" pivotButton="0" quotePrefix="0" xfId="0">
      <alignment horizontal="right"/>
    </xf>
    <xf numFmtId="1" fontId="3" fillId="4" borderId="1095" applyProtection="1" pivotButton="0" quotePrefix="0" xfId="0">
      <protection locked="0" hidden="0"/>
    </xf>
    <xf numFmtId="1" fontId="3" fillId="4" borderId="1081" applyProtection="1" pivotButton="0" quotePrefix="0" xfId="0">
      <protection locked="0" hidden="0"/>
    </xf>
    <xf numFmtId="1" fontId="3" fillId="4" borderId="1096" applyProtection="1" pivotButton="0" quotePrefix="0" xfId="0">
      <protection locked="0" hidden="0"/>
    </xf>
    <xf numFmtId="1" fontId="3" fillId="4" borderId="1097" applyProtection="1" pivotButton="0" quotePrefix="0" xfId="0">
      <protection locked="0" hidden="0"/>
    </xf>
    <xf numFmtId="1" fontId="3" fillId="4" borderId="1076" applyProtection="1" pivotButton="0" quotePrefix="0" xfId="0">
      <protection locked="0" hidden="0"/>
    </xf>
    <xf numFmtId="1" fontId="3" fillId="4" borderId="1094" applyProtection="1" pivotButton="0" quotePrefix="0" xfId="0">
      <protection locked="0" hidden="0"/>
    </xf>
    <xf numFmtId="1" fontId="3" fillId="4" borderId="1098" applyProtection="1" pivotButton="0" quotePrefix="0" xfId="0">
      <protection locked="0" hidden="0"/>
    </xf>
    <xf numFmtId="1" fontId="3" fillId="0" borderId="1101" applyAlignment="1" pivotButton="0" quotePrefix="0" xfId="0">
      <alignment horizontal="right"/>
    </xf>
    <xf numFmtId="1" fontId="3" fillId="0" borderId="1080" applyAlignment="1" pivotButton="0" quotePrefix="0" xfId="0">
      <alignment horizontal="right"/>
    </xf>
    <xf numFmtId="1" fontId="3" fillId="0" borderId="1021" applyAlignment="1" pivotButton="0" quotePrefix="0" xfId="0">
      <alignment horizontal="center"/>
    </xf>
    <xf numFmtId="1" fontId="3" fillId="0" borderId="1018" pivotButton="0" quotePrefix="0" xfId="0"/>
    <xf numFmtId="1" fontId="3" fillId="0" borderId="1034" pivotButton="0" quotePrefix="0" xfId="0"/>
    <xf numFmtId="1" fontId="3" fillId="0" borderId="1105" pivotButton="0" quotePrefix="0" xfId="0"/>
    <xf numFmtId="1" fontId="3" fillId="0" borderId="1104" pivotButton="0" quotePrefix="0" xfId="0"/>
    <xf numFmtId="1" fontId="3" fillId="0" borderId="1013" pivotButton="0" quotePrefix="0" xfId="0"/>
    <xf numFmtId="1" fontId="3" fillId="0" borderId="1106" pivotButton="0" quotePrefix="0" xfId="0"/>
    <xf numFmtId="1" fontId="3" fillId="0" borderId="1034" applyAlignment="1" pivotButton="0" quotePrefix="0" xfId="0">
      <alignment horizontal="center" vertical="center" wrapText="1"/>
    </xf>
    <xf numFmtId="1" fontId="3" fillId="0" borderId="1002" pivotButton="0" quotePrefix="0" xfId="0"/>
    <xf numFmtId="1" fontId="3" fillId="4" borderId="1084" applyProtection="1" pivotButton="0" quotePrefix="0" xfId="0">
      <protection locked="0" hidden="0"/>
    </xf>
    <xf numFmtId="1" fontId="3" fillId="0" borderId="1107" pivotButton="0" quotePrefix="0" xfId="0"/>
    <xf numFmtId="1" fontId="3" fillId="0" borderId="546" applyAlignment="1" pivotButton="0" quotePrefix="0" xfId="0">
      <alignment horizontal="right"/>
    </xf>
    <xf numFmtId="1" fontId="3" fillId="4" borderId="1101" applyProtection="1" pivotButton="0" quotePrefix="0" xfId="0">
      <protection locked="0" hidden="0"/>
    </xf>
    <xf numFmtId="1" fontId="3" fillId="0" borderId="1019" pivotButton="0" quotePrefix="0" xfId="0"/>
    <xf numFmtId="1" fontId="3" fillId="0" borderId="1002" applyAlignment="1" pivotButton="0" quotePrefix="0" xfId="0">
      <alignment vertical="center"/>
    </xf>
    <xf numFmtId="1" fontId="3" fillId="7" borderId="737" pivotButton="0" quotePrefix="0" xfId="14"/>
    <xf numFmtId="1" fontId="3" fillId="7" borderId="1036" pivotButton="0" quotePrefix="0" xfId="14"/>
    <xf numFmtId="1" fontId="3" fillId="7" borderId="812" pivotButton="0" quotePrefix="0" xfId="14"/>
    <xf numFmtId="1" fontId="3" fillId="7" borderId="1002" pivotButton="0" quotePrefix="0" xfId="14"/>
    <xf numFmtId="1" fontId="3" fillId="7" borderId="1096" pivotButton="0" quotePrefix="0" xfId="14"/>
    <xf numFmtId="1" fontId="3" fillId="7" borderId="1097" pivotButton="0" quotePrefix="0" xfId="14"/>
    <xf numFmtId="1" fontId="3" fillId="7" borderId="1076" pivotButton="0" quotePrefix="0" xfId="14"/>
    <xf numFmtId="1" fontId="3" fillId="4" borderId="1080" applyProtection="1" pivotButton="0" quotePrefix="0" xfId="0">
      <protection locked="0" hidden="0"/>
    </xf>
    <xf numFmtId="1" fontId="3" fillId="4" borderId="1102" applyProtection="1" pivotButton="0" quotePrefix="0" xfId="0">
      <protection locked="0" hidden="0"/>
    </xf>
    <xf numFmtId="1" fontId="3" fillId="4" borderId="1107" applyProtection="1" pivotButton="0" quotePrefix="0" xfId="0">
      <protection locked="0" hidden="0"/>
    </xf>
    <xf numFmtId="1" fontId="3" fillId="0" borderId="1018" applyAlignment="1" pivotButton="0" quotePrefix="0" xfId="0">
      <alignment horizontal="right" vertical="center"/>
    </xf>
    <xf numFmtId="1" fontId="3" fillId="3" borderId="1017" applyAlignment="1" pivotButton="0" quotePrefix="0" xfId="0">
      <alignment horizontal="center" vertical="center"/>
    </xf>
    <xf numFmtId="1" fontId="3" fillId="7" borderId="1022" applyAlignment="1" pivotButton="0" quotePrefix="0" xfId="0">
      <alignment horizontal="right"/>
    </xf>
    <xf numFmtId="1" fontId="3" fillId="4" borderId="1036" applyAlignment="1" applyProtection="1" pivotButton="0" quotePrefix="0" xfId="0">
      <alignment horizontal="right"/>
      <protection locked="0" hidden="0"/>
    </xf>
    <xf numFmtId="1" fontId="3" fillId="4" borderId="1045" applyAlignment="1" applyProtection="1" pivotButton="0" quotePrefix="0" xfId="0">
      <alignment horizontal="right"/>
      <protection locked="0" hidden="0"/>
    </xf>
    <xf numFmtId="1" fontId="3" fillId="7" borderId="1084" applyAlignment="1" pivotButton="0" quotePrefix="0" xfId="0">
      <alignment horizontal="right"/>
    </xf>
    <xf numFmtId="1" fontId="3" fillId="3" borderId="1094" applyAlignment="1" pivotButton="0" quotePrefix="0" xfId="0">
      <alignment vertical="center" wrapText="1"/>
    </xf>
    <xf numFmtId="1" fontId="3" fillId="3" borderId="1096" applyAlignment="1" pivotButton="0" quotePrefix="0" xfId="0">
      <alignment horizontal="right" wrapText="1"/>
    </xf>
    <xf numFmtId="1" fontId="3" fillId="3" borderId="1107" applyAlignment="1" pivotButton="0" quotePrefix="0" xfId="0">
      <alignment vertical="center" wrapText="1"/>
    </xf>
    <xf numFmtId="1" fontId="3" fillId="3" borderId="1101" applyAlignment="1" pivotButton="0" quotePrefix="0" xfId="0">
      <alignment horizontal="right" wrapText="1"/>
    </xf>
    <xf numFmtId="1" fontId="3" fillId="3" borderId="1080" applyAlignment="1" pivotButton="0" quotePrefix="0" xfId="0">
      <alignment horizontal="right" wrapText="1"/>
    </xf>
    <xf numFmtId="1" fontId="3" fillId="0" borderId="1002" applyAlignment="1" pivotButton="0" quotePrefix="0" xfId="0">
      <alignment vertical="center" wrapText="1"/>
    </xf>
    <xf numFmtId="1" fontId="3" fillId="0" borderId="1080" applyAlignment="1" pivotButton="0" quotePrefix="0" xfId="0">
      <alignment horizontal="right" vertical="center"/>
    </xf>
    <xf numFmtId="1" fontId="3" fillId="3" borderId="1094" pivotButton="0" quotePrefix="0" xfId="0"/>
    <xf numFmtId="1" fontId="3" fillId="0" borderId="1107" applyAlignment="1" pivotButton="0" quotePrefix="0" xfId="0">
      <alignment vertical="center" wrapText="1"/>
    </xf>
    <xf numFmtId="1" fontId="3" fillId="3" borderId="1101" applyAlignment="1" pivotButton="0" quotePrefix="0" xfId="0">
      <alignment horizontal="right" vertical="center"/>
    </xf>
    <xf numFmtId="1" fontId="3" fillId="3" borderId="1002" applyAlignment="1" pivotButton="0" quotePrefix="0" xfId="0">
      <alignment vertical="center" wrapText="1"/>
    </xf>
    <xf numFmtId="1" fontId="3" fillId="3" borderId="1095" applyAlignment="1" pivotButton="0" quotePrefix="0" xfId="0">
      <alignment horizontal="right" wrapText="1"/>
    </xf>
    <xf numFmtId="1" fontId="3" fillId="3" borderId="1081" applyAlignment="1" pivotButton="0" quotePrefix="0" xfId="0">
      <alignment horizontal="right"/>
    </xf>
    <xf numFmtId="1" fontId="3" fillId="4" borderId="1108" applyAlignment="1" applyProtection="1" pivotButton="0" quotePrefix="0" xfId="0">
      <alignment horizontal="right"/>
      <protection locked="0" hidden="0"/>
    </xf>
    <xf numFmtId="1" fontId="3" fillId="3" borderId="1094" applyAlignment="1" pivotButton="0" quotePrefix="0" xfId="0">
      <alignment vertical="center"/>
    </xf>
    <xf numFmtId="1" fontId="3" fillId="3" borderId="1095" applyAlignment="1" pivotButton="0" quotePrefix="0" xfId="0">
      <alignment horizontal="right"/>
    </xf>
    <xf numFmtId="1" fontId="3" fillId="3" borderId="1096" applyAlignment="1" pivotButton="0" quotePrefix="0" xfId="0">
      <alignment horizontal="right"/>
    </xf>
    <xf numFmtId="1" fontId="3" fillId="7" borderId="1094" applyAlignment="1" pivotButton="0" quotePrefix="0" xfId="0">
      <alignment horizontal="right"/>
    </xf>
    <xf numFmtId="1" fontId="3" fillId="4" borderId="1109" applyAlignment="1" applyProtection="1" pivotButton="0" quotePrefix="0" xfId="0">
      <alignment horizontal="right"/>
      <protection locked="0" hidden="0"/>
    </xf>
    <xf numFmtId="1" fontId="3" fillId="3" borderId="1107" applyAlignment="1" pivotButton="0" quotePrefix="0" xfId="0">
      <alignment vertical="center"/>
    </xf>
    <xf numFmtId="1" fontId="3" fillId="4" borderId="1110" applyAlignment="1" applyProtection="1" pivotButton="0" quotePrefix="0" xfId="0">
      <alignment horizontal="right"/>
      <protection locked="0" hidden="0"/>
    </xf>
    <xf numFmtId="1" fontId="3" fillId="0" borderId="1082" applyAlignment="1" pivotButton="0" quotePrefix="0" xfId="0">
      <alignment horizontal="right"/>
    </xf>
    <xf numFmtId="1" fontId="3" fillId="0" borderId="1085" applyAlignment="1" pivotButton="0" quotePrefix="0" xfId="0">
      <alignment wrapText="1"/>
    </xf>
    <xf numFmtId="1" fontId="3" fillId="3" borderId="1017" applyAlignment="1" pivotButton="0" quotePrefix="0" xfId="0">
      <alignment horizontal="center" vertical="center" wrapText="1"/>
    </xf>
    <xf numFmtId="1" fontId="3" fillId="3" borderId="1018" applyAlignment="1" pivotButton="0" quotePrefix="0" xfId="0">
      <alignment horizontal="center" vertical="center" wrapText="1"/>
    </xf>
    <xf numFmtId="1" fontId="3" fillId="3" borderId="1104" applyAlignment="1" pivotButton="0" quotePrefix="0" xfId="0">
      <alignment horizontal="center" vertical="center" wrapText="1"/>
    </xf>
    <xf numFmtId="1" fontId="3" fillId="3" borderId="1003" applyAlignment="1" pivotButton="0" quotePrefix="0" xfId="0">
      <alignment horizontal="left" vertical="center" wrapText="1"/>
    </xf>
    <xf numFmtId="1" fontId="3" fillId="3" borderId="1036" applyAlignment="1" pivotButton="0" quotePrefix="0" xfId="0">
      <alignment vertical="center" wrapText="1"/>
    </xf>
    <xf numFmtId="1" fontId="3" fillId="3" borderId="1085" applyAlignment="1" pivotButton="0" quotePrefix="0" xfId="0">
      <alignment horizontal="left" vertical="center" wrapText="1"/>
    </xf>
    <xf numFmtId="1" fontId="3" fillId="3" borderId="1096" applyAlignment="1" pivotButton="0" quotePrefix="0" xfId="0">
      <alignment vertical="center" wrapText="1"/>
    </xf>
    <xf numFmtId="1" fontId="3" fillId="3" borderId="1074" applyAlignment="1" pivotButton="0" quotePrefix="0" xfId="0">
      <alignment horizontal="left" vertical="center" wrapText="1"/>
    </xf>
    <xf numFmtId="1" fontId="3" fillId="3" borderId="1080" applyAlignment="1" pivotButton="0" quotePrefix="0" xfId="0">
      <alignment vertical="center" wrapText="1"/>
    </xf>
    <xf numFmtId="1" fontId="3" fillId="3" borderId="788" applyAlignment="1" pivotButton="0" quotePrefix="0" xfId="0">
      <alignment horizontal="right"/>
    </xf>
    <xf numFmtId="1" fontId="3" fillId="3" borderId="1018" applyAlignment="1" pivotButton="0" quotePrefix="0" xfId="0">
      <alignment horizontal="center" vertical="center"/>
    </xf>
    <xf numFmtId="1" fontId="3" fillId="3" borderId="1034" applyAlignment="1" pivotButton="0" quotePrefix="0" xfId="0">
      <alignment horizontal="center" vertical="center"/>
    </xf>
    <xf numFmtId="1" fontId="3" fillId="3" borderId="1104" applyAlignment="1" pivotButton="0" quotePrefix="0" xfId="0">
      <alignment horizontal="center" vertical="center"/>
    </xf>
    <xf numFmtId="1" fontId="3" fillId="0" borderId="1104" applyAlignment="1" pivotButton="0" quotePrefix="0" xfId="0">
      <alignment horizontal="center" vertical="center"/>
    </xf>
    <xf numFmtId="1" fontId="3" fillId="3" borderId="1003" applyAlignment="1" pivotButton="0" quotePrefix="0" xfId="0">
      <alignment vertical="center" wrapText="1"/>
    </xf>
    <xf numFmtId="1" fontId="3" fillId="3" borderId="1035" applyAlignment="1" pivotButton="0" quotePrefix="0" xfId="0">
      <alignment horizontal="right" vertical="center" wrapText="1"/>
    </xf>
    <xf numFmtId="1" fontId="3" fillId="5" borderId="470" applyAlignment="1" pivotButton="0" quotePrefix="0" xfId="0">
      <alignment horizontal="right"/>
    </xf>
    <xf numFmtId="1" fontId="3" fillId="5" borderId="1096" applyAlignment="1" pivotButton="0" quotePrefix="0" xfId="0">
      <alignment horizontal="right"/>
    </xf>
    <xf numFmtId="1" fontId="3" fillId="5" borderId="1076" applyAlignment="1" pivotButton="0" quotePrefix="0" xfId="0">
      <alignment horizontal="right"/>
    </xf>
    <xf numFmtId="1" fontId="3" fillId="5" borderId="1080" applyAlignment="1" pivotButton="0" quotePrefix="0" xfId="0">
      <alignment horizontal="right"/>
    </xf>
    <xf numFmtId="1" fontId="3" fillId="5" borderId="1079" applyAlignment="1" pivotButton="0" quotePrefix="0" xfId="0">
      <alignment horizontal="right"/>
    </xf>
    <xf numFmtId="1" fontId="3" fillId="3" borderId="890" applyAlignment="1" pivotButton="0" quotePrefix="0" xfId="0">
      <alignment horizontal="center" vertical="center"/>
    </xf>
    <xf numFmtId="1" fontId="3" fillId="3" borderId="886" applyAlignment="1" pivotButton="0" quotePrefix="0" xfId="0">
      <alignment horizontal="center" vertical="center"/>
    </xf>
    <xf numFmtId="1" fontId="3" fillId="5" borderId="1003" applyAlignment="1" pivotButton="0" quotePrefix="0" xfId="0">
      <alignment horizontal="right"/>
    </xf>
    <xf numFmtId="1" fontId="3" fillId="5" borderId="1085" applyAlignment="1" pivotButton="0" quotePrefix="0" xfId="0">
      <alignment horizontal="right"/>
    </xf>
    <xf numFmtId="1" fontId="3" fillId="5" borderId="1074" applyAlignment="1" pivotButton="0" quotePrefix="0" xfId="0">
      <alignment horizontal="right"/>
    </xf>
    <xf numFmtId="1" fontId="3" fillId="3" borderId="1034" applyAlignment="1" pivotButton="0" quotePrefix="0" xfId="0">
      <alignment horizontal="center" vertical="center" wrapText="1"/>
    </xf>
    <xf numFmtId="1" fontId="3" fillId="0" borderId="1085" applyAlignment="1" pivotButton="0" quotePrefix="0" xfId="0">
      <alignment horizontal="left" vertical="center" wrapText="1"/>
    </xf>
    <xf numFmtId="1" fontId="3" fillId="5" borderId="553" applyAlignment="1" pivotButton="0" quotePrefix="0" xfId="0">
      <alignment horizontal="right"/>
    </xf>
    <xf numFmtId="1" fontId="3" fillId="5" borderId="1084" applyAlignment="1" pivotButton="0" quotePrefix="0" xfId="0">
      <alignment horizontal="right"/>
    </xf>
    <xf numFmtId="1" fontId="3" fillId="0" borderId="1074" applyAlignment="1" pivotButton="0" quotePrefix="0" xfId="0">
      <alignment horizontal="left" vertical="center" wrapText="1"/>
    </xf>
    <xf numFmtId="1" fontId="3" fillId="5" borderId="1101" applyAlignment="1" pivotButton="0" quotePrefix="0" xfId="0">
      <alignment horizontal="right"/>
    </xf>
    <xf numFmtId="1" fontId="3" fillId="0" borderId="1003" applyAlignment="1" pivotButton="0" quotePrefix="0" xfId="0">
      <alignment horizontal="left" vertical="center" wrapText="1"/>
    </xf>
    <xf numFmtId="1" fontId="3" fillId="3" borderId="1035" applyAlignment="1" pivotButton="0" quotePrefix="0" xfId="0">
      <alignment vertical="center" wrapText="1"/>
    </xf>
    <xf numFmtId="1" fontId="3" fillId="3" borderId="1022" applyAlignment="1" pivotButton="0" quotePrefix="0" xfId="0">
      <alignment vertical="center" wrapText="1"/>
    </xf>
    <xf numFmtId="1" fontId="3" fillId="3" borderId="1101" applyAlignment="1" pivotButton="0" quotePrefix="0" xfId="0">
      <alignment vertical="center" wrapText="1"/>
    </xf>
    <xf numFmtId="1" fontId="3" fillId="3" borderId="470" applyAlignment="1" pivotButton="0" quotePrefix="0" xfId="0">
      <alignment vertical="center" wrapText="1"/>
    </xf>
    <xf numFmtId="1" fontId="3" fillId="3" borderId="1084" applyAlignment="1" pivotButton="0" quotePrefix="0" xfId="0">
      <alignment vertical="center" wrapText="1"/>
    </xf>
    <xf numFmtId="1" fontId="3" fillId="0" borderId="1075" applyAlignment="1" pivotButton="0" quotePrefix="0" xfId="0">
      <alignment horizontal="center" vertical="center" wrapText="1"/>
    </xf>
    <xf numFmtId="1" fontId="3" fillId="0" borderId="1104" applyAlignment="1" pivotButton="0" quotePrefix="0" xfId="0">
      <alignment horizontal="center" vertical="center" wrapText="1"/>
    </xf>
    <xf numFmtId="1" fontId="3" fillId="0" borderId="1014" applyAlignment="1" pivotButton="0" quotePrefix="0" xfId="0">
      <alignment wrapText="1"/>
    </xf>
    <xf numFmtId="1" fontId="3" fillId="4" borderId="1100" applyProtection="1" pivotButton="0" quotePrefix="0" xfId="0">
      <protection locked="0" hidden="0"/>
    </xf>
    <xf numFmtId="1" fontId="3" fillId="4" borderId="1085" applyProtection="1" pivotButton="0" quotePrefix="0" xfId="0">
      <protection locked="0" hidden="0"/>
    </xf>
    <xf numFmtId="1" fontId="3" fillId="4" borderId="1099" applyProtection="1" pivotButton="0" quotePrefix="0" xfId="0">
      <protection locked="0" hidden="0"/>
    </xf>
    <xf numFmtId="1" fontId="3" fillId="4" borderId="1111" applyProtection="1" pivotButton="0" quotePrefix="0" xfId="0">
      <protection locked="0" hidden="0"/>
    </xf>
    <xf numFmtId="1" fontId="3" fillId="4" borderId="1087" applyProtection="1" pivotButton="0" quotePrefix="0" xfId="0">
      <protection locked="0" hidden="0"/>
    </xf>
    <xf numFmtId="1" fontId="3" fillId="4" borderId="1074" applyProtection="1" pivotButton="0" quotePrefix="0" xfId="0">
      <protection locked="0" hidden="0"/>
    </xf>
    <xf numFmtId="1" fontId="3" fillId="4" borderId="1103" applyProtection="1" pivotButton="0" quotePrefix="0" xfId="0">
      <protection locked="0" hidden="0"/>
    </xf>
    <xf numFmtId="1" fontId="3" fillId="4" borderId="1078" applyProtection="1" pivotButton="0" quotePrefix="0" xfId="0">
      <protection locked="0" hidden="0"/>
    </xf>
    <xf numFmtId="1" fontId="3" fillId="4" borderId="1112" applyProtection="1" pivotButton="0" quotePrefix="0" xfId="0">
      <protection locked="0" hidden="0"/>
    </xf>
    <xf numFmtId="1" fontId="3" fillId="4" borderId="1021" applyProtection="1" pivotButton="0" quotePrefix="0" xfId="0">
      <protection locked="0" hidden="0"/>
    </xf>
    <xf numFmtId="1" fontId="3" fillId="4" borderId="1019" applyProtection="1" pivotButton="0" quotePrefix="0" xfId="0">
      <protection locked="0" hidden="0"/>
    </xf>
    <xf numFmtId="1" fontId="3" fillId="4" borderId="1075" applyProtection="1" pivotButton="0" quotePrefix="0" xfId="0">
      <protection locked="0" hidden="0"/>
    </xf>
    <xf numFmtId="1" fontId="3" fillId="4" borderId="885" applyProtection="1" pivotButton="0" quotePrefix="0" xfId="0">
      <protection locked="0" hidden="0"/>
    </xf>
    <xf numFmtId="1" fontId="3" fillId="0" borderId="1084" applyAlignment="1" pivotButton="0" quotePrefix="0" xfId="0">
      <alignment vertical="center" wrapText="1"/>
    </xf>
    <xf numFmtId="1" fontId="3" fillId="4" borderId="979" applyProtection="1" pivotButton="0" quotePrefix="0" xfId="0">
      <protection locked="0" hidden="0"/>
    </xf>
    <xf numFmtId="1" fontId="3" fillId="0" borderId="1003" applyAlignment="1" pivotButton="0" quotePrefix="0" xfId="0">
      <alignment vertical="center"/>
    </xf>
    <xf numFmtId="1" fontId="3" fillId="6" borderId="1084" pivotButton="0" quotePrefix="0" xfId="0"/>
    <xf numFmtId="1" fontId="3" fillId="5" borderId="1081" applyAlignment="1" pivotButton="0" quotePrefix="0" xfId="0">
      <alignment vertical="center"/>
    </xf>
    <xf numFmtId="1" fontId="3" fillId="0" borderId="1019" applyAlignment="1" pivotButton="0" quotePrefix="0" xfId="0">
      <alignment horizontal="center" vertical="center" wrapText="1"/>
    </xf>
    <xf numFmtId="1" fontId="3" fillId="0" borderId="1105" applyAlignment="1" pivotButton="0" quotePrefix="0" xfId="0">
      <alignment horizontal="center" vertical="center" wrapText="1"/>
    </xf>
    <xf numFmtId="1" fontId="3" fillId="0" borderId="1085" applyAlignment="1" pivotButton="0" quotePrefix="0" xfId="0">
      <alignment horizontal="left" vertical="center"/>
    </xf>
    <xf numFmtId="1" fontId="3" fillId="4" borderId="941" applyProtection="1" pivotButton="0" quotePrefix="0" xfId="0">
      <protection locked="0" hidden="0"/>
    </xf>
    <xf numFmtId="1" fontId="3" fillId="6" borderId="1077" pivotButton="0" quotePrefix="0" xfId="0"/>
    <xf numFmtId="1" fontId="3" fillId="6" borderId="1100" pivotButton="0" quotePrefix="0" xfId="0"/>
    <xf numFmtId="1" fontId="3" fillId="0" borderId="1106" applyAlignment="1" pivotButton="0" quotePrefix="0" xfId="0">
      <alignment horizontal="center" vertical="center" wrapText="1"/>
    </xf>
    <xf numFmtId="1" fontId="3" fillId="0" borderId="1074" applyAlignment="1" pivotButton="0" quotePrefix="0" xfId="0">
      <alignment wrapText="1"/>
    </xf>
    <xf numFmtId="1" fontId="3" fillId="8" borderId="553" applyProtection="1" pivotButton="0" quotePrefix="0" xfId="0">
      <protection locked="0" hidden="0"/>
    </xf>
    <xf numFmtId="1" fontId="3" fillId="8" borderId="552" applyProtection="1" pivotButton="0" quotePrefix="0" xfId="0">
      <protection locked="0" hidden="0"/>
    </xf>
    <xf numFmtId="1" fontId="3" fillId="8" borderId="1099" applyProtection="1" pivotButton="0" quotePrefix="0" xfId="0">
      <protection locked="0" hidden="0"/>
    </xf>
    <xf numFmtId="1" fontId="3" fillId="8" borderId="1081" applyProtection="1" pivotButton="0" quotePrefix="0" xfId="0">
      <protection locked="0" hidden="0"/>
    </xf>
    <xf numFmtId="1" fontId="3" fillId="8" borderId="788" applyProtection="1" pivotButton="0" quotePrefix="0" xfId="0">
      <protection locked="0" hidden="0"/>
    </xf>
    <xf numFmtId="1" fontId="3" fillId="5" borderId="849" pivotButton="0" quotePrefix="0" xfId="0"/>
    <xf numFmtId="1" fontId="2" fillId="3" borderId="1014" pivotButton="0" quotePrefix="0" xfId="0"/>
    <xf numFmtId="1" fontId="3" fillId="6" borderId="1121" pivotButton="0" quotePrefix="0" xfId="0"/>
    <xf numFmtId="1" fontId="3" fillId="0" borderId="850" pivotButton="0" quotePrefix="0" xfId="0"/>
    <xf numFmtId="1" fontId="3" fillId="4" borderId="1123" applyProtection="1" pivotButton="0" quotePrefix="0" xfId="0">
      <protection locked="0" hidden="0"/>
    </xf>
    <xf numFmtId="0" fontId="3" fillId="0" borderId="849" pivotButton="0" quotePrefix="0" xfId="0"/>
    <xf numFmtId="1" fontId="3" fillId="0" borderId="1021" applyAlignment="1" pivotButton="0" quotePrefix="0" xfId="0">
      <alignment vertical="center"/>
    </xf>
    <xf numFmtId="1" fontId="3" fillId="7" borderId="1036" pivotButton="0" quotePrefix="0" xfId="0"/>
    <xf numFmtId="1" fontId="3" fillId="7" borderId="1022" pivotButton="0" quotePrefix="0" xfId="0"/>
    <xf numFmtId="1" fontId="3" fillId="7" borderId="1084" pivotButton="0" quotePrefix="0" xfId="0"/>
    <xf numFmtId="1" fontId="3" fillId="0" borderId="1107" applyAlignment="1" pivotButton="0" quotePrefix="0" xfId="0">
      <alignment horizontal="left" wrapText="1"/>
    </xf>
    <xf numFmtId="1" fontId="3" fillId="4" borderId="908" applyProtection="1" pivotButton="0" quotePrefix="0" xfId="0">
      <protection locked="0" hidden="0"/>
    </xf>
    <xf numFmtId="1" fontId="3" fillId="0" borderId="1022" applyAlignment="1" pivotButton="0" quotePrefix="0" xfId="0">
      <alignment vertical="center" wrapText="1"/>
    </xf>
    <xf numFmtId="1" fontId="3" fillId="0" borderId="1003" applyAlignment="1" pivotButton="0" quotePrefix="0" xfId="0">
      <alignment horizontal="right" vertical="center" wrapText="1"/>
    </xf>
    <xf numFmtId="1" fontId="3" fillId="0" borderId="1085" applyAlignment="1" pivotButton="0" quotePrefix="0" xfId="0">
      <alignment horizontal="right" vertical="center" wrapText="1"/>
    </xf>
    <xf numFmtId="1" fontId="3" fillId="0" borderId="1074" applyAlignment="1" pivotButton="0" quotePrefix="0" xfId="0">
      <alignment horizontal="right" vertical="center" wrapText="1"/>
    </xf>
    <xf numFmtId="1" fontId="3" fillId="0" borderId="849" applyAlignment="1" pivotButton="0" quotePrefix="0" xfId="0">
      <alignment horizontal="right" vertical="center" wrapText="1"/>
    </xf>
    <xf numFmtId="1" fontId="3" fillId="3" borderId="1085" pivotButton="0" quotePrefix="0" xfId="0"/>
    <xf numFmtId="1" fontId="3" fillId="3" borderId="1074" pivotButton="0" quotePrefix="0" xfId="0"/>
    <xf numFmtId="1" fontId="3" fillId="3" borderId="554" pivotButton="0" quotePrefix="0" xfId="0"/>
    <xf numFmtId="1" fontId="3" fillId="4" borderId="1081" applyAlignment="1" applyProtection="1" pivotButton="0" quotePrefix="0" xfId="0">
      <alignment wrapText="1"/>
      <protection locked="0" hidden="0"/>
    </xf>
    <xf numFmtId="1" fontId="3" fillId="4" borderId="1101" applyAlignment="1" applyProtection="1" pivotButton="0" quotePrefix="0" xfId="0">
      <alignment wrapText="1"/>
      <protection locked="0" hidden="0"/>
    </xf>
    <xf numFmtId="1" fontId="3" fillId="4" borderId="1077" applyAlignment="1" applyProtection="1" pivotButton="0" quotePrefix="0" xfId="0">
      <alignment wrapText="1"/>
      <protection locked="0" hidden="0"/>
    </xf>
    <xf numFmtId="1" fontId="3" fillId="0" borderId="929" pivotButton="0" quotePrefix="0" xfId="0"/>
    <xf numFmtId="1" fontId="3" fillId="4" borderId="1084" applyAlignment="1" applyProtection="1" pivotButton="0" quotePrefix="0" xfId="0">
      <alignment wrapText="1"/>
      <protection locked="0" hidden="0"/>
    </xf>
    <xf numFmtId="1" fontId="3" fillId="3" borderId="1087" pivotButton="0" quotePrefix="0" xfId="0"/>
    <xf numFmtId="1" fontId="3" fillId="3" borderId="783" pivotButton="0" quotePrefix="0" xfId="0"/>
    <xf numFmtId="1" fontId="3" fillId="0" borderId="849" applyAlignment="1" pivotButton="0" quotePrefix="0" xfId="0">
      <alignment wrapText="1"/>
    </xf>
    <xf numFmtId="1" fontId="3" fillId="4" borderId="1096" applyAlignment="1" applyProtection="1" pivotButton="0" quotePrefix="0" xfId="0">
      <alignment wrapText="1"/>
      <protection locked="0" hidden="0"/>
    </xf>
    <xf numFmtId="1" fontId="3" fillId="4" borderId="1085" applyAlignment="1" applyProtection="1" pivotButton="0" quotePrefix="0" xfId="0">
      <alignment wrapText="1"/>
      <protection locked="0" hidden="0"/>
    </xf>
    <xf numFmtId="0" fontId="3" fillId="0" borderId="1094" applyAlignment="1" pivotButton="0" quotePrefix="0" xfId="0">
      <alignment horizontal="left" vertical="center" wrapText="1"/>
    </xf>
    <xf numFmtId="0" fontId="3" fillId="0" borderId="1107" applyAlignment="1" pivotButton="0" quotePrefix="0" xfId="0">
      <alignment horizontal="left" vertical="center" wrapText="1"/>
    </xf>
    <xf numFmtId="1" fontId="3" fillId="0" borderId="1125" applyAlignment="1" pivotButton="0" quotePrefix="0" xfId="0">
      <alignment horizontal="center" vertical="center" wrapText="1"/>
    </xf>
    <xf numFmtId="1" fontId="3" fillId="0" borderId="1016" applyAlignment="1" pivotButton="0" quotePrefix="0" xfId="0">
      <alignment horizontal="center" vertical="center" wrapText="1"/>
    </xf>
    <xf numFmtId="1" fontId="3" fillId="4" borderId="1100" applyAlignment="1" applyProtection="1" pivotButton="0" quotePrefix="0" xfId="0">
      <alignment horizontal="right" vertical="center"/>
      <protection locked="0" hidden="0"/>
    </xf>
    <xf numFmtId="1" fontId="3" fillId="4" borderId="1127" applyAlignment="1" applyProtection="1" pivotButton="0" quotePrefix="0" xfId="0">
      <alignment horizontal="right"/>
      <protection locked="0" hidden="0"/>
    </xf>
    <xf numFmtId="1" fontId="3" fillId="7" borderId="1121" applyAlignment="1" pivotButton="0" quotePrefix="0" xfId="0">
      <alignment horizontal="right"/>
    </xf>
    <xf numFmtId="1" fontId="3" fillId="7" borderId="1128" applyAlignment="1" pivotButton="0" quotePrefix="0" xfId="0">
      <alignment horizontal="right"/>
    </xf>
    <xf numFmtId="1" fontId="3" fillId="4" borderId="1128" applyAlignment="1" applyProtection="1" pivotButton="0" quotePrefix="0" xfId="0">
      <alignment horizontal="right"/>
      <protection locked="0" hidden="0"/>
    </xf>
    <xf numFmtId="1" fontId="3" fillId="6" borderId="1128" applyAlignment="1" pivotButton="0" quotePrefix="0" xfId="0">
      <alignment horizontal="right"/>
    </xf>
    <xf numFmtId="1" fontId="3" fillId="0" borderId="554" applyAlignment="1" pivotButton="0" quotePrefix="0" xfId="0">
      <alignment horizontal="right" vertical="center" wrapText="1"/>
    </xf>
    <xf numFmtId="1" fontId="3" fillId="4" borderId="1129" applyAlignment="1" applyProtection="1" pivotButton="0" quotePrefix="0" xfId="0">
      <alignment horizontal="right"/>
      <protection locked="0" hidden="0"/>
    </xf>
    <xf numFmtId="1" fontId="3" fillId="4" borderId="1003" applyAlignment="1" applyProtection="1" pivotButton="0" quotePrefix="0" xfId="0">
      <alignment horizontal="right" vertical="center"/>
      <protection locked="0" hidden="0"/>
    </xf>
    <xf numFmtId="1" fontId="3" fillId="4" borderId="1036" applyAlignment="1" applyProtection="1" pivotButton="0" quotePrefix="0" xfId="0">
      <alignment horizontal="right" vertical="center"/>
      <protection locked="0" hidden="0"/>
    </xf>
    <xf numFmtId="1" fontId="3" fillId="4" borderId="737" applyAlignment="1" applyProtection="1" pivotButton="0" quotePrefix="0" xfId="0">
      <alignment horizontal="right" vertical="center"/>
      <protection locked="0" hidden="0"/>
    </xf>
    <xf numFmtId="1" fontId="3" fillId="4" borderId="1022" applyAlignment="1" applyProtection="1" pivotButton="0" quotePrefix="0" xfId="0">
      <alignment horizontal="right" vertical="center"/>
      <protection locked="0" hidden="0"/>
    </xf>
    <xf numFmtId="1" fontId="3" fillId="0" borderId="1081" applyAlignment="1" pivotButton="0" quotePrefix="0" xfId="0">
      <alignment vertical="center" wrapText="1"/>
    </xf>
    <xf numFmtId="1" fontId="3" fillId="4" borderId="1085" applyAlignment="1" applyProtection="1" pivotButton="0" quotePrefix="0" xfId="0">
      <alignment horizontal="right" vertical="center"/>
      <protection locked="0" hidden="0"/>
    </xf>
    <xf numFmtId="1" fontId="3" fillId="4" borderId="1096" applyAlignment="1" applyProtection="1" pivotButton="0" quotePrefix="0" xfId="0">
      <alignment horizontal="right" vertical="center"/>
      <protection locked="0" hidden="0"/>
    </xf>
    <xf numFmtId="1" fontId="3" fillId="4" borderId="1076" applyAlignment="1" applyProtection="1" pivotButton="0" quotePrefix="0" xfId="0">
      <alignment horizontal="right" vertical="center"/>
      <protection locked="0" hidden="0"/>
    </xf>
    <xf numFmtId="1" fontId="3" fillId="4" borderId="1081" applyAlignment="1" applyProtection="1" pivotButton="0" quotePrefix="0" xfId="0">
      <alignment horizontal="right" vertical="center"/>
      <protection locked="0" hidden="0"/>
    </xf>
    <xf numFmtId="1" fontId="3" fillId="4" borderId="849" applyAlignment="1" applyProtection="1" pivotButton="0" quotePrefix="0" xfId="0">
      <alignment horizontal="right" vertical="center"/>
      <protection locked="0" hidden="0"/>
    </xf>
    <xf numFmtId="1" fontId="3" fillId="4" borderId="1080" applyAlignment="1" applyProtection="1" pivotButton="0" quotePrefix="0" xfId="0">
      <alignment horizontal="right" vertical="center"/>
      <protection locked="0" hidden="0"/>
    </xf>
    <xf numFmtId="1" fontId="3" fillId="4" borderId="1077" applyAlignment="1" applyProtection="1" pivotButton="0" quotePrefix="0" xfId="0">
      <alignment horizontal="right" vertical="center"/>
      <protection locked="0" hidden="0"/>
    </xf>
    <xf numFmtId="1" fontId="3" fillId="4" borderId="785" applyAlignment="1" applyProtection="1" pivotButton="0" quotePrefix="0" xfId="0">
      <alignment horizontal="right" vertical="center"/>
      <protection locked="0" hidden="0"/>
    </xf>
    <xf numFmtId="1" fontId="3" fillId="0" borderId="888" pivotButton="0" quotePrefix="0" xfId="0"/>
    <xf numFmtId="1" fontId="3" fillId="4" borderId="908" applyAlignment="1" applyProtection="1" pivotButton="0" quotePrefix="0" xfId="0">
      <alignment horizontal="right" vertical="center"/>
      <protection locked="0" hidden="0"/>
    </xf>
    <xf numFmtId="1" fontId="3" fillId="4" borderId="1095" applyAlignment="1" applyProtection="1" pivotButton="0" quotePrefix="0" xfId="0">
      <alignment horizontal="right" vertical="center"/>
      <protection locked="0" hidden="0"/>
    </xf>
    <xf numFmtId="1" fontId="3" fillId="7" borderId="1081" pivotButton="0" quotePrefix="0" xfId="0"/>
    <xf numFmtId="1" fontId="3" fillId="0" borderId="1085" pivotButton="0" quotePrefix="1" xfId="0"/>
    <xf numFmtId="1" fontId="3" fillId="4" borderId="1074" applyAlignment="1" applyProtection="1" pivotButton="0" quotePrefix="0" xfId="0">
      <alignment horizontal="right" vertical="center"/>
      <protection locked="0" hidden="0"/>
    </xf>
    <xf numFmtId="1" fontId="3" fillId="4" borderId="1101" applyAlignment="1" applyProtection="1" pivotButton="0" quotePrefix="0" xfId="0">
      <alignment horizontal="right" vertical="center"/>
      <protection locked="0" hidden="0"/>
    </xf>
    <xf numFmtId="1" fontId="3" fillId="4" borderId="789" applyAlignment="1" applyProtection="1" pivotButton="0" quotePrefix="0" xfId="0">
      <alignment horizontal="right" vertical="center"/>
      <protection locked="0" hidden="0"/>
    </xf>
    <xf numFmtId="1" fontId="3" fillId="0" borderId="850" applyAlignment="1" pivotButton="0" quotePrefix="0" xfId="0">
      <alignment horizontal="right" vertical="center"/>
    </xf>
    <xf numFmtId="1" fontId="3" fillId="0" borderId="1105" applyAlignment="1" pivotButton="0" quotePrefix="0" xfId="0">
      <alignment horizontal="right" vertical="center"/>
    </xf>
    <xf numFmtId="1" fontId="3" fillId="0" borderId="1104" applyAlignment="1" pivotButton="0" quotePrefix="0" xfId="0">
      <alignment horizontal="right" vertical="center"/>
    </xf>
    <xf numFmtId="1" fontId="3" fillId="0" borderId="1132" applyAlignment="1" pivotButton="0" quotePrefix="0" xfId="0">
      <alignment horizontal="center" vertical="center" wrapText="1"/>
    </xf>
    <xf numFmtId="1" fontId="3" fillId="0" borderId="1032" applyAlignment="1" pivotButton="0" quotePrefix="0" xfId="0">
      <alignment horizontal="center" vertical="center" wrapText="1"/>
    </xf>
    <xf numFmtId="1" fontId="3" fillId="3" borderId="1002" applyAlignment="1" pivotButton="0" quotePrefix="0" xfId="0">
      <alignment horizontal="right"/>
    </xf>
    <xf numFmtId="1" fontId="3" fillId="7" borderId="1133" pivotButton="0" quotePrefix="0" xfId="0"/>
    <xf numFmtId="1" fontId="3" fillId="3" borderId="1094" applyAlignment="1" pivotButton="0" quotePrefix="0" xfId="0">
      <alignment horizontal="right"/>
    </xf>
    <xf numFmtId="1" fontId="3" fillId="7" borderId="1135" pivotButton="0" quotePrefix="0" xfId="0"/>
    <xf numFmtId="1" fontId="3" fillId="4" borderId="1124" applyProtection="1" pivotButton="0" quotePrefix="0" xfId="0">
      <protection locked="0" hidden="0"/>
    </xf>
    <xf numFmtId="1" fontId="3" fillId="4" borderId="1133" applyProtection="1" pivotButton="0" quotePrefix="0" xfId="0">
      <protection locked="0" hidden="0"/>
    </xf>
    <xf numFmtId="1" fontId="3" fillId="4" borderId="1122" applyProtection="1" pivotButton="0" quotePrefix="0" xfId="0">
      <protection locked="0" hidden="0"/>
    </xf>
    <xf numFmtId="1" fontId="3" fillId="0" borderId="1126" applyAlignment="1" pivotButton="0" quotePrefix="0" xfId="0">
      <alignment horizontal="right"/>
    </xf>
    <xf numFmtId="1" fontId="3" fillId="8" borderId="1022" applyAlignment="1" applyProtection="1" pivotButton="0" quotePrefix="0" xfId="0">
      <alignment horizontal="right" vertical="center" wrapText="1"/>
      <protection locked="0" hidden="0"/>
    </xf>
    <xf numFmtId="1" fontId="3" fillId="3" borderId="1003" pivotButton="0" quotePrefix="0" xfId="0"/>
    <xf numFmtId="1" fontId="3" fillId="8" borderId="785" applyAlignment="1" applyProtection="1" pivotButton="0" quotePrefix="0" xfId="0">
      <alignment horizontal="right" vertical="center" wrapText="1"/>
      <protection locked="0" hidden="0"/>
    </xf>
    <xf numFmtId="1" fontId="3" fillId="3" borderId="849" pivotButton="0" quotePrefix="0" xfId="0"/>
    <xf numFmtId="1" fontId="3" fillId="4" borderId="1069" applyProtection="1" pivotButton="0" quotePrefix="0" xfId="0">
      <protection locked="0" hidden="0"/>
    </xf>
    <xf numFmtId="1" fontId="3" fillId="8" borderId="1074" applyAlignment="1" applyProtection="1" pivotButton="0" quotePrefix="0" xfId="0">
      <alignment horizontal="right" vertical="center" wrapText="1"/>
      <protection locked="0" hidden="0"/>
    </xf>
    <xf numFmtId="1" fontId="3" fillId="8" borderId="554" applyAlignment="1" applyProtection="1" pivotButton="0" quotePrefix="0" xfId="0">
      <alignment horizontal="right" vertical="center" wrapText="1"/>
      <protection locked="0" hidden="0"/>
    </xf>
    <xf numFmtId="1" fontId="3" fillId="8" borderId="849" applyAlignment="1" applyProtection="1" pivotButton="0" quotePrefix="0" xfId="0">
      <alignment horizontal="right" vertical="center" wrapText="1"/>
      <protection locked="0" hidden="0"/>
    </xf>
    <xf numFmtId="1" fontId="3" fillId="4" borderId="1003" applyAlignment="1" applyProtection="1" pivotButton="0" quotePrefix="0" xfId="0">
      <alignment horizontal="right"/>
      <protection locked="0" hidden="0"/>
    </xf>
    <xf numFmtId="1" fontId="3" fillId="0" borderId="1094" applyAlignment="1" pivotButton="0" quotePrefix="0" xfId="0">
      <alignment horizontal="left"/>
    </xf>
    <xf numFmtId="1" fontId="3" fillId="4" borderId="1085" applyAlignment="1" applyProtection="1" pivotButton="0" quotePrefix="0" xfId="0">
      <alignment horizontal="right"/>
      <protection locked="0" hidden="0"/>
    </xf>
    <xf numFmtId="1" fontId="3" fillId="0" borderId="1094" applyAlignment="1" pivotButton="0" quotePrefix="1" xfId="0">
      <alignment horizontal="left"/>
    </xf>
    <xf numFmtId="1" fontId="3" fillId="3" borderId="1107" applyAlignment="1" pivotButton="0" quotePrefix="0" xfId="0">
      <alignment horizontal="right"/>
    </xf>
    <xf numFmtId="1" fontId="3" fillId="4" borderId="1074" applyAlignment="1" applyProtection="1" pivotButton="0" quotePrefix="0" xfId="0">
      <alignment horizontal="right"/>
      <protection locked="0" hidden="0"/>
    </xf>
    <xf numFmtId="1" fontId="3" fillId="0" borderId="898" applyAlignment="1" applyProtection="1" pivotButton="0" quotePrefix="0" xfId="0">
      <alignment horizontal="center" vertical="center" wrapText="1"/>
      <protection locked="1" hidden="1"/>
    </xf>
    <xf numFmtId="1" fontId="3" fillId="0" borderId="1074" applyAlignment="1" applyProtection="1" pivotButton="0" quotePrefix="0" xfId="0">
      <alignment vertical="center" wrapText="1"/>
      <protection locked="1" hidden="1"/>
    </xf>
    <xf numFmtId="1" fontId="3" fillId="0" borderId="849" applyAlignment="1" pivotButton="0" quotePrefix="0" xfId="0">
      <alignment horizontal="right"/>
    </xf>
    <xf numFmtId="1" fontId="3" fillId="4" borderId="1021" applyAlignment="1" applyProtection="1" pivotButton="0" quotePrefix="0" xfId="0">
      <alignment horizontal="right"/>
      <protection locked="0" hidden="0"/>
    </xf>
    <xf numFmtId="165" fontId="3" fillId="0" borderId="1013" applyAlignment="1" pivotButton="0" quotePrefix="0" xfId="18">
      <alignment horizontal="center" vertical="center" wrapText="1"/>
    </xf>
    <xf numFmtId="165" fontId="3" fillId="0" borderId="1018" applyAlignment="1" pivotButton="0" quotePrefix="0" xfId="18">
      <alignment horizontal="center" vertical="center" wrapText="1"/>
    </xf>
    <xf numFmtId="165" fontId="3" fillId="0" borderId="1017" applyAlignment="1" pivotButton="0" quotePrefix="0" xfId="18">
      <alignment horizontal="center" vertical="center"/>
    </xf>
    <xf numFmtId="1" fontId="3" fillId="0" borderId="1094" applyAlignment="1" pivotButton="0" quotePrefix="1" xfId="0">
      <alignment horizontal="left" wrapText="1"/>
    </xf>
    <xf numFmtId="164" fontId="3" fillId="5" borderId="554" applyAlignment="1" pivotButton="0" quotePrefix="0" xfId="18">
      <alignment horizontal="right"/>
    </xf>
    <xf numFmtId="164" fontId="3" fillId="0" borderId="1021" applyAlignment="1" pivotButton="0" quotePrefix="0" xfId="19">
      <alignment horizontal="right"/>
    </xf>
    <xf numFmtId="164" fontId="3" fillId="0" borderId="1018" applyAlignment="1" pivotButton="0" quotePrefix="0" xfId="19">
      <alignment horizontal="right"/>
    </xf>
    <xf numFmtId="164" fontId="3" fillId="0" borderId="1019" applyAlignment="1" pivotButton="0" quotePrefix="0" xfId="19">
      <alignment horizontal="right"/>
    </xf>
    <xf numFmtId="164" fontId="3" fillId="0" borderId="1034" applyAlignment="1" pivotButton="0" quotePrefix="0" xfId="19">
      <alignment horizontal="right"/>
    </xf>
    <xf numFmtId="164" fontId="3" fillId="0" borderId="1017" applyAlignment="1" pivotButton="0" quotePrefix="0" xfId="19">
      <alignment horizontal="right"/>
    </xf>
    <xf numFmtId="1" fontId="3" fillId="0" borderId="1076" applyAlignment="1" pivotButton="0" quotePrefix="0" xfId="0">
      <alignment horizontal="right"/>
    </xf>
    <xf numFmtId="1" fontId="3" fillId="7" borderId="869" pivotButton="0" quotePrefix="0" xfId="0"/>
    <xf numFmtId="1" fontId="3" fillId="7" borderId="897" pivotButton="0" quotePrefix="0" xfId="0"/>
    <xf numFmtId="1" fontId="3" fillId="7" borderId="886" pivotButton="0" quotePrefix="0" xfId="0"/>
    <xf numFmtId="1" fontId="3" fillId="7" borderId="889" pivotButton="0" quotePrefix="0" xfId="0"/>
    <xf numFmtId="1" fontId="3" fillId="8" borderId="876" applyProtection="1" pivotButton="0" quotePrefix="0" xfId="0">
      <protection locked="0" hidden="0"/>
    </xf>
    <xf numFmtId="1" fontId="3" fillId="7" borderId="899" pivotButton="0" quotePrefix="0" xfId="0"/>
    <xf numFmtId="1" fontId="3" fillId="8" borderId="1036" applyProtection="1" pivotButton="0" quotePrefix="0" xfId="0">
      <protection locked="0" hidden="0"/>
    </xf>
    <xf numFmtId="1" fontId="3" fillId="8" borderId="470" applyProtection="1" pivotButton="0" quotePrefix="0" xfId="0">
      <protection locked="0" hidden="0"/>
    </xf>
    <xf numFmtId="1" fontId="3" fillId="6" borderId="1098" pivotButton="0" quotePrefix="0" xfId="0"/>
    <xf numFmtId="1" fontId="3" fillId="8" borderId="1096" applyProtection="1" pivotButton="0" quotePrefix="0" xfId="0">
      <protection locked="0" hidden="0"/>
    </xf>
    <xf numFmtId="1" fontId="3" fillId="8" borderId="789" applyProtection="1" pivotButton="0" quotePrefix="0" xfId="0">
      <protection locked="0" hidden="0"/>
    </xf>
    <xf numFmtId="1" fontId="3" fillId="0" borderId="1074" applyAlignment="1" pivotButton="0" quotePrefix="0" xfId="0">
      <alignment horizontal="left" vertical="center"/>
    </xf>
    <xf numFmtId="1" fontId="3" fillId="7" borderId="941" pivotButton="0" quotePrefix="0" xfId="0"/>
    <xf numFmtId="1" fontId="3" fillId="7" borderId="1035" pivotButton="0" quotePrefix="0" xfId="0"/>
    <xf numFmtId="1" fontId="3" fillId="7" borderId="812" pivotButton="0" quotePrefix="0" xfId="0"/>
    <xf numFmtId="1" fontId="3" fillId="7" borderId="1101" pivotButton="0" quotePrefix="0" xfId="0"/>
    <xf numFmtId="1" fontId="3" fillId="7" borderId="1077" pivotButton="0" quotePrefix="0" xfId="0"/>
    <xf numFmtId="1" fontId="3" fillId="7" borderId="1102" pivotButton="0" quotePrefix="0" xfId="0"/>
    <xf numFmtId="1" fontId="3" fillId="8" borderId="1078" applyProtection="1" pivotButton="0" quotePrefix="0" xfId="0">
      <protection locked="0" hidden="0"/>
    </xf>
    <xf numFmtId="1" fontId="3" fillId="6" borderId="1079" pivotButton="0" quotePrefix="0" xfId="0"/>
    <xf numFmtId="1" fontId="3" fillId="7" borderId="788" pivotButton="0" quotePrefix="0" xfId="0"/>
    <xf numFmtId="1" fontId="3" fillId="0" borderId="929" applyAlignment="1" pivotButton="0" quotePrefix="0" xfId="0">
      <alignment horizontal="left" vertical="center"/>
    </xf>
    <xf numFmtId="1" fontId="3" fillId="7" borderId="908" pivotButton="0" quotePrefix="0" xfId="0"/>
    <xf numFmtId="1" fontId="3" fillId="7" borderId="979" pivotButton="0" quotePrefix="0" xfId="0"/>
    <xf numFmtId="1" fontId="3" fillId="7" borderId="1096" pivotButton="0" quotePrefix="0" xfId="0"/>
    <xf numFmtId="1" fontId="3" fillId="7" borderId="1100" pivotButton="0" quotePrefix="0" xfId="0"/>
    <xf numFmtId="1" fontId="3" fillId="7" borderId="1080" pivotButton="0" quotePrefix="0" xfId="0"/>
    <xf numFmtId="1" fontId="3" fillId="7" borderId="1079" pivotButton="0" quotePrefix="0" xfId="0"/>
    <xf numFmtId="1" fontId="3" fillId="7" borderId="1103" pivotButton="0" quotePrefix="0" xfId="0"/>
    <xf numFmtId="1" fontId="3" fillId="8" borderId="885" applyProtection="1" pivotButton="0" quotePrefix="0" xfId="0">
      <protection locked="0" hidden="0"/>
    </xf>
    <xf numFmtId="1" fontId="3" fillId="7" borderId="1097" pivotButton="0" quotePrefix="0" xfId="0"/>
    <xf numFmtId="1" fontId="3" fillId="7" borderId="1095" pivotButton="0" quotePrefix="0" xfId="0"/>
    <xf numFmtId="1" fontId="3" fillId="0" borderId="1045" applyAlignment="1" pivotButton="0" quotePrefix="0" xfId="0">
      <alignment horizontal="left" wrapText="1"/>
    </xf>
    <xf numFmtId="1" fontId="3" fillId="8" borderId="966" applyProtection="1" pivotButton="0" quotePrefix="0" xfId="0">
      <protection locked="0" hidden="0"/>
    </xf>
    <xf numFmtId="1" fontId="3" fillId="3" borderId="1087" applyAlignment="1" pivotButton="0" quotePrefix="0" xfId="0">
      <alignment horizontal="left" wrapText="1"/>
    </xf>
    <xf numFmtId="1" fontId="3" fillId="7" borderId="1098" pivotButton="0" quotePrefix="0" xfId="0"/>
    <xf numFmtId="1" fontId="3" fillId="0" borderId="1094" applyAlignment="1" pivotButton="0" quotePrefix="0" xfId="0">
      <alignment horizontal="left" wrapText="1"/>
    </xf>
    <xf numFmtId="1" fontId="3" fillId="0" borderId="1085" applyAlignment="1" pivotButton="0" quotePrefix="0" xfId="0">
      <alignment horizontal="left" wrapText="1"/>
    </xf>
    <xf numFmtId="1" fontId="3" fillId="3" borderId="1003" applyAlignment="1" pivotButton="0" quotePrefix="0" xfId="0">
      <alignment horizontal="left" vertical="top" wrapText="1"/>
    </xf>
    <xf numFmtId="1" fontId="3" fillId="3" borderId="1085" applyAlignment="1" pivotButton="0" quotePrefix="0" xfId="0">
      <alignment horizontal="left" wrapText="1"/>
    </xf>
    <xf numFmtId="1" fontId="3" fillId="3" borderId="1085" applyAlignment="1" pivotButton="0" quotePrefix="0" xfId="0">
      <alignment horizontal="left" vertical="top" wrapText="1"/>
    </xf>
    <xf numFmtId="1" fontId="3" fillId="0" borderId="1075" pivotButton="0" quotePrefix="0" xfId="0"/>
    <xf numFmtId="1" fontId="6" fillId="3" borderId="783" pivotButton="0" quotePrefix="0" xfId="0"/>
    <xf numFmtId="1" fontId="3" fillId="0" borderId="1082" applyAlignment="1" pivotButton="0" quotePrefix="0" xfId="0">
      <alignment horizontal="center" vertical="center" wrapText="1"/>
    </xf>
    <xf numFmtId="1" fontId="3" fillId="4" borderId="889" applyProtection="1" pivotButton="0" quotePrefix="0" xfId="0">
      <protection locked="0" hidden="0"/>
    </xf>
    <xf numFmtId="1" fontId="3" fillId="4" borderId="868" applyProtection="1" pivotButton="0" quotePrefix="0" xfId="0">
      <protection locked="0" hidden="0"/>
    </xf>
    <xf numFmtId="1" fontId="3" fillId="4" borderId="1108" applyProtection="1" pivotButton="0" quotePrefix="0" xfId="0">
      <protection locked="0" hidden="0"/>
    </xf>
    <xf numFmtId="1" fontId="3" fillId="4" borderId="1109" applyProtection="1" pivotButton="0" quotePrefix="0" xfId="0">
      <protection locked="0" hidden="0"/>
    </xf>
    <xf numFmtId="1" fontId="3" fillId="4" borderId="883" applyProtection="1" pivotButton="0" quotePrefix="0" xfId="0">
      <protection locked="0" hidden="0"/>
    </xf>
    <xf numFmtId="1" fontId="3" fillId="4" borderId="1110" applyProtection="1" pivotButton="0" quotePrefix="0" xfId="0">
      <protection locked="0" hidden="0"/>
    </xf>
    <xf numFmtId="1" fontId="3" fillId="4" borderId="1082" applyProtection="1" pivotButton="0" quotePrefix="0" xfId="0">
      <protection locked="0" hidden="0"/>
    </xf>
    <xf numFmtId="1" fontId="3" fillId="0" borderId="1074" applyAlignment="1" pivotButton="0" quotePrefix="0" xfId="0">
      <alignment horizontal="left" wrapText="1"/>
    </xf>
    <xf numFmtId="1" fontId="6" fillId="4" borderId="554" applyProtection="1" pivotButton="0" quotePrefix="0" xfId="0">
      <protection locked="0" hidden="0"/>
    </xf>
    <xf numFmtId="1" fontId="6" fillId="4" borderId="1074" applyProtection="1" pivotButton="0" quotePrefix="0" xfId="0">
      <protection locked="0" hidden="0"/>
    </xf>
    <xf numFmtId="1" fontId="27" fillId="3" borderId="1014" pivotButton="0" quotePrefix="0" xfId="0"/>
    <xf numFmtId="1" fontId="39" fillId="3" borderId="1014" pivotButton="0" quotePrefix="0" xfId="0"/>
    <xf numFmtId="1" fontId="3" fillId="3" borderId="1138" applyAlignment="1" pivotButton="0" quotePrefix="0" xfId="0">
      <alignment horizontal="center" vertical="center" wrapText="1"/>
    </xf>
    <xf numFmtId="1" fontId="3" fillId="3" borderId="1015" applyAlignment="1" pivotButton="0" quotePrefix="0" xfId="0">
      <alignment horizontal="center" vertical="center" wrapText="1"/>
    </xf>
    <xf numFmtId="1" fontId="3" fillId="5" borderId="1003" applyAlignment="1" pivotButton="0" quotePrefix="0" xfId="0">
      <alignment vertical="center"/>
    </xf>
    <xf numFmtId="1" fontId="3" fillId="4" borderId="1035" applyAlignment="1" applyProtection="1" pivotButton="0" quotePrefix="0" xfId="0">
      <alignment vertical="center"/>
      <protection locked="0" hidden="0"/>
    </xf>
    <xf numFmtId="1" fontId="3" fillId="4" borderId="1044" applyAlignment="1" applyProtection="1" pivotButton="0" quotePrefix="0" xfId="0">
      <alignment vertical="center"/>
      <protection locked="0" hidden="0"/>
    </xf>
    <xf numFmtId="1" fontId="3" fillId="4" borderId="1139" applyAlignment="1" applyProtection="1" pivotButton="0" quotePrefix="0" xfId="0">
      <alignment vertical="center"/>
      <protection locked="0" hidden="0"/>
    </xf>
    <xf numFmtId="1" fontId="3" fillId="5" borderId="1085" applyAlignment="1" pivotButton="0" quotePrefix="0" xfId="0">
      <alignment vertical="center"/>
    </xf>
    <xf numFmtId="1" fontId="3" fillId="4" borderId="1095" applyAlignment="1" applyProtection="1" pivotButton="0" quotePrefix="0" xfId="0">
      <alignment vertical="center"/>
      <protection locked="0" hidden="0"/>
    </xf>
    <xf numFmtId="1" fontId="3" fillId="4" borderId="1100" applyAlignment="1" applyProtection="1" pivotButton="0" quotePrefix="0" xfId="0">
      <alignment vertical="center"/>
      <protection locked="0" hidden="0"/>
    </xf>
    <xf numFmtId="1" fontId="3" fillId="4" borderId="1111" applyAlignment="1" applyProtection="1" pivotButton="0" quotePrefix="0" xfId="0">
      <alignment vertical="center"/>
      <protection locked="0" hidden="0"/>
    </xf>
    <xf numFmtId="1" fontId="3" fillId="4" borderId="1135" applyAlignment="1" applyProtection="1" pivotButton="0" quotePrefix="0" xfId="0">
      <alignment vertical="center"/>
      <protection locked="0" hidden="0"/>
    </xf>
    <xf numFmtId="1" fontId="3" fillId="5" borderId="849" applyAlignment="1" pivotButton="0" quotePrefix="0" xfId="0">
      <alignment vertical="center"/>
    </xf>
    <xf numFmtId="1" fontId="3" fillId="4" borderId="1101" applyAlignment="1" applyProtection="1" pivotButton="0" quotePrefix="0" xfId="0">
      <alignment vertical="center"/>
      <protection locked="0" hidden="0"/>
    </xf>
    <xf numFmtId="1" fontId="3" fillId="4" borderId="1077" applyAlignment="1" applyProtection="1" pivotButton="0" quotePrefix="0" xfId="0">
      <alignment vertical="center"/>
      <protection locked="0" hidden="0"/>
    </xf>
    <xf numFmtId="1" fontId="3" fillId="4" borderId="1112" applyAlignment="1" applyProtection="1" pivotButton="0" quotePrefix="0" xfId="0">
      <alignment vertical="center"/>
      <protection locked="0" hidden="0"/>
    </xf>
    <xf numFmtId="1" fontId="3" fillId="0" borderId="1013" applyAlignment="1" pivotButton="0" quotePrefix="0" xfId="0">
      <alignment vertical="center"/>
    </xf>
    <xf numFmtId="1" fontId="3" fillId="0" borderId="1014" applyAlignment="1" pivotButton="0" quotePrefix="0" xfId="0">
      <alignment vertical="center"/>
    </xf>
    <xf numFmtId="1" fontId="3" fillId="0" borderId="1015" applyAlignment="1" pivotButton="0" quotePrefix="0" xfId="0">
      <alignment vertical="center"/>
    </xf>
    <xf numFmtId="1" fontId="3" fillId="0" borderId="1017" applyAlignment="1" pivotButton="0" quotePrefix="0" xfId="0">
      <alignment vertical="center"/>
    </xf>
    <xf numFmtId="1" fontId="3" fillId="5" borderId="554" applyAlignment="1" pivotButton="0" quotePrefix="0" xfId="0">
      <alignment vertical="center"/>
    </xf>
    <xf numFmtId="1" fontId="3" fillId="4" borderId="1069" applyAlignment="1" applyProtection="1" pivotButton="0" quotePrefix="0" xfId="0">
      <alignment vertical="center"/>
      <protection locked="0" hidden="0"/>
    </xf>
    <xf numFmtId="1" fontId="3" fillId="5" borderId="1074" applyAlignment="1" pivotButton="0" quotePrefix="0" xfId="0">
      <alignment vertical="center"/>
    </xf>
    <xf numFmtId="1" fontId="3" fillId="4" borderId="1140" applyAlignment="1" applyProtection="1" pivotButton="0" quotePrefix="0" xfId="0">
      <alignment vertical="center"/>
      <protection locked="0" hidden="0"/>
    </xf>
    <xf numFmtId="1" fontId="3" fillId="0" borderId="1106" applyAlignment="1" pivotButton="0" quotePrefix="0" xfId="0">
      <alignment horizontal="center" vertical="center"/>
    </xf>
    <xf numFmtId="1" fontId="3" fillId="4" borderId="1003" applyAlignment="1" applyProtection="1" pivotButton="0" quotePrefix="0" xfId="0">
      <alignment vertical="center"/>
      <protection locked="0" hidden="0"/>
    </xf>
    <xf numFmtId="1" fontId="3" fillId="5" borderId="1022" applyAlignment="1" pivotButton="0" quotePrefix="0" xfId="0">
      <alignment vertical="center"/>
    </xf>
    <xf numFmtId="1" fontId="3" fillId="4" borderId="1022" applyAlignment="1" applyProtection="1" pivotButton="0" quotePrefix="0" xfId="0">
      <alignment vertical="center"/>
      <protection locked="0" hidden="0"/>
    </xf>
    <xf numFmtId="1" fontId="3" fillId="4" borderId="1036" applyAlignment="1" applyProtection="1" pivotButton="0" quotePrefix="0" xfId="0">
      <alignment vertical="center"/>
      <protection locked="0" hidden="0"/>
    </xf>
    <xf numFmtId="1" fontId="3" fillId="4" borderId="374" applyAlignment="1" applyProtection="1" pivotButton="0" quotePrefix="0" xfId="0">
      <alignment vertical="center"/>
      <protection locked="0" hidden="0"/>
    </xf>
    <xf numFmtId="1" fontId="3" fillId="4" borderId="966" applyAlignment="1" applyProtection="1" pivotButton="0" quotePrefix="0" xfId="0">
      <alignment vertical="center"/>
      <protection locked="0" hidden="0"/>
    </xf>
    <xf numFmtId="1" fontId="3" fillId="4" borderId="1085" applyAlignment="1" applyProtection="1" pivotButton="0" quotePrefix="0" xfId="0">
      <alignment vertical="center"/>
      <protection locked="0" hidden="0"/>
    </xf>
    <xf numFmtId="1" fontId="3" fillId="4" borderId="1081" applyAlignment="1" applyProtection="1" pivotButton="0" quotePrefix="0" xfId="0">
      <alignment vertical="center"/>
      <protection locked="0" hidden="0"/>
    </xf>
    <xf numFmtId="1" fontId="3" fillId="4" borderId="1096" applyAlignment="1" applyProtection="1" pivotButton="0" quotePrefix="0" xfId="0">
      <alignment vertical="center"/>
      <protection locked="0" hidden="0"/>
    </xf>
    <xf numFmtId="1" fontId="3" fillId="4" borderId="1098" applyAlignment="1" applyProtection="1" pivotButton="0" quotePrefix="0" xfId="0">
      <alignment vertical="center"/>
      <protection locked="0" hidden="0"/>
    </xf>
    <xf numFmtId="1" fontId="3" fillId="4" borderId="1074" applyAlignment="1" applyProtection="1" pivotButton="0" quotePrefix="0" xfId="0">
      <alignment vertical="center"/>
      <protection locked="0" hidden="0"/>
    </xf>
    <xf numFmtId="1" fontId="3" fillId="4" borderId="1080" applyAlignment="1" applyProtection="1" pivotButton="0" quotePrefix="0" xfId="0">
      <alignment vertical="center"/>
      <protection locked="0" hidden="0"/>
    </xf>
    <xf numFmtId="1" fontId="3" fillId="4" borderId="1103" applyAlignment="1" applyProtection="1" pivotButton="0" quotePrefix="0" xfId="0">
      <alignment vertical="center"/>
      <protection locked="0" hidden="0"/>
    </xf>
    <xf numFmtId="1" fontId="3" fillId="4" borderId="1078" applyAlignment="1" applyProtection="1" pivotButton="0" quotePrefix="0" xfId="0">
      <alignment vertical="center"/>
      <protection locked="0" hidden="0"/>
    </xf>
    <xf numFmtId="1" fontId="3" fillId="0" borderId="1085" applyAlignment="1" pivotButton="0" quotePrefix="0" xfId="0">
      <alignment vertical="center"/>
    </xf>
    <xf numFmtId="1" fontId="27" fillId="3" borderId="865" pivotButton="0" quotePrefix="0" xfId="0"/>
    <xf numFmtId="1" fontId="3" fillId="4" borderId="1032" applyProtection="1" pivotButton="0" quotePrefix="0" xfId="0">
      <protection locked="0" hidden="0"/>
    </xf>
    <xf numFmtId="1" fontId="27" fillId="3" borderId="783" pivotButton="0" quotePrefix="0" xfId="0"/>
    <xf numFmtId="1" fontId="3" fillId="3" borderId="849" applyAlignment="1" pivotButton="0" quotePrefix="0" xfId="0">
      <alignment vertical="center"/>
    </xf>
    <xf numFmtId="0" fontId="4" fillId="6" borderId="847" pivotButton="0" quotePrefix="0" xfId="10"/>
    <xf numFmtId="1" fontId="3" fillId="0" borderId="1015" pivotButton="0" quotePrefix="0" xfId="0"/>
    <xf numFmtId="1" fontId="3" fillId="0" borderId="1082" pivotButton="0" quotePrefix="0" xfId="0"/>
    <xf numFmtId="1" fontId="27" fillId="3" borderId="1142" pivotButton="0" quotePrefix="0" xfId="0"/>
    <xf numFmtId="1" fontId="3" fillId="3" borderId="1144" applyAlignment="1" pivotButton="0" quotePrefix="0" xfId="1">
      <alignment horizontal="right"/>
    </xf>
    <xf numFmtId="1" fontId="3" fillId="3" borderId="915" applyAlignment="1" pivotButton="0" quotePrefix="0" xfId="1">
      <alignment horizontal="right"/>
    </xf>
    <xf numFmtId="1" fontId="3" fillId="3" borderId="1023" applyAlignment="1" pivotButton="0" quotePrefix="0" xfId="1">
      <alignment horizontal="right"/>
    </xf>
    <xf numFmtId="1" fontId="3" fillId="3" borderId="1145" applyAlignment="1" pivotButton="0" quotePrefix="0" xfId="1">
      <alignment horizontal="right"/>
    </xf>
    <xf numFmtId="1" fontId="3" fillId="3" borderId="1147" applyAlignment="1" pivotButton="0" quotePrefix="0" xfId="1">
      <alignment horizontal="right"/>
    </xf>
    <xf numFmtId="1" fontId="3" fillId="3" borderId="1148" applyAlignment="1" pivotButton="0" quotePrefix="0" xfId="1">
      <alignment horizontal="right"/>
    </xf>
    <xf numFmtId="1" fontId="3" fillId="3" borderId="1149" applyAlignment="1" pivotButton="0" quotePrefix="0" xfId="1">
      <alignment horizontal="right"/>
    </xf>
    <xf numFmtId="1" fontId="3" fillId="3" borderId="1101" applyAlignment="1" pivotButton="0" quotePrefix="0" xfId="1">
      <alignment horizontal="right"/>
    </xf>
    <xf numFmtId="1" fontId="3" fillId="3" borderId="1080" applyAlignment="1" pivotButton="0" quotePrefix="0" xfId="1">
      <alignment horizontal="right"/>
    </xf>
    <xf numFmtId="1" fontId="3" fillId="0" borderId="1153" applyAlignment="1" pivotButton="0" quotePrefix="0" xfId="0">
      <alignment horizontal="center" vertical="center" wrapText="1"/>
    </xf>
    <xf numFmtId="1" fontId="3" fillId="0" borderId="1154" applyAlignment="1" pivotButton="0" quotePrefix="0" xfId="0">
      <alignment horizontal="center" vertical="center" wrapText="1"/>
    </xf>
    <xf numFmtId="1" fontId="3" fillId="0" borderId="1155" applyAlignment="1" pivotButton="0" quotePrefix="0" xfId="0">
      <alignment horizontal="center" vertical="center" wrapText="1"/>
    </xf>
    <xf numFmtId="1" fontId="3" fillId="0" borderId="1151" applyAlignment="1" pivotButton="0" quotePrefix="0" xfId="0">
      <alignment horizontal="center" vertical="center" wrapText="1"/>
    </xf>
    <xf numFmtId="1" fontId="4" fillId="0" borderId="1156" pivotButton="0" quotePrefix="0" xfId="0"/>
    <xf numFmtId="1" fontId="3" fillId="0" borderId="1154" pivotButton="0" quotePrefix="0" xfId="0"/>
    <xf numFmtId="1" fontId="3" fillId="0" borderId="1155" pivotButton="0" quotePrefix="0" xfId="0"/>
    <xf numFmtId="1" fontId="3" fillId="0" borderId="1153" pivotButton="0" quotePrefix="0" xfId="0"/>
    <xf numFmtId="1" fontId="3" fillId="4" borderId="1154" applyProtection="1" pivotButton="0" quotePrefix="0" xfId="0">
      <protection locked="0" hidden="0"/>
    </xf>
    <xf numFmtId="1" fontId="3" fillId="4" borderId="1153" applyProtection="1" pivotButton="0" quotePrefix="0" xfId="0">
      <protection locked="0" hidden="0"/>
    </xf>
    <xf numFmtId="1" fontId="3" fillId="4" borderId="1157" applyProtection="1" pivotButton="0" quotePrefix="0" xfId="0">
      <protection locked="0" hidden="0"/>
    </xf>
    <xf numFmtId="1" fontId="3" fillId="4" borderId="1158" applyProtection="1" pivotButton="0" quotePrefix="0" xfId="0">
      <protection locked="0" hidden="0"/>
    </xf>
    <xf numFmtId="1" fontId="3" fillId="4" borderId="1159" applyProtection="1" pivotButton="0" quotePrefix="0" xfId="0">
      <protection locked="0" hidden="0"/>
    </xf>
    <xf numFmtId="1" fontId="3" fillId="4" borderId="1160" applyProtection="1" pivotButton="0" quotePrefix="0" xfId="0">
      <protection locked="0" hidden="0"/>
    </xf>
    <xf numFmtId="1" fontId="3" fillId="4" borderId="1151" applyProtection="1" pivotButton="0" quotePrefix="0" xfId="0">
      <protection locked="0" hidden="0"/>
    </xf>
    <xf numFmtId="1" fontId="3" fillId="0" borderId="553" applyAlignment="1" pivotButton="0" quotePrefix="0" xfId="0">
      <alignment vertical="center" wrapText="1"/>
    </xf>
    <xf numFmtId="1" fontId="3" fillId="0" borderId="470" applyAlignment="1" pivotButton="0" quotePrefix="0" xfId="0">
      <alignment vertical="center" wrapText="1"/>
    </xf>
    <xf numFmtId="1" fontId="3" fillId="0" borderId="1084" pivotButton="0" quotePrefix="0" xfId="0"/>
    <xf numFmtId="1" fontId="3" fillId="0" borderId="1096" applyAlignment="1" pivotButton="0" quotePrefix="0" xfId="0">
      <alignment vertical="center" wrapText="1"/>
    </xf>
    <xf numFmtId="1" fontId="3" fillId="0" borderId="1081" pivotButton="0" quotePrefix="0" xfId="0"/>
    <xf numFmtId="1" fontId="3" fillId="3" borderId="789" applyAlignment="1" pivotButton="0" quotePrefix="0" xfId="0">
      <alignment vertical="center" wrapText="1"/>
    </xf>
    <xf numFmtId="1" fontId="3" fillId="0" borderId="1157" pivotButton="0" quotePrefix="0" xfId="0"/>
    <xf numFmtId="1" fontId="3" fillId="0" borderId="1158" pivotButton="0" quotePrefix="0" xfId="0"/>
    <xf numFmtId="1" fontId="3" fillId="0" borderId="1159" pivotButton="0" quotePrefix="0" xfId="0"/>
    <xf numFmtId="1" fontId="3" fillId="0" borderId="1160" pivotButton="0" quotePrefix="0" xfId="0"/>
    <xf numFmtId="1" fontId="3" fillId="0" borderId="1151" pivotButton="0" quotePrefix="0" xfId="0"/>
    <xf numFmtId="1" fontId="3" fillId="0" borderId="1161" applyAlignment="1" pivotButton="0" quotePrefix="0" xfId="0">
      <alignment vertical="center" wrapText="1"/>
    </xf>
    <xf numFmtId="1" fontId="3" fillId="0" borderId="546" pivotButton="0" quotePrefix="0" xfId="0"/>
    <xf numFmtId="1" fontId="3" fillId="0" borderId="354" applyAlignment="1" pivotButton="0" quotePrefix="0" xfId="0">
      <alignment vertical="center" wrapText="1"/>
    </xf>
    <xf numFmtId="1" fontId="3" fillId="0" borderId="1150" applyAlignment="1" pivotButton="0" quotePrefix="0" xfId="0">
      <alignment vertical="center"/>
    </xf>
    <xf numFmtId="1" fontId="3" fillId="0" borderId="1154" applyAlignment="1" pivotButton="0" quotePrefix="0" xfId="0">
      <alignment horizontal="right" vertical="center"/>
    </xf>
    <xf numFmtId="1" fontId="3" fillId="0" borderId="869" applyAlignment="1" pivotButton="0" quotePrefix="0" xfId="0">
      <alignment horizontal="right" vertical="center"/>
    </xf>
    <xf numFmtId="1" fontId="3" fillId="0" borderId="929" applyAlignment="1" pivotButton="0" quotePrefix="0" xfId="0">
      <alignment horizontal="right" vertical="center"/>
    </xf>
    <xf numFmtId="1" fontId="3" fillId="4" borderId="1154" applyAlignment="1" applyProtection="1" pivotButton="0" quotePrefix="0" xfId="0">
      <alignment horizontal="right"/>
      <protection locked="0" hidden="0"/>
    </xf>
    <xf numFmtId="1" fontId="3" fillId="4" borderId="1157" applyAlignment="1" applyProtection="1" pivotButton="0" quotePrefix="0" xfId="0">
      <alignment horizontal="right"/>
      <protection locked="0" hidden="0"/>
    </xf>
    <xf numFmtId="1" fontId="3" fillId="4" borderId="1153" applyAlignment="1" applyProtection="1" pivotButton="0" quotePrefix="0" xfId="0">
      <alignment horizontal="right"/>
      <protection locked="0" hidden="0"/>
    </xf>
    <xf numFmtId="1" fontId="3" fillId="4" borderId="1155" applyAlignment="1" applyProtection="1" pivotButton="0" quotePrefix="0" xfId="0">
      <alignment horizontal="right"/>
      <protection locked="0" hidden="0"/>
    </xf>
    <xf numFmtId="1" fontId="3" fillId="4" borderId="1014" applyAlignment="1" applyProtection="1" pivotButton="0" quotePrefix="0" xfId="0">
      <alignment horizontal="right"/>
      <protection locked="0" hidden="0"/>
    </xf>
    <xf numFmtId="1" fontId="3" fillId="4" borderId="1162" applyAlignment="1" applyProtection="1" pivotButton="0" quotePrefix="0" xfId="0">
      <alignment horizontal="right"/>
      <protection locked="0" hidden="0"/>
    </xf>
    <xf numFmtId="1" fontId="3" fillId="5" borderId="1081" applyAlignment="1" pivotButton="0" quotePrefix="0" xfId="0">
      <alignment horizontal="left"/>
    </xf>
    <xf numFmtId="1" fontId="3" fillId="0" borderId="1148" applyAlignment="1" pivotButton="0" quotePrefix="0" xfId="0">
      <alignment horizontal="right" vertical="center"/>
    </xf>
    <xf numFmtId="1" fontId="3" fillId="0" borderId="1149" applyAlignment="1" pivotButton="0" quotePrefix="0" xfId="0">
      <alignment horizontal="right" vertical="center"/>
    </xf>
    <xf numFmtId="1" fontId="3" fillId="5" borderId="394" applyAlignment="1" pivotButton="0" quotePrefix="0" xfId="0">
      <alignment horizontal="right"/>
    </xf>
    <xf numFmtId="1" fontId="3" fillId="0" borderId="1081" applyAlignment="1" pivotButton="0" quotePrefix="0" xfId="0">
      <alignment wrapText="1"/>
    </xf>
    <xf numFmtId="1" fontId="3" fillId="5" borderId="1081" applyAlignment="1" pivotButton="0" quotePrefix="0" xfId="0">
      <alignment horizontal="left" wrapText="1"/>
    </xf>
    <xf numFmtId="1" fontId="3" fillId="5" borderId="394" applyAlignment="1" pivotButton="0" quotePrefix="0" xfId="0">
      <alignment horizontal="right" vertical="center" wrapText="1"/>
    </xf>
    <xf numFmtId="1" fontId="3" fillId="5" borderId="380" applyAlignment="1" pivotButton="0" quotePrefix="0" xfId="0">
      <alignment horizontal="left"/>
    </xf>
    <xf numFmtId="1" fontId="3" fillId="6" borderId="380" applyAlignment="1" pivotButton="0" quotePrefix="0" xfId="0">
      <alignment horizontal="left"/>
    </xf>
    <xf numFmtId="1" fontId="3" fillId="7" borderId="1094" pivotButton="0" quotePrefix="0" xfId="0"/>
    <xf numFmtId="1" fontId="3" fillId="7" borderId="1087" pivotButton="0" quotePrefix="0" xfId="0"/>
    <xf numFmtId="1" fontId="3" fillId="0" borderId="554" applyAlignment="1" pivotButton="0" quotePrefix="0" xfId="0">
      <alignment vertical="center"/>
    </xf>
    <xf numFmtId="1" fontId="3" fillId="0" borderId="553" applyAlignment="1" pivotButton="0" quotePrefix="0" xfId="0">
      <alignment vertical="center"/>
    </xf>
    <xf numFmtId="1" fontId="3" fillId="0" borderId="1074" applyAlignment="1" pivotButton="0" quotePrefix="0" xfId="0">
      <alignment vertical="center"/>
    </xf>
    <xf numFmtId="1" fontId="3" fillId="0" borderId="1101" applyAlignment="1" pivotButton="0" quotePrefix="0" xfId="0">
      <alignment vertical="center"/>
    </xf>
    <xf numFmtId="1" fontId="3" fillId="5" borderId="1153" applyAlignment="1" pivotButton="0" quotePrefix="0" xfId="0">
      <alignment horizontal="center" vertical="center" wrapText="1"/>
    </xf>
    <xf numFmtId="1" fontId="3" fillId="5" borderId="1159" applyAlignment="1" pivotButton="0" quotePrefix="0" xfId="0">
      <alignment horizontal="center" vertical="center" wrapText="1"/>
    </xf>
    <xf numFmtId="1" fontId="3" fillId="0" borderId="554" applyAlignment="1" pivotButton="0" quotePrefix="0" xfId="0">
      <alignment horizontal="left"/>
    </xf>
    <xf numFmtId="1" fontId="3" fillId="4" borderId="1147" applyAlignment="1" applyProtection="1" pivotButton="0" quotePrefix="0" xfId="0">
      <alignment wrapText="1"/>
      <protection locked="0" hidden="0"/>
    </xf>
    <xf numFmtId="1" fontId="3" fillId="4" borderId="1080" applyAlignment="1" applyProtection="1" pivotButton="0" quotePrefix="0" xfId="0">
      <alignment wrapText="1"/>
      <protection locked="0" hidden="0"/>
    </xf>
    <xf numFmtId="1" fontId="3" fillId="4" borderId="1103" applyAlignment="1" applyProtection="1" pivotButton="0" quotePrefix="0" xfId="0">
      <alignment wrapText="1"/>
      <protection locked="0" hidden="0"/>
    </xf>
    <xf numFmtId="1" fontId="3" fillId="4" borderId="1078" applyAlignment="1" applyProtection="1" pivotButton="0" quotePrefix="0" xfId="0">
      <alignment wrapText="1"/>
      <protection locked="0" hidden="0"/>
    </xf>
    <xf numFmtId="1" fontId="3" fillId="3" borderId="1150" applyAlignment="1" pivotButton="0" quotePrefix="0" xfId="0">
      <alignment horizontal="center" wrapText="1"/>
    </xf>
    <xf numFmtId="1" fontId="3" fillId="3" borderId="1156" applyAlignment="1" pivotButton="0" quotePrefix="0" xfId="0">
      <alignment horizontal="right" wrapText="1"/>
    </xf>
    <xf numFmtId="1" fontId="3" fillId="0" borderId="1101" applyAlignment="1" pivotButton="0" quotePrefix="0" xfId="0">
      <alignment wrapText="1"/>
    </xf>
    <xf numFmtId="1" fontId="3" fillId="0" borderId="1077" applyAlignment="1" pivotButton="0" quotePrefix="0" xfId="0">
      <alignment wrapText="1"/>
    </xf>
    <xf numFmtId="1" fontId="3" fillId="0" borderId="1112" applyAlignment="1" pivotButton="0" quotePrefix="0" xfId="0">
      <alignment wrapText="1"/>
    </xf>
    <xf numFmtId="1" fontId="3" fillId="0" borderId="1078" applyAlignment="1" pivotButton="0" quotePrefix="0" xfId="0">
      <alignment wrapText="1"/>
    </xf>
    <xf numFmtId="1" fontId="3" fillId="5" borderId="1154" applyAlignment="1" pivotButton="0" quotePrefix="0" xfId="0">
      <alignment horizontal="center" vertical="center"/>
    </xf>
    <xf numFmtId="1" fontId="3" fillId="5" borderId="1160" applyAlignment="1" pivotButton="0" quotePrefix="0" xfId="0">
      <alignment horizontal="center" vertical="center"/>
    </xf>
    <xf numFmtId="1" fontId="3" fillId="5" borderId="1151" applyAlignment="1" pivotButton="0" quotePrefix="0" xfId="0">
      <alignment horizontal="center" vertical="center"/>
    </xf>
    <xf numFmtId="1" fontId="3" fillId="0" borderId="1160" applyAlignment="1" pivotButton="0" quotePrefix="0" xfId="0">
      <alignment horizontal="center" vertical="center" wrapText="1"/>
    </xf>
    <xf numFmtId="1" fontId="3" fillId="5" borderId="1154" applyAlignment="1" pivotButton="0" quotePrefix="0" xfId="0">
      <alignment horizontal="center" vertical="center" wrapText="1"/>
    </xf>
    <xf numFmtId="1" fontId="3" fillId="4" borderId="1111" applyAlignment="1" applyProtection="1" pivotButton="0" quotePrefix="0" xfId="0">
      <alignment wrapText="1"/>
      <protection locked="0" hidden="0"/>
    </xf>
    <xf numFmtId="1" fontId="3" fillId="5" borderId="1074" pivotButton="0" quotePrefix="0" xfId="0"/>
    <xf numFmtId="1" fontId="3" fillId="3" borderId="1156" pivotButton="0" quotePrefix="0" xfId="0"/>
    <xf numFmtId="1" fontId="3" fillId="5" borderId="1154" pivotButton="0" quotePrefix="0" xfId="0"/>
    <xf numFmtId="1" fontId="3" fillId="5" borderId="1160" pivotButton="0" quotePrefix="0" xfId="0"/>
    <xf numFmtId="1" fontId="3" fillId="5" borderId="1151" pivotButton="0" quotePrefix="0" xfId="0"/>
    <xf numFmtId="1" fontId="3" fillId="5" borderId="1159" pivotButton="0" quotePrefix="0" xfId="0"/>
    <xf numFmtId="1" fontId="3" fillId="5" borderId="1153" pivotButton="0" quotePrefix="0" xfId="0"/>
    <xf numFmtId="1" fontId="3" fillId="3" borderId="1159" pivotButton="0" quotePrefix="0" xfId="0"/>
    <xf numFmtId="1" fontId="3" fillId="3" borderId="1160" pivotButton="0" quotePrefix="0" xfId="0"/>
    <xf numFmtId="1" fontId="3" fillId="3" borderId="1155" pivotButton="0" quotePrefix="0" xfId="0"/>
    <xf numFmtId="1" fontId="3" fillId="3" borderId="1154" pivotButton="0" quotePrefix="0" xfId="0"/>
    <xf numFmtId="1" fontId="3" fillId="3" borderId="1153" pivotButton="0" quotePrefix="0" xfId="0"/>
    <xf numFmtId="1" fontId="3" fillId="0" borderId="1156" applyAlignment="1" pivotButton="0" quotePrefix="0" xfId="0">
      <alignment horizontal="center" vertical="center"/>
    </xf>
    <xf numFmtId="1" fontId="3" fillId="0" borderId="1157" applyAlignment="1" pivotButton="0" quotePrefix="0" xfId="0">
      <alignment horizontal="center" vertical="center" wrapText="1"/>
    </xf>
    <xf numFmtId="1" fontId="3" fillId="20" borderId="380" applyAlignment="1" pivotButton="0" quotePrefix="0" xfId="0">
      <alignment horizontal="left" wrapText="1"/>
    </xf>
    <xf numFmtId="1" fontId="3" fillId="3" borderId="1157" pivotButton="0" quotePrefix="0" xfId="0"/>
    <xf numFmtId="1" fontId="3" fillId="3" borderId="1156" applyAlignment="1" pivotButton="0" quotePrefix="0" xfId="0">
      <alignment horizontal="center" vertical="center"/>
    </xf>
    <xf numFmtId="1" fontId="3" fillId="3" borderId="1074" applyAlignment="1" pivotButton="0" quotePrefix="0" xfId="0">
      <alignment wrapText="1"/>
    </xf>
    <xf numFmtId="1" fontId="3" fillId="3" borderId="1156" applyAlignment="1" pivotButton="0" quotePrefix="0" xfId="0">
      <alignment horizontal="center" wrapText="1"/>
    </xf>
    <xf numFmtId="1" fontId="3" fillId="0" borderId="1158" applyAlignment="1" pivotButton="0" quotePrefix="0" xfId="0">
      <alignment horizontal="center" vertical="center" wrapText="1"/>
    </xf>
    <xf numFmtId="1" fontId="3" fillId="0" borderId="1159" applyAlignment="1" pivotButton="0" quotePrefix="0" xfId="0">
      <alignment horizontal="center" vertical="center" wrapText="1"/>
    </xf>
    <xf numFmtId="1" fontId="3" fillId="3" borderId="1164" applyAlignment="1" pivotButton="0" quotePrefix="0" xfId="0">
      <alignment vertical="center"/>
    </xf>
    <xf numFmtId="1" fontId="3" fillId="3" borderId="1161" pivotButton="0" quotePrefix="0" xfId="0"/>
    <xf numFmtId="1" fontId="3" fillId="4" borderId="1147" applyProtection="1" pivotButton="0" quotePrefix="0" xfId="0">
      <protection locked="0" hidden="0"/>
    </xf>
    <xf numFmtId="1" fontId="3" fillId="4" borderId="1148" applyProtection="1" pivotButton="0" quotePrefix="0" xfId="0">
      <protection locked="0" hidden="0"/>
    </xf>
    <xf numFmtId="1" fontId="3" fillId="4" borderId="1149" applyProtection="1" pivotButton="0" quotePrefix="0" xfId="0">
      <protection locked="0" hidden="0"/>
    </xf>
    <xf numFmtId="1" fontId="3" fillId="3" borderId="850" applyAlignment="1" pivotButton="0" quotePrefix="0" xfId="0">
      <alignment vertical="center"/>
    </xf>
    <xf numFmtId="1" fontId="6" fillId="0" borderId="1165" applyProtection="1" pivotButton="0" quotePrefix="0" xfId="0">
      <protection locked="0" hidden="0"/>
    </xf>
    <xf numFmtId="1" fontId="6" fillId="0" borderId="1166" applyAlignment="1" pivotButton="0" quotePrefix="0" xfId="0">
      <alignment vertical="center"/>
    </xf>
    <xf numFmtId="1" fontId="6" fillId="0" borderId="1165" pivotButton="0" quotePrefix="0" xfId="0"/>
    <xf numFmtId="1" fontId="6" fillId="0" borderId="1167" pivotButton="0" quotePrefix="0" xfId="0"/>
    <xf numFmtId="1" fontId="3" fillId="0" borderId="1168" applyAlignment="1" pivotButton="0" quotePrefix="0" xfId="0">
      <alignment horizontal="center" vertical="center" wrapText="1"/>
    </xf>
    <xf numFmtId="1" fontId="3" fillId="0" borderId="1161" applyAlignment="1" pivotButton="0" quotePrefix="0" xfId="0">
      <alignment horizontal="left" vertical="center" wrapText="1"/>
    </xf>
    <xf numFmtId="1" fontId="3" fillId="0" borderId="1161" pivotButton="0" quotePrefix="0" xfId="0"/>
    <xf numFmtId="1" fontId="3" fillId="0" borderId="1174" applyAlignment="1" pivotButton="0" quotePrefix="0" xfId="0">
      <alignment horizontal="center" vertical="center" wrapText="1"/>
    </xf>
    <xf numFmtId="1" fontId="3" fillId="4" borderId="1176" applyProtection="1" pivotButton="0" quotePrefix="0" xfId="0">
      <protection locked="0" hidden="0"/>
    </xf>
    <xf numFmtId="1" fontId="3" fillId="0" borderId="1177" applyAlignment="1" pivotButton="0" quotePrefix="0" xfId="0">
      <alignment horizontal="left" vertical="center" wrapText="1"/>
    </xf>
    <xf numFmtId="1" fontId="6" fillId="0" borderId="1178" pivotButton="0" quotePrefix="0" xfId="0"/>
    <xf numFmtId="1" fontId="6" fillId="0" borderId="1119" pivotButton="0" quotePrefix="0" xfId="0"/>
    <xf numFmtId="1" fontId="6" fillId="0" borderId="1179" pivotButton="0" quotePrefix="0" xfId="0"/>
    <xf numFmtId="1" fontId="3" fillId="0" borderId="1181" applyAlignment="1" pivotButton="0" quotePrefix="0" xfId="0">
      <alignment horizontal="center" vertical="center"/>
    </xf>
    <xf numFmtId="1" fontId="3" fillId="0" borderId="1177" applyAlignment="1" pivotButton="0" quotePrefix="0" xfId="0">
      <alignment horizontal="center" vertical="center" wrapText="1"/>
    </xf>
    <xf numFmtId="1" fontId="3" fillId="3" borderId="1168" applyAlignment="1" pivotButton="0" quotePrefix="0" xfId="0">
      <alignment horizontal="center" vertical="center" wrapText="1"/>
    </xf>
    <xf numFmtId="1" fontId="3" fillId="3" borderId="1160" applyAlignment="1" pivotButton="0" quotePrefix="0" xfId="0">
      <alignment horizontal="center" vertical="center" wrapText="1"/>
    </xf>
    <xf numFmtId="1" fontId="3" fillId="3" borderId="1187" applyAlignment="1" pivotButton="0" quotePrefix="0" xfId="0">
      <alignment horizontal="center" vertical="center" wrapText="1"/>
    </xf>
    <xf numFmtId="1" fontId="3" fillId="0" borderId="1188" applyAlignment="1" pivotButton="0" quotePrefix="0" xfId="0">
      <alignment horizontal="center" vertical="center" wrapText="1"/>
    </xf>
    <xf numFmtId="1" fontId="3" fillId="3" borderId="1189" applyAlignment="1" pivotButton="0" quotePrefix="0" xfId="0">
      <alignment horizontal="center" vertical="center" wrapText="1"/>
    </xf>
    <xf numFmtId="1" fontId="3" fillId="0" borderId="1190" applyAlignment="1" pivotButton="0" quotePrefix="0" xfId="0">
      <alignment horizontal="center" vertical="center" wrapText="1"/>
    </xf>
    <xf numFmtId="1" fontId="3" fillId="0" borderId="1191" applyAlignment="1" pivotButton="0" quotePrefix="0" xfId="0">
      <alignment horizontal="center" vertical="center" wrapText="1"/>
    </xf>
    <xf numFmtId="1" fontId="3" fillId="0" borderId="1077" applyAlignment="1" pivotButton="0" quotePrefix="0" xfId="0">
      <alignment horizontal="center" vertical="center" wrapText="1"/>
    </xf>
    <xf numFmtId="1" fontId="3" fillId="0" borderId="1079" applyAlignment="1" pivotButton="0" quotePrefix="0" xfId="0">
      <alignment horizontal="center" vertical="center" wrapText="1"/>
    </xf>
    <xf numFmtId="1" fontId="3" fillId="3" borderId="1161" applyAlignment="1" pivotButton="0" quotePrefix="0" xfId="0">
      <alignment horizontal="left" wrapText="1"/>
    </xf>
    <xf numFmtId="1" fontId="3" fillId="3" borderId="1192" applyAlignment="1" pivotButton="0" quotePrefix="0" xfId="0">
      <alignment horizontal="right" wrapText="1"/>
    </xf>
    <xf numFmtId="1" fontId="3" fillId="5" borderId="849" applyAlignment="1" pivotButton="0" quotePrefix="0" xfId="0">
      <alignment horizontal="left"/>
    </xf>
    <xf numFmtId="1" fontId="3" fillId="0" borderId="1177" applyAlignment="1" pivotButton="0" quotePrefix="0" xfId="0">
      <alignment horizontal="center"/>
    </xf>
    <xf numFmtId="1" fontId="3" fillId="3" borderId="1168" applyAlignment="1" pivotButton="0" quotePrefix="0" xfId="0">
      <alignment horizontal="right" wrapText="1"/>
    </xf>
    <xf numFmtId="1" fontId="3" fillId="3" borderId="1160" applyAlignment="1" pivotButton="0" quotePrefix="0" xfId="0">
      <alignment horizontal="right" wrapText="1"/>
    </xf>
    <xf numFmtId="1" fontId="3" fillId="3" borderId="1183" applyAlignment="1" pivotButton="0" quotePrefix="0" xfId="0">
      <alignment horizontal="right" wrapText="1"/>
    </xf>
    <xf numFmtId="1" fontId="3" fillId="0" borderId="1183" pivotButton="0" quotePrefix="0" xfId="0"/>
    <xf numFmtId="1" fontId="3" fillId="0" borderId="1193" pivotButton="0" quotePrefix="0" xfId="0"/>
    <xf numFmtId="1" fontId="3" fillId="3" borderId="1077" applyAlignment="1" pivotButton="0" quotePrefix="0" xfId="0">
      <alignment horizontal="right" wrapText="1"/>
    </xf>
    <xf numFmtId="1" fontId="3" fillId="5" borderId="1160" applyAlignment="1" pivotButton="0" quotePrefix="0" xfId="0">
      <alignment horizontal="center" vertical="center" wrapText="1"/>
    </xf>
    <xf numFmtId="1" fontId="3" fillId="5" borderId="1169" applyAlignment="1" pivotButton="0" quotePrefix="0" xfId="0">
      <alignment horizontal="center" vertical="center" wrapText="1"/>
    </xf>
    <xf numFmtId="1" fontId="3" fillId="3" borderId="849" applyAlignment="1" pivotButton="0" quotePrefix="0" xfId="0">
      <alignment horizontal="center" wrapText="1"/>
    </xf>
    <xf numFmtId="1" fontId="3" fillId="5" borderId="1177" pivotButton="0" quotePrefix="0" xfId="0"/>
    <xf numFmtId="1" fontId="3" fillId="0" borderId="1078" pivotButton="0" quotePrefix="0" xfId="0"/>
    <xf numFmtId="1" fontId="3" fillId="0" borderId="1077" pivotButton="0" quotePrefix="0" xfId="0"/>
    <xf numFmtId="1" fontId="3" fillId="0" borderId="1079" pivotButton="0" quotePrefix="0" xfId="0"/>
    <xf numFmtId="1" fontId="3" fillId="0" borderId="1101" pivotButton="0" quotePrefix="0" xfId="0"/>
    <xf numFmtId="1" fontId="3" fillId="5" borderId="1196" pivotButton="0" quotePrefix="0" xfId="0"/>
    <xf numFmtId="1" fontId="3" fillId="0" borderId="1198" applyAlignment="1" pivotButton="0" quotePrefix="0" xfId="0">
      <alignment horizontal="center" vertical="center" wrapText="1"/>
    </xf>
    <xf numFmtId="1" fontId="3" fillId="3" borderId="380" applyAlignment="1" pivotButton="0" quotePrefix="0" xfId="0">
      <alignment wrapText="1"/>
    </xf>
    <xf numFmtId="1" fontId="3" fillId="3" borderId="850" applyAlignment="1" pivotButton="0" quotePrefix="0" xfId="0">
      <alignment horizontal="center" wrapText="1"/>
    </xf>
    <xf numFmtId="1" fontId="3" fillId="5" borderId="1184" applyAlignment="1" pivotButton="0" quotePrefix="0" xfId="0">
      <alignment horizontal="center" vertical="center"/>
    </xf>
    <xf numFmtId="0" fontId="3" fillId="0" borderId="1161" applyAlignment="1" pivotButton="0" quotePrefix="0" xfId="0">
      <alignment vertical="center" wrapText="1"/>
    </xf>
    <xf numFmtId="1" fontId="3" fillId="0" borderId="1161" applyAlignment="1" pivotButton="0" quotePrefix="0" xfId="0">
      <alignment horizontal="right" vertical="center" wrapText="1"/>
    </xf>
    <xf numFmtId="0" fontId="3" fillId="0" borderId="380" applyAlignment="1" pivotButton="0" quotePrefix="0" xfId="0">
      <alignment vertical="center" wrapText="1"/>
    </xf>
    <xf numFmtId="1" fontId="3" fillId="0" borderId="1161" applyAlignment="1" pivotButton="0" quotePrefix="0" xfId="0">
      <alignment horizontal="left" vertical="center"/>
    </xf>
    <xf numFmtId="1" fontId="3" fillId="0" borderId="849" applyAlignment="1" pivotButton="0" quotePrefix="0" xfId="0">
      <alignment horizontal="left"/>
    </xf>
    <xf numFmtId="1" fontId="2" fillId="0" borderId="1195" pivotButton="0" quotePrefix="0" xfId="0"/>
    <xf numFmtId="0" fontId="3" fillId="0" borderId="1184" applyAlignment="1" pivotButton="0" quotePrefix="0" xfId="0">
      <alignment horizontal="center" vertical="center" wrapText="1"/>
    </xf>
    <xf numFmtId="0" fontId="3" fillId="0" borderId="1174" applyAlignment="1" pivotButton="0" quotePrefix="0" xfId="0">
      <alignment horizontal="center" vertical="center" wrapText="1"/>
    </xf>
    <xf numFmtId="1" fontId="3" fillId="0" borderId="1160" applyAlignment="1" pivotButton="0" quotePrefix="0" xfId="0">
      <alignment horizontal="center" vertical="center"/>
    </xf>
    <xf numFmtId="1" fontId="3" fillId="0" borderId="1200" applyAlignment="1" pivotButton="0" quotePrefix="0" xfId="0">
      <alignment horizontal="center" vertical="center"/>
    </xf>
    <xf numFmtId="1" fontId="3" fillId="0" borderId="1168" applyAlignment="1" pivotButton="0" quotePrefix="0" xfId="0">
      <alignment horizontal="center" vertical="center"/>
    </xf>
    <xf numFmtId="1" fontId="3" fillId="0" borderId="1172" applyAlignment="1" pivotButton="0" quotePrefix="0" xfId="0">
      <alignment horizontal="center" vertical="center"/>
    </xf>
    <xf numFmtId="0" fontId="3" fillId="0" borderId="1201" applyAlignment="1" pivotButton="0" quotePrefix="0" xfId="0">
      <alignment horizontal="center" vertical="center" wrapText="1"/>
    </xf>
    <xf numFmtId="0" fontId="3" fillId="0" borderId="1168" applyAlignment="1" pivotButton="0" quotePrefix="0" xfId="0">
      <alignment horizontal="center" vertical="center" wrapText="1"/>
    </xf>
    <xf numFmtId="0" fontId="3" fillId="0" borderId="1194" applyAlignment="1" pivotButton="0" quotePrefix="0" xfId="0">
      <alignment horizontal="center" vertical="center" wrapText="1"/>
    </xf>
    <xf numFmtId="0" fontId="3" fillId="0" borderId="1200" applyAlignment="1" pivotButton="0" quotePrefix="0" xfId="0">
      <alignment horizontal="center" vertical="center" wrapText="1"/>
    </xf>
    <xf numFmtId="1" fontId="4" fillId="0" borderId="1198" applyAlignment="1" pivotButton="0" quotePrefix="0" xfId="0">
      <alignment vertical="center"/>
    </xf>
    <xf numFmtId="1" fontId="3" fillId="0" borderId="1164" applyAlignment="1" pivotButton="0" quotePrefix="0" xfId="0">
      <alignment vertical="center"/>
    </xf>
    <xf numFmtId="1" fontId="3" fillId="0" borderId="1147" applyAlignment="1" pivotButton="0" quotePrefix="0" xfId="0">
      <alignment wrapText="1"/>
    </xf>
    <xf numFmtId="1" fontId="3" fillId="0" borderId="1149" applyAlignment="1" pivotButton="0" quotePrefix="0" xfId="0">
      <alignment wrapText="1"/>
    </xf>
    <xf numFmtId="1" fontId="3" fillId="6" borderId="1111" pivotButton="0" quotePrefix="0" xfId="0"/>
    <xf numFmtId="1" fontId="3" fillId="0" borderId="1164" applyAlignment="1" pivotButton="0" quotePrefix="0" xfId="0">
      <alignment vertical="center" wrapText="1"/>
    </xf>
    <xf numFmtId="1" fontId="3" fillId="0" borderId="1084" applyAlignment="1" pivotButton="0" quotePrefix="0" xfId="0">
      <alignment wrapText="1"/>
    </xf>
    <xf numFmtId="1" fontId="3" fillId="6" borderId="966" pivotButton="0" quotePrefix="0" xfId="0"/>
    <xf numFmtId="1" fontId="3" fillId="6" borderId="1147" pivotButton="0" quotePrefix="0" xfId="0"/>
    <xf numFmtId="1" fontId="3" fillId="6" borderId="1069" pivotButton="0" quotePrefix="0" xfId="0"/>
    <xf numFmtId="1" fontId="3" fillId="6" borderId="1081" pivotButton="0" quotePrefix="0" xfId="0"/>
    <xf numFmtId="1" fontId="3" fillId="0" borderId="1087" applyAlignment="1" pivotButton="0" quotePrefix="0" xfId="0">
      <alignment wrapText="1"/>
    </xf>
    <xf numFmtId="0" fontId="3" fillId="0" borderId="1087" pivotButton="0" quotePrefix="0" xfId="0"/>
    <xf numFmtId="1" fontId="3" fillId="6" borderId="1078" pivotButton="0" quotePrefix="0" xfId="0"/>
    <xf numFmtId="1" fontId="3" fillId="6" borderId="1101" pivotButton="0" quotePrefix="0" xfId="0"/>
    <xf numFmtId="1" fontId="4" fillId="3" borderId="1183" pivotButton="0" quotePrefix="0" xfId="0"/>
    <xf numFmtId="1" fontId="3" fillId="3" borderId="1192" pivotButton="0" quotePrefix="0" xfId="0"/>
    <xf numFmtId="1" fontId="3" fillId="0" borderId="1187" applyAlignment="1" pivotButton="0" quotePrefix="0" xfId="0">
      <alignment wrapText="1"/>
    </xf>
    <xf numFmtId="1" fontId="3" fillId="0" borderId="1197" applyAlignment="1" pivotButton="0" quotePrefix="0" xfId="0">
      <alignment wrapText="1"/>
    </xf>
    <xf numFmtId="1" fontId="3" fillId="0" borderId="1174" applyAlignment="1" pivotButton="0" quotePrefix="0" xfId="0">
      <alignment wrapText="1"/>
    </xf>
    <xf numFmtId="1" fontId="3" fillId="4" borderId="1187" applyProtection="1" pivotButton="0" quotePrefix="0" xfId="0">
      <protection locked="0" hidden="0"/>
    </xf>
    <xf numFmtId="1" fontId="3" fillId="4" borderId="1174" applyProtection="1" pivotButton="0" quotePrefix="0" xfId="0">
      <protection locked="0" hidden="0"/>
    </xf>
    <xf numFmtId="1" fontId="3" fillId="4" borderId="1194" applyProtection="1" pivotButton="0" quotePrefix="0" xfId="0">
      <protection locked="0" hidden="0"/>
    </xf>
    <xf numFmtId="1" fontId="3" fillId="0" borderId="788" applyAlignment="1" pivotButton="0" quotePrefix="0" xfId="0">
      <alignment wrapText="1"/>
    </xf>
    <xf numFmtId="1" fontId="3" fillId="0" borderId="1174" applyAlignment="1" pivotButton="0" quotePrefix="0" xfId="0">
      <alignment horizontal="center" vertical="center"/>
    </xf>
    <xf numFmtId="1" fontId="3" fillId="0" borderId="1194" applyAlignment="1" pivotButton="0" quotePrefix="0" xfId="0">
      <alignment horizontal="center" vertical="center" wrapText="1"/>
    </xf>
    <xf numFmtId="1" fontId="3" fillId="0" borderId="1186" applyAlignment="1" pivotButton="0" quotePrefix="0" xfId="0">
      <alignment horizontal="center" vertical="center" wrapText="1"/>
    </xf>
    <xf numFmtId="1" fontId="3" fillId="0" borderId="1197" applyAlignment="1" pivotButton="0" quotePrefix="0" xfId="0">
      <alignment horizontal="center" vertical="center" wrapText="1"/>
    </xf>
    <xf numFmtId="1" fontId="3" fillId="0" borderId="1198" pivotButton="0" quotePrefix="0" xfId="0"/>
    <xf numFmtId="1" fontId="3" fillId="0" borderId="1177" applyAlignment="1" pivotButton="0" quotePrefix="0" xfId="0">
      <alignment wrapText="1"/>
    </xf>
    <xf numFmtId="1" fontId="3" fillId="9" borderId="1168" applyProtection="1" pivotButton="0" quotePrefix="0" xfId="24">
      <protection locked="0" hidden="0"/>
    </xf>
    <xf numFmtId="1" fontId="3" fillId="9" borderId="1160" applyProtection="1" pivotButton="0" quotePrefix="0" xfId="24">
      <protection locked="0" hidden="0"/>
    </xf>
    <xf numFmtId="1" fontId="3" fillId="9" borderId="1172" applyProtection="1" pivotButton="0" quotePrefix="0" xfId="24">
      <protection locked="0" hidden="0"/>
    </xf>
    <xf numFmtId="1" fontId="3" fillId="6" borderId="1201" pivotButton="0" quotePrefix="0" xfId="24"/>
    <xf numFmtId="1" fontId="3" fillId="6" borderId="1160" pivotButton="0" quotePrefix="0" xfId="24"/>
    <xf numFmtId="1" fontId="3" fillId="6" borderId="1172" pivotButton="0" quotePrefix="0" xfId="24"/>
    <xf numFmtId="1" fontId="3" fillId="9" borderId="1081" applyProtection="1" pivotButton="0" quotePrefix="0" xfId="24">
      <protection locked="0" hidden="0"/>
    </xf>
    <xf numFmtId="1" fontId="3" fillId="0" borderId="1177" pivotButton="0" quotePrefix="0" xfId="0"/>
    <xf numFmtId="1" fontId="3" fillId="0" borderId="1168" pivotButton="0" quotePrefix="0" xfId="24"/>
    <xf numFmtId="1" fontId="3" fillId="0" borderId="1160" pivotButton="0" quotePrefix="0" xfId="24"/>
    <xf numFmtId="1" fontId="3" fillId="0" borderId="1172" pivotButton="0" quotePrefix="0" xfId="24"/>
    <xf numFmtId="1" fontId="3" fillId="9" borderId="358" applyProtection="1" pivotButton="0" quotePrefix="0" xfId="24">
      <protection locked="0" hidden="0"/>
    </xf>
    <xf numFmtId="1" fontId="3" fillId="9" borderId="1111" applyProtection="1" pivotButton="0" quotePrefix="0" xfId="24">
      <protection locked="0" hidden="0"/>
    </xf>
    <xf numFmtId="1" fontId="3" fillId="9" borderId="553" applyProtection="1" pivotButton="0" quotePrefix="0" xfId="24">
      <protection locked="0" hidden="0"/>
    </xf>
    <xf numFmtId="1" fontId="3" fillId="9" borderId="1069" applyProtection="1" pivotButton="0" quotePrefix="0" xfId="24">
      <protection locked="0" hidden="0"/>
    </xf>
    <xf numFmtId="1" fontId="3" fillId="6" borderId="552" pivotButton="0" quotePrefix="0" xfId="24"/>
    <xf numFmtId="1" fontId="3" fillId="6" borderId="1069" pivotButton="0" quotePrefix="0" xfId="24"/>
    <xf numFmtId="1" fontId="3" fillId="9" borderId="394" applyProtection="1" pivotButton="0" quotePrefix="0" xfId="24">
      <protection locked="0" hidden="0"/>
    </xf>
    <xf numFmtId="1" fontId="3" fillId="6" borderId="358" pivotButton="0" quotePrefix="0" xfId="24"/>
    <xf numFmtId="1" fontId="3" fillId="6" borderId="1111" pivotButton="0" quotePrefix="0" xfId="24"/>
    <xf numFmtId="1" fontId="3" fillId="9" borderId="1202" applyProtection="1" pivotButton="0" quotePrefix="0" xfId="24">
      <protection locked="0" hidden="0"/>
    </xf>
    <xf numFmtId="1" fontId="3" fillId="9" borderId="1203" applyProtection="1" pivotButton="0" quotePrefix="0" xfId="24">
      <protection locked="0" hidden="0"/>
    </xf>
    <xf numFmtId="1" fontId="3" fillId="9" borderId="1204" applyProtection="1" pivotButton="0" quotePrefix="0" xfId="24">
      <protection locked="0" hidden="0"/>
    </xf>
    <xf numFmtId="1" fontId="3" fillId="6" borderId="1205" pivotButton="0" quotePrefix="0" xfId="24"/>
    <xf numFmtId="1" fontId="3" fillId="6" borderId="1203" pivotButton="0" quotePrefix="0" xfId="24"/>
    <xf numFmtId="1" fontId="3" fillId="6" borderId="1204" pivotButton="0" quotePrefix="0" xfId="24"/>
    <xf numFmtId="1" fontId="3" fillId="9" borderId="1206" applyProtection="1" pivotButton="0" quotePrefix="0" xfId="24">
      <protection locked="0" hidden="0"/>
    </xf>
    <xf numFmtId="1" fontId="3" fillId="9" borderId="1207" applyProtection="1" pivotButton="0" quotePrefix="0" xfId="24">
      <protection locked="0" hidden="0"/>
    </xf>
    <xf numFmtId="1" fontId="3" fillId="9" borderId="1208" applyProtection="1" pivotButton="0" quotePrefix="0" xfId="24">
      <protection locked="0" hidden="0"/>
    </xf>
    <xf numFmtId="1" fontId="3" fillId="6" borderId="1209" pivotButton="0" quotePrefix="0" xfId="24"/>
    <xf numFmtId="1" fontId="3" fillId="6" borderId="1207" pivotButton="0" quotePrefix="0" xfId="24"/>
    <xf numFmtId="1" fontId="3" fillId="6" borderId="1208" pivotButton="0" quotePrefix="0" xfId="24"/>
    <xf numFmtId="1" fontId="3" fillId="9" borderId="1101" applyProtection="1" pivotButton="0" quotePrefix="0" xfId="24">
      <protection locked="0" hidden="0"/>
    </xf>
    <xf numFmtId="1" fontId="3" fillId="9" borderId="1078" applyProtection="1" pivotButton="0" quotePrefix="0" xfId="24">
      <protection locked="0" hidden="0"/>
    </xf>
    <xf numFmtId="1" fontId="3" fillId="0" borderId="1161" applyAlignment="1" pivotButton="0" quotePrefix="0" xfId="0">
      <alignment wrapText="1"/>
    </xf>
    <xf numFmtId="1" fontId="3" fillId="9" borderId="1176" applyProtection="1" pivotButton="0" quotePrefix="0" xfId="24">
      <protection locked="0" hidden="0"/>
    </xf>
    <xf numFmtId="1" fontId="3" fillId="6" borderId="966" pivotButton="0" quotePrefix="0" xfId="24"/>
    <xf numFmtId="1" fontId="3" fillId="6" borderId="1176" pivotButton="0" quotePrefix="0" xfId="24"/>
    <xf numFmtId="1" fontId="3" fillId="9" borderId="788" applyProtection="1" pivotButton="0" quotePrefix="0" xfId="24">
      <protection locked="0" hidden="0"/>
    </xf>
    <xf numFmtId="1" fontId="3" fillId="9" borderId="1196" applyProtection="1" pivotButton="0" quotePrefix="0" xfId="24">
      <protection locked="0" hidden="0"/>
    </xf>
    <xf numFmtId="1" fontId="3" fillId="6" borderId="1196" pivotButton="0" quotePrefix="0" xfId="24"/>
    <xf numFmtId="1" fontId="3" fillId="0" borderId="1181" pivotButton="0" quotePrefix="0" xfId="0"/>
    <xf numFmtId="1" fontId="3" fillId="9" borderId="1147" applyProtection="1" pivotButton="0" quotePrefix="0" xfId="24">
      <protection locked="0" hidden="0"/>
    </xf>
    <xf numFmtId="1" fontId="3" fillId="9" borderId="1210" applyProtection="1" pivotButton="0" quotePrefix="0" xfId="24">
      <protection locked="0" hidden="0"/>
    </xf>
    <xf numFmtId="1" fontId="3" fillId="9" borderId="1211" applyProtection="1" pivotButton="0" quotePrefix="0" xfId="24">
      <protection locked="0" hidden="0"/>
    </xf>
    <xf numFmtId="1" fontId="3" fillId="9" borderId="1212" applyProtection="1" pivotButton="0" quotePrefix="0" xfId="24">
      <protection locked="0" hidden="0"/>
    </xf>
    <xf numFmtId="1" fontId="3" fillId="6" borderId="1213" pivotButton="0" quotePrefix="0" xfId="24"/>
    <xf numFmtId="1" fontId="3" fillId="6" borderId="1211" pivotButton="0" quotePrefix="0" xfId="24"/>
    <xf numFmtId="1" fontId="3" fillId="6" borderId="1212" pivotButton="0" quotePrefix="0" xfId="24"/>
    <xf numFmtId="1" fontId="3" fillId="9" borderId="1214" applyProtection="1" pivotButton="0" quotePrefix="0" xfId="24">
      <protection locked="0" hidden="0"/>
    </xf>
    <xf numFmtId="1" fontId="3" fillId="0" borderId="1215" pivotButton="0" quotePrefix="0" xfId="0"/>
    <xf numFmtId="1" fontId="3" fillId="6" borderId="1216" pivotButton="0" quotePrefix="0" xfId="24"/>
    <xf numFmtId="1" fontId="3" fillId="6" borderId="1217" pivotButton="0" quotePrefix="0" xfId="24"/>
    <xf numFmtId="1" fontId="3" fillId="6" borderId="1194" pivotButton="0" quotePrefix="0" xfId="24"/>
    <xf numFmtId="1" fontId="3" fillId="6" borderId="1218" pivotButton="0" quotePrefix="0" xfId="24"/>
    <xf numFmtId="1" fontId="3" fillId="9" borderId="1219" applyProtection="1" pivotButton="0" quotePrefix="0" xfId="24">
      <protection locked="0" hidden="0"/>
    </xf>
    <xf numFmtId="1" fontId="3" fillId="6" borderId="1147" pivotButton="0" quotePrefix="0" xfId="24"/>
    <xf numFmtId="1" fontId="3" fillId="6" borderId="1101" pivotButton="0" quotePrefix="0" xfId="24"/>
    <xf numFmtId="1" fontId="3" fillId="6" borderId="1077" pivotButton="0" quotePrefix="0" xfId="24"/>
    <xf numFmtId="1" fontId="3" fillId="6" borderId="1103" pivotButton="0" quotePrefix="0" xfId="24"/>
    <xf numFmtId="1" fontId="3" fillId="9" borderId="1077" applyProtection="1" pivotButton="0" quotePrefix="0" xfId="24">
      <protection locked="0" hidden="0"/>
    </xf>
    <xf numFmtId="1" fontId="3" fillId="9" borderId="1112" applyProtection="1" pivotButton="0" quotePrefix="0" xfId="24">
      <protection locked="0" hidden="0"/>
    </xf>
    <xf numFmtId="0" fontId="3" fillId="0" borderId="1161" applyAlignment="1" pivotButton="0" quotePrefix="0" xfId="0">
      <alignment horizontal="left" vertical="center" wrapText="1"/>
    </xf>
    <xf numFmtId="0" fontId="3" fillId="0" borderId="1149" applyAlignment="1" pivotButton="0" quotePrefix="0" xfId="0">
      <alignment vertical="center"/>
    </xf>
    <xf numFmtId="1" fontId="3" fillId="3" borderId="1149" pivotButton="0" quotePrefix="0" xfId="0"/>
    <xf numFmtId="1" fontId="3" fillId="6" borderId="1147" pivotButton="0" quotePrefix="0" xfId="11"/>
    <xf numFmtId="1" fontId="3" fillId="9" borderId="374" applyProtection="1" pivotButton="0" quotePrefix="0" xfId="11">
      <protection locked="0" hidden="0"/>
    </xf>
    <xf numFmtId="1" fontId="3" fillId="9" borderId="966" applyProtection="1" pivotButton="0" quotePrefix="0" xfId="11">
      <protection locked="0" hidden="0"/>
    </xf>
    <xf numFmtId="1" fontId="3" fillId="9" borderId="1176" applyProtection="1" pivotButton="0" quotePrefix="0" xfId="11">
      <protection locked="0" hidden="0"/>
    </xf>
    <xf numFmtId="0" fontId="3" fillId="0" borderId="1074" applyAlignment="1" pivotButton="0" quotePrefix="0" xfId="0">
      <alignment horizontal="left" vertical="center" wrapText="1"/>
    </xf>
    <xf numFmtId="1" fontId="3" fillId="6" borderId="1101" pivotButton="0" quotePrefix="0" xfId="11"/>
    <xf numFmtId="1" fontId="3" fillId="9" borderId="1077" applyProtection="1" pivotButton="0" quotePrefix="0" xfId="11">
      <protection locked="0" hidden="0"/>
    </xf>
    <xf numFmtId="1" fontId="3" fillId="9" borderId="1103" applyProtection="1" pivotButton="0" quotePrefix="0" xfId="11">
      <protection locked="0" hidden="0"/>
    </xf>
    <xf numFmtId="1" fontId="3" fillId="9" borderId="1078" applyProtection="1" pivotButton="0" quotePrefix="0" xfId="11">
      <protection locked="0" hidden="0"/>
    </xf>
    <xf numFmtId="1" fontId="3" fillId="9" borderId="1112" applyProtection="1" pivotButton="0" quotePrefix="0" xfId="11">
      <protection locked="0" hidden="0"/>
    </xf>
    <xf numFmtId="1" fontId="3" fillId="9" borderId="1147" applyProtection="1" pivotButton="0" quotePrefix="0" xfId="11">
      <protection locked="0" hidden="0"/>
    </xf>
    <xf numFmtId="1" fontId="3" fillId="9" borderId="1101" applyProtection="1" pivotButton="0" quotePrefix="0" xfId="11">
      <protection locked="0" hidden="0"/>
    </xf>
    <xf numFmtId="1" fontId="3" fillId="0" borderId="1220" pivotButton="0" quotePrefix="0" xfId="0"/>
    <xf numFmtId="1" fontId="3" fillId="0" borderId="1215" applyAlignment="1" pivotButton="0" quotePrefix="0" xfId="0">
      <alignment wrapText="1"/>
    </xf>
    <xf numFmtId="1" fontId="3" fillId="9" borderId="1216" applyProtection="1" pivotButton="0" quotePrefix="0" xfId="24">
      <protection locked="0" hidden="0"/>
    </xf>
    <xf numFmtId="1" fontId="3" fillId="9" borderId="1217" applyProtection="1" pivotButton="0" quotePrefix="0" xfId="24">
      <protection locked="0" hidden="0"/>
    </xf>
    <xf numFmtId="1" fontId="3" fillId="9" borderId="1194" applyProtection="1" pivotButton="0" quotePrefix="0" xfId="24">
      <protection locked="0" hidden="0"/>
    </xf>
    <xf numFmtId="1" fontId="3" fillId="9" borderId="1149" applyProtection="1" pivotButton="0" quotePrefix="0" xfId="24">
      <protection locked="0" hidden="0"/>
    </xf>
    <xf numFmtId="1" fontId="3" fillId="0" borderId="1221" pivotButton="0" quotePrefix="0" xfId="0"/>
    <xf numFmtId="1" fontId="3" fillId="9" borderId="356" applyProtection="1" pivotButton="0" quotePrefix="0" xfId="24">
      <protection locked="0" hidden="0"/>
    </xf>
    <xf numFmtId="1" fontId="3" fillId="9" borderId="1096" applyProtection="1" pivotButton="0" quotePrefix="0" xfId="24">
      <protection locked="0" hidden="0"/>
    </xf>
    <xf numFmtId="1" fontId="3" fillId="0" borderId="1222" pivotButton="0" quotePrefix="0" xfId="0"/>
    <xf numFmtId="1" fontId="3" fillId="9" borderId="1080" applyProtection="1" pivotButton="0" quotePrefix="0" xfId="24">
      <protection locked="0" hidden="0"/>
    </xf>
    <xf numFmtId="1" fontId="3" fillId="0" borderId="1223" applyAlignment="1" pivotButton="0" quotePrefix="0" xfId="0">
      <alignment horizontal="center" vertical="center"/>
    </xf>
    <xf numFmtId="1" fontId="3" fillId="0" borderId="1215" applyAlignment="1" pivotButton="0" quotePrefix="0" xfId="0">
      <alignment horizontal="center" vertical="center" wrapText="1"/>
    </xf>
    <xf numFmtId="0" fontId="3" fillId="0" borderId="1215" applyAlignment="1" pivotButton="0" quotePrefix="0" xfId="0">
      <alignment horizontal="center" vertical="center" wrapText="1"/>
    </xf>
    <xf numFmtId="1" fontId="3" fillId="0" borderId="1164" applyAlignment="1" pivotButton="0" quotePrefix="0" xfId="0">
      <alignment horizontal="left" wrapText="1"/>
    </xf>
    <xf numFmtId="1" fontId="3" fillId="9" borderId="1224" applyAlignment="1" applyProtection="1" pivotButton="0" quotePrefix="0" xfId="24">
      <alignment horizontal="right" vertical="center"/>
      <protection locked="0" hidden="0"/>
    </xf>
    <xf numFmtId="1" fontId="3" fillId="9" borderId="1225" applyAlignment="1" applyProtection="1" pivotButton="0" quotePrefix="0" xfId="24">
      <alignment horizontal="right" vertical="center"/>
      <protection locked="0" hidden="0"/>
    </xf>
    <xf numFmtId="1" fontId="3" fillId="9" borderId="1226" applyAlignment="1" applyProtection="1" pivotButton="0" quotePrefix="0" xfId="24">
      <alignment horizontal="right" vertical="center"/>
      <protection locked="0" hidden="0"/>
    </xf>
    <xf numFmtId="1" fontId="3" fillId="9" borderId="1227" applyAlignment="1" applyProtection="1" pivotButton="0" quotePrefix="0" xfId="24">
      <alignment horizontal="right" vertical="center"/>
      <protection locked="0" hidden="0"/>
    </xf>
    <xf numFmtId="1" fontId="3" fillId="9" borderId="1229" applyAlignment="1" applyProtection="1" pivotButton="0" quotePrefix="0" xfId="24">
      <alignment horizontal="right" vertical="center"/>
      <protection locked="0" hidden="0"/>
    </xf>
    <xf numFmtId="1" fontId="3" fillId="9" borderId="1230" applyAlignment="1" applyProtection="1" pivotButton="0" quotePrefix="0" xfId="24">
      <alignment horizontal="right" vertical="center"/>
      <protection locked="0" hidden="0"/>
    </xf>
    <xf numFmtId="1" fontId="3" fillId="9" borderId="380" applyAlignment="1" applyProtection="1" pivotButton="0" quotePrefix="0" xfId="24">
      <alignment horizontal="right" vertical="center"/>
      <protection locked="0" hidden="0"/>
    </xf>
    <xf numFmtId="1" fontId="3" fillId="9" borderId="1081" applyAlignment="1" applyProtection="1" pivotButton="0" quotePrefix="0" xfId="24">
      <alignment horizontal="right" vertical="center"/>
      <protection locked="0" hidden="0"/>
    </xf>
    <xf numFmtId="1" fontId="3" fillId="9" borderId="849" applyAlignment="1" applyProtection="1" pivotButton="0" quotePrefix="0" xfId="24">
      <alignment horizontal="right" vertical="center"/>
      <protection locked="0" hidden="0"/>
    </xf>
    <xf numFmtId="1" fontId="3" fillId="9" borderId="1074" applyAlignment="1" applyProtection="1" pivotButton="0" quotePrefix="0" xfId="24">
      <alignment horizontal="right" vertical="center"/>
      <protection locked="0" hidden="0"/>
    </xf>
    <xf numFmtId="1" fontId="3" fillId="9" borderId="1147" applyAlignment="1" applyProtection="1" pivotButton="0" quotePrefix="0" xfId="24">
      <alignment wrapText="1"/>
      <protection locked="0" hidden="0"/>
    </xf>
    <xf numFmtId="1" fontId="3" fillId="9" borderId="1149" applyAlignment="1" applyProtection="1" pivotButton="0" quotePrefix="0" xfId="24">
      <alignment wrapText="1"/>
      <protection locked="0" hidden="0"/>
    </xf>
    <xf numFmtId="1" fontId="3" fillId="0" borderId="1107" applyAlignment="1" pivotButton="0" quotePrefix="0" xfId="0">
      <alignment vertical="center"/>
    </xf>
    <xf numFmtId="1" fontId="3" fillId="9" borderId="1200" applyProtection="1" pivotButton="0" quotePrefix="0" xfId="24">
      <protection locked="0" hidden="0"/>
    </xf>
    <xf numFmtId="1" fontId="3" fillId="0" borderId="1232" applyAlignment="1" pivotButton="0" quotePrefix="0" xfId="0">
      <alignment horizontal="center" vertical="center" wrapText="1"/>
    </xf>
    <xf numFmtId="1" fontId="3" fillId="0" borderId="1161" applyAlignment="1" pivotButton="0" quotePrefix="0" xfId="0">
      <alignment vertical="center"/>
    </xf>
    <xf numFmtId="1" fontId="3" fillId="9" borderId="1161" applyProtection="1" pivotButton="0" quotePrefix="0" xfId="24">
      <protection locked="0" hidden="0"/>
    </xf>
    <xf numFmtId="1" fontId="3" fillId="9" borderId="554" applyProtection="1" pivotButton="0" quotePrefix="0" xfId="24">
      <protection locked="0" hidden="0"/>
    </xf>
    <xf numFmtId="1" fontId="3" fillId="9" borderId="380" applyProtection="1" pivotButton="0" quotePrefix="0" xfId="24">
      <protection locked="0" hidden="0"/>
    </xf>
    <xf numFmtId="1" fontId="3" fillId="9" borderId="1074" applyProtection="1" pivotButton="0" quotePrefix="0" xfId="24">
      <protection locked="0" hidden="0"/>
    </xf>
    <xf numFmtId="165" fontId="3" fillId="0" borderId="849" applyAlignment="1" pivotButton="0" quotePrefix="0" xfId="25">
      <alignment horizontal="center" vertical="center" wrapText="1"/>
    </xf>
    <xf numFmtId="1" fontId="3" fillId="5" borderId="1074" pivotButton="0" quotePrefix="0" xfId="24"/>
    <xf numFmtId="1" fontId="3" fillId="0" borderId="1233" applyAlignment="1" pivotButton="0" quotePrefix="0" xfId="0">
      <alignment horizontal="center" vertical="center" wrapText="1"/>
    </xf>
    <xf numFmtId="1" fontId="3" fillId="0" borderId="1234" applyAlignment="1" pivotButton="0" quotePrefix="0" xfId="0">
      <alignment horizontal="center" vertical="center" wrapText="1"/>
    </xf>
    <xf numFmtId="1" fontId="3" fillId="6" borderId="1147" pivotButton="0" quotePrefix="0" xfId="24"/>
    <xf numFmtId="1" fontId="3" fillId="6" borderId="1149" pivotButton="0" quotePrefix="0" xfId="24"/>
    <xf numFmtId="1" fontId="3" fillId="11" borderId="1164" pivotButton="0" quotePrefix="0" xfId="24"/>
    <xf numFmtId="1" fontId="3" fillId="11" borderId="1161" pivotButton="0" quotePrefix="0" xfId="24"/>
    <xf numFmtId="1" fontId="3" fillId="6" borderId="1101" pivotButton="0" quotePrefix="0" xfId="24"/>
    <xf numFmtId="1" fontId="3" fillId="11" borderId="1107" pivotButton="0" quotePrefix="0" xfId="24"/>
    <xf numFmtId="1" fontId="3" fillId="11" borderId="1074" pivotButton="0" quotePrefix="0" xfId="24"/>
    <xf numFmtId="1" fontId="3" fillId="0" borderId="1232" applyAlignment="1" pivotButton="0" quotePrefix="0" xfId="0">
      <alignment horizontal="left" vertical="center"/>
    </xf>
    <xf numFmtId="1" fontId="3" fillId="0" borderId="1232" applyAlignment="1" pivotButton="0" quotePrefix="0" xfId="0">
      <alignment horizontal="left" vertical="center" wrapText="1"/>
    </xf>
    <xf numFmtId="1" fontId="3" fillId="6" borderId="553" pivotButton="0" quotePrefix="0" xfId="24"/>
    <xf numFmtId="1" fontId="3" fillId="6" borderId="1084" pivotButton="0" quotePrefix="0" xfId="24"/>
    <xf numFmtId="1" fontId="3" fillId="11" borderId="550" pivotButton="0" quotePrefix="0" xfId="24"/>
    <xf numFmtId="1" fontId="3" fillId="11" borderId="554" pivotButton="0" quotePrefix="0" xfId="24"/>
    <xf numFmtId="1" fontId="3" fillId="6" borderId="394" pivotButton="0" quotePrefix="0" xfId="24"/>
    <xf numFmtId="1" fontId="3" fillId="6" borderId="1081" pivotButton="0" quotePrefix="0" xfId="24"/>
    <xf numFmtId="1" fontId="3" fillId="11" borderId="1094" pivotButton="0" quotePrefix="0" xfId="24"/>
    <xf numFmtId="1" fontId="3" fillId="11" borderId="380" pivotButton="0" quotePrefix="0" xfId="24"/>
    <xf numFmtId="1" fontId="3" fillId="9" borderId="1164" applyProtection="1" pivotButton="0" quotePrefix="0" xfId="24">
      <protection locked="0" hidden="0"/>
    </xf>
    <xf numFmtId="1" fontId="3" fillId="9" borderId="1107" applyProtection="1" pivotButton="0" quotePrefix="0" xfId="24">
      <protection locked="0" hidden="0"/>
    </xf>
    <xf numFmtId="1" fontId="3" fillId="9" borderId="849" applyProtection="1" pivotButton="0" quotePrefix="0" xfId="24">
      <protection locked="0" hidden="0"/>
    </xf>
    <xf numFmtId="1" fontId="3" fillId="0" borderId="1233" applyAlignment="1" pivotButton="0" quotePrefix="0" xfId="0">
      <alignment horizontal="center" vertical="center"/>
    </xf>
    <xf numFmtId="0" fontId="3" fillId="0" borderId="1235" applyAlignment="1" pivotButton="0" quotePrefix="0" xfId="0">
      <alignment horizontal="center" vertical="center"/>
    </xf>
    <xf numFmtId="0" fontId="3" fillId="0" borderId="1236" applyAlignment="1" pivotButton="0" quotePrefix="0" xfId="0">
      <alignment horizontal="center" vertical="center"/>
    </xf>
    <xf numFmtId="0" fontId="3" fillId="0" borderId="1233" applyAlignment="1" pivotButton="0" quotePrefix="0" xfId="0">
      <alignment horizontal="center" vertical="center"/>
    </xf>
    <xf numFmtId="1" fontId="3" fillId="0" borderId="1164" applyAlignment="1" pivotButton="0" quotePrefix="0" xfId="0">
      <alignment horizontal="left" vertical="center"/>
    </xf>
    <xf numFmtId="1" fontId="3" fillId="6" borderId="1161" applyAlignment="1" pivotButton="0" quotePrefix="0" xfId="0">
      <alignment horizontal="center" vertical="center"/>
    </xf>
    <xf numFmtId="1" fontId="3" fillId="7" borderId="1147" pivotButton="0" quotePrefix="0" xfId="0"/>
    <xf numFmtId="1" fontId="3" fillId="7" borderId="1149" pivotButton="0" quotePrefix="0" xfId="0"/>
    <xf numFmtId="1" fontId="3" fillId="7" borderId="1176" pivotButton="0" quotePrefix="0" xfId="0"/>
    <xf numFmtId="1" fontId="3" fillId="5" borderId="380" applyAlignment="1" pivotButton="0" quotePrefix="0" xfId="26">
      <alignment wrapText="1"/>
    </xf>
    <xf numFmtId="1" fontId="3" fillId="5" borderId="849" applyAlignment="1" pivotButton="0" quotePrefix="0" xfId="26">
      <alignment wrapText="1"/>
    </xf>
    <xf numFmtId="1" fontId="3" fillId="4" borderId="1200" applyProtection="1" pivotButton="0" quotePrefix="0" xfId="0">
      <protection locked="0" hidden="0"/>
    </xf>
    <xf numFmtId="1" fontId="3" fillId="4" borderId="1196" applyProtection="1" pivotButton="0" quotePrefix="0" xfId="0">
      <protection locked="0" hidden="0"/>
    </xf>
    <xf numFmtId="0" fontId="3" fillId="0" borderId="1195" applyAlignment="1" pivotButton="0" quotePrefix="0" xfId="0">
      <alignment horizontal="center" vertical="center"/>
    </xf>
    <xf numFmtId="1" fontId="3" fillId="0" borderId="1241" applyAlignment="1" pivotButton="0" quotePrefix="0" xfId="0">
      <alignment horizontal="center" vertical="center"/>
    </xf>
    <xf numFmtId="1" fontId="3" fillId="0" borderId="1242" applyAlignment="1" pivotButton="0" quotePrefix="0" xfId="0">
      <alignment horizontal="center" vertical="center"/>
    </xf>
    <xf numFmtId="1" fontId="3" fillId="5" borderId="1161" applyAlignment="1" pivotButton="0" quotePrefix="0" xfId="0">
      <alignment horizontal="right" vertical="center"/>
    </xf>
    <xf numFmtId="1" fontId="3" fillId="5" borderId="380" applyAlignment="1" pivotButton="0" quotePrefix="0" xfId="27">
      <alignment horizontal="right" wrapText="1"/>
    </xf>
    <xf numFmtId="1" fontId="3" fillId="0" borderId="1195" applyAlignment="1" pivotButton="0" quotePrefix="0" xfId="0">
      <alignment vertical="center"/>
    </xf>
    <xf numFmtId="1" fontId="3" fillId="5" borderId="849" applyAlignment="1" pivotButton="0" quotePrefix="0" xfId="27">
      <alignment horizontal="right" wrapText="1"/>
    </xf>
    <xf numFmtId="1" fontId="3" fillId="7" borderId="1200" pivotButton="0" quotePrefix="0" xfId="0"/>
    <xf numFmtId="1" fontId="3" fillId="0" borderId="1240" applyAlignment="1" pivotButton="0" quotePrefix="0" xfId="0">
      <alignment horizontal="center" vertical="center" wrapText="1"/>
    </xf>
    <xf numFmtId="1" fontId="3" fillId="0" borderId="1243" applyAlignment="1" pivotButton="0" quotePrefix="0" xfId="0">
      <alignment horizontal="center" vertical="center" wrapText="1"/>
    </xf>
    <xf numFmtId="1" fontId="3" fillId="0" borderId="1240" applyAlignment="1" pivotButton="0" quotePrefix="0" xfId="0">
      <alignment horizontal="center" vertical="center"/>
    </xf>
    <xf numFmtId="1" fontId="3" fillId="0" borderId="1243" applyAlignment="1" pivotButton="0" quotePrefix="0" xfId="0">
      <alignment horizontal="center" vertical="center"/>
    </xf>
    <xf numFmtId="1" fontId="3" fillId="0" borderId="1234" applyAlignment="1" pivotButton="0" quotePrefix="0" xfId="0">
      <alignment horizontal="center" vertical="center"/>
    </xf>
    <xf numFmtId="1" fontId="3" fillId="0" borderId="1245" applyAlignment="1" pivotButton="0" quotePrefix="0" xfId="0">
      <alignment horizontal="center" vertical="center" wrapText="1"/>
    </xf>
    <xf numFmtId="1" fontId="3" fillId="0" borderId="1246" applyAlignment="1" pivotButton="0" quotePrefix="0" xfId="0">
      <alignment horizontal="center" vertical="center" wrapText="1"/>
    </xf>
    <xf numFmtId="1" fontId="3" fillId="0" borderId="1248" applyAlignment="1" pivotButton="0" quotePrefix="0" xfId="0">
      <alignment horizontal="center" vertical="center"/>
    </xf>
    <xf numFmtId="1" fontId="3" fillId="0" borderId="1249" applyAlignment="1" pivotButton="0" quotePrefix="0" xfId="0">
      <alignment horizontal="center" vertical="center"/>
    </xf>
    <xf numFmtId="1" fontId="3" fillId="0" borderId="1250" applyAlignment="1" pivotButton="0" quotePrefix="0" xfId="0">
      <alignment horizontal="center" vertical="center"/>
    </xf>
    <xf numFmtId="1" fontId="3" fillId="0" borderId="1251" applyAlignment="1" pivotButton="0" quotePrefix="0" xfId="0">
      <alignment horizontal="center" vertical="center"/>
    </xf>
    <xf numFmtId="1" fontId="3" fillId="0" borderId="1252" applyAlignment="1" pivotButton="0" quotePrefix="0" xfId="0">
      <alignment horizontal="center" vertical="center" wrapText="1"/>
    </xf>
    <xf numFmtId="1" fontId="3" fillId="0" borderId="1236" applyAlignment="1" pivotButton="0" quotePrefix="0" xfId="0">
      <alignment horizontal="center" vertical="center" wrapText="1"/>
    </xf>
    <xf numFmtId="1" fontId="3" fillId="0" borderId="1251" applyAlignment="1" pivotButton="0" quotePrefix="0" xfId="0">
      <alignment vertical="center" wrapText="1"/>
    </xf>
    <xf numFmtId="1" fontId="3" fillId="0" borderId="1235" applyAlignment="1" pivotButton="0" quotePrefix="0" xfId="0">
      <alignment horizontal="center" vertical="center"/>
    </xf>
    <xf numFmtId="1" fontId="3" fillId="0" borderId="1248" applyAlignment="1" pivotButton="0" quotePrefix="0" xfId="0">
      <alignment horizontal="center" vertical="center" wrapText="1"/>
    </xf>
    <xf numFmtId="1" fontId="3" fillId="0" borderId="1232" applyAlignment="1" pivotButton="0" quotePrefix="0" xfId="0">
      <alignment horizontal="center" vertical="center"/>
    </xf>
    <xf numFmtId="1" fontId="3" fillId="0" borderId="1080" pivotButton="0" quotePrefix="0" xfId="0"/>
    <xf numFmtId="1" fontId="3" fillId="0" borderId="1103" pivotButton="0" quotePrefix="0" xfId="0"/>
    <xf numFmtId="1" fontId="3" fillId="0" borderId="1248" pivotButton="0" quotePrefix="0" xfId="0"/>
    <xf numFmtId="1" fontId="3" fillId="0" borderId="1253" pivotButton="0" quotePrefix="0" xfId="0"/>
    <xf numFmtId="1" fontId="3" fillId="0" borderId="1148" pivotButton="0" quotePrefix="0" xfId="0"/>
    <xf numFmtId="1" fontId="3" fillId="0" borderId="1147" pivotButton="0" quotePrefix="0" xfId="0"/>
    <xf numFmtId="1" fontId="3" fillId="4" borderId="1192" applyProtection="1" pivotButton="0" quotePrefix="0" xfId="0">
      <protection locked="0" hidden="0"/>
    </xf>
    <xf numFmtId="1" fontId="3" fillId="4" borderId="1254" applyProtection="1" pivotButton="0" quotePrefix="0" xfId="0">
      <protection locked="0" hidden="0"/>
    </xf>
    <xf numFmtId="1" fontId="3" fillId="36" borderId="966" applyProtection="1" pivotButton="0" quotePrefix="0" xfId="0">
      <protection locked="0" hidden="0"/>
    </xf>
    <xf numFmtId="1" fontId="3" fillId="36" borderId="737" applyProtection="1" pivotButton="0" quotePrefix="0" xfId="0">
      <protection locked="0" hidden="0"/>
    </xf>
    <xf numFmtId="1" fontId="3" fillId="36" borderId="1148" applyProtection="1" pivotButton="0" quotePrefix="0" xfId="0">
      <protection locked="0" hidden="0"/>
    </xf>
    <xf numFmtId="1" fontId="3" fillId="36" borderId="1147" applyProtection="1" pivotButton="0" quotePrefix="0" xfId="0">
      <protection locked="0" hidden="0"/>
    </xf>
    <xf numFmtId="1" fontId="3" fillId="0" borderId="1094" applyAlignment="1" pivotButton="0" quotePrefix="0" xfId="0">
      <alignment wrapText="1"/>
    </xf>
    <xf numFmtId="1" fontId="3" fillId="0" borderId="1096" pivotButton="0" quotePrefix="0" xfId="0"/>
    <xf numFmtId="1" fontId="3" fillId="4" borderId="884" applyProtection="1" pivotButton="0" quotePrefix="0" xfId="0">
      <protection locked="0" hidden="0"/>
    </xf>
    <xf numFmtId="1" fontId="3" fillId="36" borderId="354" applyProtection="1" pivotButton="0" quotePrefix="0" xfId="0">
      <protection locked="0" hidden="0"/>
    </xf>
    <xf numFmtId="1" fontId="3" fillId="36" borderId="1096" applyProtection="1" pivotButton="0" quotePrefix="0" xfId="0">
      <protection locked="0" hidden="0"/>
    </xf>
    <xf numFmtId="1" fontId="3" fillId="36" borderId="394" applyProtection="1" pivotButton="0" quotePrefix="0" xfId="0">
      <protection locked="0" hidden="0"/>
    </xf>
    <xf numFmtId="1" fontId="3" fillId="0" borderId="1102" pivotButton="0" quotePrefix="0" xfId="0"/>
    <xf numFmtId="1" fontId="3" fillId="36" borderId="1078" applyProtection="1" pivotButton="0" quotePrefix="0" xfId="0">
      <protection locked="0" hidden="0"/>
    </xf>
    <xf numFmtId="1" fontId="3" fillId="36" borderId="1079" applyProtection="1" pivotButton="0" quotePrefix="0" xfId="0">
      <protection locked="0" hidden="0"/>
    </xf>
    <xf numFmtId="1" fontId="3" fillId="36" borderId="1080" applyProtection="1" pivotButton="0" quotePrefix="0" xfId="0">
      <protection locked="0" hidden="0"/>
    </xf>
    <xf numFmtId="1" fontId="3" fillId="36" borderId="1101" applyProtection="1" pivotButton="0" quotePrefix="0" xfId="0">
      <protection locked="0" hidden="0"/>
    </xf>
    <xf numFmtId="1" fontId="3" fillId="0" borderId="1250" applyAlignment="1" pivotButton="0" quotePrefix="0" xfId="0">
      <alignment horizontal="center" vertical="center" wrapText="1"/>
    </xf>
    <xf numFmtId="1" fontId="3" fillId="4" borderId="1252" applyProtection="1" pivotButton="0" quotePrefix="0" xfId="0">
      <protection locked="0" hidden="0"/>
    </xf>
    <xf numFmtId="1" fontId="3" fillId="0" borderId="1240" applyAlignment="1" pivotButton="0" quotePrefix="0" xfId="0">
      <alignment vertical="center" wrapText="1"/>
    </xf>
    <xf numFmtId="1" fontId="3" fillId="0" borderId="1243" applyAlignment="1" pivotButton="0" quotePrefix="0" xfId="0">
      <alignment vertical="center" wrapText="1"/>
    </xf>
    <xf numFmtId="1" fontId="3" fillId="0" borderId="1255" applyAlignment="1" pivotButton="0" quotePrefix="0" xfId="0">
      <alignment horizontal="center" vertical="center"/>
    </xf>
    <xf numFmtId="1" fontId="3" fillId="0" borderId="1245" applyAlignment="1" pivotButton="0" quotePrefix="0" xfId="0">
      <alignment horizontal="center" vertical="center"/>
    </xf>
    <xf numFmtId="1" fontId="3" fillId="0" borderId="788" applyAlignment="1" pivotButton="0" quotePrefix="0" xfId="0">
      <alignment horizontal="center" vertical="center"/>
    </xf>
    <xf numFmtId="1" fontId="3" fillId="0" borderId="1252" applyAlignment="1" pivotButton="0" quotePrefix="0" xfId="0">
      <alignment horizontal="center" vertical="center"/>
    </xf>
    <xf numFmtId="1" fontId="3" fillId="0" borderId="1256" applyAlignment="1" pivotButton="0" quotePrefix="0" xfId="0">
      <alignment horizontal="center" vertical="center" wrapText="1"/>
    </xf>
    <xf numFmtId="1" fontId="3" fillId="0" borderId="1232" applyAlignment="1" pivotButton="0" quotePrefix="0" xfId="8">
      <alignment vertical="center"/>
    </xf>
    <xf numFmtId="1" fontId="3" fillId="0" borderId="1250" pivotButton="0" quotePrefix="0" xfId="0"/>
    <xf numFmtId="1" fontId="3" fillId="0" borderId="1243" pivotButton="0" quotePrefix="0" xfId="0"/>
    <xf numFmtId="1" fontId="3" fillId="3" borderId="1248" pivotButton="0" quotePrefix="0" xfId="0"/>
    <xf numFmtId="1" fontId="3" fillId="3" borderId="1233" pivotButton="0" quotePrefix="0" xfId="0"/>
    <xf numFmtId="1" fontId="3" fillId="3" borderId="1250" pivotButton="0" quotePrefix="0" xfId="0"/>
    <xf numFmtId="1" fontId="3" fillId="0" borderId="1251" pivotButton="0" quotePrefix="0" xfId="0"/>
    <xf numFmtId="1" fontId="3" fillId="4" borderId="1245" applyProtection="1" pivotButton="0" quotePrefix="0" xfId="0">
      <protection locked="0" hidden="0"/>
    </xf>
    <xf numFmtId="1" fontId="3" fillId="4" borderId="1161" applyProtection="1" pivotButton="0" quotePrefix="0" xfId="0">
      <protection locked="0" hidden="0"/>
    </xf>
    <xf numFmtId="1" fontId="3" fillId="7" borderId="884" pivotButton="0" quotePrefix="0" xfId="0"/>
    <xf numFmtId="1" fontId="3" fillId="7" borderId="1111" pivotButton="0" quotePrefix="0" xfId="0"/>
    <xf numFmtId="1" fontId="3" fillId="7" borderId="1110" pivotButton="0" quotePrefix="0" xfId="0"/>
    <xf numFmtId="1" fontId="3" fillId="7" borderId="1112" pivotButton="0" quotePrefix="0" xfId="0"/>
    <xf numFmtId="1" fontId="3" fillId="0" borderId="1249" pivotButton="0" quotePrefix="0" xfId="0"/>
    <xf numFmtId="1" fontId="3" fillId="0" borderId="1235" pivotButton="0" quotePrefix="0" xfId="0"/>
    <xf numFmtId="1" fontId="3" fillId="0" borderId="1246" pivotButton="0" quotePrefix="0" xfId="0"/>
    <xf numFmtId="1" fontId="3" fillId="0" borderId="1252" pivotButton="0" quotePrefix="0" xfId="0"/>
    <xf numFmtId="1" fontId="3" fillId="0" borderId="1242" applyAlignment="1" pivotButton="0" quotePrefix="0" xfId="0">
      <alignment horizontal="center" vertical="center" wrapText="1"/>
    </xf>
    <xf numFmtId="1" fontId="3" fillId="0" borderId="1195" applyAlignment="1" pivotButton="0" quotePrefix="0" xfId="0">
      <alignment horizontal="center" vertical="center" wrapText="1"/>
    </xf>
    <xf numFmtId="1" fontId="3" fillId="0" borderId="1259" applyAlignment="1" pivotButton="0" quotePrefix="0" xfId="0">
      <alignment vertical="center" wrapText="1"/>
    </xf>
    <xf numFmtId="1" fontId="3" fillId="3" borderId="1243" pivotButton="0" quotePrefix="0" xfId="0"/>
    <xf numFmtId="1" fontId="3" fillId="3" borderId="1235" pivotButton="0" quotePrefix="0" xfId="0"/>
    <xf numFmtId="1" fontId="3" fillId="3" borderId="1249" pivotButton="0" quotePrefix="0" xfId="0"/>
    <xf numFmtId="1" fontId="3" fillId="3" borderId="1236" pivotButton="0" quotePrefix="0" xfId="0"/>
    <xf numFmtId="1" fontId="3" fillId="36" borderId="1241" applyProtection="1" pivotButton="0" quotePrefix="0" xfId="0">
      <protection locked="0" hidden="0"/>
    </xf>
    <xf numFmtId="1" fontId="3" fillId="36" borderId="1259" applyProtection="1" pivotButton="0" quotePrefix="0" xfId="0">
      <protection locked="0" hidden="0"/>
    </xf>
    <xf numFmtId="1" fontId="3" fillId="36" borderId="1255" applyProtection="1" pivotButton="0" quotePrefix="0" xfId="0">
      <protection locked="0" hidden="0"/>
    </xf>
    <xf numFmtId="1" fontId="3" fillId="36" borderId="1245" applyProtection="1" pivotButton="0" quotePrefix="0" xfId="0">
      <protection locked="0" hidden="0"/>
    </xf>
    <xf numFmtId="0" fontId="3" fillId="0" borderId="1231" applyAlignment="1" pivotButton="0" quotePrefix="0" xfId="0">
      <alignment horizontal="center" vertical="center" wrapText="1"/>
    </xf>
    <xf numFmtId="0" fontId="3" fillId="0" borderId="1237" applyAlignment="1" pivotButton="0" quotePrefix="0" xfId="0">
      <alignment horizontal="center" vertical="center" wrapText="1"/>
    </xf>
    <xf numFmtId="0" fontId="3" fillId="0" borderId="1232" applyAlignment="1" pivotButton="0" quotePrefix="0" xfId="0">
      <alignment horizontal="center" vertical="center" wrapText="1"/>
    </xf>
    <xf numFmtId="1" fontId="3" fillId="0" borderId="1232" pivotButton="0" quotePrefix="0" xfId="0"/>
    <xf numFmtId="1" fontId="3" fillId="0" borderId="1233" pivotButton="0" quotePrefix="0" xfId="0"/>
    <xf numFmtId="0" fontId="3" fillId="0" borderId="1161" applyAlignment="1" pivotButton="0" quotePrefix="0" xfId="0">
      <alignment vertical="center"/>
    </xf>
    <xf numFmtId="0" fontId="3" fillId="6" borderId="380" applyAlignment="1" pivotButton="0" quotePrefix="0" xfId="0">
      <alignment vertical="center"/>
    </xf>
    <xf numFmtId="0" fontId="3" fillId="0" borderId="1074" applyAlignment="1" pivotButton="0" quotePrefix="0" xfId="0">
      <alignment vertical="center"/>
    </xf>
    <xf numFmtId="1" fontId="3" fillId="6" borderId="1074" applyProtection="1" pivotButton="0" quotePrefix="0" xfId="0">
      <protection locked="0" hidden="0"/>
    </xf>
    <xf numFmtId="1" fontId="3" fillId="0" borderId="1233" applyAlignment="1" pivotButton="0" quotePrefix="0" xfId="0">
      <alignment vertical="center" wrapText="1"/>
    </xf>
    <xf numFmtId="1" fontId="3" fillId="0" borderId="1232" applyAlignment="1" pivotButton="0" quotePrefix="0" xfId="0">
      <alignment vertical="center" wrapText="1"/>
    </xf>
    <xf numFmtId="1" fontId="3" fillId="4" borderId="1232" applyProtection="1" pivotButton="0" quotePrefix="0" xfId="0">
      <protection locked="0" hidden="0"/>
    </xf>
    <xf numFmtId="1" fontId="3" fillId="4" borderId="1248" applyProtection="1" pivotButton="0" quotePrefix="0" xfId="0">
      <protection locked="0" hidden="0"/>
    </xf>
    <xf numFmtId="1" fontId="3" fillId="4" borderId="1249" applyProtection="1" pivotButton="0" quotePrefix="0" xfId="0">
      <protection locked="0" hidden="0"/>
    </xf>
    <xf numFmtId="1" fontId="3" fillId="0" borderId="1161" applyAlignment="1" pivotButton="0" quotePrefix="0" xfId="0">
      <alignment horizontal="center" vertical="center"/>
    </xf>
    <xf numFmtId="1" fontId="3" fillId="5" borderId="1234" pivotButton="0" quotePrefix="0" xfId="0"/>
    <xf numFmtId="1" fontId="3" fillId="5" borderId="1249" pivotButton="0" quotePrefix="0" xfId="0"/>
    <xf numFmtId="1" fontId="3" fillId="5" borderId="1250" pivotButton="0" quotePrefix="0" xfId="0"/>
    <xf numFmtId="1" fontId="3" fillId="5" borderId="1248" pivotButton="0" quotePrefix="0" xfId="0"/>
    <xf numFmtId="1" fontId="3" fillId="0" borderId="1237" pivotButton="0" quotePrefix="0" xfId="0"/>
    <xf numFmtId="1" fontId="3" fillId="8" borderId="908" applyProtection="1" pivotButton="0" quotePrefix="0" xfId="0">
      <protection locked="0" hidden="0"/>
    </xf>
    <xf numFmtId="1" fontId="3" fillId="6" borderId="908" pivotButton="0" quotePrefix="0" xfId="0"/>
    <xf numFmtId="1" fontId="3" fillId="44" borderId="546" applyProtection="1" pivotButton="0" quotePrefix="0" xfId="0">
      <protection locked="0" hidden="0"/>
    </xf>
    <xf numFmtId="1" fontId="3" fillId="44" borderId="394" applyProtection="1" pivotButton="0" quotePrefix="0" xfId="0">
      <protection locked="0" hidden="0"/>
    </xf>
    <xf numFmtId="1" fontId="3" fillId="44" borderId="1081" applyProtection="1" pivotButton="0" quotePrefix="0" xfId="0">
      <protection locked="0" hidden="0"/>
    </xf>
    <xf numFmtId="1" fontId="3" fillId="47" borderId="546" applyProtection="1" pivotButton="0" quotePrefix="0" xfId="0">
      <protection locked="0" hidden="0"/>
    </xf>
    <xf numFmtId="1" fontId="3" fillId="44" borderId="553" applyProtection="1" pivotButton="0" quotePrefix="0" xfId="0">
      <protection locked="0" hidden="0"/>
    </xf>
    <xf numFmtId="1" fontId="3" fillId="44" borderId="1084" applyProtection="1" pivotButton="0" quotePrefix="0" xfId="0">
      <protection locked="0" hidden="0"/>
    </xf>
    <xf numFmtId="1" fontId="3" fillId="47" borderId="394" applyProtection="1" pivotButton="0" quotePrefix="0" xfId="0">
      <protection locked="0" hidden="0"/>
    </xf>
    <xf numFmtId="1" fontId="3" fillId="36" borderId="553" applyProtection="1" pivotButton="0" quotePrefix="0" xfId="0">
      <protection locked="0" hidden="0"/>
    </xf>
    <xf numFmtId="1" fontId="3" fillId="47" borderId="1081" applyProtection="1" pivotButton="0" quotePrefix="0" xfId="0">
      <protection locked="0" hidden="0"/>
    </xf>
    <xf numFmtId="1" fontId="3" fillId="44" borderId="1200" applyProtection="1" pivotButton="0" quotePrefix="0" xfId="0">
      <protection locked="0" hidden="0"/>
    </xf>
    <xf numFmtId="1" fontId="3" fillId="44" borderId="788" applyProtection="1" pivotButton="0" quotePrefix="0" xfId="0">
      <protection locked="0" hidden="0"/>
    </xf>
    <xf numFmtId="1" fontId="3" fillId="47" borderId="788" applyProtection="1" pivotButton="0" quotePrefix="0" xfId="0">
      <protection locked="0" hidden="0"/>
    </xf>
    <xf numFmtId="1" fontId="3" fillId="47" borderId="1200" applyProtection="1" pivotButton="0" quotePrefix="0" xfId="0">
      <protection locked="0" hidden="0"/>
    </xf>
    <xf numFmtId="1" fontId="2" fillId="3" borderId="1195" pivotButton="0" quotePrefix="0" xfId="0"/>
    <xf numFmtId="1" fontId="3" fillId="5" borderId="1233" pivotButton="0" quotePrefix="0" xfId="0"/>
    <xf numFmtId="1" fontId="3" fillId="5" borderId="1147" pivotButton="0" quotePrefix="0" xfId="0"/>
    <xf numFmtId="1" fontId="3" fillId="5" borderId="737" pivotButton="0" quotePrefix="0" xfId="0"/>
    <xf numFmtId="1" fontId="3" fillId="5" borderId="394" pivotButton="0" quotePrefix="0" xfId="0"/>
    <xf numFmtId="1" fontId="3" fillId="5" borderId="354" pivotButton="0" quotePrefix="0" xfId="0"/>
    <xf numFmtId="1" fontId="3" fillId="5" borderId="1101" pivotButton="0" quotePrefix="0" xfId="0"/>
    <xf numFmtId="1" fontId="3" fillId="5" borderId="1079" pivotButton="0" quotePrefix="0" xfId="0"/>
    <xf numFmtId="1" fontId="3" fillId="36" borderId="1107" applyProtection="1" pivotButton="0" quotePrefix="0" xfId="0">
      <protection locked="0" hidden="0"/>
    </xf>
    <xf numFmtId="1" fontId="3" fillId="36" borderId="1102" applyProtection="1" pivotButton="0" quotePrefix="0" xfId="0">
      <protection locked="0" hidden="0"/>
    </xf>
    <xf numFmtId="1" fontId="3" fillId="0" borderId="1232" applyAlignment="1" pivotButton="0" quotePrefix="0" xfId="8">
      <alignment horizontal="center" vertical="center"/>
    </xf>
    <xf numFmtId="1" fontId="3" fillId="0" borderId="1240" pivotButton="0" quotePrefix="0" xfId="0"/>
    <xf numFmtId="1" fontId="3" fillId="0" borderId="1149" pivotButton="0" quotePrefix="0" xfId="0"/>
    <xf numFmtId="1" fontId="3" fillId="6" borderId="1094" pivotButton="0" quotePrefix="0" xfId="0"/>
    <xf numFmtId="1" fontId="3" fillId="6" borderId="1087" pivotButton="0" quotePrefix="0" xfId="0"/>
    <xf numFmtId="1" fontId="3" fillId="0" borderId="1200" pivotButton="0" quotePrefix="0" xfId="0"/>
    <xf numFmtId="1" fontId="3" fillId="6" borderId="1200" pivotButton="0" quotePrefix="0" xfId="0"/>
    <xf numFmtId="1" fontId="2" fillId="3" borderId="1195" applyAlignment="1" pivotButton="0" quotePrefix="0" xfId="0">
      <alignment horizontal="left"/>
    </xf>
    <xf numFmtId="1" fontId="3" fillId="0" borderId="1255" applyAlignment="1" pivotButton="0" quotePrefix="0" xfId="0">
      <alignment horizontal="right" vertical="center"/>
    </xf>
    <xf numFmtId="1" fontId="3" fillId="0" borderId="1242" applyAlignment="1" pivotButton="0" quotePrefix="0" xfId="0">
      <alignment horizontal="right" vertical="center"/>
    </xf>
    <xf numFmtId="1" fontId="3" fillId="0" borderId="1245" applyAlignment="1" pivotButton="0" quotePrefix="0" xfId="0">
      <alignment horizontal="right" vertical="center"/>
    </xf>
    <xf numFmtId="1" fontId="3" fillId="0" borderId="1250" applyAlignment="1" pivotButton="0" quotePrefix="0" xfId="0">
      <alignment horizontal="right" vertical="center"/>
    </xf>
    <xf numFmtId="1" fontId="3" fillId="0" borderId="1233" applyAlignment="1" pivotButton="0" quotePrefix="0" xfId="0">
      <alignment horizontal="right" vertical="center"/>
    </xf>
    <xf numFmtId="1" fontId="3" fillId="0" borderId="1248" applyAlignment="1" pivotButton="0" quotePrefix="0" xfId="0">
      <alignment horizontal="right" vertical="center"/>
    </xf>
    <xf numFmtId="1" fontId="3" fillId="0" borderId="1249" applyAlignment="1" pivotButton="0" quotePrefix="0" xfId="0">
      <alignment horizontal="right" vertical="center"/>
    </xf>
    <xf numFmtId="1" fontId="3" fillId="0" borderId="1161" applyAlignment="1" pivotButton="0" quotePrefix="0" xfId="34">
      <alignment horizontal="left" vertical="center" wrapText="1"/>
    </xf>
    <xf numFmtId="1" fontId="3" fillId="0" borderId="380" applyAlignment="1" pivotButton="0" quotePrefix="0" xfId="34">
      <alignment horizontal="left" vertical="center" wrapText="1"/>
    </xf>
    <xf numFmtId="1" fontId="3" fillId="0" borderId="1200" applyAlignment="1" pivotButton="0" quotePrefix="0" xfId="0">
      <alignment vertical="center" wrapText="1"/>
    </xf>
    <xf numFmtId="1" fontId="3" fillId="36" borderId="788" applyProtection="1" pivotButton="0" quotePrefix="0" xfId="0">
      <protection locked="0" hidden="0"/>
    </xf>
    <xf numFmtId="1" fontId="2" fillId="0" borderId="1232" applyAlignment="1" pivotButton="0" quotePrefix="0" xfId="0">
      <alignment horizontal="left" vertical="center"/>
    </xf>
    <xf numFmtId="1" fontId="3" fillId="0" borderId="1234" applyAlignment="1" pivotButton="0" quotePrefix="0" xfId="0">
      <alignment horizontal="right" vertical="center"/>
    </xf>
    <xf numFmtId="1" fontId="3" fillId="0" borderId="1240" applyAlignment="1" pivotButton="0" quotePrefix="0" xfId="0">
      <alignment vertical="center"/>
    </xf>
    <xf numFmtId="1" fontId="3" fillId="0" borderId="1232" applyAlignment="1" pivotButton="0" quotePrefix="0" xfId="0">
      <alignment vertical="center"/>
    </xf>
    <xf numFmtId="1" fontId="2" fillId="3" borderId="1237" applyAlignment="1" pivotButton="0" quotePrefix="0" xfId="0">
      <alignment horizontal="left"/>
    </xf>
    <xf numFmtId="1" fontId="2" fillId="3" borderId="1238" applyAlignment="1" pivotButton="0" quotePrefix="0" xfId="0">
      <alignment horizontal="left"/>
    </xf>
    <xf numFmtId="1" fontId="7" fillId="3" borderId="1238" applyAlignment="1" pivotButton="0" quotePrefix="0" xfId="0">
      <alignment vertical="center"/>
    </xf>
    <xf numFmtId="1" fontId="7" fillId="3" borderId="1242" applyAlignment="1" pivotButton="0" quotePrefix="0" xfId="0">
      <alignment vertical="center"/>
    </xf>
    <xf numFmtId="1" fontId="3" fillId="0" borderId="1241" applyAlignment="1" pivotButton="0" quotePrefix="0" xfId="0">
      <alignment horizontal="center" vertical="center" wrapText="1"/>
    </xf>
    <xf numFmtId="1" fontId="3" fillId="0" borderId="1195" applyAlignment="1" pivotButton="0" quotePrefix="0" xfId="0">
      <alignment vertical="center" wrapText="1"/>
    </xf>
    <xf numFmtId="1" fontId="3" fillId="6" borderId="1252" pivotButton="0" quotePrefix="0" xfId="0"/>
    <xf numFmtId="1" fontId="3" fillId="0" borderId="1236" applyAlignment="1" pivotButton="0" quotePrefix="0" xfId="0">
      <alignment horizontal="center" vertical="center"/>
    </xf>
    <xf numFmtId="0" fontId="3" fillId="0" borderId="1242" applyAlignment="1" pivotButton="0" quotePrefix="0" xfId="0">
      <alignment horizontal="center" vertical="center" wrapText="1"/>
    </xf>
    <xf numFmtId="0" fontId="3" fillId="0" borderId="1234" applyAlignment="1" pivotButton="0" quotePrefix="0" xfId="0">
      <alignment horizontal="center" vertical="center" wrapText="1"/>
    </xf>
    <xf numFmtId="0" fontId="3" fillId="0" borderId="1260" applyAlignment="1" pivotButton="0" quotePrefix="0" xfId="0">
      <alignment horizontal="center" vertical="center" wrapText="1"/>
    </xf>
    <xf numFmtId="0" fontId="3" fillId="0" borderId="1195" applyAlignment="1" pivotButton="0" quotePrefix="0" xfId="0">
      <alignment horizontal="center" vertical="center" wrapText="1"/>
    </xf>
    <xf numFmtId="0" fontId="3" fillId="0" borderId="1233" applyAlignment="1" pivotButton="0" quotePrefix="0" xfId="0">
      <alignment horizontal="center" vertical="center" wrapText="1"/>
    </xf>
    <xf numFmtId="0" fontId="3" fillId="5" borderId="546" applyAlignment="1" pivotButton="0" quotePrefix="0" xfId="0">
      <alignment horizontal="center" vertical="center" wrapText="1"/>
    </xf>
    <xf numFmtId="0" fontId="3" fillId="0" borderId="1255" applyAlignment="1" pivotButton="0" quotePrefix="0" xfId="0">
      <alignment horizontal="center" vertical="center"/>
    </xf>
    <xf numFmtId="0" fontId="3" fillId="0" borderId="1245" applyAlignment="1" pivotButton="0" quotePrefix="0" xfId="0">
      <alignment horizontal="center" vertical="center" wrapText="1"/>
    </xf>
    <xf numFmtId="0" fontId="3" fillId="0" borderId="1250" applyAlignment="1" pivotButton="0" quotePrefix="0" xfId="0">
      <alignment horizontal="center" vertical="center" wrapText="1"/>
    </xf>
    <xf numFmtId="0" fontId="3" fillId="0" borderId="1248" applyAlignment="1" pivotButton="0" quotePrefix="0" xfId="0">
      <alignment horizontal="center" vertical="center" wrapText="1"/>
    </xf>
    <xf numFmtId="0" fontId="3" fillId="5" borderId="1252" applyAlignment="1" pivotButton="0" quotePrefix="0" xfId="0">
      <alignment horizontal="center" vertical="center" wrapText="1"/>
    </xf>
    <xf numFmtId="0" fontId="3" fillId="5" borderId="1200" applyAlignment="1" pivotButton="0" quotePrefix="0" xfId="0">
      <alignment horizontal="center" vertical="center" wrapText="1"/>
    </xf>
    <xf numFmtId="0" fontId="3" fillId="0" borderId="1164" applyAlignment="1" pivotButton="0" quotePrefix="0" xfId="0">
      <alignment horizontal="left" vertical="center" wrapText="1"/>
    </xf>
    <xf numFmtId="1" fontId="3" fillId="4" borderId="1261" applyProtection="1" pivotButton="0" quotePrefix="0" xfId="0">
      <protection locked="0" hidden="0"/>
    </xf>
    <xf numFmtId="1" fontId="3" fillId="4" borderId="1238" applyProtection="1" pivotButton="0" quotePrefix="0" xfId="0">
      <protection locked="0" hidden="0"/>
    </xf>
    <xf numFmtId="0" fontId="3" fillId="0" borderId="553" applyAlignment="1" pivotButton="0" quotePrefix="0" xfId="0">
      <alignment horizontal="right" vertical="center" wrapText="1"/>
    </xf>
    <xf numFmtId="0" fontId="3" fillId="0" borderId="470" applyAlignment="1" pivotButton="0" quotePrefix="0" xfId="0">
      <alignment horizontal="right" vertical="center" wrapText="1"/>
    </xf>
    <xf numFmtId="0" fontId="3" fillId="0" borderId="1149" pivotButton="0" quotePrefix="0" xfId="0"/>
    <xf numFmtId="0" fontId="3" fillId="0" borderId="380" applyAlignment="1" pivotButton="0" quotePrefix="0" xfId="0">
      <alignment horizontal="left" vertical="center" wrapText="1"/>
    </xf>
    <xf numFmtId="0" fontId="3" fillId="0" borderId="1084" pivotButton="0" quotePrefix="0" xfId="0"/>
    <xf numFmtId="0" fontId="3" fillId="0" borderId="1096" applyAlignment="1" pivotButton="0" quotePrefix="0" xfId="0">
      <alignment horizontal="right" vertical="center" wrapText="1"/>
    </xf>
    <xf numFmtId="0" fontId="3" fillId="0" borderId="1081" pivotButton="0" quotePrefix="0" xfId="0"/>
    <xf numFmtId="0" fontId="3" fillId="0" borderId="554" applyAlignment="1" pivotButton="0" quotePrefix="0" xfId="0">
      <alignment horizontal="left" vertical="center" wrapText="1"/>
    </xf>
    <xf numFmtId="0" fontId="3" fillId="0" borderId="550" applyAlignment="1" pivotButton="0" quotePrefix="0" xfId="0">
      <alignment horizontal="left" vertical="center" wrapText="1"/>
    </xf>
    <xf numFmtId="0" fontId="3" fillId="0" borderId="1250" applyAlignment="1" pivotButton="0" quotePrefix="0" xfId="0">
      <alignment horizontal="right" vertical="center" wrapText="1"/>
    </xf>
    <xf numFmtId="1" fontId="3" fillId="0" borderId="1236" pivotButton="0" quotePrefix="0" xfId="0"/>
    <xf numFmtId="0" fontId="3" fillId="0" borderId="788" applyAlignment="1" pivotButton="0" quotePrefix="0" xfId="0">
      <alignment horizontal="center" vertical="center" wrapText="1"/>
    </xf>
    <xf numFmtId="0" fontId="3" fillId="0" borderId="1236" applyAlignment="1" pivotButton="0" quotePrefix="0" xfId="0">
      <alignment horizontal="center" vertical="center" wrapText="1"/>
    </xf>
    <xf numFmtId="0" fontId="3" fillId="0" borderId="1252" applyAlignment="1" pivotButton="0" quotePrefix="0" xfId="0">
      <alignment horizontal="center" vertical="center" wrapText="1"/>
    </xf>
    <xf numFmtId="0" fontId="3" fillId="0" borderId="1249" applyAlignment="1" pivotButton="0" quotePrefix="0" xfId="0">
      <alignment horizontal="center" vertical="center" wrapText="1"/>
    </xf>
    <xf numFmtId="1" fontId="3" fillId="8" borderId="551" applyProtection="1" pivotButton="0" quotePrefix="0" xfId="0">
      <protection locked="0" hidden="0"/>
    </xf>
    <xf numFmtId="1" fontId="3" fillId="8" borderId="1148" applyProtection="1" pivotButton="0" quotePrefix="0" xfId="0">
      <protection locked="0" hidden="0"/>
    </xf>
    <xf numFmtId="0" fontId="3" fillId="0" borderId="1243" applyAlignment="1" pivotButton="0" quotePrefix="0" xfId="0">
      <alignment horizontal="center" vertical="center" wrapText="1"/>
    </xf>
    <xf numFmtId="0" fontId="3" fillId="0" borderId="1164" applyAlignment="1" pivotButton="0" quotePrefix="0" xfId="0">
      <alignment vertical="center" wrapText="1"/>
    </xf>
    <xf numFmtId="1" fontId="3" fillId="4" borderId="1264" applyProtection="1" pivotButton="0" quotePrefix="0" xfId="0">
      <protection locked="0" hidden="0"/>
    </xf>
    <xf numFmtId="1" fontId="3" fillId="0" borderId="552" pivotButton="0" quotePrefix="0" xfId="0"/>
    <xf numFmtId="0" fontId="3" fillId="0" borderId="1094" applyAlignment="1" pivotButton="0" quotePrefix="0" xfId="0">
      <alignment vertical="center" wrapText="1"/>
    </xf>
    <xf numFmtId="0" fontId="3" fillId="0" borderId="552" applyAlignment="1" pivotButton="0" quotePrefix="0" xfId="0">
      <alignment horizontal="right" vertical="center" wrapText="1"/>
    </xf>
    <xf numFmtId="0" fontId="3" fillId="5" borderId="1094" applyAlignment="1" pivotButton="0" quotePrefix="0" xfId="0">
      <alignment vertical="center" wrapText="1"/>
    </xf>
    <xf numFmtId="0" fontId="3" fillId="5" borderId="1107" applyAlignment="1" pivotButton="0" quotePrefix="0" xfId="0">
      <alignment vertical="center" wrapText="1"/>
    </xf>
    <xf numFmtId="1" fontId="3" fillId="0" borderId="1257" pivotButton="0" quotePrefix="0" xfId="0"/>
    <xf numFmtId="1" fontId="3" fillId="8" borderId="1200" applyProtection="1" pivotButton="0" quotePrefix="0" xfId="0">
      <protection locked="0" hidden="0"/>
    </xf>
    <xf numFmtId="165" fontId="3" fillId="0" borderId="1267" applyAlignment="1" pivotButton="0" quotePrefix="0" xfId="18">
      <alignment horizontal="center" vertical="center" wrapText="1"/>
    </xf>
    <xf numFmtId="165" fontId="3" fillId="0" borderId="1268" applyAlignment="1" pivotButton="0" quotePrefix="0" xfId="18">
      <alignment horizontal="center" vertical="center"/>
    </xf>
    <xf numFmtId="0" fontId="3" fillId="0" borderId="380" applyAlignment="1" pivotButton="0" quotePrefix="0" xfId="20">
      <alignment horizontal="left" vertical="center" wrapText="1"/>
    </xf>
    <xf numFmtId="164" fontId="3" fillId="5" borderId="554" applyAlignment="1" pivotButton="0" quotePrefix="0" xfId="18">
      <alignment horizontal="right" vertical="center"/>
    </xf>
    <xf numFmtId="1" fontId="3" fillId="4" borderId="358" applyAlignment="1" applyProtection="1" pivotButton="0" quotePrefix="0" xfId="0">
      <alignment vertical="center"/>
      <protection locked="0" hidden="0"/>
    </xf>
    <xf numFmtId="1" fontId="3" fillId="4" borderId="1148" applyAlignment="1" applyProtection="1" pivotButton="0" quotePrefix="0" xfId="0">
      <alignment vertical="center"/>
      <protection locked="0" hidden="0"/>
    </xf>
    <xf numFmtId="1" fontId="3" fillId="4" borderId="737" applyAlignment="1" applyProtection="1" pivotButton="0" quotePrefix="0" xfId="0">
      <alignment vertical="center"/>
      <protection locked="0" hidden="0"/>
    </xf>
    <xf numFmtId="1" fontId="3" fillId="4" borderId="1270" applyAlignment="1" applyProtection="1" pivotButton="0" quotePrefix="0" xfId="0">
      <alignment vertical="center"/>
      <protection locked="0" hidden="0"/>
    </xf>
    <xf numFmtId="1" fontId="3" fillId="4" borderId="1271" applyAlignment="1" applyProtection="1" pivotButton="0" quotePrefix="0" xfId="0">
      <alignment vertical="center"/>
      <protection locked="0" hidden="0"/>
    </xf>
    <xf numFmtId="1" fontId="3" fillId="4" borderId="1137" applyAlignment="1" applyProtection="1" pivotButton="0" quotePrefix="0" xfId="0">
      <alignment vertical="center"/>
      <protection locked="0" hidden="0"/>
    </xf>
    <xf numFmtId="1" fontId="3" fillId="4" borderId="613" applyAlignment="1" applyProtection="1" pivotButton="0" quotePrefix="0" xfId="0">
      <alignment vertical="center"/>
      <protection locked="0" hidden="0"/>
    </xf>
    <xf numFmtId="1" fontId="3" fillId="4" borderId="1272" applyAlignment="1" applyProtection="1" pivotButton="0" quotePrefix="0" xfId="0">
      <alignment vertical="center"/>
      <protection locked="0" hidden="0"/>
    </xf>
    <xf numFmtId="1" fontId="3" fillId="4" borderId="1273" applyAlignment="1" applyProtection="1" pivotButton="0" quotePrefix="0" xfId="0">
      <alignment vertical="center"/>
      <protection locked="0" hidden="0"/>
    </xf>
    <xf numFmtId="1" fontId="3" fillId="4" borderId="354" applyAlignment="1" applyProtection="1" pivotButton="0" quotePrefix="0" xfId="0">
      <alignment vertical="center"/>
      <protection locked="0" hidden="0"/>
    </xf>
    <xf numFmtId="1" fontId="3" fillId="4" borderId="837" applyAlignment="1" applyProtection="1" pivotButton="0" quotePrefix="0" xfId="0">
      <alignment vertical="center"/>
      <protection locked="0" hidden="0"/>
    </xf>
    <xf numFmtId="1" fontId="3" fillId="4" borderId="1274" applyAlignment="1" applyProtection="1" pivotButton="0" quotePrefix="0" xfId="0">
      <alignment vertical="center"/>
      <protection locked="0" hidden="0"/>
    </xf>
    <xf numFmtId="1" fontId="3" fillId="4" borderId="1134" applyAlignment="1" applyProtection="1" pivotButton="0" quotePrefix="0" xfId="0">
      <alignment vertical="center"/>
      <protection locked="0" hidden="0"/>
    </xf>
    <xf numFmtId="1" fontId="3" fillId="4" borderId="767" applyAlignment="1" applyProtection="1" pivotButton="0" quotePrefix="0" xfId="0">
      <alignment vertical="center"/>
      <protection locked="0" hidden="0"/>
    </xf>
    <xf numFmtId="1" fontId="3" fillId="4" borderId="1275" applyAlignment="1" applyProtection="1" pivotButton="0" quotePrefix="0" xfId="0">
      <alignment vertical="center"/>
      <protection locked="0" hidden="0"/>
    </xf>
    <xf numFmtId="1" fontId="3" fillId="6" borderId="394" applyAlignment="1" pivotButton="0" quotePrefix="0" xfId="0">
      <alignment vertical="center"/>
    </xf>
    <xf numFmtId="1" fontId="3" fillId="6" borderId="358" applyAlignment="1" pivotButton="0" quotePrefix="0" xfId="0">
      <alignment vertical="center"/>
    </xf>
    <xf numFmtId="1" fontId="3" fillId="4" borderId="976" applyAlignment="1" applyProtection="1" pivotButton="0" quotePrefix="0" xfId="0">
      <alignment vertical="center"/>
      <protection locked="0" hidden="0"/>
    </xf>
    <xf numFmtId="165" fontId="3" fillId="0" borderId="1234" applyAlignment="1" pivotButton="0" quotePrefix="0" xfId="18">
      <alignment horizontal="center" vertical="center"/>
    </xf>
    <xf numFmtId="164" fontId="3" fillId="0" borderId="1232" applyAlignment="1" pivotButton="0" quotePrefix="0" xfId="18">
      <alignment horizontal="right" vertical="center"/>
    </xf>
    <xf numFmtId="164" fontId="3" fillId="0" borderId="1250" applyAlignment="1" pivotButton="0" quotePrefix="0" xfId="18">
      <alignment horizontal="right" vertical="center"/>
    </xf>
    <xf numFmtId="164" fontId="3" fillId="0" borderId="1248" applyAlignment="1" pivotButton="0" quotePrefix="0" xfId="18">
      <alignment horizontal="right" vertical="center"/>
    </xf>
    <xf numFmtId="164" fontId="3" fillId="0" borderId="1236" applyAlignment="1" pivotButton="0" quotePrefix="0" xfId="18">
      <alignment horizontal="right" vertical="center"/>
    </xf>
    <xf numFmtId="164" fontId="3" fillId="0" borderId="1249" applyAlignment="1" pivotButton="0" quotePrefix="0" xfId="18">
      <alignment horizontal="right" vertical="center"/>
    </xf>
    <xf numFmtId="164" fontId="3" fillId="0" borderId="1267" applyAlignment="1" pivotButton="0" quotePrefix="0" xfId="18">
      <alignment horizontal="right" vertical="center"/>
    </xf>
    <xf numFmtId="164" fontId="3" fillId="0" borderId="1268" applyAlignment="1" pivotButton="0" quotePrefix="0" xfId="18">
      <alignment horizontal="right" vertical="center"/>
    </xf>
    <xf numFmtId="0" fontId="2" fillId="0" borderId="1195" applyAlignment="1" pivotButton="0" quotePrefix="0" xfId="20">
      <alignment vertical="center" wrapText="1"/>
    </xf>
    <xf numFmtId="1" fontId="3" fillId="0" borderId="1232" applyAlignment="1" pivotButton="0" quotePrefix="0" xfId="20">
      <alignment vertical="center"/>
    </xf>
    <xf numFmtId="1" fontId="3" fillId="0" borderId="1232" applyAlignment="1" pivotButton="0" quotePrefix="0" xfId="20">
      <alignment horizontal="center" vertical="center" wrapText="1"/>
    </xf>
    <xf numFmtId="0" fontId="3" fillId="0" borderId="1250" applyAlignment="1" pivotButton="0" quotePrefix="0" xfId="20">
      <alignment horizontal="center" vertical="center" wrapText="1"/>
    </xf>
    <xf numFmtId="0" fontId="3" fillId="0" borderId="1236" applyAlignment="1" pivotButton="0" quotePrefix="0" xfId="20">
      <alignment horizontal="center" vertical="center" wrapText="1"/>
    </xf>
    <xf numFmtId="0" fontId="3" fillId="0" borderId="1233" applyAlignment="1" pivotButton="0" quotePrefix="0" xfId="20">
      <alignment horizontal="center" vertical="center" wrapText="1"/>
    </xf>
    <xf numFmtId="0" fontId="3" fillId="5" borderId="1161" applyAlignment="1" pivotButton="0" quotePrefix="0" xfId="20">
      <alignment horizontal="left" vertical="center" wrapText="1"/>
    </xf>
    <xf numFmtId="1" fontId="3" fillId="0" borderId="1161" applyAlignment="1" pivotButton="0" quotePrefix="0" xfId="20">
      <alignment horizontal="right" vertical="center"/>
    </xf>
    <xf numFmtId="1" fontId="3" fillId="8" borderId="1147" applyAlignment="1" applyProtection="1" pivotButton="0" quotePrefix="0" xfId="20">
      <alignment vertical="center"/>
      <protection locked="0" hidden="0"/>
    </xf>
    <xf numFmtId="1" fontId="3" fillId="8" borderId="737" applyAlignment="1" applyProtection="1" pivotButton="0" quotePrefix="0" xfId="20">
      <alignment vertical="center"/>
      <protection locked="0" hidden="0"/>
    </xf>
    <xf numFmtId="1" fontId="3" fillId="0" borderId="380" applyAlignment="1" pivotButton="0" quotePrefix="0" xfId="20">
      <alignment horizontal="right" vertical="center"/>
    </xf>
    <xf numFmtId="1" fontId="3" fillId="8" borderId="394" applyAlignment="1" applyProtection="1" pivotButton="0" quotePrefix="0" xfId="20">
      <alignment vertical="center"/>
      <protection locked="0" hidden="0"/>
    </xf>
    <xf numFmtId="1" fontId="3" fillId="8" borderId="358" applyAlignment="1" applyProtection="1" pivotButton="0" quotePrefix="0" xfId="20">
      <alignment vertical="center"/>
      <protection locked="0" hidden="0"/>
    </xf>
    <xf numFmtId="1" fontId="3" fillId="8" borderId="354" applyAlignment="1" applyProtection="1" pivotButton="0" quotePrefix="0" xfId="20">
      <alignment vertical="center"/>
      <protection locked="0" hidden="0"/>
    </xf>
    <xf numFmtId="0" fontId="3" fillId="5" borderId="380" applyAlignment="1" pivotButton="0" quotePrefix="0" xfId="20">
      <alignment horizontal="left" vertical="center" wrapText="1"/>
    </xf>
    <xf numFmtId="0" fontId="3" fillId="5" borderId="1074" applyAlignment="1" pivotButton="0" quotePrefix="0" xfId="20">
      <alignment horizontal="left" vertical="center" wrapText="1"/>
    </xf>
    <xf numFmtId="1" fontId="3" fillId="0" borderId="1074" applyAlignment="1" pivotButton="0" quotePrefix="0" xfId="20">
      <alignment horizontal="right" vertical="center"/>
    </xf>
    <xf numFmtId="1" fontId="3" fillId="8" borderId="1101" applyAlignment="1" applyProtection="1" pivotButton="0" quotePrefix="0" xfId="20">
      <alignment vertical="center"/>
      <protection locked="0" hidden="0"/>
    </xf>
    <xf numFmtId="1" fontId="3" fillId="8" borderId="1077" applyAlignment="1" applyProtection="1" pivotButton="0" quotePrefix="0" xfId="20">
      <alignment vertical="center"/>
      <protection locked="0" hidden="0"/>
    </xf>
    <xf numFmtId="1" fontId="3" fillId="8" borderId="1079" applyAlignment="1" applyProtection="1" pivotButton="0" quotePrefix="0" xfId="20">
      <alignment vertical="center"/>
      <protection locked="0" hidden="0"/>
    </xf>
    <xf numFmtId="165" fontId="3" fillId="5" borderId="1232" applyAlignment="1" pivotButton="0" quotePrefix="0" xfId="18">
      <alignment horizontal="center" vertical="center"/>
    </xf>
    <xf numFmtId="1" fontId="3" fillId="0" borderId="1232" applyAlignment="1" pivotButton="0" quotePrefix="0" xfId="20">
      <alignment horizontal="right" vertical="center" wrapText="1"/>
    </xf>
    <xf numFmtId="1" fontId="3" fillId="0" borderId="1250" applyAlignment="1" pivotButton="0" quotePrefix="0" xfId="20">
      <alignment horizontal="right" vertical="center" wrapText="1"/>
    </xf>
    <xf numFmtId="1" fontId="3" fillId="0" borderId="1236" applyAlignment="1" pivotButton="0" quotePrefix="0" xfId="20">
      <alignment horizontal="right" vertical="center" wrapText="1"/>
    </xf>
    <xf numFmtId="1" fontId="3" fillId="0" borderId="1233" applyAlignment="1" pivotButton="0" quotePrefix="0" xfId="20">
      <alignment horizontal="right" vertical="center" wrapText="1"/>
    </xf>
    <xf numFmtId="165" fontId="3" fillId="0" borderId="1234" applyAlignment="1" pivotButton="0" quotePrefix="0" xfId="18">
      <alignment horizontal="center" vertical="center" wrapText="1"/>
    </xf>
    <xf numFmtId="165" fontId="3" fillId="0" borderId="1233" applyAlignment="1" pivotButton="0" quotePrefix="0" xfId="18">
      <alignment horizontal="center" vertical="center" wrapText="1"/>
    </xf>
    <xf numFmtId="165" fontId="3" fillId="0" borderId="1250" applyAlignment="1" pivotButton="0" quotePrefix="0" xfId="18">
      <alignment horizontal="center" vertical="center" wrapText="1"/>
    </xf>
    <xf numFmtId="165" fontId="3" fillId="0" borderId="1243" applyAlignment="1" pivotButton="0" quotePrefix="0" xfId="18">
      <alignment horizontal="center" vertical="center"/>
    </xf>
    <xf numFmtId="165" fontId="3" fillId="0" borderId="1250" applyAlignment="1" pivotButton="0" quotePrefix="0" xfId="18">
      <alignment horizontal="center" vertical="center"/>
    </xf>
    <xf numFmtId="0" fontId="3" fillId="0" borderId="1161" applyAlignment="1" pivotButton="0" quotePrefix="0" xfId="20">
      <alignment horizontal="left" vertical="center" wrapText="1"/>
    </xf>
    <xf numFmtId="164" fontId="3" fillId="5" borderId="1161" applyAlignment="1" pivotButton="0" quotePrefix="0" xfId="18">
      <alignment vertical="center"/>
    </xf>
    <xf numFmtId="1" fontId="3" fillId="4" borderId="1147" applyAlignment="1" applyProtection="1" pivotButton="0" quotePrefix="0" xfId="0">
      <alignment vertical="center"/>
      <protection locked="0" hidden="0"/>
    </xf>
    <xf numFmtId="1" fontId="3" fillId="4" borderId="1176" applyAlignment="1" applyProtection="1" pivotButton="0" quotePrefix="0" xfId="0">
      <alignment vertical="center"/>
      <protection locked="0" hidden="0"/>
    </xf>
    <xf numFmtId="1" fontId="3" fillId="4" borderId="1149" applyAlignment="1" applyProtection="1" pivotButton="0" quotePrefix="0" xfId="0">
      <alignment vertical="center"/>
      <protection locked="0" hidden="0"/>
    </xf>
    <xf numFmtId="0" fontId="3" fillId="5" borderId="849" applyAlignment="1" pivotButton="0" quotePrefix="0" xfId="20">
      <alignment horizontal="left" vertical="center" wrapText="1"/>
    </xf>
    <xf numFmtId="164" fontId="3" fillId="5" borderId="849" applyAlignment="1" pivotButton="0" quotePrefix="0" xfId="18">
      <alignment horizontal="right" vertical="center"/>
    </xf>
    <xf numFmtId="1" fontId="3" fillId="4" borderId="788" applyAlignment="1" applyProtection="1" pivotButton="0" quotePrefix="0" xfId="0">
      <alignment vertical="center"/>
      <protection locked="0" hidden="0"/>
    </xf>
    <xf numFmtId="1" fontId="3" fillId="4" borderId="1196" applyAlignment="1" applyProtection="1" pivotButton="0" quotePrefix="0" xfId="0">
      <alignment vertical="center"/>
      <protection locked="0" hidden="0"/>
    </xf>
    <xf numFmtId="1" fontId="3" fillId="4" borderId="1269" applyAlignment="1" applyProtection="1" pivotButton="0" quotePrefix="0" xfId="0">
      <alignment vertical="center"/>
      <protection locked="0" hidden="0"/>
    </xf>
    <xf numFmtId="1" fontId="3" fillId="4" borderId="787" applyAlignment="1" applyProtection="1" pivotButton="0" quotePrefix="0" xfId="0">
      <alignment vertical="center"/>
      <protection locked="0" hidden="0"/>
    </xf>
    <xf numFmtId="1" fontId="3" fillId="4" borderId="1200" applyAlignment="1" applyProtection="1" pivotButton="0" quotePrefix="0" xfId="0">
      <alignment vertical="center"/>
      <protection locked="0" hidden="0"/>
    </xf>
    <xf numFmtId="165" fontId="3" fillId="0" borderId="1233" applyAlignment="1" pivotButton="0" quotePrefix="0" xfId="18">
      <alignment horizontal="center" vertical="center"/>
    </xf>
    <xf numFmtId="1" fontId="3" fillId="0" borderId="1260" applyAlignment="1" pivotButton="0" quotePrefix="0" xfId="0">
      <alignment horizontal="center" vertical="center" wrapText="1"/>
    </xf>
    <xf numFmtId="1" fontId="3" fillId="0" borderId="1249" applyAlignment="1" pivotButton="0" quotePrefix="0" xfId="0">
      <alignment horizontal="center" vertical="center" wrapText="1"/>
    </xf>
    <xf numFmtId="1" fontId="3" fillId="0" borderId="1281" applyAlignment="1" pivotButton="0" quotePrefix="0" xfId="0">
      <alignment horizontal="center" vertical="center" wrapText="1"/>
    </xf>
    <xf numFmtId="1" fontId="3" fillId="0" borderId="1277" applyAlignment="1" pivotButton="0" quotePrefix="0" xfId="0">
      <alignment horizontal="center" vertical="center" wrapText="1"/>
    </xf>
    <xf numFmtId="1" fontId="3" fillId="0" borderId="1278" applyAlignment="1" pivotButton="0" quotePrefix="0" xfId="0">
      <alignment horizontal="center" vertical="center" wrapText="1"/>
    </xf>
    <xf numFmtId="1" fontId="3" fillId="9" borderId="737" applyAlignment="1" applyProtection="1" pivotButton="0" quotePrefix="0" xfId="21">
      <alignment vertical="center"/>
      <protection locked="0" hidden="0"/>
    </xf>
    <xf numFmtId="1" fontId="3" fillId="4" borderId="553" applyAlignment="1" applyProtection="1" pivotButton="0" quotePrefix="0" xfId="0">
      <alignment vertical="center"/>
      <protection locked="0" hidden="0"/>
    </xf>
    <xf numFmtId="1" fontId="3" fillId="7" borderId="358" applyAlignment="1" pivotButton="0" quotePrefix="0" xfId="0">
      <alignment vertical="center"/>
    </xf>
    <xf numFmtId="1" fontId="3" fillId="7" borderId="354" applyAlignment="1" pivotButton="0" quotePrefix="0" xfId="0">
      <alignment vertical="center"/>
    </xf>
    <xf numFmtId="1" fontId="3" fillId="7" borderId="394" applyAlignment="1" pivotButton="0" quotePrefix="0" xfId="0">
      <alignment vertical="center"/>
    </xf>
    <xf numFmtId="1" fontId="3" fillId="9" borderId="358" applyAlignment="1" applyProtection="1" pivotButton="0" quotePrefix="0" xfId="21">
      <alignment vertical="center"/>
      <protection locked="0" hidden="0"/>
    </xf>
    <xf numFmtId="1" fontId="3" fillId="9" borderId="394" applyAlignment="1" applyProtection="1" pivotButton="0" quotePrefix="0" xfId="21">
      <alignment vertical="center"/>
      <protection locked="0" hidden="0"/>
    </xf>
    <xf numFmtId="1" fontId="3" fillId="4" borderId="356" applyAlignment="1" applyProtection="1" pivotButton="0" quotePrefix="0" xfId="0">
      <alignment vertical="center"/>
      <protection locked="0" hidden="0"/>
    </xf>
    <xf numFmtId="1" fontId="3" fillId="4" borderId="1079" applyAlignment="1" applyProtection="1" pivotButton="0" quotePrefix="0" xfId="0">
      <alignment vertical="center"/>
      <protection locked="0" hidden="0"/>
    </xf>
    <xf numFmtId="164" fontId="3" fillId="0" borderId="1232" applyAlignment="1" pivotButton="0" quotePrefix="0" xfId="19">
      <alignment horizontal="right" vertical="center"/>
    </xf>
    <xf numFmtId="164" fontId="3" fillId="0" borderId="1250" applyAlignment="1" pivotButton="0" quotePrefix="0" xfId="19">
      <alignment horizontal="right" vertical="center"/>
    </xf>
    <xf numFmtId="164" fontId="3" fillId="0" borderId="1236" applyAlignment="1" pivotButton="0" quotePrefix="0" xfId="19">
      <alignment horizontal="right" vertical="center"/>
    </xf>
    <xf numFmtId="164" fontId="3" fillId="0" borderId="1248" applyAlignment="1" pivotButton="0" quotePrefix="0" xfId="19">
      <alignment horizontal="right" vertical="center"/>
    </xf>
    <xf numFmtId="164" fontId="3" fillId="0" borderId="1233" applyAlignment="1" pivotButton="0" quotePrefix="0" xfId="19">
      <alignment horizontal="right" vertical="center"/>
    </xf>
    <xf numFmtId="164" fontId="3" fillId="0" borderId="1243" applyAlignment="1" pivotButton="0" quotePrefix="0" xfId="19">
      <alignment horizontal="right" vertical="center"/>
    </xf>
    <xf numFmtId="164" fontId="3" fillId="0" borderId="1276" applyAlignment="1" pivotButton="0" quotePrefix="0" xfId="19">
      <alignment horizontal="right" vertical="center"/>
    </xf>
    <xf numFmtId="164" fontId="3" fillId="0" borderId="1277" applyAlignment="1" pivotButton="0" quotePrefix="0" xfId="19">
      <alignment horizontal="right" vertical="center"/>
    </xf>
    <xf numFmtId="164" fontId="3" fillId="0" borderId="1278" applyAlignment="1" pivotButton="0" quotePrefix="0" xfId="19">
      <alignment horizontal="right" vertical="center"/>
    </xf>
    <xf numFmtId="1" fontId="3" fillId="0" borderId="1239" applyAlignment="1" pivotButton="0" quotePrefix="0" xfId="0">
      <alignment horizontal="center" vertical="center" wrapText="1"/>
    </xf>
    <xf numFmtId="1" fontId="3" fillId="0" borderId="1255" applyAlignment="1" pivotButton="0" quotePrefix="0" xfId="0">
      <alignment horizontal="center" vertical="center" wrapText="1"/>
    </xf>
    <xf numFmtId="165" fontId="3" fillId="0" borderId="1235" applyAlignment="1" pivotButton="0" quotePrefix="0" xfId="18">
      <alignment horizontal="center" vertical="center" wrapText="1"/>
    </xf>
    <xf numFmtId="165" fontId="3" fillId="0" borderId="1239" applyAlignment="1" pivotButton="0" quotePrefix="0" xfId="18">
      <alignment horizontal="center" vertical="center" wrapText="1"/>
    </xf>
    <xf numFmtId="1" fontId="3" fillId="0" borderId="1237" applyAlignment="1" pivotButton="0" quotePrefix="0" xfId="0">
      <alignment vertical="center"/>
    </xf>
    <xf numFmtId="1" fontId="3" fillId="0" borderId="1242" applyAlignment="1" pivotButton="0" quotePrefix="0" xfId="0">
      <alignment vertical="center"/>
    </xf>
    <xf numFmtId="1" fontId="3" fillId="4" borderId="1255" applyAlignment="1" applyProtection="1" pivotButton="0" quotePrefix="0" xfId="0">
      <alignment vertical="center"/>
      <protection locked="0" hidden="0"/>
    </xf>
    <xf numFmtId="1" fontId="3" fillId="4" borderId="1242" applyAlignment="1" applyProtection="1" pivotButton="0" quotePrefix="0" xfId="0">
      <alignment vertical="center"/>
      <protection locked="0" hidden="0"/>
    </xf>
    <xf numFmtId="1" fontId="3" fillId="4" borderId="1239" applyAlignment="1" applyProtection="1" pivotButton="0" quotePrefix="0" xfId="0">
      <alignment vertical="center"/>
      <protection locked="0" hidden="0"/>
    </xf>
    <xf numFmtId="1" fontId="3" fillId="4" borderId="1235" applyAlignment="1" applyProtection="1" pivotButton="0" quotePrefix="0" xfId="0">
      <alignment vertical="center"/>
      <protection locked="0" hidden="0"/>
    </xf>
    <xf numFmtId="1" fontId="3" fillId="4" borderId="1251" applyAlignment="1" applyProtection="1" pivotButton="0" quotePrefix="0" xfId="0">
      <alignment vertical="center"/>
      <protection locked="0" hidden="0"/>
    </xf>
    <xf numFmtId="1" fontId="3" fillId="4" borderId="1248" applyAlignment="1" applyProtection="1" pivotButton="0" quotePrefix="0" xfId="0">
      <alignment vertical="center"/>
      <protection locked="0" hidden="0"/>
    </xf>
    <xf numFmtId="1" fontId="3" fillId="0" borderId="1231" applyAlignment="1" pivotButton="0" quotePrefix="0" xfId="0">
      <alignment vertical="center" wrapText="1"/>
    </xf>
    <xf numFmtId="1" fontId="3" fillId="7" borderId="1148" applyAlignment="1" pivotButton="0" quotePrefix="0" xfId="0">
      <alignment horizontal="right" vertical="center"/>
    </xf>
    <xf numFmtId="1" fontId="3" fillId="7" borderId="1147" applyAlignment="1" pivotButton="0" quotePrefix="0" xfId="0">
      <alignment vertical="center"/>
    </xf>
    <xf numFmtId="1" fontId="3" fillId="7" borderId="1149" applyAlignment="1" pivotButton="0" quotePrefix="0" xfId="0">
      <alignment vertical="center"/>
    </xf>
    <xf numFmtId="1" fontId="3" fillId="4" borderId="552" applyAlignment="1" applyProtection="1" pivotButton="0" quotePrefix="0" xfId="0">
      <alignment vertical="center"/>
      <protection locked="0" hidden="0"/>
    </xf>
    <xf numFmtId="1" fontId="3" fillId="4" borderId="470" applyAlignment="1" applyProtection="1" pivotButton="0" quotePrefix="0" xfId="0">
      <alignment vertical="center"/>
      <protection locked="0" hidden="0"/>
    </xf>
    <xf numFmtId="1" fontId="3" fillId="4" borderId="1084" applyAlignment="1" applyProtection="1" pivotButton="0" quotePrefix="0" xfId="0">
      <alignment vertical="center"/>
      <protection locked="0" hidden="0"/>
    </xf>
    <xf numFmtId="1" fontId="3" fillId="4" borderId="1094" applyAlignment="1" applyProtection="1" pivotButton="0" quotePrefix="0" xfId="0">
      <alignment vertical="center"/>
      <protection locked="0" hidden="0"/>
    </xf>
    <xf numFmtId="1" fontId="3" fillId="0" borderId="1252" applyAlignment="1" pivotButton="0" quotePrefix="0" xfId="0">
      <alignment horizontal="right" vertical="center"/>
    </xf>
    <xf numFmtId="1" fontId="3" fillId="0" borderId="1200" applyAlignment="1" pivotButton="0" quotePrefix="0" xfId="0">
      <alignment horizontal="right" vertical="center"/>
    </xf>
    <xf numFmtId="1" fontId="3" fillId="7" borderId="1101" applyAlignment="1" pivotButton="0" quotePrefix="0" xfId="0">
      <alignment vertical="center"/>
    </xf>
    <xf numFmtId="1" fontId="3" fillId="7" borderId="1112" applyAlignment="1" pivotButton="0" quotePrefix="0" xfId="0">
      <alignment vertical="center"/>
    </xf>
    <xf numFmtId="1" fontId="3" fillId="0" borderId="1084" applyAlignment="1" pivotButton="0" quotePrefix="0" xfId="0">
      <alignment vertical="center"/>
    </xf>
    <xf numFmtId="1" fontId="3" fillId="4" borderId="550" applyAlignment="1" applyProtection="1" pivotButton="0" quotePrefix="0" xfId="0">
      <alignment vertical="center"/>
      <protection locked="0" hidden="0"/>
    </xf>
    <xf numFmtId="1" fontId="3" fillId="0" borderId="1081" applyAlignment="1" pivotButton="0" quotePrefix="0" xfId="0">
      <alignment vertical="center"/>
    </xf>
    <xf numFmtId="1" fontId="3" fillId="0" borderId="1094" applyAlignment="1" pivotButton="0" quotePrefix="0" xfId="0">
      <alignment vertical="center" shrinkToFit="1"/>
    </xf>
    <xf numFmtId="1" fontId="3" fillId="0" borderId="1081" applyAlignment="1" pivotButton="0" quotePrefix="0" xfId="0">
      <alignment vertical="center" shrinkToFit="1"/>
    </xf>
    <xf numFmtId="1" fontId="3" fillId="0" borderId="394" applyAlignment="1" pivotButton="0" quotePrefix="0" xfId="0">
      <alignment horizontal="right" vertical="center" shrinkToFit="1"/>
    </xf>
    <xf numFmtId="1" fontId="3" fillId="0" borderId="1096" applyAlignment="1" pivotButton="0" quotePrefix="0" xfId="0">
      <alignment horizontal="right" vertical="center" shrinkToFit="1"/>
    </xf>
    <xf numFmtId="1" fontId="3" fillId="4" borderId="1107" applyAlignment="1" applyProtection="1" pivotButton="0" quotePrefix="0" xfId="0">
      <alignment vertical="center"/>
      <protection locked="0" hidden="0"/>
    </xf>
    <xf numFmtId="1" fontId="3" fillId="0" borderId="1252" applyAlignment="1" pivotButton="0" quotePrefix="0" xfId="0">
      <alignment horizontal="right" vertical="center" wrapText="1"/>
    </xf>
    <xf numFmtId="1" fontId="3" fillId="0" borderId="788" applyAlignment="1" pivotButton="0" quotePrefix="0" xfId="0">
      <alignment vertical="center"/>
    </xf>
    <xf numFmtId="1" fontId="3" fillId="0" borderId="1200" applyAlignment="1" pivotButton="0" quotePrefix="0" xfId="0">
      <alignment vertical="center"/>
    </xf>
    <xf numFmtId="1" fontId="3" fillId="0" borderId="1250" applyAlignment="1" pivotButton="0" quotePrefix="0" xfId="0">
      <alignment vertical="center"/>
    </xf>
    <xf numFmtId="1" fontId="3" fillId="0" borderId="1249" applyAlignment="1" pivotButton="0" quotePrefix="0" xfId="0">
      <alignment vertical="center"/>
    </xf>
    <xf numFmtId="1" fontId="3" fillId="0" borderId="1234" applyAlignment="1" pivotButton="0" quotePrefix="0" xfId="0">
      <alignment vertical="center"/>
    </xf>
    <xf numFmtId="1" fontId="3" fillId="0" borderId="1251" applyAlignment="1" pivotButton="0" quotePrefix="0" xfId="0">
      <alignment vertical="center"/>
    </xf>
    <xf numFmtId="1" fontId="3" fillId="0" borderId="1235" applyAlignment="1" pivotButton="0" quotePrefix="0" xfId="0">
      <alignment vertical="center"/>
    </xf>
    <xf numFmtId="1" fontId="3" fillId="0" borderId="1196" applyAlignment="1" pivotButton="0" quotePrefix="0" xfId="0">
      <alignment vertical="center"/>
    </xf>
    <xf numFmtId="1" fontId="3" fillId="0" borderId="1251" applyAlignment="1" pivotButton="0" quotePrefix="0" xfId="0">
      <alignment horizontal="center" vertical="center" wrapText="1"/>
    </xf>
    <xf numFmtId="1" fontId="3" fillId="6" borderId="1147" applyAlignment="1" pivotButton="0" quotePrefix="0" xfId="0">
      <alignment horizontal="right" vertical="center"/>
    </xf>
    <xf numFmtId="1" fontId="3" fillId="6" borderId="553" applyAlignment="1" pivotButton="0" quotePrefix="0" xfId="0">
      <alignment vertical="center"/>
    </xf>
    <xf numFmtId="1" fontId="3" fillId="6" borderId="883" applyAlignment="1" pivotButton="0" quotePrefix="0" xfId="0">
      <alignment vertical="center"/>
    </xf>
    <xf numFmtId="1" fontId="3" fillId="6" borderId="1084" applyAlignment="1" pivotButton="0" quotePrefix="0" xfId="0">
      <alignment vertical="center"/>
    </xf>
    <xf numFmtId="1" fontId="3" fillId="6" borderId="394" applyAlignment="1" pivotButton="0" quotePrefix="0" xfId="0">
      <alignment horizontal="right" vertical="center"/>
    </xf>
    <xf numFmtId="1" fontId="3" fillId="6" borderId="1101" applyAlignment="1" pivotButton="0" quotePrefix="0" xfId="0">
      <alignment horizontal="right" vertical="center"/>
    </xf>
    <xf numFmtId="1" fontId="3" fillId="6" borderId="1250" applyAlignment="1" pivotButton="0" quotePrefix="0" xfId="0">
      <alignment horizontal="right" vertical="center" wrapText="1"/>
    </xf>
    <xf numFmtId="1" fontId="3" fillId="6" borderId="1240" applyAlignment="1" pivotButton="0" quotePrefix="0" xfId="0">
      <alignment horizontal="right" vertical="center" wrapText="1"/>
    </xf>
    <xf numFmtId="1" fontId="3" fillId="6" borderId="1249" applyAlignment="1" pivotButton="0" quotePrefix="0" xfId="0">
      <alignment horizontal="right" vertical="center"/>
    </xf>
    <xf numFmtId="1" fontId="3" fillId="6" borderId="1250" applyAlignment="1" pivotButton="0" quotePrefix="0" xfId="0">
      <alignment horizontal="right" vertical="center"/>
    </xf>
    <xf numFmtId="1" fontId="3" fillId="6" borderId="1236" applyAlignment="1" pivotButton="0" quotePrefix="0" xfId="0">
      <alignment horizontal="right" vertical="center"/>
    </xf>
    <xf numFmtId="1" fontId="3" fillId="6" borderId="1251" applyAlignment="1" pivotButton="0" quotePrefix="0" xfId="0">
      <alignment horizontal="right" vertical="center"/>
    </xf>
    <xf numFmtId="1" fontId="3" fillId="6" borderId="1253" applyAlignment="1" pivotButton="0" quotePrefix="0" xfId="0">
      <alignment horizontal="right" vertical="center"/>
    </xf>
    <xf numFmtId="1" fontId="3" fillId="6" borderId="1233" applyAlignment="1" pivotButton="0" quotePrefix="0" xfId="0">
      <alignment horizontal="right" vertical="center"/>
    </xf>
    <xf numFmtId="1" fontId="3" fillId="0" borderId="1282" applyAlignment="1" pivotButton="0" quotePrefix="0" xfId="0">
      <alignment horizontal="center" vertical="center" wrapText="1"/>
    </xf>
    <xf numFmtId="1" fontId="3" fillId="4" borderId="883" applyAlignment="1" applyProtection="1" pivotButton="0" quotePrefix="0" xfId="0">
      <alignment vertical="center"/>
      <protection locked="0" hidden="0"/>
    </xf>
    <xf numFmtId="1" fontId="3" fillId="4" borderId="1087" applyAlignment="1" applyProtection="1" pivotButton="0" quotePrefix="0" xfId="0">
      <alignment vertical="center"/>
      <protection locked="0" hidden="0"/>
    </xf>
    <xf numFmtId="1" fontId="3" fillId="0" borderId="1282" applyAlignment="1" pivotButton="0" quotePrefix="0" xfId="0">
      <alignment horizontal="right" vertical="center" wrapText="1"/>
    </xf>
    <xf numFmtId="1" fontId="3" fillId="0" borderId="1240" applyAlignment="1" pivotButton="0" quotePrefix="0" xfId="0">
      <alignment horizontal="right" vertical="center" wrapText="1"/>
    </xf>
    <xf numFmtId="1" fontId="3" fillId="0" borderId="1236" applyAlignment="1" pivotButton="0" quotePrefix="0" xfId="0">
      <alignment horizontal="right" vertical="center"/>
    </xf>
    <xf numFmtId="1" fontId="3" fillId="0" borderId="1251" applyAlignment="1" pivotButton="0" quotePrefix="0" xfId="0">
      <alignment horizontal="right" vertical="center"/>
    </xf>
    <xf numFmtId="1" fontId="3" fillId="0" borderId="1253" applyAlignment="1" pivotButton="0" quotePrefix="0" xfId="0">
      <alignment horizontal="right" vertical="center"/>
    </xf>
    <xf numFmtId="1" fontId="3" fillId="0" borderId="1276" applyAlignment="1" pivotButton="0" quotePrefix="0" xfId="0">
      <alignment horizontal="right" vertical="center"/>
    </xf>
    <xf numFmtId="1" fontId="3" fillId="0" borderId="1278" applyAlignment="1" pivotButton="0" quotePrefix="0" xfId="0">
      <alignment horizontal="right" vertical="center"/>
    </xf>
    <xf numFmtId="1" fontId="3" fillId="0" borderId="1246" applyAlignment="1" pivotButton="0" quotePrefix="0" xfId="0">
      <alignment horizontal="center" vertical="center"/>
    </xf>
    <xf numFmtId="1" fontId="3" fillId="0" borderId="1192" applyAlignment="1" pivotButton="0" quotePrefix="0" xfId="0">
      <alignment vertical="center" wrapText="1"/>
    </xf>
    <xf numFmtId="1" fontId="3" fillId="3" borderId="1161" applyAlignment="1" pivotButton="0" quotePrefix="0" xfId="0">
      <alignment horizontal="right" vertical="center"/>
    </xf>
    <xf numFmtId="1" fontId="3" fillId="8" borderId="394" applyAlignment="1" applyProtection="1" pivotButton="0" quotePrefix="0" xfId="0">
      <alignment vertical="center"/>
      <protection locked="0" hidden="0"/>
    </xf>
    <xf numFmtId="1" fontId="3" fillId="8" borderId="358" applyAlignment="1" applyProtection="1" pivotButton="0" quotePrefix="0" xfId="0">
      <alignment vertical="center"/>
      <protection locked="0" hidden="0"/>
    </xf>
    <xf numFmtId="1" fontId="3" fillId="8" borderId="1087" applyAlignment="1" applyProtection="1" pivotButton="0" quotePrefix="0" xfId="0">
      <alignment vertical="center"/>
      <protection locked="0" hidden="0"/>
    </xf>
    <xf numFmtId="1" fontId="3" fillId="8" borderId="552" applyAlignment="1" applyProtection="1" pivotButton="0" quotePrefix="0" xfId="0">
      <alignment vertical="center"/>
      <protection locked="0" hidden="0"/>
    </xf>
    <xf numFmtId="1" fontId="3" fillId="8" borderId="1069" applyAlignment="1" applyProtection="1" pivotButton="0" quotePrefix="0" xfId="0">
      <alignment vertical="center"/>
      <protection locked="0" hidden="0"/>
    </xf>
    <xf numFmtId="1" fontId="3" fillId="8" borderId="1283" applyAlignment="1" applyProtection="1" pivotButton="0" quotePrefix="0" xfId="0">
      <alignment vertical="center"/>
      <protection locked="0" hidden="0"/>
    </xf>
    <xf numFmtId="1" fontId="3" fillId="8" borderId="767" applyAlignment="1" applyProtection="1" pivotButton="0" quotePrefix="0" xfId="0">
      <alignment vertical="center"/>
      <protection locked="0" hidden="0"/>
    </xf>
    <xf numFmtId="1" fontId="3" fillId="8" borderId="837" applyAlignment="1" applyProtection="1" pivotButton="0" quotePrefix="0" xfId="0">
      <alignment vertical="center"/>
      <protection locked="0" hidden="0"/>
    </xf>
    <xf numFmtId="1" fontId="3" fillId="8" borderId="1081" applyAlignment="1" applyProtection="1" pivotButton="0" quotePrefix="0" xfId="0">
      <alignment vertical="center"/>
      <protection locked="0" hidden="0"/>
    </xf>
    <xf numFmtId="1" fontId="3" fillId="3" borderId="380" applyAlignment="1" pivotButton="0" quotePrefix="0" xfId="0">
      <alignment horizontal="right" vertical="center"/>
    </xf>
    <xf numFmtId="1" fontId="3" fillId="8" borderId="371" applyAlignment="1" applyProtection="1" pivotButton="0" quotePrefix="0" xfId="0">
      <alignment vertical="center"/>
      <protection locked="0" hidden="0"/>
    </xf>
    <xf numFmtId="1" fontId="3" fillId="8" borderId="1111" applyAlignment="1" applyProtection="1" pivotButton="0" quotePrefix="0" xfId="0">
      <alignment vertical="center"/>
      <protection locked="0" hidden="0"/>
    </xf>
    <xf numFmtId="1" fontId="3" fillId="3" borderId="849" applyAlignment="1" pivotButton="0" quotePrefix="0" xfId="0">
      <alignment horizontal="right" vertical="center"/>
    </xf>
    <xf numFmtId="1" fontId="3" fillId="8" borderId="788" applyAlignment="1" applyProtection="1" pivotButton="0" quotePrefix="0" xfId="0">
      <alignment vertical="center"/>
      <protection locked="0" hidden="0"/>
    </xf>
    <xf numFmtId="1" fontId="3" fillId="8" borderId="1195" applyAlignment="1" applyProtection="1" pivotButton="0" quotePrefix="0" xfId="0">
      <alignment vertical="center"/>
      <protection locked="0" hidden="0"/>
    </xf>
    <xf numFmtId="1" fontId="3" fillId="8" borderId="1196" applyAlignment="1" applyProtection="1" pivotButton="0" quotePrefix="0" xfId="0">
      <alignment vertical="center"/>
      <protection locked="0" hidden="0"/>
    </xf>
    <xf numFmtId="1" fontId="3" fillId="8" borderId="787" applyAlignment="1" applyProtection="1" pivotButton="0" quotePrefix="0" xfId="0">
      <alignment vertical="center"/>
      <protection locked="0" hidden="0"/>
    </xf>
    <xf numFmtId="1" fontId="3" fillId="8" borderId="871" applyAlignment="1" applyProtection="1" pivotButton="0" quotePrefix="0" xfId="0">
      <alignment vertical="center"/>
      <protection locked="0" hidden="0"/>
    </xf>
    <xf numFmtId="1" fontId="3" fillId="8" borderId="1200" applyAlignment="1" applyProtection="1" pivotButton="0" quotePrefix="0" xfId="0">
      <alignment vertical="center"/>
      <protection locked="0" hidden="0"/>
    </xf>
    <xf numFmtId="1" fontId="3" fillId="3" borderId="1147" applyAlignment="1" pivotButton="0" quotePrefix="0" xfId="23">
      <alignment horizontal="right" vertical="center"/>
    </xf>
    <xf numFmtId="1" fontId="3" fillId="3" borderId="1149" applyAlignment="1" pivotButton="0" quotePrefix="0" xfId="23">
      <alignment horizontal="right" vertical="center"/>
    </xf>
    <xf numFmtId="1" fontId="3" fillId="8" borderId="1147" applyAlignment="1" applyProtection="1" pivotButton="0" quotePrefix="0" xfId="0">
      <alignment vertical="center"/>
      <protection locked="0" hidden="0"/>
    </xf>
    <xf numFmtId="1" fontId="3" fillId="8" borderId="1149" applyAlignment="1" applyProtection="1" pivotButton="0" quotePrefix="0" xfId="0">
      <alignment vertical="center"/>
      <protection locked="0" hidden="0"/>
    </xf>
    <xf numFmtId="1" fontId="3" fillId="8" borderId="1148" applyAlignment="1" applyProtection="1" pivotButton="0" quotePrefix="0" xfId="0">
      <alignment vertical="center"/>
      <protection locked="0" hidden="0"/>
    </xf>
    <xf numFmtId="1" fontId="3" fillId="8" borderId="812" applyAlignment="1" applyProtection="1" pivotButton="0" quotePrefix="0" xfId="0">
      <alignment vertical="center"/>
      <protection locked="0" hidden="0"/>
    </xf>
    <xf numFmtId="1" fontId="3" fillId="8" borderId="737" applyAlignment="1" applyProtection="1" pivotButton="0" quotePrefix="0" xfId="0">
      <alignment vertical="center"/>
      <protection locked="0" hidden="0"/>
    </xf>
    <xf numFmtId="1" fontId="3" fillId="8" borderId="966" applyAlignment="1" applyProtection="1" pivotButton="0" quotePrefix="0" xfId="0">
      <alignment vertical="center"/>
      <protection locked="0" hidden="0"/>
    </xf>
    <xf numFmtId="1" fontId="3" fillId="3" borderId="394" applyAlignment="1" pivotButton="0" quotePrefix="0" xfId="23">
      <alignment horizontal="right" vertical="center"/>
    </xf>
    <xf numFmtId="1" fontId="3" fillId="3" borderId="358" applyAlignment="1" pivotButton="0" quotePrefix="0" xfId="23">
      <alignment horizontal="right" vertical="center"/>
    </xf>
    <xf numFmtId="1" fontId="3" fillId="3" borderId="1081" applyAlignment="1" pivotButton="0" quotePrefix="0" xfId="23">
      <alignment horizontal="right" vertical="center"/>
    </xf>
    <xf numFmtId="1" fontId="3" fillId="8" borderId="1096" applyAlignment="1" applyProtection="1" pivotButton="0" quotePrefix="0" xfId="0">
      <alignment vertical="center"/>
      <protection locked="0" hidden="0"/>
    </xf>
    <xf numFmtId="1" fontId="3" fillId="8" borderId="355" applyAlignment="1" applyProtection="1" pivotButton="0" quotePrefix="0" xfId="0">
      <alignment vertical="center"/>
      <protection locked="0" hidden="0"/>
    </xf>
    <xf numFmtId="1" fontId="3" fillId="8" borderId="354" applyAlignment="1" applyProtection="1" pivotButton="0" quotePrefix="0" xfId="0">
      <alignment vertical="center"/>
      <protection locked="0" hidden="0"/>
    </xf>
    <xf numFmtId="1" fontId="3" fillId="3" borderId="1101" applyAlignment="1" pivotButton="0" quotePrefix="0" xfId="23">
      <alignment horizontal="right" vertical="center"/>
    </xf>
    <xf numFmtId="1" fontId="3" fillId="3" borderId="1077" applyAlignment="1" pivotButton="0" quotePrefix="0" xfId="23">
      <alignment horizontal="right" vertical="center"/>
    </xf>
    <xf numFmtId="1" fontId="3" fillId="8" borderId="1101" applyAlignment="1" applyProtection="1" pivotButton="0" quotePrefix="0" xfId="0">
      <alignment vertical="center"/>
      <protection locked="0" hidden="0"/>
    </xf>
    <xf numFmtId="1" fontId="3" fillId="8" borderId="1080" applyAlignment="1" applyProtection="1" pivotButton="0" quotePrefix="0" xfId="0">
      <alignment vertical="center"/>
      <protection locked="0" hidden="0"/>
    </xf>
    <xf numFmtId="1" fontId="3" fillId="8" borderId="1102" applyAlignment="1" applyProtection="1" pivotButton="0" quotePrefix="0" xfId="0">
      <alignment vertical="center"/>
      <protection locked="0" hidden="0"/>
    </xf>
    <xf numFmtId="1" fontId="3" fillId="8" borderId="1079" applyAlignment="1" applyProtection="1" pivotButton="0" quotePrefix="0" xfId="0">
      <alignment vertical="center"/>
      <protection locked="0" hidden="0"/>
    </xf>
    <xf numFmtId="1" fontId="3" fillId="8" borderId="1078" applyAlignment="1" applyProtection="1" pivotButton="0" quotePrefix="0" xfId="0">
      <alignment vertical="center"/>
      <protection locked="0" hidden="0"/>
    </xf>
    <xf numFmtId="1" fontId="3" fillId="8" borderId="1077" applyAlignment="1" applyProtection="1" pivotButton="0" quotePrefix="0" xfId="0">
      <alignment vertical="center"/>
      <protection locked="0" hidden="0"/>
    </xf>
    <xf numFmtId="1" fontId="3" fillId="0" borderId="788" applyAlignment="1" pivotButton="0" quotePrefix="0" xfId="23">
      <alignment horizontal="right" vertical="center"/>
    </xf>
    <xf numFmtId="1" fontId="3" fillId="0" borderId="1200" applyAlignment="1" pivotButton="0" quotePrefix="0" xfId="23">
      <alignment horizontal="right" vertical="center"/>
    </xf>
    <xf numFmtId="1" fontId="3" fillId="0" borderId="1200" applyAlignment="1" pivotButton="0" quotePrefix="0" xfId="0">
      <alignment horizontal="right" vertical="center" wrapText="1"/>
    </xf>
    <xf numFmtId="1" fontId="3" fillId="0" borderId="1195" applyAlignment="1" pivotButton="0" quotePrefix="0" xfId="0">
      <alignment horizontal="right" vertical="center" wrapText="1"/>
    </xf>
    <xf numFmtId="1" fontId="3" fillId="3" borderId="553" applyAlignment="1" pivotButton="0" quotePrefix="0" xfId="23">
      <alignment horizontal="right" vertical="center"/>
    </xf>
    <xf numFmtId="1" fontId="3" fillId="3" borderId="1084" applyAlignment="1" pivotButton="0" quotePrefix="0" xfId="23">
      <alignment horizontal="right" vertical="center"/>
    </xf>
    <xf numFmtId="1" fontId="3" fillId="8" borderId="553" applyAlignment="1" applyProtection="1" pivotButton="0" quotePrefix="0" xfId="0">
      <alignment vertical="center"/>
      <protection locked="0" hidden="0"/>
    </xf>
    <xf numFmtId="1" fontId="3" fillId="8" borderId="1084" applyAlignment="1" applyProtection="1" pivotButton="0" quotePrefix="0" xfId="0">
      <alignment vertical="center"/>
      <protection locked="0" hidden="0"/>
    </xf>
    <xf numFmtId="1" fontId="3" fillId="8" borderId="470" applyAlignment="1" applyProtection="1" pivotButton="0" quotePrefix="0" xfId="0">
      <alignment vertical="center"/>
      <protection locked="0" hidden="0"/>
    </xf>
    <xf numFmtId="1" fontId="3" fillId="8" borderId="551" applyAlignment="1" applyProtection="1" pivotButton="0" quotePrefix="0" xfId="0">
      <alignment vertical="center"/>
      <protection locked="0" hidden="0"/>
    </xf>
    <xf numFmtId="1" fontId="3" fillId="3" borderId="1284" applyAlignment="1" pivotButton="0" quotePrefix="0" xfId="23">
      <alignment horizontal="right" vertical="center"/>
    </xf>
    <xf numFmtId="1" fontId="3" fillId="3" borderId="1285" applyAlignment="1" pivotButton="0" quotePrefix="0" xfId="23">
      <alignment horizontal="right" vertical="center"/>
    </xf>
    <xf numFmtId="1" fontId="3" fillId="3" borderId="1286" applyAlignment="1" pivotButton="0" quotePrefix="0" xfId="23">
      <alignment horizontal="right" vertical="center"/>
    </xf>
    <xf numFmtId="1" fontId="3" fillId="4" borderId="1287" applyAlignment="1" applyProtection="1" pivotButton="0" quotePrefix="0" xfId="0">
      <alignment vertical="center"/>
      <protection locked="0" hidden="0"/>
    </xf>
    <xf numFmtId="1" fontId="3" fillId="6" borderId="1101" applyAlignment="1" pivotButton="0" quotePrefix="0" xfId="23">
      <alignment horizontal="right" vertical="center"/>
    </xf>
    <xf numFmtId="1" fontId="3" fillId="6" borderId="1077" applyAlignment="1" pivotButton="0" quotePrefix="0" xfId="23">
      <alignment horizontal="right" vertical="center"/>
    </xf>
    <xf numFmtId="1" fontId="3" fillId="6" borderId="788" applyAlignment="1" pivotButton="0" quotePrefix="0" xfId="0">
      <alignment vertical="center"/>
    </xf>
    <xf numFmtId="1" fontId="3" fillId="6" borderId="1200" applyAlignment="1" pivotButton="0" quotePrefix="0" xfId="0">
      <alignment vertical="center"/>
    </xf>
    <xf numFmtId="0" fontId="3" fillId="0" borderId="1289" applyAlignment="1" pivotButton="0" quotePrefix="0" xfId="0">
      <alignment horizontal="center" vertical="center"/>
    </xf>
    <xf numFmtId="0" fontId="3" fillId="0" borderId="1289" applyAlignment="1" pivotButton="0" quotePrefix="0" xfId="0">
      <alignment horizontal="center" vertical="center" wrapText="1"/>
    </xf>
    <xf numFmtId="0" fontId="3" fillId="6" borderId="372" applyAlignment="1" pivotButton="0" quotePrefix="0" xfId="0">
      <alignment vertical="center"/>
    </xf>
    <xf numFmtId="0" fontId="3" fillId="6" borderId="358" applyAlignment="1" pivotButton="0" quotePrefix="0" xfId="0">
      <alignment vertical="center"/>
    </xf>
    <xf numFmtId="1" fontId="3" fillId="0" borderId="849" applyAlignment="1" pivotButton="0" quotePrefix="0" xfId="0">
      <alignment vertical="center"/>
    </xf>
    <xf numFmtId="0" fontId="3" fillId="0" borderId="1288" applyAlignment="1" pivotButton="0" quotePrefix="0" xfId="0">
      <alignment horizontal="center" vertical="center" wrapText="1"/>
    </xf>
    <xf numFmtId="0" fontId="3" fillId="0" borderId="1223" applyAlignment="1" pivotButton="0" quotePrefix="0" xfId="0">
      <alignment horizontal="center" vertical="center"/>
    </xf>
    <xf numFmtId="0" fontId="3" fillId="0" borderId="1161" applyAlignment="1" pivotButton="0" quotePrefix="0" xfId="0">
      <alignment horizontal="right" vertical="center"/>
    </xf>
    <xf numFmtId="0" fontId="3" fillId="8" borderId="1147" applyAlignment="1" applyProtection="1" pivotButton="0" quotePrefix="0" xfId="0">
      <alignment horizontal="justify" vertical="center"/>
      <protection locked="0" hidden="0"/>
    </xf>
    <xf numFmtId="0" fontId="3" fillId="8" borderId="1149" applyAlignment="1" applyProtection="1" pivotButton="0" quotePrefix="0" xfId="0">
      <alignment horizontal="justify" vertical="center"/>
      <protection locked="0" hidden="0"/>
    </xf>
    <xf numFmtId="0" fontId="3" fillId="0" borderId="849" applyAlignment="1" pivotButton="0" quotePrefix="0" xfId="0">
      <alignment horizontal="right" vertical="center"/>
    </xf>
    <xf numFmtId="0" fontId="3" fillId="8" borderId="788" applyAlignment="1" applyProtection="1" pivotButton="0" quotePrefix="0" xfId="0">
      <alignment horizontal="justify" vertical="center"/>
      <protection locked="0" hidden="0"/>
    </xf>
    <xf numFmtId="0" fontId="3" fillId="8" borderId="1200" applyAlignment="1" applyProtection="1" pivotButton="0" quotePrefix="0" xfId="0">
      <alignment horizontal="justify" vertical="center"/>
      <protection locked="0" hidden="0"/>
    </xf>
    <xf numFmtId="1" fontId="3" fillId="5" borderId="1250" applyAlignment="1" pivotButton="0" quotePrefix="0" xfId="0">
      <alignment horizontal="center" vertical="center" wrapText="1"/>
    </xf>
    <xf numFmtId="1" fontId="3" fillId="5" borderId="1236" applyAlignment="1" pivotButton="0" quotePrefix="0" xfId="0">
      <alignment horizontal="center" vertical="center" wrapText="1"/>
    </xf>
    <xf numFmtId="1" fontId="3" fillId="5" borderId="1288" applyAlignment="1" pivotButton="0" quotePrefix="0" xfId="0">
      <alignment horizontal="center" vertical="center" wrapText="1"/>
    </xf>
    <xf numFmtId="1" fontId="3" fillId="5" borderId="1216" applyAlignment="1" pivotButton="0" quotePrefix="0" xfId="0">
      <alignment horizontal="center" vertical="center" wrapText="1"/>
    </xf>
    <xf numFmtId="0" fontId="3" fillId="5" borderId="1217" applyAlignment="1" pivotButton="0" quotePrefix="0" xfId="0">
      <alignment horizontal="center" vertical="center" wrapText="1"/>
    </xf>
    <xf numFmtId="1" fontId="3" fillId="5" borderId="1249" applyAlignment="1" applyProtection="1" pivotButton="0" quotePrefix="0" xfId="0">
      <alignment horizontal="center" vertical="center" wrapText="1"/>
      <protection locked="0" hidden="0"/>
    </xf>
    <xf numFmtId="0" fontId="3" fillId="6" borderId="1084" applyAlignment="1" pivotButton="0" quotePrefix="0" xfId="0">
      <alignment vertical="center"/>
    </xf>
    <xf numFmtId="1" fontId="3" fillId="5" borderId="1290" applyAlignment="1" pivotButton="0" quotePrefix="0" xfId="0">
      <alignment horizontal="center" vertical="center" wrapText="1"/>
    </xf>
    <xf numFmtId="1" fontId="3" fillId="5" borderId="1289" applyAlignment="1" pivotButton="0" quotePrefix="0" xfId="0">
      <alignment horizontal="center" vertical="center" wrapText="1"/>
    </xf>
    <xf numFmtId="0" fontId="3" fillId="6" borderId="1147" applyAlignment="1" pivotButton="0" quotePrefix="0" xfId="0">
      <alignment vertical="center"/>
    </xf>
    <xf numFmtId="0" fontId="3" fillId="6" borderId="1149" applyAlignment="1" pivotButton="0" quotePrefix="0" xfId="0">
      <alignment vertical="center"/>
    </xf>
    <xf numFmtId="0" fontId="3" fillId="6" borderId="1081" applyAlignment="1" pivotButton="0" quotePrefix="0" xfId="0">
      <alignment vertical="center"/>
    </xf>
    <xf numFmtId="0" fontId="3" fillId="6" borderId="553" applyAlignment="1" pivotButton="0" quotePrefix="0" xfId="0">
      <alignment vertical="center"/>
    </xf>
    <xf numFmtId="0" fontId="3" fillId="6" borderId="1101" applyAlignment="1" pivotButton="0" quotePrefix="0" xfId="0">
      <alignment vertical="center"/>
    </xf>
    <xf numFmtId="0" fontId="3" fillId="6" borderId="1080" applyAlignment="1" pivotButton="0" quotePrefix="0" xfId="0">
      <alignment vertical="center"/>
    </xf>
    <xf numFmtId="0" fontId="3" fillId="6" borderId="1077" applyAlignment="1" pivotButton="0" quotePrefix="0" xfId="0">
      <alignment vertical="center"/>
    </xf>
    <xf numFmtId="0" fontId="3" fillId="5" borderId="1289" applyAlignment="1" pivotButton="0" quotePrefix="0" xfId="0">
      <alignment horizontal="center" vertical="center" wrapText="1"/>
    </xf>
    <xf numFmtId="0" fontId="3" fillId="5" borderId="1250" applyAlignment="1" pivotButton="0" quotePrefix="0" xfId="0">
      <alignment horizontal="center" vertical="center" wrapText="1"/>
    </xf>
    <xf numFmtId="0" fontId="3" fillId="5" borderId="1236" applyAlignment="1" pivotButton="0" quotePrefix="0" xfId="0">
      <alignment horizontal="center" vertical="center" wrapText="1"/>
    </xf>
    <xf numFmtId="0" fontId="3" fillId="5" borderId="1292" applyAlignment="1" pivotButton="0" quotePrefix="0" xfId="0">
      <alignment horizontal="center" vertical="center" wrapText="1"/>
    </xf>
    <xf numFmtId="1" fontId="3" fillId="5" borderId="1161" applyAlignment="1" pivotButton="0" quotePrefix="0" xfId="0">
      <alignment horizontal="right" vertical="center" wrapText="1"/>
    </xf>
    <xf numFmtId="1" fontId="3" fillId="5" borderId="380" applyAlignment="1" pivotButton="0" quotePrefix="0" xfId="0">
      <alignment horizontal="right" vertical="center" wrapText="1"/>
    </xf>
    <xf numFmtId="1" fontId="3" fillId="5" borderId="849" applyAlignment="1" pivotButton="0" quotePrefix="0" xfId="0">
      <alignment horizontal="right" vertical="center" wrapText="1"/>
    </xf>
    <xf numFmtId="1" fontId="3" fillId="4" borderId="1293" applyAlignment="1" applyProtection="1" pivotButton="0" quotePrefix="0" xfId="0">
      <alignment vertical="center"/>
      <protection locked="0" hidden="0"/>
    </xf>
    <xf numFmtId="0" fontId="3" fillId="0" borderId="1223" applyAlignment="1" pivotButton="0" quotePrefix="0" xfId="0">
      <alignment horizontal="center" vertical="center" wrapText="1"/>
    </xf>
    <xf numFmtId="0" fontId="3" fillId="0" borderId="1297" applyAlignment="1" pivotButton="0" quotePrefix="0" xfId="0">
      <alignment horizontal="center" vertical="center" wrapText="1"/>
    </xf>
    <xf numFmtId="1" fontId="3" fillId="4" borderId="355" applyAlignment="1" applyProtection="1" pivotButton="0" quotePrefix="0" xfId="0">
      <alignment vertical="center"/>
      <protection locked="0" hidden="0"/>
    </xf>
    <xf numFmtId="1" fontId="3" fillId="4" borderId="1298" applyAlignment="1" applyProtection="1" pivotButton="0" quotePrefix="0" xfId="0">
      <alignment vertical="center"/>
      <protection locked="0" hidden="0"/>
    </xf>
    <xf numFmtId="1" fontId="3" fillId="4" borderId="1102" applyAlignment="1" applyProtection="1" pivotButton="0" quotePrefix="0" xfId="0">
      <alignment vertical="center"/>
      <protection locked="0" hidden="0"/>
    </xf>
    <xf numFmtId="1" fontId="3" fillId="4" borderId="1299" applyAlignment="1" applyProtection="1" pivotButton="0" quotePrefix="0" xfId="0">
      <alignment vertical="center"/>
      <protection locked="0" hidden="0"/>
    </xf>
    <xf numFmtId="1" fontId="3" fillId="4" borderId="1136" applyAlignment="1" applyProtection="1" pivotButton="0" quotePrefix="0" xfId="0">
      <alignment vertical="center"/>
      <protection locked="0" hidden="0"/>
    </xf>
    <xf numFmtId="1" fontId="3" fillId="5" borderId="1288" applyAlignment="1" pivotButton="0" quotePrefix="0" xfId="0">
      <alignment vertical="center" wrapText="1"/>
    </xf>
    <xf numFmtId="1" fontId="3" fillId="5" borderId="1223" applyAlignment="1" pivotButton="0" quotePrefix="0" xfId="0">
      <alignment vertical="center"/>
    </xf>
    <xf numFmtId="1" fontId="25" fillId="4" borderId="1250" applyAlignment="1" applyProtection="1" pivotButton="0" quotePrefix="0" xfId="0">
      <alignment vertical="center"/>
      <protection locked="0" hidden="0"/>
    </xf>
    <xf numFmtId="1" fontId="25" fillId="4" borderId="1236" applyAlignment="1" applyProtection="1" pivotButton="0" quotePrefix="0" xfId="0">
      <alignment vertical="center"/>
      <protection locked="0" hidden="0"/>
    </xf>
    <xf numFmtId="1" fontId="25" fillId="4" borderId="1297" applyAlignment="1" applyProtection="1" pivotButton="0" quotePrefix="0" xfId="0">
      <alignment vertical="center"/>
      <protection locked="0" hidden="0"/>
    </xf>
    <xf numFmtId="1" fontId="25" fillId="4" borderId="1249" applyAlignment="1" applyProtection="1" pivotButton="0" quotePrefix="0" xfId="0">
      <alignment vertical="center"/>
      <protection locked="0" hidden="0"/>
    </xf>
    <xf numFmtId="1" fontId="3" fillId="0" borderId="1223" applyAlignment="1" pivotButton="0" quotePrefix="0" xfId="0">
      <alignment vertical="center" wrapText="1"/>
    </xf>
    <xf numFmtId="1" fontId="3" fillId="4" borderId="1223" applyAlignment="1" applyProtection="1" pivotButton="0" quotePrefix="0" xfId="0">
      <alignment vertical="center"/>
      <protection locked="0" hidden="0"/>
    </xf>
    <xf numFmtId="1" fontId="3" fillId="4" borderId="1249" applyAlignment="1" applyProtection="1" pivotButton="0" quotePrefix="0" xfId="0">
      <alignment vertical="center"/>
      <protection locked="0" hidden="0"/>
    </xf>
    <xf numFmtId="1" fontId="3" fillId="0" borderId="1288" applyAlignment="1" pivotButton="0" quotePrefix="0" xfId="0">
      <alignment horizontal="center" vertical="center"/>
    </xf>
    <xf numFmtId="1" fontId="3" fillId="0" borderId="1289" applyAlignment="1" pivotButton="0" quotePrefix="0" xfId="0">
      <alignment horizontal="center" vertical="center" wrapText="1"/>
    </xf>
    <xf numFmtId="1" fontId="3" fillId="0" borderId="1290" applyAlignment="1" pivotButton="0" quotePrefix="0" xfId="0">
      <alignment horizontal="center" vertical="center" wrapText="1"/>
    </xf>
    <xf numFmtId="1" fontId="3" fillId="0" borderId="1301" applyAlignment="1" pivotButton="0" quotePrefix="0" xfId="0">
      <alignment horizontal="center" vertical="center" wrapText="1"/>
    </xf>
    <xf numFmtId="1" fontId="3" fillId="0" borderId="1291" applyAlignment="1" pivotButton="0" quotePrefix="0" xfId="0">
      <alignment horizontal="center" vertical="center" wrapText="1"/>
    </xf>
    <xf numFmtId="0" fontId="3" fillId="0" borderId="1161" pivotButton="0" quotePrefix="0" xfId="0"/>
    <xf numFmtId="0" fontId="3" fillId="0" borderId="1303" applyAlignment="1" pivotButton="0" quotePrefix="0" xfId="0">
      <alignment horizontal="center" vertical="center" wrapText="1"/>
    </xf>
    <xf numFmtId="0" fontId="3" fillId="0" borderId="1304" applyAlignment="1" pivotButton="0" quotePrefix="0" xfId="0">
      <alignment horizontal="center" vertical="center" wrapText="1"/>
    </xf>
    <xf numFmtId="0" fontId="3" fillId="0" borderId="1304" applyAlignment="1" pivotButton="0" quotePrefix="0" xfId="0">
      <alignment horizontal="center" wrapText="1"/>
    </xf>
    <xf numFmtId="0" fontId="3" fillId="0" borderId="1305" applyAlignment="1" pivotButton="0" quotePrefix="0" xfId="0">
      <alignment wrapText="1"/>
    </xf>
    <xf numFmtId="0" fontId="3" fillId="18" borderId="546" applyProtection="1" pivotButton="0" quotePrefix="0" xfId="0">
      <protection locked="0" hidden="0"/>
    </xf>
    <xf numFmtId="0" fontId="3" fillId="0" borderId="557" applyAlignment="1" pivotButton="0" quotePrefix="0" xfId="0">
      <alignment wrapText="1"/>
    </xf>
    <xf numFmtId="0" fontId="3" fillId="0" borderId="1290" applyAlignment="1" pivotButton="0" quotePrefix="0" xfId="0">
      <alignment horizontal="center" vertical="center"/>
    </xf>
    <xf numFmtId="0" fontId="3" fillId="0" borderId="1250" applyAlignment="1" pivotButton="0" quotePrefix="0" xfId="0">
      <alignment horizontal="center" vertical="center"/>
    </xf>
    <xf numFmtId="0" fontId="3" fillId="53" borderId="1161" pivotButton="0" quotePrefix="0" xfId="0"/>
    <xf numFmtId="0" fontId="3" fillId="18" borderId="1147" applyProtection="1" pivotButton="0" quotePrefix="0" xfId="0">
      <protection locked="0" hidden="0"/>
    </xf>
    <xf numFmtId="0" fontId="3" fillId="18" borderId="1149" applyProtection="1" pivotButton="0" quotePrefix="0" xfId="0">
      <protection locked="0" hidden="0"/>
    </xf>
    <xf numFmtId="0" fontId="3" fillId="53" borderId="849" pivotButton="0" quotePrefix="0" xfId="0"/>
    <xf numFmtId="0" fontId="3" fillId="18" borderId="788" applyProtection="1" pivotButton="0" quotePrefix="0" xfId="0">
      <protection locked="0" hidden="0"/>
    </xf>
    <xf numFmtId="0" fontId="3" fillId="18" borderId="1200" applyProtection="1" pivotButton="0" quotePrefix="0" xfId="0">
      <protection locked="0" hidden="0"/>
    </xf>
    <xf numFmtId="0" fontId="3" fillId="17" borderId="788" pivotButton="0" quotePrefix="0" xfId="0"/>
    <xf numFmtId="0" fontId="3" fillId="17" borderId="1200" pivotButton="0" quotePrefix="0" xfId="0"/>
    <xf numFmtId="0" fontId="3" fillId="53" borderId="1223" applyAlignment="1" pivotButton="0" quotePrefix="0" xfId="0">
      <alignment horizontal="center"/>
    </xf>
    <xf numFmtId="0" fontId="3" fillId="53" borderId="1223" applyAlignment="1" pivotButton="0" quotePrefix="0" xfId="0">
      <alignment horizontal="center" vertical="center"/>
    </xf>
    <xf numFmtId="0" fontId="3" fillId="53" borderId="1250" applyAlignment="1" pivotButton="0" quotePrefix="0" xfId="0">
      <alignment horizontal="center" vertical="center" wrapText="1"/>
    </xf>
    <xf numFmtId="0" fontId="3" fillId="53" borderId="1289" applyAlignment="1" pivotButton="0" quotePrefix="0" xfId="0">
      <alignment horizontal="center" vertical="center" wrapText="1"/>
    </xf>
    <xf numFmtId="0" fontId="3" fillId="27" borderId="1161" pivotButton="0" quotePrefix="0" xfId="0"/>
    <xf numFmtId="0" fontId="3" fillId="18" borderId="1161" applyProtection="1" pivotButton="0" quotePrefix="0" xfId="0">
      <protection locked="0" hidden="0"/>
    </xf>
    <xf numFmtId="0" fontId="3" fillId="27" borderId="1147" pivotButton="0" quotePrefix="0" xfId="0"/>
    <xf numFmtId="0" fontId="3" fillId="27" borderId="849" pivotButton="0" quotePrefix="0" xfId="0"/>
    <xf numFmtId="0" fontId="3" fillId="18" borderId="849" applyProtection="1" pivotButton="0" quotePrefix="0" xfId="0">
      <protection locked="0" hidden="0"/>
    </xf>
    <xf numFmtId="0" fontId="3" fillId="27" borderId="1101" pivotButton="0" quotePrefix="0" xfId="0"/>
    <xf numFmtId="0" fontId="3" fillId="54" borderId="1147" pivotButton="0" quotePrefix="0" xfId="0"/>
    <xf numFmtId="0" fontId="3" fillId="54" borderId="1149" pivotButton="0" quotePrefix="0" xfId="0"/>
    <xf numFmtId="0" fontId="3" fillId="54" borderId="788" pivotButton="0" quotePrefix="0" xfId="0"/>
    <xf numFmtId="0" fontId="3" fillId="54" borderId="1200" pivotButton="0" quotePrefix="0" xfId="0"/>
    <xf numFmtId="0" fontId="3" fillId="27" borderId="788" pivotButton="0" quotePrefix="0" xfId="0"/>
    <xf numFmtId="0" fontId="3" fillId="53" borderId="1223" applyAlignment="1" pivotButton="0" quotePrefix="0" xfId="0">
      <alignment horizontal="center" vertical="center" wrapText="1"/>
    </xf>
    <xf numFmtId="0" fontId="3" fillId="53" borderId="546" applyAlignment="1" pivotButton="0" quotePrefix="0" xfId="0">
      <alignment horizontal="center" vertical="center" wrapText="1"/>
    </xf>
    <xf numFmtId="0" fontId="3" fillId="44" borderId="1139" applyProtection="1" pivotButton="0" quotePrefix="0" xfId="0">
      <protection locked="0" hidden="0"/>
    </xf>
    <xf numFmtId="0" fontId="3" fillId="54" borderId="1308" pivotButton="0" quotePrefix="0" xfId="0"/>
    <xf numFmtId="0" fontId="3" fillId="5" borderId="1250" applyAlignment="1" pivotButton="0" quotePrefix="0" xfId="0">
      <alignment horizontal="center" wrapText="1"/>
    </xf>
    <xf numFmtId="0" fontId="3" fillId="5" borderId="1236" applyAlignment="1" pivotButton="0" quotePrefix="0" xfId="0">
      <alignment horizontal="center" wrapText="1"/>
    </xf>
    <xf numFmtId="0" fontId="3" fillId="5" borderId="1289" applyAlignment="1" pivotButton="0" quotePrefix="0" xfId="0">
      <alignment horizontal="center" wrapText="1"/>
    </xf>
    <xf numFmtId="0" fontId="3" fillId="5" borderId="1251" applyAlignment="1" pivotButton="0" quotePrefix="0" xfId="0">
      <alignment horizontal="center" vertical="center" wrapText="1"/>
    </xf>
    <xf numFmtId="0" fontId="3" fillId="20" borderId="1161" applyAlignment="1" pivotButton="0" quotePrefix="0" xfId="0">
      <alignment wrapText="1"/>
    </xf>
    <xf numFmtId="1" fontId="3" fillId="5" borderId="1147" applyAlignment="1" pivotButton="0" quotePrefix="0" xfId="0">
      <alignment horizontal="right" wrapText="1"/>
    </xf>
    <xf numFmtId="1" fontId="3" fillId="5" borderId="1148" applyAlignment="1" pivotButton="0" quotePrefix="0" xfId="0">
      <alignment horizontal="right" wrapText="1"/>
    </xf>
    <xf numFmtId="1" fontId="3" fillId="5" borderId="1149" applyAlignment="1" pivotButton="0" quotePrefix="0" xfId="0">
      <alignment horizontal="right"/>
    </xf>
    <xf numFmtId="0" fontId="3" fillId="44" borderId="374" applyProtection="1" pivotButton="0" quotePrefix="0" xfId="0">
      <protection locked="0" hidden="0"/>
    </xf>
    <xf numFmtId="0" fontId="3" fillId="44" borderId="1149" applyProtection="1" pivotButton="0" quotePrefix="0" xfId="0">
      <protection locked="0" hidden="0"/>
    </xf>
    <xf numFmtId="0" fontId="3" fillId="20" borderId="554" applyAlignment="1" pivotButton="0" quotePrefix="0" xfId="0">
      <alignment wrapText="1"/>
    </xf>
    <xf numFmtId="0" fontId="3" fillId="44" borderId="1084" applyProtection="1" pivotButton="0" quotePrefix="0" xfId="0">
      <protection locked="0" hidden="0"/>
    </xf>
    <xf numFmtId="0" fontId="3" fillId="20" borderId="849" applyAlignment="1" pivotButton="0" quotePrefix="0" xfId="0">
      <alignment wrapText="1"/>
    </xf>
    <xf numFmtId="1" fontId="3" fillId="5" borderId="1096" applyAlignment="1" pivotButton="0" quotePrefix="0" xfId="0">
      <alignment horizontal="right" wrapText="1"/>
    </xf>
    <xf numFmtId="1" fontId="3" fillId="5" borderId="1081" applyAlignment="1" pivotButton="0" quotePrefix="0" xfId="0">
      <alignment horizontal="right"/>
    </xf>
    <xf numFmtId="1" fontId="3" fillId="0" borderId="1250" applyAlignment="1" pivotButton="0" quotePrefix="0" xfId="0">
      <alignment horizontal="right"/>
    </xf>
    <xf numFmtId="1" fontId="3" fillId="0" borderId="1297" applyAlignment="1" pivotButton="0" quotePrefix="0" xfId="0">
      <alignment horizontal="right"/>
    </xf>
    <xf numFmtId="1" fontId="3" fillId="0" borderId="1289" applyAlignment="1" pivotButton="0" quotePrefix="0" xfId="0">
      <alignment horizontal="right"/>
    </xf>
    <xf numFmtId="1" fontId="3" fillId="0" borderId="1289" pivotButton="0" quotePrefix="0" xfId="0"/>
    <xf numFmtId="1" fontId="3" fillId="5" borderId="1290" pivotButton="0" quotePrefix="0" xfId="0"/>
    <xf numFmtId="1" fontId="3" fillId="5" borderId="1251" pivotButton="0" quotePrefix="0" xfId="0"/>
    <xf numFmtId="1" fontId="3" fillId="5" borderId="1223" pivotButton="0" quotePrefix="0" xfId="0"/>
    <xf numFmtId="1" fontId="3" fillId="20" borderId="1161" applyAlignment="1" pivotButton="0" quotePrefix="0" xfId="0">
      <alignment horizontal="right" wrapText="1"/>
    </xf>
    <xf numFmtId="1" fontId="3" fillId="6" borderId="1147" applyAlignment="1" pivotButton="0" quotePrefix="0" xfId="0">
      <alignment horizontal="right" wrapText="1"/>
    </xf>
    <xf numFmtId="1" fontId="3" fillId="4" borderId="372" applyProtection="1" pivotButton="0" quotePrefix="0" xfId="0">
      <protection locked="0" hidden="0"/>
    </xf>
    <xf numFmtId="1" fontId="3" fillId="20" borderId="554" applyAlignment="1" pivotButton="0" quotePrefix="0" xfId="0">
      <alignment horizontal="right" wrapText="1"/>
    </xf>
    <xf numFmtId="1" fontId="3" fillId="20" borderId="849" applyAlignment="1" pivotButton="0" quotePrefix="0" xfId="0">
      <alignment horizontal="right" wrapText="1"/>
    </xf>
    <xf numFmtId="1" fontId="3" fillId="0" borderId="1223" pivotButton="0" quotePrefix="0" xfId="0"/>
    <xf numFmtId="1" fontId="3" fillId="0" borderId="1297" applyAlignment="1" pivotButton="0" quotePrefix="0" xfId="0">
      <alignment horizontal="center" vertical="center"/>
    </xf>
    <xf numFmtId="1" fontId="3" fillId="0" borderId="1289" applyAlignment="1" pivotButton="0" quotePrefix="0" xfId="0">
      <alignment horizontal="center" vertical="center"/>
    </xf>
    <xf numFmtId="1" fontId="3" fillId="0" borderId="1294" applyAlignment="1" pivotButton="0" quotePrefix="0" xfId="0">
      <alignment horizontal="center" vertical="center"/>
    </xf>
    <xf numFmtId="1" fontId="3" fillId="0" borderId="1297" applyAlignment="1" pivotButton="0" quotePrefix="0" xfId="0">
      <alignment horizontal="center" vertical="center" wrapText="1"/>
    </xf>
    <xf numFmtId="0" fontId="3" fillId="5" borderId="1294" applyAlignment="1" pivotButton="0" quotePrefix="0" xfId="0">
      <alignment horizontal="center" vertical="center" wrapText="1"/>
    </xf>
    <xf numFmtId="0" fontId="3" fillId="20" borderId="1149" applyAlignment="1" pivotButton="0" quotePrefix="0" xfId="0">
      <alignment wrapText="1"/>
    </xf>
    <xf numFmtId="1" fontId="3" fillId="0" borderId="1147" applyAlignment="1" pivotButton="0" quotePrefix="0" xfId="0">
      <alignment horizontal="right" vertical="center"/>
    </xf>
    <xf numFmtId="1" fontId="3" fillId="4" borderId="1147" applyAlignment="1" applyProtection="1" pivotButton="0" quotePrefix="0" xfId="0">
      <alignment horizontal="right"/>
      <protection locked="0" hidden="0"/>
    </xf>
    <xf numFmtId="1" fontId="3" fillId="4" borderId="1254" applyAlignment="1" applyProtection="1" pivotButton="0" quotePrefix="0" xfId="0">
      <alignment horizontal="right"/>
      <protection locked="0" hidden="0"/>
    </xf>
    <xf numFmtId="0" fontId="3" fillId="20" borderId="1084" applyAlignment="1" pivotButton="0" quotePrefix="0" xfId="0">
      <alignment wrapText="1"/>
    </xf>
    <xf numFmtId="0" fontId="3" fillId="20" borderId="1200" applyAlignment="1" pivotButton="0" quotePrefix="0" xfId="0">
      <alignment wrapText="1"/>
    </xf>
    <xf numFmtId="1" fontId="3" fillId="0" borderId="1289" applyAlignment="1" pivotButton="0" quotePrefix="0" xfId="0">
      <alignment vertical="center"/>
    </xf>
    <xf numFmtId="1" fontId="3" fillId="4" borderId="1235" applyAlignment="1" applyProtection="1" pivotButton="0" quotePrefix="0" xfId="0">
      <alignment horizontal="right"/>
      <protection locked="0" hidden="0"/>
    </xf>
    <xf numFmtId="1" fontId="3" fillId="4" borderId="1249" applyAlignment="1" applyProtection="1" pivotButton="0" quotePrefix="0" xfId="0">
      <alignment horizontal="right"/>
      <protection locked="0" hidden="0"/>
    </xf>
    <xf numFmtId="1" fontId="3" fillId="4" borderId="1250" applyAlignment="1" applyProtection="1" pivotButton="0" quotePrefix="0" xfId="0">
      <alignment horizontal="right"/>
      <protection locked="0" hidden="0"/>
    </xf>
    <xf numFmtId="1" fontId="3" fillId="4" borderId="1236" applyAlignment="1" applyProtection="1" pivotButton="0" quotePrefix="0" xfId="0">
      <alignment horizontal="right"/>
      <protection locked="0" hidden="0"/>
    </xf>
    <xf numFmtId="1" fontId="3" fillId="4" borderId="1297" applyAlignment="1" applyProtection="1" pivotButton="0" quotePrefix="0" xfId="0">
      <alignment horizontal="right"/>
      <protection locked="0" hidden="0"/>
    </xf>
    <xf numFmtId="1" fontId="3" fillId="4" borderId="1251" applyAlignment="1" applyProtection="1" pivotButton="0" quotePrefix="0" xfId="0">
      <alignment horizontal="right"/>
      <protection locked="0" hidden="0"/>
    </xf>
    <xf numFmtId="1" fontId="3" fillId="4" borderId="1253" applyAlignment="1" applyProtection="1" pivotButton="0" quotePrefix="0" xfId="0">
      <alignment horizontal="right"/>
      <protection locked="0" hidden="0"/>
    </xf>
    <xf numFmtId="1" fontId="3" fillId="0" borderId="1297" applyAlignment="1" pivotButton="0" quotePrefix="0" xfId="0">
      <alignment horizontal="right" vertical="center"/>
    </xf>
    <xf numFmtId="1" fontId="3" fillId="0" borderId="1289" applyAlignment="1" pivotButton="0" quotePrefix="0" xfId="0">
      <alignment horizontal="right" vertical="center"/>
    </xf>
    <xf numFmtId="1" fontId="3" fillId="0" borderId="1250" applyAlignment="1" pivotButton="0" quotePrefix="0" xfId="0">
      <alignment horizontal="right" vertical="center" wrapText="1"/>
    </xf>
    <xf numFmtId="1" fontId="3" fillId="0" borderId="1297" applyAlignment="1" pivotButton="0" quotePrefix="0" xfId="0">
      <alignment horizontal="right" vertical="center" wrapText="1"/>
    </xf>
    <xf numFmtId="1" fontId="3" fillId="0" borderId="1289" applyAlignment="1" pivotButton="0" quotePrefix="0" xfId="0">
      <alignment horizontal="right" vertical="center" wrapText="1"/>
    </xf>
    <xf numFmtId="1" fontId="3" fillId="0" borderId="1251" applyAlignment="1" pivotButton="0" quotePrefix="0" xfId="0">
      <alignment horizontal="right" vertical="center" wrapText="1"/>
    </xf>
    <xf numFmtId="1" fontId="3" fillId="6" borderId="1290" applyAlignment="1" pivotButton="0" quotePrefix="0" xfId="0">
      <alignment horizontal="right" wrapText="1"/>
    </xf>
    <xf numFmtId="1" fontId="3" fillId="6" borderId="1288" applyAlignment="1" pivotButton="0" quotePrefix="0" xfId="0">
      <alignment horizontal="right" wrapText="1"/>
    </xf>
    <xf numFmtId="1" fontId="3" fillId="6" borderId="1289" applyAlignment="1" pivotButton="0" quotePrefix="0" xfId="0">
      <alignment horizontal="right" wrapText="1"/>
    </xf>
    <xf numFmtId="1" fontId="3" fillId="6" borderId="1294" applyAlignment="1" pivotButton="0" quotePrefix="0" xfId="0">
      <alignment horizontal="right" wrapText="1"/>
    </xf>
    <xf numFmtId="1" fontId="3" fillId="5" borderId="1253" applyAlignment="1" pivotButton="0" quotePrefix="0" xfId="0">
      <alignment horizontal="right" vertical="center" wrapText="1"/>
    </xf>
    <xf numFmtId="1" fontId="3" fillId="4" borderId="1111" applyAlignment="1" applyProtection="1" pivotButton="0" quotePrefix="0" xfId="0">
      <alignment horizontal="right"/>
      <protection locked="0" hidden="0"/>
    </xf>
    <xf numFmtId="1" fontId="3" fillId="4" borderId="1148" applyAlignment="1" applyProtection="1" pivotButton="0" quotePrefix="0" xfId="0">
      <alignment horizontal="right"/>
      <protection locked="0" hidden="0"/>
    </xf>
    <xf numFmtId="1" fontId="3" fillId="0" borderId="1294" applyAlignment="1" pivotButton="0" quotePrefix="0" xfId="0">
      <alignment horizontal="right" vertical="center" wrapText="1"/>
    </xf>
    <xf numFmtId="1" fontId="3" fillId="5" borderId="1289" applyAlignment="1" pivotButton="0" quotePrefix="0" xfId="0">
      <alignment horizontal="right" vertical="center" wrapText="1"/>
    </xf>
    <xf numFmtId="1" fontId="3" fillId="0" borderId="1161" applyAlignment="1" pivotButton="0" quotePrefix="0" xfId="0">
      <alignment horizontal="left"/>
    </xf>
    <xf numFmtId="1" fontId="3" fillId="4" borderId="1149" applyAlignment="1" applyProtection="1" pivotButton="0" quotePrefix="0" xfId="0">
      <alignment horizontal="right"/>
      <protection locked="0" hidden="0"/>
    </xf>
    <xf numFmtId="1" fontId="3" fillId="4" borderId="1112" applyAlignment="1" applyProtection="1" pivotButton="0" quotePrefix="0" xfId="0">
      <alignment horizontal="right"/>
      <protection locked="0" hidden="0"/>
    </xf>
    <xf numFmtId="1" fontId="3" fillId="0" borderId="1249" applyAlignment="1" pivotButton="0" quotePrefix="0" xfId="0">
      <alignment horizontal="right" vertical="center" wrapText="1"/>
    </xf>
    <xf numFmtId="1" fontId="3" fillId="0" borderId="1288" applyAlignment="1" pivotButton="0" quotePrefix="0" xfId="0">
      <alignment horizontal="right" vertical="center" wrapText="1"/>
    </xf>
    <xf numFmtId="1" fontId="3" fillId="0" borderId="1216" applyAlignment="1" pivotButton="0" quotePrefix="0" xfId="0">
      <alignment horizontal="center" vertical="center"/>
    </xf>
    <xf numFmtId="1" fontId="3" fillId="0" borderId="1189" applyAlignment="1" pivotButton="0" quotePrefix="0" xfId="0">
      <alignment horizontal="center" vertical="center"/>
    </xf>
    <xf numFmtId="1" fontId="3" fillId="0" borderId="1194" applyAlignment="1" pivotButton="0" quotePrefix="0" xfId="0">
      <alignment horizontal="center" vertical="center"/>
    </xf>
    <xf numFmtId="1" fontId="3" fillId="0" borderId="1147" applyAlignment="1" pivotButton="0" quotePrefix="0" xfId="0">
      <alignment horizontal="right"/>
    </xf>
    <xf numFmtId="1" fontId="3" fillId="0" borderId="1148" applyAlignment="1" pivotButton="0" quotePrefix="0" xfId="0">
      <alignment horizontal="right"/>
    </xf>
    <xf numFmtId="1" fontId="3" fillId="0" borderId="1149" applyAlignment="1" pivotButton="0" quotePrefix="0" xfId="0">
      <alignment horizontal="right"/>
    </xf>
    <xf numFmtId="1" fontId="3" fillId="0" borderId="1200" applyAlignment="1" pivotButton="0" quotePrefix="0" xfId="0">
      <alignment horizontal="right"/>
    </xf>
    <xf numFmtId="1" fontId="3" fillId="4" borderId="1309" applyProtection="1" pivotButton="0" quotePrefix="0" xfId="0">
      <protection locked="0" hidden="0"/>
    </xf>
    <xf numFmtId="1" fontId="3" fillId="0" borderId="1252" applyAlignment="1" pivotButton="0" quotePrefix="0" xfId="0">
      <alignment horizontal="right"/>
    </xf>
    <xf numFmtId="1" fontId="3" fillId="5" borderId="1147" applyAlignment="1" pivotButton="0" quotePrefix="0" xfId="0">
      <alignment horizontal="right"/>
    </xf>
    <xf numFmtId="1" fontId="3" fillId="5" borderId="1148" applyAlignment="1" pivotButton="0" quotePrefix="0" xfId="0">
      <alignment horizontal="right"/>
    </xf>
    <xf numFmtId="1" fontId="3" fillId="3" borderId="849" applyAlignment="1" pivotButton="0" quotePrefix="0" xfId="0">
      <alignment vertical="center" wrapText="1"/>
    </xf>
    <xf numFmtId="1" fontId="3" fillId="3" borderId="1235" applyAlignment="1" pivotButton="0" quotePrefix="0" xfId="0">
      <alignment horizontal="center" vertical="center" wrapText="1"/>
    </xf>
    <xf numFmtId="1" fontId="3" fillId="3" borderId="1236" applyAlignment="1" pivotButton="0" quotePrefix="0" xfId="0">
      <alignment horizontal="center" vertical="center" wrapText="1"/>
    </xf>
    <xf numFmtId="1" fontId="3" fillId="3" borderId="1289" applyAlignment="1" pivotButton="0" quotePrefix="0" xfId="0">
      <alignment horizontal="center" vertical="center" wrapText="1"/>
    </xf>
    <xf numFmtId="1" fontId="3" fillId="4" borderId="1161" applyAlignment="1" applyProtection="1" pivotButton="0" quotePrefix="0" xfId="0">
      <alignment horizontal="right"/>
      <protection locked="0" hidden="0"/>
    </xf>
    <xf numFmtId="1" fontId="3" fillId="4" borderId="1264" applyAlignment="1" applyProtection="1" pivotButton="0" quotePrefix="0" xfId="0">
      <alignment horizontal="right"/>
      <protection locked="0" hidden="0"/>
    </xf>
    <xf numFmtId="1" fontId="3" fillId="4" borderId="1124" applyAlignment="1" applyProtection="1" pivotButton="0" quotePrefix="0" xfId="0">
      <alignment horizontal="right"/>
      <protection locked="0" hidden="0"/>
    </xf>
    <xf numFmtId="1" fontId="3" fillId="3" borderId="1087" applyAlignment="1" pivotButton="0" quotePrefix="0" xfId="0">
      <alignment horizontal="left" vertical="center" wrapText="1"/>
    </xf>
    <xf numFmtId="1" fontId="3" fillId="4" borderId="418" applyAlignment="1" applyProtection="1" pivotButton="0" quotePrefix="0" xfId="0">
      <alignment horizontal="right"/>
      <protection locked="0" hidden="0"/>
    </xf>
    <xf numFmtId="1" fontId="3" fillId="3" borderId="1311" applyAlignment="1" pivotButton="0" quotePrefix="0" xfId="0">
      <alignment horizontal="left" vertical="center" wrapText="1"/>
    </xf>
    <xf numFmtId="1" fontId="3" fillId="3" borderId="1250" applyAlignment="1" pivotButton="0" quotePrefix="0" xfId="0">
      <alignment horizontal="center" vertical="center"/>
    </xf>
    <xf numFmtId="1" fontId="3" fillId="3" borderId="1297" applyAlignment="1" pivotButton="0" quotePrefix="0" xfId="0">
      <alignment horizontal="center" vertical="center"/>
    </xf>
    <xf numFmtId="1" fontId="3" fillId="3" borderId="1249" applyAlignment="1" pivotButton="0" quotePrefix="0" xfId="0">
      <alignment horizontal="center" vertical="center"/>
    </xf>
    <xf numFmtId="1" fontId="3" fillId="3" borderId="1161" applyAlignment="1" pivotButton="0" quotePrefix="0" xfId="0">
      <alignment vertical="center" wrapText="1"/>
    </xf>
    <xf numFmtId="1" fontId="3" fillId="3" borderId="1147" applyAlignment="1" pivotButton="0" quotePrefix="0" xfId="0">
      <alignment horizontal="right" vertical="center" wrapText="1"/>
    </xf>
    <xf numFmtId="1" fontId="3" fillId="4" borderId="1189" applyAlignment="1" applyProtection="1" pivotButton="0" quotePrefix="0" xfId="0">
      <alignment horizontal="right"/>
      <protection locked="0" hidden="0"/>
    </xf>
    <xf numFmtId="1" fontId="3" fillId="4" borderId="1312" applyAlignment="1" applyProtection="1" pivotButton="0" quotePrefix="0" xfId="0">
      <alignment horizontal="right"/>
      <protection locked="0" hidden="0"/>
    </xf>
    <xf numFmtId="1" fontId="3" fillId="4" borderId="1313" applyAlignment="1" applyProtection="1" pivotButton="0" quotePrefix="0" xfId="0">
      <alignment horizontal="right"/>
      <protection locked="0" hidden="0"/>
    </xf>
    <xf numFmtId="1" fontId="3" fillId="4" borderId="1174" applyAlignment="1" applyProtection="1" pivotButton="0" quotePrefix="0" xfId="0">
      <alignment horizontal="right"/>
      <protection locked="0" hidden="0"/>
    </xf>
    <xf numFmtId="1" fontId="3" fillId="3" borderId="550" applyAlignment="1" pivotButton="0" quotePrefix="0" xfId="0">
      <alignment vertical="center" wrapText="1"/>
    </xf>
    <xf numFmtId="1" fontId="3" fillId="3" borderId="850" applyAlignment="1" pivotButton="0" quotePrefix="0" xfId="0">
      <alignment vertical="center" wrapText="1"/>
    </xf>
    <xf numFmtId="1" fontId="3" fillId="3" borderId="1101" applyAlignment="1" pivotButton="0" quotePrefix="0" xfId="0">
      <alignment horizontal="right" vertical="center" wrapText="1"/>
    </xf>
    <xf numFmtId="1" fontId="3" fillId="5" borderId="1200" applyAlignment="1" pivotButton="0" quotePrefix="0" xfId="0">
      <alignment horizontal="right"/>
    </xf>
    <xf numFmtId="1" fontId="3" fillId="3" borderId="554" applyAlignment="1" pivotButton="0" quotePrefix="0" xfId="0">
      <alignment vertical="center" wrapText="1"/>
    </xf>
    <xf numFmtId="1" fontId="3" fillId="3" borderId="1250" applyAlignment="1" pivotButton="0" quotePrefix="0" xfId="0">
      <alignment horizontal="center" vertical="center" wrapText="1"/>
    </xf>
    <xf numFmtId="0" fontId="3" fillId="0" borderId="1161" applyAlignment="1" pivotButton="0" quotePrefix="0" xfId="0">
      <alignment horizontal="left" wrapText="1"/>
    </xf>
    <xf numFmtId="0" fontId="3" fillId="0" borderId="1084" applyAlignment="1" pivotButton="0" quotePrefix="0" xfId="0">
      <alignment horizontal="right"/>
    </xf>
    <xf numFmtId="0" fontId="3" fillId="44" borderId="394" applyAlignment="1" applyProtection="1" pivotButton="0" quotePrefix="0" xfId="0">
      <alignment horizontal="right"/>
      <protection locked="0" hidden="0"/>
    </xf>
    <xf numFmtId="0" fontId="3" fillId="44" borderId="358" applyAlignment="1" applyProtection="1" pivotButton="0" quotePrefix="0" xfId="0">
      <alignment horizontal="right"/>
      <protection locked="0" hidden="0"/>
    </xf>
    <xf numFmtId="0" fontId="3" fillId="44" borderId="1084" applyAlignment="1" applyProtection="1" pivotButton="0" quotePrefix="0" xfId="0">
      <alignment horizontal="right"/>
      <protection locked="0" hidden="0"/>
    </xf>
    <xf numFmtId="0" fontId="3" fillId="0" borderId="380" applyAlignment="1" pivotButton="0" quotePrefix="0" xfId="0">
      <alignment horizontal="right"/>
    </xf>
    <xf numFmtId="0" fontId="3" fillId="44" borderId="1081" applyAlignment="1" applyProtection="1" pivotButton="0" quotePrefix="0" xfId="0">
      <alignment horizontal="right"/>
      <protection locked="0" hidden="0"/>
    </xf>
    <xf numFmtId="0" fontId="3" fillId="0" borderId="1074" applyAlignment="1" pivotButton="0" quotePrefix="0" xfId="0">
      <alignment horizontal="left" wrapText="1"/>
    </xf>
    <xf numFmtId="0" fontId="3" fillId="0" borderId="1074" applyAlignment="1" pivotButton="0" quotePrefix="0" xfId="0">
      <alignment horizontal="right"/>
    </xf>
    <xf numFmtId="0" fontId="3" fillId="44" borderId="788" applyAlignment="1" applyProtection="1" pivotButton="0" quotePrefix="0" xfId="0">
      <alignment horizontal="right"/>
      <protection locked="0" hidden="0"/>
    </xf>
    <xf numFmtId="0" fontId="3" fillId="44" borderId="1077" applyAlignment="1" applyProtection="1" pivotButton="0" quotePrefix="0" xfId="0">
      <alignment horizontal="right"/>
      <protection locked="0" hidden="0"/>
    </xf>
    <xf numFmtId="0" fontId="3" fillId="44" borderId="1200" applyAlignment="1" applyProtection="1" pivotButton="0" quotePrefix="0" xfId="0">
      <alignment horizontal="right"/>
      <protection locked="0" hidden="0"/>
    </xf>
    <xf numFmtId="1" fontId="3" fillId="3" borderId="1164" applyAlignment="1" pivotButton="0" quotePrefix="0" xfId="0">
      <alignment vertical="center" wrapText="1"/>
    </xf>
    <xf numFmtId="1" fontId="3" fillId="4" borderId="1164" applyAlignment="1" applyProtection="1" pivotButton="0" quotePrefix="0" xfId="0">
      <alignment horizontal="right"/>
      <protection locked="0" hidden="0"/>
    </xf>
    <xf numFmtId="1" fontId="3" fillId="4" borderId="1176" applyAlignment="1" applyProtection="1" pivotButton="0" quotePrefix="0" xfId="0">
      <alignment horizontal="right"/>
      <protection locked="0" hidden="0"/>
    </xf>
    <xf numFmtId="1" fontId="3" fillId="3" borderId="1074" applyAlignment="1" pivotButton="0" quotePrefix="0" xfId="0">
      <alignment vertical="center" wrapText="1"/>
    </xf>
    <xf numFmtId="0" fontId="3" fillId="0" borderId="1216" applyAlignment="1" pivotButton="0" quotePrefix="0" xfId="0">
      <alignment horizontal="center" vertical="center" wrapText="1"/>
    </xf>
    <xf numFmtId="0" fontId="3" fillId="0" borderId="1161" applyAlignment="1" pivotButton="0" quotePrefix="0" xfId="0">
      <alignment wrapText="1"/>
    </xf>
    <xf numFmtId="0" fontId="3" fillId="44" borderId="1161" applyAlignment="1" applyProtection="1" pivotButton="0" quotePrefix="0" xfId="0">
      <alignment wrapText="1"/>
      <protection locked="0" hidden="0"/>
    </xf>
    <xf numFmtId="0" fontId="3" fillId="44" borderId="1147" applyProtection="1" pivotButton="0" quotePrefix="0" xfId="0">
      <protection locked="0" hidden="0"/>
    </xf>
    <xf numFmtId="0" fontId="3" fillId="44" borderId="554" applyAlignment="1" applyProtection="1" pivotButton="0" quotePrefix="0" xfId="0">
      <alignment wrapText="1"/>
      <protection locked="0" hidden="0"/>
    </xf>
    <xf numFmtId="0" fontId="3" fillId="44" borderId="1081" applyProtection="1" pivotButton="0" quotePrefix="0" xfId="0">
      <protection locked="0" hidden="0"/>
    </xf>
    <xf numFmtId="0" fontId="3" fillId="0" borderId="1081" applyAlignment="1" pivotButton="0" quotePrefix="0" xfId="0">
      <alignment vertical="center" wrapText="1"/>
    </xf>
    <xf numFmtId="0" fontId="3" fillId="44" borderId="849" applyAlignment="1" applyProtection="1" pivotButton="0" quotePrefix="0" xfId="0">
      <alignment wrapText="1"/>
      <protection locked="0" hidden="0"/>
    </xf>
    <xf numFmtId="0" fontId="3" fillId="44" borderId="1200" applyProtection="1" pivotButton="0" quotePrefix="0" xfId="0">
      <protection locked="0" hidden="0"/>
    </xf>
    <xf numFmtId="0" fontId="3" fillId="44" borderId="1318" applyProtection="1" pivotButton="0" quotePrefix="0" xfId="0">
      <protection locked="0" hidden="0"/>
    </xf>
    <xf numFmtId="0" fontId="3" fillId="44" borderId="966" applyProtection="1" pivotButton="0" quotePrefix="0" xfId="0">
      <protection locked="0" hidden="0"/>
    </xf>
    <xf numFmtId="0" fontId="3" fillId="44" borderId="372" applyProtection="1" pivotButton="0" quotePrefix="0" xfId="0">
      <protection locked="0" hidden="0"/>
    </xf>
    <xf numFmtId="0" fontId="3" fillId="44" borderId="1319" applyProtection="1" pivotButton="0" quotePrefix="0" xfId="0">
      <protection locked="0" hidden="0"/>
    </xf>
    <xf numFmtId="0" fontId="3" fillId="44" borderId="552" applyProtection="1" pivotButton="0" quotePrefix="0" xfId="0">
      <protection locked="0" hidden="0"/>
    </xf>
    <xf numFmtId="0" fontId="3" fillId="44" borderId="358" applyProtection="1" pivotButton="0" quotePrefix="0" xfId="0">
      <protection locked="0" hidden="0"/>
    </xf>
    <xf numFmtId="0" fontId="3" fillId="0" borderId="1135" applyAlignment="1" pivotButton="0" quotePrefix="0" xfId="0">
      <alignment wrapText="1"/>
    </xf>
    <xf numFmtId="0" fontId="3" fillId="44" borderId="371" applyProtection="1" pivotButton="0" quotePrefix="0" xfId="0">
      <protection locked="0" hidden="0"/>
    </xf>
    <xf numFmtId="0" fontId="3" fillId="0" borderId="1320" applyAlignment="1" pivotButton="0" quotePrefix="0" xfId="0">
      <alignment wrapText="1"/>
    </xf>
    <xf numFmtId="0" fontId="3" fillId="44" borderId="1077" applyProtection="1" pivotButton="0" quotePrefix="0" xfId="0">
      <protection locked="0" hidden="0"/>
    </xf>
    <xf numFmtId="1" fontId="3" fillId="0" borderId="1257" applyAlignment="1" pivotButton="0" quotePrefix="0" xfId="0">
      <alignment horizontal="right"/>
    </xf>
    <xf numFmtId="1" fontId="3" fillId="0" borderId="1235" applyAlignment="1" pivotButton="0" quotePrefix="0" xfId="0">
      <alignment horizontal="right"/>
    </xf>
    <xf numFmtId="1" fontId="3" fillId="0" borderId="1236" applyAlignment="1" pivotButton="0" quotePrefix="0" xfId="0">
      <alignment horizontal="right"/>
    </xf>
    <xf numFmtId="0" fontId="28" fillId="38" borderId="546" applyAlignment="1" pivotButton="0" quotePrefix="0" xfId="0">
      <alignment horizontal="center" vertical="center" wrapText="1"/>
    </xf>
    <xf numFmtId="0" fontId="15" fillId="0" borderId="1223" applyAlignment="1" applyProtection="1" pivotButton="0" quotePrefix="0" xfId="0">
      <alignment horizontal="center" vertical="center"/>
      <protection locked="1" hidden="1"/>
    </xf>
    <xf numFmtId="0" fontId="15" fillId="0" borderId="1223" applyAlignment="1" applyProtection="1" pivotButton="0" quotePrefix="0" xfId="0">
      <alignment horizontal="center" vertical="center" wrapText="1"/>
      <protection locked="1" hidden="1"/>
    </xf>
    <xf numFmtId="0" fontId="29" fillId="0" borderId="1223" applyProtection="1" pivotButton="0" quotePrefix="0" xfId="0">
      <protection locked="1" hidden="1"/>
    </xf>
    <xf numFmtId="0" fontId="29" fillId="0" borderId="1223" applyAlignment="1" applyProtection="1" pivotButton="0" quotePrefix="0" xfId="0">
      <alignment horizontal="center"/>
      <protection locked="1" hidden="1"/>
    </xf>
    <xf numFmtId="1" fontId="29" fillId="0" borderId="1223" applyAlignment="1" applyProtection="1" pivotButton="0" quotePrefix="0" xfId="0">
      <alignment horizontal="center"/>
      <protection locked="1" hidden="1"/>
    </xf>
    <xf numFmtId="0" fontId="32" fillId="0" borderId="1223" applyAlignment="1" applyProtection="1" pivotButton="0" quotePrefix="0" xfId="0">
      <alignment horizontal="center"/>
      <protection locked="1" hidden="1"/>
    </xf>
    <xf numFmtId="3" fontId="29" fillId="0" borderId="1223" applyAlignment="1" applyProtection="1" pivotButton="0" quotePrefix="0" xfId="0">
      <alignment horizontal="center"/>
      <protection locked="1" hidden="1"/>
    </xf>
    <xf numFmtId="1" fontId="29" fillId="5" borderId="1223" applyAlignment="1" applyProtection="1" pivotButton="0" quotePrefix="0" xfId="0">
      <alignment horizontal="center"/>
      <protection locked="1" hidden="1"/>
    </xf>
    <xf numFmtId="3" fontId="29" fillId="5" borderId="1223" applyAlignment="1" applyProtection="1" pivotButton="0" quotePrefix="0" xfId="0">
      <alignment horizontal="center"/>
      <protection locked="1" hidden="1"/>
    </xf>
    <xf numFmtId="0" fontId="15" fillId="0" borderId="849" applyAlignment="1" applyProtection="1" pivotButton="0" quotePrefix="0" xfId="0">
      <alignment horizontal="left" vertical="center"/>
      <protection locked="1" hidden="1"/>
    </xf>
    <xf numFmtId="0" fontId="15" fillId="0" borderId="849" applyAlignment="1" applyProtection="1" pivotButton="0" quotePrefix="0" xfId="0">
      <alignment horizontal="center" vertical="center"/>
      <protection locked="1" hidden="1"/>
    </xf>
    <xf numFmtId="0" fontId="28" fillId="38" borderId="1200" applyAlignment="1" pivotButton="0" quotePrefix="0" xfId="0">
      <alignment horizontal="center" vertical="center" wrapText="1"/>
    </xf>
    <xf numFmtId="0" fontId="28" fillId="38" borderId="1223" applyAlignment="1" pivotButton="0" quotePrefix="0" xfId="0">
      <alignment horizontal="center" vertical="center" wrapText="1"/>
    </xf>
    <xf numFmtId="1" fontId="3" fillId="4" borderId="1135" applyProtection="1" pivotButton="0" quotePrefix="0" xfId="0">
      <protection locked="0" hidden="0"/>
    </xf>
    <xf numFmtId="1" fontId="3" fillId="4" borderId="0" applyAlignment="1" applyProtection="1" pivotButton="0" quotePrefix="0" xfId="0">
      <alignment horizontal="right"/>
      <protection locked="0" hidden="0"/>
    </xf>
    <xf numFmtId="1" fontId="3" fillId="0" borderId="1288" applyAlignment="1" pivotButton="0" quotePrefix="0" xfId="0">
      <alignment horizontal="center" vertical="center" wrapText="1"/>
    </xf>
    <xf numFmtId="1" fontId="3" fillId="0" borderId="1345" applyAlignment="1" pivotButton="0" quotePrefix="0" xfId="0">
      <alignment horizontal="center" vertical="center" wrapText="1"/>
    </xf>
    <xf numFmtId="1" fontId="3" fillId="0" borderId="1244" applyAlignment="1" pivotButton="0" quotePrefix="0" xfId="0">
      <alignment horizontal="right"/>
    </xf>
    <xf numFmtId="1" fontId="3" fillId="0" borderId="1232" applyAlignment="1" pivotButton="0" quotePrefix="0" xfId="0">
      <alignment horizontal="right"/>
    </xf>
    <xf numFmtId="1" fontId="3" fillId="4" borderId="377" applyAlignment="1" applyProtection="1" pivotButton="0" quotePrefix="0" xfId="0">
      <alignment horizontal="right" vertical="center"/>
      <protection locked="0" hidden="0"/>
    </xf>
    <xf numFmtId="1" fontId="3" fillId="4" borderId="1097" applyAlignment="1" applyProtection="1" pivotButton="0" quotePrefix="0" xfId="0">
      <alignment horizontal="right" vertical="center"/>
      <protection locked="0" hidden="0"/>
    </xf>
    <xf numFmtId="1" fontId="3" fillId="0" borderId="1246" applyAlignment="1" pivotButton="0" quotePrefix="0" xfId="0">
      <alignment horizontal="right"/>
    </xf>
    <xf numFmtId="1" fontId="3" fillId="4" borderId="1346" applyAlignment="1" applyProtection="1" pivotButton="0" quotePrefix="0" xfId="0">
      <alignment horizontal="right" vertical="center"/>
      <protection locked="0" hidden="0"/>
    </xf>
    <xf numFmtId="1" fontId="3" fillId="4" borderId="281" applyAlignment="1" applyProtection="1" pivotButton="0" quotePrefix="0" xfId="0">
      <alignment horizontal="right" vertical="center"/>
      <protection locked="0" hidden="0"/>
    </xf>
    <xf numFmtId="1" fontId="3" fillId="4" borderId="384" applyAlignment="1" applyProtection="1" pivotButton="0" quotePrefix="0" xfId="0">
      <alignment horizontal="right" vertical="center"/>
      <protection locked="0" hidden="0"/>
    </xf>
    <xf numFmtId="1" fontId="3" fillId="4" borderId="411" applyAlignment="1" applyProtection="1" pivotButton="0" quotePrefix="0" xfId="0">
      <alignment horizontal="right" vertical="center"/>
      <protection locked="0" hidden="0"/>
    </xf>
    <xf numFmtId="1" fontId="3" fillId="4" borderId="1102" applyAlignment="1" applyProtection="1" pivotButton="0" quotePrefix="0" xfId="0">
      <alignment horizontal="right" vertical="center"/>
      <protection locked="0" hidden="0"/>
    </xf>
    <xf numFmtId="1" fontId="3" fillId="4" borderId="551" applyAlignment="1" applyProtection="1" pivotButton="0" quotePrefix="0" xfId="0">
      <alignment horizontal="right" vertical="center"/>
      <protection locked="0" hidden="0"/>
    </xf>
    <xf numFmtId="1" fontId="3" fillId="0" borderId="1246" applyAlignment="1" pivotButton="0" quotePrefix="0" xfId="0">
      <alignment horizontal="right" vertical="center"/>
    </xf>
    <xf numFmtId="1" fontId="3" fillId="4" borderId="1192" applyAlignment="1" applyProtection="1" pivotButton="0" quotePrefix="0" xfId="0">
      <alignment horizontal="right" vertical="center"/>
      <protection locked="0" hidden="0"/>
    </xf>
    <xf numFmtId="1" fontId="3" fillId="4" borderId="1087" applyAlignment="1" applyProtection="1" pivotButton="0" quotePrefix="0" xfId="0">
      <alignment horizontal="right" vertical="center"/>
      <protection locked="0" hidden="0"/>
    </xf>
    <xf numFmtId="1" fontId="3" fillId="4" borderId="1347" applyAlignment="1" applyProtection="1" pivotButton="0" quotePrefix="0" xfId="0">
      <alignment horizontal="right" vertical="center"/>
      <protection locked="0" hidden="0"/>
    </xf>
    <xf numFmtId="1" fontId="3" fillId="0" borderId="1288" applyAlignment="1" pivotButton="0" quotePrefix="0" xfId="0">
      <alignment horizontal="right"/>
    </xf>
    <xf numFmtId="1" fontId="3" fillId="4" borderId="0" applyAlignment="1" applyProtection="1" pivotButton="0" quotePrefix="0" xfId="0">
      <alignment horizontal="right" vertical="center"/>
      <protection locked="0" hidden="0"/>
    </xf>
    <xf numFmtId="1" fontId="3" fillId="0" borderId="1347" applyAlignment="1" pivotButton="0" quotePrefix="0" xfId="0">
      <alignment horizontal="right" vertical="center"/>
    </xf>
    <xf numFmtId="1" fontId="3" fillId="4" borderId="554" applyAlignment="1" applyProtection="1" pivotButton="0" quotePrefix="0" xfId="0">
      <alignment horizontal="right" vertical="center"/>
      <protection locked="0" hidden="0"/>
    </xf>
    <xf numFmtId="1" fontId="3" fillId="0" borderId="1232" applyAlignment="1" pivotButton="0" quotePrefix="0" xfId="0">
      <alignment horizontal="right" vertical="center"/>
    </xf>
    <xf numFmtId="1" fontId="3" fillId="4" borderId="1347" applyProtection="1" pivotButton="0" quotePrefix="0" xfId="0">
      <protection locked="0" hidden="0"/>
    </xf>
    <xf numFmtId="1" fontId="3" fillId="4" borderId="401" applyAlignment="1" applyProtection="1" pivotButton="0" quotePrefix="0" xfId="0">
      <alignment horizontal="right" vertical="center"/>
      <protection locked="0" hidden="0"/>
    </xf>
    <xf numFmtId="1" fontId="3" fillId="4" borderId="5" applyAlignment="1" applyProtection="1" pivotButton="0" quotePrefix="0" xfId="0">
      <alignment horizontal="right" vertical="center"/>
      <protection locked="0" hidden="0"/>
    </xf>
    <xf numFmtId="1" fontId="3" fillId="0" borderId="1290" applyAlignment="1" pivotButton="0" quotePrefix="0" xfId="0">
      <alignment horizontal="right"/>
    </xf>
    <xf numFmtId="1" fontId="3" fillId="4" borderId="1348" applyProtection="1" pivotButton="0" quotePrefix="0" xfId="0">
      <protection locked="0" hidden="0"/>
    </xf>
    <xf numFmtId="1" fontId="3" fillId="4" borderId="1328" applyProtection="1" pivotButton="0" quotePrefix="0" xfId="0">
      <protection locked="0" hidden="0"/>
    </xf>
    <xf numFmtId="1" fontId="3" fillId="4" borderId="1289" applyProtection="1" pivotButton="0" quotePrefix="0" xfId="0">
      <protection locked="0" hidden="0"/>
    </xf>
    <xf numFmtId="1" fontId="3" fillId="4" borderId="262" applyProtection="1" pivotButton="0" quotePrefix="0" xfId="0">
      <protection locked="0" hidden="0"/>
    </xf>
    <xf numFmtId="1" fontId="3" fillId="4" borderId="1349" applyProtection="1" pivotButton="0" quotePrefix="0" xfId="0">
      <protection locked="0" hidden="0"/>
    </xf>
    <xf numFmtId="1" fontId="3" fillId="4" borderId="1108" applyAlignment="1" applyProtection="1" pivotButton="0" quotePrefix="0" xfId="0">
      <alignment vertical="center"/>
      <protection locked="0" hidden="0"/>
    </xf>
    <xf numFmtId="1" fontId="3" fillId="4" borderId="1109" applyAlignment="1" applyProtection="1" pivotButton="0" quotePrefix="0" xfId="0">
      <alignment vertical="center"/>
      <protection locked="0" hidden="0"/>
    </xf>
    <xf numFmtId="1" fontId="3" fillId="4" borderId="1110" applyAlignment="1" applyProtection="1" pivotButton="0" quotePrefix="0" xfId="0">
      <alignment vertical="center"/>
      <protection locked="0" hidden="0"/>
    </xf>
    <xf numFmtId="1" fontId="0" fillId="6" borderId="0" pivotButton="0" quotePrefix="0" xfId="0"/>
    <xf numFmtId="1" fontId="3" fillId="4" borderId="1255" applyProtection="1" pivotButton="0" quotePrefix="0" xfId="0">
      <protection locked="0" hidden="0"/>
    </xf>
    <xf numFmtId="1" fontId="3" fillId="4" borderId="1350" applyProtection="1" pivotButton="0" quotePrefix="0" xfId="0">
      <protection locked="0" hidden="0"/>
    </xf>
    <xf numFmtId="1" fontId="3" fillId="4" borderId="1351" applyProtection="1" pivotButton="0" quotePrefix="0" xfId="0">
      <protection locked="0" hidden="0"/>
    </xf>
    <xf numFmtId="1" fontId="3" fillId="4" borderId="1345" applyProtection="1" pivotButton="0" quotePrefix="0" xfId="0">
      <protection locked="0" hidden="0"/>
    </xf>
    <xf numFmtId="1" fontId="3" fillId="4" borderId="1352" applyProtection="1" pivotButton="0" quotePrefix="0" xfId="0">
      <protection locked="0" hidden="0"/>
    </xf>
    <xf numFmtId="1" fontId="3" fillId="4" borderId="1353" applyProtection="1" pivotButton="0" quotePrefix="0" xfId="0">
      <protection locked="0" hidden="0"/>
    </xf>
    <xf numFmtId="1" fontId="3" fillId="4" borderId="1326" applyProtection="1" pivotButton="0" quotePrefix="0" xfId="0">
      <protection locked="0" hidden="0"/>
    </xf>
    <xf numFmtId="1" fontId="3" fillId="63" borderId="885" applyAlignment="1" pivotButton="0" quotePrefix="0" xfId="0">
      <alignment horizontal="right" vertical="center" wrapText="1"/>
    </xf>
    <xf numFmtId="1" fontId="3" fillId="63" borderId="404" applyAlignment="1" pivotButton="0" quotePrefix="0" xfId="0">
      <alignment horizontal="right" vertical="center" wrapText="1"/>
    </xf>
    <xf numFmtId="1" fontId="3" fillId="63" borderId="387" applyAlignment="1" pivotButton="0" quotePrefix="0" xfId="0">
      <alignment horizontal="right" vertical="center" wrapText="1"/>
    </xf>
    <xf numFmtId="1" fontId="3" fillId="63" borderId="894" applyAlignment="1" pivotButton="0" quotePrefix="0" xfId="0">
      <alignment horizontal="right" vertical="center" wrapText="1"/>
    </xf>
    <xf numFmtId="0" fontId="6" fillId="63" borderId="0" pivotButton="0" quotePrefix="0" xfId="0"/>
    <xf numFmtId="1" fontId="3" fillId="6" borderId="1354" pivotButton="0" quotePrefix="0" xfId="0"/>
    <xf numFmtId="1" fontId="3" fillId="4" borderId="1354" applyProtection="1" pivotButton="0" quotePrefix="0" xfId="0">
      <protection locked="0" hidden="0"/>
    </xf>
    <xf numFmtId="1" fontId="3" fillId="6" borderId="1355" pivotButton="0" quotePrefix="0" xfId="0"/>
    <xf numFmtId="1" fontId="3" fillId="7" borderId="1356" pivotButton="0" quotePrefix="0" xfId="0"/>
    <xf numFmtId="1" fontId="3" fillId="7" borderId="1357" pivotButton="0" quotePrefix="0" xfId="0"/>
    <xf numFmtId="1" fontId="3" fillId="4" borderId="1357" applyProtection="1" pivotButton="0" quotePrefix="0" xfId="0">
      <protection locked="0" hidden="0"/>
    </xf>
    <xf numFmtId="1" fontId="3" fillId="4" borderId="1356" applyProtection="1" pivotButton="0" quotePrefix="0" xfId="0">
      <protection locked="0" hidden="0"/>
    </xf>
    <xf numFmtId="1" fontId="3" fillId="4" borderId="1121" applyProtection="1" pivotButton="0" quotePrefix="0" xfId="0">
      <protection locked="0" hidden="0"/>
    </xf>
    <xf numFmtId="1" fontId="3" fillId="4" borderId="804" applyProtection="1" pivotButton="0" quotePrefix="0" xfId="0">
      <protection locked="0" hidden="0"/>
    </xf>
    <xf numFmtId="1" fontId="3" fillId="4" borderId="1128" applyProtection="1" pivotButton="0" quotePrefix="0" xfId="0">
      <protection locked="0" hidden="0"/>
    </xf>
    <xf numFmtId="1" fontId="3" fillId="7" borderId="1358" pivotButton="0" quotePrefix="0" xfId="0"/>
    <xf numFmtId="1" fontId="3" fillId="7" borderId="1129" pivotButton="0" quotePrefix="0" xfId="0"/>
    <xf numFmtId="1" fontId="3" fillId="7" borderId="403" pivotButton="0" quotePrefix="0" xfId="0"/>
    <xf numFmtId="1" fontId="3" fillId="7" borderId="384" pivotButton="0" quotePrefix="0" xfId="0"/>
    <xf numFmtId="1" fontId="3" fillId="6" borderId="1358" pivotButton="0" quotePrefix="0" xfId="0"/>
    <xf numFmtId="1" fontId="3" fillId="6" borderId="1129" pivotButton="0" quotePrefix="0" xfId="0"/>
    <xf numFmtId="1" fontId="3" fillId="4" borderId="1359" applyProtection="1" pivotButton="0" quotePrefix="0" xfId="0">
      <protection locked="0" hidden="0"/>
    </xf>
    <xf numFmtId="1" fontId="3" fillId="0" borderId="1349" pivotButton="0" quotePrefix="0" xfId="0"/>
    <xf numFmtId="1" fontId="3" fillId="8" borderId="554" applyProtection="1" pivotButton="0" quotePrefix="0" xfId="0">
      <protection locked="0" hidden="0"/>
    </xf>
    <xf numFmtId="1" fontId="3" fillId="8" borderId="384" applyProtection="1" pivotButton="0" quotePrefix="0" xfId="0">
      <protection locked="0" hidden="0"/>
    </xf>
    <xf numFmtId="1" fontId="3" fillId="6" borderId="1087" applyAlignment="1" pivotButton="0" quotePrefix="0" xfId="0">
      <alignment wrapText="1"/>
    </xf>
    <xf numFmtId="1" fontId="3" fillId="4" borderId="1192" applyAlignment="1" applyProtection="1" pivotButton="0" quotePrefix="0" xfId="0">
      <alignment wrapText="1"/>
      <protection locked="0" hidden="0"/>
    </xf>
    <xf numFmtId="1" fontId="3" fillId="4" borderId="5" applyAlignment="1" applyProtection="1" pivotButton="0" quotePrefix="0" xfId="0">
      <alignment wrapText="1"/>
      <protection locked="0" hidden="0"/>
    </xf>
    <xf numFmtId="1" fontId="3" fillId="4" borderId="1087" applyAlignment="1" applyProtection="1" pivotButton="0" quotePrefix="0" xfId="0">
      <alignment wrapText="1"/>
      <protection locked="0" hidden="0"/>
    </xf>
    <xf numFmtId="1" fontId="3" fillId="4" borderId="4" applyAlignment="1" applyProtection="1" pivotButton="0" quotePrefix="0" xfId="0">
      <alignment wrapText="1"/>
      <protection locked="0" hidden="0"/>
    </xf>
    <xf numFmtId="1" fontId="3" fillId="4" borderId="401" applyAlignment="1" applyProtection="1" pivotButton="0" quotePrefix="0" xfId="0">
      <alignment wrapText="1"/>
      <protection locked="0" hidden="0"/>
    </xf>
    <xf numFmtId="1" fontId="3" fillId="6" borderId="1348" applyAlignment="1" pivotButton="0" quotePrefix="0" xfId="0">
      <alignment wrapText="1"/>
    </xf>
    <xf numFmtId="1" fontId="3" fillId="6" borderId="378" applyAlignment="1" pivotButton="0" quotePrefix="0" xfId="0">
      <alignment wrapText="1"/>
    </xf>
    <xf numFmtId="1" fontId="3" fillId="6" borderId="1081" applyAlignment="1" pivotButton="0" quotePrefix="0" xfId="0">
      <alignment wrapText="1"/>
    </xf>
    <xf numFmtId="1" fontId="3" fillId="6" borderId="406" applyAlignment="1" pivotButton="0" quotePrefix="0" xfId="0">
      <alignment wrapText="1"/>
    </xf>
    <xf numFmtId="1" fontId="3" fillId="4" borderId="1359" applyAlignment="1" applyProtection="1" pivotButton="0" quotePrefix="0" xfId="0">
      <alignment wrapText="1"/>
      <protection locked="0" hidden="0"/>
    </xf>
    <xf numFmtId="1" fontId="3" fillId="4" borderId="1252" applyAlignment="1" applyProtection="1" pivotButton="0" quotePrefix="0" xfId="0">
      <alignment wrapText="1"/>
      <protection locked="0" hidden="0"/>
    </xf>
    <xf numFmtId="1" fontId="3" fillId="4" borderId="1349" applyAlignment="1" applyProtection="1" pivotButton="0" quotePrefix="0" xfId="0">
      <alignment wrapText="1"/>
      <protection locked="0" hidden="0"/>
    </xf>
    <xf numFmtId="1" fontId="3" fillId="4" borderId="554" applyAlignment="1" applyProtection="1" pivotButton="0" quotePrefix="0" xfId="0">
      <alignment wrapText="1"/>
      <protection locked="0" hidden="0"/>
    </xf>
    <xf numFmtId="1" fontId="3" fillId="4" borderId="403" applyAlignment="1" applyProtection="1" pivotButton="0" quotePrefix="0" xfId="0">
      <alignment wrapText="1"/>
      <protection locked="0" hidden="0"/>
    </xf>
    <xf numFmtId="1" fontId="3" fillId="4" borderId="849" applyAlignment="1" applyProtection="1" pivotButton="0" quotePrefix="0" xfId="0">
      <alignment wrapText="1"/>
      <protection locked="0" hidden="0"/>
    </xf>
    <xf numFmtId="1" fontId="3" fillId="4" borderId="1360" applyAlignment="1" applyProtection="1" pivotButton="0" quotePrefix="0" xfId="0">
      <alignment wrapText="1"/>
      <protection locked="0" hidden="0"/>
    </xf>
    <xf numFmtId="1" fontId="3" fillId="4" borderId="281" applyAlignment="1" applyProtection="1" pivotButton="0" quotePrefix="0" xfId="0">
      <alignment wrapText="1"/>
      <protection locked="0" hidden="0"/>
    </xf>
    <xf numFmtId="1" fontId="3" fillId="4" borderId="1361" applyAlignment="1" applyProtection="1" pivotButton="0" quotePrefix="0" xfId="0">
      <alignment wrapText="1"/>
      <protection locked="0" hidden="0"/>
    </xf>
    <xf numFmtId="1" fontId="3" fillId="0" borderId="1354" applyAlignment="1" applyProtection="1" pivotButton="0" quotePrefix="0" xfId="0">
      <alignment horizontal="center" vertical="center" wrapText="1"/>
      <protection locked="1" hidden="1"/>
    </xf>
    <xf numFmtId="1" fontId="3" fillId="0" borderId="1355" applyAlignment="1" applyProtection="1" pivotButton="0" quotePrefix="0" xfId="0">
      <alignment horizontal="center" vertical="center" wrapText="1"/>
      <protection locked="1" hidden="1"/>
    </xf>
    <xf numFmtId="1" fontId="3" fillId="4" borderId="7" applyProtection="1" pivotButton="0" quotePrefix="0" xfId="0">
      <protection locked="0" hidden="0"/>
    </xf>
    <xf numFmtId="1" fontId="3" fillId="4" borderId="1358" applyProtection="1" pivotButton="0" quotePrefix="0" xfId="0">
      <protection locked="0" hidden="0"/>
    </xf>
    <xf numFmtId="1" fontId="3" fillId="4" borderId="1129" applyProtection="1" pivotButton="0" quotePrefix="0" xfId="0">
      <protection locked="0" hidden="0"/>
    </xf>
    <xf numFmtId="1" fontId="3" fillId="6" borderId="1121" applyProtection="1" pivotButton="0" quotePrefix="0" xfId="0">
      <protection locked="0" hidden="0"/>
    </xf>
    <xf numFmtId="1" fontId="3" fillId="6" borderId="804" applyProtection="1" pivotButton="0" quotePrefix="0" xfId="0">
      <protection locked="0" hidden="0"/>
    </xf>
    <xf numFmtId="1" fontId="3" fillId="6" borderId="1128" applyProtection="1" pivotButton="0" quotePrefix="0" xfId="0">
      <protection locked="0" hidden="0"/>
    </xf>
    <xf numFmtId="1" fontId="3" fillId="0" borderId="1364" pivotButton="0" quotePrefix="0" xfId="0"/>
    <xf numFmtId="1" fontId="3" fillId="6" borderId="1128" pivotButton="0" quotePrefix="0" xfId="0"/>
    <xf numFmtId="1" fontId="3" fillId="0" borderId="1365" pivotButton="0" quotePrefix="0" xfId="0"/>
    <xf numFmtId="1" fontId="3" fillId="5" borderId="793" pivotButton="0" quotePrefix="0" xfId="0"/>
    <xf numFmtId="1" fontId="3" fillId="4" borderId="793" applyProtection="1" pivotButton="0" quotePrefix="0" xfId="0">
      <protection locked="0" hidden="0"/>
    </xf>
    <xf numFmtId="1" fontId="3" fillId="0" borderId="1357" pivotButton="0" quotePrefix="0" xfId="0"/>
    <xf numFmtId="1" fontId="3" fillId="6" borderId="1349" applyProtection="1" pivotButton="0" quotePrefix="0" xfId="0">
      <protection locked="0" hidden="0"/>
    </xf>
    <xf numFmtId="1" fontId="3" fillId="6" borderId="554" applyProtection="1" pivotButton="0" quotePrefix="0" xfId="0">
      <protection locked="0" hidden="0"/>
    </xf>
    <xf numFmtId="1" fontId="3" fillId="6" borderId="1085" applyProtection="1" pivotButton="0" quotePrefix="0" xfId="0">
      <protection locked="0" hidden="0"/>
    </xf>
    <xf numFmtId="1" fontId="3" fillId="0" borderId="1354" pivotButton="0" quotePrefix="0" xfId="0"/>
    <xf numFmtId="1" fontId="3" fillId="6" borderId="281" pivotButton="0" quotePrefix="0" xfId="0"/>
    <xf numFmtId="1" fontId="3" fillId="6" borderId="1349" pivotButton="0" quotePrefix="0" xfId="0"/>
    <xf numFmtId="1" fontId="3" fillId="6" borderId="1085" pivotButton="0" quotePrefix="0" xfId="0"/>
    <xf numFmtId="1" fontId="3" fillId="0" borderId="1366" pivotButton="0" quotePrefix="0" xfId="0"/>
    <xf numFmtId="1" fontId="3" fillId="6" borderId="1192" applyProtection="1" pivotButton="0" quotePrefix="0" xfId="0">
      <protection locked="0" hidden="0"/>
    </xf>
    <xf numFmtId="1" fontId="3" fillId="6" borderId="5" applyProtection="1" pivotButton="0" quotePrefix="0" xfId="0">
      <protection locked="0" hidden="0"/>
    </xf>
    <xf numFmtId="1" fontId="3" fillId="6" borderId="1087" applyProtection="1" pivotButton="0" quotePrefix="0" xfId="0">
      <protection locked="0" hidden="0"/>
    </xf>
    <xf numFmtId="1" fontId="3" fillId="0" borderId="1345" pivotButton="0" quotePrefix="0" xfId="0"/>
    <xf numFmtId="1" fontId="3" fillId="6" borderId="4" pivotButton="0" quotePrefix="0" xfId="0"/>
    <xf numFmtId="1" fontId="3" fillId="6" borderId="1192" pivotButton="0" quotePrefix="0" xfId="0"/>
    <xf numFmtId="1" fontId="3" fillId="0" borderId="1367" pivotButton="0" quotePrefix="0" xfId="0"/>
    <xf numFmtId="1" fontId="3" fillId="6" borderId="401" pivotButton="0" quotePrefix="0" xfId="0"/>
    <xf numFmtId="1" fontId="3" fillId="5" borderId="1347" pivotButton="0" quotePrefix="0" xfId="0"/>
    <xf numFmtId="1" fontId="3" fillId="7" borderId="1085" pivotButton="0" quotePrefix="0" xfId="0"/>
    <xf numFmtId="1" fontId="3" fillId="6" borderId="1359" pivotButton="0" quotePrefix="0" xfId="0"/>
    <xf numFmtId="1" fontId="3" fillId="6" borderId="1347" pivotButton="0" quotePrefix="0" xfId="0"/>
    <xf numFmtId="1" fontId="3" fillId="7" borderId="1192" pivotButton="0" quotePrefix="0" xfId="0"/>
    <xf numFmtId="1" fontId="3" fillId="6" borderId="281" applyProtection="1" pivotButton="0" quotePrefix="0" xfId="0">
      <protection locked="0" hidden="0"/>
    </xf>
    <xf numFmtId="1" fontId="3" fillId="4" borderId="1369" applyProtection="1" pivotButton="0" quotePrefix="0" xfId="0">
      <protection locked="0" hidden="0"/>
    </xf>
    <xf numFmtId="1" fontId="3" fillId="4" borderId="1370" applyProtection="1" pivotButton="0" quotePrefix="0" xfId="0">
      <protection locked="0" hidden="0"/>
    </xf>
    <xf numFmtId="1" fontId="3" fillId="4" borderId="804" applyAlignment="1" applyProtection="1" pivotButton="0" quotePrefix="0" xfId="0">
      <alignment horizontal="right"/>
      <protection locked="0" hidden="0"/>
    </xf>
    <xf numFmtId="1" fontId="3" fillId="4" borderId="1121" applyAlignment="1" applyProtection="1" pivotButton="0" quotePrefix="0" xfId="0">
      <alignment horizontal="right"/>
      <protection locked="0" hidden="0"/>
    </xf>
    <xf numFmtId="1" fontId="3" fillId="4" borderId="793" applyAlignment="1" applyProtection="1" pivotButton="0" quotePrefix="0" xfId="0">
      <alignment horizontal="right"/>
      <protection locked="0" hidden="0"/>
    </xf>
    <xf numFmtId="1" fontId="3" fillId="4" borderId="1349" applyAlignment="1" applyProtection="1" pivotButton="0" quotePrefix="0" xfId="0">
      <alignment horizontal="right"/>
      <protection locked="0" hidden="0"/>
    </xf>
    <xf numFmtId="1" fontId="5" fillId="4" borderId="1364" applyAlignment="1" applyProtection="1" pivotButton="0" quotePrefix="0" xfId="0">
      <alignment horizontal="right"/>
      <protection locked="0" hidden="0"/>
    </xf>
    <xf numFmtId="1" fontId="5" fillId="4" borderId="804" applyAlignment="1" applyProtection="1" pivotButton="0" quotePrefix="0" xfId="0">
      <alignment horizontal="right"/>
      <protection locked="0" hidden="0"/>
    </xf>
    <xf numFmtId="1" fontId="5" fillId="4" borderId="1128" applyAlignment="1" applyProtection="1" pivotButton="0" quotePrefix="0" xfId="0">
      <alignment horizontal="right"/>
      <protection locked="0" hidden="0"/>
    </xf>
    <xf numFmtId="1" fontId="5" fillId="4" borderId="1129" applyAlignment="1" applyProtection="1" pivotButton="0" quotePrefix="0" xfId="0">
      <alignment horizontal="right"/>
      <protection locked="0" hidden="0"/>
    </xf>
    <xf numFmtId="1" fontId="5" fillId="4" borderId="1121" applyAlignment="1" applyProtection="1" pivotButton="0" quotePrefix="0" xfId="0">
      <alignment horizontal="right"/>
      <protection locked="0" hidden="0"/>
    </xf>
    <xf numFmtId="1" fontId="5" fillId="4" borderId="1358" applyAlignment="1" applyProtection="1" pivotButton="0" quotePrefix="0" xfId="0">
      <alignment horizontal="right"/>
      <protection locked="0" hidden="0"/>
    </xf>
    <xf numFmtId="1" fontId="5" fillId="4" borderId="1354" applyAlignment="1" applyProtection="1" pivotButton="0" quotePrefix="0" xfId="0">
      <alignment horizontal="right"/>
      <protection locked="0" hidden="0"/>
    </xf>
    <xf numFmtId="1" fontId="5" fillId="4" borderId="1085" applyAlignment="1" applyProtection="1" pivotButton="0" quotePrefix="0" xfId="0">
      <alignment horizontal="right"/>
      <protection locked="0" hidden="0"/>
    </xf>
    <xf numFmtId="1" fontId="5" fillId="4" borderId="1349" applyAlignment="1" applyProtection="1" pivotButton="0" quotePrefix="0" xfId="0">
      <alignment horizontal="right"/>
      <protection locked="0" hidden="0"/>
    </xf>
    <xf numFmtId="1" fontId="5" fillId="4" borderId="403" applyAlignment="1" applyProtection="1" pivotButton="0" quotePrefix="0" xfId="0">
      <alignment horizontal="right"/>
      <protection locked="0" hidden="0"/>
    </xf>
    <xf numFmtId="1" fontId="5" fillId="4" borderId="793" applyAlignment="1" applyProtection="1" pivotButton="0" quotePrefix="0" xfId="0">
      <alignment horizontal="right"/>
      <protection locked="0" hidden="0"/>
    </xf>
    <xf numFmtId="1" fontId="5" fillId="4" borderId="849" applyAlignment="1" applyProtection="1" pivotButton="0" quotePrefix="0" xfId="0">
      <alignment horizontal="right"/>
      <protection locked="0" hidden="0"/>
    </xf>
    <xf numFmtId="1" fontId="5" fillId="4" borderId="1192" applyAlignment="1" applyProtection="1" pivotButton="0" quotePrefix="0" xfId="0">
      <alignment horizontal="right"/>
      <protection locked="0" hidden="0"/>
    </xf>
    <xf numFmtId="1" fontId="5" fillId="4" borderId="1087" applyAlignment="1" applyProtection="1" pivotButton="0" quotePrefix="0" xfId="0">
      <alignment horizontal="right"/>
      <protection locked="0" hidden="0"/>
    </xf>
    <xf numFmtId="1" fontId="5" fillId="4" borderId="1347" applyAlignment="1" applyProtection="1" pivotButton="0" quotePrefix="0" xfId="0">
      <alignment horizontal="right"/>
      <protection locked="0" hidden="0"/>
    </xf>
    <xf numFmtId="1" fontId="5" fillId="6" borderId="804" applyAlignment="1" pivotButton="0" quotePrefix="0" xfId="0">
      <alignment horizontal="right"/>
    </xf>
    <xf numFmtId="1" fontId="5" fillId="6" borderId="1128" applyAlignment="1" pivotButton="0" quotePrefix="0" xfId="0">
      <alignment horizontal="right"/>
    </xf>
    <xf numFmtId="1" fontId="5" fillId="4" borderId="7" applyAlignment="1" applyProtection="1" pivotButton="0" quotePrefix="0" xfId="0">
      <alignment horizontal="right"/>
      <protection locked="0" hidden="0"/>
    </xf>
    <xf numFmtId="1" fontId="5" fillId="4" borderId="1372" applyAlignment="1" applyProtection="1" pivotButton="0" quotePrefix="0" xfId="0">
      <alignment horizontal="right"/>
      <protection locked="0" hidden="0"/>
    </xf>
    <xf numFmtId="1" fontId="5" fillId="6" borderId="554" applyAlignment="1" pivotButton="0" quotePrefix="0" xfId="0">
      <alignment horizontal="right"/>
    </xf>
    <xf numFmtId="1" fontId="5" fillId="6" borderId="1085" applyAlignment="1" pivotButton="0" quotePrefix="0" xfId="0">
      <alignment horizontal="right"/>
    </xf>
    <xf numFmtId="1" fontId="5" fillId="8" borderId="1192" applyAlignment="1" applyProtection="1" pivotButton="0" quotePrefix="0" xfId="0">
      <alignment horizontal="right"/>
      <protection locked="0" hidden="0"/>
    </xf>
    <xf numFmtId="1" fontId="5" fillId="8" borderId="1087" applyAlignment="1" applyProtection="1" pivotButton="0" quotePrefix="0" xfId="0">
      <alignment horizontal="right"/>
      <protection locked="0" hidden="0"/>
    </xf>
    <xf numFmtId="1" fontId="5" fillId="5" borderId="1345" applyAlignment="1" pivotButton="0" quotePrefix="0" xfId="0">
      <alignment vertical="center"/>
    </xf>
    <xf numFmtId="1" fontId="5" fillId="6" borderId="1345" applyAlignment="1" pivotButton="0" quotePrefix="0" xfId="0">
      <alignment vertical="center"/>
    </xf>
    <xf numFmtId="1" fontId="5" fillId="8" borderId="1349" applyAlignment="1" applyProtection="1" pivotButton="0" quotePrefix="0" xfId="0">
      <alignment horizontal="right"/>
      <protection locked="0" hidden="0"/>
    </xf>
    <xf numFmtId="1" fontId="5" fillId="8" borderId="1085" applyAlignment="1" applyProtection="1" pivotButton="0" quotePrefix="0" xfId="0">
      <alignment horizontal="right"/>
      <protection locked="0" hidden="0"/>
    </xf>
    <xf numFmtId="1" fontId="5" fillId="8" borderId="384" applyAlignment="1" applyProtection="1" pivotButton="0" quotePrefix="0" xfId="0">
      <alignment horizontal="right"/>
      <protection locked="0" hidden="0"/>
    </xf>
    <xf numFmtId="1" fontId="5" fillId="8" borderId="403" applyAlignment="1" applyProtection="1" pivotButton="0" quotePrefix="0" xfId="0">
      <alignment horizontal="right"/>
      <protection locked="0" hidden="0"/>
    </xf>
    <xf numFmtId="1" fontId="5" fillId="5" borderId="1354" applyAlignment="1" pivotButton="0" quotePrefix="0" xfId="0">
      <alignment vertical="center"/>
    </xf>
    <xf numFmtId="1" fontId="5" fillId="6" borderId="281" applyAlignment="1" pivotButton="0" quotePrefix="0" xfId="0">
      <alignment horizontal="right"/>
    </xf>
    <xf numFmtId="1" fontId="5" fillId="6" borderId="1354" applyAlignment="1" pivotButton="0" quotePrefix="0" xfId="0">
      <alignment vertical="center"/>
    </xf>
    <xf numFmtId="1" fontId="5" fillId="4" borderId="1002" applyAlignment="1" applyProtection="1" pivotButton="0" quotePrefix="0" xfId="15">
      <alignment horizontal="right"/>
      <protection locked="0" hidden="0"/>
    </xf>
    <xf numFmtId="1" fontId="5" fillId="0" borderId="1355" pivotButton="0" quotePrefix="0" xfId="15"/>
    <xf numFmtId="1" fontId="5" fillId="4" borderId="1349" applyAlignment="1" applyProtection="1" pivotButton="0" quotePrefix="0" xfId="15">
      <alignment horizontal="right"/>
      <protection locked="0" hidden="0"/>
    </xf>
    <xf numFmtId="1" fontId="5" fillId="4" borderId="384" applyAlignment="1" applyProtection="1" pivotButton="0" quotePrefix="0" xfId="15">
      <alignment horizontal="right"/>
      <protection locked="0" hidden="0"/>
    </xf>
    <xf numFmtId="1" fontId="5" fillId="0" borderId="1354" pivotButton="0" quotePrefix="0" xfId="15"/>
    <xf numFmtId="1" fontId="5" fillId="8" borderId="1121" applyAlignment="1" applyProtection="1" pivotButton="0" quotePrefix="0" xfId="0">
      <alignment horizontal="right"/>
      <protection locked="0" hidden="0"/>
    </xf>
    <xf numFmtId="1" fontId="5" fillId="8" borderId="1128" applyAlignment="1" applyProtection="1" pivotButton="0" quotePrefix="0" xfId="0">
      <alignment horizontal="right"/>
      <protection locked="0" hidden="0"/>
    </xf>
    <xf numFmtId="1" fontId="5" fillId="8" borderId="793" applyAlignment="1" applyProtection="1" pivotButton="0" quotePrefix="0" xfId="0">
      <alignment horizontal="right"/>
      <protection locked="0" hidden="0"/>
    </xf>
    <xf numFmtId="0" fontId="5" fillId="0" borderId="1364" applyAlignment="1" pivotButton="0" quotePrefix="0" xfId="0">
      <alignment horizontal="right" wrapText="1"/>
    </xf>
    <xf numFmtId="0" fontId="5" fillId="8" borderId="1121" applyAlignment="1" applyProtection="1" pivotButton="0" quotePrefix="0" xfId="0">
      <alignment horizontal="right"/>
      <protection locked="0" hidden="0"/>
    </xf>
    <xf numFmtId="0" fontId="5" fillId="8" borderId="7" applyAlignment="1" applyProtection="1" pivotButton="0" quotePrefix="0" xfId="0">
      <alignment horizontal="right"/>
      <protection locked="0" hidden="0"/>
    </xf>
    <xf numFmtId="0" fontId="5" fillId="8" borderId="1128" applyAlignment="1" applyProtection="1" pivotButton="0" quotePrefix="0" xfId="0">
      <alignment horizontal="right"/>
      <protection locked="0" hidden="0"/>
    </xf>
    <xf numFmtId="0" fontId="5" fillId="8" borderId="793" applyAlignment="1" applyProtection="1" pivotButton="0" quotePrefix="0" xfId="0">
      <alignment horizontal="right"/>
      <protection locked="0" hidden="0"/>
    </xf>
    <xf numFmtId="1" fontId="5" fillId="8" borderId="849" applyAlignment="1" applyProtection="1" pivotButton="0" quotePrefix="0" xfId="0">
      <alignment horizontal="right"/>
      <protection locked="0" hidden="0"/>
    </xf>
    <xf numFmtId="0" fontId="5" fillId="0" borderId="1354" applyAlignment="1" pivotButton="0" quotePrefix="0" xfId="0">
      <alignment horizontal="right" wrapText="1"/>
    </xf>
    <xf numFmtId="0" fontId="5" fillId="8" borderId="1349" applyAlignment="1" applyProtection="1" pivotButton="0" quotePrefix="0" xfId="0">
      <alignment horizontal="right"/>
      <protection locked="0" hidden="0"/>
    </xf>
    <xf numFmtId="0" fontId="5" fillId="8" borderId="281" applyAlignment="1" applyProtection="1" pivotButton="0" quotePrefix="0" xfId="0">
      <alignment horizontal="right"/>
      <protection locked="0" hidden="0"/>
    </xf>
    <xf numFmtId="0" fontId="5" fillId="8" borderId="1085" applyAlignment="1" applyProtection="1" pivotButton="0" quotePrefix="0" xfId="0">
      <alignment horizontal="right"/>
      <protection locked="0" hidden="0"/>
    </xf>
    <xf numFmtId="0" fontId="5" fillId="8" borderId="849" applyAlignment="1" applyProtection="1" pivotButton="0" quotePrefix="0" xfId="0">
      <alignment horizontal="right"/>
      <protection locked="0" hidden="0"/>
    </xf>
    <xf numFmtId="0" fontId="5" fillId="0" borderId="1365" applyAlignment="1" pivotButton="0" quotePrefix="0" xfId="0">
      <alignment horizontal="center" vertical="center" wrapText="1"/>
    </xf>
    <xf numFmtId="0" fontId="5" fillId="0" borderId="793" applyAlignment="1" pivotButton="0" quotePrefix="0" xfId="0">
      <alignment horizontal="right" vertical="center" wrapText="1"/>
    </xf>
    <xf numFmtId="0" fontId="5" fillId="0" borderId="1366" applyAlignment="1" pivotButton="0" quotePrefix="0" xfId="0">
      <alignment horizontal="center" vertical="center" wrapText="1"/>
    </xf>
    <xf numFmtId="0" fontId="5" fillId="0" borderId="849" applyAlignment="1" pivotButton="0" quotePrefix="0" xfId="0">
      <alignment horizontal="right" vertical="center" wrapText="1"/>
    </xf>
    <xf numFmtId="0" fontId="5" fillId="8" borderId="1374" applyProtection="1" pivotButton="0" quotePrefix="0" xfId="0">
      <protection locked="0" hidden="0"/>
    </xf>
    <xf numFmtId="0" fontId="5" fillId="8" borderId="335" applyProtection="1" pivotButton="0" quotePrefix="0" xfId="0">
      <protection locked="0" hidden="0"/>
    </xf>
    <xf numFmtId="0" fontId="5" fillId="8" borderId="1375" applyProtection="1" pivotButton="0" quotePrefix="0" xfId="0">
      <protection locked="0" hidden="0"/>
    </xf>
    <xf numFmtId="0" fontId="5" fillId="8" borderId="1376" applyProtection="1" pivotButton="0" quotePrefix="0" xfId="0">
      <protection locked="0" hidden="0"/>
    </xf>
    <xf numFmtId="1" fontId="5" fillId="7" borderId="372" applyAlignment="1" pivotButton="0" quotePrefix="0" xfId="0">
      <alignment horizontal="right"/>
    </xf>
    <xf numFmtId="1" fontId="5" fillId="4" borderId="1100" applyAlignment="1" applyProtection="1" pivotButton="0" quotePrefix="0" xfId="0">
      <alignment horizontal="right"/>
      <protection locked="0" hidden="0"/>
    </xf>
    <xf numFmtId="0" fontId="3" fillId="44" borderId="5" applyProtection="1" pivotButton="0" quotePrefix="0" xfId="0">
      <protection locked="0" hidden="0"/>
    </xf>
    <xf numFmtId="0" fontId="3" fillId="44" borderId="554" applyProtection="1" pivotButton="0" quotePrefix="0" xfId="0">
      <protection locked="0" hidden="0"/>
    </xf>
    <xf numFmtId="1" fontId="3" fillId="4" borderId="1347" applyAlignment="1" applyProtection="1" pivotButton="0" quotePrefix="0" xfId="0">
      <alignment horizontal="right"/>
      <protection locked="0" hidden="0"/>
    </xf>
    <xf numFmtId="1" fontId="3" fillId="4" borderId="1358" applyAlignment="1" applyProtection="1" pivotButton="0" quotePrefix="0" xfId="0">
      <alignment horizontal="right"/>
      <protection locked="0" hidden="0"/>
    </xf>
    <xf numFmtId="1" fontId="3" fillId="4" borderId="1388" applyProtection="1" pivotButton="0" quotePrefix="0" xfId="0">
      <protection locked="0" hidden="0"/>
    </xf>
    <xf numFmtId="1" fontId="3" fillId="4" borderId="1385" applyProtection="1" pivotButton="0" quotePrefix="0" xfId="0">
      <protection locked="0" hidden="0"/>
    </xf>
    <xf numFmtId="1" fontId="3" fillId="19" borderId="1181" pivotButton="0" quotePrefix="0" xfId="0"/>
    <xf numFmtId="1" fontId="3" fillId="19" borderId="1192" pivotButton="0" quotePrefix="0" xfId="0"/>
    <xf numFmtId="1" fontId="3" fillId="19" borderId="401" pivotButton="0" quotePrefix="0" xfId="0"/>
    <xf numFmtId="0" fontId="3" fillId="44" borderId="281" applyProtection="1" pivotButton="0" quotePrefix="0" xfId="0">
      <protection locked="0" hidden="0"/>
    </xf>
    <xf numFmtId="0" fontId="3" fillId="44" borderId="1349" applyProtection="1" pivotButton="0" quotePrefix="0" xfId="0">
      <protection locked="0" hidden="0"/>
    </xf>
    <xf numFmtId="0" fontId="3" fillId="44" borderId="1392" applyProtection="1" pivotButton="0" quotePrefix="0" xfId="0">
      <protection locked="0" hidden="0"/>
    </xf>
    <xf numFmtId="1" fontId="3" fillId="4" borderId="1389" applyProtection="1" pivotButton="0" quotePrefix="0" xfId="0">
      <protection locked="0" hidden="0"/>
    </xf>
    <xf numFmtId="1" fontId="3" fillId="4" borderId="1364" applyProtection="1" pivotButton="0" quotePrefix="0" xfId="0">
      <protection locked="0" hidden="0"/>
    </xf>
    <xf numFmtId="1" fontId="3" fillId="4" borderId="1392" applyProtection="1" pivotButton="0" quotePrefix="0" xfId="0">
      <protection locked="0" hidden="0"/>
    </xf>
    <xf numFmtId="1" fontId="3" fillId="4" borderId="1394" applyProtection="1" pivotButton="0" quotePrefix="0" xfId="0">
      <protection locked="0" hidden="0"/>
    </xf>
    <xf numFmtId="1" fontId="3" fillId="4" borderId="1395" applyProtection="1" pivotButton="0" quotePrefix="0" xfId="0">
      <protection locked="0" hidden="0"/>
    </xf>
    <xf numFmtId="0" fontId="3" fillId="44" borderId="1393" applyProtection="1" pivotButton="0" quotePrefix="0" xfId="0">
      <protection locked="0" hidden="0"/>
    </xf>
    <xf numFmtId="0" fontId="3" fillId="44" borderId="1396" applyProtection="1" pivotButton="0" quotePrefix="0" xfId="0">
      <protection locked="0" hidden="0"/>
    </xf>
    <xf numFmtId="1" fontId="3" fillId="0" borderId="1389" pivotButton="0" quotePrefix="0" xfId="0"/>
    <xf numFmtId="1" fontId="3" fillId="0" borderId="1392" pivotButton="0" quotePrefix="0" xfId="0"/>
    <xf numFmtId="1" fontId="3" fillId="0" borderId="1364" applyAlignment="1" pivotButton="0" quotePrefix="0" xfId="0">
      <alignment horizontal="right"/>
    </xf>
    <xf numFmtId="1" fontId="3" fillId="0" borderId="1389" applyAlignment="1" pivotButton="0" quotePrefix="0" xfId="0">
      <alignment horizontal="right"/>
    </xf>
    <xf numFmtId="1" fontId="3" fillId="0" borderId="1354" applyAlignment="1" pivotButton="0" quotePrefix="0" xfId="0">
      <alignment horizontal="right"/>
    </xf>
    <xf numFmtId="1" fontId="3" fillId="0" borderId="1392" applyAlignment="1" pivotButton="0" quotePrefix="0" xfId="0">
      <alignment horizontal="right"/>
    </xf>
    <xf numFmtId="1" fontId="6" fillId="6" borderId="1398" applyAlignment="1" pivotButton="0" quotePrefix="0" xfId="0">
      <alignment horizontal="center"/>
    </xf>
    <xf numFmtId="1" fontId="3" fillId="6" borderId="1364" pivotButton="0" quotePrefix="0" xfId="0"/>
    <xf numFmtId="1" fontId="3" fillId="7" borderId="1388" pivotButton="0" quotePrefix="0" xfId="0"/>
    <xf numFmtId="1" fontId="3" fillId="7" borderId="7" pivotButton="0" quotePrefix="0" xfId="0"/>
    <xf numFmtId="1" fontId="3" fillId="7" borderId="1389" pivotButton="0" quotePrefix="0" xfId="0"/>
    <xf numFmtId="1" fontId="3" fillId="8" borderId="1129" applyProtection="1" pivotButton="0" quotePrefix="0" xfId="0">
      <protection locked="0" hidden="0"/>
    </xf>
    <xf numFmtId="1" fontId="3" fillId="0" borderId="1357" applyAlignment="1" pivotButton="0" quotePrefix="0" xfId="0">
      <alignment horizontal="center" vertical="center"/>
    </xf>
    <xf numFmtId="1" fontId="3" fillId="4" borderId="1391" applyProtection="1" pivotButton="0" quotePrefix="0" xfId="0">
      <protection locked="0" hidden="0"/>
    </xf>
    <xf numFmtId="1" fontId="3" fillId="6" borderId="1357" pivotButton="0" quotePrefix="0" xfId="0"/>
    <xf numFmtId="1" fontId="6" fillId="6" borderId="1354" applyAlignment="1" pivotButton="0" quotePrefix="0" xfId="0">
      <alignment horizontal="center"/>
    </xf>
    <xf numFmtId="1" fontId="3" fillId="7" borderId="1385" pivotButton="0" quotePrefix="0" xfId="0"/>
    <xf numFmtId="1" fontId="3" fillId="7" borderId="281" pivotButton="0" quotePrefix="0" xfId="0"/>
    <xf numFmtId="1" fontId="3" fillId="7" borderId="1392" pivotButton="0" quotePrefix="0" xfId="0"/>
    <xf numFmtId="1" fontId="3" fillId="4" borderId="1398" applyProtection="1" pivotButton="0" quotePrefix="0" xfId="0">
      <protection locked="0" hidden="0"/>
    </xf>
    <xf numFmtId="1" fontId="6" fillId="6" borderId="1398" pivotButton="0" quotePrefix="0" xfId="0"/>
    <xf numFmtId="1" fontId="3" fillId="4" borderId="1393" applyProtection="1" pivotButton="0" quotePrefix="0" xfId="0">
      <protection locked="0" hidden="0"/>
    </xf>
    <xf numFmtId="1" fontId="3" fillId="6" borderId="1398" pivotButton="0" quotePrefix="0" xfId="0"/>
    <xf numFmtId="1" fontId="3" fillId="7" borderId="1181" pivotButton="0" quotePrefix="0" xfId="0"/>
    <xf numFmtId="1" fontId="3" fillId="7" borderId="1393" pivotButton="0" quotePrefix="0" xfId="0"/>
    <xf numFmtId="1" fontId="3" fillId="8" borderId="401" applyProtection="1" pivotButton="0" quotePrefix="0" xfId="0">
      <protection locked="0" hidden="0"/>
    </xf>
    <xf numFmtId="1" fontId="6" fillId="6" borderId="1354" pivotButton="0" quotePrefix="0" xfId="0"/>
    <xf numFmtId="1" fontId="3" fillId="0" borderId="1401" applyAlignment="1" pivotButton="0" quotePrefix="0" xfId="0">
      <alignment wrapText="1"/>
    </xf>
    <xf numFmtId="1" fontId="3" fillId="0" borderId="1354" applyAlignment="1" pivotButton="0" quotePrefix="0" xfId="0">
      <alignment wrapText="1"/>
    </xf>
    <xf numFmtId="1" fontId="3" fillId="4" borderId="22" applyProtection="1" pivotButton="0" quotePrefix="0" xfId="0">
      <protection locked="0" hidden="0"/>
    </xf>
    <xf numFmtId="1" fontId="3" fillId="4" borderId="1401" applyProtection="1" pivotButton="0" quotePrefix="0" xfId="0">
      <protection locked="0" hidden="0"/>
    </xf>
    <xf numFmtId="1" fontId="3" fillId="4" borderId="1396" applyProtection="1" pivotButton="0" quotePrefix="0" xfId="0">
      <protection locked="0" hidden="0"/>
    </xf>
    <xf numFmtId="1" fontId="3" fillId="4" borderId="1355" applyProtection="1" pivotButton="0" quotePrefix="0" xfId="0">
      <protection locked="0" hidden="0"/>
    </xf>
    <xf numFmtId="1" fontId="3" fillId="4" borderId="1405" applyProtection="1" pivotButton="0" quotePrefix="0" xfId="0">
      <protection locked="0" hidden="0"/>
    </xf>
    <xf numFmtId="1" fontId="3" fillId="0" borderId="1390" pivotButton="0" quotePrefix="0" xfId="0"/>
    <xf numFmtId="1" fontId="3" fillId="0" borderId="1406" pivotButton="0" quotePrefix="0" xfId="0"/>
    <xf numFmtId="1" fontId="3" fillId="6" borderId="1391" pivotButton="0" quotePrefix="0" xfId="0"/>
    <xf numFmtId="1" fontId="3" fillId="6" borderId="373" pivotButton="0" quotePrefix="0" xfId="0"/>
    <xf numFmtId="1" fontId="3" fillId="0" borderId="1356" pivotButton="0" quotePrefix="0" xfId="0"/>
    <xf numFmtId="1" fontId="3" fillId="0" borderId="1407" pivotButton="0" quotePrefix="0" xfId="0"/>
    <xf numFmtId="1" fontId="3" fillId="6" borderId="1409" pivotButton="0" quotePrefix="0" xfId="0"/>
    <xf numFmtId="1" fontId="3" fillId="6" borderId="1410" pivotButton="0" quotePrefix="0" xfId="0"/>
    <xf numFmtId="1" fontId="3" fillId="6" borderId="200" pivotButton="0" quotePrefix="0" xfId="0"/>
    <xf numFmtId="1" fontId="3" fillId="6" borderId="210" pivotButton="0" quotePrefix="0" xfId="0"/>
    <xf numFmtId="1" fontId="3" fillId="6" borderId="1412" pivotButton="0" quotePrefix="0" xfId="0"/>
    <xf numFmtId="1" fontId="3" fillId="6" borderId="1411" pivotButton="0" quotePrefix="0" xfId="0"/>
    <xf numFmtId="1" fontId="3" fillId="6" borderId="1348" pivotButton="0" quotePrefix="0" xfId="0"/>
    <xf numFmtId="1" fontId="3" fillId="4" borderId="1416" applyProtection="1" pivotButton="0" quotePrefix="0" xfId="0">
      <protection locked="0" hidden="0"/>
    </xf>
    <xf numFmtId="1" fontId="3" fillId="6" borderId="1392" pivotButton="0" quotePrefix="0" xfId="0"/>
    <xf numFmtId="1" fontId="3" fillId="4" borderId="1090" applyAlignment="1" applyProtection="1" pivotButton="0" quotePrefix="0" xfId="0">
      <alignment horizontal="right"/>
      <protection locked="0" hidden="0"/>
    </xf>
    <xf numFmtId="1" fontId="3" fillId="4" borderId="1392" applyAlignment="1" applyProtection="1" pivotButton="0" quotePrefix="0" xfId="0">
      <alignment horizontal="right"/>
      <protection locked="0" hidden="0"/>
    </xf>
    <xf numFmtId="1" fontId="3" fillId="4" borderId="1192" applyAlignment="1" applyProtection="1" pivotButton="0" quotePrefix="0" xfId="0">
      <alignment horizontal="right"/>
      <protection locked="0" hidden="0"/>
    </xf>
    <xf numFmtId="1" fontId="3" fillId="4" borderId="1425" applyProtection="1" pivotButton="0" quotePrefix="0" xfId="0">
      <protection locked="0" hidden="0"/>
    </xf>
    <xf numFmtId="1" fontId="3" fillId="4" borderId="1397" applyProtection="1" pivotButton="0" quotePrefix="0" xfId="0">
      <protection locked="0" hidden="0"/>
    </xf>
    <xf numFmtId="1" fontId="3" fillId="0" borderId="1424" applyAlignment="1" pivotButton="0" quotePrefix="0" xfId="0">
      <alignment horizontal="center" vertical="center" wrapText="1"/>
    </xf>
    <xf numFmtId="1" fontId="3" fillId="4" borderId="1424" applyProtection="1" pivotButton="0" quotePrefix="0" xfId="0">
      <protection locked="0" hidden="0"/>
    </xf>
    <xf numFmtId="0" fontId="3" fillId="6" borderId="1427" applyAlignment="1" pivotButton="0" quotePrefix="0" xfId="0">
      <alignment horizontal="center" vertical="center" wrapText="1"/>
    </xf>
    <xf numFmtId="1" fontId="3" fillId="4" borderId="1389" applyAlignment="1" applyProtection="1" pivotButton="0" quotePrefix="0" xfId="0">
      <alignment horizontal="right"/>
      <protection locked="0" hidden="0"/>
    </xf>
    <xf numFmtId="1" fontId="3" fillId="6" borderId="1389" pivotButton="0" quotePrefix="0" xfId="0"/>
    <xf numFmtId="0" fontId="3" fillId="6" borderId="1424" applyAlignment="1" pivotButton="0" quotePrefix="0" xfId="0">
      <alignment horizontal="center" vertical="center" wrapText="1"/>
    </xf>
    <xf numFmtId="0" fontId="3" fillId="0" borderId="1427" applyAlignment="1" pivotButton="0" quotePrefix="0" xfId="0">
      <alignment horizontal="center" vertical="center" wrapText="1"/>
    </xf>
    <xf numFmtId="0" fontId="3" fillId="0" borderId="1424" applyAlignment="1" pivotButton="0" quotePrefix="0" xfId="0">
      <alignment horizontal="center" vertical="center" wrapText="1"/>
    </xf>
    <xf numFmtId="0" fontId="3" fillId="6" borderId="1428" applyAlignment="1" pivotButton="0" quotePrefix="0" xfId="0">
      <alignment horizontal="center" vertical="center" wrapText="1"/>
    </xf>
    <xf numFmtId="1" fontId="3" fillId="6" borderId="1347" applyAlignment="1" pivotButton="0" quotePrefix="0" xfId="0">
      <alignment horizontal="right"/>
    </xf>
    <xf numFmtId="1" fontId="3" fillId="6" borderId="1389" applyAlignment="1" pivotButton="0" quotePrefix="0" xfId="0">
      <alignment horizontal="right"/>
    </xf>
    <xf numFmtId="1" fontId="3" fillId="6" borderId="1392" applyAlignment="1" pivotButton="0" quotePrefix="0" xfId="0">
      <alignment horizontal="right"/>
    </xf>
    <xf numFmtId="0" fontId="3" fillId="0" borderId="1428" applyAlignment="1" pivotButton="0" quotePrefix="0" xfId="0">
      <alignment horizontal="center" vertical="center" wrapText="1"/>
    </xf>
    <xf numFmtId="1" fontId="3" fillId="4" borderId="1237" applyAlignment="1" applyProtection="1" pivotButton="0" quotePrefix="0" xfId="0">
      <alignment horizontal="right"/>
      <protection locked="0" hidden="0"/>
    </xf>
    <xf numFmtId="1" fontId="3" fillId="4" borderId="283" applyAlignment="1" applyProtection="1" pivotButton="0" quotePrefix="0" xfId="0">
      <alignment horizontal="right"/>
      <protection locked="0" hidden="0"/>
    </xf>
    <xf numFmtId="1" fontId="3" fillId="4" borderId="1381" applyAlignment="1" applyProtection="1" pivotButton="0" quotePrefix="0" xfId="0">
      <alignment horizontal="right"/>
      <protection locked="0" hidden="0"/>
    </xf>
    <xf numFmtId="1" fontId="3" fillId="4" borderId="377" applyAlignment="1" applyProtection="1" pivotButton="0" quotePrefix="0" xfId="0">
      <alignment horizontal="right"/>
      <protection locked="0" hidden="0"/>
    </xf>
    <xf numFmtId="1" fontId="3" fillId="3" borderId="1363" applyAlignment="1" pivotButton="0" quotePrefix="0" xfId="0">
      <alignment horizontal="right"/>
    </xf>
    <xf numFmtId="1" fontId="3" fillId="3" borderId="1428" applyAlignment="1" pivotButton="0" quotePrefix="0" xfId="0">
      <alignment horizontal="right"/>
    </xf>
    <xf numFmtId="1" fontId="3" fillId="3" borderId="1424" applyAlignment="1" pivotButton="0" quotePrefix="0" xfId="0">
      <alignment horizontal="right"/>
    </xf>
    <xf numFmtId="1" fontId="3" fillId="3" borderId="1425" applyAlignment="1" pivotButton="0" quotePrefix="0" xfId="0">
      <alignment horizontal="right"/>
    </xf>
    <xf numFmtId="1" fontId="3" fillId="0" borderId="1363" applyAlignment="1" pivotButton="0" quotePrefix="0" xfId="0">
      <alignment horizontal="center" vertical="center" wrapText="1"/>
    </xf>
    <xf numFmtId="1" fontId="3" fillId="0" borderId="1363" applyAlignment="1" pivotButton="0" quotePrefix="0" xfId="0">
      <alignment horizontal="right"/>
    </xf>
    <xf numFmtId="1" fontId="3" fillId="0" borderId="1424" applyAlignment="1" pivotButton="0" quotePrefix="0" xfId="0">
      <alignment horizontal="right"/>
    </xf>
    <xf numFmtId="1" fontId="3" fillId="0" borderId="1381" applyAlignment="1" pivotButton="0" quotePrefix="0" xfId="0">
      <alignment horizontal="right"/>
    </xf>
    <xf numFmtId="1" fontId="3" fillId="0" borderId="1085" applyAlignment="1" pivotButton="0" quotePrefix="0" xfId="0">
      <alignment horizontal="right"/>
    </xf>
    <xf numFmtId="1" fontId="3" fillId="4" borderId="1346" applyAlignment="1" applyProtection="1" pivotButton="0" quotePrefix="0" xfId="0">
      <alignment horizontal="right"/>
      <protection locked="0" hidden="0"/>
    </xf>
    <xf numFmtId="1" fontId="3" fillId="0" borderId="1428" applyAlignment="1" pivotButton="0" quotePrefix="0" xfId="0">
      <alignment horizontal="center" vertical="center" wrapText="1"/>
    </xf>
    <xf numFmtId="1" fontId="3" fillId="0" borderId="1428" applyAlignment="1" pivotButton="0" quotePrefix="0" xfId="0">
      <alignment horizontal="right"/>
    </xf>
    <xf numFmtId="1" fontId="3" fillId="0" borderId="1427" applyAlignment="1" pivotButton="0" quotePrefix="0" xfId="0">
      <alignment horizontal="right"/>
    </xf>
    <xf numFmtId="1" fontId="3" fillId="4" borderId="4" applyProtection="1" pivotButton="0" quotePrefix="0" xfId="14">
      <protection locked="0" hidden="0"/>
    </xf>
    <xf numFmtId="1" fontId="3" fillId="4" borderId="554" applyProtection="1" pivotButton="0" quotePrefix="0" xfId="14">
      <protection locked="0" hidden="0"/>
    </xf>
    <xf numFmtId="1" fontId="3" fillId="4" borderId="1085" applyProtection="1" pivotButton="0" quotePrefix="0" xfId="14">
      <protection locked="0" hidden="0"/>
    </xf>
    <xf numFmtId="1" fontId="3" fillId="4" borderId="403" applyProtection="1" pivotButton="0" quotePrefix="0" xfId="14">
      <protection locked="0" hidden="0"/>
    </xf>
    <xf numFmtId="1" fontId="3" fillId="4" borderId="384" applyProtection="1" pivotButton="0" quotePrefix="0" xfId="14">
      <protection locked="0" hidden="0"/>
    </xf>
    <xf numFmtId="1" fontId="3" fillId="4" borderId="1381" applyProtection="1" pivotButton="0" quotePrefix="0" xfId="0">
      <protection locked="0" hidden="0"/>
    </xf>
    <xf numFmtId="1" fontId="3" fillId="4" borderId="1427" applyProtection="1" pivotButton="0" quotePrefix="0" xfId="0">
      <protection locked="0" hidden="0"/>
    </xf>
    <xf numFmtId="1" fontId="3" fillId="4" borderId="1426" applyProtection="1" pivotButton="0" quotePrefix="0" xfId="0">
      <protection locked="0" hidden="0"/>
    </xf>
    <xf numFmtId="1" fontId="3" fillId="0" borderId="1430" applyAlignment="1" pivotButton="0" quotePrefix="0" xfId="0">
      <alignment horizontal="center" vertical="center" wrapText="1"/>
    </xf>
    <xf numFmtId="1" fontId="3" fillId="4" borderId="1369" applyAlignment="1" applyProtection="1" pivotButton="0" quotePrefix="0" xfId="0">
      <alignment horizontal="right"/>
      <protection locked="0" hidden="0"/>
    </xf>
    <xf numFmtId="1" fontId="3" fillId="4" borderId="1431" applyAlignment="1" applyProtection="1" pivotButton="0" quotePrefix="0" xfId="0">
      <alignment horizontal="right"/>
      <protection locked="0" hidden="0"/>
    </xf>
    <xf numFmtId="1" fontId="3" fillId="4" borderId="1432" applyAlignment="1" applyProtection="1" pivotButton="0" quotePrefix="0" xfId="0">
      <alignment horizontal="right"/>
      <protection locked="0" hidden="0"/>
    </xf>
    <xf numFmtId="1" fontId="3" fillId="0" borderId="1433" applyAlignment="1" pivotButton="0" quotePrefix="0" xfId="0">
      <alignment horizontal="center" vertical="center" wrapText="1"/>
    </xf>
    <xf numFmtId="1" fontId="3" fillId="6" borderId="1133" applyAlignment="1" pivotButton="0" quotePrefix="0" xfId="0">
      <alignment horizontal="right"/>
    </xf>
    <xf numFmtId="1" fontId="3" fillId="6" borderId="1135" applyAlignment="1" pivotButton="0" quotePrefix="0" xfId="0">
      <alignment horizontal="right"/>
    </xf>
    <xf numFmtId="1" fontId="3" fillId="4" borderId="1135" applyAlignment="1" applyProtection="1" pivotButton="0" quotePrefix="0" xfId="0">
      <alignment horizontal="right"/>
      <protection locked="0" hidden="0"/>
    </xf>
    <xf numFmtId="1" fontId="3" fillId="7" borderId="1135" applyAlignment="1" pivotButton="0" quotePrefix="0" xfId="0">
      <alignment horizontal="right"/>
    </xf>
    <xf numFmtId="1" fontId="3" fillId="7" borderId="1140" applyAlignment="1" pivotButton="0" quotePrefix="0" xfId="0">
      <alignment horizontal="right"/>
    </xf>
    <xf numFmtId="1" fontId="3" fillId="7" borderId="1426" pivotButton="0" quotePrefix="0" xfId="0"/>
    <xf numFmtId="1" fontId="3" fillId="7" borderId="1121" pivotButton="0" quotePrefix="0" xfId="0"/>
    <xf numFmtId="1" fontId="3" fillId="0" borderId="1427" pivotButton="0" quotePrefix="0" xfId="0"/>
    <xf numFmtId="1" fontId="3" fillId="0" borderId="1424" pivotButton="0" quotePrefix="0" xfId="0"/>
    <xf numFmtId="1" fontId="3" fillId="9" borderId="1128" applyProtection="1" pivotButton="0" quotePrefix="0" xfId="24">
      <protection locked="0" hidden="0"/>
    </xf>
    <xf numFmtId="1" fontId="3" fillId="9" borderId="1129" applyProtection="1" pivotButton="0" quotePrefix="0" xfId="24">
      <protection locked="0" hidden="0"/>
    </xf>
    <xf numFmtId="1" fontId="3" fillId="9" borderId="804" applyProtection="1" pivotButton="0" quotePrefix="0" xfId="24">
      <protection locked="0" hidden="0"/>
    </xf>
    <xf numFmtId="1" fontId="3" fillId="9" borderId="1121" applyProtection="1" pivotButton="0" quotePrefix="0" xfId="11">
      <protection locked="0" hidden="0"/>
    </xf>
    <xf numFmtId="1" fontId="3" fillId="9" borderId="1129" applyProtection="1" pivotButton="0" quotePrefix="0" xfId="11">
      <protection locked="0" hidden="0"/>
    </xf>
    <xf numFmtId="1" fontId="3" fillId="9" borderId="1121" applyProtection="1" pivotButton="0" quotePrefix="0" xfId="24">
      <protection locked="0" hidden="0"/>
    </xf>
    <xf numFmtId="1" fontId="3" fillId="9" borderId="1085" applyProtection="1" pivotButton="0" quotePrefix="0" xfId="24">
      <protection locked="0" hidden="0"/>
    </xf>
    <xf numFmtId="1" fontId="3" fillId="9" borderId="384" applyProtection="1" pivotButton="0" quotePrefix="0" xfId="24">
      <protection locked="0" hidden="0"/>
    </xf>
    <xf numFmtId="1" fontId="3" fillId="9" borderId="1349" applyProtection="1" pivotButton="0" quotePrefix="0" xfId="11">
      <protection locked="0" hidden="0"/>
    </xf>
    <xf numFmtId="1" fontId="3" fillId="9" borderId="384" applyProtection="1" pivotButton="0" quotePrefix="0" xfId="11">
      <protection locked="0" hidden="0"/>
    </xf>
    <xf numFmtId="1" fontId="3" fillId="9" borderId="1349" applyProtection="1" pivotButton="0" quotePrefix="0" xfId="24">
      <protection locked="0" hidden="0"/>
    </xf>
    <xf numFmtId="1" fontId="3" fillId="4" borderId="1434" applyProtection="1" pivotButton="0" quotePrefix="0" xfId="0">
      <protection locked="0" hidden="0"/>
    </xf>
    <xf numFmtId="1" fontId="3" fillId="4" borderId="1066" applyProtection="1" pivotButton="0" quotePrefix="0" xfId="0">
      <protection locked="0" hidden="0"/>
    </xf>
    <xf numFmtId="1" fontId="3" fillId="4" borderId="1435" applyProtection="1" pivotButton="0" quotePrefix="0" xfId="0">
      <protection locked="0" hidden="0"/>
    </xf>
    <xf numFmtId="1" fontId="3" fillId="0" borderId="1428" pivotButton="0" quotePrefix="0" xfId="0"/>
    <xf numFmtId="1" fontId="3" fillId="4" borderId="1361" applyProtection="1" pivotButton="0" quotePrefix="0" xfId="0">
      <protection locked="0" hidden="0"/>
    </xf>
    <xf numFmtId="1" fontId="3" fillId="0" borderId="1425" pivotButton="0" quotePrefix="0" xfId="0"/>
    <xf numFmtId="1" fontId="3" fillId="4" borderId="1432" applyAlignment="1" applyProtection="1" pivotButton="0" quotePrefix="0" xfId="0">
      <alignment vertical="center"/>
      <protection locked="0" hidden="0"/>
    </xf>
    <xf numFmtId="164" fontId="3" fillId="0" borderId="1393" applyAlignment="1" pivotButton="0" quotePrefix="0" xfId="18">
      <alignment horizontal="right" vertical="center"/>
    </xf>
    <xf numFmtId="1" fontId="3" fillId="4" borderId="1435" applyAlignment="1" applyProtection="1" pivotButton="0" quotePrefix="0" xfId="0">
      <alignment vertical="center"/>
      <protection locked="0" hidden="0"/>
    </xf>
    <xf numFmtId="1" fontId="3" fillId="4" borderId="1436" applyAlignment="1" applyProtection="1" pivotButton="0" quotePrefix="0" xfId="0">
      <alignment vertical="center"/>
      <protection locked="0" hidden="0"/>
    </xf>
    <xf numFmtId="164" fontId="3" fillId="0" borderId="1392" applyAlignment="1" pivotButton="0" quotePrefix="0" xfId="18">
      <alignment horizontal="right" vertical="center"/>
    </xf>
    <xf numFmtId="1" fontId="3" fillId="4" borderId="1416" applyAlignment="1" applyProtection="1" pivotButton="0" quotePrefix="0" xfId="0">
      <alignment vertical="center"/>
      <protection locked="0" hidden="0"/>
    </xf>
    <xf numFmtId="164" fontId="3" fillId="0" borderId="1428" applyAlignment="1" pivotButton="0" quotePrefix="0" xfId="18">
      <alignment horizontal="right" vertical="center"/>
    </xf>
    <xf numFmtId="1" fontId="3" fillId="4" borderId="1348" applyAlignment="1" applyProtection="1" pivotButton="0" quotePrefix="0" xfId="0">
      <alignment vertical="center"/>
      <protection locked="0" hidden="0"/>
    </xf>
    <xf numFmtId="164" fontId="3" fillId="0" borderId="1425" applyAlignment="1" pivotButton="0" quotePrefix="0" xfId="18">
      <alignment horizontal="right" vertical="center"/>
    </xf>
    <xf numFmtId="1" fontId="3" fillId="4" borderId="1361" applyAlignment="1" applyProtection="1" pivotButton="0" quotePrefix="0" xfId="0">
      <alignment vertical="center"/>
      <protection locked="0" hidden="0"/>
    </xf>
    <xf numFmtId="164" fontId="3" fillId="0" borderId="1424" applyAlignment="1" pivotButton="0" quotePrefix="0" xfId="18">
      <alignment horizontal="right" vertical="center"/>
    </xf>
    <xf numFmtId="164" fontId="3" fillId="0" borderId="1428" applyAlignment="1" pivotButton="0" quotePrefix="0" xfId="19">
      <alignment horizontal="right" vertical="center"/>
    </xf>
    <xf numFmtId="164" fontId="3" fillId="0" borderId="1424" applyAlignment="1" pivotButton="0" quotePrefix="0" xfId="19">
      <alignment horizontal="right" vertical="center"/>
    </xf>
    <xf numFmtId="1" fontId="3" fillId="4" borderId="1427" applyAlignment="1" applyProtection="1" pivotButton="0" quotePrefix="0" xfId="0">
      <alignment vertical="center"/>
      <protection locked="0" hidden="0"/>
    </xf>
    <xf numFmtId="1" fontId="3" fillId="4" borderId="1434" applyAlignment="1" applyProtection="1" pivotButton="0" quotePrefix="0" xfId="0">
      <alignment vertical="center"/>
      <protection locked="0" hidden="0"/>
    </xf>
    <xf numFmtId="1" fontId="3" fillId="4" borderId="1128" applyAlignment="1" applyProtection="1" pivotButton="0" quotePrefix="0" xfId="0">
      <alignment vertical="center"/>
      <protection locked="0" hidden="0"/>
    </xf>
    <xf numFmtId="1" fontId="3" fillId="4" borderId="1129" applyAlignment="1" applyProtection="1" pivotButton="0" quotePrefix="0" xfId="0">
      <alignment vertical="center"/>
      <protection locked="0" hidden="0"/>
    </xf>
    <xf numFmtId="1" fontId="3" fillId="0" borderId="1427" applyAlignment="1" pivotButton="0" quotePrefix="0" xfId="0">
      <alignment vertical="center"/>
    </xf>
    <xf numFmtId="1" fontId="3" fillId="4" borderId="1424" applyAlignment="1" applyProtection="1" pivotButton="0" quotePrefix="0" xfId="0">
      <alignment vertical="center"/>
      <protection locked="0" hidden="0"/>
    </xf>
    <xf numFmtId="1" fontId="3" fillId="0" borderId="1392" applyAlignment="1" pivotButton="0" quotePrefix="0" xfId="0">
      <alignment vertical="center"/>
    </xf>
    <xf numFmtId="1" fontId="3" fillId="4" borderId="1428" applyAlignment="1" applyProtection="1" pivotButton="0" quotePrefix="0" xfId="0">
      <alignment vertical="center"/>
      <protection locked="0" hidden="0"/>
    </xf>
    <xf numFmtId="1" fontId="3" fillId="4" borderId="401" applyAlignment="1" applyProtection="1" pivotButton="0" quotePrefix="0" xfId="0">
      <alignment vertical="center"/>
      <protection locked="0" hidden="0"/>
    </xf>
    <xf numFmtId="1" fontId="3" fillId="0" borderId="1393" applyAlignment="1" pivotButton="0" quotePrefix="0" xfId="0">
      <alignment vertical="center"/>
    </xf>
    <xf numFmtId="1" fontId="3" fillId="18" borderId="62" applyProtection="1" pivotButton="0" quotePrefix="0" xfId="0">
      <protection locked="0" hidden="0"/>
    </xf>
    <xf numFmtId="1" fontId="3" fillId="18" borderId="1438" applyProtection="1" pivotButton="0" quotePrefix="0" xfId="0">
      <protection locked="0" hidden="0"/>
    </xf>
    <xf numFmtId="1" fontId="3" fillId="18" borderId="190" applyProtection="1" pivotButton="0" quotePrefix="0" xfId="0">
      <protection locked="0" hidden="0"/>
    </xf>
    <xf numFmtId="1" fontId="3" fillId="18" borderId="1439" applyProtection="1" pivotButton="0" quotePrefix="0" xfId="0">
      <protection locked="0" hidden="0"/>
    </xf>
    <xf numFmtId="1" fontId="3" fillId="18" borderId="1440" applyProtection="1" pivotButton="0" quotePrefix="0" xfId="0">
      <protection locked="0" hidden="0"/>
    </xf>
    <xf numFmtId="1" fontId="3" fillId="18" borderId="1441" applyProtection="1" pivotButton="0" quotePrefix="0" xfId="0">
      <protection locked="0" hidden="0"/>
    </xf>
    <xf numFmtId="1" fontId="3" fillId="11" borderId="394" pivotButton="0" quotePrefix="0" xfId="0"/>
    <xf numFmtId="1" fontId="3" fillId="11" borderId="391" pivotButton="0" quotePrefix="0" xfId="0"/>
    <xf numFmtId="1" fontId="3" fillId="11" borderId="1128" pivotButton="0" quotePrefix="0" xfId="0"/>
    <xf numFmtId="1" fontId="3" fillId="11" borderId="0" pivotButton="0" quotePrefix="0" xfId="0"/>
    <xf numFmtId="1" fontId="3" fillId="11" borderId="5" pivotButton="0" quotePrefix="0" xfId="0"/>
    <xf numFmtId="0" fontId="7" fillId="11" borderId="0" pivotButton="0" quotePrefix="0" xfId="0"/>
    <xf numFmtId="1" fontId="3" fillId="11" borderId="681" pivotButton="0" quotePrefix="0" xfId="0"/>
    <xf numFmtId="1" fontId="3" fillId="11" borderId="358" pivotButton="0" quotePrefix="0" xfId="0"/>
    <xf numFmtId="1" fontId="3" fillId="11" borderId="408" pivotButton="0" quotePrefix="0" xfId="0"/>
    <xf numFmtId="1" fontId="3" fillId="11" borderId="406" pivotButton="0" quotePrefix="0" xfId="0"/>
    <xf numFmtId="1" fontId="3" fillId="11" borderId="1096" pivotButton="0" quotePrefix="0" xfId="0"/>
    <xf numFmtId="0" fontId="17" fillId="40" borderId="367" applyAlignment="1" applyProtection="1" pivotButton="0" quotePrefix="0" xfId="0">
      <alignment horizontal="center"/>
      <protection locked="1" hidden="1"/>
    </xf>
    <xf numFmtId="0" fontId="17" fillId="40" borderId="227" applyAlignment="1" applyProtection="1" pivotButton="0" quotePrefix="0" xfId="0">
      <alignment horizontal="center"/>
      <protection locked="1" hidden="1"/>
    </xf>
    <xf numFmtId="49" fontId="67" fillId="64" borderId="0" pivotButton="0" quotePrefix="0" xfId="153"/>
    <xf numFmtId="0" fontId="5" fillId="3" borderId="0" applyAlignment="1" applyProtection="1" pivotButton="0" quotePrefix="0" xfId="0">
      <alignment horizontal="center"/>
      <protection locked="0" hidden="0"/>
    </xf>
    <xf numFmtId="1" fontId="5" fillId="0" borderId="281" applyAlignment="1" pivotButton="0" quotePrefix="0" xfId="0">
      <alignment horizontal="left" vertical="center" wrapText="1"/>
    </xf>
    <xf numFmtId="1" fontId="5" fillId="0" borderId="346" applyAlignment="1" pivotButton="0" quotePrefix="0" xfId="0">
      <alignment horizontal="left" vertical="center" wrapText="1"/>
    </xf>
    <xf numFmtId="1" fontId="5" fillId="0" borderId="367" applyAlignment="1" pivotButton="0" quotePrefix="0" xfId="0">
      <alignment horizontal="center" vertical="center" wrapText="1"/>
    </xf>
    <xf numFmtId="1" fontId="5" fillId="0" borderId="546" applyAlignment="1" pivotButton="0" quotePrefix="0" xfId="0">
      <alignment horizontal="center" vertical="center" wrapText="1"/>
    </xf>
    <xf numFmtId="1" fontId="5" fillId="0" borderId="344" applyAlignment="1" pivotButton="0" quotePrefix="0" xfId="0">
      <alignment horizontal="center" vertical="center" wrapText="1"/>
    </xf>
    <xf numFmtId="1" fontId="5" fillId="0" borderId="520" applyAlignment="1" pivotButton="0" quotePrefix="0" xfId="0">
      <alignment horizontal="center" vertical="center"/>
    </xf>
    <xf numFmtId="1" fontId="5" fillId="0" borderId="458" applyAlignment="1" pivotButton="0" quotePrefix="0" xfId="0">
      <alignment horizontal="center" vertical="center"/>
    </xf>
    <xf numFmtId="1" fontId="5" fillId="0" borderId="456" applyAlignment="1" pivotButton="0" quotePrefix="0" xfId="0">
      <alignment horizontal="center" vertical="center"/>
    </xf>
    <xf numFmtId="1" fontId="5" fillId="0" borderId="393" applyAlignment="1" pivotButton="0" quotePrefix="0" xfId="0">
      <alignment horizontal="left"/>
    </xf>
    <xf numFmtId="1" fontId="5" fillId="0" borderId="520" applyAlignment="1" pivotButton="0" quotePrefix="0" xfId="0">
      <alignment horizontal="center" vertical="center" wrapText="1"/>
    </xf>
    <xf numFmtId="1" fontId="5" fillId="0" borderId="524" applyAlignment="1" pivotButton="0" quotePrefix="0" xfId="0">
      <alignment horizontal="center" vertical="center"/>
    </xf>
    <xf numFmtId="1" fontId="5" fillId="0" borderId="529" applyAlignment="1" pivotButton="0" quotePrefix="0" xfId="0">
      <alignment horizontal="center" vertical="center"/>
    </xf>
    <xf numFmtId="1" fontId="5" fillId="0" borderId="380" applyAlignment="1" pivotButton="0" quotePrefix="0" xfId="0">
      <alignment horizontal="left" vertical="center"/>
    </xf>
    <xf numFmtId="1" fontId="5" fillId="0" borderId="403" applyAlignment="1" pivotButton="0" quotePrefix="0" xfId="0">
      <alignment horizontal="left" wrapText="1"/>
    </xf>
    <xf numFmtId="1" fontId="5" fillId="0" borderId="384" applyAlignment="1" pivotButton="0" quotePrefix="0" xfId="0">
      <alignment horizontal="left" wrapText="1"/>
    </xf>
    <xf numFmtId="1" fontId="5" fillId="0" borderId="849" applyAlignment="1" pivotButton="0" quotePrefix="0" xfId="0">
      <alignment horizontal="center" vertical="center" wrapText="1"/>
    </xf>
    <xf numFmtId="1" fontId="5" fillId="0" borderId="346" applyAlignment="1" pivotButton="0" quotePrefix="0" xfId="0">
      <alignment horizontal="center" vertical="center"/>
    </xf>
    <xf numFmtId="1" fontId="16" fillId="3" borderId="0" pivotButton="0" quotePrefix="0" xfId="0"/>
    <xf numFmtId="1" fontId="15" fillId="3" borderId="0" applyAlignment="1" pivotButton="0" quotePrefix="0" xfId="0">
      <alignment vertical="center" wrapText="1"/>
    </xf>
    <xf numFmtId="1" fontId="26" fillId="3" borderId="0" pivotButton="0" quotePrefix="0" xfId="0"/>
    <xf numFmtId="1" fontId="69" fillId="3" borderId="0" pivotButton="0" quotePrefix="0" xfId="0"/>
    <xf numFmtId="1" fontId="69" fillId="5" borderId="0" pivotButton="0" quotePrefix="0" xfId="0"/>
    <xf numFmtId="1" fontId="69" fillId="0" borderId="0" applyProtection="1" pivotButton="0" quotePrefix="0" xfId="0">
      <protection locked="0" hidden="0"/>
    </xf>
    <xf numFmtId="1" fontId="14" fillId="3" borderId="0" applyAlignment="1" pivotButton="0" quotePrefix="0" xfId="0">
      <alignment horizontal="left"/>
    </xf>
    <xf numFmtId="1" fontId="5" fillId="5" borderId="455" applyAlignment="1" pivotButton="0" quotePrefix="0" xfId="0">
      <alignment horizontal="center" vertical="center" wrapText="1"/>
    </xf>
    <xf numFmtId="1" fontId="5" fillId="5" borderId="458" applyAlignment="1" pivotButton="0" quotePrefix="0" xfId="0">
      <alignment horizontal="center" vertical="center" wrapText="1"/>
    </xf>
    <xf numFmtId="1" fontId="5" fillId="0" borderId="434" applyAlignment="1" pivotButton="0" quotePrefix="0" xfId="0">
      <alignment horizontal="center" vertical="center"/>
    </xf>
    <xf numFmtId="1" fontId="5" fillId="0" borderId="455" applyAlignment="1" pivotButton="0" quotePrefix="0" xfId="0">
      <alignment horizontal="center" vertical="center" wrapText="1"/>
    </xf>
    <xf numFmtId="1" fontId="5" fillId="0" borderId="440" applyAlignment="1" pivotButton="0" quotePrefix="0" xfId="0">
      <alignment horizontal="center" vertical="center" wrapText="1"/>
    </xf>
    <xf numFmtId="1" fontId="5" fillId="3" borderId="449" pivotButton="0" quotePrefix="0" xfId="0"/>
    <xf numFmtId="1" fontId="5" fillId="28" borderId="326" applyAlignment="1" pivotButton="0" quotePrefix="0" xfId="0">
      <alignment horizontal="right"/>
    </xf>
    <xf numFmtId="1" fontId="5" fillId="28" borderId="372" applyAlignment="1" pivotButton="0" quotePrefix="0" xfId="0">
      <alignment horizontal="right"/>
    </xf>
    <xf numFmtId="1" fontId="5" fillId="28" borderId="374" applyAlignment="1" pivotButton="0" quotePrefix="0" xfId="0">
      <alignment horizontal="right"/>
    </xf>
    <xf numFmtId="1" fontId="5" fillId="4" borderId="327" applyAlignment="1" applyProtection="1" pivotButton="0" quotePrefix="0" xfId="0">
      <alignment horizontal="right"/>
      <protection locked="0" hidden="0"/>
    </xf>
    <xf numFmtId="1" fontId="5" fillId="4" borderId="328" applyAlignment="1" applyProtection="1" pivotButton="0" quotePrefix="0" xfId="0">
      <alignment horizontal="right"/>
      <protection locked="0" hidden="0"/>
    </xf>
    <xf numFmtId="1" fontId="5" fillId="4" borderId="186" applyAlignment="1" applyProtection="1" pivotButton="0" quotePrefix="0" xfId="0">
      <alignment horizontal="right"/>
      <protection locked="0" hidden="0"/>
    </xf>
    <xf numFmtId="1" fontId="5" fillId="4" borderId="218" applyAlignment="1" applyProtection="1" pivotButton="0" quotePrefix="0" xfId="0">
      <alignment horizontal="right"/>
      <protection locked="0" hidden="0"/>
    </xf>
    <xf numFmtId="1" fontId="5" fillId="4" borderId="1003" applyAlignment="1" applyProtection="1" pivotButton="0" quotePrefix="0" xfId="0">
      <alignment horizontal="right"/>
      <protection locked="0" hidden="0"/>
    </xf>
    <xf numFmtId="1" fontId="5" fillId="4" borderId="1084" applyAlignment="1" applyProtection="1" pivotButton="0" quotePrefix="0" xfId="0">
      <alignment horizontal="right"/>
      <protection locked="0" hidden="0"/>
    </xf>
    <xf numFmtId="1" fontId="5" fillId="4" borderId="372" applyAlignment="1" applyProtection="1" pivotButton="0" quotePrefix="0" xfId="0">
      <alignment horizontal="right"/>
      <protection locked="0" hidden="0"/>
    </xf>
    <xf numFmtId="1" fontId="5" fillId="4" borderId="262" applyAlignment="1" applyProtection="1" pivotButton="0" quotePrefix="0" xfId="0">
      <alignment horizontal="right"/>
      <protection locked="0" hidden="0"/>
    </xf>
    <xf numFmtId="1" fontId="56" fillId="15" borderId="0" pivotButton="0" quotePrefix="0" xfId="0"/>
    <xf numFmtId="1" fontId="56" fillId="28" borderId="0" pivotButton="0" quotePrefix="0" xfId="0"/>
    <xf numFmtId="0" fontId="56" fillId="23" borderId="0" pivotButton="0" quotePrefix="0" xfId="0"/>
    <xf numFmtId="0" fontId="56" fillId="28" borderId="0" pivotButton="0" quotePrefix="0" xfId="0"/>
    <xf numFmtId="0" fontId="56" fillId="21" borderId="0" pivotButton="0" quotePrefix="0" xfId="0"/>
    <xf numFmtId="1" fontId="5" fillId="3" borderId="346" pivotButton="0" quotePrefix="0" xfId="0"/>
    <xf numFmtId="1" fontId="5" fillId="7" borderId="388" applyAlignment="1" pivotButton="0" quotePrefix="0" xfId="0">
      <alignment horizontal="right"/>
    </xf>
    <xf numFmtId="1" fontId="5" fillId="28" borderId="386" applyAlignment="1" pivotButton="0" quotePrefix="0" xfId="0">
      <alignment horizontal="right"/>
    </xf>
    <xf numFmtId="1" fontId="5" fillId="4" borderId="257" applyAlignment="1" applyProtection="1" pivotButton="0" quotePrefix="0" xfId="0">
      <alignment horizontal="right"/>
      <protection locked="0" hidden="0"/>
    </xf>
    <xf numFmtId="1" fontId="5" fillId="4" borderId="25" applyAlignment="1" applyProtection="1" pivotButton="0" quotePrefix="0" xfId="0">
      <alignment horizontal="right"/>
      <protection locked="0" hidden="0"/>
    </xf>
    <xf numFmtId="1" fontId="5" fillId="4" borderId="1074" applyAlignment="1" applyProtection="1" pivotButton="0" quotePrefix="0" xfId="0">
      <alignment horizontal="right"/>
      <protection locked="0" hidden="0"/>
    </xf>
    <xf numFmtId="1" fontId="5" fillId="6" borderId="384" applyAlignment="1" pivotButton="0" quotePrefix="0" xfId="0">
      <alignment horizontal="right"/>
    </xf>
    <xf numFmtId="1" fontId="5" fillId="3" borderId="339" pivotButton="0" quotePrefix="0" xfId="0"/>
    <xf numFmtId="1" fontId="5" fillId="7" borderId="338" applyAlignment="1" pivotButton="0" quotePrefix="0" xfId="0">
      <alignment horizontal="right"/>
    </xf>
    <xf numFmtId="1" fontId="5" fillId="7" borderId="470" applyAlignment="1" pivotButton="0" quotePrefix="0" xfId="0">
      <alignment horizontal="right"/>
    </xf>
    <xf numFmtId="1" fontId="5" fillId="6" borderId="475" applyAlignment="1" pivotButton="0" quotePrefix="0" xfId="0">
      <alignment horizontal="right"/>
    </xf>
    <xf numFmtId="1" fontId="5" fillId="4" borderId="0" applyAlignment="1" applyProtection="1" pivotButton="0" quotePrefix="0" xfId="0">
      <alignment horizontal="right"/>
      <protection locked="0" hidden="0"/>
    </xf>
    <xf numFmtId="1" fontId="5" fillId="4" borderId="281" applyAlignment="1" applyProtection="1" pivotButton="0" quotePrefix="0" xfId="0">
      <alignment horizontal="right"/>
      <protection locked="0" hidden="0"/>
    </xf>
    <xf numFmtId="1" fontId="5" fillId="4" borderId="546" applyAlignment="1" applyProtection="1" pivotButton="0" quotePrefix="0" xfId="0">
      <alignment horizontal="right"/>
      <protection locked="0" hidden="0"/>
    </xf>
    <xf numFmtId="1" fontId="5" fillId="11" borderId="2" applyAlignment="1" pivotButton="0" quotePrefix="0" xfId="0">
      <alignment horizontal="right"/>
    </xf>
    <xf numFmtId="1" fontId="5" fillId="3" borderId="281" pivotButton="0" quotePrefix="0" xfId="0"/>
    <xf numFmtId="1" fontId="5" fillId="7" borderId="408" applyAlignment="1" pivotButton="0" quotePrefix="0" xfId="0">
      <alignment horizontal="right"/>
    </xf>
    <xf numFmtId="1" fontId="5" fillId="7" borderId="410" applyAlignment="1" pivotButton="0" quotePrefix="0" xfId="0">
      <alignment horizontal="right"/>
    </xf>
    <xf numFmtId="1" fontId="5" fillId="4" borderId="2" applyAlignment="1" applyProtection="1" pivotButton="0" quotePrefix="0" xfId="0">
      <alignment horizontal="right"/>
      <protection locked="0" hidden="0"/>
    </xf>
    <xf numFmtId="1" fontId="5" fillId="28" borderId="226" applyAlignment="1" pivotButton="0" quotePrefix="0" xfId="0">
      <alignment horizontal="right"/>
    </xf>
    <xf numFmtId="1" fontId="5" fillId="7" borderId="413" applyAlignment="1" pivotButton="0" quotePrefix="0" xfId="0">
      <alignment horizontal="right"/>
    </xf>
    <xf numFmtId="1" fontId="5" fillId="7" borderId="247" applyAlignment="1" pivotButton="0" quotePrefix="0" xfId="0">
      <alignment horizontal="right"/>
    </xf>
    <xf numFmtId="1" fontId="5" fillId="6" borderId="400" applyAlignment="1" pivotButton="0" quotePrefix="0" xfId="0">
      <alignment horizontal="right"/>
    </xf>
    <xf numFmtId="1" fontId="5" fillId="11" borderId="386" applyAlignment="1" pivotButton="0" quotePrefix="0" xfId="0">
      <alignment horizontal="right"/>
    </xf>
    <xf numFmtId="1" fontId="5" fillId="6" borderId="377" applyAlignment="1" pivotButton="0" quotePrefix="0" xfId="0">
      <alignment horizontal="right"/>
    </xf>
    <xf numFmtId="1" fontId="5" fillId="7" borderId="469" applyAlignment="1" pivotButton="0" quotePrefix="0" xfId="0">
      <alignment horizontal="right"/>
    </xf>
    <xf numFmtId="1" fontId="5" fillId="0" borderId="0" applyAlignment="1" pivotButton="0" quotePrefix="0" xfId="0">
      <alignment vertical="center" wrapText="1"/>
    </xf>
    <xf numFmtId="1" fontId="5" fillId="4" borderId="404" applyAlignment="1" applyProtection="1" pivotButton="0" quotePrefix="0" xfId="0">
      <alignment horizontal="right"/>
      <protection locked="0" hidden="0"/>
    </xf>
    <xf numFmtId="1" fontId="5" fillId="4" borderId="405" applyAlignment="1" applyProtection="1" pivotButton="0" quotePrefix="0" xfId="0">
      <alignment horizontal="right"/>
      <protection locked="0" hidden="0"/>
    </xf>
    <xf numFmtId="1" fontId="5" fillId="4" borderId="446" applyAlignment="1" applyProtection="1" pivotButton="0" quotePrefix="0" xfId="0">
      <alignment horizontal="right"/>
      <protection locked="0" hidden="0"/>
    </xf>
    <xf numFmtId="1" fontId="5" fillId="7" borderId="327" applyAlignment="1" pivotButton="0" quotePrefix="0" xfId="0">
      <alignment horizontal="right"/>
    </xf>
    <xf numFmtId="1" fontId="5" fillId="4" borderId="22" applyAlignment="1" applyProtection="1" pivotButton="0" quotePrefix="0" xfId="0">
      <alignment horizontal="right"/>
      <protection locked="0" hidden="0"/>
    </xf>
    <xf numFmtId="1" fontId="5" fillId="6" borderId="262" applyAlignment="1" pivotButton="0" quotePrefix="0" xfId="0">
      <alignment horizontal="right"/>
    </xf>
    <xf numFmtId="1" fontId="5" fillId="7" borderId="387" applyAlignment="1" pivotButton="0" quotePrefix="0" xfId="0">
      <alignment horizontal="right"/>
    </xf>
    <xf numFmtId="1" fontId="5" fillId="4" borderId="23" applyAlignment="1" applyProtection="1" pivotButton="0" quotePrefix="0" xfId="0">
      <alignment horizontal="right"/>
      <protection locked="0" hidden="0"/>
    </xf>
    <xf numFmtId="1" fontId="5" fillId="4" borderId="1131" applyAlignment="1" applyProtection="1" pivotButton="0" quotePrefix="0" xfId="0">
      <alignment horizontal="right"/>
      <protection locked="0" hidden="0"/>
    </xf>
    <xf numFmtId="1" fontId="5" fillId="4" borderId="21" applyAlignment="1" applyProtection="1" pivotButton="0" quotePrefix="0" xfId="0">
      <alignment horizontal="right"/>
      <protection locked="0" hidden="0"/>
    </xf>
    <xf numFmtId="1" fontId="5" fillId="4" borderId="1336" applyAlignment="1" applyProtection="1" pivotButton="0" quotePrefix="0" xfId="0">
      <alignment horizontal="right"/>
      <protection locked="0" hidden="0"/>
    </xf>
    <xf numFmtId="1" fontId="5" fillId="6" borderId="2" applyAlignment="1" pivotButton="0" quotePrefix="0" xfId="0">
      <alignment horizontal="right"/>
    </xf>
    <xf numFmtId="1" fontId="5" fillId="4" borderId="1338" applyAlignment="1" applyProtection="1" pivotButton="0" quotePrefix="0" xfId="0">
      <alignment horizontal="right"/>
      <protection locked="0" hidden="0"/>
    </xf>
    <xf numFmtId="1" fontId="5" fillId="0" borderId="281" applyAlignment="1" pivotButton="0" quotePrefix="0" xfId="0">
      <alignment horizontal="left" vertical="center"/>
    </xf>
    <xf numFmtId="1" fontId="5" fillId="4" borderId="365" applyAlignment="1" applyProtection="1" pivotButton="0" quotePrefix="0" xfId="0">
      <alignment horizontal="right"/>
      <protection locked="0" hidden="0"/>
    </xf>
    <xf numFmtId="1" fontId="5" fillId="4" borderId="1337" applyAlignment="1" applyProtection="1" pivotButton="0" quotePrefix="0" xfId="0">
      <alignment horizontal="right"/>
      <protection locked="0" hidden="0"/>
    </xf>
    <xf numFmtId="1" fontId="5" fillId="6" borderId="452" applyAlignment="1" pivotButton="0" quotePrefix="0" xfId="0">
      <alignment horizontal="right"/>
    </xf>
    <xf numFmtId="1" fontId="5" fillId="6" borderId="18" applyAlignment="1" pivotButton="0" quotePrefix="0" xfId="0">
      <alignment horizontal="right"/>
    </xf>
    <xf numFmtId="1" fontId="5" fillId="6" borderId="1339" applyAlignment="1" pivotButton="0" quotePrefix="0" xfId="0">
      <alignment horizontal="right"/>
    </xf>
    <xf numFmtId="1" fontId="5" fillId="0" borderId="367" pivotButton="0" quotePrefix="0" xfId="0"/>
    <xf numFmtId="1" fontId="5" fillId="7" borderId="226" applyAlignment="1" pivotButton="0" quotePrefix="0" xfId="0">
      <alignment horizontal="right"/>
    </xf>
    <xf numFmtId="1" fontId="5" fillId="7" borderId="230" applyAlignment="1" pivotButton="0" quotePrefix="0" xfId="0">
      <alignment horizontal="right"/>
    </xf>
    <xf numFmtId="1" fontId="5" fillId="6" borderId="1340" applyAlignment="1" pivotButton="0" quotePrefix="0" xfId="0">
      <alignment horizontal="right"/>
    </xf>
    <xf numFmtId="1" fontId="5" fillId="6" borderId="1140" applyAlignment="1" pivotButton="0" quotePrefix="0" xfId="0">
      <alignment horizontal="right"/>
    </xf>
    <xf numFmtId="1" fontId="5" fillId="4" borderId="1341" applyAlignment="1" applyProtection="1" pivotButton="0" quotePrefix="0" xfId="0">
      <alignment horizontal="right"/>
      <protection locked="0" hidden="0"/>
    </xf>
    <xf numFmtId="1" fontId="5" fillId="4" borderId="1340" applyAlignment="1" applyProtection="1" pivotButton="0" quotePrefix="0" xfId="0">
      <alignment horizontal="right"/>
      <protection locked="0" hidden="0"/>
    </xf>
    <xf numFmtId="1" fontId="29" fillId="5" borderId="0" pivotButton="0" quotePrefix="0" xfId="0"/>
    <xf numFmtId="1" fontId="5" fillId="0" borderId="455" applyAlignment="1" pivotButton="0" quotePrefix="0" xfId="0">
      <alignment horizontal="center" vertical="center"/>
    </xf>
    <xf numFmtId="1" fontId="5" fillId="0" borderId="434" applyAlignment="1" pivotButton="0" quotePrefix="0" xfId="0">
      <alignment horizontal="center" vertical="center" wrapText="1"/>
    </xf>
    <xf numFmtId="1" fontId="5" fillId="3" borderId="455" applyAlignment="1" pivotButton="0" quotePrefix="0" xfId="0">
      <alignment horizontal="center" vertical="center"/>
    </xf>
    <xf numFmtId="1" fontId="5" fillId="3" borderId="457" applyAlignment="1" pivotButton="0" quotePrefix="0" xfId="0">
      <alignment horizontal="center" vertical="center" wrapText="1"/>
    </xf>
    <xf numFmtId="1" fontId="5" fillId="2" borderId="476" applyAlignment="1" applyProtection="1" pivotButton="0" quotePrefix="0" xfId="1">
      <alignment horizontal="right"/>
      <protection locked="0" hidden="0"/>
    </xf>
    <xf numFmtId="1" fontId="5" fillId="2" borderId="477" applyAlignment="1" applyProtection="1" pivotButton="0" quotePrefix="0" xfId="1">
      <alignment horizontal="right"/>
      <protection locked="0" hidden="0"/>
    </xf>
    <xf numFmtId="1" fontId="5" fillId="4" borderId="478" applyAlignment="1" applyProtection="1" pivotButton="0" quotePrefix="0" xfId="0">
      <alignment horizontal="right"/>
      <protection locked="0" hidden="0"/>
    </xf>
    <xf numFmtId="1" fontId="5" fillId="2" borderId="479" applyAlignment="1" applyProtection="1" pivotButton="0" quotePrefix="0" xfId="1">
      <alignment horizontal="right"/>
      <protection locked="0" hidden="0"/>
    </xf>
    <xf numFmtId="1" fontId="5" fillId="2" borderId="480" applyAlignment="1" applyProtection="1" pivotButton="0" quotePrefix="0" xfId="1">
      <alignment horizontal="right"/>
      <protection locked="0" hidden="0"/>
    </xf>
    <xf numFmtId="1" fontId="5" fillId="4" borderId="480" applyAlignment="1" applyProtection="1" pivotButton="0" quotePrefix="0" xfId="0">
      <alignment horizontal="right"/>
      <protection locked="0" hidden="0"/>
    </xf>
    <xf numFmtId="1" fontId="5" fillId="2" borderId="481" applyAlignment="1" applyProtection="1" pivotButton="0" quotePrefix="0" xfId="1">
      <alignment horizontal="right"/>
      <protection locked="0" hidden="0"/>
    </xf>
    <xf numFmtId="1" fontId="5" fillId="4" borderId="482" applyAlignment="1" applyProtection="1" pivotButton="0" quotePrefix="0" xfId="0">
      <alignment horizontal="right"/>
      <protection locked="0" hidden="0"/>
    </xf>
    <xf numFmtId="1" fontId="5" fillId="4" borderId="483" applyAlignment="1" applyProtection="1" pivotButton="0" quotePrefix="0" xfId="0">
      <alignment horizontal="right"/>
      <protection locked="0" hidden="0"/>
    </xf>
    <xf numFmtId="0" fontId="56" fillId="0" borderId="0" applyAlignment="1" pivotButton="0" quotePrefix="0" xfId="0">
      <alignment vertical="center"/>
    </xf>
    <xf numFmtId="1" fontId="5" fillId="2" borderId="398" applyAlignment="1" applyProtection="1" pivotButton="0" quotePrefix="0" xfId="1">
      <alignment horizontal="right"/>
      <protection locked="0" hidden="0"/>
    </xf>
    <xf numFmtId="1" fontId="5" fillId="2" borderId="396" applyAlignment="1" applyProtection="1" pivotButton="0" quotePrefix="0" xfId="1">
      <alignment horizontal="right"/>
      <protection locked="0" hidden="0"/>
    </xf>
    <xf numFmtId="1" fontId="5" fillId="2" borderId="389" applyAlignment="1" applyProtection="1" pivotButton="0" quotePrefix="0" xfId="1">
      <alignment horizontal="right"/>
      <protection locked="0" hidden="0"/>
    </xf>
    <xf numFmtId="1" fontId="5" fillId="2" borderId="380" applyAlignment="1" applyProtection="1" pivotButton="0" quotePrefix="0" xfId="1">
      <alignment horizontal="right"/>
      <protection locked="0" hidden="0"/>
    </xf>
    <xf numFmtId="1" fontId="5" fillId="7" borderId="389" applyAlignment="1" pivotButton="0" quotePrefix="0" xfId="0">
      <alignment horizontal="right"/>
    </xf>
    <xf numFmtId="1" fontId="56" fillId="21" borderId="0" pivotButton="0" quotePrefix="0" xfId="0"/>
    <xf numFmtId="1" fontId="5" fillId="2" borderId="484" applyAlignment="1" applyProtection="1" pivotButton="0" quotePrefix="0" xfId="1">
      <alignment horizontal="right"/>
      <protection locked="0" hidden="0"/>
    </xf>
    <xf numFmtId="1" fontId="5" fillId="2" borderId="485" applyAlignment="1" applyProtection="1" pivotButton="0" quotePrefix="0" xfId="1">
      <alignment horizontal="right"/>
      <protection locked="0" hidden="0"/>
    </xf>
    <xf numFmtId="1" fontId="5" fillId="7" borderId="347" applyAlignment="1" pivotButton="0" quotePrefix="0" xfId="0">
      <alignment horizontal="right"/>
    </xf>
    <xf numFmtId="1" fontId="5" fillId="2" borderId="386" applyAlignment="1" applyProtection="1" pivotButton="0" quotePrefix="0" xfId="1">
      <alignment horizontal="right"/>
      <protection locked="0" hidden="0"/>
    </xf>
    <xf numFmtId="1" fontId="5" fillId="7" borderId="231" applyAlignment="1" pivotButton="0" quotePrefix="0" xfId="0">
      <alignment horizontal="right"/>
    </xf>
    <xf numFmtId="1" fontId="5" fillId="19" borderId="387" applyAlignment="1" pivotButton="0" quotePrefix="0" xfId="0">
      <alignment horizontal="right"/>
    </xf>
    <xf numFmtId="1" fontId="5" fillId="2" borderId="378" applyAlignment="1" applyProtection="1" pivotButton="0" quotePrefix="0" xfId="1">
      <alignment horizontal="right"/>
      <protection locked="0" hidden="0"/>
    </xf>
    <xf numFmtId="1" fontId="5" fillId="2" borderId="384" applyAlignment="1" applyProtection="1" pivotButton="0" quotePrefix="0" xfId="1">
      <alignment horizontal="right"/>
      <protection locked="0" hidden="0"/>
    </xf>
    <xf numFmtId="1" fontId="69" fillId="5" borderId="488" pivotButton="0" quotePrefix="0" xfId="0"/>
    <xf numFmtId="1" fontId="26" fillId="5" borderId="0" pivotButton="0" quotePrefix="0" xfId="0"/>
    <xf numFmtId="1" fontId="5" fillId="0" borderId="492" applyAlignment="1" pivotButton="0" quotePrefix="0" xfId="0">
      <alignment horizontal="center" vertical="center" wrapText="1"/>
    </xf>
    <xf numFmtId="1" fontId="5" fillId="3" borderId="493" applyAlignment="1" pivotButton="0" quotePrefix="0" xfId="1">
      <alignment horizontal="right"/>
    </xf>
    <xf numFmtId="1" fontId="5" fillId="3" borderId="494" applyAlignment="1" pivotButton="0" quotePrefix="0" xfId="1">
      <alignment horizontal="right"/>
    </xf>
    <xf numFmtId="1" fontId="5" fillId="3" borderId="495" applyAlignment="1" pivotButton="0" quotePrefix="0" xfId="1">
      <alignment horizontal="right"/>
    </xf>
    <xf numFmtId="1" fontId="5" fillId="7" borderId="496" applyAlignment="1" pivotButton="0" quotePrefix="0" xfId="0">
      <alignment horizontal="right"/>
    </xf>
    <xf numFmtId="1" fontId="5" fillId="4" borderId="496" applyAlignment="1" applyProtection="1" pivotButton="0" quotePrefix="0" xfId="0">
      <alignment horizontal="right"/>
      <protection locked="0" hidden="0"/>
    </xf>
    <xf numFmtId="1" fontId="5" fillId="4" borderId="497" applyAlignment="1" applyProtection="1" pivotButton="0" quotePrefix="0" xfId="0">
      <alignment horizontal="right"/>
      <protection locked="0" hidden="0"/>
    </xf>
    <xf numFmtId="1" fontId="5" fillId="28" borderId="498" applyAlignment="1" pivotButton="0" quotePrefix="0" xfId="0">
      <alignment horizontal="right"/>
    </xf>
    <xf numFmtId="0" fontId="56" fillId="5" borderId="0" pivotButton="0" quotePrefix="0" xfId="0"/>
    <xf numFmtId="1" fontId="5" fillId="3" borderId="499" applyAlignment="1" pivotButton="0" quotePrefix="0" xfId="1">
      <alignment horizontal="right"/>
    </xf>
    <xf numFmtId="1" fontId="5" fillId="3" borderId="500" applyAlignment="1" pivotButton="0" quotePrefix="0" xfId="1">
      <alignment horizontal="right"/>
    </xf>
    <xf numFmtId="1" fontId="5" fillId="3" borderId="501" applyAlignment="1" pivotButton="0" quotePrefix="0" xfId="1">
      <alignment horizontal="right"/>
    </xf>
    <xf numFmtId="1" fontId="5" fillId="7" borderId="394" applyAlignment="1" pivotButton="0" quotePrefix="0" xfId="0">
      <alignment horizontal="right"/>
    </xf>
    <xf numFmtId="1" fontId="5" fillId="7" borderId="385" applyAlignment="1" pivotButton="0" quotePrefix="0" xfId="0">
      <alignment horizontal="right"/>
    </xf>
    <xf numFmtId="1" fontId="5" fillId="28" borderId="389" applyAlignment="1" pivotButton="0" quotePrefix="0" xfId="0">
      <alignment horizontal="right"/>
    </xf>
    <xf numFmtId="1" fontId="5" fillId="7" borderId="329" applyAlignment="1" pivotButton="0" quotePrefix="0" xfId="0">
      <alignment horizontal="right"/>
    </xf>
    <xf numFmtId="1" fontId="5" fillId="3" borderId="502" applyAlignment="1" pivotButton="0" quotePrefix="0" xfId="1">
      <alignment horizontal="right"/>
    </xf>
    <xf numFmtId="1" fontId="5" fillId="3" borderId="503" applyAlignment="1" pivotButton="0" quotePrefix="0" xfId="1">
      <alignment horizontal="right"/>
    </xf>
    <xf numFmtId="1" fontId="5" fillId="3" borderId="504" applyAlignment="1" pivotButton="0" quotePrefix="0" xfId="1">
      <alignment horizontal="right"/>
    </xf>
    <xf numFmtId="1" fontId="5" fillId="7" borderId="227" applyAlignment="1" pivotButton="0" quotePrefix="0" xfId="0">
      <alignment horizontal="right"/>
    </xf>
    <xf numFmtId="1" fontId="5" fillId="7" borderId="498" applyAlignment="1" pivotButton="0" quotePrefix="0" xfId="0">
      <alignment horizontal="right"/>
    </xf>
    <xf numFmtId="1" fontId="5" fillId="3" borderId="282" applyAlignment="1" pivotButton="0" quotePrefix="0" xfId="1">
      <alignment horizontal="right"/>
    </xf>
    <xf numFmtId="1" fontId="5" fillId="3" borderId="0" applyAlignment="1" pivotButton="0" quotePrefix="0" xfId="1">
      <alignment horizontal="right"/>
    </xf>
    <xf numFmtId="1" fontId="5" fillId="3" borderId="505" applyAlignment="1" pivotButton="0" quotePrefix="0" xfId="1">
      <alignment horizontal="right"/>
    </xf>
    <xf numFmtId="1" fontId="5" fillId="7" borderId="282" applyAlignment="1" pivotButton="0" quotePrefix="0" xfId="0">
      <alignment horizontal="right"/>
    </xf>
    <xf numFmtId="1" fontId="5" fillId="7" borderId="262" applyAlignment="1" pivotButton="0" quotePrefix="0" xfId="0">
      <alignment horizontal="right"/>
    </xf>
    <xf numFmtId="1" fontId="5" fillId="7" borderId="505" applyAlignment="1" pivotButton="0" quotePrefix="0" xfId="0">
      <alignment horizontal="right"/>
    </xf>
    <xf numFmtId="1" fontId="5" fillId="4" borderId="8" applyAlignment="1" applyProtection="1" pivotButton="0" quotePrefix="0" xfId="0">
      <alignment horizontal="right"/>
      <protection locked="0" hidden="0"/>
    </xf>
    <xf numFmtId="1" fontId="5" fillId="28" borderId="262" applyAlignment="1" pivotButton="0" quotePrefix="0" xfId="0">
      <alignment horizontal="right"/>
    </xf>
    <xf numFmtId="1" fontId="5" fillId="7" borderId="378" applyAlignment="1" pivotButton="0" quotePrefix="0" xfId="0">
      <alignment horizontal="right"/>
    </xf>
    <xf numFmtId="1" fontId="5" fillId="7" borderId="383" applyAlignment="1" pivotButton="0" quotePrefix="0" xfId="0">
      <alignment horizontal="right"/>
    </xf>
    <xf numFmtId="1" fontId="5" fillId="28" borderId="378" applyAlignment="1" pivotButton="0" quotePrefix="0" xfId="0">
      <alignment horizontal="right"/>
    </xf>
    <xf numFmtId="1" fontId="5" fillId="3" borderId="507" applyAlignment="1" pivotButton="0" quotePrefix="0" xfId="1">
      <alignment horizontal="right"/>
    </xf>
    <xf numFmtId="1" fontId="5" fillId="3" borderId="508" applyAlignment="1" pivotButton="0" quotePrefix="0" xfId="1">
      <alignment horizontal="right"/>
    </xf>
    <xf numFmtId="1" fontId="5" fillId="3" borderId="509" applyAlignment="1" pivotButton="0" quotePrefix="0" xfId="1">
      <alignment horizontal="right"/>
    </xf>
    <xf numFmtId="1" fontId="5" fillId="3" borderId="383" applyAlignment="1" pivotButton="0" quotePrefix="0" xfId="1">
      <alignment horizontal="right"/>
    </xf>
    <xf numFmtId="1" fontId="5" fillId="3" borderId="510" applyAlignment="1" pivotButton="0" quotePrefix="0" xfId="1">
      <alignment horizontal="right"/>
    </xf>
    <xf numFmtId="1" fontId="5" fillId="3" borderId="511" applyAlignment="1" pivotButton="0" quotePrefix="0" xfId="1">
      <alignment horizontal="right"/>
    </xf>
    <xf numFmtId="1" fontId="5" fillId="3" borderId="512" applyAlignment="1" pivotButton="0" quotePrefix="0" xfId="1">
      <alignment horizontal="right"/>
    </xf>
    <xf numFmtId="1" fontId="5" fillId="7" borderId="450" applyAlignment="1" pivotButton="0" quotePrefix="0" xfId="0">
      <alignment horizontal="right"/>
    </xf>
    <xf numFmtId="1" fontId="5" fillId="7" borderId="393" applyAlignment="1" pivotButton="0" quotePrefix="0" xfId="0">
      <alignment horizontal="right"/>
    </xf>
    <xf numFmtId="1" fontId="5" fillId="7" borderId="407" applyAlignment="1" pivotButton="0" quotePrefix="0" xfId="0">
      <alignment horizontal="right"/>
    </xf>
    <xf numFmtId="1" fontId="5" fillId="0" borderId="513" applyAlignment="1" pivotButton="0" quotePrefix="0" xfId="0">
      <alignment horizontal="center" vertical="center" wrapText="1"/>
    </xf>
    <xf numFmtId="1" fontId="5" fillId="0" borderId="516" applyAlignment="1" pivotButton="0" quotePrefix="0" xfId="0">
      <alignment horizontal="center" vertical="center" wrapText="1"/>
    </xf>
    <xf numFmtId="1" fontId="5" fillId="0" borderId="506" applyAlignment="1" pivotButton="0" quotePrefix="0" xfId="0">
      <alignment horizontal="center" vertical="center"/>
    </xf>
    <xf numFmtId="1" fontId="5" fillId="0" borderId="519" applyAlignment="1" pivotButton="0" quotePrefix="0" xfId="0">
      <alignment horizontal="center" vertical="center" wrapText="1"/>
    </xf>
    <xf numFmtId="1" fontId="5" fillId="4" borderId="330" applyAlignment="1" applyProtection="1" pivotButton="0" quotePrefix="0" xfId="0">
      <alignment horizontal="right"/>
      <protection locked="0" hidden="0"/>
    </xf>
    <xf numFmtId="1" fontId="5" fillId="4" borderId="339" applyAlignment="1" applyProtection="1" pivotButton="0" quotePrefix="0" xfId="0">
      <alignment horizontal="right"/>
      <protection locked="0" hidden="0"/>
    </xf>
    <xf numFmtId="1" fontId="5" fillId="0" borderId="525" pivotButton="0" quotePrefix="0" xfId="0"/>
    <xf numFmtId="1" fontId="5" fillId="0" borderId="526" pivotButton="0" quotePrefix="0" xfId="0"/>
    <xf numFmtId="1" fontId="5" fillId="0" borderId="530" applyAlignment="1" pivotButton="0" quotePrefix="0" xfId="0">
      <alignment horizontal="center" vertical="center" wrapText="1"/>
    </xf>
    <xf numFmtId="1" fontId="5" fillId="0" borderId="531" applyAlignment="1" pivotButton="0" quotePrefix="0" xfId="0">
      <alignment horizontal="center" vertical="center" wrapText="1"/>
    </xf>
    <xf numFmtId="1" fontId="5" fillId="28" borderId="447" applyAlignment="1" pivotButton="0" quotePrefix="0" xfId="0">
      <alignment horizontal="right"/>
    </xf>
    <xf numFmtId="1" fontId="5" fillId="4" borderId="417" applyAlignment="1" applyProtection="1" pivotButton="0" quotePrefix="0" xfId="0">
      <alignment horizontal="right"/>
      <protection locked="0" hidden="0"/>
    </xf>
    <xf numFmtId="1" fontId="5" fillId="3" borderId="380" pivotButton="0" quotePrefix="0" xfId="0"/>
    <xf numFmtId="1" fontId="5" fillId="28" borderId="470" applyAlignment="1" pivotButton="0" quotePrefix="0" xfId="0">
      <alignment horizontal="right"/>
    </xf>
    <xf numFmtId="1" fontId="5" fillId="4" borderId="420" applyAlignment="1" applyProtection="1" pivotButton="0" quotePrefix="0" xfId="0">
      <alignment horizontal="right"/>
      <protection locked="0" hidden="0"/>
    </xf>
    <xf numFmtId="1" fontId="5" fillId="28" borderId="382" applyAlignment="1" pivotButton="0" quotePrefix="0" xfId="0">
      <alignment horizontal="right"/>
    </xf>
    <xf numFmtId="0" fontId="5" fillId="0" borderId="346" pivotButton="0" quotePrefix="0" xfId="0"/>
    <xf numFmtId="1" fontId="5" fillId="6" borderId="469" applyAlignment="1" pivotButton="0" quotePrefix="0" xfId="0">
      <alignment horizontal="right"/>
    </xf>
    <xf numFmtId="1" fontId="5" fillId="28" borderId="230" applyAlignment="1" pivotButton="0" quotePrefix="0" xfId="0">
      <alignment horizontal="right"/>
    </xf>
    <xf numFmtId="1" fontId="5" fillId="28" borderId="228" applyAlignment="1" pivotButton="0" quotePrefix="0" xfId="0">
      <alignment horizontal="right"/>
    </xf>
    <xf numFmtId="1" fontId="5" fillId="28" borderId="227" applyAlignment="1" pivotButton="0" quotePrefix="0" xfId="0">
      <alignment horizontal="right"/>
    </xf>
    <xf numFmtId="1" fontId="5" fillId="28" borderId="369" applyAlignment="1" pivotButton="0" quotePrefix="0" xfId="0">
      <alignment horizontal="right"/>
    </xf>
    <xf numFmtId="1" fontId="5" fillId="28" borderId="346" applyAlignment="1" pivotButton="0" quotePrefix="0" xfId="0">
      <alignment horizontal="right"/>
    </xf>
    <xf numFmtId="1" fontId="5" fillId="28" borderId="472" applyAlignment="1" pivotButton="0" quotePrefix="0" xfId="0">
      <alignment horizontal="right"/>
    </xf>
    <xf numFmtId="1" fontId="5" fillId="0" borderId="533" applyAlignment="1" pivotButton="0" quotePrefix="0" xfId="0">
      <alignment horizontal="center" vertical="center"/>
    </xf>
    <xf numFmtId="1" fontId="5" fillId="3" borderId="394" applyAlignment="1" pivotButton="0" quotePrefix="0" xfId="1">
      <alignment horizontal="right"/>
    </xf>
    <xf numFmtId="1" fontId="5" fillId="3" borderId="398" applyAlignment="1" pivotButton="0" quotePrefix="0" xfId="1">
      <alignment horizontal="right"/>
    </xf>
    <xf numFmtId="1" fontId="5" fillId="3" borderId="385" applyAlignment="1" pivotButton="0" quotePrefix="0" xfId="1">
      <alignment horizontal="right"/>
    </xf>
    <xf numFmtId="1" fontId="5" fillId="8" borderId="395" applyAlignment="1" applyProtection="1" pivotButton="0" quotePrefix="0" xfId="0">
      <alignment horizontal="right"/>
      <protection locked="0" hidden="0"/>
    </xf>
    <xf numFmtId="1" fontId="5" fillId="3" borderId="399" applyAlignment="1" pivotButton="0" quotePrefix="0" xfId="1">
      <alignment horizontal="right"/>
    </xf>
    <xf numFmtId="1" fontId="5" fillId="3" borderId="386" applyAlignment="1" pivotButton="0" quotePrefix="0" xfId="1">
      <alignment horizontal="right"/>
    </xf>
    <xf numFmtId="1" fontId="5" fillId="8" borderId="469" applyAlignment="1" applyProtection="1" pivotButton="0" quotePrefix="0" xfId="0">
      <alignment horizontal="right"/>
      <protection locked="0" hidden="0"/>
    </xf>
    <xf numFmtId="1" fontId="5" fillId="8" borderId="227" applyAlignment="1" applyProtection="1" pivotButton="0" quotePrefix="0" xfId="0">
      <alignment horizontal="right"/>
      <protection locked="0" hidden="0"/>
    </xf>
    <xf numFmtId="1" fontId="5" fillId="8" borderId="347" applyAlignment="1" applyProtection="1" pivotButton="0" quotePrefix="0" xfId="0">
      <alignment horizontal="right"/>
      <protection locked="0" hidden="0"/>
    </xf>
    <xf numFmtId="1" fontId="5" fillId="8" borderId="231" applyAlignment="1" applyProtection="1" pivotButton="0" quotePrefix="0" xfId="0">
      <alignment horizontal="right"/>
      <protection locked="0" hidden="0"/>
    </xf>
    <xf numFmtId="1" fontId="5" fillId="8" borderId="230" applyAlignment="1" applyProtection="1" pivotButton="0" quotePrefix="0" xfId="0">
      <alignment horizontal="right"/>
      <protection locked="0" hidden="0"/>
    </xf>
    <xf numFmtId="1" fontId="5" fillId="4" borderId="421" applyAlignment="1" applyProtection="1" pivotButton="0" quotePrefix="0" xfId="0">
      <alignment horizontal="right"/>
      <protection locked="0" hidden="0"/>
    </xf>
    <xf numFmtId="1" fontId="5" fillId="3" borderId="338" applyAlignment="1" pivotButton="0" quotePrefix="0" xfId="1">
      <alignment horizontal="right"/>
    </xf>
    <xf numFmtId="1" fontId="5" fillId="3" borderId="326" applyAlignment="1" pivotButton="0" quotePrefix="0" xfId="1">
      <alignment horizontal="right"/>
    </xf>
    <xf numFmtId="1" fontId="5" fillId="3" borderId="329" applyAlignment="1" pivotButton="0" quotePrefix="0" xfId="1">
      <alignment horizontal="right"/>
    </xf>
    <xf numFmtId="1" fontId="5" fillId="4" borderId="369" applyAlignment="1" applyProtection="1" pivotButton="0" quotePrefix="0" xfId="0">
      <alignment horizontal="right"/>
      <protection locked="0" hidden="0"/>
    </xf>
    <xf numFmtId="1" fontId="5" fillId="0" borderId="486" applyAlignment="1" applyProtection="1" pivotButton="0" quotePrefix="0" xfId="39">
      <alignment horizontal="center" vertical="center" wrapText="1"/>
      <protection locked="1" hidden="1"/>
    </xf>
    <xf numFmtId="1" fontId="5" fillId="0" borderId="536" applyAlignment="1" applyProtection="1" pivotButton="0" quotePrefix="0" xfId="39">
      <alignment horizontal="center" vertical="center" wrapText="1"/>
      <protection locked="1" hidden="1"/>
    </xf>
    <xf numFmtId="1" fontId="5" fillId="0" borderId="537" applyAlignment="1" pivotButton="0" quotePrefix="0" xfId="39">
      <alignment horizontal="center" vertical="center" wrapText="1"/>
    </xf>
    <xf numFmtId="1" fontId="5" fillId="0" borderId="464" applyAlignment="1" pivotButton="0" quotePrefix="0" xfId="39">
      <alignment horizontal="center" vertical="center" wrapText="1"/>
    </xf>
    <xf numFmtId="1" fontId="5" fillId="0" borderId="537" applyAlignment="1" applyProtection="1" pivotButton="0" quotePrefix="0" xfId="39">
      <alignment horizontal="center" vertical="center" wrapText="1"/>
      <protection locked="1" hidden="1"/>
    </xf>
    <xf numFmtId="1" fontId="5" fillId="0" borderId="463" applyAlignment="1" applyProtection="1" pivotButton="0" quotePrefix="0" xfId="39">
      <alignment horizontal="center" vertical="center" wrapText="1"/>
      <protection locked="1" hidden="1"/>
    </xf>
    <xf numFmtId="1" fontId="5" fillId="0" borderId="538" applyAlignment="1" applyProtection="1" pivotButton="0" quotePrefix="0" xfId="39">
      <alignment horizontal="center" vertical="center" wrapText="1"/>
      <protection locked="1" hidden="1"/>
    </xf>
    <xf numFmtId="1" fontId="5" fillId="0" borderId="449" pivotButton="0" quotePrefix="0" xfId="39"/>
    <xf numFmtId="1" fontId="5" fillId="0" borderId="339" applyAlignment="1" pivotButton="0" quotePrefix="0" xfId="39">
      <alignment horizontal="right"/>
    </xf>
    <xf numFmtId="1" fontId="5" fillId="4" borderId="339" applyProtection="1" pivotButton="0" quotePrefix="0" xfId="37">
      <protection locked="0" hidden="0"/>
    </xf>
    <xf numFmtId="1" fontId="5" fillId="4" borderId="338" applyProtection="1" pivotButton="0" quotePrefix="0" xfId="37">
      <protection locked="0" hidden="0"/>
    </xf>
    <xf numFmtId="1" fontId="5" fillId="4" borderId="390" applyProtection="1" pivotButton="0" quotePrefix="0" xfId="37">
      <protection locked="0" hidden="0"/>
    </xf>
    <xf numFmtId="1" fontId="5" fillId="4" borderId="326" applyProtection="1" pivotButton="0" quotePrefix="0" xfId="37">
      <protection locked="0" hidden="0"/>
    </xf>
    <xf numFmtId="1" fontId="5" fillId="4" borderId="379" applyProtection="1" pivotButton="0" quotePrefix="0" xfId="37">
      <protection locked="0" hidden="0"/>
    </xf>
    <xf numFmtId="1" fontId="5" fillId="0" borderId="380" pivotButton="0" quotePrefix="0" xfId="39"/>
    <xf numFmtId="1" fontId="5" fillId="0" borderId="380" applyAlignment="1" pivotButton="0" quotePrefix="0" xfId="39">
      <alignment horizontal="right"/>
    </xf>
    <xf numFmtId="1" fontId="5" fillId="0" borderId="384" pivotButton="0" quotePrefix="0" xfId="39"/>
    <xf numFmtId="1" fontId="5" fillId="0" borderId="384" applyAlignment="1" pivotButton="0" quotePrefix="0" xfId="39">
      <alignment horizontal="right"/>
    </xf>
    <xf numFmtId="1" fontId="5" fillId="4" borderId="384" applyProtection="1" pivotButton="0" quotePrefix="0" xfId="37">
      <protection locked="0" hidden="0"/>
    </xf>
    <xf numFmtId="1" fontId="5" fillId="4" borderId="399" applyProtection="1" pivotButton="0" quotePrefix="0" xfId="37">
      <protection locked="0" hidden="0"/>
    </xf>
    <xf numFmtId="1" fontId="5" fillId="4" borderId="378" applyProtection="1" pivotButton="0" quotePrefix="0" xfId="37">
      <protection locked="0" hidden="0"/>
    </xf>
    <xf numFmtId="1" fontId="5" fillId="4" borderId="386" applyProtection="1" pivotButton="0" quotePrefix="0" xfId="37">
      <protection locked="0" hidden="0"/>
    </xf>
    <xf numFmtId="1" fontId="5" fillId="4" borderId="415" applyProtection="1" pivotButton="0" quotePrefix="0" xfId="37">
      <protection locked="0" hidden="0"/>
    </xf>
    <xf numFmtId="1" fontId="5" fillId="0" borderId="346" applyAlignment="1" pivotButton="0" quotePrefix="0" xfId="39">
      <alignment horizontal="center"/>
    </xf>
    <xf numFmtId="1" fontId="5" fillId="0" borderId="346" applyAlignment="1" pivotButton="0" quotePrefix="0" xfId="39">
      <alignment horizontal="right"/>
    </xf>
    <xf numFmtId="1" fontId="5" fillId="0" borderId="347" applyAlignment="1" pivotButton="0" quotePrefix="0" xfId="39">
      <alignment horizontal="right"/>
    </xf>
    <xf numFmtId="1" fontId="5" fillId="0" borderId="474" applyAlignment="1" pivotButton="0" quotePrefix="0" xfId="39">
      <alignment horizontal="right"/>
    </xf>
    <xf numFmtId="1" fontId="5" fillId="0" borderId="226" applyAlignment="1" pivotButton="0" quotePrefix="0" xfId="39">
      <alignment horizontal="right"/>
    </xf>
    <xf numFmtId="1" fontId="5" fillId="0" borderId="539" applyAlignment="1" pivotButton="0" quotePrefix="0" xfId="39">
      <alignment horizontal="right"/>
    </xf>
    <xf numFmtId="1" fontId="5" fillId="0" borderId="433" pivotButton="0" quotePrefix="0" xfId="39"/>
    <xf numFmtId="1" fontId="16" fillId="0" borderId="0" applyAlignment="1" applyProtection="1" pivotButton="0" quotePrefix="0" xfId="39">
      <alignment horizontal="right"/>
      <protection locked="1" hidden="1"/>
    </xf>
    <xf numFmtId="1" fontId="5" fillId="0" borderId="0" applyProtection="1" pivotButton="0" quotePrefix="0" xfId="39">
      <protection locked="1" hidden="1"/>
    </xf>
    <xf numFmtId="1" fontId="14" fillId="0" borderId="0" applyAlignment="1" pivotButton="0" quotePrefix="0" xfId="39">
      <alignment wrapText="1"/>
    </xf>
    <xf numFmtId="1" fontId="5" fillId="0" borderId="533" applyAlignment="1" pivotButton="0" quotePrefix="0" xfId="39">
      <alignment horizontal="center" vertical="center" wrapText="1"/>
    </xf>
    <xf numFmtId="1" fontId="5" fillId="0" borderId="524" applyAlignment="1" pivotButton="0" quotePrefix="0" xfId="39">
      <alignment horizontal="center" vertical="center" wrapText="1"/>
    </xf>
    <xf numFmtId="1" fontId="5" fillId="0" borderId="533" applyAlignment="1" applyProtection="1" pivotButton="0" quotePrefix="0" xfId="39">
      <alignment horizontal="center" vertical="center" wrapText="1"/>
      <protection locked="1" hidden="1"/>
    </xf>
    <xf numFmtId="1" fontId="5" fillId="0" borderId="458" applyAlignment="1" applyProtection="1" pivotButton="0" quotePrefix="0" xfId="39">
      <alignment horizontal="center" vertical="center" wrapText="1"/>
      <protection locked="1" hidden="1"/>
    </xf>
    <xf numFmtId="1" fontId="5" fillId="4" borderId="376" applyProtection="1" pivotButton="0" quotePrefix="0" xfId="37">
      <protection locked="0" hidden="0"/>
    </xf>
    <xf numFmtId="1" fontId="16" fillId="0" borderId="433" pivotButton="0" quotePrefix="0" xfId="39"/>
    <xf numFmtId="1" fontId="16" fillId="0" borderId="0" pivotButton="0" quotePrefix="0" xfId="0"/>
    <xf numFmtId="1" fontId="16" fillId="0" borderId="0" applyAlignment="1" pivotButton="0" quotePrefix="0" xfId="39">
      <alignment wrapText="1"/>
    </xf>
    <xf numFmtId="1" fontId="5" fillId="0" borderId="529" applyAlignment="1" applyProtection="1" pivotButton="0" quotePrefix="0" xfId="39">
      <alignment horizontal="center" vertical="center" wrapText="1"/>
      <protection locked="1" hidden="1"/>
    </xf>
    <xf numFmtId="1" fontId="5" fillId="4" borderId="390" applyProtection="1" pivotButton="0" quotePrefix="0" xfId="40">
      <protection locked="0" hidden="0"/>
    </xf>
    <xf numFmtId="1" fontId="5" fillId="4" borderId="338" applyProtection="1" pivotButton="0" quotePrefix="0" xfId="40">
      <protection locked="0" hidden="0"/>
    </xf>
    <xf numFmtId="1" fontId="5" fillId="4" borderId="326" applyProtection="1" pivotButton="0" quotePrefix="0" xfId="40">
      <protection locked="0" hidden="0"/>
    </xf>
    <xf numFmtId="1" fontId="5" fillId="4" borderId="379" applyProtection="1" pivotButton="0" quotePrefix="0" xfId="40">
      <protection locked="0" hidden="0"/>
    </xf>
    <xf numFmtId="1" fontId="5" fillId="4" borderId="327" applyProtection="1" pivotButton="0" quotePrefix="0" xfId="40">
      <protection locked="0" hidden="0"/>
    </xf>
    <xf numFmtId="1" fontId="5" fillId="4" borderId="378" applyProtection="1" pivotButton="0" quotePrefix="0" xfId="40">
      <protection locked="0" hidden="0"/>
    </xf>
    <xf numFmtId="1" fontId="5" fillId="4" borderId="399" applyProtection="1" pivotButton="0" quotePrefix="0" xfId="40">
      <protection locked="0" hidden="0"/>
    </xf>
    <xf numFmtId="1" fontId="5" fillId="4" borderId="386" applyProtection="1" pivotButton="0" quotePrefix="0" xfId="40">
      <protection locked="0" hidden="0"/>
    </xf>
    <xf numFmtId="1" fontId="5" fillId="4" borderId="415" applyProtection="1" pivotButton="0" quotePrefix="0" xfId="40">
      <protection locked="0" hidden="0"/>
    </xf>
    <xf numFmtId="1" fontId="5" fillId="4" borderId="387" applyProtection="1" pivotButton="0" quotePrefix="0" xfId="40">
      <protection locked="0" hidden="0"/>
    </xf>
    <xf numFmtId="1" fontId="5" fillId="0" borderId="228" applyAlignment="1" pivotButton="0" quotePrefix="0" xfId="39">
      <alignment horizontal="right"/>
    </xf>
    <xf numFmtId="1" fontId="5" fillId="0" borderId="524" applyAlignment="1" pivotButton="0" quotePrefix="0" xfId="39">
      <alignment horizontal="right"/>
    </xf>
    <xf numFmtId="1" fontId="26" fillId="31" borderId="0" pivotButton="0" quotePrefix="0" xfId="0"/>
    <xf numFmtId="1" fontId="69" fillId="0" borderId="0" pivotButton="0" quotePrefix="0" xfId="0"/>
    <xf numFmtId="1" fontId="5" fillId="0" borderId="1347" pivotButton="0" quotePrefix="0" xfId="0"/>
    <xf numFmtId="1" fontId="5" fillId="0" borderId="362" applyAlignment="1" pivotButton="0" quotePrefix="0" xfId="0">
      <alignment horizontal="center" vertical="center" wrapText="1"/>
    </xf>
    <xf numFmtId="1" fontId="5" fillId="0" borderId="520" applyAlignment="1" pivotButton="0" quotePrefix="0" xfId="0">
      <alignment horizontal="right"/>
    </xf>
    <xf numFmtId="1" fontId="5" fillId="0" borderId="520" applyAlignment="1" pivotButton="0" quotePrefix="0" xfId="0">
      <alignment horizontal="right" vertical="center"/>
    </xf>
    <xf numFmtId="1" fontId="5" fillId="0" borderId="470" applyAlignment="1" pivotButton="0" quotePrefix="0" xfId="0">
      <alignment horizontal="right" vertical="center"/>
    </xf>
    <xf numFmtId="1" fontId="5" fillId="0" borderId="553" applyAlignment="1" pivotButton="0" quotePrefix="0" xfId="0">
      <alignment horizontal="right" vertical="center"/>
    </xf>
    <xf numFmtId="1" fontId="5" fillId="0" borderId="379" applyAlignment="1" pivotButton="0" quotePrefix="0" xfId="0">
      <alignment horizontal="right" vertical="center"/>
    </xf>
    <xf numFmtId="1" fontId="5" fillId="0" borderId="804" applyAlignment="1" pivotButton="0" quotePrefix="0" xfId="0">
      <alignment horizontal="right" vertical="center"/>
    </xf>
    <xf numFmtId="1" fontId="5" fillId="0" borderId="1354" applyAlignment="1" pivotButton="0" quotePrefix="0" xfId="0">
      <alignment horizontal="right" vertical="center"/>
    </xf>
    <xf numFmtId="1" fontId="5" fillId="0" borderId="524" applyAlignment="1" pivotButton="0" quotePrefix="0" xfId="0">
      <alignment horizontal="right" vertical="center"/>
    </xf>
    <xf numFmtId="1" fontId="5" fillId="0" borderId="550" pivotButton="0" quotePrefix="0" xfId="0"/>
    <xf numFmtId="1" fontId="5" fillId="0" borderId="553" applyAlignment="1" pivotButton="0" quotePrefix="0" xfId="0">
      <alignment horizontal="right"/>
    </xf>
    <xf numFmtId="1" fontId="5" fillId="3" borderId="448" applyAlignment="1" pivotButton="0" quotePrefix="0" xfId="0">
      <alignment horizontal="right"/>
    </xf>
    <xf numFmtId="1" fontId="5" fillId="4" borderId="447" applyProtection="1" pivotButton="0" quotePrefix="0" xfId="0">
      <protection locked="0" hidden="0"/>
    </xf>
    <xf numFmtId="1" fontId="5" fillId="4" borderId="448" applyProtection="1" pivotButton="0" quotePrefix="0" xfId="0">
      <protection locked="0" hidden="0"/>
    </xf>
    <xf numFmtId="1" fontId="5" fillId="4" borderId="373" applyProtection="1" pivotButton="0" quotePrefix="0" xfId="0">
      <protection locked="0" hidden="0"/>
    </xf>
    <xf numFmtId="1" fontId="5" fillId="4" borderId="1121" applyAlignment="1" applyProtection="1" pivotButton="0" quotePrefix="0" xfId="0">
      <alignment wrapText="1"/>
      <protection locked="0" hidden="0"/>
    </xf>
    <xf numFmtId="1" fontId="5" fillId="4" borderId="1349" applyAlignment="1" applyProtection="1" pivotButton="0" quotePrefix="0" xfId="0">
      <alignment wrapText="1"/>
      <protection locked="0" hidden="0"/>
    </xf>
    <xf numFmtId="1" fontId="5" fillId="4" borderId="448" applyAlignment="1" applyProtection="1" pivotButton="0" quotePrefix="0" xfId="0">
      <alignment wrapText="1"/>
      <protection locked="0" hidden="0"/>
    </xf>
    <xf numFmtId="0" fontId="5" fillId="22" borderId="0" pivotButton="0" quotePrefix="0" xfId="0"/>
    <xf numFmtId="0" fontId="56" fillId="57" borderId="0" pivotButton="0" quotePrefix="0" xfId="0"/>
    <xf numFmtId="1" fontId="5" fillId="0" borderId="394" applyAlignment="1" pivotButton="0" quotePrefix="0" xfId="0">
      <alignment horizontal="right"/>
    </xf>
    <xf numFmtId="1" fontId="5" fillId="3" borderId="389" applyAlignment="1" pivotButton="0" quotePrefix="0" xfId="0">
      <alignment horizontal="right"/>
    </xf>
    <xf numFmtId="1" fontId="5" fillId="4" borderId="394" applyProtection="1" pivotButton="0" quotePrefix="0" xfId="0">
      <protection locked="0" hidden="0"/>
    </xf>
    <xf numFmtId="1" fontId="5" fillId="4" borderId="389" applyProtection="1" pivotButton="0" quotePrefix="0" xfId="0">
      <protection locked="0" hidden="0"/>
    </xf>
    <xf numFmtId="1" fontId="5" fillId="4" borderId="354" applyProtection="1" pivotButton="0" quotePrefix="0" xfId="0">
      <protection locked="0" hidden="0"/>
    </xf>
    <xf numFmtId="1" fontId="5" fillId="7" borderId="394" pivotButton="0" quotePrefix="0" xfId="0"/>
    <xf numFmtId="1" fontId="5" fillId="7" borderId="354" pivotButton="0" quotePrefix="0" xfId="0"/>
    <xf numFmtId="1" fontId="5" fillId="7" borderId="356" pivotButton="0" quotePrefix="0" xfId="0"/>
    <xf numFmtId="1" fontId="5" fillId="4" borderId="1128" applyAlignment="1" applyProtection="1" pivotButton="0" quotePrefix="0" xfId="0">
      <alignment wrapText="1"/>
      <protection locked="0" hidden="0"/>
    </xf>
    <xf numFmtId="1" fontId="5" fillId="4" borderId="1085" applyAlignment="1" applyProtection="1" pivotButton="0" quotePrefix="0" xfId="0">
      <alignment wrapText="1"/>
      <protection locked="0" hidden="0"/>
    </xf>
    <xf numFmtId="1" fontId="5" fillId="4" borderId="389" applyAlignment="1" applyProtection="1" pivotButton="0" quotePrefix="0" xfId="0">
      <alignment wrapText="1"/>
      <protection locked="0" hidden="0"/>
    </xf>
    <xf numFmtId="1" fontId="5" fillId="0" borderId="393" applyAlignment="1" pivotButton="0" quotePrefix="0" xfId="0">
      <alignment horizontal="left" vertical="center"/>
    </xf>
    <xf numFmtId="1" fontId="5" fillId="4" borderId="393" applyProtection="1" pivotButton="0" quotePrefix="0" xfId="0">
      <protection locked="0" hidden="0"/>
    </xf>
    <xf numFmtId="1" fontId="5" fillId="4" borderId="356" applyProtection="1" pivotButton="0" quotePrefix="0" xfId="0">
      <protection locked="0" hidden="0"/>
    </xf>
    <xf numFmtId="1" fontId="5" fillId="3" borderId="390" applyAlignment="1" pivotButton="0" quotePrefix="0" xfId="0">
      <alignment horizontal="right"/>
    </xf>
    <xf numFmtId="1" fontId="5" fillId="7" borderId="408" pivotButton="0" quotePrefix="0" xfId="0"/>
    <xf numFmtId="1" fontId="5" fillId="7" borderId="406" pivotButton="0" quotePrefix="0" xfId="0"/>
    <xf numFmtId="1" fontId="5" fillId="0" borderId="380" applyAlignment="1" pivotButton="0" quotePrefix="0" xfId="0">
      <alignment horizontal="left"/>
    </xf>
    <xf numFmtId="1" fontId="5" fillId="7" borderId="389" pivotButton="0" quotePrefix="0" xfId="0"/>
    <xf numFmtId="1" fontId="5" fillId="4" borderId="553" applyProtection="1" pivotButton="0" quotePrefix="0" xfId="0">
      <protection locked="0" hidden="0"/>
    </xf>
    <xf numFmtId="1" fontId="5" fillId="0" borderId="403" applyAlignment="1" pivotButton="0" quotePrefix="0" xfId="0">
      <alignment horizontal="left"/>
    </xf>
    <xf numFmtId="1" fontId="5" fillId="3" borderId="406" applyAlignment="1" pivotButton="0" quotePrefix="0" xfId="0">
      <alignment horizontal="right"/>
    </xf>
    <xf numFmtId="1" fontId="5" fillId="7" borderId="409" pivotButton="0" quotePrefix="0" xfId="0"/>
    <xf numFmtId="1" fontId="5" fillId="4" borderId="409" applyProtection="1" pivotButton="0" quotePrefix="0" xfId="0">
      <protection locked="0" hidden="0"/>
    </xf>
    <xf numFmtId="1" fontId="5" fillId="7" borderId="405" pivotButton="0" quotePrefix="0" xfId="0"/>
    <xf numFmtId="1" fontId="5" fillId="7" borderId="412" pivotButton="0" quotePrefix="0" xfId="0"/>
    <xf numFmtId="1" fontId="5" fillId="4" borderId="1358" applyAlignment="1" applyProtection="1" pivotButton="0" quotePrefix="0" xfId="0">
      <alignment wrapText="1"/>
      <protection locked="0" hidden="0"/>
    </xf>
    <xf numFmtId="1" fontId="5" fillId="4" borderId="403" applyAlignment="1" applyProtection="1" pivotButton="0" quotePrefix="0" xfId="0">
      <alignment wrapText="1"/>
      <protection locked="0" hidden="0"/>
    </xf>
    <xf numFmtId="0" fontId="5" fillId="6" borderId="406" applyAlignment="1" pivotButton="0" quotePrefix="0" xfId="0">
      <alignment wrapText="1"/>
    </xf>
    <xf numFmtId="0" fontId="5" fillId="62" borderId="0" pivotButton="0" quotePrefix="0" xfId="0"/>
    <xf numFmtId="0" fontId="56" fillId="62" borderId="0" pivotButton="0" quotePrefix="0" xfId="0"/>
    <xf numFmtId="1" fontId="5" fillId="4" borderId="413" applyProtection="1" pivotButton="0" quotePrefix="0" xfId="0">
      <protection locked="0" hidden="0"/>
    </xf>
    <xf numFmtId="1" fontId="5" fillId="0" borderId="408" applyAlignment="1" pivotButton="0" quotePrefix="0" xfId="0">
      <alignment horizontal="right"/>
    </xf>
    <xf numFmtId="1" fontId="5" fillId="0" borderId="410" applyAlignment="1" pivotButton="0" quotePrefix="0" xfId="0">
      <alignment horizontal="right"/>
    </xf>
    <xf numFmtId="1" fontId="5" fillId="4" borderId="408" applyProtection="1" pivotButton="0" quotePrefix="0" xfId="0">
      <protection locked="0" hidden="0"/>
    </xf>
    <xf numFmtId="1" fontId="5" fillId="4" borderId="406" applyProtection="1" pivotButton="0" quotePrefix="0" xfId="0">
      <protection locked="0" hidden="0"/>
    </xf>
    <xf numFmtId="1" fontId="5" fillId="4" borderId="412" applyProtection="1" pivotButton="0" quotePrefix="0" xfId="0">
      <protection locked="0" hidden="0"/>
    </xf>
    <xf numFmtId="1" fontId="5" fillId="7" borderId="553" pivotButton="0" quotePrefix="0" xfId="0"/>
    <xf numFmtId="1" fontId="5" fillId="0" borderId="469" applyAlignment="1" pivotButton="0" quotePrefix="0" xfId="0">
      <alignment horizontal="right" wrapText="1"/>
    </xf>
    <xf numFmtId="1" fontId="5" fillId="3" borderId="521" applyAlignment="1" pivotButton="0" quotePrefix="0" xfId="0">
      <alignment horizontal="right"/>
    </xf>
    <xf numFmtId="1" fontId="5" fillId="4" borderId="367" applyProtection="1" pivotButton="0" quotePrefix="0" xfId="0">
      <protection locked="0" hidden="0"/>
    </xf>
    <xf numFmtId="1" fontId="5" fillId="4" borderId="383" applyProtection="1" pivotButton="0" quotePrefix="0" xfId="0">
      <protection locked="0" hidden="0"/>
    </xf>
    <xf numFmtId="1" fontId="5" fillId="4" borderId="399" applyProtection="1" pivotButton="0" quotePrefix="0" xfId="0">
      <protection locked="0" hidden="0"/>
    </xf>
    <xf numFmtId="1" fontId="5" fillId="4" borderId="378" applyProtection="1" pivotButton="0" quotePrefix="0" xfId="0">
      <protection locked="0" hidden="0"/>
    </xf>
    <xf numFmtId="1" fontId="5" fillId="4" borderId="347" applyProtection="1" pivotButton="0" quotePrefix="0" xfId="0">
      <protection locked="0" hidden="0"/>
    </xf>
    <xf numFmtId="1" fontId="5" fillId="4" borderId="407" applyProtection="1" pivotButton="0" quotePrefix="0" xfId="0">
      <protection locked="0" hidden="0"/>
    </xf>
    <xf numFmtId="1" fontId="5" fillId="4" borderId="402" applyProtection="1" pivotButton="0" quotePrefix="0" xfId="0">
      <protection locked="0" hidden="0"/>
    </xf>
    <xf numFmtId="1" fontId="5" fillId="4" borderId="1129" applyAlignment="1" applyProtection="1" pivotButton="0" quotePrefix="0" xfId="0">
      <alignment wrapText="1"/>
      <protection locked="0" hidden="0"/>
    </xf>
    <xf numFmtId="1" fontId="5" fillId="4" borderId="384" applyAlignment="1" applyProtection="1" pivotButton="0" quotePrefix="0" xfId="0">
      <alignment wrapText="1"/>
      <protection locked="0" hidden="0"/>
    </xf>
    <xf numFmtId="1" fontId="5" fillId="4" borderId="378" applyAlignment="1" applyProtection="1" pivotButton="0" quotePrefix="0" xfId="0">
      <alignment wrapText="1"/>
      <protection locked="0" hidden="0"/>
    </xf>
    <xf numFmtId="1" fontId="17" fillId="0" borderId="582" pivotButton="0" quotePrefix="0" xfId="0"/>
    <xf numFmtId="1" fontId="5" fillId="0" borderId="486" pivotButton="0" quotePrefix="0" xfId="0"/>
    <xf numFmtId="1" fontId="5" fillId="0" borderId="363" pivotButton="0" quotePrefix="0" xfId="0"/>
    <xf numFmtId="1" fontId="5" fillId="0" borderId="352" applyAlignment="1" pivotButton="0" quotePrefix="0" xfId="0">
      <alignment horizontal="center" vertical="center" wrapText="1"/>
    </xf>
    <xf numFmtId="1" fontId="5" fillId="0" borderId="447" applyAlignment="1" pivotButton="0" quotePrefix="0" xfId="0">
      <alignment horizontal="right"/>
    </xf>
    <xf numFmtId="1" fontId="5" fillId="4" borderId="452" applyProtection="1" pivotButton="0" quotePrefix="0" xfId="0">
      <protection locked="0" hidden="0"/>
    </xf>
    <xf numFmtId="1" fontId="5" fillId="4" borderId="453" applyProtection="1" pivotButton="0" quotePrefix="0" xfId="0">
      <protection locked="0" hidden="0"/>
    </xf>
    <xf numFmtId="1" fontId="5" fillId="4" borderId="374" applyProtection="1" pivotButton="0" quotePrefix="0" xfId="0">
      <protection locked="0" hidden="0"/>
    </xf>
    <xf numFmtId="1" fontId="5" fillId="4" borderId="1192" applyAlignment="1" applyProtection="1" pivotButton="0" quotePrefix="0" xfId="0">
      <alignment wrapText="1"/>
      <protection locked="0" hidden="0"/>
    </xf>
    <xf numFmtId="1" fontId="5" fillId="6" borderId="394" pivotButton="0" quotePrefix="0" xfId="0"/>
    <xf numFmtId="1" fontId="5" fillId="6" borderId="382" pivotButton="0" quotePrefix="0" xfId="0"/>
    <xf numFmtId="1" fontId="5" fillId="6" borderId="391" pivotButton="0" quotePrefix="0" xfId="0"/>
    <xf numFmtId="1" fontId="5" fillId="4" borderId="804" applyAlignment="1" applyProtection="1" pivotButton="0" quotePrefix="0" xfId="0">
      <alignment wrapText="1"/>
      <protection locked="0" hidden="0"/>
    </xf>
    <xf numFmtId="1" fontId="5" fillId="4" borderId="554" applyAlignment="1" applyProtection="1" pivotButton="0" quotePrefix="0" xfId="0">
      <alignment wrapText="1"/>
      <protection locked="0" hidden="0"/>
    </xf>
    <xf numFmtId="1" fontId="5" fillId="4" borderId="5" applyAlignment="1" applyProtection="1" pivotButton="0" quotePrefix="0" xfId="0">
      <alignment wrapText="1"/>
      <protection locked="0" hidden="0"/>
    </xf>
    <xf numFmtId="1" fontId="5" fillId="4" borderId="390" applyAlignment="1" applyProtection="1" pivotButton="0" quotePrefix="0" xfId="0">
      <alignment wrapText="1"/>
      <protection locked="0" hidden="0"/>
    </xf>
    <xf numFmtId="1" fontId="5" fillId="4" borderId="382" applyProtection="1" pivotButton="0" quotePrefix="0" xfId="0">
      <protection locked="0" hidden="0"/>
    </xf>
    <xf numFmtId="1" fontId="5" fillId="4" borderId="391" applyProtection="1" pivotButton="0" quotePrefix="0" xfId="0">
      <protection locked="0" hidden="0"/>
    </xf>
    <xf numFmtId="1" fontId="5" fillId="4" borderId="1087" applyAlignment="1" applyProtection="1" pivotButton="0" quotePrefix="0" xfId="0">
      <alignment wrapText="1"/>
      <protection locked="0" hidden="0"/>
    </xf>
    <xf numFmtId="1" fontId="5" fillId="7" borderId="410" pivotButton="0" quotePrefix="0" xfId="0"/>
    <xf numFmtId="1" fontId="5" fillId="7" borderId="4" pivotButton="0" quotePrefix="0" xfId="0"/>
    <xf numFmtId="1" fontId="5" fillId="6" borderId="389" pivotButton="0" quotePrefix="0" xfId="0"/>
    <xf numFmtId="1" fontId="5" fillId="6" borderId="354" pivotButton="0" quotePrefix="0" xfId="0"/>
    <xf numFmtId="1" fontId="5" fillId="0" borderId="282" applyAlignment="1" pivotButton="0" quotePrefix="0" xfId="0">
      <alignment horizontal="right"/>
    </xf>
    <xf numFmtId="1" fontId="5" fillId="4" borderId="4" applyAlignment="1" applyProtection="1" pivotButton="0" quotePrefix="0" xfId="0">
      <alignment wrapText="1"/>
      <protection locked="0" hidden="0"/>
    </xf>
    <xf numFmtId="1" fontId="5" fillId="4" borderId="406" applyAlignment="1" applyProtection="1" pivotButton="0" quotePrefix="0" xfId="0">
      <alignment wrapText="1"/>
      <protection locked="0" hidden="0"/>
    </xf>
    <xf numFmtId="1" fontId="5" fillId="4" borderId="410" applyProtection="1" pivotButton="0" quotePrefix="0" xfId="0">
      <protection locked="0" hidden="0"/>
    </xf>
    <xf numFmtId="1" fontId="5" fillId="6" borderId="553" pivotButton="0" quotePrefix="0" xfId="0"/>
    <xf numFmtId="1" fontId="5" fillId="6" borderId="390" pivotButton="0" quotePrefix="0" xfId="0"/>
    <xf numFmtId="1" fontId="5" fillId="6" borderId="381" pivotButton="0" quotePrefix="0" xfId="0"/>
    <xf numFmtId="1" fontId="5" fillId="0" borderId="521" applyAlignment="1" pivotButton="0" quotePrefix="0" xfId="0">
      <alignment horizontal="left"/>
    </xf>
    <xf numFmtId="1" fontId="5" fillId="0" borderId="347" applyAlignment="1" pivotButton="0" quotePrefix="0" xfId="0">
      <alignment horizontal="right"/>
    </xf>
    <xf numFmtId="1" fontId="5" fillId="4" borderId="521" applyProtection="1" pivotButton="0" quotePrefix="0" xfId="0">
      <protection locked="0" hidden="0"/>
    </xf>
    <xf numFmtId="1" fontId="5" fillId="4" borderId="539" applyProtection="1" pivotButton="0" quotePrefix="0" xfId="0">
      <protection locked="0" hidden="0"/>
    </xf>
    <xf numFmtId="1" fontId="5" fillId="4" borderId="793" applyAlignment="1" applyProtection="1" pivotButton="0" quotePrefix="0" xfId="0">
      <alignment wrapText="1"/>
      <protection locked="0" hidden="0"/>
    </xf>
    <xf numFmtId="1" fontId="5" fillId="4" borderId="849" applyAlignment="1" applyProtection="1" pivotButton="0" quotePrefix="0" xfId="0">
      <alignment wrapText="1"/>
      <protection locked="0" hidden="0"/>
    </xf>
    <xf numFmtId="1" fontId="5" fillId="4" borderId="1347" applyAlignment="1" applyProtection="1" pivotButton="0" quotePrefix="0" xfId="0">
      <alignment wrapText="1"/>
      <protection locked="0" hidden="0"/>
    </xf>
    <xf numFmtId="1" fontId="5" fillId="4" borderId="521" applyAlignment="1" applyProtection="1" pivotButton="0" quotePrefix="0" xfId="0">
      <alignment wrapText="1"/>
      <protection locked="0" hidden="0"/>
    </xf>
    <xf numFmtId="0" fontId="5" fillId="0" borderId="524" applyAlignment="1" pivotButton="0" quotePrefix="0" xfId="0">
      <alignment horizontal="center" wrapText="1"/>
    </xf>
    <xf numFmtId="0" fontId="5" fillId="0" borderId="554" applyAlignment="1" pivotButton="0" quotePrefix="0" xfId="0">
      <alignment horizontal="left" wrapText="1"/>
    </xf>
    <xf numFmtId="0" fontId="5" fillId="0" borderId="447" pivotButton="0" quotePrefix="0" xfId="0"/>
    <xf numFmtId="0" fontId="5" fillId="0" borderId="452" pivotButton="0" quotePrefix="0" xfId="0"/>
    <xf numFmtId="0" fontId="5" fillId="0" borderId="448" pivotButton="0" quotePrefix="0" xfId="0"/>
    <xf numFmtId="0" fontId="5" fillId="44" borderId="447" applyProtection="1" pivotButton="0" quotePrefix="0" xfId="0">
      <protection locked="0" hidden="0"/>
    </xf>
    <xf numFmtId="0" fontId="5" fillId="44" borderId="390" applyProtection="1" pivotButton="0" quotePrefix="0" xfId="0">
      <protection locked="0" hidden="0"/>
    </xf>
    <xf numFmtId="0" fontId="5" fillId="44" borderId="379" applyProtection="1" pivotButton="0" quotePrefix="0" xfId="0">
      <protection locked="0" hidden="0"/>
    </xf>
    <xf numFmtId="0" fontId="5" fillId="44" borderId="553" applyProtection="1" pivotButton="0" quotePrefix="0" xfId="0">
      <protection locked="0" hidden="0"/>
    </xf>
    <xf numFmtId="0" fontId="5" fillId="44" borderId="5" applyProtection="1" pivotButton="0" quotePrefix="0" xfId="0">
      <protection locked="0" hidden="0"/>
    </xf>
    <xf numFmtId="0" fontId="5" fillId="44" borderId="554" applyProtection="1" pivotButton="0" quotePrefix="0" xfId="0">
      <protection locked="0" hidden="0"/>
    </xf>
    <xf numFmtId="0" fontId="5" fillId="0" borderId="384" applyAlignment="1" pivotButton="0" quotePrefix="0" xfId="0">
      <alignment wrapText="1"/>
    </xf>
    <xf numFmtId="0" fontId="5" fillId="0" borderId="347" pivotButton="0" quotePrefix="0" xfId="0"/>
    <xf numFmtId="0" fontId="5" fillId="0" borderId="469" pivotButton="0" quotePrefix="0" xfId="0"/>
    <xf numFmtId="0" fontId="5" fillId="0" borderId="521" pivotButton="0" quotePrefix="0" xfId="0"/>
    <xf numFmtId="0" fontId="5" fillId="44" borderId="399" applyProtection="1" pivotButton="0" quotePrefix="0" xfId="0">
      <protection locked="0" hidden="0"/>
    </xf>
    <xf numFmtId="0" fontId="5" fillId="44" borderId="378" applyProtection="1" pivotButton="0" quotePrefix="0" xfId="0">
      <protection locked="0" hidden="0"/>
    </xf>
    <xf numFmtId="0" fontId="5" fillId="44" borderId="415" applyProtection="1" pivotButton="0" quotePrefix="0" xfId="0">
      <protection locked="0" hidden="0"/>
    </xf>
    <xf numFmtId="0" fontId="5" fillId="44" borderId="401" applyProtection="1" pivotButton="0" quotePrefix="0" xfId="0">
      <protection locked="0" hidden="0"/>
    </xf>
    <xf numFmtId="0" fontId="5" fillId="44" borderId="384" applyProtection="1" pivotButton="0" quotePrefix="0" xfId="0">
      <protection locked="0" hidden="0"/>
    </xf>
    <xf numFmtId="1" fontId="14" fillId="0" borderId="569" pivotButton="0" quotePrefix="0" xfId="0"/>
    <xf numFmtId="1" fontId="17" fillId="0" borderId="584" pivotButton="0" quotePrefix="0" xfId="0"/>
    <xf numFmtId="1" fontId="17" fillId="0" borderId="585" pivotButton="0" quotePrefix="0" xfId="0"/>
    <xf numFmtId="1" fontId="17" fillId="0" borderId="586" pivotButton="0" quotePrefix="0" xfId="0"/>
    <xf numFmtId="1" fontId="16" fillId="0" borderId="583" applyAlignment="1" pivotButton="0" quotePrefix="0" xfId="0">
      <alignment horizontal="left" vertical="center"/>
    </xf>
    <xf numFmtId="1" fontId="5" fillId="0" borderId="589" applyAlignment="1" pivotButton="0" quotePrefix="0" xfId="0">
      <alignment horizontal="right"/>
    </xf>
    <xf numFmtId="1" fontId="5" fillId="0" borderId="590" pivotButton="0" quotePrefix="0" xfId="0"/>
    <xf numFmtId="1" fontId="5" fillId="0" borderId="589" pivotButton="0" quotePrefix="0" xfId="0"/>
    <xf numFmtId="1" fontId="5" fillId="0" borderId="591" pivotButton="0" quotePrefix="0" xfId="0"/>
    <xf numFmtId="1" fontId="5" fillId="0" borderId="1364" pivotButton="0" quotePrefix="0" xfId="0"/>
    <xf numFmtId="1" fontId="5" fillId="0" borderId="1354" pivotButton="0" quotePrefix="0" xfId="0"/>
    <xf numFmtId="1" fontId="5" fillId="9" borderId="592" applyAlignment="1" applyProtection="1" pivotButton="0" quotePrefix="0" xfId="28">
      <alignment horizontal="right"/>
      <protection locked="0" hidden="0"/>
    </xf>
    <xf numFmtId="1" fontId="5" fillId="9" borderId="593" applyAlignment="1" applyProtection="1" pivotButton="0" quotePrefix="0" xfId="28">
      <alignment horizontal="right"/>
      <protection locked="0" hidden="0"/>
    </xf>
    <xf numFmtId="1" fontId="5" fillId="4" borderId="554" applyProtection="1" pivotButton="0" quotePrefix="0" xfId="0">
      <protection locked="0" hidden="0"/>
    </xf>
    <xf numFmtId="1" fontId="5" fillId="4" borderId="5" applyProtection="1" pivotButton="0" quotePrefix="0" xfId="0">
      <protection locked="0" hidden="0"/>
    </xf>
    <xf numFmtId="1" fontId="5" fillId="4" borderId="594" applyProtection="1" pivotButton="0" quotePrefix="0" xfId="0">
      <protection locked="0" hidden="0"/>
    </xf>
    <xf numFmtId="1" fontId="5" fillId="4" borderId="804" applyProtection="1" pivotButton="0" quotePrefix="0" xfId="0">
      <protection locked="0" hidden="0"/>
    </xf>
    <xf numFmtId="0" fontId="56" fillId="22" borderId="0" pivotButton="0" quotePrefix="0" xfId="0"/>
    <xf numFmtId="1" fontId="5" fillId="0" borderId="407" applyAlignment="1" pivotButton="0" quotePrefix="0" xfId="0">
      <alignment horizontal="left" vertical="center"/>
    </xf>
    <xf numFmtId="1" fontId="5" fillId="0" borderId="399" applyAlignment="1" pivotButton="0" quotePrefix="0" xfId="0">
      <alignment horizontal="right"/>
    </xf>
    <xf numFmtId="1" fontId="5" fillId="9" borderId="595" applyAlignment="1" applyProtection="1" pivotButton="0" quotePrefix="0" xfId="28">
      <alignment horizontal="right"/>
      <protection locked="0" hidden="0"/>
    </xf>
    <xf numFmtId="1" fontId="5" fillId="9" borderId="596" applyAlignment="1" applyProtection="1" pivotButton="0" quotePrefix="0" xfId="28">
      <alignment horizontal="right"/>
      <protection locked="0" hidden="0"/>
    </xf>
    <xf numFmtId="1" fontId="5" fillId="4" borderId="384" applyProtection="1" pivotButton="0" quotePrefix="0" xfId="0">
      <protection locked="0" hidden="0"/>
    </xf>
    <xf numFmtId="1" fontId="5" fillId="4" borderId="401" applyProtection="1" pivotButton="0" quotePrefix="0" xfId="0">
      <protection locked="0" hidden="0"/>
    </xf>
    <xf numFmtId="1" fontId="5" fillId="4" borderId="419" applyProtection="1" pivotButton="0" quotePrefix="0" xfId="0">
      <protection locked="0" hidden="0"/>
    </xf>
    <xf numFmtId="1" fontId="5" fillId="4" borderId="1129" applyProtection="1" pivotButton="0" quotePrefix="0" xfId="0">
      <protection locked="0" hidden="0"/>
    </xf>
    <xf numFmtId="1" fontId="16" fillId="0" borderId="597" applyAlignment="1" pivotButton="0" quotePrefix="0" xfId="0">
      <alignment horizontal="left" vertical="center" wrapText="1"/>
    </xf>
    <xf numFmtId="1" fontId="5" fillId="0" borderId="598" applyAlignment="1" pivotButton="0" quotePrefix="0" xfId="0">
      <alignment horizontal="right" wrapText="1"/>
    </xf>
    <xf numFmtId="1" fontId="5" fillId="0" borderId="599" applyAlignment="1" pivotButton="0" quotePrefix="0" xfId="0">
      <alignment horizontal="right" wrapText="1"/>
    </xf>
    <xf numFmtId="1" fontId="5" fillId="0" borderId="597" applyAlignment="1" pivotButton="0" quotePrefix="0" xfId="0">
      <alignment horizontal="center" wrapText="1"/>
    </xf>
    <xf numFmtId="1" fontId="5" fillId="4" borderId="449" applyAlignment="1" applyProtection="1" pivotButton="0" quotePrefix="0" xfId="0">
      <alignment wrapText="1"/>
      <protection locked="0" hidden="0"/>
    </xf>
    <xf numFmtId="1" fontId="5" fillId="0" borderId="600" pivotButton="0" quotePrefix="0" xfId="0"/>
    <xf numFmtId="1" fontId="5" fillId="0" borderId="601" pivotButton="0" quotePrefix="0" xfId="0"/>
    <xf numFmtId="1" fontId="5" fillId="0" borderId="602" pivotButton="0" quotePrefix="0" xfId="0"/>
    <xf numFmtId="1" fontId="5" fillId="0" borderId="598" applyAlignment="1" pivotButton="0" quotePrefix="0" xfId="0">
      <alignment horizontal="center" vertical="center" wrapText="1"/>
    </xf>
    <xf numFmtId="1" fontId="5" fillId="0" borderId="610" applyAlignment="1" pivotButton="0" quotePrefix="0" xfId="0">
      <alignment horizontal="center" vertical="center" wrapText="1"/>
    </xf>
    <xf numFmtId="1" fontId="5" fillId="0" borderId="599" applyAlignment="1" pivotButton="0" quotePrefix="0" xfId="0">
      <alignment horizontal="center" vertical="center" wrapText="1"/>
    </xf>
    <xf numFmtId="1" fontId="5" fillId="0" borderId="611" applyAlignment="1" pivotButton="0" quotePrefix="0" xfId="0">
      <alignment horizontal="center" vertical="center" wrapText="1"/>
    </xf>
    <xf numFmtId="1" fontId="5" fillId="0" borderId="449" applyAlignment="1" pivotButton="0" quotePrefix="0" xfId="0">
      <alignment horizontal="center" vertical="center" wrapText="1"/>
    </xf>
    <xf numFmtId="1" fontId="5" fillId="0" borderId="447" applyAlignment="1" pivotButton="0" quotePrefix="0" xfId="0">
      <alignment vertical="center" wrapText="1"/>
    </xf>
    <xf numFmtId="1" fontId="5" fillId="0" borderId="448" applyAlignment="1" pivotButton="0" quotePrefix="0" xfId="0">
      <alignment vertical="center"/>
    </xf>
    <xf numFmtId="1" fontId="5" fillId="9" borderId="447" applyAlignment="1" applyProtection="1" pivotButton="0" quotePrefix="0" xfId="28">
      <alignment horizontal="right"/>
      <protection locked="0" hidden="0"/>
    </xf>
    <xf numFmtId="1" fontId="5" fillId="9" borderId="448" applyAlignment="1" applyProtection="1" pivotButton="0" quotePrefix="0" xfId="28">
      <alignment horizontal="right"/>
      <protection locked="0" hidden="0"/>
    </xf>
    <xf numFmtId="1" fontId="5" fillId="9" borderId="373" applyAlignment="1" applyProtection="1" pivotButton="0" quotePrefix="0" xfId="28">
      <alignment horizontal="right"/>
      <protection locked="0" hidden="0"/>
    </xf>
    <xf numFmtId="1" fontId="5" fillId="9" borderId="452" applyAlignment="1" applyProtection="1" pivotButton="0" quotePrefix="0" xfId="28">
      <alignment horizontal="right"/>
      <protection locked="0" hidden="0"/>
    </xf>
    <xf numFmtId="1" fontId="5" fillId="9" borderId="377" applyAlignment="1" applyProtection="1" pivotButton="0" quotePrefix="0" xfId="28">
      <alignment horizontal="right"/>
      <protection locked="0" hidden="0"/>
    </xf>
    <xf numFmtId="1" fontId="5" fillId="0" borderId="347" applyAlignment="1" pivotButton="0" quotePrefix="0" xfId="0">
      <alignment vertical="center" wrapText="1"/>
    </xf>
    <xf numFmtId="1" fontId="5" fillId="0" borderId="521" applyAlignment="1" pivotButton="0" quotePrefix="0" xfId="0">
      <alignment vertical="center"/>
    </xf>
    <xf numFmtId="1" fontId="5" fillId="9" borderId="347" applyAlignment="1" applyProtection="1" pivotButton="0" quotePrefix="0" xfId="28">
      <alignment horizontal="right"/>
      <protection locked="0" hidden="0"/>
    </xf>
    <xf numFmtId="1" fontId="5" fillId="9" borderId="521" applyAlignment="1" applyProtection="1" pivotButton="0" quotePrefix="0" xfId="28">
      <alignment horizontal="right"/>
      <protection locked="0" hidden="0"/>
    </xf>
    <xf numFmtId="1" fontId="5" fillId="9" borderId="227" applyAlignment="1" applyProtection="1" pivotButton="0" quotePrefix="0" xfId="28">
      <alignment horizontal="right"/>
      <protection locked="0" hidden="0"/>
    </xf>
    <xf numFmtId="1" fontId="5" fillId="9" borderId="469" applyAlignment="1" applyProtection="1" pivotButton="0" quotePrefix="0" xfId="28">
      <alignment horizontal="right"/>
      <protection locked="0" hidden="0"/>
    </xf>
    <xf numFmtId="1" fontId="5" fillId="9" borderId="231" applyAlignment="1" applyProtection="1" pivotButton="0" quotePrefix="0" xfId="28">
      <alignment horizontal="right"/>
      <protection locked="0" hidden="0"/>
    </xf>
    <xf numFmtId="1" fontId="5" fillId="0" borderId="598" applyAlignment="1" pivotButton="0" quotePrefix="0" xfId="0">
      <alignment vertical="center" wrapText="1"/>
    </xf>
    <xf numFmtId="1" fontId="5" fillId="5" borderId="598" applyAlignment="1" pivotButton="0" quotePrefix="0" xfId="28">
      <alignment horizontal="right"/>
    </xf>
    <xf numFmtId="1" fontId="5" fillId="5" borderId="607" applyAlignment="1" pivotButton="0" quotePrefix="0" xfId="28">
      <alignment horizontal="right"/>
    </xf>
    <xf numFmtId="1" fontId="5" fillId="0" borderId="0" applyProtection="1" pivotButton="0" quotePrefix="0" xfId="0">
      <protection locked="1" hidden="1"/>
    </xf>
    <xf numFmtId="1" fontId="5" fillId="0" borderId="571" applyProtection="1" pivotButton="0" quotePrefix="0" xfId="0">
      <protection locked="1" hidden="1"/>
    </xf>
    <xf numFmtId="1" fontId="5" fillId="0" borderId="570" applyProtection="1" pivotButton="0" quotePrefix="0" xfId="0">
      <protection locked="1" hidden="1"/>
    </xf>
    <xf numFmtId="1" fontId="5" fillId="0" borderId="612" applyProtection="1" pivotButton="0" quotePrefix="0" xfId="0">
      <protection locked="1" hidden="1"/>
    </xf>
    <xf numFmtId="1" fontId="5" fillId="0" borderId="602" applyProtection="1" pivotButton="0" quotePrefix="0" xfId="0">
      <protection locked="1" hidden="1"/>
    </xf>
    <xf numFmtId="1" fontId="5" fillId="0" borderId="536" applyAlignment="1" pivotButton="0" quotePrefix="0" xfId="0">
      <alignment horizontal="center" vertical="center" wrapText="1"/>
    </xf>
    <xf numFmtId="1" fontId="5" fillId="0" borderId="597" applyAlignment="1" pivotButton="0" quotePrefix="0" xfId="0">
      <alignment horizontal="left"/>
    </xf>
    <xf numFmtId="1" fontId="5" fillId="0" borderId="569" applyAlignment="1" applyProtection="1" pivotButton="0" quotePrefix="0" xfId="0">
      <alignment horizontal="left" vertical="center"/>
      <protection locked="1" hidden="1"/>
    </xf>
    <xf numFmtId="1" fontId="5" fillId="0" borderId="598" applyAlignment="1" pivotButton="0" quotePrefix="0" xfId="0">
      <alignment horizontal="right"/>
    </xf>
    <xf numFmtId="1" fontId="5" fillId="0" borderId="597" applyAlignment="1" pivotButton="0" quotePrefix="0" xfId="0">
      <alignment horizontal="left" vertical="center"/>
    </xf>
    <xf numFmtId="1" fontId="5" fillId="0" borderId="326" applyAlignment="1" pivotButton="0" quotePrefix="0" xfId="0">
      <alignment horizontal="right"/>
    </xf>
    <xf numFmtId="1" fontId="5" fillId="4" borderId="553" applyAlignment="1" applyProtection="1" pivotButton="0" quotePrefix="0" xfId="0">
      <alignment horizontal="right"/>
      <protection locked="0" hidden="0"/>
    </xf>
    <xf numFmtId="1" fontId="5" fillId="0" borderId="597" applyAlignment="1" applyProtection="1" pivotButton="0" quotePrefix="0" xfId="0">
      <alignment horizontal="left" vertical="center"/>
      <protection locked="1" hidden="1"/>
    </xf>
    <xf numFmtId="1" fontId="5" fillId="4" borderId="598" applyAlignment="1" applyProtection="1" pivotButton="0" quotePrefix="0" xfId="0">
      <alignment horizontal="right"/>
      <protection locked="0" hidden="0"/>
    </xf>
    <xf numFmtId="1" fontId="5" fillId="4" borderId="599" applyAlignment="1" applyProtection="1" pivotButton="0" quotePrefix="0" xfId="0">
      <alignment horizontal="right"/>
      <protection locked="0" hidden="0"/>
    </xf>
    <xf numFmtId="1" fontId="5" fillId="4" borderId="610" applyAlignment="1" applyProtection="1" pivotButton="0" quotePrefix="0" xfId="0">
      <alignment horizontal="right"/>
      <protection locked="0" hidden="0"/>
    </xf>
    <xf numFmtId="1" fontId="5" fillId="4" borderId="614" applyAlignment="1" applyProtection="1" pivotButton="0" quotePrefix="0" xfId="0">
      <alignment horizontal="right"/>
      <protection locked="0" hidden="0"/>
    </xf>
    <xf numFmtId="1" fontId="5" fillId="4" borderId="1345" applyAlignment="1" applyProtection="1" pivotButton="0" quotePrefix="0" xfId="0">
      <alignment horizontal="right"/>
      <protection locked="0" hidden="0"/>
    </xf>
    <xf numFmtId="1" fontId="5" fillId="6" borderId="449" applyAlignment="1" pivotButton="0" quotePrefix="0" xfId="0">
      <alignment horizontal="right" vertical="center" wrapText="1"/>
    </xf>
    <xf numFmtId="1" fontId="5" fillId="4" borderId="449" applyProtection="1" pivotButton="0" quotePrefix="0" xfId="0">
      <protection locked="0" hidden="0"/>
    </xf>
    <xf numFmtId="1" fontId="5" fillId="6" borderId="616" pivotButton="0" quotePrefix="0" xfId="0"/>
    <xf numFmtId="1" fontId="5" fillId="6" borderId="380" applyAlignment="1" pivotButton="0" quotePrefix="0" xfId="0">
      <alignment horizontal="right" vertical="center" wrapText="1"/>
    </xf>
    <xf numFmtId="1" fontId="5" fillId="4" borderId="380" applyProtection="1" pivotButton="0" quotePrefix="0" xfId="0">
      <protection locked="0" hidden="0"/>
    </xf>
    <xf numFmtId="1" fontId="5" fillId="6" borderId="418" pivotButton="0" quotePrefix="0" xfId="0"/>
    <xf numFmtId="1" fontId="5" fillId="6" borderId="384" applyAlignment="1" pivotButton="0" quotePrefix="0" xfId="0">
      <alignment horizontal="right" vertical="center" wrapText="1"/>
    </xf>
    <xf numFmtId="1" fontId="5" fillId="6" borderId="617" pivotButton="0" quotePrefix="0" xfId="0"/>
    <xf numFmtId="1" fontId="5" fillId="4" borderId="390" applyProtection="1" pivotButton="0" quotePrefix="0" xfId="0">
      <protection locked="0" hidden="0"/>
    </xf>
    <xf numFmtId="1" fontId="5" fillId="6" borderId="449" applyAlignment="1" pivotButton="0" quotePrefix="0" xfId="0">
      <alignment horizontal="right"/>
    </xf>
    <xf numFmtId="1" fontId="5" fillId="6" borderId="380" applyAlignment="1" pivotButton="0" quotePrefix="0" xfId="0">
      <alignment horizontal="right"/>
    </xf>
    <xf numFmtId="1" fontId="5" fillId="0" borderId="618" applyAlignment="1" pivotButton="0" quotePrefix="0" xfId="0">
      <alignment horizontal="left" vertical="center" wrapText="1"/>
    </xf>
    <xf numFmtId="1" fontId="5" fillId="4" borderId="618" applyProtection="1" pivotButton="0" quotePrefix="0" xfId="0">
      <protection locked="0" hidden="0"/>
    </xf>
    <xf numFmtId="1" fontId="16" fillId="0" borderId="605" applyAlignment="1" pivotButton="0" quotePrefix="0" xfId="0">
      <alignment vertical="center"/>
    </xf>
    <xf numFmtId="1" fontId="16" fillId="0" borderId="486" applyAlignment="1" pivotButton="0" quotePrefix="0" xfId="0">
      <alignment vertical="center"/>
    </xf>
    <xf numFmtId="1" fontId="16" fillId="0" borderId="524" applyAlignment="1" pivotButton="0" quotePrefix="0" xfId="0">
      <alignment vertical="center"/>
    </xf>
    <xf numFmtId="1" fontId="5" fillId="0" borderId="449" applyAlignment="1" pivotButton="0" quotePrefix="0" xfId="0">
      <alignment horizontal="right" vertical="center" wrapText="1"/>
    </xf>
    <xf numFmtId="1" fontId="5" fillId="0" borderId="380" applyAlignment="1" pivotButton="0" quotePrefix="0" xfId="0">
      <alignment horizontal="right" vertical="center" wrapText="1"/>
    </xf>
    <xf numFmtId="1" fontId="5" fillId="0" borderId="384" applyAlignment="1" pivotButton="0" quotePrefix="0" xfId="0">
      <alignment horizontal="right" vertical="center" wrapText="1"/>
    </xf>
    <xf numFmtId="1" fontId="5" fillId="0" borderId="618" applyAlignment="1" pivotButton="0" quotePrefix="0" xfId="0">
      <alignment horizontal="right" vertical="center" wrapText="1"/>
    </xf>
    <xf numFmtId="1" fontId="5" fillId="5" borderId="619" pivotButton="0" quotePrefix="0" xfId="0"/>
    <xf numFmtId="1" fontId="5" fillId="0" borderId="598" applyAlignment="1" pivotButton="0" quotePrefix="0" xfId="30">
      <alignment horizontal="center" vertical="center" wrapText="1"/>
    </xf>
    <xf numFmtId="1" fontId="5" fillId="0" borderId="626" applyAlignment="1" pivotButton="0" quotePrefix="0" xfId="30">
      <alignment horizontal="center" vertical="center" wrapText="1"/>
    </xf>
    <xf numFmtId="1" fontId="5" fillId="0" borderId="598" applyAlignment="1" pivotButton="0" quotePrefix="0" xfId="30">
      <alignment horizontal="center" vertical="center" wrapText="1"/>
    </xf>
    <xf numFmtId="1" fontId="5" fillId="0" borderId="626" applyAlignment="1" pivotButton="0" quotePrefix="0" xfId="30">
      <alignment horizontal="center" vertical="center" wrapText="1"/>
    </xf>
    <xf numFmtId="1" fontId="5" fillId="0" borderId="627" applyAlignment="1" pivotButton="0" quotePrefix="0" xfId="30">
      <alignment horizontal="center" vertical="center" wrapText="1"/>
    </xf>
    <xf numFmtId="1" fontId="5" fillId="0" borderId="628" applyAlignment="1" pivotButton="0" quotePrefix="0" xfId="30">
      <alignment horizontal="center" vertical="center" wrapText="1"/>
    </xf>
    <xf numFmtId="1" fontId="5" fillId="0" borderId="629" applyAlignment="1" pivotButton="0" quotePrefix="0" xfId="30">
      <alignment horizontal="center" vertical="center" wrapText="1"/>
    </xf>
    <xf numFmtId="1" fontId="5" fillId="0" borderId="469" applyAlignment="1" pivotButton="0" quotePrefix="0" xfId="30">
      <alignment horizontal="center" vertical="center" wrapText="1"/>
    </xf>
    <xf numFmtId="1" fontId="5" fillId="0" borderId="227" applyAlignment="1" pivotButton="0" quotePrefix="0" xfId="30">
      <alignment horizontal="center" vertical="center" wrapText="1"/>
    </xf>
    <xf numFmtId="1" fontId="5" fillId="0" borderId="630" applyAlignment="1" pivotButton="0" quotePrefix="0" xfId="30">
      <alignment horizontal="center" vertical="center" wrapText="1"/>
    </xf>
    <xf numFmtId="1" fontId="5" fillId="0" borderId="450" applyAlignment="1" pivotButton="0" quotePrefix="0" xfId="29">
      <alignment vertical="center" wrapText="1"/>
    </xf>
    <xf numFmtId="1" fontId="5" fillId="5" borderId="553" pivotButton="0" quotePrefix="0" xfId="8"/>
    <xf numFmtId="1" fontId="5" fillId="4" borderId="447" applyProtection="1" pivotButton="0" quotePrefix="0" xfId="8">
      <protection locked="0" hidden="0"/>
    </xf>
    <xf numFmtId="1" fontId="5" fillId="4" borderId="448" applyProtection="1" pivotButton="0" quotePrefix="0" xfId="8">
      <protection locked="0" hidden="0"/>
    </xf>
    <xf numFmtId="1" fontId="5" fillId="4" borderId="374" applyProtection="1" pivotButton="0" quotePrefix="0" xfId="8">
      <protection locked="0" hidden="0"/>
    </xf>
    <xf numFmtId="1" fontId="5" fillId="4" borderId="375" applyProtection="1" pivotButton="0" quotePrefix="0" xfId="8">
      <protection locked="0" hidden="0"/>
    </xf>
    <xf numFmtId="1" fontId="5" fillId="4" borderId="451" applyProtection="1" pivotButton="0" quotePrefix="0" xfId="8">
      <protection locked="0" hidden="0"/>
    </xf>
    <xf numFmtId="1" fontId="5" fillId="4" borderId="452" applyProtection="1" pivotButton="0" quotePrefix="0" xfId="8">
      <protection locked="0" hidden="0"/>
    </xf>
    <xf numFmtId="1" fontId="5" fillId="4" borderId="373" applyProtection="1" pivotButton="0" quotePrefix="0" xfId="8">
      <protection locked="0" hidden="0"/>
    </xf>
    <xf numFmtId="1" fontId="5" fillId="6" borderId="553" pivotButton="0" quotePrefix="0" xfId="8"/>
    <xf numFmtId="1" fontId="5" fillId="6" borderId="329" pivotButton="0" quotePrefix="0" xfId="8"/>
    <xf numFmtId="1" fontId="5" fillId="0" borderId="380" applyAlignment="1" pivotButton="0" quotePrefix="0" xfId="29">
      <alignment vertical="center" wrapText="1"/>
    </xf>
    <xf numFmtId="1" fontId="5" fillId="4" borderId="553" applyProtection="1" pivotButton="0" quotePrefix="0" xfId="8">
      <protection locked="0" hidden="0"/>
    </xf>
    <xf numFmtId="1" fontId="5" fillId="4" borderId="390" applyProtection="1" pivotButton="0" quotePrefix="0" xfId="8">
      <protection locked="0" hidden="0"/>
    </xf>
    <xf numFmtId="1" fontId="5" fillId="4" borderId="332" applyProtection="1" pivotButton="0" quotePrefix="0" xfId="8">
      <protection locked="0" hidden="0"/>
    </xf>
    <xf numFmtId="1" fontId="5" fillId="4" borderId="552" applyProtection="1" pivotButton="0" quotePrefix="0" xfId="8">
      <protection locked="0" hidden="0"/>
    </xf>
    <xf numFmtId="1" fontId="5" fillId="4" borderId="379" applyProtection="1" pivotButton="0" quotePrefix="0" xfId="8">
      <protection locked="0" hidden="0"/>
    </xf>
    <xf numFmtId="1" fontId="5" fillId="6" borderId="470" pivotButton="0" quotePrefix="0" xfId="8"/>
    <xf numFmtId="1" fontId="5" fillId="5" borderId="399" pivotButton="0" quotePrefix="0" xfId="8"/>
    <xf numFmtId="1" fontId="5" fillId="4" borderId="399" applyProtection="1" pivotButton="0" quotePrefix="0" xfId="8">
      <protection locked="0" hidden="0"/>
    </xf>
    <xf numFmtId="1" fontId="5" fillId="4" borderId="389" applyProtection="1" pivotButton="0" quotePrefix="0" xfId="8">
      <protection locked="0" hidden="0"/>
    </xf>
    <xf numFmtId="1" fontId="5" fillId="4" borderId="394" applyProtection="1" pivotButton="0" quotePrefix="0" xfId="8">
      <protection locked="0" hidden="0"/>
    </xf>
    <xf numFmtId="1" fontId="5" fillId="4" borderId="356" applyProtection="1" pivotButton="0" quotePrefix="0" xfId="8">
      <protection locked="0" hidden="0"/>
    </xf>
    <xf numFmtId="1" fontId="5" fillId="4" borderId="371" applyProtection="1" pivotButton="0" quotePrefix="0" xfId="8">
      <protection locked="0" hidden="0"/>
    </xf>
    <xf numFmtId="1" fontId="5" fillId="4" borderId="381" applyProtection="1" pivotButton="0" quotePrefix="0" xfId="8">
      <protection locked="0" hidden="0"/>
    </xf>
    <xf numFmtId="1" fontId="5" fillId="6" borderId="399" pivotButton="0" quotePrefix="0" xfId="8"/>
    <xf numFmtId="1" fontId="5" fillId="6" borderId="388" pivotButton="0" quotePrefix="0" xfId="8"/>
    <xf numFmtId="1" fontId="5" fillId="6" borderId="354" pivotButton="0" quotePrefix="0" xfId="8"/>
    <xf numFmtId="1" fontId="5" fillId="6" borderId="394" pivotButton="0" quotePrefix="0" xfId="8"/>
    <xf numFmtId="1" fontId="5" fillId="4" borderId="383" applyProtection="1" pivotButton="0" quotePrefix="0" xfId="8">
      <protection locked="0" hidden="0"/>
    </xf>
    <xf numFmtId="1" fontId="5" fillId="0" borderId="631" applyAlignment="1" pivotButton="0" quotePrefix="0" xfId="29">
      <alignment horizontal="center" vertical="center" wrapText="1"/>
    </xf>
    <xf numFmtId="1" fontId="5" fillId="0" borderId="632" applyAlignment="1" pivotButton="0" quotePrefix="0" xfId="8">
      <alignment horizontal="right"/>
    </xf>
    <xf numFmtId="1" fontId="5" fillId="0" borderId="626" applyAlignment="1" pivotButton="0" quotePrefix="0" xfId="8">
      <alignment horizontal="right"/>
    </xf>
    <xf numFmtId="1" fontId="5" fillId="0" borderId="614" applyAlignment="1" pivotButton="0" quotePrefix="0" xfId="8">
      <alignment horizontal="right"/>
    </xf>
    <xf numFmtId="1" fontId="5" fillId="0" borderId="628" applyAlignment="1" pivotButton="0" quotePrefix="0" xfId="8">
      <alignment horizontal="right"/>
    </xf>
    <xf numFmtId="1" fontId="5" fillId="0" borderId="629" applyAlignment="1" pivotButton="0" quotePrefix="0" xfId="8">
      <alignment horizontal="right"/>
    </xf>
    <xf numFmtId="1" fontId="5" fillId="0" borderId="633" applyAlignment="1" pivotButton="0" quotePrefix="0" xfId="8">
      <alignment horizontal="right"/>
    </xf>
    <xf numFmtId="1" fontId="5" fillId="0" borderId="610" applyAlignment="1" pivotButton="0" quotePrefix="0" xfId="8">
      <alignment horizontal="right"/>
    </xf>
    <xf numFmtId="1" fontId="5" fillId="5" borderId="636" pivotButton="0" quotePrefix="0" xfId="0"/>
    <xf numFmtId="1" fontId="5" fillId="0" borderId="0" applyAlignment="1" pivotButton="0" quotePrefix="0" xfId="8">
      <alignment horizontal="right"/>
    </xf>
    <xf numFmtId="1" fontId="5" fillId="0" borderId="610" applyAlignment="1" pivotButton="0" quotePrefix="0" xfId="30">
      <alignment horizontal="center" vertical="center" wrapText="1"/>
    </xf>
    <xf numFmtId="1" fontId="5" fillId="6" borderId="447" pivotButton="0" quotePrefix="0" xfId="8"/>
    <xf numFmtId="1" fontId="5" fillId="6" borderId="448" pivotButton="0" quotePrefix="0" xfId="8"/>
    <xf numFmtId="1" fontId="5" fillId="4" borderId="329" applyProtection="1" pivotButton="0" quotePrefix="0" xfId="8">
      <protection locked="0" hidden="0"/>
    </xf>
    <xf numFmtId="1" fontId="5" fillId="0" borderId="384" applyAlignment="1" pivotButton="0" quotePrefix="0" xfId="29">
      <alignment vertical="center" wrapText="1"/>
    </xf>
    <xf numFmtId="1" fontId="5" fillId="4" borderId="378" applyProtection="1" pivotButton="0" quotePrefix="0" xfId="8">
      <protection locked="0" hidden="0"/>
    </xf>
    <xf numFmtId="1" fontId="5" fillId="6" borderId="378" pivotButton="0" quotePrefix="0" xfId="8"/>
    <xf numFmtId="1" fontId="5" fillId="4" borderId="402" applyProtection="1" pivotButton="0" quotePrefix="0" xfId="8">
      <protection locked="0" hidden="0"/>
    </xf>
    <xf numFmtId="1" fontId="70" fillId="3" borderId="569" applyAlignment="1" pivotButton="0" quotePrefix="0" xfId="0">
      <alignment vertical="center" wrapText="1"/>
    </xf>
    <xf numFmtId="1" fontId="70" fillId="3" borderId="0" applyAlignment="1" pivotButton="0" quotePrefix="0" xfId="0">
      <alignment vertical="center" wrapText="1"/>
    </xf>
    <xf numFmtId="1" fontId="69" fillId="0" borderId="637" pivotButton="0" quotePrefix="0" xfId="0"/>
    <xf numFmtId="1" fontId="69" fillId="0" borderId="638" pivotButton="0" quotePrefix="0" xfId="0"/>
    <xf numFmtId="1" fontId="5" fillId="3" borderId="0" pivotButton="0" quotePrefix="0" xfId="0"/>
    <xf numFmtId="1" fontId="5" fillId="4" borderId="344" applyProtection="1" pivotButton="0" quotePrefix="0" xfId="8">
      <protection locked="0" hidden="0"/>
    </xf>
    <xf numFmtId="1" fontId="5" fillId="4" borderId="449" applyProtection="1" pivotButton="0" quotePrefix="0" xfId="8">
      <protection locked="0" hidden="0"/>
    </xf>
    <xf numFmtId="1" fontId="5" fillId="4" borderId="358" applyProtection="1" pivotButton="0" quotePrefix="0" xfId="8">
      <protection locked="0" hidden="0"/>
    </xf>
    <xf numFmtId="1" fontId="5" fillId="4" borderId="380" applyProtection="1" pivotButton="0" quotePrefix="0" xfId="8">
      <protection locked="0" hidden="0"/>
    </xf>
    <xf numFmtId="1" fontId="5" fillId="4" borderId="386" applyProtection="1" pivotButton="0" quotePrefix="0" xfId="8">
      <protection locked="0" hidden="0"/>
    </xf>
    <xf numFmtId="1" fontId="5" fillId="4" borderId="384" applyProtection="1" pivotButton="0" quotePrefix="0" xfId="8">
      <protection locked="0" hidden="0"/>
    </xf>
    <xf numFmtId="1" fontId="69" fillId="0" borderId="569" pivotButton="0" quotePrefix="0" xfId="0"/>
    <xf numFmtId="1" fontId="69" fillId="0" borderId="642" pivotButton="0" quotePrefix="0" xfId="0"/>
    <xf numFmtId="1" fontId="5" fillId="0" borderId="648" applyAlignment="1" pivotButton="0" quotePrefix="0" xfId="0">
      <alignment horizontal="center" vertical="center" wrapText="1"/>
    </xf>
    <xf numFmtId="1" fontId="5" fillId="0" borderId="647" applyAlignment="1" pivotButton="0" quotePrefix="0" xfId="0">
      <alignment horizontal="center" vertical="center" wrapText="1"/>
    </xf>
    <xf numFmtId="1" fontId="5" fillId="0" borderId="646" applyAlignment="1" pivotButton="0" quotePrefix="0" xfId="0">
      <alignment horizontal="center" vertical="center" wrapText="1"/>
    </xf>
    <xf numFmtId="1" fontId="5" fillId="0" borderId="389" applyAlignment="1" pivotButton="0" quotePrefix="0" xfId="0">
      <alignment wrapText="1"/>
    </xf>
    <xf numFmtId="1" fontId="5" fillId="3" borderId="389" pivotButton="0" quotePrefix="0" xfId="0"/>
    <xf numFmtId="1" fontId="5" fillId="4" borderId="329" applyProtection="1" pivotButton="0" quotePrefix="0" xfId="0">
      <protection locked="0" hidden="0"/>
    </xf>
    <xf numFmtId="1" fontId="5" fillId="4" borderId="470" applyProtection="1" pivotButton="0" quotePrefix="0" xfId="0">
      <protection locked="0" hidden="0"/>
    </xf>
    <xf numFmtId="1" fontId="5" fillId="4" borderId="332" applyProtection="1" pivotButton="0" quotePrefix="0" xfId="0">
      <protection locked="0" hidden="0"/>
    </xf>
    <xf numFmtId="1" fontId="5" fillId="3" borderId="378" pivotButton="0" quotePrefix="0" xfId="0"/>
    <xf numFmtId="1" fontId="5" fillId="4" borderId="388" applyProtection="1" pivotButton="0" quotePrefix="0" xfId="0">
      <protection locked="0" hidden="0"/>
    </xf>
    <xf numFmtId="1" fontId="5" fillId="4" borderId="401" applyAlignment="1" applyProtection="1" pivotButton="0" quotePrefix="0" xfId="0">
      <alignment wrapText="1"/>
      <protection locked="0" hidden="0"/>
    </xf>
    <xf numFmtId="1" fontId="5" fillId="0" borderId="0" applyAlignment="1" pivotButton="0" quotePrefix="0" xfId="0">
      <alignment horizontal="left" vertical="center" wrapText="1"/>
    </xf>
    <xf numFmtId="1" fontId="5" fillId="0" borderId="632" applyAlignment="1" pivotButton="0" quotePrefix="0" xfId="0">
      <alignment horizontal="center" vertical="center"/>
    </xf>
    <xf numFmtId="1" fontId="5" fillId="0" borderId="849" applyAlignment="1" pivotButton="0" quotePrefix="0" xfId="0">
      <alignment horizontal="center" vertical="center"/>
    </xf>
    <xf numFmtId="1" fontId="5" fillId="0" borderId="650" applyAlignment="1" pivotButton="0" quotePrefix="0" xfId="0">
      <alignment horizontal="left" wrapText="1"/>
    </xf>
    <xf numFmtId="1" fontId="5" fillId="2" borderId="651" applyProtection="1" pivotButton="0" quotePrefix="0" xfId="1">
      <protection locked="0" hidden="0"/>
    </xf>
    <xf numFmtId="1" fontId="5" fillId="2" borderId="652" applyProtection="1" pivotButton="0" quotePrefix="0" xfId="1">
      <protection locked="0" hidden="0"/>
    </xf>
    <xf numFmtId="1" fontId="5" fillId="2" borderId="653" applyProtection="1" pivotButton="0" quotePrefix="0" xfId="1">
      <protection locked="0" hidden="0"/>
    </xf>
    <xf numFmtId="1" fontId="5" fillId="6" borderId="5" pivotButton="0" quotePrefix="0" xfId="8"/>
    <xf numFmtId="1" fontId="5" fillId="2" borderId="1377" applyProtection="1" pivotButton="0" quotePrefix="0" xfId="1">
      <protection locked="0" hidden="0"/>
    </xf>
    <xf numFmtId="1" fontId="5" fillId="2" borderId="1382" applyProtection="1" pivotButton="0" quotePrefix="0" xfId="1">
      <protection locked="0" hidden="0"/>
    </xf>
    <xf numFmtId="1" fontId="5" fillId="0" borderId="394" pivotButton="0" quotePrefix="0" xfId="0"/>
    <xf numFmtId="1" fontId="5" fillId="2" borderId="654" applyProtection="1" pivotButton="0" quotePrefix="0" xfId="1">
      <protection locked="0" hidden="0"/>
    </xf>
    <xf numFmtId="1" fontId="5" fillId="2" borderId="655" applyProtection="1" pivotButton="0" quotePrefix="0" xfId="1">
      <protection locked="0" hidden="0"/>
    </xf>
    <xf numFmtId="1" fontId="5" fillId="2" borderId="656" applyProtection="1" pivotButton="0" quotePrefix="0" xfId="1">
      <protection locked="0" hidden="0"/>
    </xf>
    <xf numFmtId="1" fontId="5" fillId="2" borderId="1378" applyProtection="1" pivotButton="0" quotePrefix="0" xfId="1">
      <protection locked="0" hidden="0"/>
    </xf>
    <xf numFmtId="1" fontId="5" fillId="2" borderId="1383" applyProtection="1" pivotButton="0" quotePrefix="0" xfId="1">
      <protection locked="0" hidden="0"/>
    </xf>
    <xf numFmtId="1" fontId="5" fillId="0" borderId="347" pivotButton="0" quotePrefix="0" xfId="0"/>
    <xf numFmtId="1" fontId="5" fillId="2" borderId="657" applyProtection="1" pivotButton="0" quotePrefix="0" xfId="1">
      <protection locked="0" hidden="0"/>
    </xf>
    <xf numFmtId="1" fontId="5" fillId="2" borderId="658" applyProtection="1" pivotButton="0" quotePrefix="0" xfId="1">
      <protection locked="0" hidden="0"/>
    </xf>
    <xf numFmtId="1" fontId="5" fillId="2" borderId="659" applyProtection="1" pivotButton="0" quotePrefix="0" xfId="1">
      <protection locked="0" hidden="0"/>
    </xf>
    <xf numFmtId="1" fontId="5" fillId="2" borderId="1379" applyProtection="1" pivotButton="0" quotePrefix="0" xfId="1">
      <protection locked="0" hidden="0"/>
    </xf>
    <xf numFmtId="1" fontId="5" fillId="2" borderId="1384" applyProtection="1" pivotButton="0" quotePrefix="0" xfId="1">
      <protection locked="0" hidden="0"/>
    </xf>
    <xf numFmtId="1" fontId="5" fillId="0" borderId="660" applyAlignment="1" pivotButton="0" quotePrefix="0" xfId="0">
      <alignment horizontal="left" wrapText="1"/>
    </xf>
    <xf numFmtId="1" fontId="5" fillId="6" borderId="344" pivotButton="0" quotePrefix="0" xfId="8"/>
    <xf numFmtId="1" fontId="5" fillId="6" borderId="661" pivotButton="0" quotePrefix="0" xfId="8"/>
    <xf numFmtId="1" fontId="5" fillId="2" borderId="662" applyProtection="1" pivotButton="0" quotePrefix="0" xfId="1">
      <protection locked="0" hidden="0"/>
    </xf>
    <xf numFmtId="1" fontId="5" fillId="2" borderId="1314" applyProtection="1" pivotButton="0" quotePrefix="0" xfId="1">
      <protection locked="0" hidden="0"/>
    </xf>
    <xf numFmtId="1" fontId="5" fillId="2" borderId="1385" applyProtection="1" pivotButton="0" quotePrefix="0" xfId="1">
      <protection locked="0" hidden="0"/>
    </xf>
    <xf numFmtId="1" fontId="5" fillId="0" borderId="618" applyAlignment="1" pivotButton="0" quotePrefix="0" xfId="0">
      <alignment horizontal="left" wrapText="1"/>
    </xf>
    <xf numFmtId="1" fontId="5" fillId="2" borderId="347" applyProtection="1" pivotButton="0" quotePrefix="0" xfId="1">
      <protection locked="0" hidden="0"/>
    </xf>
    <xf numFmtId="1" fontId="5" fillId="2" borderId="226" applyProtection="1" pivotButton="0" quotePrefix="0" xfId="1">
      <protection locked="0" hidden="0"/>
    </xf>
    <xf numFmtId="1" fontId="5" fillId="2" borderId="227" applyProtection="1" pivotButton="0" quotePrefix="0" xfId="1">
      <protection locked="0" hidden="0"/>
    </xf>
    <xf numFmtId="1" fontId="5" fillId="6" borderId="569" pivotButton="0" quotePrefix="0" xfId="8"/>
    <xf numFmtId="1" fontId="5" fillId="2" borderId="664" applyProtection="1" pivotButton="0" quotePrefix="0" xfId="1">
      <protection locked="0" hidden="0"/>
    </xf>
    <xf numFmtId="1" fontId="5" fillId="2" borderId="665" applyProtection="1" pivotButton="0" quotePrefix="0" xfId="1">
      <protection locked="0" hidden="0"/>
    </xf>
    <xf numFmtId="1" fontId="5" fillId="2" borderId="666" applyProtection="1" pivotButton="0" quotePrefix="0" xfId="1">
      <protection locked="0" hidden="0"/>
    </xf>
    <xf numFmtId="1" fontId="5" fillId="2" borderId="1380" applyProtection="1" pivotButton="0" quotePrefix="0" xfId="1">
      <protection locked="0" hidden="0"/>
    </xf>
    <xf numFmtId="1" fontId="5" fillId="2" borderId="1386" applyProtection="1" pivotButton="0" quotePrefix="0" xfId="1">
      <protection locked="0" hidden="0"/>
    </xf>
    <xf numFmtId="1" fontId="5" fillId="2" borderId="667" applyProtection="1" pivotButton="0" quotePrefix="0" xfId="1">
      <protection locked="0" hidden="0"/>
    </xf>
    <xf numFmtId="1" fontId="5" fillId="2" borderId="668" applyProtection="1" pivotButton="0" quotePrefix="0" xfId="1">
      <protection locked="0" hidden="0"/>
    </xf>
    <xf numFmtId="1" fontId="5" fillId="0" borderId="407" pivotButton="0" quotePrefix="0" xfId="0"/>
    <xf numFmtId="1" fontId="5" fillId="2" borderId="669" applyProtection="1" pivotButton="0" quotePrefix="0" xfId="1">
      <protection locked="0" hidden="0"/>
    </xf>
    <xf numFmtId="1" fontId="5" fillId="2" borderId="1387" applyProtection="1" pivotButton="0" quotePrefix="0" xfId="1">
      <protection locked="0" hidden="0"/>
    </xf>
    <xf numFmtId="0" fontId="5" fillId="0" borderId="672" applyAlignment="1" pivotButton="0" quotePrefix="0" xfId="0">
      <alignment horizontal="center" vertical="center"/>
    </xf>
    <xf numFmtId="1" fontId="5" fillId="0" borderId="672" applyAlignment="1" pivotButton="0" quotePrefix="0" xfId="0">
      <alignment horizontal="center" vertical="center" wrapText="1"/>
    </xf>
    <xf numFmtId="1" fontId="5" fillId="0" borderId="675" applyAlignment="1" pivotButton="0" quotePrefix="0" xfId="0">
      <alignment horizontal="center" vertical="center" wrapText="1"/>
    </xf>
    <xf numFmtId="1" fontId="5" fillId="0" borderId="676" pivotButton="0" quotePrefix="0" xfId="0"/>
    <xf numFmtId="1" fontId="5" fillId="0" borderId="677" pivotButton="0" quotePrefix="0" xfId="0"/>
    <xf numFmtId="1" fontId="5" fillId="4" borderId="678" applyProtection="1" pivotButton="0" quotePrefix="0" xfId="0">
      <protection locked="0" hidden="0"/>
    </xf>
    <xf numFmtId="1" fontId="5" fillId="4" borderId="1192" applyProtection="1" pivotButton="0" quotePrefix="0" xfId="0">
      <protection locked="0" hidden="0"/>
    </xf>
    <xf numFmtId="1" fontId="5" fillId="4" borderId="1349" applyProtection="1" pivotButton="0" quotePrefix="0" xfId="0">
      <protection locked="0" hidden="0"/>
    </xf>
    <xf numFmtId="1" fontId="5" fillId="4" borderId="379" applyProtection="1" pivotButton="0" quotePrefix="0" xfId="0">
      <protection locked="0" hidden="0"/>
    </xf>
    <xf numFmtId="1" fontId="5" fillId="4" borderId="381" applyProtection="1" pivotButton="0" quotePrefix="0" xfId="0">
      <protection locked="0" hidden="0"/>
    </xf>
    <xf numFmtId="1" fontId="5" fillId="4" borderId="1087" applyProtection="1" pivotButton="0" quotePrefix="0" xfId="0">
      <protection locked="0" hidden="0"/>
    </xf>
    <xf numFmtId="1" fontId="5" fillId="4" borderId="1085" applyProtection="1" pivotButton="0" quotePrefix="0" xfId="0">
      <protection locked="0" hidden="0"/>
    </xf>
    <xf numFmtId="1" fontId="5" fillId="4" borderId="416" applyProtection="1" pivotButton="0" quotePrefix="0" xfId="0">
      <protection locked="0" hidden="0"/>
    </xf>
    <xf numFmtId="1" fontId="5" fillId="4" borderId="4" applyProtection="1" pivotButton="0" quotePrefix="0" xfId="0">
      <protection locked="0" hidden="0"/>
    </xf>
    <xf numFmtId="1" fontId="5" fillId="4" borderId="403" applyProtection="1" pivotButton="0" quotePrefix="0" xfId="0">
      <protection locked="0" hidden="0"/>
    </xf>
    <xf numFmtId="1" fontId="5" fillId="4" borderId="415" applyProtection="1" pivotButton="0" quotePrefix="0" xfId="0">
      <protection locked="0" hidden="0"/>
    </xf>
    <xf numFmtId="0" fontId="5" fillId="0" borderId="681" applyAlignment="1" pivotButton="0" quotePrefix="0" xfId="0">
      <alignment horizontal="center" vertical="center"/>
    </xf>
    <xf numFmtId="0" fontId="5" fillId="0" borderId="682" applyAlignment="1" pivotButton="0" quotePrefix="0" xfId="0">
      <alignment horizontal="center" vertical="center"/>
    </xf>
    <xf numFmtId="0" fontId="5" fillId="6" borderId="569" applyAlignment="1" pivotButton="0" quotePrefix="0" xfId="0">
      <alignment horizontal="left" wrapText="1"/>
    </xf>
    <xf numFmtId="1" fontId="5" fillId="6" borderId="681" pivotButton="0" quotePrefix="0" xfId="0"/>
    <xf numFmtId="1" fontId="5" fillId="6" borderId="399" pivotButton="0" quotePrefix="0" xfId="0"/>
    <xf numFmtId="1" fontId="5" fillId="6" borderId="386" pivotButton="0" quotePrefix="0" xfId="0"/>
    <xf numFmtId="1" fontId="5" fillId="6" borderId="415" pivotButton="0" quotePrefix="0" xfId="0"/>
    <xf numFmtId="1" fontId="5" fillId="6" borderId="1129" pivotButton="0" quotePrefix="0" xfId="0"/>
    <xf numFmtId="1" fontId="5" fillId="6" borderId="384" pivotButton="0" quotePrefix="0" xfId="0"/>
    <xf numFmtId="0" fontId="71" fillId="0" borderId="0" pivotButton="0" quotePrefix="0" xfId="0"/>
    <xf numFmtId="0" fontId="72" fillId="0" borderId="0" pivotButton="0" quotePrefix="0" xfId="0"/>
    <xf numFmtId="1" fontId="5" fillId="5" borderId="673" applyAlignment="1" pivotButton="0" quotePrefix="0" xfId="0">
      <alignment horizontal="center" vertical="center" wrapText="1"/>
    </xf>
    <xf numFmtId="1" fontId="5" fillId="5" borderId="687" applyAlignment="1" pivotButton="0" quotePrefix="0" xfId="0">
      <alignment horizontal="center" vertical="center" wrapText="1"/>
    </xf>
    <xf numFmtId="1" fontId="5" fillId="5" borderId="364" applyAlignment="1" pivotButton="0" quotePrefix="0" xfId="0">
      <alignment horizontal="center" vertical="center" wrapText="1"/>
    </xf>
    <xf numFmtId="1" fontId="5" fillId="5" borderId="688" applyAlignment="1" pivotButton="0" quotePrefix="0" xfId="0">
      <alignment horizontal="center" vertical="center" wrapText="1"/>
    </xf>
    <xf numFmtId="1" fontId="5" fillId="5" borderId="681" applyAlignment="1" pivotButton="0" quotePrefix="0" xfId="0">
      <alignment horizontal="center" vertical="center" wrapText="1"/>
    </xf>
    <xf numFmtId="1" fontId="5" fillId="5" borderId="684" applyAlignment="1" pivotButton="0" quotePrefix="0" xfId="0">
      <alignment horizontal="center" vertical="center" wrapText="1"/>
    </xf>
    <xf numFmtId="1" fontId="5" fillId="5" borderId="689" applyAlignment="1" pivotButton="0" quotePrefix="0" xfId="0">
      <alignment horizontal="center" vertical="center" wrapText="1"/>
    </xf>
    <xf numFmtId="1" fontId="5" fillId="5" borderId="569" applyAlignment="1" pivotButton="0" quotePrefix="0" xfId="0">
      <alignment horizontal="center" vertical="center" wrapText="1"/>
    </xf>
    <xf numFmtId="1" fontId="5" fillId="5" borderId="675" applyAlignment="1" pivotButton="0" quotePrefix="0" xfId="0">
      <alignment horizontal="center" vertical="center" wrapText="1"/>
    </xf>
    <xf numFmtId="1" fontId="5" fillId="0" borderId="690" applyAlignment="1" pivotButton="0" quotePrefix="0" xfId="0">
      <alignment horizontal="left" vertical="center" wrapText="1"/>
    </xf>
    <xf numFmtId="1" fontId="5" fillId="5" borderId="660" applyAlignment="1" pivotButton="0" quotePrefix="0" xfId="0">
      <alignment horizontal="right" wrapText="1"/>
    </xf>
    <xf numFmtId="1" fontId="5" fillId="5" borderId="691" applyAlignment="1" pivotButton="0" quotePrefix="0" xfId="0">
      <alignment horizontal="right" wrapText="1"/>
    </xf>
    <xf numFmtId="1" fontId="5" fillId="0" borderId="661" pivotButton="0" quotePrefix="0" xfId="0"/>
    <xf numFmtId="1" fontId="5" fillId="0" borderId="407" applyAlignment="1" pivotButton="0" quotePrefix="0" xfId="0">
      <alignment horizontal="left" vertical="center" wrapText="1"/>
    </xf>
    <xf numFmtId="1" fontId="5" fillId="5" borderId="384" applyAlignment="1" pivotButton="0" quotePrefix="0" xfId="0">
      <alignment horizontal="right" wrapText="1"/>
    </xf>
    <xf numFmtId="1" fontId="5" fillId="5" borderId="399" applyAlignment="1" pivotButton="0" quotePrefix="0" xfId="0">
      <alignment horizontal="right" wrapText="1"/>
    </xf>
    <xf numFmtId="1" fontId="5" fillId="5" borderId="388" applyAlignment="1" pivotButton="0" quotePrefix="0" xfId="0">
      <alignment horizontal="right" wrapText="1"/>
    </xf>
    <xf numFmtId="1" fontId="5" fillId="5" borderId="383" applyAlignment="1" pivotButton="0" quotePrefix="0" xfId="0">
      <alignment horizontal="right" wrapText="1"/>
    </xf>
    <xf numFmtId="1" fontId="5" fillId="30" borderId="132" pivotButton="0" quotePrefix="0" xfId="2"/>
    <xf numFmtId="1" fontId="5" fillId="30" borderId="133" pivotButton="0" quotePrefix="0" xfId="2"/>
    <xf numFmtId="1" fontId="5" fillId="30" borderId="31" pivotButton="0" quotePrefix="0" xfId="2"/>
    <xf numFmtId="1" fontId="5" fillId="5" borderId="676" applyAlignment="1" pivotButton="0" quotePrefix="0" xfId="0">
      <alignment horizontal="right" wrapText="1"/>
    </xf>
    <xf numFmtId="1" fontId="5" fillId="5" borderId="661" applyAlignment="1" pivotButton="0" quotePrefix="0" xfId="0">
      <alignment horizontal="right" wrapText="1"/>
    </xf>
    <xf numFmtId="1" fontId="5" fillId="5" borderId="554" applyAlignment="1" pivotButton="0" quotePrefix="0" xfId="0">
      <alignment horizontal="right" wrapText="1"/>
    </xf>
    <xf numFmtId="1" fontId="5" fillId="5" borderId="470" applyAlignment="1" pivotButton="0" quotePrefix="0" xfId="0">
      <alignment horizontal="right" wrapText="1"/>
    </xf>
    <xf numFmtId="1" fontId="5" fillId="5" borderId="329" applyAlignment="1" pivotButton="0" quotePrefix="0" xfId="0">
      <alignment horizontal="right" wrapText="1"/>
    </xf>
    <xf numFmtId="1" fontId="5" fillId="30" borderId="692" pivotButton="0" quotePrefix="0" xfId="2"/>
    <xf numFmtId="1" fontId="5" fillId="30" borderId="388" pivotButton="0" quotePrefix="0" xfId="2"/>
    <xf numFmtId="1" fontId="5" fillId="30" borderId="428" pivotButton="0" quotePrefix="0" xfId="2"/>
    <xf numFmtId="1" fontId="5" fillId="30" borderId="378" pivotButton="0" quotePrefix="0" xfId="2"/>
    <xf numFmtId="1" fontId="14" fillId="0" borderId="569" applyAlignment="1" pivotButton="0" quotePrefix="0" xfId="0">
      <alignment horizontal="left"/>
    </xf>
    <xf numFmtId="0" fontId="58" fillId="0" borderId="0" pivotButton="0" quotePrefix="0" xfId="0"/>
    <xf numFmtId="1" fontId="5" fillId="0" borderId="670" applyAlignment="1" pivotButton="0" quotePrefix="0" xfId="0">
      <alignment horizontal="center" vertical="center"/>
    </xf>
    <xf numFmtId="1" fontId="5" fillId="0" borderId="683" applyAlignment="1" pivotButton="0" quotePrefix="0" xfId="0">
      <alignment horizontal="center" vertical="center" wrapText="1"/>
    </xf>
    <xf numFmtId="1" fontId="5" fillId="0" borderId="670" applyAlignment="1" pivotButton="0" quotePrefix="0" xfId="0">
      <alignment horizontal="center" vertical="center" wrapText="1"/>
    </xf>
    <xf numFmtId="1" fontId="5" fillId="0" borderId="690" applyAlignment="1" pivotButton="0" quotePrefix="0" xfId="0">
      <alignment vertical="center" wrapText="1"/>
    </xf>
    <xf numFmtId="1" fontId="5" fillId="3" borderId="660" applyAlignment="1" pivotButton="0" quotePrefix="0" xfId="0">
      <alignment horizontal="right"/>
    </xf>
    <xf numFmtId="1" fontId="5" fillId="3" borderId="550" applyAlignment="1" pivotButton="0" quotePrefix="0" xfId="0">
      <alignment horizontal="right"/>
    </xf>
    <xf numFmtId="1" fontId="5" fillId="0" borderId="693" applyAlignment="1" pivotButton="0" quotePrefix="0" xfId="0">
      <alignment horizontal="center" vertical="center" wrapText="1"/>
    </xf>
    <xf numFmtId="1" fontId="5" fillId="0" borderId="662" applyAlignment="1" pivotButton="0" quotePrefix="0" xfId="0">
      <alignment horizontal="right" vertical="center" wrapText="1"/>
    </xf>
    <xf numFmtId="1" fontId="5" fillId="4" borderId="344" applyProtection="1" pivotButton="0" quotePrefix="0" xfId="0">
      <protection locked="0" hidden="0"/>
    </xf>
    <xf numFmtId="1" fontId="5" fillId="0" borderId="389" applyAlignment="1" pivotButton="0" quotePrefix="0" xfId="0">
      <alignment vertical="center" wrapText="1"/>
    </xf>
    <xf numFmtId="1" fontId="5" fillId="3" borderId="391" applyAlignment="1" pivotButton="0" quotePrefix="0" xfId="0">
      <alignment horizontal="right"/>
    </xf>
    <xf numFmtId="1" fontId="5" fillId="4" borderId="358" applyProtection="1" pivotButton="0" quotePrefix="0" xfId="0">
      <protection locked="0" hidden="0"/>
    </xf>
    <xf numFmtId="1" fontId="5" fillId="0" borderId="389" applyAlignment="1" pivotButton="0" quotePrefix="0" xfId="0">
      <alignment vertical="center"/>
    </xf>
    <xf numFmtId="1" fontId="5" fillId="3" borderId="5" applyAlignment="1" pivotButton="0" quotePrefix="0" xfId="0">
      <alignment horizontal="right"/>
    </xf>
    <xf numFmtId="1" fontId="5" fillId="4" borderId="326" applyProtection="1" pivotButton="0" quotePrefix="0" xfId="0">
      <protection locked="0" hidden="0"/>
    </xf>
    <xf numFmtId="1" fontId="5" fillId="3" borderId="569" applyAlignment="1" pivotButton="0" quotePrefix="0" xfId="0">
      <alignment horizontal="right"/>
    </xf>
    <xf numFmtId="1" fontId="5" fillId="4" borderId="226" applyProtection="1" pivotButton="0" quotePrefix="0" xfId="0">
      <protection locked="0" hidden="0"/>
    </xf>
    <xf numFmtId="1" fontId="5" fillId="4" borderId="230" applyProtection="1" pivotButton="0" quotePrefix="0" xfId="0">
      <protection locked="0" hidden="0"/>
    </xf>
    <xf numFmtId="1" fontId="5" fillId="4" borderId="469" applyProtection="1" pivotButton="0" quotePrefix="0" xfId="0">
      <protection locked="0" hidden="0"/>
    </xf>
    <xf numFmtId="1" fontId="5" fillId="3" borderId="554" applyAlignment="1" pivotButton="0" quotePrefix="0" xfId="0">
      <alignment horizontal="right"/>
    </xf>
    <xf numFmtId="1" fontId="5" fillId="4" borderId="386" applyProtection="1" pivotButton="0" quotePrefix="0" xfId="0">
      <protection locked="0" hidden="0"/>
    </xf>
    <xf numFmtId="1" fontId="14" fillId="0" borderId="0" applyAlignment="1" pivotButton="0" quotePrefix="0" xfId="0">
      <alignment horizontal="left"/>
    </xf>
    <xf numFmtId="1" fontId="5" fillId="3" borderId="401" applyAlignment="1" pivotButton="0" quotePrefix="0" xfId="0">
      <alignment horizontal="right"/>
    </xf>
    <xf numFmtId="1" fontId="5" fillId="0" borderId="521" applyAlignment="1" pivotButton="0" quotePrefix="0" xfId="0">
      <alignment vertical="center" wrapText="1"/>
    </xf>
    <xf numFmtId="0" fontId="56" fillId="0" borderId="569" pivotButton="0" quotePrefix="0" xfId="0"/>
    <xf numFmtId="1" fontId="14" fillId="0" borderId="671" applyAlignment="1" pivotButton="0" quotePrefix="0" xfId="0">
      <alignment horizontal="left"/>
    </xf>
    <xf numFmtId="0" fontId="58" fillId="0" borderId="671" pivotButton="0" quotePrefix="0" xfId="0"/>
    <xf numFmtId="0" fontId="56" fillId="0" borderId="283" pivotButton="0" quotePrefix="0" xfId="0"/>
    <xf numFmtId="1" fontId="5" fillId="0" borderId="694" applyAlignment="1" pivotButton="0" quotePrefix="0" xfId="0">
      <alignment horizontal="center" vertical="center" wrapText="1"/>
    </xf>
    <xf numFmtId="1" fontId="5" fillId="0" borderId="380" applyAlignment="1" pivotButton="0" quotePrefix="0" xfId="0">
      <alignment vertical="center" wrapText="1"/>
    </xf>
    <xf numFmtId="1" fontId="5" fillId="0" borderId="378" applyAlignment="1" pivotButton="0" quotePrefix="0" xfId="0">
      <alignment horizontal="right" vertical="center" wrapText="1"/>
    </xf>
    <xf numFmtId="1" fontId="5" fillId="4" borderId="227" applyProtection="1" pivotButton="0" quotePrefix="0" xfId="0">
      <protection locked="0" hidden="0"/>
    </xf>
    <xf numFmtId="1" fontId="56" fillId="50" borderId="0" pivotButton="0" quotePrefix="0" xfId="0"/>
    <xf numFmtId="0" fontId="56" fillId="50" borderId="0" pivotButton="0" quotePrefix="0" xfId="0"/>
    <xf numFmtId="1" fontId="69" fillId="5" borderId="0" applyProtection="1" pivotButton="0" quotePrefix="0" xfId="0">
      <protection locked="0" hidden="0"/>
    </xf>
    <xf numFmtId="1" fontId="58" fillId="3" borderId="0" pivotButton="0" quotePrefix="0" xfId="0"/>
    <xf numFmtId="1" fontId="16" fillId="3" borderId="0" applyAlignment="1" pivotButton="0" quotePrefix="0" xfId="0">
      <alignment horizontal="left"/>
    </xf>
    <xf numFmtId="1" fontId="69" fillId="3" borderId="0" applyAlignment="1" pivotButton="0" quotePrefix="0" xfId="0">
      <alignment horizontal="center"/>
    </xf>
    <xf numFmtId="1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left"/>
    </xf>
    <xf numFmtId="1" fontId="58" fillId="5" borderId="0" pivotButton="0" quotePrefix="0" xfId="0"/>
    <xf numFmtId="1" fontId="14" fillId="3" borderId="783" pivotButton="0" quotePrefix="0" xfId="0"/>
    <xf numFmtId="1" fontId="5" fillId="0" borderId="679" applyAlignment="1" pivotButton="0" quotePrefix="0" xfId="0">
      <alignment horizontal="center" vertical="center"/>
    </xf>
    <xf numFmtId="1" fontId="5" fillId="0" borderId="695" applyAlignment="1" pivotButton="0" quotePrefix="0" xfId="0">
      <alignment horizontal="center" vertical="center" wrapText="1"/>
    </xf>
    <xf numFmtId="1" fontId="5" fillId="0" borderId="685" applyAlignment="1" pivotButton="0" quotePrefix="0" xfId="0">
      <alignment horizontal="center" vertical="center" wrapText="1"/>
    </xf>
    <xf numFmtId="1" fontId="5" fillId="0" borderId="730" applyAlignment="1" pivotButton="0" quotePrefix="0" xfId="0">
      <alignment horizontal="center" vertical="center" wrapText="1"/>
    </xf>
    <xf numFmtId="1" fontId="5" fillId="0" borderId="729" applyAlignment="1" pivotButton="0" quotePrefix="0" xfId="0">
      <alignment horizontal="center" vertical="center" wrapText="1"/>
    </xf>
    <xf numFmtId="1" fontId="5" fillId="0" borderId="783" applyAlignment="1" pivotButton="0" quotePrefix="0" xfId="0">
      <alignment horizontal="center" vertical="center" wrapText="1"/>
    </xf>
    <xf numFmtId="1" fontId="5" fillId="0" borderId="785" applyAlignment="1" pivotButton="0" quotePrefix="0" xfId="0">
      <alignment horizontal="center" vertical="center" wrapText="1"/>
    </xf>
    <xf numFmtId="1" fontId="5" fillId="0" borderId="687" applyAlignment="1" pivotButton="0" quotePrefix="0" xfId="0">
      <alignment horizontal="center" vertical="center" wrapText="1"/>
    </xf>
    <xf numFmtId="1" fontId="5" fillId="0" borderId="740" applyAlignment="1" pivotButton="0" quotePrefix="0" xfId="0">
      <alignment horizontal="center" vertical="center" wrapText="1"/>
    </xf>
    <xf numFmtId="1" fontId="5" fillId="0" borderId="687" applyAlignment="1" pivotButton="0" quotePrefix="0" xfId="0">
      <alignment horizontal="center" vertical="center"/>
    </xf>
    <xf numFmtId="1" fontId="5" fillId="0" borderId="740" applyAlignment="1" pivotButton="0" quotePrefix="0" xfId="0">
      <alignment horizontal="center" vertical="center"/>
    </xf>
    <xf numFmtId="1" fontId="5" fillId="0" borderId="699" applyAlignment="1" pivotButton="0" quotePrefix="0" xfId="0">
      <alignment horizontal="center" vertical="center" wrapText="1"/>
    </xf>
    <xf numFmtId="1" fontId="5" fillId="0" borderId="725" applyAlignment="1" pivotButton="0" quotePrefix="0" xfId="0">
      <alignment horizontal="center" vertical="center" wrapText="1"/>
    </xf>
    <xf numFmtId="1" fontId="5" fillId="0" borderId="788" applyAlignment="1" pivotButton="0" quotePrefix="0" xfId="0">
      <alignment horizontal="center" vertical="center" wrapText="1"/>
    </xf>
    <xf numFmtId="1" fontId="5" fillId="0" borderId="736" applyAlignment="1" pivotButton="0" quotePrefix="0" xfId="0">
      <alignment horizontal="left" vertical="center"/>
    </xf>
    <xf numFmtId="1" fontId="5" fillId="0" borderId="731" applyAlignment="1" pivotButton="0" quotePrefix="0" xfId="0">
      <alignment horizontal="right"/>
    </xf>
    <xf numFmtId="1" fontId="5" fillId="0" borderId="737" applyAlignment="1" pivotButton="0" quotePrefix="0" xfId="0">
      <alignment horizontal="right"/>
    </xf>
    <xf numFmtId="1" fontId="5" fillId="4" borderId="1036" applyProtection="1" pivotButton="0" quotePrefix="0" xfId="0">
      <protection locked="0" hidden="0"/>
    </xf>
    <xf numFmtId="1" fontId="5" fillId="4" borderId="1035" applyProtection="1" pivotButton="0" quotePrefix="0" xfId="0">
      <protection locked="0" hidden="0"/>
    </xf>
    <xf numFmtId="1" fontId="5" fillId="4" borderId="1348" applyProtection="1" pivotButton="0" quotePrefix="0" xfId="0">
      <protection locked="0" hidden="0"/>
    </xf>
    <xf numFmtId="1" fontId="5" fillId="4" borderId="1044" applyProtection="1" pivotButton="0" quotePrefix="0" xfId="0">
      <protection locked="0" hidden="0"/>
    </xf>
    <xf numFmtId="1" fontId="5" fillId="5" borderId="0" applyAlignment="1" applyProtection="1" pivotButton="0" quotePrefix="0" xfId="0">
      <alignment vertical="center"/>
      <protection locked="0" hidden="0"/>
    </xf>
    <xf numFmtId="1" fontId="5" fillId="5" borderId="0" applyAlignment="1" pivotButton="0" quotePrefix="0" xfId="0">
      <alignment vertical="top" wrapText="1"/>
    </xf>
    <xf numFmtId="0" fontId="59" fillId="15" borderId="0" pivotButton="0" quotePrefix="0" xfId="0"/>
    <xf numFmtId="0" fontId="59" fillId="48" borderId="0" pivotButton="0" quotePrefix="0" xfId="0"/>
    <xf numFmtId="0" fontId="56" fillId="48" borderId="0" pivotButton="0" quotePrefix="0" xfId="0"/>
    <xf numFmtId="1" fontId="5" fillId="0" borderId="505" applyAlignment="1" pivotButton="0" quotePrefix="0" xfId="0">
      <alignment horizontal="right"/>
    </xf>
    <xf numFmtId="1" fontId="5" fillId="0" borderId="358" applyAlignment="1" pivotButton="0" quotePrefix="0" xfId="0">
      <alignment horizontal="right"/>
    </xf>
    <xf numFmtId="1" fontId="5" fillId="0" borderId="354" applyAlignment="1" pivotButton="0" quotePrefix="0" xfId="0">
      <alignment horizontal="right"/>
    </xf>
    <xf numFmtId="1" fontId="5" fillId="7" borderId="382" pivotButton="0" quotePrefix="0" xfId="0"/>
    <xf numFmtId="1" fontId="5" fillId="7" borderId="1085" pivotButton="0" quotePrefix="0" xfId="0"/>
    <xf numFmtId="1" fontId="58" fillId="52" borderId="0" pivotButton="0" quotePrefix="0" xfId="0"/>
    <xf numFmtId="1" fontId="69" fillId="52" borderId="0" pivotButton="0" quotePrefix="0" xfId="0"/>
    <xf numFmtId="1" fontId="5" fillId="0" borderId="401" applyAlignment="1" pivotButton="0" quotePrefix="0" xfId="0">
      <alignment horizontal="left" vertical="center"/>
    </xf>
    <xf numFmtId="1" fontId="5" fillId="0" borderId="386" applyAlignment="1" pivotButton="0" quotePrefix="0" xfId="0">
      <alignment horizontal="right"/>
    </xf>
    <xf numFmtId="1" fontId="5" fillId="0" borderId="383" applyAlignment="1" pivotButton="0" quotePrefix="0" xfId="0">
      <alignment horizontal="right"/>
    </xf>
    <xf numFmtId="1" fontId="5" fillId="0" borderId="729" applyAlignment="1" pivotButton="0" quotePrefix="0" xfId="0">
      <alignment horizontal="center" vertical="center"/>
    </xf>
    <xf numFmtId="1" fontId="5" fillId="0" borderId="681" applyAlignment="1" pivotButton="0" quotePrefix="0" xfId="0">
      <alignment horizontal="center" vertical="center"/>
    </xf>
    <xf numFmtId="1" fontId="5" fillId="0" borderId="732" applyAlignment="1" pivotButton="0" quotePrefix="0" xfId="0">
      <alignment horizontal="center" vertical="center"/>
    </xf>
    <xf numFmtId="1" fontId="5" fillId="0" borderId="681" applyAlignment="1" pivotButton="0" quotePrefix="0" xfId="0">
      <alignment horizontal="center" vertical="center" wrapText="1"/>
    </xf>
    <xf numFmtId="1" fontId="5" fillId="0" borderId="803" applyAlignment="1" pivotButton="0" quotePrefix="0" xfId="0">
      <alignment horizontal="center" vertical="center" wrapText="1"/>
    </xf>
    <xf numFmtId="1" fontId="5" fillId="0" borderId="1350" applyAlignment="1" pivotButton="0" quotePrefix="0" xfId="0">
      <alignment horizontal="center" vertical="center" wrapText="1"/>
    </xf>
    <xf numFmtId="1" fontId="5" fillId="0" borderId="1399" applyAlignment="1" pivotButton="0" quotePrefix="0" xfId="0">
      <alignment horizontal="center" vertical="center" wrapText="1"/>
    </xf>
    <xf numFmtId="1" fontId="5" fillId="3" borderId="1422" applyAlignment="1" pivotButton="0" quotePrefix="0" xfId="0">
      <alignment horizontal="center" vertical="center"/>
    </xf>
    <xf numFmtId="1" fontId="5" fillId="0" borderId="1401" applyAlignment="1" pivotButton="0" quotePrefix="0" xfId="0">
      <alignment horizontal="center" vertical="center" wrapText="1"/>
    </xf>
    <xf numFmtId="1" fontId="5" fillId="0" borderId="736" applyAlignment="1" pivotButton="0" quotePrefix="0" xfId="0">
      <alignment horizontal="left" vertical="center" wrapText="1"/>
    </xf>
    <xf numFmtId="1" fontId="5" fillId="0" borderId="358" applyAlignment="1" pivotButton="0" quotePrefix="0" xfId="0">
      <alignment horizontal="right" wrapText="1"/>
    </xf>
    <xf numFmtId="1" fontId="5" fillId="4" borderId="550" applyProtection="1" pivotButton="0" quotePrefix="0" xfId="0">
      <protection locked="0" hidden="0"/>
    </xf>
    <xf numFmtId="1" fontId="5" fillId="4" borderId="431" applyProtection="1" pivotButton="0" quotePrefix="0" xfId="0">
      <protection locked="0" hidden="0"/>
    </xf>
    <xf numFmtId="1" fontId="5" fillId="4" borderId="1359" applyProtection="1" pivotButton="0" quotePrefix="0" xfId="0">
      <protection locked="0" hidden="0"/>
    </xf>
    <xf numFmtId="1" fontId="5" fillId="4" borderId="1420" applyAlignment="1" applyProtection="1" pivotButton="0" quotePrefix="0" xfId="0">
      <alignment horizontal="right"/>
      <protection locked="0" hidden="0"/>
    </xf>
    <xf numFmtId="1" fontId="5" fillId="5" borderId="736" applyAlignment="1" pivotButton="0" quotePrefix="0" xfId="0">
      <alignment horizontal="right"/>
    </xf>
    <xf numFmtId="1" fontId="5" fillId="4" borderId="1035" applyAlignment="1" applyProtection="1" pivotButton="0" quotePrefix="0" xfId="0">
      <alignment horizontal="right"/>
      <protection locked="0" hidden="0"/>
    </xf>
    <xf numFmtId="1" fontId="5" fillId="4" borderId="1348" applyAlignment="1" applyProtection="1" pivotButton="0" quotePrefix="0" xfId="0">
      <alignment horizontal="right"/>
      <protection locked="0" hidden="0"/>
    </xf>
    <xf numFmtId="1" fontId="5" fillId="4" borderId="1133" applyAlignment="1" applyProtection="1" pivotButton="0" quotePrefix="0" xfId="0">
      <alignment horizontal="right"/>
      <protection locked="0" hidden="0"/>
    </xf>
    <xf numFmtId="1" fontId="5" fillId="4" borderId="726" applyAlignment="1" applyProtection="1" pivotButton="0" quotePrefix="0" xfId="0">
      <alignment horizontal="right"/>
      <protection locked="0" hidden="0"/>
    </xf>
    <xf numFmtId="1" fontId="5" fillId="4" borderId="1090" applyAlignment="1" applyProtection="1" pivotButton="0" quotePrefix="0" xfId="0">
      <alignment horizontal="right"/>
      <protection locked="0" hidden="0"/>
    </xf>
    <xf numFmtId="1" fontId="5" fillId="6" borderId="393" pivotButton="0" quotePrefix="0" xfId="0"/>
    <xf numFmtId="1" fontId="5" fillId="6" borderId="1095" pivotButton="0" quotePrefix="0" xfId="0"/>
    <xf numFmtId="1" fontId="5" fillId="6" borderId="1081" pivotButton="0" quotePrefix="0" xfId="0"/>
    <xf numFmtId="1" fontId="5" fillId="6" borderId="1135" pivotButton="0" quotePrefix="0" xfId="0"/>
    <xf numFmtId="1" fontId="5" fillId="6" borderId="394" applyAlignment="1" pivotButton="0" quotePrefix="0" xfId="0">
      <alignment horizontal="right" wrapText="1"/>
    </xf>
    <xf numFmtId="1" fontId="5" fillId="6" borderId="358" applyAlignment="1" pivotButton="0" quotePrefix="0" xfId="0">
      <alignment horizontal="right" wrapText="1"/>
    </xf>
    <xf numFmtId="1" fontId="5" fillId="6" borderId="356" pivotButton="0" quotePrefix="0" xfId="0"/>
    <xf numFmtId="1" fontId="5" fillId="6" borderId="466" pivotButton="0" quotePrefix="0" xfId="0"/>
    <xf numFmtId="1" fontId="5" fillId="6" borderId="1087" pivotButton="0" quotePrefix="0" xfId="0"/>
    <xf numFmtId="1" fontId="5" fillId="6" borderId="1085" pivotButton="0" quotePrefix="0" xfId="0"/>
    <xf numFmtId="1" fontId="5" fillId="6" borderId="1096" pivotButton="0" quotePrefix="0" xfId="0"/>
    <xf numFmtId="1" fontId="5" fillId="6" borderId="1090" applyAlignment="1" pivotButton="0" quotePrefix="0" xfId="0">
      <alignment horizontal="right"/>
    </xf>
    <xf numFmtId="0" fontId="59" fillId="52" borderId="0" pivotButton="0" quotePrefix="0" xfId="0"/>
    <xf numFmtId="0" fontId="56" fillId="52" borderId="0" pivotButton="0" quotePrefix="0" xfId="0"/>
    <xf numFmtId="1" fontId="5" fillId="0" borderId="757" applyAlignment="1" pivotButton="0" quotePrefix="0" xfId="0">
      <alignment horizontal="left" vertical="center" wrapText="1"/>
    </xf>
    <xf numFmtId="1" fontId="5" fillId="4" borderId="425" applyProtection="1" pivotButton="0" quotePrefix="0" xfId="0">
      <protection locked="0" hidden="0"/>
    </xf>
    <xf numFmtId="1" fontId="5" fillId="4" borderId="1419" applyAlignment="1" applyProtection="1" pivotButton="0" quotePrefix="0" xfId="0">
      <alignment horizontal="right"/>
      <protection locked="0" hidden="0"/>
    </xf>
    <xf numFmtId="1" fontId="5" fillId="4" borderId="1392" applyAlignment="1" applyProtection="1" pivotButton="0" quotePrefix="0" xfId="0">
      <alignment horizontal="right"/>
      <protection locked="0" hidden="0"/>
    </xf>
    <xf numFmtId="1" fontId="5" fillId="0" borderId="195" applyAlignment="1" pivotButton="0" quotePrefix="0" xfId="0">
      <alignment horizontal="right"/>
    </xf>
    <xf numFmtId="1" fontId="5" fillId="0" borderId="211" applyAlignment="1" pivotButton="0" quotePrefix="0" xfId="0">
      <alignment horizontal="right"/>
    </xf>
    <xf numFmtId="1" fontId="5" fillId="0" borderId="150" applyAlignment="1" pivotButton="0" quotePrefix="0" xfId="0">
      <alignment horizontal="right"/>
    </xf>
    <xf numFmtId="1" fontId="5" fillId="4" borderId="195" applyProtection="1" pivotButton="0" quotePrefix="0" xfId="0">
      <protection locked="0" hidden="0"/>
    </xf>
    <xf numFmtId="1" fontId="5" fillId="4" borderId="150" applyProtection="1" pivotButton="0" quotePrefix="0" xfId="0">
      <protection locked="0" hidden="0"/>
    </xf>
    <xf numFmtId="1" fontId="5" fillId="4" borderId="196" applyProtection="1" pivotButton="0" quotePrefix="0" xfId="0">
      <protection locked="0" hidden="0"/>
    </xf>
    <xf numFmtId="1" fontId="5" fillId="4" borderId="197" applyProtection="1" pivotButton="0" quotePrefix="0" xfId="0">
      <protection locked="0" hidden="0"/>
    </xf>
    <xf numFmtId="1" fontId="5" fillId="4" borderId="233" applyProtection="1" pivotButton="0" quotePrefix="0" xfId="0">
      <protection locked="0" hidden="0"/>
    </xf>
    <xf numFmtId="1" fontId="5" fillId="4" borderId="323" applyProtection="1" pivotButton="0" quotePrefix="0" xfId="0">
      <protection locked="0" hidden="0"/>
    </xf>
    <xf numFmtId="1" fontId="5" fillId="4" borderId="203" applyProtection="1" pivotButton="0" quotePrefix="0" xfId="0">
      <protection locked="0" hidden="0"/>
    </xf>
    <xf numFmtId="1" fontId="5" fillId="11" borderId="1417" pivotButton="0" quotePrefix="0" xfId="0"/>
    <xf numFmtId="1" fontId="5" fillId="6" borderId="197" pivotButton="0" quotePrefix="0" xfId="0"/>
    <xf numFmtId="1" fontId="5" fillId="4" borderId="1421" applyProtection="1" pivotButton="0" quotePrefix="0" xfId="0">
      <protection locked="0" hidden="0"/>
    </xf>
    <xf numFmtId="1" fontId="5" fillId="4" borderId="1417" applyProtection="1" pivotButton="0" quotePrefix="0" xfId="0">
      <protection locked="0" hidden="0"/>
    </xf>
    <xf numFmtId="1" fontId="5" fillId="6" borderId="149" pivotButton="0" quotePrefix="0" xfId="0"/>
    <xf numFmtId="1" fontId="5" fillId="6" borderId="195" pivotButton="0" quotePrefix="0" xfId="0"/>
    <xf numFmtId="1" fontId="5" fillId="6" borderId="150" pivotButton="0" quotePrefix="0" xfId="0"/>
    <xf numFmtId="1" fontId="5" fillId="6" borderId="323" pivotButton="0" quotePrefix="0" xfId="0"/>
    <xf numFmtId="0" fontId="59" fillId="21" borderId="0" pivotButton="0" quotePrefix="0" xfId="0"/>
    <xf numFmtId="1" fontId="5" fillId="4" borderId="466" applyProtection="1" pivotButton="0" quotePrefix="0" xfId="0">
      <protection locked="0" hidden="0"/>
    </xf>
    <xf numFmtId="1" fontId="5" fillId="0" borderId="783" applyAlignment="1" pivotButton="0" quotePrefix="0" xfId="0">
      <alignment horizontal="left" vertical="center" wrapText="1"/>
    </xf>
    <xf numFmtId="1" fontId="5" fillId="0" borderId="785" applyAlignment="1" pivotButton="0" quotePrefix="0" xfId="0">
      <alignment horizontal="right"/>
    </xf>
    <xf numFmtId="1" fontId="5" fillId="4" borderId="788" applyProtection="1" pivotButton="0" quotePrefix="0" xfId="0">
      <protection locked="0" hidden="0"/>
    </xf>
    <xf numFmtId="1" fontId="5" fillId="4" borderId="785" applyProtection="1" pivotButton="0" quotePrefix="0" xfId="0">
      <protection locked="0" hidden="0"/>
    </xf>
    <xf numFmtId="1" fontId="5" fillId="4" borderId="789" applyProtection="1" pivotButton="0" quotePrefix="0" xfId="0">
      <protection locked="0" hidden="0"/>
    </xf>
    <xf numFmtId="1" fontId="5" fillId="4" borderId="799" applyProtection="1" pivotButton="0" quotePrefix="0" xfId="0">
      <protection locked="0" hidden="0"/>
    </xf>
    <xf numFmtId="1" fontId="5" fillId="4" borderId="803" applyProtection="1" pivotButton="0" quotePrefix="0" xfId="0">
      <protection locked="0" hidden="0"/>
    </xf>
    <xf numFmtId="1" fontId="5" fillId="4" borderId="1347" applyProtection="1" pivotButton="0" quotePrefix="0" xfId="0">
      <protection locked="0" hidden="0"/>
    </xf>
    <xf numFmtId="1" fontId="5" fillId="6" borderId="1392" pivotButton="0" quotePrefix="0" xfId="0"/>
    <xf numFmtId="1" fontId="5" fillId="6" borderId="1391" pivotButton="0" quotePrefix="0" xfId="0"/>
    <xf numFmtId="1" fontId="5" fillId="6" borderId="407" pivotButton="0" quotePrefix="0" xfId="0"/>
    <xf numFmtId="1" fontId="5" fillId="6" borderId="1101" pivotButton="0" quotePrefix="0" xfId="0"/>
    <xf numFmtId="1" fontId="5" fillId="6" borderId="378" pivotButton="0" quotePrefix="0" xfId="0"/>
    <xf numFmtId="1" fontId="5" fillId="6" borderId="428" pivotButton="0" quotePrefix="0" xfId="0"/>
    <xf numFmtId="1" fontId="58" fillId="0" borderId="783" pivotButton="0" quotePrefix="0" xfId="0"/>
    <xf numFmtId="1" fontId="58" fillId="0" borderId="0" applyProtection="1" pivotButton="0" quotePrefix="0" xfId="0">
      <protection locked="0" hidden="0"/>
    </xf>
    <xf numFmtId="1" fontId="58" fillId="5" borderId="0" applyAlignment="1" applyProtection="1" pivotButton="0" quotePrefix="0" xfId="0">
      <alignment vertical="center"/>
      <protection locked="0" hidden="0"/>
    </xf>
    <xf numFmtId="1" fontId="58" fillId="5" borderId="0" applyAlignment="1" pivotButton="0" quotePrefix="0" xfId="0">
      <alignment vertical="top" wrapText="1"/>
    </xf>
    <xf numFmtId="1" fontId="58" fillId="5" borderId="0" applyProtection="1" pivotButton="0" quotePrefix="0" xfId="0">
      <protection locked="0" hidden="0"/>
    </xf>
    <xf numFmtId="1" fontId="5" fillId="0" borderId="0" applyProtection="1" pivotButton="0" quotePrefix="0" xfId="0">
      <protection locked="0" hidden="0"/>
    </xf>
    <xf numFmtId="1" fontId="5" fillId="0" borderId="731" applyAlignment="1" pivotButton="0" quotePrefix="0" xfId="0">
      <alignment horizontal="right" wrapText="1"/>
    </xf>
    <xf numFmtId="1" fontId="5" fillId="0" borderId="726" applyAlignment="1" pivotButton="0" quotePrefix="0" xfId="0">
      <alignment horizontal="right"/>
    </xf>
    <xf numFmtId="1" fontId="5" fillId="4" borderId="1108" applyProtection="1" pivotButton="0" quotePrefix="0" xfId="0">
      <protection locked="0" hidden="0"/>
    </xf>
    <xf numFmtId="1" fontId="5" fillId="4" borderId="726" applyProtection="1" pivotButton="0" quotePrefix="0" xfId="0">
      <protection locked="0" hidden="0"/>
    </xf>
    <xf numFmtId="1" fontId="5" fillId="4" borderId="883" applyProtection="1" pivotButton="0" quotePrefix="0" xfId="0">
      <protection locked="0" hidden="0"/>
    </xf>
    <xf numFmtId="1" fontId="5" fillId="11" borderId="389" pivotButton="0" quotePrefix="0" xfId="0"/>
    <xf numFmtId="1" fontId="5" fillId="4" borderId="1109" applyProtection="1" pivotButton="0" quotePrefix="0" xfId="0">
      <protection locked="0" hidden="0"/>
    </xf>
    <xf numFmtId="1" fontId="5" fillId="4" borderId="1110" applyProtection="1" pivotButton="0" quotePrefix="0" xfId="0">
      <protection locked="0" hidden="0"/>
    </xf>
    <xf numFmtId="1" fontId="5" fillId="11" borderId="378" pivotButton="0" quotePrefix="0" xfId="0"/>
    <xf numFmtId="1" fontId="5" fillId="5" borderId="245" applyAlignment="1" applyProtection="1" pivotButton="0" quotePrefix="0" xfId="0">
      <alignment vertical="center"/>
      <protection locked="0" hidden="0"/>
    </xf>
    <xf numFmtId="1" fontId="5" fillId="0" borderId="684" applyAlignment="1" pivotButton="0" quotePrefix="0" xfId="0">
      <alignment horizontal="center" vertical="center" wrapText="1"/>
    </xf>
    <xf numFmtId="1" fontId="5" fillId="4" borderId="737" applyProtection="1" pivotButton="0" quotePrefix="0" xfId="0">
      <protection locked="0" hidden="0"/>
    </xf>
    <xf numFmtId="1" fontId="14" fillId="0" borderId="694" pivotButton="0" quotePrefix="0" xfId="0"/>
    <xf numFmtId="1" fontId="58" fillId="3" borderId="0" applyAlignment="1" pivotButton="0" quotePrefix="0" xfId="0">
      <alignment vertical="center"/>
    </xf>
    <xf numFmtId="1" fontId="5" fillId="5" borderId="0" applyAlignment="1" pivotButton="0" quotePrefix="0" xfId="0">
      <alignment horizontal="left"/>
    </xf>
    <xf numFmtId="1" fontId="5" fillId="0" borderId="689" applyAlignment="1" pivotButton="0" quotePrefix="0" xfId="0">
      <alignment horizontal="center" vertical="center" wrapText="1"/>
    </xf>
    <xf numFmtId="1" fontId="5" fillId="0" borderId="749" applyAlignment="1" pivotButton="0" quotePrefix="0" xfId="0">
      <alignment horizontal="center" vertical="center" wrapText="1"/>
    </xf>
    <xf numFmtId="1" fontId="5" fillId="4" borderId="731" applyProtection="1" pivotButton="0" quotePrefix="0" xfId="0">
      <protection locked="0" hidden="0"/>
    </xf>
    <xf numFmtId="1" fontId="5" fillId="4" borderId="812" applyProtection="1" pivotButton="0" quotePrefix="0" xfId="0">
      <protection locked="0" hidden="0"/>
    </xf>
    <xf numFmtId="1" fontId="5" fillId="4" borderId="749" applyProtection="1" pivotButton="0" quotePrefix="0" xfId="0">
      <protection locked="0" hidden="0"/>
    </xf>
    <xf numFmtId="1" fontId="5" fillId="4" borderId="735" applyProtection="1" pivotButton="0" quotePrefix="0" xfId="0">
      <protection locked="0" hidden="0"/>
    </xf>
    <xf numFmtId="1" fontId="5" fillId="0" borderId="393" applyAlignment="1" pivotButton="0" quotePrefix="0" xfId="0">
      <alignment horizontal="center" vertical="center" wrapText="1"/>
    </xf>
    <xf numFmtId="1" fontId="5" fillId="4" borderId="355" applyProtection="1" pivotButton="0" quotePrefix="0" xfId="0">
      <protection locked="0" hidden="0"/>
    </xf>
    <xf numFmtId="1" fontId="5" fillId="0" borderId="412" applyAlignment="1" pivotButton="0" quotePrefix="0" xfId="0">
      <alignment horizontal="center" vertical="center" wrapText="1"/>
    </xf>
    <xf numFmtId="1" fontId="5" fillId="4" borderId="411" applyProtection="1" pivotButton="0" quotePrefix="0" xfId="0">
      <protection locked="0" hidden="0"/>
    </xf>
    <xf numFmtId="1" fontId="5" fillId="0" borderId="407" applyAlignment="1" pivotButton="0" quotePrefix="0" xfId="0">
      <alignment horizontal="center" vertical="center" wrapText="1"/>
    </xf>
    <xf numFmtId="1" fontId="5" fillId="4" borderId="400" applyProtection="1" pivotButton="0" quotePrefix="0" xfId="0">
      <protection locked="0" hidden="0"/>
    </xf>
    <xf numFmtId="1" fontId="5" fillId="7" borderId="388" pivotButton="0" quotePrefix="0" xfId="0"/>
    <xf numFmtId="1" fontId="5" fillId="7" borderId="386" pivotButton="0" quotePrefix="0" xfId="0"/>
    <xf numFmtId="1" fontId="5" fillId="5" borderId="245" applyAlignment="1" pivotButton="0" quotePrefix="0" xfId="0">
      <alignment vertical="center"/>
    </xf>
    <xf numFmtId="1" fontId="5" fillId="0" borderId="681" applyAlignment="1" pivotButton="0" quotePrefix="0" xfId="0">
      <alignment horizontal="right" wrapText="1"/>
    </xf>
    <xf numFmtId="1" fontId="5" fillId="0" borderId="732" applyAlignment="1" pivotButton="0" quotePrefix="0" xfId="0">
      <alignment horizontal="right" wrapText="1"/>
    </xf>
    <xf numFmtId="1" fontId="5" fillId="0" borderId="729" applyAlignment="1" pivotButton="0" quotePrefix="0" xfId="0">
      <alignment horizontal="right"/>
    </xf>
    <xf numFmtId="1" fontId="5" fillId="0" borderId="681" pivotButton="0" quotePrefix="0" xfId="0"/>
    <xf numFmtId="1" fontId="5" fillId="0" borderId="729" pivotButton="0" quotePrefix="0" xfId="0"/>
    <xf numFmtId="1" fontId="5" fillId="0" borderId="684" pivotButton="0" quotePrefix="0" xfId="0"/>
    <xf numFmtId="1" fontId="5" fillId="0" borderId="689" pivotButton="0" quotePrefix="0" xfId="0"/>
    <xf numFmtId="1" fontId="5" fillId="0" borderId="802" pivotButton="0" quotePrefix="0" xfId="0"/>
    <xf numFmtId="1" fontId="5" fillId="0" borderId="670" pivotButton="0" quotePrefix="0" xfId="0"/>
    <xf numFmtId="1" fontId="5" fillId="0" borderId="675" pivotButton="0" quotePrefix="0" xfId="0"/>
    <xf numFmtId="1" fontId="5" fillId="0" borderId="730" pivotButton="0" quotePrefix="0" xfId="0"/>
    <xf numFmtId="1" fontId="5" fillId="0" borderId="694" applyAlignment="1" pivotButton="0" quotePrefix="0" xfId="0">
      <alignment horizontal="center" vertical="center"/>
    </xf>
    <xf numFmtId="1" fontId="14" fillId="3" borderId="694" pivotButton="0" quotePrefix="0" xfId="0"/>
    <xf numFmtId="1" fontId="5" fillId="0" borderId="732" applyAlignment="1" pivotButton="0" quotePrefix="0" xfId="0">
      <alignment horizontal="center" vertical="center" wrapText="1"/>
    </xf>
    <xf numFmtId="1" fontId="5" fillId="3" borderId="0" applyAlignment="1" pivotButton="0" quotePrefix="0" xfId="0">
      <alignment vertical="center"/>
    </xf>
    <xf numFmtId="1" fontId="5" fillId="0" borderId="749" applyAlignment="1" pivotButton="0" quotePrefix="0" xfId="0">
      <alignment vertical="center" wrapText="1"/>
    </xf>
    <xf numFmtId="1" fontId="5" fillId="3" borderId="736" pivotButton="0" quotePrefix="0" xfId="0"/>
    <xf numFmtId="1" fontId="5" fillId="3" borderId="0" applyProtection="1" pivotButton="0" quotePrefix="0" xfId="0">
      <protection locked="0" hidden="0"/>
    </xf>
    <xf numFmtId="1" fontId="5" fillId="0" borderId="245" applyAlignment="1" pivotButton="0" quotePrefix="0" xfId="0">
      <alignment vertical="center" wrapText="1"/>
    </xf>
    <xf numFmtId="1" fontId="5" fillId="0" borderId="685" pivotButton="0" quotePrefix="0" xfId="0"/>
    <xf numFmtId="1" fontId="5" fillId="0" borderId="732" pivotButton="0" quotePrefix="0" xfId="0"/>
    <xf numFmtId="1" fontId="5" fillId="0" borderId="735" applyAlignment="1" pivotButton="0" quotePrefix="0" xfId="0">
      <alignment horizontal="right" wrapText="1"/>
    </xf>
    <xf numFmtId="1" fontId="5" fillId="0" borderId="739" applyAlignment="1" pivotButton="0" quotePrefix="0" xfId="0">
      <alignment horizontal="right" wrapText="1"/>
    </xf>
    <xf numFmtId="1" fontId="5" fillId="0" borderId="838" applyAlignment="1" pivotButton="0" quotePrefix="0" xfId="0">
      <alignment horizontal="right" wrapText="1"/>
    </xf>
    <xf numFmtId="1" fontId="5" fillId="0" borderId="726" applyAlignment="1" pivotButton="0" quotePrefix="0" xfId="0">
      <alignment horizontal="right" wrapText="1"/>
    </xf>
    <xf numFmtId="1" fontId="5" fillId="0" borderId="679" applyAlignment="1" pivotButton="0" quotePrefix="0" xfId="0">
      <alignment horizontal="left" vertical="center" wrapText="1"/>
    </xf>
    <xf numFmtId="1" fontId="5" fillId="4" borderId="731" applyAlignment="1" applyProtection="1" pivotButton="0" quotePrefix="0" xfId="0">
      <alignment horizontal="right"/>
      <protection locked="0" hidden="0"/>
    </xf>
    <xf numFmtId="1" fontId="5" fillId="4" borderId="734" applyAlignment="1" applyProtection="1" pivotButton="0" quotePrefix="0" xfId="0">
      <alignment horizontal="right"/>
      <protection locked="0" hidden="0"/>
    </xf>
    <xf numFmtId="1" fontId="5" fillId="4" borderId="749" applyAlignment="1" applyProtection="1" pivotButton="0" quotePrefix="0" xfId="0">
      <alignment horizontal="right"/>
      <protection locked="0" hidden="0"/>
    </xf>
    <xf numFmtId="1" fontId="5" fillId="4" borderId="737" applyAlignment="1" applyProtection="1" pivotButton="0" quotePrefix="0" xfId="0">
      <alignment horizontal="right"/>
      <protection locked="0" hidden="0"/>
    </xf>
    <xf numFmtId="1" fontId="5" fillId="4" borderId="838" applyAlignment="1" applyProtection="1" pivotButton="0" quotePrefix="0" xfId="0">
      <alignment horizontal="right"/>
      <protection locked="0" hidden="0"/>
    </xf>
    <xf numFmtId="1" fontId="5" fillId="0" borderId="391" applyAlignment="1" pivotButton="0" quotePrefix="0" xfId="0">
      <alignment horizontal="center" vertical="center" wrapText="1"/>
    </xf>
    <xf numFmtId="1" fontId="5" fillId="4" borderId="394" applyAlignment="1" applyProtection="1" pivotButton="0" quotePrefix="0" xfId="0">
      <alignment horizontal="right" wrapText="1"/>
      <protection locked="0" hidden="0"/>
    </xf>
    <xf numFmtId="1" fontId="5" fillId="4" borderId="389" applyAlignment="1" applyProtection="1" pivotButton="0" quotePrefix="0" xfId="0">
      <alignment horizontal="right" wrapText="1"/>
      <protection locked="0" hidden="0"/>
    </xf>
    <xf numFmtId="1" fontId="5" fillId="4" borderId="382" applyAlignment="1" applyProtection="1" pivotButton="0" quotePrefix="0" xfId="0">
      <alignment horizontal="right" wrapText="1"/>
      <protection locked="0" hidden="0"/>
    </xf>
    <xf numFmtId="1" fontId="5" fillId="4" borderId="391" applyAlignment="1" applyProtection="1" pivotButton="0" quotePrefix="0" xfId="0">
      <alignment horizontal="right" wrapText="1"/>
      <protection locked="0" hidden="0"/>
    </xf>
    <xf numFmtId="1" fontId="5" fillId="4" borderId="354" applyAlignment="1" applyProtection="1" pivotButton="0" quotePrefix="0" xfId="0">
      <alignment horizontal="right" wrapText="1"/>
      <protection locked="0" hidden="0"/>
    </xf>
    <xf numFmtId="1" fontId="5" fillId="4" borderId="355" applyAlignment="1" applyProtection="1" pivotButton="0" quotePrefix="0" xfId="0">
      <alignment horizontal="right" wrapText="1"/>
      <protection locked="0" hidden="0"/>
    </xf>
    <xf numFmtId="1" fontId="5" fillId="4" borderId="393" applyAlignment="1" applyProtection="1" pivotButton="0" quotePrefix="0" xfId="0">
      <alignment horizontal="right" wrapText="1"/>
      <protection locked="0" hidden="0"/>
    </xf>
    <xf numFmtId="1" fontId="5" fillId="4" borderId="356" applyAlignment="1" applyProtection="1" pivotButton="0" quotePrefix="0" xfId="0">
      <alignment horizontal="right" wrapText="1"/>
      <protection locked="0" hidden="0"/>
    </xf>
    <xf numFmtId="1" fontId="5" fillId="4" borderId="466" applyAlignment="1" applyProtection="1" pivotButton="0" quotePrefix="0" xfId="0">
      <alignment horizontal="right" wrapText="1"/>
      <protection locked="0" hidden="0"/>
    </xf>
    <xf numFmtId="1" fontId="5" fillId="0" borderId="758" applyAlignment="1" pivotButton="0" quotePrefix="0" xfId="0">
      <alignment horizontal="right" wrapText="1"/>
    </xf>
    <xf numFmtId="1" fontId="5" fillId="0" borderId="839" applyAlignment="1" pivotButton="0" quotePrefix="0" xfId="0">
      <alignment horizontal="right" wrapText="1"/>
    </xf>
    <xf numFmtId="1" fontId="5" fillId="0" borderId="759" applyAlignment="1" pivotButton="0" quotePrefix="0" xfId="0">
      <alignment horizontal="right" wrapText="1"/>
    </xf>
    <xf numFmtId="1" fontId="5" fillId="4" borderId="198" applyAlignment="1" applyProtection="1" pivotButton="0" quotePrefix="0" xfId="0">
      <alignment horizontal="right" wrapText="1"/>
      <protection locked="0" hidden="0"/>
    </xf>
    <xf numFmtId="1" fontId="5" fillId="4" borderId="138" applyAlignment="1" applyProtection="1" pivotButton="0" quotePrefix="0" xfId="0">
      <alignment horizontal="right" wrapText="1"/>
      <protection locked="0" hidden="0"/>
    </xf>
    <xf numFmtId="1" fontId="5" fillId="4" borderId="140" applyAlignment="1" applyProtection="1" pivotButton="0" quotePrefix="0" xfId="0">
      <alignment horizontal="right" wrapText="1"/>
      <protection locked="0" hidden="0"/>
    </xf>
    <xf numFmtId="1" fontId="5" fillId="4" borderId="199" applyAlignment="1" applyProtection="1" pivotButton="0" quotePrefix="0" xfId="0">
      <alignment horizontal="right" wrapText="1"/>
      <protection locked="0" hidden="0"/>
    </xf>
    <xf numFmtId="1" fontId="5" fillId="4" borderId="200" applyAlignment="1" applyProtection="1" pivotButton="0" quotePrefix="0" xfId="0">
      <alignment horizontal="right" wrapText="1"/>
      <protection locked="0" hidden="0"/>
    </xf>
    <xf numFmtId="1" fontId="5" fillId="4" borderId="201" applyAlignment="1" applyProtection="1" pivotButton="0" quotePrefix="0" xfId="0">
      <alignment horizontal="right" wrapText="1"/>
      <protection locked="0" hidden="0"/>
    </xf>
    <xf numFmtId="1" fontId="5" fillId="4" borderId="202" applyAlignment="1" applyProtection="1" pivotButton="0" quotePrefix="0" xfId="0">
      <alignment horizontal="right" wrapText="1"/>
      <protection locked="0" hidden="0"/>
    </xf>
    <xf numFmtId="1" fontId="5" fillId="4" borderId="141" applyAlignment="1" applyProtection="1" pivotButton="0" quotePrefix="0" xfId="0">
      <alignment horizontal="right" wrapText="1"/>
      <protection locked="0" hidden="0"/>
    </xf>
    <xf numFmtId="1" fontId="5" fillId="4" borderId="261" applyAlignment="1" applyProtection="1" pivotButton="0" quotePrefix="0" xfId="0">
      <alignment horizontal="right" wrapText="1"/>
      <protection locked="0" hidden="0"/>
    </xf>
    <xf numFmtId="1" fontId="5" fillId="4" borderId="282" applyAlignment="1" applyProtection="1" pivotButton="0" quotePrefix="0" xfId="0">
      <alignment horizontal="right" wrapText="1"/>
      <protection locked="0" hidden="0"/>
    </xf>
    <xf numFmtId="1" fontId="5" fillId="4" borderId="196" applyAlignment="1" applyProtection="1" pivotButton="0" quotePrefix="0" xfId="0">
      <alignment horizontal="right" wrapText="1"/>
      <protection locked="0" hidden="0"/>
    </xf>
    <xf numFmtId="1" fontId="5" fillId="4" borderId="197" applyAlignment="1" applyProtection="1" pivotButton="0" quotePrefix="0" xfId="0">
      <alignment horizontal="right" wrapText="1"/>
      <protection locked="0" hidden="0"/>
    </xf>
    <xf numFmtId="1" fontId="5" fillId="4" borderId="203" applyAlignment="1" applyProtection="1" pivotButton="0" quotePrefix="0" xfId="0">
      <alignment horizontal="right" wrapText="1"/>
      <protection locked="0" hidden="0"/>
    </xf>
    <xf numFmtId="1" fontId="5" fillId="4" borderId="195" applyAlignment="1" applyProtection="1" pivotButton="0" quotePrefix="0" xfId="0">
      <alignment horizontal="right" wrapText="1"/>
      <protection locked="0" hidden="0"/>
    </xf>
    <xf numFmtId="1" fontId="5" fillId="4" borderId="204" applyAlignment="1" applyProtection="1" pivotButton="0" quotePrefix="0" xfId="0">
      <alignment horizontal="right" wrapText="1"/>
      <protection locked="0" hidden="0"/>
    </xf>
    <xf numFmtId="1" fontId="5" fillId="4" borderId="149" applyAlignment="1" applyProtection="1" pivotButton="0" quotePrefix="0" xfId="0">
      <alignment horizontal="right" wrapText="1"/>
      <protection locked="0" hidden="0"/>
    </xf>
    <xf numFmtId="1" fontId="5" fillId="4" borderId="234" applyAlignment="1" applyProtection="1" pivotButton="0" quotePrefix="0" xfId="0">
      <alignment horizontal="right" wrapText="1"/>
      <protection locked="0" hidden="0"/>
    </xf>
    <xf numFmtId="1" fontId="5" fillId="4" borderId="323" applyAlignment="1" applyProtection="1" pivotButton="0" quotePrefix="0" xfId="0">
      <alignment horizontal="right" wrapText="1"/>
      <protection locked="0" hidden="0"/>
    </xf>
    <xf numFmtId="1" fontId="5" fillId="6" borderId="150" applyAlignment="1" pivotButton="0" quotePrefix="0" xfId="0">
      <alignment horizontal="right" wrapText="1"/>
    </xf>
    <xf numFmtId="1" fontId="5" fillId="4" borderId="408" applyAlignment="1" applyProtection="1" pivotButton="0" quotePrefix="0" xfId="0">
      <alignment horizontal="right" wrapText="1"/>
      <protection locked="0" hidden="0"/>
    </xf>
    <xf numFmtId="1" fontId="5" fillId="4" borderId="546" applyAlignment="1" applyProtection="1" pivotButton="0" quotePrefix="0" xfId="0">
      <alignment horizontal="right" wrapText="1"/>
      <protection locked="0" hidden="0"/>
    </xf>
    <xf numFmtId="1" fontId="5" fillId="4" borderId="247" applyAlignment="1" applyProtection="1" pivotButton="0" quotePrefix="0" xfId="0">
      <alignment horizontal="right" wrapText="1"/>
      <protection locked="0" hidden="0"/>
    </xf>
    <xf numFmtId="1" fontId="5" fillId="4" borderId="0" applyAlignment="1" applyProtection="1" pivotButton="0" quotePrefix="0" xfId="0">
      <alignment horizontal="right" wrapText="1"/>
      <protection locked="0" hidden="0"/>
    </xf>
    <xf numFmtId="1" fontId="5" fillId="4" borderId="505" applyAlignment="1" applyProtection="1" pivotButton="0" quotePrefix="0" xfId="0">
      <alignment horizontal="right" wrapText="1"/>
      <protection locked="0" hidden="0"/>
    </xf>
    <xf numFmtId="1" fontId="5" fillId="4" borderId="475" applyAlignment="1" applyProtection="1" pivotButton="0" quotePrefix="0" xfId="0">
      <alignment horizontal="right" wrapText="1"/>
      <protection locked="0" hidden="0"/>
    </xf>
    <xf numFmtId="1" fontId="5" fillId="4" borderId="245" applyAlignment="1" applyProtection="1" pivotButton="0" quotePrefix="0" xfId="0">
      <alignment horizontal="right" wrapText="1"/>
      <protection locked="0" hidden="0"/>
    </xf>
    <xf numFmtId="1" fontId="5" fillId="4" borderId="365" applyAlignment="1" applyProtection="1" pivotButton="0" quotePrefix="0" xfId="0">
      <alignment horizontal="right" wrapText="1"/>
      <protection locked="0" hidden="0"/>
    </xf>
    <xf numFmtId="1" fontId="5" fillId="4" borderId="22" applyAlignment="1" applyProtection="1" pivotButton="0" quotePrefix="0" xfId="0">
      <alignment horizontal="right" wrapText="1"/>
      <protection locked="0" hidden="0"/>
    </xf>
    <xf numFmtId="1" fontId="5" fillId="6" borderId="546" applyAlignment="1" pivotButton="0" quotePrefix="0" xfId="0">
      <alignment horizontal="right" wrapText="1"/>
    </xf>
    <xf numFmtId="1" fontId="5" fillId="0" borderId="391" applyAlignment="1" pivotButton="0" quotePrefix="0" xfId="0">
      <alignment horizontal="right" wrapText="1"/>
    </xf>
    <xf numFmtId="1" fontId="5" fillId="6" borderId="389" applyAlignment="1" pivotButton="0" quotePrefix="0" xfId="0">
      <alignment horizontal="right" wrapText="1"/>
    </xf>
    <xf numFmtId="1" fontId="5" fillId="4" borderId="788" applyAlignment="1" applyProtection="1" pivotButton="0" quotePrefix="0" xfId="0">
      <alignment horizontal="right" wrapText="1"/>
      <protection locked="0" hidden="0"/>
    </xf>
    <xf numFmtId="1" fontId="5" fillId="4" borderId="785" applyAlignment="1" applyProtection="1" pivotButton="0" quotePrefix="0" xfId="0">
      <alignment horizontal="right" wrapText="1"/>
      <protection locked="0" hidden="0"/>
    </xf>
    <xf numFmtId="1" fontId="5" fillId="4" borderId="789" applyAlignment="1" applyProtection="1" pivotButton="0" quotePrefix="0" xfId="0">
      <alignment horizontal="right" wrapText="1"/>
      <protection locked="0" hidden="0"/>
    </xf>
    <xf numFmtId="1" fontId="5" fillId="4" borderId="783" applyAlignment="1" applyProtection="1" pivotButton="0" quotePrefix="0" xfId="0">
      <alignment horizontal="right" wrapText="1"/>
      <protection locked="0" hidden="0"/>
    </xf>
    <xf numFmtId="1" fontId="5" fillId="4" borderId="227" applyAlignment="1" applyProtection="1" pivotButton="0" quotePrefix="0" xfId="0">
      <alignment horizontal="right" wrapText="1"/>
      <protection locked="0" hidden="0"/>
    </xf>
    <xf numFmtId="1" fontId="5" fillId="4" borderId="231" applyAlignment="1" applyProtection="1" pivotButton="0" quotePrefix="0" xfId="0">
      <alignment horizontal="right" wrapText="1"/>
      <protection locked="0" hidden="0"/>
    </xf>
    <xf numFmtId="1" fontId="5" fillId="4" borderId="784" applyAlignment="1" applyProtection="1" pivotButton="0" quotePrefix="0" xfId="0">
      <alignment horizontal="right" wrapText="1"/>
      <protection locked="0" hidden="0"/>
    </xf>
    <xf numFmtId="1" fontId="5" fillId="4" borderId="230" applyAlignment="1" applyProtection="1" pivotButton="0" quotePrefix="0" xfId="0">
      <alignment horizontal="right" wrapText="1"/>
      <protection locked="0" hidden="0"/>
    </xf>
    <xf numFmtId="1" fontId="5" fillId="4" borderId="803" applyAlignment="1" applyProtection="1" pivotButton="0" quotePrefix="0" xfId="0">
      <alignment horizontal="right" wrapText="1"/>
      <protection locked="0" hidden="0"/>
    </xf>
    <xf numFmtId="1" fontId="5" fillId="6" borderId="785" applyAlignment="1" pivotButton="0" quotePrefix="0" xfId="0">
      <alignment horizontal="right" wrapText="1"/>
    </xf>
    <xf numFmtId="1" fontId="5" fillId="0" borderId="736" applyAlignment="1" pivotButton="0" quotePrefix="0" xfId="0">
      <alignment horizontal="center" vertical="center" wrapText="1"/>
    </xf>
    <xf numFmtId="1" fontId="5" fillId="4" borderId="736" applyAlignment="1" applyProtection="1" pivotButton="0" quotePrefix="0" xfId="0">
      <alignment horizontal="right" wrapText="1"/>
      <protection locked="0" hidden="0"/>
    </xf>
    <xf numFmtId="1" fontId="5" fillId="0" borderId="380" applyAlignment="1" pivotButton="0" quotePrefix="0" xfId="0">
      <alignment horizontal="center" vertical="center" wrapText="1"/>
    </xf>
    <xf numFmtId="1" fontId="5" fillId="4" borderId="380" applyAlignment="1" applyProtection="1" pivotButton="0" quotePrefix="0" xfId="0">
      <alignment horizontal="right" wrapText="1"/>
      <protection locked="0" hidden="0"/>
    </xf>
    <xf numFmtId="1" fontId="5" fillId="0" borderId="785" applyAlignment="1" pivotButton="0" quotePrefix="0" xfId="0">
      <alignment horizontal="left" vertical="center" wrapText="1"/>
    </xf>
    <xf numFmtId="1" fontId="5" fillId="0" borderId="384" applyAlignment="1" pivotButton="0" quotePrefix="0" xfId="0">
      <alignment horizontal="center" vertical="center" wrapText="1"/>
    </xf>
    <xf numFmtId="1" fontId="5" fillId="4" borderId="384" applyAlignment="1" applyProtection="1" pivotButton="0" quotePrefix="0" xfId="0">
      <alignment horizontal="right" wrapText="1"/>
      <protection locked="0" hidden="0"/>
    </xf>
    <xf numFmtId="1" fontId="14" fillId="0" borderId="841" pivotButton="0" quotePrefix="0" xfId="0"/>
    <xf numFmtId="1" fontId="58" fillId="0" borderId="841" pivotButton="0" quotePrefix="0" xfId="0"/>
    <xf numFmtId="1" fontId="58" fillId="0" borderId="842" pivotButton="0" quotePrefix="0" xfId="0"/>
    <xf numFmtId="1" fontId="58" fillId="0" borderId="840" pivotButton="0" quotePrefix="0" xfId="0"/>
    <xf numFmtId="1" fontId="58" fillId="0" borderId="280" pivotButton="0" quotePrefix="0" xfId="0"/>
    <xf numFmtId="1" fontId="69" fillId="3" borderId="245" pivotButton="0" quotePrefix="0" xfId="0"/>
    <xf numFmtId="1" fontId="69" fillId="5" borderId="245" pivotButton="0" quotePrefix="0" xfId="0"/>
    <xf numFmtId="1" fontId="5" fillId="4" borderId="354" applyAlignment="1" applyProtection="1" pivotButton="0" quotePrefix="0" xfId="0">
      <alignment horizontal="right"/>
      <protection locked="0" hidden="0"/>
    </xf>
    <xf numFmtId="1" fontId="5" fillId="4" borderId="355" applyAlignment="1" applyProtection="1" pivotButton="0" quotePrefix="0" xfId="0">
      <alignment horizontal="right"/>
      <protection locked="0" hidden="0"/>
    </xf>
    <xf numFmtId="1" fontId="5" fillId="4" borderId="356" applyAlignment="1" applyProtection="1" pivotButton="0" quotePrefix="0" xfId="0">
      <alignment horizontal="right"/>
      <protection locked="0" hidden="0"/>
    </xf>
    <xf numFmtId="1" fontId="5" fillId="0" borderId="802" applyAlignment="1" pivotButton="0" quotePrefix="0" xfId="0">
      <alignment horizontal="center" vertical="center" wrapText="1"/>
    </xf>
    <xf numFmtId="1" fontId="5" fillId="0" borderId="680" applyAlignment="1" pivotButton="0" quotePrefix="0" xfId="0">
      <alignment horizontal="center" vertical="center" wrapText="1"/>
    </xf>
    <xf numFmtId="1" fontId="5" fillId="3" borderId="740" applyAlignment="1" pivotButton="0" quotePrefix="0" xfId="0">
      <alignment horizontal="center" vertical="center" wrapText="1"/>
    </xf>
    <xf numFmtId="1" fontId="5" fillId="4" borderId="739" applyAlignment="1" applyProtection="1" pivotButton="0" quotePrefix="0" xfId="0">
      <alignment horizontal="right"/>
      <protection locked="0" hidden="0"/>
    </xf>
    <xf numFmtId="1" fontId="5" fillId="4" borderId="738" applyAlignment="1" applyProtection="1" pivotButton="0" quotePrefix="0" xfId="0">
      <alignment horizontal="right"/>
      <protection locked="0" hidden="0"/>
    </xf>
    <xf numFmtId="1" fontId="5" fillId="4" borderId="753" applyAlignment="1" applyProtection="1" pivotButton="0" quotePrefix="0" xfId="0">
      <alignment horizontal="right"/>
      <protection locked="0" hidden="0"/>
    </xf>
    <xf numFmtId="1" fontId="5" fillId="4" borderId="1108" applyAlignment="1" applyProtection="1" pivotButton="0" quotePrefix="0" xfId="0">
      <alignment horizontal="right"/>
      <protection locked="0" hidden="0"/>
    </xf>
    <xf numFmtId="1" fontId="5" fillId="4" borderId="845" applyAlignment="1" applyProtection="1" pivotButton="0" quotePrefix="0" xfId="0">
      <alignment horizontal="right"/>
      <protection locked="0" hidden="0"/>
    </xf>
    <xf numFmtId="1" fontId="5" fillId="4" borderId="846" applyAlignment="1" applyProtection="1" pivotButton="0" quotePrefix="0" xfId="0">
      <alignment horizontal="right"/>
      <protection locked="0" hidden="0"/>
    </xf>
    <xf numFmtId="1" fontId="5" fillId="4" borderId="594" applyAlignment="1" applyProtection="1" pivotButton="0" quotePrefix="0" xfId="0">
      <alignment horizontal="right"/>
      <protection locked="0" hidden="0"/>
    </xf>
    <xf numFmtId="1" fontId="5" fillId="4" borderId="883" applyAlignment="1" applyProtection="1" pivotButton="0" quotePrefix="0" xfId="0">
      <alignment horizontal="right"/>
      <protection locked="0" hidden="0"/>
    </xf>
    <xf numFmtId="1" fontId="5" fillId="4" borderId="557" applyAlignment="1" applyProtection="1" pivotButton="0" quotePrefix="0" xfId="0">
      <alignment horizontal="right"/>
      <protection locked="0" hidden="0"/>
    </xf>
    <xf numFmtId="1" fontId="5" fillId="4" borderId="715" applyAlignment="1" applyProtection="1" pivotButton="0" quotePrefix="0" xfId="0">
      <alignment horizontal="right"/>
      <protection locked="0" hidden="0"/>
    </xf>
    <xf numFmtId="1" fontId="5" fillId="0" borderId="785" applyAlignment="1" pivotButton="0" quotePrefix="0" xfId="0">
      <alignment horizontal="left" vertical="center"/>
    </xf>
    <xf numFmtId="1" fontId="5" fillId="0" borderId="788" applyAlignment="1" pivotButton="0" quotePrefix="0" xfId="0">
      <alignment horizontal="right"/>
    </xf>
    <xf numFmtId="1" fontId="5" fillId="0" borderId="226" applyAlignment="1" pivotButton="0" quotePrefix="0" xfId="0">
      <alignment horizontal="right" wrapText="1"/>
    </xf>
    <xf numFmtId="1" fontId="5" fillId="4" borderId="788" applyAlignment="1" applyProtection="1" pivotButton="0" quotePrefix="0" xfId="0">
      <alignment horizontal="right"/>
      <protection locked="0" hidden="0"/>
    </xf>
    <xf numFmtId="1" fontId="5" fillId="4" borderId="785" applyAlignment="1" applyProtection="1" pivotButton="0" quotePrefix="0" xfId="0">
      <alignment horizontal="right"/>
      <protection locked="0" hidden="0"/>
    </xf>
    <xf numFmtId="1" fontId="5" fillId="4" borderId="799" applyAlignment="1" applyProtection="1" pivotButton="0" quotePrefix="0" xfId="0">
      <alignment horizontal="right"/>
      <protection locked="0" hidden="0"/>
    </xf>
    <xf numFmtId="1" fontId="5" fillId="4" borderId="847" applyAlignment="1" applyProtection="1" pivotButton="0" quotePrefix="0" xfId="0">
      <alignment horizontal="right"/>
      <protection locked="0" hidden="0"/>
    </xf>
    <xf numFmtId="1" fontId="5" fillId="4" borderId="229" applyAlignment="1" applyProtection="1" pivotButton="0" quotePrefix="0" xfId="0">
      <alignment horizontal="right"/>
      <protection locked="0" hidden="0"/>
    </xf>
    <xf numFmtId="1" fontId="5" fillId="4" borderId="848" applyAlignment="1" applyProtection="1" pivotButton="0" quotePrefix="0" xfId="0">
      <alignment horizontal="right"/>
      <protection locked="0" hidden="0"/>
    </xf>
    <xf numFmtId="1" fontId="5" fillId="4" borderId="826" applyAlignment="1" applyProtection="1" pivotButton="0" quotePrefix="0" xfId="0">
      <alignment horizontal="right"/>
      <protection locked="0" hidden="0"/>
    </xf>
    <xf numFmtId="1" fontId="69" fillId="3" borderId="0" applyProtection="1" pivotButton="0" quotePrefix="0" xfId="0">
      <protection locked="0" hidden="0"/>
    </xf>
    <xf numFmtId="1" fontId="5" fillId="0" borderId="731" applyAlignment="1" pivotButton="0" quotePrefix="0" xfId="0">
      <alignment horizontal="center" vertical="center" wrapText="1"/>
    </xf>
    <xf numFmtId="1" fontId="5" fillId="3" borderId="681" applyAlignment="1" pivotButton="0" quotePrefix="0" xfId="0">
      <alignment horizontal="center" vertical="center"/>
    </xf>
    <xf numFmtId="1" fontId="5" fillId="3" borderId="729" applyAlignment="1" pivotButton="0" quotePrefix="0" xfId="0">
      <alignment horizontal="center" vertical="center"/>
    </xf>
    <xf numFmtId="1" fontId="5" fillId="5" borderId="749" applyAlignment="1" pivotButton="0" quotePrefix="0" xfId="0">
      <alignment vertical="center" wrapText="1"/>
    </xf>
    <xf numFmtId="1" fontId="5" fillId="7" borderId="726" applyAlignment="1" pivotButton="0" quotePrefix="0" xfId="0">
      <alignment horizontal="right"/>
    </xf>
    <xf numFmtId="1" fontId="5" fillId="5" borderId="393" applyAlignment="1" pivotButton="0" quotePrefix="0" xfId="0">
      <alignment vertical="center"/>
    </xf>
    <xf numFmtId="1" fontId="5" fillId="6" borderId="358" applyAlignment="1" pivotButton="0" quotePrefix="0" xfId="0">
      <alignment horizontal="right"/>
    </xf>
    <xf numFmtId="1" fontId="5" fillId="4" borderId="358" applyAlignment="1" applyProtection="1" pivotButton="0" quotePrefix="0" xfId="0">
      <alignment horizontal="right"/>
      <protection locked="0" hidden="0"/>
    </xf>
    <xf numFmtId="1" fontId="5" fillId="0" borderId="850" applyAlignment="1" pivotButton="0" quotePrefix="0" xfId="0">
      <alignment vertical="center"/>
    </xf>
    <xf numFmtId="1" fontId="5" fillId="0" borderId="736" applyAlignment="1" pivotButton="0" quotePrefix="0" xfId="0">
      <alignment horizontal="left" wrapText="1"/>
    </xf>
    <xf numFmtId="1" fontId="5" fillId="0" borderId="736" pivotButton="0" quotePrefix="0" xfId="0"/>
    <xf numFmtId="1" fontId="5" fillId="0" borderId="849" applyAlignment="1" pivotButton="0" quotePrefix="0" xfId="0">
      <alignment horizontal="left" vertical="center" wrapText="1"/>
    </xf>
    <xf numFmtId="1" fontId="5" fillId="0" borderId="736" applyAlignment="1" pivotButton="0" quotePrefix="0" xfId="0">
      <alignment wrapText="1"/>
    </xf>
    <xf numFmtId="1" fontId="5" fillId="4" borderId="736" applyProtection="1" pivotButton="0" quotePrefix="0" xfId="0">
      <protection locked="0" hidden="0"/>
    </xf>
    <xf numFmtId="1" fontId="5" fillId="0" borderId="554" applyAlignment="1" pivotButton="0" quotePrefix="0" xfId="0">
      <alignment wrapText="1"/>
    </xf>
    <xf numFmtId="1" fontId="5" fillId="0" borderId="380" applyAlignment="1" pivotButton="0" quotePrefix="0" xfId="0">
      <alignment horizontal="left" wrapText="1"/>
    </xf>
    <xf numFmtId="1" fontId="5" fillId="0" borderId="685" applyAlignment="1" pivotButton="0" quotePrefix="0" xfId="0">
      <alignment horizontal="center"/>
    </xf>
    <xf numFmtId="1" fontId="5" fillId="0" borderId="685" applyAlignment="1" pivotButton="0" quotePrefix="0" xfId="0">
      <alignment horizontal="left" vertical="center" wrapText="1"/>
    </xf>
    <xf numFmtId="1" fontId="5" fillId="4" borderId="685" applyProtection="1" pivotButton="0" quotePrefix="0" xfId="0">
      <protection locked="0" hidden="0"/>
    </xf>
    <xf numFmtId="1" fontId="5" fillId="0" borderId="1425" applyAlignment="1" pivotButton="0" quotePrefix="0" xfId="0">
      <alignment horizontal="center" vertical="center" wrapText="1"/>
    </xf>
    <xf numFmtId="1" fontId="5" fillId="0" borderId="749" pivotButton="0" quotePrefix="0" xfId="0"/>
    <xf numFmtId="1" fontId="5" fillId="4" borderId="734" applyProtection="1" pivotButton="0" quotePrefix="0" xfId="0">
      <protection locked="0" hidden="0"/>
    </xf>
    <xf numFmtId="1" fontId="5" fillId="0" borderId="407" applyAlignment="1" pivotButton="0" quotePrefix="0" xfId="0">
      <alignment vertical="center"/>
    </xf>
    <xf numFmtId="1" fontId="5" fillId="0" borderId="849" pivotButton="0" quotePrefix="0" xfId="0"/>
    <xf numFmtId="1" fontId="5" fillId="4" borderId="849" applyProtection="1" pivotButton="0" quotePrefix="0" xfId="0">
      <protection locked="0" hidden="0"/>
    </xf>
    <xf numFmtId="1" fontId="5" fillId="7" borderId="1348" pivotButton="0" quotePrefix="0" xfId="0"/>
    <xf numFmtId="1" fontId="5" fillId="7" borderId="726" pivotButton="0" quotePrefix="0" xfId="0"/>
    <xf numFmtId="1" fontId="5" fillId="7" borderId="1397" pivotButton="0" quotePrefix="0" xfId="0"/>
    <xf numFmtId="1" fontId="5" fillId="7" borderId="785" pivotButton="0" quotePrefix="0" xfId="0"/>
    <xf numFmtId="1" fontId="5" fillId="4" borderId="1424" applyProtection="1" pivotButton="0" quotePrefix="0" xfId="0">
      <protection locked="0" hidden="0"/>
    </xf>
    <xf numFmtId="1" fontId="5" fillId="4" borderId="1425" applyProtection="1" pivotButton="0" quotePrefix="0" xfId="0">
      <protection locked="0" hidden="0"/>
    </xf>
    <xf numFmtId="1" fontId="5" fillId="7" borderId="729" pivotButton="0" quotePrefix="0" xfId="0"/>
    <xf numFmtId="1" fontId="5" fillId="4" borderId="1397" applyProtection="1" pivotButton="0" quotePrefix="0" xfId="0">
      <protection locked="0" hidden="0"/>
    </xf>
    <xf numFmtId="1" fontId="14" fillId="0" borderId="679" pivotButton="0" quotePrefix="0" xfId="0"/>
    <xf numFmtId="1" fontId="5" fillId="0" borderId="749" applyAlignment="1" pivotButton="0" quotePrefix="0" xfId="0">
      <alignment vertical="center"/>
    </xf>
    <xf numFmtId="1" fontId="5" fillId="4" borderId="1081" applyProtection="1" pivotButton="0" quotePrefix="0" xfId="0">
      <protection locked="0" hidden="0"/>
    </xf>
    <xf numFmtId="1" fontId="5" fillId="3" borderId="729" applyAlignment="1" pivotButton="0" quotePrefix="0" xfId="0">
      <alignment horizontal="center"/>
    </xf>
    <xf numFmtId="1" fontId="5" fillId="3" borderId="681" applyAlignment="1" pivotButton="0" quotePrefix="0" xfId="0">
      <alignment horizontal="center" vertical="center" wrapText="1"/>
    </xf>
    <xf numFmtId="1" fontId="5" fillId="3" borderId="689" applyAlignment="1" pivotButton="0" quotePrefix="0" xfId="0">
      <alignment horizontal="center"/>
    </xf>
    <xf numFmtId="1" fontId="5" fillId="3" borderId="749" applyAlignment="1" pivotButton="0" quotePrefix="0" xfId="0">
      <alignment vertical="center" wrapText="1"/>
    </xf>
    <xf numFmtId="1" fontId="5" fillId="3" borderId="687" applyAlignment="1" pivotButton="0" quotePrefix="0" xfId="0">
      <alignment horizontal="right" wrapText="1"/>
    </xf>
    <xf numFmtId="1" fontId="5" fillId="3" borderId="699" applyAlignment="1" pivotButton="0" quotePrefix="0" xfId="0">
      <alignment horizontal="right"/>
    </xf>
    <xf numFmtId="1" fontId="5" fillId="3" borderId="726" applyAlignment="1" pivotButton="0" quotePrefix="0" xfId="0">
      <alignment horizontal="right"/>
    </xf>
    <xf numFmtId="1" fontId="5" fillId="7" borderId="851" applyAlignment="1" pivotButton="0" quotePrefix="0" xfId="0">
      <alignment horizontal="right"/>
    </xf>
    <xf numFmtId="1" fontId="5" fillId="7" borderId="390" applyAlignment="1" pivotButton="0" quotePrefix="0" xfId="0">
      <alignment horizontal="right"/>
    </xf>
    <xf numFmtId="1" fontId="5" fillId="7" borderId="551" applyAlignment="1" pivotButton="0" quotePrefix="0" xfId="0">
      <alignment horizontal="right"/>
    </xf>
    <xf numFmtId="1" fontId="5" fillId="7" borderId="852" applyAlignment="1" pivotButton="0" quotePrefix="0" xfId="0">
      <alignment horizontal="right"/>
    </xf>
    <xf numFmtId="1" fontId="5" fillId="9" borderId="853" applyAlignment="1" applyProtection="1" pivotButton="0" quotePrefix="0" xfId="3">
      <alignment horizontal="right"/>
      <protection locked="0" hidden="0"/>
    </xf>
    <xf numFmtId="1" fontId="5" fillId="9" borderId="854" applyAlignment="1" applyProtection="1" pivotButton="0" quotePrefix="0" xfId="3">
      <alignment horizontal="right"/>
      <protection locked="0" hidden="0"/>
    </xf>
    <xf numFmtId="1" fontId="5" fillId="9" borderId="855" applyAlignment="1" applyProtection="1" pivotButton="0" quotePrefix="0" xfId="3">
      <alignment horizontal="right"/>
      <protection locked="0" hidden="0"/>
    </xf>
    <xf numFmtId="1" fontId="5" fillId="9" borderId="856" applyAlignment="1" applyProtection="1" pivotButton="0" quotePrefix="0" xfId="3">
      <alignment horizontal="right"/>
      <protection locked="0" hidden="0"/>
    </xf>
    <xf numFmtId="1" fontId="5" fillId="3" borderId="245" applyAlignment="1" pivotButton="0" quotePrefix="0" xfId="0">
      <alignment vertical="center" wrapText="1"/>
    </xf>
    <xf numFmtId="1" fontId="5" fillId="3" borderId="408" applyAlignment="1" pivotButton="0" quotePrefix="0" xfId="0">
      <alignment horizontal="right" wrapText="1"/>
    </xf>
    <xf numFmtId="1" fontId="5" fillId="3" borderId="410" applyAlignment="1" pivotButton="0" quotePrefix="0" xfId="0">
      <alignment horizontal="right"/>
    </xf>
    <xf numFmtId="1" fontId="5" fillId="9" borderId="857" applyAlignment="1" applyProtection="1" pivotButton="0" quotePrefix="0" xfId="3">
      <alignment horizontal="right"/>
      <protection locked="0" hidden="0"/>
    </xf>
    <xf numFmtId="1" fontId="5" fillId="9" borderId="858" applyAlignment="1" applyProtection="1" pivotButton="0" quotePrefix="0" xfId="3">
      <alignment horizontal="right"/>
      <protection locked="0" hidden="0"/>
    </xf>
    <xf numFmtId="1" fontId="5" fillId="9" borderId="859" applyAlignment="1" applyProtection="1" pivotButton="0" quotePrefix="0" xfId="3">
      <alignment horizontal="right"/>
      <protection locked="0" hidden="0"/>
    </xf>
    <xf numFmtId="1" fontId="5" fillId="9" borderId="860" applyAlignment="1" applyProtection="1" pivotButton="0" quotePrefix="0" xfId="3">
      <alignment horizontal="right"/>
      <protection locked="0" hidden="0"/>
    </xf>
    <xf numFmtId="1" fontId="5" fillId="3" borderId="412" applyAlignment="1" pivotButton="0" quotePrefix="0" xfId="0">
      <alignment vertical="center" wrapText="1"/>
    </xf>
    <xf numFmtId="1" fontId="5" fillId="3" borderId="407" applyAlignment="1" pivotButton="0" quotePrefix="0" xfId="0">
      <alignment vertical="center" wrapText="1"/>
    </xf>
    <xf numFmtId="1" fontId="5" fillId="3" borderId="399" applyAlignment="1" pivotButton="0" quotePrefix="0" xfId="0">
      <alignment horizontal="right" wrapText="1"/>
    </xf>
    <xf numFmtId="1" fontId="5" fillId="3" borderId="388" applyAlignment="1" pivotButton="0" quotePrefix="0" xfId="0">
      <alignment horizontal="right"/>
    </xf>
    <xf numFmtId="1" fontId="5" fillId="3" borderId="785" applyAlignment="1" pivotButton="0" quotePrefix="0" xfId="0">
      <alignment horizontal="right"/>
    </xf>
    <xf numFmtId="1" fontId="5" fillId="9" borderId="861" applyAlignment="1" applyProtection="1" pivotButton="0" quotePrefix="0" xfId="3">
      <alignment horizontal="right"/>
      <protection locked="0" hidden="0"/>
    </xf>
    <xf numFmtId="1" fontId="5" fillId="9" borderId="862" applyAlignment="1" applyProtection="1" pivotButton="0" quotePrefix="0" xfId="3">
      <alignment horizontal="right"/>
      <protection locked="0" hidden="0"/>
    </xf>
    <xf numFmtId="1" fontId="5" fillId="9" borderId="863" applyAlignment="1" applyProtection="1" pivotButton="0" quotePrefix="0" xfId="3">
      <alignment horizontal="right"/>
      <protection locked="0" hidden="0"/>
    </xf>
    <xf numFmtId="1" fontId="5" fillId="9" borderId="864" applyAlignment="1" applyProtection="1" pivotButton="0" quotePrefix="0" xfId="3">
      <alignment horizontal="right"/>
      <protection locked="0" hidden="0"/>
    </xf>
    <xf numFmtId="1" fontId="14" fillId="3" borderId="865" pivotButton="0" quotePrefix="0" xfId="0"/>
    <xf numFmtId="1" fontId="58" fillId="0" borderId="866" pivotButton="0" quotePrefix="0" xfId="0"/>
    <xf numFmtId="1" fontId="5" fillId="3" borderId="870" applyAlignment="1" pivotButton="0" quotePrefix="0" xfId="0">
      <alignment horizontal="center" vertical="center"/>
    </xf>
    <xf numFmtId="1" fontId="5" fillId="3" borderId="867" applyAlignment="1" pivotButton="0" quotePrefix="0" xfId="0">
      <alignment horizontal="center" vertical="center"/>
    </xf>
    <xf numFmtId="1" fontId="5" fillId="0" borderId="789" applyAlignment="1" pivotButton="0" quotePrefix="0" xfId="0">
      <alignment horizontal="center" vertical="center" wrapText="1"/>
    </xf>
    <xf numFmtId="1" fontId="5" fillId="0" borderId="726" pivotButton="0" quotePrefix="0" xfId="0"/>
    <xf numFmtId="1" fontId="5" fillId="4" borderId="735" applyAlignment="1" applyProtection="1" pivotButton="0" quotePrefix="0" xfId="0">
      <alignment horizontal="right"/>
      <protection locked="0" hidden="0"/>
    </xf>
    <xf numFmtId="1" fontId="5" fillId="4" borderId="736" applyAlignment="1" applyProtection="1" pivotButton="0" quotePrefix="0" xfId="0">
      <alignment horizontal="right"/>
      <protection locked="0" hidden="0"/>
    </xf>
    <xf numFmtId="1" fontId="5" fillId="4" borderId="872" applyAlignment="1" applyProtection="1" pivotButton="0" quotePrefix="0" xfId="0">
      <alignment horizontal="right"/>
      <protection locked="0" hidden="0"/>
    </xf>
    <xf numFmtId="1" fontId="5" fillId="5" borderId="0" applyAlignment="1" pivotButton="0" quotePrefix="0" xfId="0">
      <alignment vertical="top"/>
    </xf>
    <xf numFmtId="1" fontId="5" fillId="0" borderId="788" applyAlignment="1" pivotButton="0" quotePrefix="0" xfId="0">
      <alignment horizontal="right" wrapText="1"/>
    </xf>
    <xf numFmtId="1" fontId="5" fillId="0" borderId="226" applyAlignment="1" pivotButton="0" quotePrefix="0" xfId="0">
      <alignment horizontal="right"/>
    </xf>
    <xf numFmtId="1" fontId="5" fillId="0" borderId="785" pivotButton="0" quotePrefix="0" xfId="0"/>
    <xf numFmtId="1" fontId="5" fillId="4" borderId="873" applyAlignment="1" applyProtection="1" pivotButton="0" quotePrefix="0" xfId="0">
      <alignment horizontal="right"/>
      <protection locked="0" hidden="0"/>
    </xf>
    <xf numFmtId="1" fontId="5" fillId="4" borderId="789" applyAlignment="1" applyProtection="1" pivotButton="0" quotePrefix="0" xfId="0">
      <alignment horizontal="right"/>
      <protection locked="0" hidden="0"/>
    </xf>
    <xf numFmtId="1" fontId="5" fillId="0" borderId="736" applyAlignment="1" pivotButton="0" quotePrefix="0" xfId="0">
      <alignment horizontal="right" vertical="center" wrapText="1"/>
    </xf>
    <xf numFmtId="1" fontId="5" fillId="6" borderId="1397" applyAlignment="1" pivotButton="0" quotePrefix="0" xfId="0">
      <alignment horizontal="right"/>
    </xf>
    <xf numFmtId="1" fontId="14" fillId="5" borderId="866" pivotButton="0" quotePrefix="0" xfId="0"/>
    <xf numFmtId="1" fontId="14" fillId="3" borderId="866" pivotButton="0" quotePrefix="0" xfId="0"/>
    <xf numFmtId="1" fontId="14" fillId="5" borderId="783" pivotButton="0" quotePrefix="0" xfId="0"/>
    <xf numFmtId="1" fontId="58" fillId="0" borderId="541" pivotButton="0" quotePrefix="0" xfId="0"/>
    <xf numFmtId="1" fontId="58" fillId="0" borderId="279" pivotButton="0" quotePrefix="0" xfId="0"/>
    <xf numFmtId="1" fontId="5" fillId="0" borderId="876" applyAlignment="1" pivotButton="0" quotePrefix="0" xfId="0">
      <alignment horizontal="center" vertical="center" wrapText="1"/>
    </xf>
    <xf numFmtId="1" fontId="5" fillId="0" borderId="877" applyAlignment="1" pivotButton="0" quotePrefix="0" xfId="0">
      <alignment horizontal="center" vertical="center" wrapText="1"/>
    </xf>
    <xf numFmtId="0" fontId="5" fillId="0" borderId="874" applyAlignment="1" pivotButton="0" quotePrefix="0" xfId="0">
      <alignment horizontal="center" vertical="center" wrapText="1"/>
    </xf>
    <xf numFmtId="1" fontId="5" fillId="0" borderId="870" applyAlignment="1" pivotButton="0" quotePrefix="0" xfId="0">
      <alignment horizontal="center" vertical="center"/>
    </xf>
    <xf numFmtId="1" fontId="5" fillId="0" borderId="878" applyAlignment="1" pivotButton="0" quotePrefix="0" xfId="0">
      <alignment horizontal="right"/>
    </xf>
    <xf numFmtId="1" fontId="5" fillId="0" borderId="879" applyAlignment="1" pivotButton="0" quotePrefix="0" xfId="0">
      <alignment horizontal="right"/>
    </xf>
    <xf numFmtId="1" fontId="5" fillId="4" borderId="878" applyAlignment="1" applyProtection="1" pivotButton="0" quotePrefix="0" xfId="0">
      <alignment horizontal="right"/>
      <protection locked="0" hidden="0"/>
    </xf>
    <xf numFmtId="1" fontId="5" fillId="4" borderId="880" applyAlignment="1" applyProtection="1" pivotButton="0" quotePrefix="0" xfId="0">
      <alignment horizontal="right"/>
      <protection locked="0" hidden="0"/>
    </xf>
    <xf numFmtId="1" fontId="5" fillId="4" borderId="874" applyAlignment="1" applyProtection="1" pivotButton="0" quotePrefix="0" xfId="0">
      <alignment horizontal="right"/>
      <protection locked="0" hidden="0"/>
    </xf>
    <xf numFmtId="1" fontId="5" fillId="4" borderId="867" applyAlignment="1" applyProtection="1" pivotButton="0" quotePrefix="0" xfId="0">
      <alignment horizontal="right"/>
      <protection locked="0" hidden="0"/>
    </xf>
    <xf numFmtId="1" fontId="5" fillId="4" borderId="1424" applyAlignment="1" applyProtection="1" pivotButton="0" quotePrefix="0" xfId="0">
      <alignment horizontal="right"/>
      <protection locked="0" hidden="0"/>
    </xf>
    <xf numFmtId="1" fontId="5" fillId="0" borderId="867" applyAlignment="1" pivotButton="0" quotePrefix="0" xfId="0">
      <alignment horizontal="center" vertical="center" wrapText="1"/>
    </xf>
    <xf numFmtId="1" fontId="5" fillId="0" borderId="788" applyAlignment="1" pivotButton="0" quotePrefix="0" xfId="0">
      <alignment horizontal="right" vertical="center"/>
    </xf>
    <xf numFmtId="1" fontId="5" fillId="0" borderId="226" applyAlignment="1" pivotButton="0" quotePrefix="0" xfId="0">
      <alignment horizontal="right" vertical="center"/>
    </xf>
    <xf numFmtId="1" fontId="5" fillId="0" borderId="785" applyAlignment="1" pivotButton="0" quotePrefix="0" xfId="0">
      <alignment vertical="center" wrapText="1"/>
    </xf>
    <xf numFmtId="1" fontId="5" fillId="3" borderId="878" pivotButton="0" quotePrefix="0" xfId="0"/>
    <xf numFmtId="1" fontId="5" fillId="3" borderId="874" pivotButton="0" quotePrefix="0" xfId="0"/>
    <xf numFmtId="1" fontId="5" fillId="3" borderId="880" pivotButton="0" quotePrefix="0" xfId="0"/>
    <xf numFmtId="1" fontId="5" fillId="0" borderId="867" applyAlignment="1" pivotButton="0" quotePrefix="0" xfId="0">
      <alignment horizontal="right"/>
    </xf>
    <xf numFmtId="1" fontId="5" fillId="3" borderId="877" pivotButton="0" quotePrefix="0" xfId="0"/>
    <xf numFmtId="1" fontId="5" fillId="3" borderId="881" pivotButton="0" quotePrefix="0" xfId="0"/>
    <xf numFmtId="1" fontId="5" fillId="3" borderId="882" pivotButton="0" quotePrefix="0" xfId="0"/>
    <xf numFmtId="1" fontId="5" fillId="0" borderId="731" applyAlignment="1" pivotButton="0" quotePrefix="0" xfId="0">
      <alignment horizontal="right" vertical="center" wrapText="1"/>
    </xf>
    <xf numFmtId="1" fontId="5" fillId="0" borderId="344" applyAlignment="1" pivotButton="0" quotePrefix="0" xfId="0">
      <alignment horizontal="right" vertical="center" wrapText="1"/>
    </xf>
    <xf numFmtId="1" fontId="5" fillId="0" borderId="394" applyAlignment="1" pivotButton="0" quotePrefix="0" xfId="0">
      <alignment horizontal="right" vertical="center" wrapText="1"/>
    </xf>
    <xf numFmtId="1" fontId="5" fillId="0" borderId="358" applyAlignment="1" pivotButton="0" quotePrefix="0" xfId="0">
      <alignment horizontal="right" vertical="center" wrapText="1"/>
    </xf>
    <xf numFmtId="1" fontId="5" fillId="4" borderId="884" applyAlignment="1" applyProtection="1" pivotButton="0" quotePrefix="0" xfId="0">
      <alignment horizontal="right"/>
      <protection locked="0" hidden="0"/>
    </xf>
    <xf numFmtId="1" fontId="5" fillId="4" borderId="416" applyAlignment="1" applyProtection="1" pivotButton="0" quotePrefix="0" xfId="0">
      <alignment horizontal="right"/>
      <protection locked="0" hidden="0"/>
    </xf>
    <xf numFmtId="1" fontId="5" fillId="4" borderId="425" applyAlignment="1" applyProtection="1" pivotButton="0" quotePrefix="0" xfId="0">
      <alignment horizontal="right"/>
      <protection locked="0" hidden="0"/>
    </xf>
    <xf numFmtId="1" fontId="5" fillId="4" borderId="430" applyAlignment="1" applyProtection="1" pivotButton="0" quotePrefix="0" xfId="0">
      <alignment horizontal="right"/>
      <protection locked="0" hidden="0"/>
    </xf>
    <xf numFmtId="1" fontId="5" fillId="0" borderId="788" applyAlignment="1" pivotButton="0" quotePrefix="0" xfId="0">
      <alignment horizontal="right" vertical="center" wrapText="1"/>
    </xf>
    <xf numFmtId="1" fontId="5" fillId="0" borderId="226" applyAlignment="1" pivotButton="0" quotePrefix="0" xfId="0">
      <alignment horizontal="right" vertical="center" wrapText="1"/>
    </xf>
    <xf numFmtId="1" fontId="5" fillId="4" borderId="423" applyAlignment="1" applyProtection="1" pivotButton="0" quotePrefix="0" xfId="0">
      <alignment horizontal="right"/>
      <protection locked="0" hidden="0"/>
    </xf>
    <xf numFmtId="1" fontId="69" fillId="55" borderId="0" pivotButton="0" quotePrefix="0" xfId="0"/>
    <xf numFmtId="1" fontId="56" fillId="37" borderId="0" pivotButton="0" quotePrefix="0" xfId="0"/>
    <xf numFmtId="0" fontId="56" fillId="37" borderId="0" pivotButton="0" quotePrefix="0" xfId="0"/>
    <xf numFmtId="1" fontId="14" fillId="3" borderId="279" applyAlignment="1" pivotButton="0" quotePrefix="0" xfId="0">
      <alignment horizontal="left"/>
    </xf>
    <xf numFmtId="1" fontId="5" fillId="0" borderId="929" applyAlignment="1" pivotButton="0" quotePrefix="0" xfId="0">
      <alignment horizontal="center" vertical="center" wrapText="1"/>
    </xf>
    <xf numFmtId="1" fontId="5" fillId="3" borderId="1017" applyAlignment="1" pivotButton="0" quotePrefix="0" xfId="0">
      <alignment horizontal="center" vertical="center" wrapText="1"/>
    </xf>
    <xf numFmtId="1" fontId="5" fillId="0" borderId="1014" applyAlignment="1" pivotButton="0" quotePrefix="0" xfId="0">
      <alignment horizontal="center" vertical="center" wrapText="1"/>
    </xf>
    <xf numFmtId="1" fontId="5" fillId="0" borderId="1017" applyAlignment="1" pivotButton="0" quotePrefix="0" xfId="0">
      <alignment horizontal="center" vertical="center" wrapText="1"/>
    </xf>
    <xf numFmtId="1" fontId="5" fillId="0" borderId="1021" applyAlignment="1" pivotButton="0" quotePrefix="0" xfId="0">
      <alignment horizontal="center" vertical="center" wrapText="1"/>
    </xf>
    <xf numFmtId="1" fontId="5" fillId="0" borderId="1015" applyAlignment="1" pivotButton="0" quotePrefix="0" xfId="0">
      <alignment horizontal="center" vertical="center" wrapText="1"/>
    </xf>
    <xf numFmtId="1" fontId="5" fillId="0" borderId="890" applyAlignment="1" pivotButton="0" quotePrefix="0" xfId="0">
      <alignment horizontal="center" vertical="center" wrapText="1"/>
    </xf>
    <xf numFmtId="1" fontId="5" fillId="5" borderId="1017" applyAlignment="1" pivotButton="0" quotePrefix="0" xfId="0">
      <alignment horizontal="center" vertical="center" wrapText="1"/>
    </xf>
    <xf numFmtId="1" fontId="5" fillId="0" borderId="1075" applyAlignment="1" pivotButton="0" quotePrefix="0" xfId="0">
      <alignment horizontal="center" vertical="center" wrapText="1"/>
    </xf>
    <xf numFmtId="1" fontId="5" fillId="0" borderId="1034" applyAlignment="1" pivotButton="0" quotePrefix="0" xfId="0">
      <alignment horizontal="center" vertical="center" wrapText="1"/>
    </xf>
    <xf numFmtId="1" fontId="5" fillId="0" borderId="1104" applyAlignment="1" pivotButton="0" quotePrefix="0" xfId="0">
      <alignment horizontal="center" vertical="center" wrapText="1"/>
    </xf>
    <xf numFmtId="1" fontId="5" fillId="0" borderId="1013" applyAlignment="1" pivotButton="0" quotePrefix="0" xfId="0">
      <alignment horizontal="center" vertical="center"/>
    </xf>
    <xf numFmtId="1" fontId="5" fillId="0" borderId="1017" applyAlignment="1" pivotButton="0" quotePrefix="0" xfId="0">
      <alignment horizontal="center" vertical="center"/>
    </xf>
    <xf numFmtId="1" fontId="5" fillId="0" borderId="1013" applyAlignment="1" pivotButton="0" quotePrefix="0" xfId="0">
      <alignment wrapText="1"/>
    </xf>
    <xf numFmtId="1" fontId="5" fillId="0" borderId="1018" applyAlignment="1" pivotButton="0" quotePrefix="0" xfId="0">
      <alignment wrapText="1"/>
    </xf>
    <xf numFmtId="1" fontId="5" fillId="0" borderId="1019" applyAlignment="1" pivotButton="0" quotePrefix="0" xfId="0">
      <alignment wrapText="1"/>
    </xf>
    <xf numFmtId="1" fontId="5" fillId="0" borderId="1034" applyAlignment="1" pivotButton="0" quotePrefix="0" xfId="0">
      <alignment wrapText="1"/>
    </xf>
    <xf numFmtId="1" fontId="5" fillId="0" borderId="1017" applyAlignment="1" pivotButton="0" quotePrefix="0" xfId="0">
      <alignment wrapText="1"/>
    </xf>
    <xf numFmtId="1" fontId="5" fillId="0" borderId="1105" applyAlignment="1" pivotButton="0" quotePrefix="0" xfId="0">
      <alignment wrapText="1"/>
    </xf>
    <xf numFmtId="1" fontId="5" fillId="0" borderId="1104" applyAlignment="1" pivotButton="0" quotePrefix="0" xfId="0">
      <alignment wrapText="1"/>
    </xf>
    <xf numFmtId="1" fontId="5" fillId="0" borderId="1021" applyAlignment="1" pivotButton="0" quotePrefix="0" xfId="0">
      <alignment wrapText="1"/>
    </xf>
    <xf numFmtId="1" fontId="5" fillId="0" borderId="1106" applyAlignment="1" pivotButton="0" quotePrefix="0" xfId="0">
      <alignment wrapText="1"/>
    </xf>
    <xf numFmtId="1" fontId="5" fillId="0" borderId="1075" applyAlignment="1" pivotButton="0" quotePrefix="0" xfId="0">
      <alignment wrapText="1"/>
    </xf>
    <xf numFmtId="1" fontId="5" fillId="0" borderId="1015" applyAlignment="1" pivotButton="0" quotePrefix="0" xfId="0">
      <alignment wrapText="1"/>
    </xf>
    <xf numFmtId="1" fontId="5" fillId="0" borderId="1014" applyAlignment="1" pivotButton="0" quotePrefix="0" xfId="0">
      <alignment wrapText="1"/>
    </xf>
    <xf numFmtId="1" fontId="5" fillId="0" borderId="1427" applyAlignment="1" pivotButton="0" quotePrefix="0" xfId="0">
      <alignment wrapText="1"/>
    </xf>
    <xf numFmtId="1" fontId="5" fillId="0" borderId="1424" applyAlignment="1" pivotButton="0" quotePrefix="0" xfId="0">
      <alignment wrapText="1"/>
    </xf>
    <xf numFmtId="1" fontId="5" fillId="0" borderId="1022" applyAlignment="1" pivotButton="0" quotePrefix="0" xfId="0">
      <alignment horizontal="left" vertical="center"/>
    </xf>
    <xf numFmtId="1" fontId="5" fillId="4" borderId="1002" applyProtection="1" pivotButton="0" quotePrefix="0" xfId="0">
      <protection locked="0" hidden="0"/>
    </xf>
    <xf numFmtId="1" fontId="5" fillId="4" borderId="1022" applyProtection="1" pivotButton="0" quotePrefix="0" xfId="0">
      <protection locked="0" hidden="0"/>
    </xf>
    <xf numFmtId="1" fontId="5" fillId="4" borderId="1003" applyProtection="1" pivotButton="0" quotePrefix="0" xfId="0">
      <protection locked="0" hidden="0"/>
    </xf>
    <xf numFmtId="1" fontId="5" fillId="4" borderId="966" applyProtection="1" pivotButton="0" quotePrefix="0" xfId="0">
      <protection locked="0" hidden="0"/>
    </xf>
    <xf numFmtId="1" fontId="5" fillId="4" borderId="1045" applyProtection="1" pivotButton="0" quotePrefix="0" xfId="0">
      <protection locked="0" hidden="0"/>
    </xf>
    <xf numFmtId="1" fontId="5" fillId="4" borderId="1121" applyProtection="1" pivotButton="0" quotePrefix="0" xfId="0">
      <protection locked="0" hidden="0"/>
    </xf>
    <xf numFmtId="0" fontId="56" fillId="15" borderId="0" applyAlignment="1" pivotButton="0" quotePrefix="0" xfId="0">
      <alignment vertical="center"/>
    </xf>
    <xf numFmtId="1" fontId="5" fillId="4" borderId="1094" applyProtection="1" pivotButton="0" quotePrefix="0" xfId="0">
      <protection locked="0" hidden="0"/>
    </xf>
    <xf numFmtId="1" fontId="5" fillId="4" borderId="1095" applyProtection="1" pivotButton="0" quotePrefix="0" xfId="0">
      <protection locked="0" hidden="0"/>
    </xf>
    <xf numFmtId="1" fontId="5" fillId="4" borderId="1096" applyProtection="1" pivotButton="0" quotePrefix="0" xfId="0">
      <protection locked="0" hidden="0"/>
    </xf>
    <xf numFmtId="1" fontId="5" fillId="4" borderId="1100" applyProtection="1" pivotButton="0" quotePrefix="0" xfId="0">
      <protection locked="0" hidden="0"/>
    </xf>
    <xf numFmtId="1" fontId="5" fillId="4" borderId="1098" applyProtection="1" pivotButton="0" quotePrefix="0" xfId="0">
      <protection locked="0" hidden="0"/>
    </xf>
    <xf numFmtId="1" fontId="5" fillId="4" borderId="1099" applyProtection="1" pivotButton="0" quotePrefix="0" xfId="0">
      <protection locked="0" hidden="0"/>
    </xf>
    <xf numFmtId="1" fontId="5" fillId="4" borderId="1076" applyProtection="1" pivotButton="0" quotePrefix="0" xfId="0">
      <protection locked="0" hidden="0"/>
    </xf>
    <xf numFmtId="1" fontId="5" fillId="4" borderId="1111" applyProtection="1" pivotButton="0" quotePrefix="0" xfId="0">
      <protection locked="0" hidden="0"/>
    </xf>
    <xf numFmtId="1" fontId="5" fillId="4" borderId="1128" applyProtection="1" pivotButton="0" quotePrefix="0" xfId="0">
      <protection locked="0" hidden="0"/>
    </xf>
    <xf numFmtId="1" fontId="5" fillId="4" borderId="1107" applyProtection="1" pivotButton="0" quotePrefix="0" xfId="0">
      <protection locked="0" hidden="0"/>
    </xf>
    <xf numFmtId="1" fontId="5" fillId="4" borderId="1101" applyProtection="1" pivotButton="0" quotePrefix="0" xfId="0">
      <protection locked="0" hidden="0"/>
    </xf>
    <xf numFmtId="1" fontId="5" fillId="4" borderId="1080" applyProtection="1" pivotButton="0" quotePrefix="0" xfId="0">
      <protection locked="0" hidden="0"/>
    </xf>
    <xf numFmtId="1" fontId="5" fillId="4" borderId="1077" applyProtection="1" pivotButton="0" quotePrefix="0" xfId="0">
      <protection locked="0" hidden="0"/>
    </xf>
    <xf numFmtId="1" fontId="5" fillId="4" borderId="1074" applyProtection="1" pivotButton="0" quotePrefix="0" xfId="0">
      <protection locked="0" hidden="0"/>
    </xf>
    <xf numFmtId="1" fontId="5" fillId="4" borderId="1103" applyProtection="1" pivotButton="0" quotePrefix="0" xfId="0">
      <protection locked="0" hidden="0"/>
    </xf>
    <xf numFmtId="1" fontId="5" fillId="4" borderId="1078" applyProtection="1" pivotButton="0" quotePrefix="0" xfId="0">
      <protection locked="0" hidden="0"/>
    </xf>
    <xf numFmtId="1" fontId="5" fillId="4" borderId="1079" applyProtection="1" pivotButton="0" quotePrefix="0" xfId="0">
      <protection locked="0" hidden="0"/>
    </xf>
    <xf numFmtId="1" fontId="5" fillId="4" borderId="1112" applyProtection="1" pivotButton="0" quotePrefix="0" xfId="0">
      <protection locked="0" hidden="0"/>
    </xf>
    <xf numFmtId="1" fontId="5" fillId="4" borderId="283" applyProtection="1" pivotButton="0" quotePrefix="0" xfId="0">
      <protection locked="0" hidden="0"/>
    </xf>
    <xf numFmtId="1" fontId="5" fillId="4" borderId="405" applyProtection="1" pivotButton="0" quotePrefix="0" xfId="0">
      <protection locked="0" hidden="0"/>
    </xf>
    <xf numFmtId="1" fontId="5" fillId="4" borderId="404" applyProtection="1" pivotButton="0" quotePrefix="0" xfId="0">
      <protection locked="0" hidden="0"/>
    </xf>
    <xf numFmtId="1" fontId="5" fillId="4" borderId="1358" applyProtection="1" pivotButton="0" quotePrefix="0" xfId="0">
      <protection locked="0" hidden="0"/>
    </xf>
    <xf numFmtId="1" fontId="5" fillId="4" borderId="1021" applyProtection="1" pivotButton="0" quotePrefix="0" xfId="0">
      <protection locked="0" hidden="0"/>
    </xf>
    <xf numFmtId="1" fontId="5" fillId="4" borderId="1018" applyProtection="1" pivotButton="0" quotePrefix="0" xfId="0">
      <protection locked="0" hidden="0"/>
    </xf>
    <xf numFmtId="1" fontId="5" fillId="4" borderId="1034" applyProtection="1" pivotButton="0" quotePrefix="0" xfId="0">
      <protection locked="0" hidden="0"/>
    </xf>
    <xf numFmtId="1" fontId="5" fillId="4" borderId="1017" applyProtection="1" pivotButton="0" quotePrefix="0" xfId="0">
      <protection locked="0" hidden="0"/>
    </xf>
    <xf numFmtId="1" fontId="5" fillId="4" borderId="1019" applyProtection="1" pivotButton="0" quotePrefix="0" xfId="0">
      <protection locked="0" hidden="0"/>
    </xf>
    <xf numFmtId="1" fontId="5" fillId="4" borderId="1106" applyProtection="1" pivotButton="0" quotePrefix="0" xfId="0">
      <protection locked="0" hidden="0"/>
    </xf>
    <xf numFmtId="1" fontId="5" fillId="4" borderId="1075" applyProtection="1" pivotButton="0" quotePrefix="0" xfId="0">
      <protection locked="0" hidden="0"/>
    </xf>
    <xf numFmtId="1" fontId="5" fillId="4" borderId="1104" applyProtection="1" pivotButton="0" quotePrefix="0" xfId="0">
      <protection locked="0" hidden="0"/>
    </xf>
    <xf numFmtId="1" fontId="5" fillId="4" borderId="1015" applyProtection="1" pivotButton="0" quotePrefix="0" xfId="0">
      <protection locked="0" hidden="0"/>
    </xf>
    <xf numFmtId="1" fontId="5" fillId="4" borderId="1014" applyProtection="1" pivotButton="0" quotePrefix="0" xfId="0">
      <protection locked="0" hidden="0"/>
    </xf>
    <xf numFmtId="1" fontId="5" fillId="4" borderId="1427" applyProtection="1" pivotButton="0" quotePrefix="0" xfId="0">
      <protection locked="0" hidden="0"/>
    </xf>
    <xf numFmtId="1" fontId="5" fillId="4" borderId="890" applyProtection="1" pivotButton="0" quotePrefix="0" xfId="0">
      <protection locked="0" hidden="0"/>
    </xf>
    <xf numFmtId="1" fontId="5" fillId="4" borderId="886" applyProtection="1" pivotButton="0" quotePrefix="0" xfId="0">
      <protection locked="0" hidden="0"/>
    </xf>
    <xf numFmtId="1" fontId="5" fillId="4" borderId="929" applyProtection="1" pivotButton="0" quotePrefix="0" xfId="0">
      <protection locked="0" hidden="0"/>
    </xf>
    <xf numFmtId="1" fontId="5" fillId="4" borderId="898" applyProtection="1" pivotButton="0" quotePrefix="0" xfId="0">
      <protection locked="0" hidden="0"/>
    </xf>
    <xf numFmtId="1" fontId="5" fillId="4" borderId="899" applyProtection="1" pivotButton="0" quotePrefix="0" xfId="0">
      <protection locked="0" hidden="0"/>
    </xf>
    <xf numFmtId="1" fontId="5" fillId="4" borderId="885" applyProtection="1" pivotButton="0" quotePrefix="0" xfId="0">
      <protection locked="0" hidden="0"/>
    </xf>
    <xf numFmtId="1" fontId="5" fillId="4" borderId="897" applyProtection="1" pivotButton="0" quotePrefix="0" xfId="0">
      <protection locked="0" hidden="0"/>
    </xf>
    <xf numFmtId="1" fontId="5" fillId="4" borderId="869" applyProtection="1" pivotButton="0" quotePrefix="0" xfId="0">
      <protection locked="0" hidden="0"/>
    </xf>
    <xf numFmtId="1" fontId="5" fillId="4" borderId="906" applyProtection="1" pivotButton="0" quotePrefix="0" xfId="0">
      <protection locked="0" hidden="0"/>
    </xf>
    <xf numFmtId="1" fontId="5" fillId="4" borderId="865" applyProtection="1" pivotButton="0" quotePrefix="0" xfId="0">
      <protection locked="0" hidden="0"/>
    </xf>
    <xf numFmtId="1" fontId="5" fillId="4" borderId="1426" applyProtection="1" pivotButton="0" quotePrefix="0" xfId="0">
      <protection locked="0" hidden="0"/>
    </xf>
    <xf numFmtId="1" fontId="5" fillId="4" borderId="1381" applyProtection="1" pivotButton="0" quotePrefix="0" xfId="0">
      <protection locked="0" hidden="0"/>
    </xf>
    <xf numFmtId="1" fontId="5" fillId="0" borderId="1084" applyAlignment="1" pivotButton="0" quotePrefix="0" xfId="0">
      <alignment vertical="center" wrapText="1"/>
    </xf>
    <xf numFmtId="1" fontId="5" fillId="4" borderId="282" applyProtection="1" pivotButton="0" quotePrefix="0" xfId="0">
      <protection locked="0" hidden="0"/>
    </xf>
    <xf numFmtId="1" fontId="5" fillId="4" borderId="247" applyProtection="1" pivotButton="0" quotePrefix="0" xfId="0">
      <protection locked="0" hidden="0"/>
    </xf>
    <xf numFmtId="1" fontId="5" fillId="4" borderId="546" applyProtection="1" pivotButton="0" quotePrefix="0" xfId="0">
      <protection locked="0" hidden="0"/>
    </xf>
    <xf numFmtId="1" fontId="5" fillId="4" borderId="2" applyProtection="1" pivotButton="0" quotePrefix="0" xfId="0">
      <protection locked="0" hidden="0"/>
    </xf>
    <xf numFmtId="1" fontId="5" fillId="4" borderId="281" applyProtection="1" pivotButton="0" quotePrefix="0" xfId="0">
      <protection locked="0" hidden="0"/>
    </xf>
    <xf numFmtId="1" fontId="5" fillId="4" borderId="979" applyProtection="1" pivotButton="0" quotePrefix="0" xfId="0">
      <protection locked="0" hidden="0"/>
    </xf>
    <xf numFmtId="1" fontId="5" fillId="4" borderId="552" applyProtection="1" pivotButton="0" quotePrefix="0" xfId="0">
      <protection locked="0" hidden="0"/>
    </xf>
    <xf numFmtId="1" fontId="5" fillId="4" borderId="6" applyProtection="1" pivotButton="0" quotePrefix="0" xfId="0">
      <protection locked="0" hidden="0"/>
    </xf>
    <xf numFmtId="1" fontId="5" fillId="4" borderId="8" applyProtection="1" pivotButton="0" quotePrefix="0" xfId="0">
      <protection locked="0" hidden="0"/>
    </xf>
    <xf numFmtId="1" fontId="5" fillId="4" borderId="0" applyProtection="1" pivotButton="0" quotePrefix="0" xfId="0">
      <protection locked="0" hidden="0"/>
    </xf>
    <xf numFmtId="1" fontId="5" fillId="4" borderId="7" applyProtection="1" pivotButton="0" quotePrefix="0" xfId="0">
      <protection locked="0" hidden="0"/>
    </xf>
    <xf numFmtId="1" fontId="5" fillId="0" borderId="378" applyAlignment="1" pivotButton="0" quotePrefix="0" xfId="0">
      <alignment vertical="center" wrapText="1"/>
    </xf>
    <xf numFmtId="1" fontId="58" fillId="3" borderId="0" applyAlignment="1" pivotButton="0" quotePrefix="0" xfId="0">
      <alignment horizontal="left" vertical="center"/>
    </xf>
    <xf numFmtId="1" fontId="58" fillId="3" borderId="0" applyAlignment="1" applyProtection="1" pivotButton="0" quotePrefix="0" xfId="0">
      <alignment horizontal="right"/>
      <protection locked="0" hidden="0"/>
    </xf>
    <xf numFmtId="1" fontId="58" fillId="3" borderId="0" applyAlignment="1" pivotButton="0" quotePrefix="0" xfId="0">
      <alignment horizontal="right"/>
    </xf>
    <xf numFmtId="1" fontId="5" fillId="3" borderId="1021" applyAlignment="1" pivotButton="0" quotePrefix="0" xfId="0">
      <alignment horizontal="center" vertical="center"/>
    </xf>
    <xf numFmtId="1" fontId="5" fillId="3" borderId="1018" applyAlignment="1" pivotButton="0" quotePrefix="0" xfId="0">
      <alignment horizontal="center" vertical="center" wrapText="1"/>
    </xf>
    <xf numFmtId="1" fontId="5" fillId="3" borderId="1019" applyAlignment="1" pivotButton="0" quotePrefix="0" xfId="0">
      <alignment horizontal="center" vertical="center" wrapText="1"/>
    </xf>
    <xf numFmtId="1" fontId="5" fillId="0" borderId="898" pivotButton="0" quotePrefix="0" xfId="0"/>
    <xf numFmtId="1" fontId="5" fillId="4" borderId="1018" applyAlignment="1" applyProtection="1" pivotButton="0" quotePrefix="0" xfId="0">
      <alignment vertical="center" wrapText="1"/>
      <protection locked="0" hidden="0"/>
    </xf>
    <xf numFmtId="1" fontId="5" fillId="4" borderId="1019" applyAlignment="1" applyProtection="1" pivotButton="0" quotePrefix="0" xfId="0">
      <alignment vertical="center" wrapText="1"/>
      <protection locked="0" hidden="0"/>
    </xf>
    <xf numFmtId="1" fontId="5" fillId="4" borderId="1017" applyAlignment="1" applyProtection="1" pivotButton="0" quotePrefix="0" xfId="0">
      <alignment vertical="center" wrapText="1"/>
      <protection locked="0" hidden="0"/>
    </xf>
    <xf numFmtId="1" fontId="5" fillId="0" borderId="1003" applyAlignment="1" pivotButton="0" quotePrefix="0" xfId="0">
      <alignment horizontal="left" vertical="center"/>
    </xf>
    <xf numFmtId="1" fontId="5" fillId="0" borderId="1003" pivotButton="0" quotePrefix="0" xfId="0"/>
    <xf numFmtId="1" fontId="5" fillId="4" borderId="1035" applyAlignment="1" applyProtection="1" pivotButton="0" quotePrefix="0" xfId="0">
      <alignment vertical="center" wrapText="1"/>
      <protection locked="0" hidden="0"/>
    </xf>
    <xf numFmtId="1" fontId="5" fillId="4" borderId="344" applyAlignment="1" applyProtection="1" pivotButton="0" quotePrefix="0" xfId="0">
      <alignment vertical="center" wrapText="1"/>
      <protection locked="0" hidden="0"/>
    </xf>
    <xf numFmtId="1" fontId="5" fillId="4" borderId="1022" applyAlignment="1" applyProtection="1" pivotButton="0" quotePrefix="0" xfId="0">
      <alignment vertical="center" wrapText="1"/>
      <protection locked="0" hidden="0"/>
    </xf>
    <xf numFmtId="1" fontId="5" fillId="0" borderId="849" applyAlignment="1" pivotButton="0" quotePrefix="0" xfId="0">
      <alignment horizontal="left" vertical="center"/>
    </xf>
    <xf numFmtId="1" fontId="5" fillId="0" borderId="1074" pivotButton="0" quotePrefix="0" xfId="0"/>
    <xf numFmtId="1" fontId="5" fillId="4" borderId="788" applyAlignment="1" applyProtection="1" pivotButton="0" quotePrefix="0" xfId="0">
      <alignment vertical="center" wrapText="1"/>
      <protection locked="0" hidden="0"/>
    </xf>
    <xf numFmtId="1" fontId="5" fillId="4" borderId="226" applyAlignment="1" applyProtection="1" pivotButton="0" quotePrefix="0" xfId="0">
      <alignment vertical="center" wrapText="1"/>
      <protection locked="0" hidden="0"/>
    </xf>
    <xf numFmtId="1" fontId="5" fillId="4" borderId="785" applyAlignment="1" applyProtection="1" pivotButton="0" quotePrefix="0" xfId="0">
      <alignment vertical="center" wrapText="1"/>
      <protection locked="0" hidden="0"/>
    </xf>
    <xf numFmtId="1" fontId="5" fillId="0" borderId="1085" pivotButton="0" quotePrefix="0" xfId="0"/>
    <xf numFmtId="1" fontId="5" fillId="4" borderId="1095" applyAlignment="1" applyProtection="1" pivotButton="0" quotePrefix="0" xfId="0">
      <alignment vertical="center" wrapText="1"/>
      <protection locked="0" hidden="0"/>
    </xf>
    <xf numFmtId="1" fontId="5" fillId="4" borderId="1100" applyAlignment="1" applyProtection="1" pivotButton="0" quotePrefix="0" xfId="0">
      <alignment vertical="center" wrapText="1"/>
      <protection locked="0" hidden="0"/>
    </xf>
    <xf numFmtId="1" fontId="5" fillId="4" borderId="1081" applyAlignment="1" applyProtection="1" pivotButton="0" quotePrefix="0" xfId="0">
      <alignment vertical="center" wrapText="1"/>
      <protection locked="0" hidden="0"/>
    </xf>
    <xf numFmtId="1" fontId="5" fillId="0" borderId="1003" applyAlignment="1" pivotButton="0" quotePrefix="0" xfId="0">
      <alignment vertical="center"/>
    </xf>
    <xf numFmtId="1" fontId="5" fillId="0" borderId="1021" pivotButton="0" quotePrefix="0" xfId="0"/>
    <xf numFmtId="1" fontId="5" fillId="0" borderId="1003" applyAlignment="1" pivotButton="0" quotePrefix="0" xfId="0">
      <alignment horizontal="left" vertical="center" wrapText="1"/>
    </xf>
    <xf numFmtId="0" fontId="37" fillId="0" borderId="0" pivotButton="0" quotePrefix="0" xfId="0"/>
    <xf numFmtId="1" fontId="14" fillId="5" borderId="0" applyAlignment="1" pivotButton="0" quotePrefix="0" xfId="0">
      <alignment horizontal="left"/>
    </xf>
    <xf numFmtId="1" fontId="58" fillId="5" borderId="0" applyAlignment="1" pivotButton="0" quotePrefix="0" xfId="0">
      <alignment horizontal="left" vertical="center"/>
    </xf>
    <xf numFmtId="1" fontId="58" fillId="5" borderId="0" applyAlignment="1" applyProtection="1" pivotButton="0" quotePrefix="0" xfId="0">
      <alignment horizontal="right"/>
      <protection locked="0" hidden="0"/>
    </xf>
    <xf numFmtId="1" fontId="5" fillId="5" borderId="1018" applyAlignment="1" pivotButton="0" quotePrefix="0" xfId="0">
      <alignment horizontal="center" vertical="center" wrapText="1"/>
    </xf>
    <xf numFmtId="1" fontId="5" fillId="5" borderId="281" applyAlignment="1" pivotButton="0" quotePrefix="0" xfId="0">
      <alignment vertical="center" wrapText="1"/>
    </xf>
    <xf numFmtId="1" fontId="5" fillId="4" borderId="1084" applyProtection="1" pivotButton="0" quotePrefix="0" xfId="0">
      <protection locked="0" hidden="0"/>
    </xf>
    <xf numFmtId="1" fontId="5" fillId="5" borderId="849" applyAlignment="1" pivotButton="0" quotePrefix="0" xfId="0">
      <alignment horizontal="left" vertical="center" wrapText="1"/>
    </xf>
    <xf numFmtId="1" fontId="5" fillId="5" borderId="1074" applyAlignment="1" pivotButton="0" quotePrefix="0" xfId="0">
      <alignment horizontal="left" vertical="center"/>
    </xf>
    <xf numFmtId="1" fontId="5" fillId="6" borderId="1035" pivotButton="0" quotePrefix="0" xfId="0"/>
    <xf numFmtId="1" fontId="5" fillId="6" borderId="785" pivotButton="0" quotePrefix="0" xfId="0"/>
    <xf numFmtId="1" fontId="5" fillId="5" borderId="1003" applyAlignment="1" pivotButton="0" quotePrefix="0" xfId="0">
      <alignment horizontal="left" vertical="center"/>
    </xf>
    <xf numFmtId="1" fontId="5" fillId="6" borderId="1084" pivotButton="0" quotePrefix="0" xfId="0"/>
    <xf numFmtId="0" fontId="5" fillId="0" borderId="1013" applyAlignment="1" pivotButton="0" quotePrefix="0" xfId="0">
      <alignment horizontal="center" vertical="center"/>
    </xf>
    <xf numFmtId="0" fontId="5" fillId="0" borderId="1017" applyAlignment="1" pivotButton="0" quotePrefix="0" xfId="0">
      <alignment horizontal="center" vertical="center"/>
    </xf>
    <xf numFmtId="1" fontId="5" fillId="5" borderId="1019" applyAlignment="1" pivotButton="0" quotePrefix="0" xfId="0">
      <alignment horizontal="center" vertical="center" wrapText="1"/>
    </xf>
    <xf numFmtId="1" fontId="5" fillId="5" borderId="1084" applyAlignment="1" pivotButton="0" quotePrefix="0" xfId="0">
      <alignment horizontal="left" vertical="center"/>
    </xf>
    <xf numFmtId="1" fontId="5" fillId="5" borderId="1081" applyAlignment="1" pivotButton="0" quotePrefix="0" xfId="0">
      <alignment vertical="center"/>
    </xf>
    <xf numFmtId="1" fontId="5" fillId="5" borderId="378" applyAlignment="1" pivotButton="0" quotePrefix="0" xfId="0">
      <alignment vertical="center" wrapText="1"/>
    </xf>
    <xf numFmtId="1" fontId="14" fillId="5" borderId="1288" applyAlignment="1" pivotButton="0" quotePrefix="0" xfId="0">
      <alignment horizontal="left"/>
    </xf>
    <xf numFmtId="1" fontId="58" fillId="3" borderId="1288" applyAlignment="1" pivotButton="0" quotePrefix="0" xfId="0">
      <alignment horizontal="left" vertical="center"/>
    </xf>
    <xf numFmtId="1" fontId="58" fillId="3" borderId="1288" applyAlignment="1" applyProtection="1" pivotButton="0" quotePrefix="0" xfId="0">
      <alignment horizontal="right"/>
      <protection locked="0" hidden="0"/>
    </xf>
    <xf numFmtId="1" fontId="58" fillId="3" borderId="822" applyAlignment="1" pivotButton="0" quotePrefix="0" xfId="0">
      <alignment horizontal="right"/>
    </xf>
    <xf numFmtId="1" fontId="58" fillId="3" borderId="569" applyAlignment="1" applyProtection="1" pivotButton="0" quotePrefix="0" xfId="0">
      <alignment horizontal="right"/>
      <protection locked="0" hidden="0"/>
    </xf>
    <xf numFmtId="1" fontId="58" fillId="3" borderId="283" pivotButton="0" quotePrefix="0" xfId="0"/>
    <xf numFmtId="1" fontId="5" fillId="0" borderId="1014" applyAlignment="1" pivotButton="0" quotePrefix="0" xfId="0">
      <alignment horizontal="center" vertical="center"/>
    </xf>
    <xf numFmtId="1" fontId="5" fillId="0" borderId="1018" applyAlignment="1" pivotButton="0" quotePrefix="0" xfId="0">
      <alignment horizontal="center" vertical="center" wrapText="1"/>
    </xf>
    <xf numFmtId="1" fontId="5" fillId="0" borderId="1019" applyAlignment="1" pivotButton="0" quotePrefix="0" xfId="0">
      <alignment horizontal="center" vertical="center" wrapText="1"/>
    </xf>
    <xf numFmtId="1" fontId="5" fillId="0" borderId="1105" applyAlignment="1" pivotButton="0" quotePrefix="0" xfId="0">
      <alignment horizontal="center" vertical="center" wrapText="1"/>
    </xf>
    <xf numFmtId="1" fontId="5" fillId="0" borderId="1250" applyAlignment="1" pivotButton="0" quotePrefix="0" xfId="0">
      <alignment horizontal="center" vertical="center" wrapText="1"/>
    </xf>
    <xf numFmtId="1" fontId="5" fillId="0" borderId="1326" applyAlignment="1" pivotButton="0" quotePrefix="0" xfId="0">
      <alignment horizontal="center" vertical="center" wrapText="1"/>
    </xf>
    <xf numFmtId="1" fontId="5" fillId="0" borderId="1327" applyAlignment="1" pivotButton="0" quotePrefix="0" xfId="0">
      <alignment horizontal="center" vertical="center" wrapText="1"/>
    </xf>
    <xf numFmtId="1" fontId="5" fillId="0" borderId="1114" applyAlignment="1" pivotButton="0" quotePrefix="0" xfId="0">
      <alignment horizontal="center" vertical="center" wrapText="1"/>
    </xf>
    <xf numFmtId="1" fontId="5" fillId="0" borderId="890" applyAlignment="1" pivotButton="0" quotePrefix="0" xfId="0">
      <alignment horizontal="right" vertical="center" wrapText="1"/>
    </xf>
    <xf numFmtId="1" fontId="5" fillId="0" borderId="886" applyAlignment="1" pivotButton="0" quotePrefix="0" xfId="0">
      <alignment horizontal="right" vertical="center" wrapText="1"/>
    </xf>
    <xf numFmtId="1" fontId="5" fillId="0" borderId="889" applyAlignment="1" pivotButton="0" quotePrefix="0" xfId="0">
      <alignment horizontal="right" vertical="center" wrapText="1"/>
    </xf>
    <xf numFmtId="1" fontId="5" fillId="0" borderId="1115" applyAlignment="1" pivotButton="0" quotePrefix="0" xfId="0">
      <alignment horizontal="right" vertical="center" wrapText="1"/>
    </xf>
    <xf numFmtId="1" fontId="5" fillId="0" borderId="304" applyAlignment="1" pivotButton="0" quotePrefix="0" xfId="0">
      <alignment horizontal="right" vertical="center" wrapText="1"/>
    </xf>
    <xf numFmtId="1" fontId="5" fillId="0" borderId="1344" applyAlignment="1" pivotButton="0" quotePrefix="0" xfId="0">
      <alignment horizontal="right" vertical="center" wrapText="1"/>
    </xf>
    <xf numFmtId="1" fontId="5" fillId="0" borderId="1322" applyAlignment="1" pivotButton="0" quotePrefix="0" xfId="0">
      <alignment horizontal="right" vertical="center" wrapText="1"/>
    </xf>
    <xf numFmtId="1" fontId="5" fillId="0" borderId="1116" applyAlignment="1" pivotButton="0" quotePrefix="0" xfId="0">
      <alignment horizontal="right" vertical="center" wrapText="1"/>
    </xf>
    <xf numFmtId="1" fontId="5" fillId="0" borderId="822" applyAlignment="1" pivotButton="0" quotePrefix="0" xfId="0">
      <alignment horizontal="right" vertical="center" wrapText="1"/>
    </xf>
    <xf numFmtId="1" fontId="5" fillId="0" borderId="1117" applyAlignment="1" pivotButton="0" quotePrefix="0" xfId="0">
      <alignment horizontal="left" vertical="center"/>
    </xf>
    <xf numFmtId="1" fontId="5" fillId="4" borderId="960" applyProtection="1" pivotButton="0" quotePrefix="0" xfId="0">
      <protection locked="0" hidden="0"/>
    </xf>
    <xf numFmtId="1" fontId="5" fillId="4" borderId="1245" applyProtection="1" pivotButton="0" quotePrefix="0" xfId="0">
      <protection locked="0" hidden="0"/>
    </xf>
    <xf numFmtId="1" fontId="5" fillId="4" borderId="1322" applyProtection="1" pivotButton="0" quotePrefix="0" xfId="0">
      <protection locked="0" hidden="0"/>
    </xf>
    <xf numFmtId="1" fontId="5" fillId="4" borderId="1324" applyProtection="1" pivotButton="0" quotePrefix="0" xfId="0">
      <protection locked="0" hidden="0"/>
    </xf>
    <xf numFmtId="1" fontId="5" fillId="4" borderId="1261" applyProtection="1" pivotButton="0" quotePrefix="0" xfId="0">
      <protection locked="0" hidden="0"/>
    </xf>
    <xf numFmtId="1" fontId="5" fillId="4" borderId="1342" applyProtection="1" pivotButton="0" quotePrefix="0" xfId="0">
      <protection locked="0" hidden="0"/>
    </xf>
    <xf numFmtId="1" fontId="5" fillId="4" borderId="1321" applyProtection="1" pivotButton="0" quotePrefix="0" xfId="0">
      <protection locked="0" hidden="0"/>
    </xf>
    <xf numFmtId="1" fontId="5" fillId="4" borderId="1344" applyProtection="1" pivotButton="0" quotePrefix="0" xfId="0">
      <protection locked="0" hidden="0"/>
    </xf>
    <xf numFmtId="1" fontId="5" fillId="4" borderId="822" applyProtection="1" pivotButton="0" quotePrefix="0" xfId="0">
      <protection locked="0" hidden="0"/>
    </xf>
    <xf numFmtId="1" fontId="56" fillId="0" borderId="283" pivotButton="0" quotePrefix="0" xfId="0"/>
    <xf numFmtId="1" fontId="5" fillId="0" borderId="1118" applyAlignment="1" pivotButton="0" quotePrefix="0" xfId="0">
      <alignment horizontal="left" vertical="center"/>
    </xf>
    <xf numFmtId="1" fontId="5" fillId="4" borderId="1135" applyProtection="1" pivotButton="0" quotePrefix="0" xfId="0">
      <protection locked="0" hidden="0"/>
    </xf>
    <xf numFmtId="1" fontId="5" fillId="4" borderId="1086" applyProtection="1" pivotButton="0" quotePrefix="0" xfId="0">
      <protection locked="0" hidden="0"/>
    </xf>
    <xf numFmtId="1" fontId="5" fillId="4" borderId="1343" applyProtection="1" pivotButton="0" quotePrefix="0" xfId="0">
      <protection locked="0" hidden="0"/>
    </xf>
    <xf numFmtId="1" fontId="5" fillId="4" borderId="1323" applyProtection="1" pivotButton="0" quotePrefix="0" xfId="0">
      <protection locked="0" hidden="0"/>
    </xf>
    <xf numFmtId="1" fontId="5" fillId="4" borderId="1221" applyProtection="1" pivotButton="0" quotePrefix="0" xfId="0">
      <protection locked="0" hidden="0"/>
    </xf>
    <xf numFmtId="1" fontId="5" fillId="0" borderId="1331" applyAlignment="1" pivotButton="0" quotePrefix="0" xfId="0">
      <alignment horizontal="left" vertical="center"/>
    </xf>
    <xf numFmtId="1" fontId="5" fillId="4" borderId="428" applyProtection="1" pivotButton="0" quotePrefix="0" xfId="0">
      <protection locked="0" hidden="0"/>
    </xf>
    <xf numFmtId="1" fontId="5" fillId="4" borderId="1130" applyProtection="1" pivotButton="0" quotePrefix="0" xfId="0">
      <protection locked="0" hidden="0"/>
    </xf>
    <xf numFmtId="1" fontId="5" fillId="4" borderId="345" applyProtection="1" pivotButton="0" quotePrefix="0" xfId="0">
      <protection locked="0" hidden="0"/>
    </xf>
    <xf numFmtId="1" fontId="5" fillId="4" borderId="1332" applyProtection="1" pivotButton="0" quotePrefix="0" xfId="0">
      <protection locked="0" hidden="0"/>
    </xf>
    <xf numFmtId="1" fontId="5" fillId="4" borderId="1311" applyProtection="1" pivotButton="0" quotePrefix="0" xfId="0">
      <protection locked="0" hidden="0"/>
    </xf>
    <xf numFmtId="1" fontId="5" fillId="0" borderId="1021" applyAlignment="1" pivotButton="0" quotePrefix="0" xfId="0">
      <alignment horizontal="center" vertical="center"/>
    </xf>
    <xf numFmtId="1" fontId="5" fillId="0" borderId="1018" applyAlignment="1" pivotButton="0" quotePrefix="0" xfId="0">
      <alignment horizontal="right" vertical="center" wrapText="1"/>
    </xf>
    <xf numFmtId="1" fontId="5" fillId="0" borderId="1014" applyAlignment="1" pivotButton="0" quotePrefix="0" xfId="0">
      <alignment horizontal="right" vertical="center" wrapText="1"/>
    </xf>
    <xf numFmtId="1" fontId="5" fillId="0" borderId="1104" applyAlignment="1" pivotButton="0" quotePrefix="0" xfId="0">
      <alignment horizontal="right" vertical="center" wrapText="1"/>
    </xf>
    <xf numFmtId="1" fontId="5" fillId="0" borderId="1019" applyAlignment="1" pivotButton="0" quotePrefix="0" xfId="0">
      <alignment horizontal="right" vertical="center" wrapText="1"/>
    </xf>
    <xf numFmtId="1" fontId="5" fillId="0" borderId="1017" applyAlignment="1" pivotButton="0" quotePrefix="0" xfId="0">
      <alignment horizontal="right" vertical="center" wrapText="1"/>
    </xf>
    <xf numFmtId="1" fontId="5" fillId="0" borderId="1085" applyAlignment="1" pivotButton="0" quotePrefix="0" xfId="0">
      <alignment horizontal="left" vertical="center"/>
    </xf>
    <xf numFmtId="1" fontId="5" fillId="4" borderId="551" applyProtection="1" pivotButton="0" quotePrefix="0" xfId="0">
      <protection locked="0" hidden="0"/>
    </xf>
    <xf numFmtId="1" fontId="5" fillId="4" borderId="941" applyProtection="1" pivotButton="0" quotePrefix="0" xfId="0">
      <protection locked="0" hidden="0"/>
    </xf>
    <xf numFmtId="1" fontId="5" fillId="0" borderId="403" applyAlignment="1" pivotButton="0" quotePrefix="0" xfId="0">
      <alignment horizontal="left" vertical="center"/>
    </xf>
    <xf numFmtId="1" fontId="5" fillId="0" borderId="1021" applyAlignment="1" pivotButton="0" quotePrefix="0" xfId="0">
      <alignment horizontal="left" vertical="center"/>
    </xf>
    <xf numFmtId="1" fontId="5" fillId="4" borderId="231" applyProtection="1" pivotButton="0" quotePrefix="0" xfId="0">
      <protection locked="0" hidden="0"/>
    </xf>
    <xf numFmtId="1" fontId="58" fillId="5" borderId="783" pivotButton="0" quotePrefix="0" xfId="0"/>
    <xf numFmtId="1" fontId="58" fillId="5" borderId="0" applyAlignment="1" pivotButton="0" quotePrefix="0" xfId="0">
      <alignment vertical="center" wrapText="1"/>
    </xf>
    <xf numFmtId="1" fontId="5" fillId="6" borderId="344" pivotButton="0" quotePrefix="0" xfId="0"/>
    <xf numFmtId="1" fontId="5" fillId="6" borderId="1077" pivotButton="0" quotePrefix="0" xfId="0"/>
    <xf numFmtId="1" fontId="5" fillId="6" borderId="326" pivotButton="0" quotePrefix="0" xfId="0"/>
    <xf numFmtId="1" fontId="5" fillId="6" borderId="1100" pivotButton="0" quotePrefix="0" xfId="0"/>
    <xf numFmtId="1" fontId="5" fillId="5" borderId="1081" applyAlignment="1" pivotButton="0" quotePrefix="0" xfId="0">
      <alignment horizontal="left" vertical="center"/>
    </xf>
    <xf numFmtId="1" fontId="5" fillId="5" borderId="546" applyAlignment="1" pivotButton="0" quotePrefix="0" xfId="0">
      <alignment horizontal="left" vertical="center" wrapText="1"/>
    </xf>
    <xf numFmtId="1" fontId="5" fillId="5" borderId="406" applyAlignment="1" pivotButton="0" quotePrefix="0" xfId="0">
      <alignment horizontal="left" vertical="center" wrapText="1"/>
    </xf>
    <xf numFmtId="1" fontId="5" fillId="0" borderId="1074" applyAlignment="1" pivotButton="0" quotePrefix="0" xfId="0">
      <alignment vertical="center" wrapText="1"/>
    </xf>
    <xf numFmtId="1" fontId="5" fillId="6" borderId="1019" pivotButton="0" quotePrefix="0" xfId="0"/>
    <xf numFmtId="1" fontId="5" fillId="5" borderId="788" pivotButton="0" quotePrefix="0" xfId="0"/>
    <xf numFmtId="1" fontId="5" fillId="5" borderId="226" pivotButton="0" quotePrefix="0" xfId="0"/>
    <xf numFmtId="1" fontId="5" fillId="5" borderId="227" pivotButton="0" quotePrefix="0" xfId="0"/>
    <xf numFmtId="1" fontId="5" fillId="5" borderId="1017" pivotButton="0" quotePrefix="0" xfId="0"/>
    <xf numFmtId="1" fontId="14" fillId="5" borderId="0" applyAlignment="1" pivotButton="0" quotePrefix="0" xfId="0">
      <alignment horizontal="left" wrapText="1"/>
    </xf>
    <xf numFmtId="1" fontId="5" fillId="0" borderId="1106" applyAlignment="1" pivotButton="0" quotePrefix="0" xfId="0">
      <alignment horizontal="center" vertical="center" wrapText="1"/>
    </xf>
    <xf numFmtId="1" fontId="16" fillId="5" borderId="0" pivotButton="0" quotePrefix="0" xfId="0"/>
    <xf numFmtId="1" fontId="58" fillId="3" borderId="0" applyAlignment="1" pivotButton="0" quotePrefix="0" xfId="0">
      <alignment horizontal="center"/>
    </xf>
    <xf numFmtId="1" fontId="58" fillId="3" borderId="0" applyAlignment="1" pivotButton="0" quotePrefix="0" xfId="0">
      <alignment horizontal="left"/>
    </xf>
    <xf numFmtId="1" fontId="5" fillId="3" borderId="898" applyAlignment="1" pivotButton="0" quotePrefix="0" xfId="0">
      <alignment horizontal="center" vertical="center" wrapText="1"/>
    </xf>
    <xf numFmtId="1" fontId="5" fillId="0" borderId="898" applyAlignment="1" pivotButton="0" quotePrefix="0" xfId="0">
      <alignment horizontal="center" vertical="center" wrapText="1"/>
    </xf>
    <xf numFmtId="1" fontId="58" fillId="4" borderId="1018" applyProtection="1" pivotButton="0" quotePrefix="0" xfId="0">
      <protection locked="0" hidden="0"/>
    </xf>
    <xf numFmtId="1" fontId="58" fillId="4" borderId="1017" applyProtection="1" pivotButton="0" quotePrefix="0" xfId="0">
      <protection locked="0" hidden="0"/>
    </xf>
    <xf numFmtId="1" fontId="58" fillId="4" borderId="1019" applyProtection="1" pivotButton="0" quotePrefix="0" xfId="0">
      <protection locked="0" hidden="0"/>
    </xf>
    <xf numFmtId="1" fontId="5" fillId="0" borderId="1002" applyAlignment="1" pivotButton="0" quotePrefix="0" xfId="0">
      <alignment vertical="center" wrapText="1"/>
    </xf>
    <xf numFmtId="1" fontId="5" fillId="0" borderId="1003" applyAlignment="1" pivotButton="0" quotePrefix="0" xfId="0">
      <alignment horizontal="right" vertical="center"/>
    </xf>
    <xf numFmtId="1" fontId="5" fillId="0" borderId="550" applyAlignment="1" pivotButton="0" quotePrefix="0" xfId="0">
      <alignment wrapText="1"/>
    </xf>
    <xf numFmtId="1" fontId="5" fillId="0" borderId="401" applyAlignment="1" pivotButton="0" quotePrefix="0" xfId="0">
      <alignment wrapText="1"/>
    </xf>
    <xf numFmtId="1" fontId="5" fillId="0" borderId="1074" applyAlignment="1" pivotButton="0" quotePrefix="0" xfId="0">
      <alignment wrapText="1"/>
    </xf>
    <xf numFmtId="0" fontId="5" fillId="0" borderId="1018" applyAlignment="1" pivotButton="0" quotePrefix="0" xfId="0">
      <alignment horizontal="center" vertical="center"/>
    </xf>
    <xf numFmtId="1" fontId="5" fillId="8" borderId="1018" applyProtection="1" pivotButton="0" quotePrefix="0" xfId="0">
      <protection locked="0" hidden="0"/>
    </xf>
    <xf numFmtId="1" fontId="5" fillId="8" borderId="1015" applyProtection="1" pivotButton="0" quotePrefix="0" xfId="0">
      <protection locked="0" hidden="0"/>
    </xf>
    <xf numFmtId="1" fontId="5" fillId="8" borderId="1075" applyProtection="1" pivotButton="0" quotePrefix="0" xfId="0">
      <protection locked="0" hidden="0"/>
    </xf>
    <xf numFmtId="1" fontId="5" fillId="8" borderId="1017" applyProtection="1" pivotButton="0" quotePrefix="0" xfId="0">
      <protection locked="0" hidden="0"/>
    </xf>
    <xf numFmtId="1" fontId="58" fillId="15" borderId="0" pivotButton="0" quotePrefix="0" xfId="0"/>
    <xf numFmtId="1" fontId="58" fillId="23" borderId="0" pivotButton="0" quotePrefix="0" xfId="0"/>
    <xf numFmtId="1" fontId="5" fillId="8" borderId="553" applyProtection="1" pivotButton="0" quotePrefix="0" xfId="0">
      <protection locked="0" hidden="0"/>
    </xf>
    <xf numFmtId="1" fontId="5" fillId="8" borderId="1069" applyProtection="1" pivotButton="0" quotePrefix="0" xfId="0">
      <protection locked="0" hidden="0"/>
    </xf>
    <xf numFmtId="1" fontId="5" fillId="8" borderId="552" applyProtection="1" pivotButton="0" quotePrefix="0" xfId="0">
      <protection locked="0" hidden="0"/>
    </xf>
    <xf numFmtId="1" fontId="5" fillId="8" borderId="1084" applyProtection="1" pivotButton="0" quotePrefix="0" xfId="0">
      <protection locked="0" hidden="0"/>
    </xf>
    <xf numFmtId="1" fontId="5" fillId="0" borderId="1085" applyAlignment="1" pivotButton="0" quotePrefix="0" xfId="0">
      <alignment vertical="center" wrapText="1"/>
    </xf>
    <xf numFmtId="1" fontId="5" fillId="8" borderId="1095" applyProtection="1" pivotButton="0" quotePrefix="0" xfId="0">
      <protection locked="0" hidden="0"/>
    </xf>
    <xf numFmtId="1" fontId="5" fillId="8" borderId="1111" applyProtection="1" pivotButton="0" quotePrefix="0" xfId="0">
      <protection locked="0" hidden="0"/>
    </xf>
    <xf numFmtId="1" fontId="5" fillId="8" borderId="1099" applyProtection="1" pivotButton="0" quotePrefix="0" xfId="0">
      <protection locked="0" hidden="0"/>
    </xf>
    <xf numFmtId="1" fontId="5" fillId="8" borderId="1081" applyProtection="1" pivotButton="0" quotePrefix="0" xfId="0">
      <protection locked="0" hidden="0"/>
    </xf>
    <xf numFmtId="1" fontId="5" fillId="0" borderId="281" applyAlignment="1" pivotButton="0" quotePrefix="0" xfId="0">
      <alignment vertical="center" wrapText="1"/>
    </xf>
    <xf numFmtId="1" fontId="5" fillId="8" borderId="6" applyProtection="1" pivotButton="0" quotePrefix="0" xfId="0">
      <protection locked="0" hidden="0"/>
    </xf>
    <xf numFmtId="1" fontId="5" fillId="8" borderId="8" applyProtection="1" pivotButton="0" quotePrefix="0" xfId="0">
      <protection locked="0" hidden="0"/>
    </xf>
    <xf numFmtId="1" fontId="5" fillId="8" borderId="546" applyProtection="1" pivotButton="0" quotePrefix="0" xfId="0">
      <protection locked="0" hidden="0"/>
    </xf>
    <xf numFmtId="1" fontId="5" fillId="0" borderId="849" applyAlignment="1" pivotButton="0" quotePrefix="0" xfId="0">
      <alignment vertical="center" wrapText="1"/>
    </xf>
    <xf numFmtId="1" fontId="5" fillId="8" borderId="788" applyProtection="1" pivotButton="0" quotePrefix="0" xfId="0">
      <protection locked="0" hidden="0"/>
    </xf>
    <xf numFmtId="1" fontId="5" fillId="8" borderId="799" applyProtection="1" pivotButton="0" quotePrefix="0" xfId="0">
      <protection locked="0" hidden="0"/>
    </xf>
    <xf numFmtId="1" fontId="5" fillId="8" borderId="228" applyProtection="1" pivotButton="0" quotePrefix="0" xfId="0">
      <protection locked="0" hidden="0"/>
    </xf>
    <xf numFmtId="1" fontId="5" fillId="8" borderId="785" applyProtection="1" pivotButton="0" quotePrefix="0" xfId="0">
      <protection locked="0" hidden="0"/>
    </xf>
    <xf numFmtId="0" fontId="5" fillId="0" borderId="1018" applyAlignment="1" pivotButton="0" quotePrefix="0" xfId="0">
      <alignment horizontal="center" vertical="center" wrapText="1"/>
    </xf>
    <xf numFmtId="1" fontId="5" fillId="5" borderId="1003" applyAlignment="1" pivotButton="0" quotePrefix="0" xfId="0">
      <alignment horizontal="left" wrapText="1"/>
    </xf>
    <xf numFmtId="1" fontId="5" fillId="8" borderId="1035" applyProtection="1" pivotButton="0" quotePrefix="0" xfId="0">
      <protection locked="0" hidden="0"/>
    </xf>
    <xf numFmtId="1" fontId="5" fillId="8" borderId="1022" applyProtection="1" pivotButton="0" quotePrefix="0" xfId="0">
      <protection locked="0" hidden="0"/>
    </xf>
    <xf numFmtId="1" fontId="5" fillId="5" borderId="849" applyAlignment="1" pivotButton="0" quotePrefix="0" xfId="0">
      <alignment horizontal="left" wrapText="1"/>
    </xf>
    <xf numFmtId="1" fontId="5" fillId="5" borderId="1003" pivotButton="0" quotePrefix="0" xfId="0"/>
    <xf numFmtId="1" fontId="5" fillId="5" borderId="1085" pivotButton="0" quotePrefix="0" xfId="0"/>
    <xf numFmtId="1" fontId="5" fillId="5" borderId="849" pivotButton="0" quotePrefix="0" xfId="0"/>
    <xf numFmtId="1" fontId="14" fillId="3" borderId="1014" pivotButton="0" quotePrefix="0" xfId="0"/>
    <xf numFmtId="0" fontId="5" fillId="0" borderId="1019" applyAlignment="1" pivotButton="0" quotePrefix="0" xfId="0">
      <alignment horizontal="center" vertical="center"/>
    </xf>
    <xf numFmtId="0" fontId="5" fillId="0" borderId="1106" applyAlignment="1" pivotButton="0" quotePrefix="0" xfId="0">
      <alignment horizontal="center" vertical="center"/>
    </xf>
    <xf numFmtId="1" fontId="5" fillId="0" borderId="1003" applyAlignment="1" pivotButton="0" quotePrefix="0" xfId="0">
      <alignment vertical="center" wrapText="1"/>
    </xf>
    <xf numFmtId="1" fontId="5" fillId="6" borderId="374" pivotButton="0" quotePrefix="0" xfId="0"/>
    <xf numFmtId="1" fontId="5" fillId="6" borderId="1121" pivotButton="0" quotePrefix="0" xfId="0"/>
    <xf numFmtId="1" fontId="5" fillId="6" borderId="1003" pivotButton="0" quotePrefix="0" xfId="0"/>
    <xf numFmtId="1" fontId="5" fillId="0" borderId="850" pivotButton="0" quotePrefix="0" xfId="0"/>
    <xf numFmtId="1" fontId="5" fillId="4" borderId="783" applyProtection="1" pivotButton="0" quotePrefix="0" xfId="0">
      <protection locked="0" hidden="0"/>
    </xf>
    <xf numFmtId="1" fontId="5" fillId="3" borderId="1021" applyAlignment="1" pivotButton="0" quotePrefix="0" xfId="0">
      <alignment horizontal="center" vertical="center" wrapText="1"/>
    </xf>
    <xf numFmtId="1" fontId="5" fillId="5" borderId="1021" applyAlignment="1" pivotButton="0" quotePrefix="0" xfId="0">
      <alignment vertical="center"/>
    </xf>
    <xf numFmtId="1" fontId="5" fillId="6" borderId="1034" pivotButton="0" quotePrefix="0" xfId="0"/>
    <xf numFmtId="1" fontId="5" fillId="6" borderId="1104" applyProtection="1" pivotButton="0" quotePrefix="0" xfId="0">
      <protection locked="0" hidden="0"/>
    </xf>
    <xf numFmtId="1" fontId="5" fillId="8" borderId="1003" applyProtection="1" pivotButton="0" quotePrefix="0" xfId="0">
      <protection locked="0" hidden="0"/>
    </xf>
    <xf numFmtId="1" fontId="5" fillId="8" borderId="1044" applyProtection="1" pivotButton="0" quotePrefix="0" xfId="0">
      <protection locked="0" hidden="0"/>
    </xf>
    <xf numFmtId="1" fontId="5" fillId="0" borderId="1085" applyAlignment="1" pivotButton="0" quotePrefix="0" xfId="0">
      <alignment horizontal="left" vertical="center" wrapText="1"/>
    </xf>
    <xf numFmtId="1" fontId="5" fillId="0" borderId="1074" applyAlignment="1" pivotButton="0" quotePrefix="0" xfId="0">
      <alignment horizontal="left" vertical="center" wrapText="1"/>
    </xf>
    <xf numFmtId="1" fontId="5" fillId="8" borderId="1074" applyProtection="1" pivotButton="0" quotePrefix="0" xfId="0">
      <protection locked="0" hidden="0"/>
    </xf>
    <xf numFmtId="1" fontId="5" fillId="8" borderId="1101" applyProtection="1" pivotButton="0" quotePrefix="0" xfId="0">
      <protection locked="0" hidden="0"/>
    </xf>
    <xf numFmtId="1" fontId="5" fillId="8" borderId="1112" applyProtection="1" pivotButton="0" quotePrefix="0" xfId="0">
      <protection locked="0" hidden="0"/>
    </xf>
    <xf numFmtId="1" fontId="5" fillId="8" borderId="378" applyProtection="1" pivotButton="0" quotePrefix="0" xfId="0">
      <protection locked="0" hidden="0"/>
    </xf>
    <xf numFmtId="1" fontId="5" fillId="0" borderId="847" applyAlignment="1" pivotButton="0" quotePrefix="0" xfId="0">
      <alignment horizontal="center" vertical="center" wrapText="1"/>
    </xf>
    <xf numFmtId="1" fontId="5" fillId="8" borderId="1122" applyProtection="1" pivotButton="0" quotePrefix="0" xfId="0">
      <protection locked="0" hidden="0"/>
    </xf>
    <xf numFmtId="1" fontId="5" fillId="4" borderId="1123" applyProtection="1" pivotButton="0" quotePrefix="0" xfId="0">
      <protection locked="0" hidden="0"/>
    </xf>
    <xf numFmtId="1" fontId="5" fillId="8" borderId="1124" applyProtection="1" pivotButton="0" quotePrefix="0" xfId="0">
      <protection locked="0" hidden="0"/>
    </xf>
    <xf numFmtId="1" fontId="5" fillId="0" borderId="1002" applyAlignment="1" pivotButton="0" quotePrefix="0" xfId="0">
      <alignment vertical="center"/>
    </xf>
    <xf numFmtId="0" fontId="5" fillId="0" borderId="849" pivotButton="0" quotePrefix="0" xfId="0"/>
    <xf numFmtId="1" fontId="5" fillId="0" borderId="1018" applyAlignment="1" pivotButton="0" quotePrefix="0" xfId="0">
      <alignment horizontal="center" vertical="center"/>
    </xf>
    <xf numFmtId="1" fontId="5" fillId="0" borderId="890" applyAlignment="1" pivotButton="0" quotePrefix="0" xfId="0">
      <alignment horizontal="center" vertical="center"/>
    </xf>
    <xf numFmtId="1" fontId="5" fillId="0" borderId="1035" applyAlignment="1" pivotButton="0" quotePrefix="0" xfId="0">
      <alignment horizontal="right"/>
    </xf>
    <xf numFmtId="1" fontId="5" fillId="0" borderId="554" applyAlignment="1" pivotButton="0" quotePrefix="0" xfId="0">
      <alignment horizontal="left" vertical="center"/>
    </xf>
    <xf numFmtId="1" fontId="5" fillId="0" borderId="405" applyAlignment="1" pivotButton="0" quotePrefix="0" xfId="0">
      <alignment horizontal="right"/>
    </xf>
    <xf numFmtId="1" fontId="5" fillId="0" borderId="409" applyAlignment="1" pivotButton="0" quotePrefix="0" xfId="0">
      <alignment horizontal="right"/>
    </xf>
    <xf numFmtId="1" fontId="5" fillId="0" borderId="1021" applyAlignment="1" pivotButton="0" quotePrefix="0" xfId="0">
      <alignment vertical="center"/>
    </xf>
    <xf numFmtId="1" fontId="5" fillId="0" borderId="1018" applyAlignment="1" pivotButton="0" quotePrefix="0" xfId="0">
      <alignment horizontal="right"/>
    </xf>
    <xf numFmtId="1" fontId="5" fillId="0" borderId="1019" applyAlignment="1" pivotButton="0" quotePrefix="0" xfId="0">
      <alignment horizontal="right"/>
    </xf>
    <xf numFmtId="1" fontId="5" fillId="0" borderId="1104" applyAlignment="1" pivotButton="0" quotePrefix="0" xfId="0">
      <alignment horizontal="right"/>
    </xf>
    <xf numFmtId="1" fontId="5" fillId="0" borderId="1017" applyAlignment="1" pivotButton="0" quotePrefix="0" xfId="0">
      <alignment horizontal="right"/>
    </xf>
    <xf numFmtId="1" fontId="5" fillId="0" borderId="1018" pivotButton="0" quotePrefix="0" xfId="0"/>
    <xf numFmtId="1" fontId="5" fillId="0" borderId="1104" pivotButton="0" quotePrefix="0" xfId="0"/>
    <xf numFmtId="1" fontId="5" fillId="0" borderId="1034" pivotButton="0" quotePrefix="0" xfId="0"/>
    <xf numFmtId="1" fontId="5" fillId="0" borderId="1017" pivotButton="0" quotePrefix="0" xfId="0"/>
    <xf numFmtId="1" fontId="5" fillId="7" borderId="344" pivotButton="0" quotePrefix="0" xfId="0"/>
    <xf numFmtId="1" fontId="5" fillId="7" borderId="737" pivotButton="0" quotePrefix="0" xfId="0"/>
    <xf numFmtId="1" fontId="5" fillId="7" borderId="1045" pivotButton="0" quotePrefix="0" xfId="0"/>
    <xf numFmtId="1" fontId="5" fillId="7" borderId="1036" pivotButton="0" quotePrefix="0" xfId="0"/>
    <xf numFmtId="1" fontId="5" fillId="7" borderId="1022" pivotButton="0" quotePrefix="0" xfId="0"/>
    <xf numFmtId="1" fontId="5" fillId="7" borderId="326" pivotButton="0" quotePrefix="0" xfId="0"/>
    <xf numFmtId="1" fontId="5" fillId="7" borderId="1084" pivotButton="0" quotePrefix="0" xfId="0"/>
    <xf numFmtId="1" fontId="5" fillId="7" borderId="226" pivotButton="0" quotePrefix="0" xfId="0"/>
    <xf numFmtId="1" fontId="5" fillId="7" borderId="227" pivotButton="0" quotePrefix="0" xfId="0"/>
    <xf numFmtId="1" fontId="5" fillId="7" borderId="783" pivotButton="0" quotePrefix="0" xfId="0"/>
    <xf numFmtId="1" fontId="5" fillId="7" borderId="789" pivotButton="0" quotePrefix="0" xfId="0"/>
    <xf numFmtId="1" fontId="5" fillId="0" borderId="550" applyAlignment="1" pivotButton="0" quotePrefix="0" xfId="0">
      <alignment horizontal="left" wrapText="1"/>
    </xf>
    <xf numFmtId="1" fontId="5" fillId="0" borderId="1022" applyAlignment="1" pivotButton="0" quotePrefix="0" xfId="0">
      <alignment horizontal="right"/>
    </xf>
    <xf numFmtId="1" fontId="5" fillId="0" borderId="1107" applyAlignment="1" pivotButton="0" quotePrefix="0" xfId="0">
      <alignment horizontal="left" wrapText="1"/>
    </xf>
    <xf numFmtId="1" fontId="5" fillId="0" borderId="1101" applyAlignment="1" pivotButton="0" quotePrefix="0" xfId="0">
      <alignment horizontal="right" wrapText="1"/>
    </xf>
    <xf numFmtId="1" fontId="5" fillId="0" borderId="1077" applyAlignment="1" pivotButton="0" quotePrefix="0" xfId="0">
      <alignment horizontal="right" wrapText="1"/>
    </xf>
    <xf numFmtId="1" fontId="5" fillId="4" borderId="850" applyProtection="1" pivotButton="0" quotePrefix="0" xfId="0">
      <protection locked="0" hidden="0"/>
    </xf>
    <xf numFmtId="1" fontId="5" fillId="0" borderId="1095" applyAlignment="1" pivotButton="0" quotePrefix="0" xfId="0">
      <alignment horizontal="right" wrapText="1"/>
    </xf>
    <xf numFmtId="1" fontId="5" fillId="4" borderId="908" applyProtection="1" pivotButton="0" quotePrefix="0" xfId="0">
      <protection locked="0" hidden="0"/>
    </xf>
    <xf numFmtId="1" fontId="5" fillId="0" borderId="1107" applyAlignment="1" pivotButton="0" quotePrefix="0" xfId="0">
      <alignment wrapText="1"/>
    </xf>
    <xf numFmtId="1" fontId="5" fillId="0" borderId="783" applyAlignment="1" pivotButton="0" quotePrefix="0" xfId="0">
      <alignment horizontal="right"/>
    </xf>
    <xf numFmtId="1" fontId="5" fillId="0" borderId="227" pivotButton="0" quotePrefix="0" xfId="0"/>
    <xf numFmtId="1" fontId="5" fillId="0" borderId="788" pivotButton="0" quotePrefix="0" xfId="0"/>
    <xf numFmtId="1" fontId="5" fillId="5" borderId="1021" applyAlignment="1" pivotButton="0" quotePrefix="0" xfId="14">
      <alignment horizontal="center" wrapText="1"/>
    </xf>
    <xf numFmtId="1" fontId="5" fillId="5" borderId="1021" applyAlignment="1" pivotButton="0" quotePrefix="0" xfId="17">
      <alignment horizontal="center" vertical="center" wrapText="1"/>
    </xf>
    <xf numFmtId="1" fontId="5" fillId="5" borderId="1018" applyAlignment="1" pivotButton="0" quotePrefix="0" xfId="14">
      <alignment horizontal="center" vertical="center" wrapText="1"/>
    </xf>
    <xf numFmtId="1" fontId="5" fillId="5" borderId="1017" applyAlignment="1" pivotButton="0" quotePrefix="0" xfId="14">
      <alignment horizontal="center" vertical="center" wrapText="1"/>
    </xf>
    <xf numFmtId="1" fontId="5" fillId="5" borderId="1021" applyAlignment="1" pivotButton="0" quotePrefix="0" xfId="0">
      <alignment horizontal="left" vertical="center" wrapText="1"/>
    </xf>
    <xf numFmtId="1" fontId="5" fillId="5" borderId="1003" applyAlignment="1" pivotButton="0" quotePrefix="0" xfId="0">
      <alignment horizontal="right"/>
    </xf>
    <xf numFmtId="1" fontId="5" fillId="4" borderId="1022" applyAlignment="1" applyProtection="1" pivotButton="0" quotePrefix="0" xfId="0">
      <alignment horizontal="right"/>
      <protection locked="0" hidden="0"/>
    </xf>
    <xf numFmtId="1" fontId="5" fillId="5" borderId="1085" applyAlignment="1" pivotButton="0" quotePrefix="0" xfId="0">
      <alignment horizontal="right"/>
    </xf>
    <xf numFmtId="1" fontId="5" fillId="4" borderId="1095" applyAlignment="1" applyProtection="1" pivotButton="0" quotePrefix="0" xfId="0">
      <alignment horizontal="right"/>
      <protection locked="0" hidden="0"/>
    </xf>
    <xf numFmtId="1" fontId="5" fillId="4" borderId="1081" applyAlignment="1" applyProtection="1" pivotButton="0" quotePrefix="0" xfId="0">
      <alignment horizontal="right"/>
      <protection locked="0" hidden="0"/>
    </xf>
    <xf numFmtId="1" fontId="5" fillId="5" borderId="1074" applyAlignment="1" pivotButton="0" quotePrefix="0" xfId="0">
      <alignment horizontal="right"/>
    </xf>
    <xf numFmtId="1" fontId="5" fillId="4" borderId="1101" applyAlignment="1" applyProtection="1" pivotButton="0" quotePrefix="0" xfId="0">
      <alignment horizontal="right"/>
      <protection locked="0" hidden="0"/>
    </xf>
    <xf numFmtId="1" fontId="5" fillId="5" borderId="554" applyAlignment="1" pivotButton="0" quotePrefix="0" xfId="0">
      <alignment horizontal="right"/>
    </xf>
    <xf numFmtId="1" fontId="5" fillId="5" borderId="1021" applyAlignment="1" pivotButton="0" quotePrefix="0" xfId="0">
      <alignment horizontal="right"/>
    </xf>
    <xf numFmtId="1" fontId="5" fillId="4" borderId="1018" applyAlignment="1" applyProtection="1" pivotButton="0" quotePrefix="0" xfId="0">
      <alignment horizontal="right"/>
      <protection locked="0" hidden="0"/>
    </xf>
    <xf numFmtId="1" fontId="5" fillId="4" borderId="1017" applyAlignment="1" applyProtection="1" pivotButton="0" quotePrefix="0" xfId="0">
      <alignment horizontal="right"/>
      <protection locked="0" hidden="0"/>
    </xf>
    <xf numFmtId="1" fontId="5" fillId="5" borderId="1021" applyAlignment="1" pivotButton="0" quotePrefix="0" xfId="14">
      <alignment horizontal="left" vertical="center" wrapText="1"/>
    </xf>
    <xf numFmtId="1" fontId="5" fillId="5" borderId="849" applyAlignment="1" pivotButton="0" quotePrefix="0" xfId="0">
      <alignment horizontal="right"/>
    </xf>
    <xf numFmtId="1" fontId="5" fillId="5" borderId="849" applyAlignment="1" pivotButton="0" quotePrefix="0" xfId="14">
      <alignment horizontal="left" vertical="center" wrapText="1"/>
    </xf>
    <xf numFmtId="1" fontId="14" fillId="3" borderId="0" applyAlignment="1" pivotButton="0" quotePrefix="0" xfId="14">
      <alignment wrapText="1"/>
    </xf>
    <xf numFmtId="1" fontId="5" fillId="3" borderId="898" applyAlignment="1" pivotButton="0" quotePrefix="0" xfId="17">
      <alignment horizontal="center" vertical="center" wrapText="1"/>
    </xf>
    <xf numFmtId="1" fontId="5" fillId="0" borderId="849" applyAlignment="1" pivotButton="0" quotePrefix="0" xfId="0">
      <alignment horizontal="right" vertical="center"/>
    </xf>
    <xf numFmtId="1" fontId="5" fillId="0" borderId="1022" applyAlignment="1" pivotButton="0" quotePrefix="0" xfId="0">
      <alignment vertical="center" wrapText="1"/>
    </xf>
    <xf numFmtId="1" fontId="5" fillId="3" borderId="1017" applyAlignment="1" pivotButton="0" quotePrefix="0" xfId="14">
      <alignment horizontal="center" vertical="center" wrapText="1"/>
    </xf>
    <xf numFmtId="1" fontId="5" fillId="3" borderId="1018" applyAlignment="1" pivotButton="0" quotePrefix="0" xfId="14">
      <alignment horizontal="center" vertical="center" wrapText="1"/>
    </xf>
    <xf numFmtId="1" fontId="5" fillId="3" borderId="1019" applyAlignment="1" pivotButton="0" quotePrefix="0" xfId="14">
      <alignment horizontal="center" vertical="center" wrapText="1"/>
    </xf>
    <xf numFmtId="1" fontId="5" fillId="4" borderId="1035" applyAlignment="1" applyProtection="1" pivotButton="0" quotePrefix="0" xfId="0">
      <alignment horizontal="right" vertical="center" wrapText="1"/>
      <protection locked="0" hidden="0"/>
    </xf>
    <xf numFmtId="1" fontId="5" fillId="4" borderId="1022" applyAlignment="1" applyProtection="1" pivotButton="0" quotePrefix="0" xfId="0">
      <alignment horizontal="right" vertical="center" wrapText="1"/>
      <protection locked="0" hidden="0"/>
    </xf>
    <xf numFmtId="1" fontId="5" fillId="4" borderId="344" applyAlignment="1" applyProtection="1" pivotButton="0" quotePrefix="0" xfId="0">
      <alignment horizontal="right" vertical="center" wrapText="1"/>
      <protection locked="0" hidden="0"/>
    </xf>
    <xf numFmtId="1" fontId="5" fillId="4" borderId="1095" applyAlignment="1" applyProtection="1" pivotButton="0" quotePrefix="0" xfId="0">
      <alignment horizontal="right" vertical="center" wrapText="1"/>
      <protection locked="0" hidden="0"/>
    </xf>
    <xf numFmtId="1" fontId="5" fillId="4" borderId="1081" applyAlignment="1" applyProtection="1" pivotButton="0" quotePrefix="0" xfId="0">
      <alignment horizontal="right" vertical="center" wrapText="1"/>
      <protection locked="0" hidden="0"/>
    </xf>
    <xf numFmtId="1" fontId="5" fillId="4" borderId="1100" applyAlignment="1" applyProtection="1" pivotButton="0" quotePrefix="0" xfId="0">
      <alignment horizontal="right" vertical="center" wrapText="1"/>
      <protection locked="0" hidden="0"/>
    </xf>
    <xf numFmtId="1" fontId="5" fillId="4" borderId="408" applyAlignment="1" applyProtection="1" pivotButton="0" quotePrefix="0" xfId="0">
      <alignment horizontal="right" vertical="center" wrapText="1"/>
      <protection locked="0" hidden="0"/>
    </xf>
    <xf numFmtId="1" fontId="5" fillId="4" borderId="406" applyAlignment="1" applyProtection="1" pivotButton="0" quotePrefix="0" xfId="0">
      <alignment horizontal="right" vertical="center" wrapText="1"/>
      <protection locked="0" hidden="0"/>
    </xf>
    <xf numFmtId="1" fontId="5" fillId="4" borderId="405" applyAlignment="1" applyProtection="1" pivotButton="0" quotePrefix="0" xfId="0">
      <alignment horizontal="right" vertical="center" wrapText="1"/>
      <protection locked="0" hidden="0"/>
    </xf>
    <xf numFmtId="1" fontId="5" fillId="0" borderId="1014" pivotButton="0" quotePrefix="0" xfId="0"/>
    <xf numFmtId="1" fontId="5" fillId="0" borderId="1019" pivotButton="0" quotePrefix="0" xfId="0"/>
    <xf numFmtId="1" fontId="5" fillId="4" borderId="1036" applyAlignment="1" applyProtection="1" pivotButton="0" quotePrefix="0" xfId="0">
      <alignment horizontal="right" vertical="center" wrapText="1"/>
      <protection locked="0" hidden="0"/>
    </xf>
    <xf numFmtId="1" fontId="5" fillId="4" borderId="737" applyAlignment="1" applyProtection="1" pivotButton="0" quotePrefix="0" xfId="0">
      <alignment horizontal="right" vertical="center" wrapText="1"/>
      <protection locked="0" hidden="0"/>
    </xf>
    <xf numFmtId="1" fontId="5" fillId="3" borderId="898" applyAlignment="1" pivotButton="0" quotePrefix="0" xfId="14">
      <alignment horizontal="center" vertical="center" wrapText="1"/>
    </xf>
    <xf numFmtId="1" fontId="5" fillId="3" borderId="886" applyAlignment="1" pivotButton="0" quotePrefix="0" xfId="14">
      <alignment horizontal="center" vertical="center" wrapText="1"/>
    </xf>
    <xf numFmtId="1" fontId="5" fillId="0" borderId="1021" applyAlignment="1" pivotButton="0" quotePrefix="0" xfId="0">
      <alignment horizontal="right" vertical="center" wrapText="1"/>
    </xf>
    <xf numFmtId="1" fontId="5" fillId="4" borderId="1018" applyAlignment="1" applyProtection="1" pivotButton="0" quotePrefix="0" xfId="0">
      <alignment horizontal="right" vertical="center" wrapText="1"/>
      <protection locked="0" hidden="0"/>
    </xf>
    <xf numFmtId="1" fontId="5" fillId="4" borderId="1019" applyAlignment="1" applyProtection="1" pivotButton="0" quotePrefix="0" xfId="0">
      <alignment horizontal="right" vertical="center" wrapText="1"/>
      <protection locked="0" hidden="0"/>
    </xf>
    <xf numFmtId="1" fontId="5" fillId="4" borderId="785" applyAlignment="1" applyProtection="1" pivotButton="0" quotePrefix="0" xfId="0">
      <alignment horizontal="right" vertical="center" wrapText="1"/>
      <protection locked="0" hidden="0"/>
    </xf>
    <xf numFmtId="1" fontId="5" fillId="3" borderId="1003" applyAlignment="1" pivotButton="0" quotePrefix="0" xfId="0">
      <alignment horizontal="left" vertical="center" wrapText="1"/>
    </xf>
    <xf numFmtId="1" fontId="5" fillId="0" borderId="1003" applyAlignment="1" pivotButton="0" quotePrefix="0" xfId="0">
      <alignment horizontal="right" vertical="center" wrapText="1"/>
    </xf>
    <xf numFmtId="1" fontId="5" fillId="4" borderId="553" applyAlignment="1" applyProtection="1" pivotButton="0" quotePrefix="0" xfId="0">
      <alignment horizontal="right" vertical="center" wrapText="1"/>
      <protection locked="0" hidden="0"/>
    </xf>
    <xf numFmtId="1" fontId="5" fillId="4" borderId="326" applyAlignment="1" applyProtection="1" pivotButton="0" quotePrefix="0" xfId="0">
      <alignment horizontal="right" vertical="center" wrapText="1"/>
      <protection locked="0" hidden="0"/>
    </xf>
    <xf numFmtId="1" fontId="5" fillId="4" borderId="1084" applyAlignment="1" applyProtection="1" pivotButton="0" quotePrefix="0" xfId="0">
      <alignment horizontal="right" vertical="center" wrapText="1"/>
      <protection locked="0" hidden="0"/>
    </xf>
    <xf numFmtId="1" fontId="5" fillId="3" borderId="1085" applyAlignment="1" pivotButton="0" quotePrefix="0" xfId="0">
      <alignment horizontal="left" vertical="center" wrapText="1"/>
    </xf>
    <xf numFmtId="1" fontId="5" fillId="0" borderId="1085" applyAlignment="1" pivotButton="0" quotePrefix="0" xfId="0">
      <alignment horizontal="right" vertical="center" wrapText="1"/>
    </xf>
    <xf numFmtId="1" fontId="5" fillId="3" borderId="1074" applyAlignment="1" pivotButton="0" quotePrefix="0" xfId="0">
      <alignment horizontal="left" vertical="center" wrapText="1"/>
    </xf>
    <xf numFmtId="1" fontId="5" fillId="0" borderId="1074" applyAlignment="1" pivotButton="0" quotePrefix="0" xfId="0">
      <alignment horizontal="right" vertical="center" wrapText="1"/>
    </xf>
    <xf numFmtId="1" fontId="5" fillId="4" borderId="1101" applyAlignment="1" applyProtection="1" pivotButton="0" quotePrefix="0" xfId="0">
      <alignment horizontal="right" vertical="center" wrapText="1"/>
      <protection locked="0" hidden="0"/>
    </xf>
    <xf numFmtId="1" fontId="5" fillId="4" borderId="1077" applyAlignment="1" applyProtection="1" pivotButton="0" quotePrefix="0" xfId="0">
      <alignment horizontal="right" vertical="center" wrapText="1"/>
      <protection locked="0" hidden="0"/>
    </xf>
    <xf numFmtId="1" fontId="5" fillId="4" borderId="378" applyAlignment="1" applyProtection="1" pivotButton="0" quotePrefix="0" xfId="0">
      <alignment horizontal="right" vertical="center" wrapText="1"/>
      <protection locked="0" hidden="0"/>
    </xf>
    <xf numFmtId="1" fontId="5" fillId="6" borderId="1084" applyAlignment="1" pivotButton="0" quotePrefix="0" xfId="0">
      <alignment horizontal="left" vertical="center" wrapText="1"/>
    </xf>
    <xf numFmtId="1" fontId="5" fillId="0" borderId="849" applyAlignment="1" pivotButton="0" quotePrefix="0" xfId="0">
      <alignment horizontal="right" vertical="center" wrapText="1"/>
    </xf>
    <xf numFmtId="1" fontId="5" fillId="6" borderId="378" applyAlignment="1" pivotButton="0" quotePrefix="0" xfId="0">
      <alignment horizontal="left"/>
    </xf>
    <xf numFmtId="1" fontId="5" fillId="4" borderId="1017" applyAlignment="1" applyProtection="1" pivotButton="0" quotePrefix="0" xfId="0">
      <alignment horizontal="right" vertical="center" wrapText="1"/>
      <protection locked="0" hidden="0"/>
    </xf>
    <xf numFmtId="1" fontId="14" fillId="5" borderId="0" pivotButton="0" quotePrefix="0" xfId="14"/>
    <xf numFmtId="1" fontId="14" fillId="5" borderId="0" applyAlignment="1" pivotButton="0" quotePrefix="0" xfId="14">
      <alignment wrapText="1"/>
    </xf>
    <xf numFmtId="1" fontId="5" fillId="4" borderId="1003" applyAlignment="1" applyProtection="1" pivotButton="0" quotePrefix="0" xfId="0">
      <alignment vertical="center" wrapText="1"/>
      <protection locked="0" hidden="0"/>
    </xf>
    <xf numFmtId="1" fontId="5" fillId="4" borderId="1085" applyAlignment="1" applyProtection="1" pivotButton="0" quotePrefix="0" xfId="0">
      <alignment vertical="center" wrapText="1"/>
      <protection locked="0" hidden="0"/>
    </xf>
    <xf numFmtId="1" fontId="5" fillId="4" borderId="1074" applyAlignment="1" applyProtection="1" pivotButton="0" quotePrefix="0" xfId="0">
      <alignment vertical="center" wrapText="1"/>
      <protection locked="0" hidden="0"/>
    </xf>
    <xf numFmtId="1" fontId="58" fillId="5" borderId="0" applyAlignment="1" pivotButton="0" quotePrefix="0" xfId="0">
      <alignment wrapText="1"/>
    </xf>
    <xf numFmtId="1" fontId="14" fillId="3" borderId="783" pivotButton="0" quotePrefix="0" xfId="14"/>
    <xf numFmtId="1" fontId="5" fillId="3" borderId="898" applyAlignment="1" pivotButton="0" quotePrefix="0" xfId="0">
      <alignment horizontal="right" vertical="center" wrapText="1"/>
    </xf>
    <xf numFmtId="1" fontId="5" fillId="4" borderId="890" applyAlignment="1" applyProtection="1" pivotButton="0" quotePrefix="0" xfId="0">
      <alignment horizontal="right" vertical="center" wrapText="1"/>
      <protection locked="0" hidden="0"/>
    </xf>
    <xf numFmtId="1" fontId="5" fillId="4" borderId="886" applyAlignment="1" applyProtection="1" pivotButton="0" quotePrefix="0" xfId="0">
      <alignment horizontal="right" vertical="center" wrapText="1"/>
      <protection locked="0" hidden="0"/>
    </xf>
    <xf numFmtId="1" fontId="5" fillId="4" borderId="929" applyAlignment="1" applyProtection="1" pivotButton="0" quotePrefix="0" xfId="0">
      <alignment horizontal="right" vertical="center" wrapText="1"/>
      <protection locked="0" hidden="0"/>
    </xf>
    <xf numFmtId="1" fontId="5" fillId="3" borderId="1003" applyAlignment="1" pivotButton="0" quotePrefix="0" xfId="0">
      <alignment horizontal="right" vertical="center" wrapText="1"/>
    </xf>
    <xf numFmtId="1" fontId="5" fillId="3" borderId="1085" pivotButton="0" quotePrefix="0" xfId="0"/>
    <xf numFmtId="1" fontId="5" fillId="3" borderId="1074" pivotButton="0" quotePrefix="0" xfId="0"/>
    <xf numFmtId="1" fontId="5" fillId="3" borderId="554" pivotButton="0" quotePrefix="0" xfId="0"/>
    <xf numFmtId="1" fontId="58" fillId="3" borderId="0" applyProtection="1" pivotButton="0" quotePrefix="0" xfId="0">
      <protection locked="0" hidden="0"/>
    </xf>
    <xf numFmtId="1" fontId="5" fillId="4" borderId="1035" applyAlignment="1" applyProtection="1" pivotButton="0" quotePrefix="0" xfId="0">
      <alignment wrapText="1"/>
      <protection locked="0" hidden="0"/>
    </xf>
    <xf numFmtId="1" fontId="5" fillId="4" borderId="344" applyAlignment="1" applyProtection="1" pivotButton="0" quotePrefix="0" xfId="0">
      <alignment wrapText="1"/>
      <protection locked="0" hidden="0"/>
    </xf>
    <xf numFmtId="1" fontId="5" fillId="4" borderId="1022" applyAlignment="1" applyProtection="1" pivotButton="0" quotePrefix="0" xfId="0">
      <alignment wrapText="1"/>
      <protection locked="0" hidden="0"/>
    </xf>
    <xf numFmtId="1" fontId="5" fillId="4" borderId="1095" applyAlignment="1" applyProtection="1" pivotButton="0" quotePrefix="0" xfId="0">
      <alignment wrapText="1"/>
      <protection locked="0" hidden="0"/>
    </xf>
    <xf numFmtId="1" fontId="5" fillId="4" borderId="1100" applyAlignment="1" applyProtection="1" pivotButton="0" quotePrefix="0" xfId="0">
      <alignment wrapText="1"/>
      <protection locked="0" hidden="0"/>
    </xf>
    <xf numFmtId="1" fontId="5" fillId="4" borderId="1081" applyAlignment="1" applyProtection="1" pivotButton="0" quotePrefix="0" xfId="0">
      <alignment wrapText="1"/>
      <protection locked="0" hidden="0"/>
    </xf>
    <xf numFmtId="1" fontId="5" fillId="4" borderId="1101" applyAlignment="1" applyProtection="1" pivotButton="0" quotePrefix="0" xfId="0">
      <alignment wrapText="1"/>
      <protection locked="0" hidden="0"/>
    </xf>
    <xf numFmtId="1" fontId="5" fillId="4" borderId="1077" applyAlignment="1" applyProtection="1" pivotButton="0" quotePrefix="0" xfId="0">
      <alignment wrapText="1"/>
      <protection locked="0" hidden="0"/>
    </xf>
    <xf numFmtId="1" fontId="5" fillId="6" borderId="1022" pivotButton="0" quotePrefix="0" xfId="0"/>
    <xf numFmtId="1" fontId="5" fillId="6" borderId="226" pivotButton="0" quotePrefix="0" xfId="0"/>
    <xf numFmtId="1" fontId="5" fillId="0" borderId="1045" pivotButton="0" quotePrefix="0" xfId="0"/>
    <xf numFmtId="1" fontId="58" fillId="4" borderId="1003" applyAlignment="1" applyProtection="1" pivotButton="0" quotePrefix="0" xfId="0">
      <alignment wrapText="1"/>
      <protection locked="0" hidden="0"/>
    </xf>
    <xf numFmtId="1" fontId="5" fillId="0" borderId="401" applyAlignment="1" pivotButton="0" quotePrefix="0" xfId="0">
      <alignment vertical="center" wrapText="1"/>
    </xf>
    <xf numFmtId="1" fontId="58" fillId="4" borderId="1074" applyAlignment="1" applyProtection="1" pivotButton="0" quotePrefix="0" xfId="0">
      <alignment wrapText="1"/>
      <protection locked="0" hidden="0"/>
    </xf>
    <xf numFmtId="1" fontId="5" fillId="3" borderId="898" applyAlignment="1" pivotButton="0" quotePrefix="0" xfId="0">
      <alignment horizontal="center" vertical="center"/>
    </xf>
    <xf numFmtId="0" fontId="5" fillId="0" borderId="1034" applyAlignment="1" pivotButton="0" quotePrefix="0" xfId="0">
      <alignment horizontal="center" vertical="center" wrapText="1"/>
    </xf>
    <xf numFmtId="0" fontId="5" fillId="0" borderId="1017" applyAlignment="1" pivotButton="0" quotePrefix="0" xfId="0">
      <alignment horizontal="center" vertical="center" wrapText="1"/>
    </xf>
    <xf numFmtId="1" fontId="5" fillId="4" borderId="553" applyAlignment="1" applyProtection="1" pivotButton="0" quotePrefix="0" xfId="0">
      <alignment wrapText="1"/>
      <protection locked="0" hidden="0"/>
    </xf>
    <xf numFmtId="1" fontId="5" fillId="4" borderId="326" applyAlignment="1" applyProtection="1" pivotButton="0" quotePrefix="0" xfId="0">
      <alignment wrapText="1"/>
      <protection locked="0" hidden="0"/>
    </xf>
    <xf numFmtId="1" fontId="5" fillId="4" borderId="1084" applyAlignment="1" applyProtection="1" pivotButton="0" quotePrefix="0" xfId="0">
      <alignment wrapText="1"/>
      <protection locked="0" hidden="0"/>
    </xf>
    <xf numFmtId="1" fontId="5" fillId="0" borderId="1085" applyAlignment="1" pivotButton="0" quotePrefix="0" xfId="0">
      <alignment wrapText="1"/>
    </xf>
    <xf numFmtId="1" fontId="5" fillId="3" borderId="850" pivotButton="0" quotePrefix="0" xfId="0"/>
    <xf numFmtId="1" fontId="5" fillId="3" borderId="783" pivotButton="0" quotePrefix="0" xfId="0"/>
    <xf numFmtId="1" fontId="5" fillId="3" borderId="785" pivotButton="0" quotePrefix="0" xfId="0"/>
    <xf numFmtId="1" fontId="5" fillId="0" borderId="281" applyAlignment="1" pivotButton="0" quotePrefix="0" xfId="0">
      <alignment wrapText="1"/>
    </xf>
    <xf numFmtId="1" fontId="5" fillId="0" borderId="1003" applyAlignment="1" pivotButton="0" quotePrefix="0" xfId="0">
      <alignment wrapText="1"/>
    </xf>
    <xf numFmtId="1" fontId="5" fillId="0" borderId="849" applyAlignment="1" pivotButton="0" quotePrefix="0" xfId="0">
      <alignment wrapText="1"/>
    </xf>
    <xf numFmtId="1" fontId="16" fillId="3" borderId="1014" pivotButton="0" quotePrefix="0" xfId="0"/>
    <xf numFmtId="1" fontId="16" fillId="3" borderId="1017" pivotButton="0" quotePrefix="0" xfId="0"/>
    <xf numFmtId="1" fontId="5" fillId="3" borderId="1021" pivotButton="0" quotePrefix="0" xfId="0"/>
    <xf numFmtId="1" fontId="5" fillId="3" borderId="1018" pivotButton="0" quotePrefix="0" xfId="0"/>
    <xf numFmtId="1" fontId="5" fillId="3" borderId="1019" pivotButton="0" quotePrefix="0" xfId="0"/>
    <xf numFmtId="1" fontId="5" fillId="3" borderId="1017" pivotButton="0" quotePrefix="0" xfId="0"/>
    <xf numFmtId="0" fontId="5" fillId="0" borderId="1021" applyAlignment="1" pivotButton="0" quotePrefix="0" xfId="0">
      <alignment horizontal="center"/>
    </xf>
    <xf numFmtId="0" fontId="5" fillId="0" borderId="1013" applyAlignment="1" pivotButton="0" quotePrefix="0" xfId="0">
      <alignment horizontal="center"/>
    </xf>
    <xf numFmtId="0" fontId="5" fillId="0" borderId="1003" applyAlignment="1" pivotButton="0" quotePrefix="0" xfId="0">
      <alignment vertical="center"/>
    </xf>
    <xf numFmtId="0" fontId="5" fillId="0" borderId="1085" applyAlignment="1" pivotButton="0" quotePrefix="0" xfId="0">
      <alignment vertical="center"/>
    </xf>
    <xf numFmtId="0" fontId="5" fillId="0" borderId="849" applyAlignment="1" pivotButton="0" quotePrefix="0" xfId="0">
      <alignment vertical="center"/>
    </xf>
    <xf numFmtId="0" fontId="5" fillId="0" borderId="1021" applyAlignment="1" pivotButton="0" quotePrefix="0" xfId="0">
      <alignment horizontal="center" vertical="center"/>
    </xf>
    <xf numFmtId="0" fontId="5" fillId="0" borderId="1003" pivotButton="0" quotePrefix="0" xfId="0"/>
    <xf numFmtId="0" fontId="5" fillId="0" borderId="1085" pivotButton="0" quotePrefix="0" xfId="0"/>
    <xf numFmtId="0" fontId="5" fillId="0" borderId="1003" applyAlignment="1" pivotButton="0" quotePrefix="0" xfId="0">
      <alignment horizontal="left" vertical="center"/>
    </xf>
    <xf numFmtId="0" fontId="5" fillId="0" borderId="1085" applyAlignment="1" pivotButton="0" quotePrefix="0" xfId="0">
      <alignment horizontal="left" vertical="center"/>
    </xf>
    <xf numFmtId="0" fontId="5" fillId="0" borderId="554" applyAlignment="1" pivotButton="0" quotePrefix="0" xfId="0">
      <alignment horizontal="left" vertical="center"/>
    </xf>
    <xf numFmtId="0" fontId="5" fillId="0" borderId="849" applyAlignment="1" pivotButton="0" quotePrefix="0" xfId="0">
      <alignment horizontal="left" vertical="center"/>
    </xf>
    <xf numFmtId="0" fontId="5" fillId="0" borderId="1021" applyAlignment="1" pivotButton="0" quotePrefix="0" xfId="0">
      <alignment horizontal="left" vertical="center"/>
    </xf>
    <xf numFmtId="1" fontId="5" fillId="4" borderId="1018" applyAlignment="1" applyProtection="1" pivotButton="0" quotePrefix="0" xfId="0">
      <alignment wrapText="1"/>
      <protection locked="0" hidden="0"/>
    </xf>
    <xf numFmtId="1" fontId="5" fillId="4" borderId="1019" applyAlignment="1" applyProtection="1" pivotButton="0" quotePrefix="0" xfId="0">
      <alignment wrapText="1"/>
      <protection locked="0" hidden="0"/>
    </xf>
    <xf numFmtId="1" fontId="5" fillId="4" borderId="785" applyAlignment="1" applyProtection="1" pivotButton="0" quotePrefix="0" xfId="0">
      <alignment wrapText="1"/>
      <protection locked="0" hidden="0"/>
    </xf>
    <xf numFmtId="1" fontId="5" fillId="4" borderId="788" applyAlignment="1" applyProtection="1" pivotButton="0" quotePrefix="0" xfId="0">
      <alignment wrapText="1"/>
      <protection locked="0" hidden="0"/>
    </xf>
    <xf numFmtId="1" fontId="5" fillId="4" borderId="226" applyAlignment="1" applyProtection="1" pivotButton="0" quotePrefix="0" xfId="0">
      <alignment wrapText="1"/>
      <protection locked="0" hidden="0"/>
    </xf>
    <xf numFmtId="0" fontId="5" fillId="0" borderId="1074" applyAlignment="1" pivotButton="0" quotePrefix="0" xfId="0">
      <alignment horizontal="left" vertical="center"/>
    </xf>
    <xf numFmtId="1" fontId="5" fillId="0" borderId="1095" applyAlignment="1" pivotButton="0" quotePrefix="0" xfId="0">
      <alignment wrapText="1"/>
    </xf>
    <xf numFmtId="1" fontId="5" fillId="4" borderId="1096" applyAlignment="1" applyProtection="1" pivotButton="0" quotePrefix="0" xfId="0">
      <alignment wrapText="1"/>
      <protection locked="0" hidden="0"/>
    </xf>
    <xf numFmtId="1" fontId="5" fillId="5" borderId="788" applyAlignment="1" pivotButton="0" quotePrefix="0" xfId="0">
      <alignment wrapText="1"/>
    </xf>
    <xf numFmtId="1" fontId="5" fillId="5" borderId="785" applyAlignment="1" pivotButton="0" quotePrefix="0" xfId="0">
      <alignment wrapText="1"/>
    </xf>
    <xf numFmtId="1" fontId="5" fillId="5" borderId="553" applyAlignment="1" pivotButton="0" quotePrefix="0" xfId="0">
      <alignment wrapText="1"/>
    </xf>
    <xf numFmtId="0" fontId="5" fillId="0" borderId="1019" applyAlignment="1" pivotButton="0" quotePrefix="0" xfId="0">
      <alignment horizontal="center" vertical="center" wrapText="1"/>
    </xf>
    <xf numFmtId="0" fontId="5" fillId="0" borderId="554" pivotButton="0" quotePrefix="0" xfId="0"/>
    <xf numFmtId="1" fontId="56" fillId="33" borderId="0" pivotButton="0" quotePrefix="0" xfId="0"/>
    <xf numFmtId="1" fontId="5" fillId="4" borderId="1391" applyProtection="1" pivotButton="0" quotePrefix="0" xfId="0">
      <protection locked="0" hidden="0"/>
    </xf>
    <xf numFmtId="1" fontId="5" fillId="0" borderId="1390" applyAlignment="1" pivotButton="0" quotePrefix="0" xfId="0">
      <alignment horizontal="center" vertical="center" wrapText="1"/>
    </xf>
    <xf numFmtId="1" fontId="5" fillId="4" borderId="1122" applyProtection="1" pivotButton="0" quotePrefix="0" xfId="0">
      <protection locked="0" hidden="0"/>
    </xf>
    <xf numFmtId="1" fontId="5" fillId="4" borderId="1405" applyProtection="1" pivotButton="0" quotePrefix="0" xfId="0">
      <protection locked="0" hidden="0"/>
    </xf>
    <xf numFmtId="1" fontId="5" fillId="0" borderId="1442" applyAlignment="1" pivotButton="0" quotePrefix="0" xfId="0">
      <alignment horizontal="center" vertical="center" wrapText="1"/>
    </xf>
    <xf numFmtId="1" fontId="5" fillId="4" borderId="1442" applyProtection="1" pivotButton="0" quotePrefix="0" xfId="0">
      <protection locked="0" hidden="0"/>
    </xf>
    <xf numFmtId="1" fontId="5" fillId="4" borderId="1443" applyProtection="1" pivotButton="0" quotePrefix="0" xfId="0">
      <protection locked="0" hidden="0"/>
    </xf>
    <xf numFmtId="0" fontId="34" fillId="40" borderId="437" applyAlignment="1" pivotButton="0" quotePrefix="0" xfId="0">
      <alignment horizontal="center" vertical="center" wrapText="1"/>
    </xf>
    <xf numFmtId="0" fontId="35" fillId="0" borderId="281" applyAlignment="1" pivotButton="0" quotePrefix="0" xfId="0">
      <alignment horizontal="center" vertical="center" wrapText="1"/>
    </xf>
    <xf numFmtId="0" fontId="35" fillId="0" borderId="346" applyAlignment="1" pivotButton="0" quotePrefix="0" xfId="0">
      <alignment horizontal="center" vertical="center" wrapText="1"/>
    </xf>
    <xf numFmtId="0" fontId="17" fillId="39" borderId="459" applyAlignment="1" pivotButton="0" quotePrefix="0" xfId="0">
      <alignment horizontal="center" vertical="center" wrapText="1"/>
    </xf>
    <xf numFmtId="0" fontId="17" fillId="0" borderId="440" applyAlignment="1" pivotButton="0" quotePrefix="0" xfId="0">
      <alignment horizontal="center" vertical="center" wrapText="1"/>
    </xf>
    <xf numFmtId="0" fontId="14" fillId="39" borderId="459" applyAlignment="1" pivotButton="0" quotePrefix="0" xfId="0">
      <alignment horizontal="center" vertical="center" wrapText="1"/>
    </xf>
    <xf numFmtId="0" fontId="14" fillId="39" borderId="439" applyAlignment="1" pivotButton="0" quotePrefix="0" xfId="0">
      <alignment horizontal="center" vertical="center" wrapText="1"/>
    </xf>
    <xf numFmtId="0" fontId="14" fillId="39" borderId="440" applyAlignment="1" pivotButton="0" quotePrefix="0" xfId="0">
      <alignment horizontal="center" vertical="center" wrapText="1"/>
    </xf>
    <xf numFmtId="0" fontId="28" fillId="40" borderId="459" applyAlignment="1" pivotButton="0" quotePrefix="0" xfId="7">
      <alignment horizontal="center" vertical="center"/>
    </xf>
    <xf numFmtId="0" fontId="28" fillId="40" borderId="440" applyAlignment="1" pivotButton="0" quotePrefix="0" xfId="7">
      <alignment horizontal="center" vertical="center"/>
    </xf>
    <xf numFmtId="0" fontId="28" fillId="39" borderId="459" applyAlignment="1" pivotButton="0" quotePrefix="0" xfId="0">
      <alignment horizontal="center" vertical="center"/>
    </xf>
    <xf numFmtId="0" fontId="28" fillId="39" borderId="440" applyAlignment="1" pivotButton="0" quotePrefix="0" xfId="0">
      <alignment horizontal="center" vertical="center"/>
    </xf>
    <xf numFmtId="1" fontId="14" fillId="0" borderId="433" applyAlignment="1" pivotButton="0" quotePrefix="0" xfId="39">
      <alignment horizontal="left" wrapText="1"/>
    </xf>
    <xf numFmtId="1" fontId="14" fillId="0" borderId="472" applyAlignment="1" pivotButton="0" quotePrefix="0" xfId="39">
      <alignment horizontal="left" wrapText="1"/>
    </xf>
    <xf numFmtId="1" fontId="5" fillId="0" borderId="535" applyAlignment="1" pivotButton="0" quotePrefix="0" xfId="39">
      <alignment horizontal="center" vertical="center" wrapText="1"/>
    </xf>
    <xf numFmtId="1" fontId="5" fillId="0" borderId="490" applyAlignment="1" pivotButton="0" quotePrefix="0" xfId="0">
      <alignment horizontal="center" vertical="center" wrapText="1"/>
    </xf>
    <xf numFmtId="1" fontId="5" fillId="0" borderId="437" applyAlignment="1" pivotButton="0" quotePrefix="0" xfId="39">
      <alignment horizontal="center" vertical="center" wrapText="1"/>
    </xf>
    <xf numFmtId="1" fontId="5" fillId="0" borderId="281" applyAlignment="1" pivotButton="0" quotePrefix="0" xfId="39">
      <alignment horizontal="center" vertical="center" wrapText="1"/>
    </xf>
    <xf numFmtId="1" fontId="5" fillId="0" borderId="346" applyAlignment="1" pivotButton="0" quotePrefix="0" xfId="39">
      <alignment horizontal="center" vertical="center" wrapText="1"/>
    </xf>
    <xf numFmtId="1" fontId="5" fillId="0" borderId="532" applyAlignment="1" applyProtection="1" pivotButton="0" quotePrefix="0" xfId="39">
      <alignment horizontal="center" vertical="center" wrapText="1"/>
      <protection locked="1" hidden="1"/>
    </xf>
    <xf numFmtId="1" fontId="5" fillId="0" borderId="486" applyAlignment="1" applyProtection="1" pivotButton="0" quotePrefix="0" xfId="39">
      <alignment horizontal="center" vertical="center" wrapText="1"/>
      <protection locked="1" hidden="1"/>
    </xf>
    <xf numFmtId="1" fontId="5" fillId="0" borderId="536" applyAlignment="1" applyProtection="1" pivotButton="0" quotePrefix="0" xfId="39">
      <alignment horizontal="center" vertical="center" wrapText="1"/>
      <protection locked="1" hidden="1"/>
    </xf>
    <xf numFmtId="0" fontId="5" fillId="0" borderId="444" applyAlignment="1" pivotButton="0" quotePrefix="0" xfId="39">
      <alignment horizontal="center" vertical="center" wrapText="1"/>
    </xf>
    <xf numFmtId="0" fontId="5" fillId="0" borderId="247" applyAlignment="1" pivotButton="0" quotePrefix="0" xfId="39">
      <alignment horizontal="center" vertical="center" wrapText="1"/>
    </xf>
    <xf numFmtId="0" fontId="5" fillId="0" borderId="469" applyAlignment="1" pivotButton="0" quotePrefix="0" xfId="39">
      <alignment horizontal="center" vertical="center" wrapText="1"/>
    </xf>
    <xf numFmtId="0" fontId="5" fillId="0" borderId="436" applyAlignment="1" pivotButton="0" quotePrefix="0" xfId="39">
      <alignment horizontal="center" vertical="center" wrapText="1"/>
    </xf>
    <xf numFmtId="0" fontId="5" fillId="0" borderId="262" applyAlignment="1" pivotButton="0" quotePrefix="0" xfId="39">
      <alignment horizontal="center" vertical="center" wrapText="1"/>
    </xf>
    <xf numFmtId="0" fontId="5" fillId="0" borderId="474" applyAlignment="1" pivotButton="0" quotePrefix="0" xfId="39">
      <alignment horizontal="center" vertical="center" wrapText="1"/>
    </xf>
    <xf numFmtId="1" fontId="5" fillId="0" borderId="436" applyAlignment="1" pivotButton="0" quotePrefix="0" xfId="39">
      <alignment horizontal="center" vertical="center" wrapText="1"/>
    </xf>
    <xf numFmtId="1" fontId="5" fillId="0" borderId="474" applyAlignment="1" pivotButton="0" quotePrefix="0" xfId="39">
      <alignment horizontal="center" vertical="center" wrapText="1"/>
    </xf>
    <xf numFmtId="1" fontId="5" fillId="0" borderId="532" applyAlignment="1" pivotButton="0" quotePrefix="0" xfId="39">
      <alignment horizontal="center" vertical="center" wrapText="1"/>
    </xf>
    <xf numFmtId="1" fontId="5" fillId="0" borderId="515" applyAlignment="1" pivotButton="0" quotePrefix="0" xfId="0">
      <alignment horizontal="center" vertical="center" wrapText="1"/>
    </xf>
    <xf numFmtId="0" fontId="5" fillId="0" borderId="436" applyAlignment="1" pivotButton="0" quotePrefix="0" xfId="39">
      <alignment horizontal="center" wrapText="1"/>
    </xf>
    <xf numFmtId="0" fontId="5" fillId="0" borderId="262" applyAlignment="1" pivotButton="0" quotePrefix="0" xfId="39">
      <alignment horizontal="center" wrapText="1"/>
    </xf>
    <xf numFmtId="0" fontId="5" fillId="0" borderId="474" applyAlignment="1" pivotButton="0" quotePrefix="0" xfId="39">
      <alignment horizontal="center" wrapText="1"/>
    </xf>
    <xf numFmtId="1" fontId="5" fillId="0" borderId="529" applyAlignment="1" applyProtection="1" pivotButton="0" quotePrefix="0" xfId="39">
      <alignment horizontal="center" vertical="center" wrapText="1"/>
      <protection locked="1" hidden="1"/>
    </xf>
    <xf numFmtId="1" fontId="14" fillId="3" borderId="439" applyAlignment="1" pivotButton="0" quotePrefix="0" xfId="0">
      <alignment horizontal="left"/>
    </xf>
    <xf numFmtId="1" fontId="14" fillId="3" borderId="472" applyAlignment="1" pivotButton="0" quotePrefix="0" xfId="0">
      <alignment horizontal="left"/>
    </xf>
    <xf numFmtId="1" fontId="14" fillId="0" borderId="486" applyAlignment="1" pivotButton="0" quotePrefix="0" xfId="0">
      <alignment horizontal="left"/>
    </xf>
    <xf numFmtId="1" fontId="14" fillId="0" borderId="487" applyAlignment="1" pivotButton="0" quotePrefix="0" xfId="0">
      <alignment horizontal="left"/>
    </xf>
    <xf numFmtId="1" fontId="14" fillId="0" borderId="513" applyAlignment="1" pivotButton="0" quotePrefix="0" xfId="0">
      <alignment horizontal="left"/>
    </xf>
    <xf numFmtId="1" fontId="14" fillId="0" borderId="0" applyAlignment="1" pivotButton="0" quotePrefix="0" xfId="39">
      <alignment horizontal="left" wrapText="1"/>
    </xf>
    <xf numFmtId="0" fontId="5" fillId="0" borderId="441" applyAlignment="1" pivotButton="0" quotePrefix="0" xfId="39">
      <alignment horizontal="center" vertical="center" wrapText="1"/>
    </xf>
    <xf numFmtId="0" fontId="5" fillId="0" borderId="8" applyAlignment="1" pivotButton="0" quotePrefix="0" xfId="39">
      <alignment horizontal="center" vertical="center" wrapText="1"/>
    </xf>
    <xf numFmtId="0" fontId="5" fillId="0" borderId="228" applyAlignment="1" pivotButton="0" quotePrefix="0" xfId="39">
      <alignment horizontal="center" vertical="center" wrapText="1"/>
    </xf>
    <xf numFmtId="1" fontId="5" fillId="0" borderId="437" applyAlignment="1" pivotButton="0" quotePrefix="0" xfId="0">
      <alignment horizontal="center" vertical="center" wrapText="1"/>
    </xf>
    <xf numFmtId="1" fontId="5" fillId="0" borderId="281" applyAlignment="1" pivotButton="0" quotePrefix="0" xfId="0">
      <alignment horizontal="center" vertical="center" wrapText="1"/>
    </xf>
    <xf numFmtId="1" fontId="5" fillId="0" borderId="346" applyAlignment="1" pivotButton="0" quotePrefix="0" xfId="0">
      <alignment horizontal="center" vertical="center" wrapText="1"/>
    </xf>
    <xf numFmtId="1" fontId="5" fillId="0" borderId="295" applyAlignment="1" applyProtection="1" pivotButton="0" quotePrefix="0" xfId="39">
      <alignment horizontal="center" vertical="center" wrapText="1"/>
      <protection locked="1" hidden="1"/>
    </xf>
    <xf numFmtId="1" fontId="5" fillId="0" borderId="49" applyAlignment="1" applyProtection="1" pivotButton="0" quotePrefix="0" xfId="39">
      <alignment horizontal="center" vertical="center" wrapText="1"/>
      <protection locked="1" hidden="1"/>
    </xf>
    <xf numFmtId="1" fontId="5" fillId="0" borderId="50" applyAlignment="1" applyProtection="1" pivotButton="0" quotePrefix="0" xfId="39">
      <alignment horizontal="center" vertical="center" wrapText="1"/>
      <protection locked="1" hidden="1"/>
    </xf>
    <xf numFmtId="0" fontId="5" fillId="0" borderId="19" applyAlignment="1" pivotButton="0" quotePrefix="0" xfId="39">
      <alignment horizontal="center" vertical="center" wrapText="1"/>
    </xf>
    <xf numFmtId="0" fontId="5" fillId="0" borderId="22" applyAlignment="1" pivotButton="0" quotePrefix="0" xfId="39">
      <alignment horizontal="center" vertical="center" wrapText="1"/>
    </xf>
    <xf numFmtId="0" fontId="5" fillId="0" borderId="25" applyAlignment="1" pivotButton="0" quotePrefix="0" xfId="39">
      <alignment horizontal="center" vertical="center" wrapText="1"/>
    </xf>
    <xf numFmtId="1" fontId="5" fillId="0" borderId="534" applyAlignment="1" pivotButton="0" quotePrefix="0" xfId="39">
      <alignment horizontal="center" vertical="center" wrapText="1"/>
    </xf>
    <xf numFmtId="1" fontId="5" fillId="0" borderId="94" applyAlignment="1" pivotButton="0" quotePrefix="0" xfId="39">
      <alignment horizontal="center" vertical="center" wrapText="1"/>
    </xf>
    <xf numFmtId="1" fontId="5" fillId="0" borderId="224" applyAlignment="1" pivotButton="0" quotePrefix="0" xfId="39">
      <alignment horizontal="center" vertical="center" wrapText="1"/>
    </xf>
    <xf numFmtId="1" fontId="5" fillId="3" borderId="454" applyAlignment="1" pivotButton="0" quotePrefix="0" xfId="0">
      <alignment horizontal="center" vertical="center" wrapText="1"/>
    </xf>
    <xf numFmtId="1" fontId="5" fillId="0" borderId="516" applyAlignment="1" pivotButton="0" quotePrefix="0" xfId="0">
      <alignment horizontal="center" vertical="center" wrapText="1"/>
    </xf>
    <xf numFmtId="1" fontId="5" fillId="0" borderId="439" applyAlignment="1" pivotButton="0" quotePrefix="0" xfId="0">
      <alignment horizontal="center" vertical="center"/>
    </xf>
    <xf numFmtId="1" fontId="5" fillId="0" borderId="440" applyAlignment="1" pivotButton="0" quotePrefix="0" xfId="0">
      <alignment horizontal="center" vertical="center"/>
    </xf>
    <xf numFmtId="1" fontId="5" fillId="0" borderId="532" applyAlignment="1" pivotButton="0" quotePrefix="0" xfId="0">
      <alignment horizontal="center" vertical="center"/>
    </xf>
    <xf numFmtId="1" fontId="5" fillId="0" borderId="529" applyAlignment="1" pivotButton="0" quotePrefix="0" xfId="0">
      <alignment horizontal="center" vertical="center"/>
    </xf>
    <xf numFmtId="1" fontId="5" fillId="0" borderId="518" applyAlignment="1" pivotButton="0" quotePrefix="0" xfId="0">
      <alignment horizontal="center" vertical="center" wrapText="1"/>
    </xf>
    <xf numFmtId="1" fontId="5" fillId="0" borderId="7" applyAlignment="1" pivotButton="0" quotePrefix="0" xfId="0">
      <alignment horizontal="center" vertical="center" wrapText="1"/>
    </xf>
    <xf numFmtId="1" fontId="5" fillId="0" borderId="369" applyAlignment="1" pivotButton="0" quotePrefix="0" xfId="0">
      <alignment horizontal="center" vertical="center" wrapText="1"/>
    </xf>
    <xf numFmtId="1" fontId="5" fillId="0" borderId="526" applyAlignment="1" pivotButton="0" quotePrefix="0" xfId="0">
      <alignment horizontal="center" vertical="center" wrapText="1"/>
    </xf>
    <xf numFmtId="1" fontId="5" fillId="0" borderId="527" applyAlignment="1" pivotButton="0" quotePrefix="0" xfId="0">
      <alignment horizontal="center" vertical="center" wrapText="1"/>
    </xf>
    <xf numFmtId="1" fontId="5" fillId="0" borderId="437" applyAlignment="1" pivotButton="0" quotePrefix="0" xfId="0">
      <alignment horizontal="center" vertical="center"/>
    </xf>
    <xf numFmtId="1" fontId="5" fillId="0" borderId="281" applyAlignment="1" pivotButton="0" quotePrefix="0" xfId="0">
      <alignment horizontal="center" vertical="center"/>
    </xf>
    <xf numFmtId="1" fontId="5" fillId="0" borderId="346" applyAlignment="1" pivotButton="0" quotePrefix="0" xfId="0">
      <alignment horizontal="center" vertical="center"/>
    </xf>
    <xf numFmtId="1" fontId="5" fillId="0" borderId="489" applyAlignment="1" pivotButton="0" quotePrefix="0" xfId="0">
      <alignment horizontal="center" vertical="center" wrapText="1"/>
    </xf>
    <xf numFmtId="1" fontId="5" fillId="0" borderId="433" applyAlignment="1" pivotButton="0" quotePrefix="0" xfId="0">
      <alignment horizontal="center" vertical="center" wrapText="1"/>
    </xf>
    <xf numFmtId="1" fontId="5" fillId="0" borderId="514" applyAlignment="1" pivotButton="0" quotePrefix="0" xfId="0">
      <alignment horizontal="center" vertical="center" wrapText="1"/>
    </xf>
    <xf numFmtId="1" fontId="5" fillId="0" borderId="283" applyAlignment="1" pivotButton="0" quotePrefix="0" xfId="0">
      <alignment horizontal="center" vertical="center" wrapText="1"/>
    </xf>
    <xf numFmtId="1" fontId="5" fillId="0" borderId="0" applyAlignment="1" pivotButton="0" quotePrefix="0" xfId="0">
      <alignment horizontal="center" vertical="center" wrapText="1"/>
    </xf>
    <xf numFmtId="1" fontId="5" fillId="0" borderId="262" applyAlignment="1" pivotButton="0" quotePrefix="0" xfId="0">
      <alignment horizontal="center" vertical="center" wrapText="1"/>
    </xf>
    <xf numFmtId="1" fontId="5" fillId="0" borderId="513" applyAlignment="1" pivotButton="0" quotePrefix="0" xfId="0">
      <alignment horizontal="center" vertical="center" wrapText="1"/>
    </xf>
    <xf numFmtId="1" fontId="5" fillId="0" borderId="517" applyAlignment="1" pivotButton="0" quotePrefix="0" xfId="0">
      <alignment horizontal="center" vertical="center" wrapText="1"/>
    </xf>
    <xf numFmtId="1" fontId="5" fillId="0" borderId="449" applyAlignment="1" pivotButton="0" quotePrefix="0" xfId="0">
      <alignment horizontal="left" vertical="center" wrapText="1"/>
    </xf>
    <xf numFmtId="1" fontId="5" fillId="0" borderId="380" applyAlignment="1" pivotButton="0" quotePrefix="0" xfId="0">
      <alignment horizontal="left" vertical="center" wrapText="1"/>
    </xf>
    <xf numFmtId="1" fontId="5" fillId="0" borderId="403" applyAlignment="1" pivotButton="0" quotePrefix="0" xfId="0">
      <alignment horizontal="left" vertical="center" wrapText="1"/>
    </xf>
    <xf numFmtId="1" fontId="5" fillId="3" borderId="522" applyAlignment="1" pivotButton="0" quotePrefix="0" xfId="0">
      <alignment horizontal="center" vertical="center" wrapText="1"/>
    </xf>
    <xf numFmtId="1" fontId="5" fillId="0" borderId="528" applyAlignment="1" pivotButton="0" quotePrefix="0" xfId="0">
      <alignment horizontal="center" vertical="center" wrapText="1"/>
    </xf>
    <xf numFmtId="1" fontId="5" fillId="3" borderId="506" applyAlignment="1" pivotButton="0" quotePrefix="0" xfId="0">
      <alignment horizontal="center" vertical="center" wrapText="1"/>
    </xf>
    <xf numFmtId="1" fontId="5" fillId="3" borderId="346" applyAlignment="1" pivotButton="0" quotePrefix="0" xfId="0">
      <alignment horizontal="center" vertical="center" wrapText="1"/>
    </xf>
    <xf numFmtId="1" fontId="5" fillId="3" borderId="514" applyAlignment="1" pivotButton="0" quotePrefix="0" xfId="0">
      <alignment horizontal="center" vertical="center" wrapText="1"/>
    </xf>
    <xf numFmtId="1" fontId="5" fillId="3" borderId="521" applyAlignment="1" pivotButton="0" quotePrefix="0" xfId="0">
      <alignment horizontal="center" vertical="center" wrapText="1"/>
    </xf>
    <xf numFmtId="1" fontId="5" fillId="0" borderId="506" applyAlignment="1" pivotButton="0" quotePrefix="0" xfId="0">
      <alignment horizontal="center" vertical="center" wrapText="1"/>
    </xf>
    <xf numFmtId="1" fontId="5" fillId="0" borderId="437" applyAlignment="1" pivotButton="0" quotePrefix="0" xfId="0">
      <alignment horizontal="left" vertical="center" wrapText="1"/>
    </xf>
    <xf numFmtId="1" fontId="5" fillId="0" borderId="281" applyAlignment="1" pivotButton="0" quotePrefix="0" xfId="0">
      <alignment horizontal="left" vertical="center" wrapText="1"/>
    </xf>
    <xf numFmtId="1" fontId="5" fillId="0" borderId="346" applyAlignment="1" pivotButton="0" quotePrefix="0" xfId="0">
      <alignment horizontal="left" vertical="center" wrapText="1"/>
    </xf>
    <xf numFmtId="1" fontId="5" fillId="0" borderId="506" applyAlignment="1" pivotButton="0" quotePrefix="0" xfId="0">
      <alignment horizontal="left" vertical="center" wrapText="1"/>
    </xf>
    <xf numFmtId="1" fontId="5" fillId="0" borderId="367" applyAlignment="1" pivotButton="0" quotePrefix="0" xfId="0">
      <alignment horizontal="center" vertical="center" wrapText="1"/>
    </xf>
    <xf numFmtId="1" fontId="5" fillId="0" borderId="474" applyAlignment="1" pivotButton="0" quotePrefix="0" xfId="0">
      <alignment horizontal="center" vertical="center" wrapText="1"/>
    </xf>
    <xf numFmtId="1" fontId="5" fillId="0" borderId="459" applyAlignment="1" pivotButton="0" quotePrefix="0" xfId="0">
      <alignment horizontal="center" vertical="center" wrapText="1"/>
    </xf>
    <xf numFmtId="1" fontId="5" fillId="0" borderId="491" applyAlignment="1" pivotButton="0" quotePrefix="0" xfId="0">
      <alignment horizontal="center" vertical="center" wrapText="1"/>
    </xf>
    <xf numFmtId="1" fontId="5" fillId="0" borderId="459" applyAlignment="1" pivotButton="0" quotePrefix="0" xfId="0">
      <alignment horizontal="center" vertical="center"/>
    </xf>
    <xf numFmtId="1" fontId="5" fillId="0" borderId="436" applyAlignment="1" pivotButton="0" quotePrefix="0" xfId="0">
      <alignment horizontal="center" vertical="center" wrapText="1"/>
    </xf>
    <xf numFmtId="1" fontId="5" fillId="0" borderId="439" applyAlignment="1" pivotButton="0" quotePrefix="0" xfId="0">
      <alignment horizontal="center" vertical="center" wrapText="1"/>
    </xf>
    <xf numFmtId="1" fontId="5" fillId="0" borderId="435" applyAlignment="1" pivotButton="0" quotePrefix="0" xfId="0">
      <alignment horizontal="center" vertical="center" wrapText="1"/>
    </xf>
    <xf numFmtId="1" fontId="5" fillId="3" borderId="459" applyAlignment="1" pivotButton="0" quotePrefix="0" xfId="0">
      <alignment horizontal="center" vertical="center" wrapText="1"/>
    </xf>
    <xf numFmtId="1" fontId="5" fillId="3" borderId="440" applyAlignment="1" pivotButton="0" quotePrefix="0" xfId="0">
      <alignment horizontal="center" vertical="center" wrapText="1"/>
    </xf>
    <xf numFmtId="1" fontId="5" fillId="0" borderId="446" applyAlignment="1" pivotButton="0" quotePrefix="0" xfId="0">
      <alignment horizontal="center" vertical="center" wrapText="1"/>
    </xf>
    <xf numFmtId="1" fontId="5" fillId="0" borderId="226" applyAlignment="1" pivotButton="0" quotePrefix="0" xfId="0">
      <alignment horizontal="center" vertical="center" wrapText="1"/>
    </xf>
    <xf numFmtId="1" fontId="5" fillId="0" borderId="445" applyAlignment="1" pivotButton="0" quotePrefix="0" xfId="0">
      <alignment horizontal="center" vertical="center" wrapText="1"/>
    </xf>
    <xf numFmtId="1" fontId="5" fillId="0" borderId="231" applyAlignment="1" pivotButton="0" quotePrefix="0" xfId="0">
      <alignment horizontal="center" vertical="center" wrapText="1"/>
    </xf>
    <xf numFmtId="1" fontId="5" fillId="3" borderId="1334" applyAlignment="1" pivotButton="0" quotePrefix="0" xfId="0">
      <alignment horizontal="center" vertical="center" wrapText="1"/>
    </xf>
    <xf numFmtId="1" fontId="5" fillId="3" borderId="1335" applyAlignment="1" pivotButton="0" quotePrefix="0" xfId="0">
      <alignment horizontal="center" vertical="center" wrapText="1"/>
    </xf>
    <xf numFmtId="1" fontId="5" fillId="0" borderId="1330" applyAlignment="1" pivotButton="0" quotePrefix="0" xfId="0">
      <alignment horizontal="center" vertical="center" wrapText="1"/>
    </xf>
    <xf numFmtId="1" fontId="5" fillId="0" borderId="1141" applyAlignment="1" pivotButton="0" quotePrefix="0" xfId="0">
      <alignment horizontal="center" vertical="center" wrapText="1"/>
    </xf>
    <xf numFmtId="1" fontId="15" fillId="3" borderId="0" applyAlignment="1" pivotButton="0" quotePrefix="0" xfId="0">
      <alignment horizontal="center" vertical="center" wrapText="1"/>
    </xf>
    <xf numFmtId="1" fontId="5" fillId="0" borderId="281" applyAlignment="1" pivotButton="0" quotePrefix="0" xfId="0">
      <alignment horizontal="left" vertical="center"/>
    </xf>
    <xf numFmtId="1" fontId="14" fillId="3" borderId="0" applyAlignment="1" pivotButton="0" quotePrefix="0" xfId="0">
      <alignment horizontal="left"/>
    </xf>
    <xf numFmtId="1" fontId="5" fillId="0" borderId="1242" applyAlignment="1" pivotButton="0" quotePrefix="0" xfId="0">
      <alignment horizontal="center" vertical="center" wrapText="1"/>
    </xf>
    <xf numFmtId="1" fontId="5" fillId="0" borderId="1328" applyAlignment="1" pivotButton="0" quotePrefix="0" xfId="0">
      <alignment horizontal="center" vertical="center" wrapText="1"/>
    </xf>
    <xf numFmtId="1" fontId="5" fillId="0" borderId="473" applyAlignment="1" pivotButton="0" quotePrefix="0" xfId="0">
      <alignment horizontal="center" vertical="center" wrapText="1"/>
    </xf>
    <xf numFmtId="1" fontId="5" fillId="0" borderId="346" applyAlignment="1" pivotButton="0" quotePrefix="0" xfId="0">
      <alignment horizontal="left" vertical="center"/>
    </xf>
    <xf numFmtId="1" fontId="5" fillId="3" borderId="1333" applyAlignment="1" pivotButton="0" quotePrefix="0" xfId="0">
      <alignment horizontal="center" vertical="center" wrapText="1"/>
    </xf>
    <xf numFmtId="1" fontId="5" fillId="3" borderId="334" applyAlignment="1" pivotButton="0" quotePrefix="0" xfId="0">
      <alignment horizontal="center" vertical="center" wrapText="1"/>
    </xf>
    <xf numFmtId="1" fontId="5" fillId="0" borderId="1231" applyAlignment="1" pivotButton="0" quotePrefix="0" xfId="0">
      <alignment horizontal="center" vertical="center" wrapText="1"/>
    </xf>
    <xf numFmtId="1" fontId="5" fillId="0" borderId="441" applyAlignment="1" pivotButton="0" quotePrefix="0" xfId="0">
      <alignment horizontal="center" vertical="center" wrapText="1"/>
    </xf>
    <xf numFmtId="1" fontId="5" fillId="0" borderId="228" applyAlignment="1" pivotButton="0" quotePrefix="0" xfId="0">
      <alignment horizontal="center" vertical="center" wrapText="1"/>
    </xf>
    <xf numFmtId="1" fontId="2" fillId="3" borderId="486" applyAlignment="1" pivotButton="0" quotePrefix="0" xfId="0">
      <alignment horizontal="left"/>
    </xf>
    <xf numFmtId="1" fontId="3" fillId="0" borderId="437" applyAlignment="1" pivotButton="0" quotePrefix="0" xfId="0">
      <alignment horizontal="center" vertical="center" wrapText="1"/>
    </xf>
    <xf numFmtId="1" fontId="3" fillId="0" borderId="346" applyAlignment="1" pivotButton="0" quotePrefix="0" xfId="0">
      <alignment horizontal="center" vertical="center" wrapText="1"/>
    </xf>
    <xf numFmtId="1" fontId="3" fillId="0" borderId="532" applyAlignment="1" pivotButton="0" quotePrefix="0" xfId="0">
      <alignment horizontal="center" vertical="center"/>
    </xf>
    <xf numFmtId="1" fontId="3" fillId="0" borderId="486" applyAlignment="1" pivotButton="0" quotePrefix="0" xfId="0">
      <alignment horizontal="center" vertical="center"/>
    </xf>
    <xf numFmtId="1" fontId="3" fillId="0" borderId="524" applyAlignment="1" pivotButton="0" quotePrefix="0" xfId="0">
      <alignment horizontal="center" vertical="center"/>
    </xf>
    <xf numFmtId="1" fontId="3" fillId="0" borderId="532" applyAlignment="1" pivotButton="0" quotePrefix="0" xfId="0">
      <alignment horizontal="center" vertical="center" wrapText="1"/>
    </xf>
    <xf numFmtId="1" fontId="3" fillId="0" borderId="524" applyAlignment="1" pivotButton="0" quotePrefix="0" xfId="0">
      <alignment horizontal="center" vertical="center" wrapText="1"/>
    </xf>
    <xf numFmtId="1" fontId="3" fillId="0" borderId="524" pivotButton="0" quotePrefix="0" xfId="0"/>
    <xf numFmtId="1" fontId="3" fillId="0" borderId="529" applyAlignment="1" pivotButton="0" quotePrefix="0" xfId="0">
      <alignment horizontal="center" vertical="center" wrapText="1"/>
    </xf>
    <xf numFmtId="1" fontId="3" fillId="0" borderId="1231" applyAlignment="1" pivotButton="0" quotePrefix="0" xfId="0">
      <alignment horizontal="center" vertical="center" wrapText="1"/>
    </xf>
    <xf numFmtId="1" fontId="3" fillId="0" borderId="849" applyAlignment="1" pivotButton="0" quotePrefix="0" xfId="0">
      <alignment horizontal="center" vertical="center" wrapText="1"/>
    </xf>
    <xf numFmtId="1" fontId="3" fillId="0" borderId="1314" applyAlignment="1" pivotButton="0" quotePrefix="0" xfId="0">
      <alignment horizontal="center" vertical="center" wrapText="1"/>
    </xf>
    <xf numFmtId="1" fontId="3" fillId="0" borderId="793" applyAlignment="1" pivotButton="0" quotePrefix="0" xfId="0">
      <alignment horizontal="center" vertical="center" wrapText="1"/>
    </xf>
    <xf numFmtId="1" fontId="1" fillId="3" borderId="0" applyAlignment="1" pivotButton="0" quotePrefix="0" xfId="0">
      <alignment horizontal="center" vertical="center" wrapText="1"/>
    </xf>
    <xf numFmtId="1" fontId="3" fillId="3" borderId="437" applyAlignment="1" pivotButton="0" quotePrefix="0" xfId="0">
      <alignment horizontal="center" vertical="center" wrapText="1"/>
    </xf>
    <xf numFmtId="1" fontId="3" fillId="3" borderId="346" applyAlignment="1" pivotButton="0" quotePrefix="0" xfId="0">
      <alignment horizontal="center" vertical="center" wrapText="1"/>
    </xf>
    <xf numFmtId="1" fontId="2" fillId="3" borderId="472" applyAlignment="1" pivotButton="0" quotePrefix="0" xfId="0">
      <alignment horizontal="left"/>
    </xf>
    <xf numFmtId="1" fontId="5" fillId="0" borderId="8" applyAlignment="1" pivotButton="0" quotePrefix="0" xfId="0">
      <alignment horizontal="center" vertical="center" wrapText="1"/>
    </xf>
    <xf numFmtId="1" fontId="5" fillId="0" borderId="472" applyAlignment="1" pivotButton="0" quotePrefix="0" xfId="0">
      <alignment horizontal="center" vertical="center" wrapText="1"/>
    </xf>
    <xf numFmtId="1" fontId="5" fillId="0" borderId="370" applyAlignment="1" pivotButton="0" quotePrefix="0" xfId="0">
      <alignment horizontal="center" vertical="center" wrapText="1"/>
    </xf>
    <xf numFmtId="1" fontId="5" fillId="0" borderId="22" applyAlignment="1" pivotButton="0" quotePrefix="0" xfId="0">
      <alignment horizontal="center" vertical="center" wrapText="1"/>
    </xf>
    <xf numFmtId="1" fontId="5" fillId="0" borderId="578" applyAlignment="1" pivotButton="0" quotePrefix="0" xfId="0">
      <alignment horizontal="center" vertical="center" wrapText="1"/>
    </xf>
    <xf numFmtId="1" fontId="5" fillId="0" borderId="442" applyAlignment="1" pivotButton="0" quotePrefix="0" xfId="0">
      <alignment horizontal="center" vertical="center" wrapText="1"/>
    </xf>
    <xf numFmtId="1" fontId="5" fillId="0" borderId="282" applyAlignment="1" pivotButton="0" quotePrefix="0" xfId="0">
      <alignment horizontal="center" vertical="center" wrapText="1"/>
    </xf>
    <xf numFmtId="1" fontId="5" fillId="0" borderId="347" applyAlignment="1" pivotButton="0" quotePrefix="0" xfId="0">
      <alignment horizontal="center" vertical="center" wrapText="1"/>
    </xf>
    <xf numFmtId="1" fontId="5" fillId="0" borderId="577" applyAlignment="1" pivotButton="0" quotePrefix="0" xfId="0">
      <alignment horizontal="center" vertical="center" wrapText="1"/>
    </xf>
    <xf numFmtId="1" fontId="5" fillId="0" borderId="221" applyAlignment="1" pivotButton="0" quotePrefix="0" xfId="0">
      <alignment horizontal="center" vertical="center" wrapText="1"/>
    </xf>
    <xf numFmtId="1" fontId="5" fillId="0" borderId="348" applyAlignment="1" pivotButton="0" quotePrefix="0" xfId="0">
      <alignment horizontal="center" vertical="center" wrapText="1"/>
    </xf>
    <xf numFmtId="1" fontId="5" fillId="0" borderId="363" applyAlignment="1" pivotButton="0" quotePrefix="0" xfId="0">
      <alignment horizontal="center" vertical="center"/>
    </xf>
    <xf numFmtId="1" fontId="5" fillId="0" borderId="362" applyAlignment="1" pivotButton="0" quotePrefix="0" xfId="0">
      <alignment horizontal="center" vertical="center"/>
    </xf>
    <xf numFmtId="1" fontId="5" fillId="0" borderId="569" applyAlignment="1" pivotButton="0" quotePrefix="0" xfId="0">
      <alignment horizontal="center" vertical="center"/>
    </xf>
    <xf numFmtId="1" fontId="5" fillId="0" borderId="521" applyAlignment="1" pivotButton="0" quotePrefix="0" xfId="0">
      <alignment horizontal="center" vertical="center"/>
    </xf>
    <xf numFmtId="1" fontId="5" fillId="0" borderId="486" applyAlignment="1" pivotButton="0" quotePrefix="0" xfId="0">
      <alignment horizontal="center" vertical="center" wrapText="1"/>
    </xf>
    <xf numFmtId="1" fontId="5" fillId="0" borderId="529" applyAlignment="1" pivotButton="0" quotePrefix="0" xfId="0">
      <alignment horizontal="center" vertical="center" wrapText="1"/>
    </xf>
    <xf numFmtId="1" fontId="5" fillId="0" borderId="405" applyAlignment="1" pivotButton="0" quotePrefix="0" xfId="0">
      <alignment horizontal="center" vertical="center" wrapText="1"/>
    </xf>
    <xf numFmtId="1" fontId="5" fillId="0" borderId="2" applyAlignment="1" pivotButton="0" quotePrefix="0" xfId="0">
      <alignment horizontal="center" vertical="center" wrapText="1"/>
    </xf>
    <xf numFmtId="1" fontId="5" fillId="0" borderId="522" applyAlignment="1" pivotButton="0" quotePrefix="0" xfId="0">
      <alignment horizontal="center" vertical="center" wrapText="1"/>
    </xf>
    <xf numFmtId="1" fontId="5" fillId="0" borderId="524" applyAlignment="1" pivotButton="0" quotePrefix="0" xfId="0">
      <alignment horizontal="center" vertical="center" wrapText="1"/>
    </xf>
    <xf numFmtId="0" fontId="5" fillId="0" borderId="437" applyAlignment="1" pivotButton="0" quotePrefix="0" xfId="0">
      <alignment horizontal="left" vertical="center" wrapText="1"/>
    </xf>
    <xf numFmtId="0" fontId="5" fillId="0" borderId="281" applyAlignment="1" pivotButton="0" quotePrefix="0" xfId="0">
      <alignment horizontal="left" vertical="center" wrapText="1"/>
    </xf>
    <xf numFmtId="0" fontId="5" fillId="0" borderId="346" applyAlignment="1" pivotButton="0" quotePrefix="0" xfId="0">
      <alignment horizontal="left" vertical="center" wrapText="1"/>
    </xf>
    <xf numFmtId="1" fontId="14" fillId="29" borderId="0" applyAlignment="1" pivotButton="0" quotePrefix="0" xfId="2">
      <alignment horizontal="left" wrapText="1"/>
    </xf>
    <xf numFmtId="1" fontId="5" fillId="0" borderId="18" applyAlignment="1" pivotButton="0" quotePrefix="0" xfId="2">
      <alignment horizontal="center" vertical="center"/>
    </xf>
    <xf numFmtId="1" fontId="5" fillId="0" borderId="19" applyAlignment="1" pivotButton="0" quotePrefix="0" xfId="2">
      <alignment horizontal="center" vertical="center"/>
    </xf>
    <xf numFmtId="1" fontId="5" fillId="0" borderId="21" applyAlignment="1" pivotButton="0" quotePrefix="0" xfId="2">
      <alignment horizontal="center" vertical="center"/>
    </xf>
    <xf numFmtId="1" fontId="5" fillId="0" borderId="22" applyAlignment="1" pivotButton="0" quotePrefix="0" xfId="2">
      <alignment horizontal="center" vertical="center"/>
    </xf>
    <xf numFmtId="1" fontId="5" fillId="0" borderId="23" applyAlignment="1" pivotButton="0" quotePrefix="0" xfId="2">
      <alignment horizontal="center" vertical="center"/>
    </xf>
    <xf numFmtId="1" fontId="5" fillId="0" borderId="25" applyAlignment="1" pivotButton="0" quotePrefix="0" xfId="2">
      <alignment horizontal="center" vertical="center"/>
    </xf>
    <xf numFmtId="1" fontId="5" fillId="0" borderId="18" applyAlignment="1" pivotButton="0" quotePrefix="0" xfId="2">
      <alignment horizontal="center" vertical="center" wrapText="1"/>
    </xf>
    <xf numFmtId="0" fontId="64" fillId="0" borderId="20" pivotButton="0" quotePrefix="0" xfId="2"/>
    <xf numFmtId="0" fontId="64" fillId="0" borderId="23" pivotButton="0" quotePrefix="0" xfId="2"/>
    <xf numFmtId="0" fontId="64" fillId="0" borderId="24" pivotButton="0" quotePrefix="0" xfId="2"/>
    <xf numFmtId="0" fontId="64" fillId="0" borderId="25" pivotButton="0" quotePrefix="0" xfId="2"/>
    <xf numFmtId="1" fontId="5" fillId="0" borderId="161" applyAlignment="1" pivotButton="0" quotePrefix="0" xfId="2">
      <alignment horizontal="center" vertical="center"/>
    </xf>
    <xf numFmtId="1" fontId="5" fillId="0" borderId="49" applyAlignment="1" pivotButton="0" quotePrefix="0" xfId="2">
      <alignment horizontal="center" vertical="center"/>
    </xf>
    <xf numFmtId="1" fontId="5" fillId="0" borderId="239" applyAlignment="1" pivotButton="0" quotePrefix="0" xfId="2">
      <alignment horizontal="center" vertical="center"/>
    </xf>
    <xf numFmtId="1" fontId="5" fillId="0" borderId="23" applyAlignment="1" pivotButton="0" quotePrefix="0" xfId="2">
      <alignment horizontal="center" vertical="center" wrapText="1"/>
    </xf>
    <xf numFmtId="0" fontId="5" fillId="0" borderId="438" applyAlignment="1" pivotButton="0" quotePrefix="0" xfId="0">
      <alignment horizontal="center" vertical="center"/>
    </xf>
    <xf numFmtId="0" fontId="5" fillId="0" borderId="362" applyAlignment="1" pivotButton="0" quotePrefix="0" xfId="0">
      <alignment horizontal="center" vertical="center"/>
    </xf>
    <xf numFmtId="0" fontId="5" fillId="0" borderId="283" applyAlignment="1" pivotButton="0" quotePrefix="0" xfId="0">
      <alignment horizontal="center" vertical="center"/>
    </xf>
    <xf numFmtId="0" fontId="5" fillId="0" borderId="546" applyAlignment="1" pivotButton="0" quotePrefix="0" xfId="0">
      <alignment horizontal="center" vertical="center"/>
    </xf>
    <xf numFmtId="0" fontId="5" fillId="0" borderId="367" applyAlignment="1" pivotButton="0" quotePrefix="0" xfId="0">
      <alignment horizontal="center" vertical="center"/>
    </xf>
    <xf numFmtId="0" fontId="5" fillId="0" borderId="521" applyAlignment="1" pivotButton="0" quotePrefix="0" xfId="0">
      <alignment horizontal="center" vertical="center"/>
    </xf>
    <xf numFmtId="1" fontId="5" fillId="0" borderId="438" applyAlignment="1" pivotButton="0" quotePrefix="0" xfId="0">
      <alignment horizontal="center" vertical="center" wrapText="1"/>
    </xf>
    <xf numFmtId="1" fontId="5" fillId="0" borderId="575" applyAlignment="1" pivotButton="0" quotePrefix="0" xfId="0">
      <alignment horizontal="center" vertical="center" wrapText="1"/>
    </xf>
    <xf numFmtId="1" fontId="5" fillId="0" borderId="362" applyAlignment="1" pivotButton="0" quotePrefix="0" xfId="15">
      <alignment horizontal="center" vertical="center" wrapText="1"/>
    </xf>
    <xf numFmtId="1" fontId="5" fillId="0" borderId="546" applyAlignment="1" pivotButton="0" quotePrefix="0" xfId="15">
      <alignment horizontal="center" vertical="center" wrapText="1"/>
    </xf>
    <xf numFmtId="1" fontId="5" fillId="0" borderId="521" applyAlignment="1" pivotButton="0" quotePrefix="0" xfId="15">
      <alignment horizontal="center" vertical="center" wrapText="1"/>
    </xf>
    <xf numFmtId="1" fontId="5" fillId="0" borderId="363" applyAlignment="1" applyProtection="1" pivotButton="0" quotePrefix="0" xfId="15">
      <alignment horizontal="center" vertical="center" wrapText="1"/>
      <protection locked="0" hidden="0"/>
    </xf>
    <xf numFmtId="1" fontId="5" fillId="0" borderId="362" applyAlignment="1" applyProtection="1" pivotButton="0" quotePrefix="0" xfId="15">
      <alignment horizontal="center" vertical="center" wrapText="1"/>
      <protection locked="0" hidden="0"/>
    </xf>
    <xf numFmtId="1" fontId="5" fillId="0" borderId="569" applyAlignment="1" applyProtection="1" pivotButton="0" quotePrefix="0" xfId="15">
      <alignment horizontal="center" vertical="center" wrapText="1"/>
      <protection locked="0" hidden="0"/>
    </xf>
    <xf numFmtId="1" fontId="5" fillId="0" borderId="521" applyAlignment="1" applyProtection="1" pivotButton="0" quotePrefix="0" xfId="15">
      <alignment horizontal="center" vertical="center" wrapText="1"/>
      <protection locked="0" hidden="0"/>
    </xf>
    <xf numFmtId="1" fontId="5" fillId="0" borderId="438" applyAlignment="1" applyProtection="1" pivotButton="0" quotePrefix="0" xfId="15">
      <alignment horizontal="center" vertical="center" wrapText="1"/>
      <protection locked="0" hidden="0"/>
    </xf>
    <xf numFmtId="1" fontId="5" fillId="0" borderId="367" applyAlignment="1" applyProtection="1" pivotButton="0" quotePrefix="0" xfId="15">
      <alignment horizontal="center" vertical="center" wrapText="1"/>
      <protection locked="0" hidden="0"/>
    </xf>
    <xf numFmtId="0" fontId="5" fillId="0" borderId="438" applyAlignment="1" pivotButton="0" quotePrefix="0" xfId="0">
      <alignment horizontal="center" vertical="center" wrapText="1"/>
    </xf>
    <xf numFmtId="0" fontId="5" fillId="0" borderId="363" applyAlignment="1" pivotButton="0" quotePrefix="0" xfId="0">
      <alignment horizontal="center" vertical="center" wrapText="1"/>
    </xf>
    <xf numFmtId="0" fontId="5" fillId="0" borderId="362" applyAlignment="1" pivotButton="0" quotePrefix="0" xfId="0">
      <alignment horizontal="center" vertical="center" wrapText="1"/>
    </xf>
    <xf numFmtId="0" fontId="5" fillId="0" borderId="367" applyAlignment="1" pivotButton="0" quotePrefix="0" xfId="0">
      <alignment horizontal="center" vertical="center" wrapText="1"/>
    </xf>
    <xf numFmtId="0" fontId="5" fillId="0" borderId="569" applyAlignment="1" pivotButton="0" quotePrefix="0" xfId="0">
      <alignment horizontal="center" vertical="center" wrapText="1"/>
    </xf>
    <xf numFmtId="0" fontId="5" fillId="0" borderId="521" applyAlignment="1" pivotButton="0" quotePrefix="0" xfId="0">
      <alignment horizontal="center" vertical="center" wrapText="1"/>
    </xf>
    <xf numFmtId="0" fontId="5" fillId="0" borderId="515" applyAlignment="1" pivotButton="0" quotePrefix="0" xfId="0">
      <alignment horizontal="center" wrapText="1"/>
    </xf>
    <xf numFmtId="0" fontId="5" fillId="0" borderId="529" applyAlignment="1" pivotButton="0" quotePrefix="0" xfId="0">
      <alignment horizontal="center" wrapText="1"/>
    </xf>
    <xf numFmtId="0" fontId="5" fillId="0" borderId="1314" applyAlignment="1" pivotButton="0" quotePrefix="0" xfId="0">
      <alignment horizontal="center" vertical="center" wrapText="1"/>
    </xf>
    <xf numFmtId="0" fontId="5" fillId="0" borderId="793" applyAlignment="1" pivotButton="0" quotePrefix="0" xfId="0">
      <alignment horizontal="center" vertical="center" wrapText="1"/>
    </xf>
    <xf numFmtId="0" fontId="5" fillId="0" borderId="1231" applyAlignment="1" pivotButton="0" quotePrefix="0" xfId="0">
      <alignment horizontal="center" vertical="center" wrapText="1"/>
    </xf>
    <xf numFmtId="0" fontId="5" fillId="0" borderId="849" applyAlignment="1" pivotButton="0" quotePrefix="0" xfId="0">
      <alignment horizontal="center" vertical="center" wrapText="1"/>
    </xf>
    <xf numFmtId="0" fontId="5" fillId="0" borderId="450" applyAlignment="1" pivotButton="0" quotePrefix="0" xfId="0">
      <alignment horizontal="left" vertical="center" wrapText="1"/>
    </xf>
    <xf numFmtId="0" fontId="5" fillId="0" borderId="453" applyAlignment="1" pivotButton="0" quotePrefix="0" xfId="0">
      <alignment horizontal="left" vertical="center" wrapText="1"/>
    </xf>
    <xf numFmtId="0" fontId="5" fillId="0" borderId="448" applyAlignment="1" pivotButton="0" quotePrefix="0" xfId="0">
      <alignment horizontal="left" vertical="center" wrapText="1"/>
    </xf>
    <xf numFmtId="0" fontId="5" fillId="0" borderId="283" applyAlignment="1" pivotButton="0" quotePrefix="0" xfId="0">
      <alignment horizontal="left" vertical="center" wrapText="1"/>
    </xf>
    <xf numFmtId="0" fontId="5" fillId="0" borderId="0" applyAlignment="1" pivotButton="0" quotePrefix="0" xfId="0">
      <alignment horizontal="left" vertical="center" wrapText="1"/>
    </xf>
    <xf numFmtId="0" fontId="5" fillId="0" borderId="546" applyAlignment="1" pivotButton="0" quotePrefix="0" xfId="0">
      <alignment horizontal="left" vertical="center" wrapText="1"/>
    </xf>
    <xf numFmtId="0" fontId="5" fillId="0" borderId="407" applyAlignment="1" pivotButton="0" quotePrefix="0" xfId="0">
      <alignment horizontal="left" vertical="center" wrapText="1"/>
    </xf>
    <xf numFmtId="0" fontId="5" fillId="0" borderId="401" applyAlignment="1" pivotButton="0" quotePrefix="0" xfId="0">
      <alignment horizontal="left" vertical="center" wrapText="1"/>
    </xf>
    <xf numFmtId="0" fontId="5" fillId="0" borderId="378" applyAlignment="1" pivotButton="0" quotePrefix="0" xfId="0">
      <alignment horizontal="left" vertical="center" wrapText="1"/>
    </xf>
    <xf numFmtId="1" fontId="5" fillId="0" borderId="515" applyAlignment="1" pivotButton="0" quotePrefix="1" xfId="15">
      <alignment horizontal="center" vertical="center" wrapText="1"/>
    </xf>
    <xf numFmtId="1" fontId="5" fillId="0" borderId="486" applyAlignment="1" pivotButton="0" quotePrefix="1" xfId="15">
      <alignment horizontal="center" vertical="center" wrapText="1"/>
    </xf>
    <xf numFmtId="1" fontId="5" fillId="0" borderId="529" applyAlignment="1" pivotButton="0" quotePrefix="1" xfId="15">
      <alignment horizontal="center" vertical="center" wrapText="1"/>
    </xf>
    <xf numFmtId="1" fontId="5" fillId="0" borderId="441" applyAlignment="1" applyProtection="1" pivotButton="0" quotePrefix="0" xfId="15">
      <alignment horizontal="center" vertical="center" wrapText="1"/>
      <protection locked="0" hidden="0"/>
    </xf>
    <xf numFmtId="1" fontId="5" fillId="0" borderId="8" applyAlignment="1" applyProtection="1" pivotButton="0" quotePrefix="0" xfId="15">
      <alignment horizontal="center" vertical="center" wrapText="1"/>
      <protection locked="0" hidden="0"/>
    </xf>
    <xf numFmtId="1" fontId="5" fillId="0" borderId="228" applyAlignment="1" applyProtection="1" pivotButton="0" quotePrefix="0" xfId="15">
      <alignment horizontal="center" vertical="center" wrapText="1"/>
      <protection locked="0" hidden="0"/>
    </xf>
    <xf numFmtId="1" fontId="5" fillId="0" borderId="352" applyAlignment="1" applyProtection="1" pivotButton="0" quotePrefix="0" xfId="15">
      <alignment horizontal="center" vertical="center" wrapText="1"/>
      <protection locked="0" hidden="0"/>
    </xf>
    <xf numFmtId="1" fontId="5" fillId="0" borderId="6" applyAlignment="1" applyProtection="1" pivotButton="0" quotePrefix="0" xfId="15">
      <alignment horizontal="center" vertical="center" wrapText="1"/>
      <protection locked="0" hidden="0"/>
    </xf>
    <xf numFmtId="1" fontId="5" fillId="0" borderId="539" applyAlignment="1" applyProtection="1" pivotButton="0" quotePrefix="0" xfId="15">
      <alignment horizontal="center" vertical="center" wrapText="1"/>
      <protection locked="0" hidden="0"/>
    </xf>
    <xf numFmtId="1" fontId="5" fillId="0" borderId="446" applyAlignment="1" pivotButton="0" quotePrefix="0" xfId="15">
      <alignment horizontal="center" vertical="center" wrapText="1"/>
    </xf>
    <xf numFmtId="1" fontId="5" fillId="0" borderId="226" applyAlignment="1" pivotButton="0" quotePrefix="0" xfId="15">
      <alignment horizontal="center" vertical="center" wrapText="1"/>
    </xf>
    <xf numFmtId="1" fontId="5" fillId="0" borderId="363" applyAlignment="1" pivotButton="0" quotePrefix="0" xfId="15">
      <alignment horizontal="center" vertical="center" wrapText="1"/>
    </xf>
    <xf numFmtId="1" fontId="5" fillId="0" borderId="569" applyAlignment="1" pivotButton="0" quotePrefix="0" xfId="15">
      <alignment horizontal="center" vertical="center" wrapText="1"/>
    </xf>
    <xf numFmtId="1" fontId="5" fillId="0" borderId="442" applyAlignment="1" pivotButton="0" quotePrefix="0" xfId="15">
      <alignment horizontal="center" vertical="center" wrapText="1"/>
    </xf>
    <xf numFmtId="1" fontId="5" fillId="0" borderId="347" applyAlignment="1" pivotButton="0" quotePrefix="0" xfId="15">
      <alignment horizontal="center" vertical="center" wrapText="1"/>
    </xf>
    <xf numFmtId="1" fontId="5" fillId="0" borderId="442" applyAlignment="1" pivotButton="0" quotePrefix="0" xfId="15">
      <alignment horizontal="left" vertical="center" wrapText="1"/>
    </xf>
    <xf numFmtId="1" fontId="5" fillId="0" borderId="443" applyAlignment="1" pivotButton="0" quotePrefix="0" xfId="15">
      <alignment horizontal="left" vertical="center" wrapText="1"/>
    </xf>
    <xf numFmtId="1" fontId="5" fillId="0" borderId="447" applyAlignment="1" pivotButton="0" quotePrefix="0" xfId="15">
      <alignment horizontal="left" vertical="center" wrapText="1"/>
    </xf>
    <xf numFmtId="1" fontId="5" fillId="0" borderId="373" applyAlignment="1" pivotButton="0" quotePrefix="0" xfId="15">
      <alignment horizontal="left" vertical="center" wrapText="1"/>
    </xf>
    <xf numFmtId="1" fontId="5" fillId="0" borderId="399" applyAlignment="1" pivotButton="0" quotePrefix="0" xfId="15">
      <alignment horizontal="left" vertical="center" wrapText="1"/>
    </xf>
    <xf numFmtId="1" fontId="5" fillId="0" borderId="383" applyAlignment="1" pivotButton="0" quotePrefix="0" xfId="15">
      <alignment horizontal="left" vertical="center" wrapText="1"/>
    </xf>
    <xf numFmtId="0" fontId="5" fillId="0" borderId="443" applyAlignment="1" pivotButton="0" quotePrefix="0" xfId="0">
      <alignment horizontal="center" vertical="center" wrapText="1"/>
    </xf>
    <xf numFmtId="0" fontId="5" fillId="0" borderId="227" applyAlignment="1" pivotButton="0" quotePrefix="0" xfId="0">
      <alignment horizontal="center" vertical="center" wrapText="1"/>
    </xf>
    <xf numFmtId="1" fontId="5" fillId="0" borderId="1371" applyAlignment="1" pivotButton="0" quotePrefix="0" xfId="0">
      <alignment horizontal="center" vertical="center" wrapText="1"/>
    </xf>
    <xf numFmtId="1" fontId="5" fillId="0" borderId="1366" applyAlignment="1" pivotButton="0" quotePrefix="0" xfId="0">
      <alignment horizontal="center" vertical="center" wrapText="1"/>
    </xf>
    <xf numFmtId="1" fontId="5" fillId="0" borderId="1373" applyAlignment="1" pivotButton="0" quotePrefix="0" xfId="0">
      <alignment horizontal="center" vertical="center" wrapText="1"/>
    </xf>
    <xf numFmtId="1" fontId="5" fillId="0" borderId="392" applyAlignment="1" pivotButton="0" quotePrefix="0" xfId="0">
      <alignment horizontal="left" vertical="center"/>
    </xf>
    <xf numFmtId="0" fontId="56" fillId="0" borderId="389" applyAlignment="1" pivotButton="0" quotePrefix="0" xfId="0">
      <alignment horizontal="left" vertical="center"/>
    </xf>
    <xf numFmtId="1" fontId="5" fillId="0" borderId="534" applyAlignment="1" pivotButton="0" quotePrefix="0" xfId="0">
      <alignment horizontal="left" vertical="center" wrapText="1"/>
    </xf>
    <xf numFmtId="1" fontId="5" fillId="0" borderId="136" applyAlignment="1" pivotButton="0" quotePrefix="0" xfId="0">
      <alignment horizontal="left" vertical="center" wrapText="1"/>
    </xf>
    <xf numFmtId="1" fontId="5" fillId="0" borderId="94" applyAlignment="1" pivotButton="0" quotePrefix="0" xfId="0">
      <alignment horizontal="left" vertical="center" wrapText="1"/>
    </xf>
    <xf numFmtId="1" fontId="5" fillId="0" borderId="546" applyAlignment="1" pivotButton="0" quotePrefix="0" xfId="0">
      <alignment horizontal="center" vertical="center" wrapText="1"/>
    </xf>
    <xf numFmtId="1" fontId="5" fillId="0" borderId="447" applyAlignment="1" pivotButton="0" quotePrefix="0" xfId="0">
      <alignment horizontal="center" vertical="center" wrapText="1"/>
    </xf>
    <xf numFmtId="1" fontId="5" fillId="0" borderId="344" applyAlignment="1" pivotButton="0" quotePrefix="0" xfId="0">
      <alignment horizontal="center" vertical="center" wrapText="1"/>
    </xf>
    <xf numFmtId="1" fontId="5" fillId="0" borderId="377" applyAlignment="1" pivotButton="0" quotePrefix="0" xfId="0">
      <alignment horizontal="center" vertical="center" wrapText="1"/>
    </xf>
    <xf numFmtId="1" fontId="5" fillId="0" borderId="399" applyAlignment="1" pivotButton="0" quotePrefix="0" xfId="0">
      <alignment horizontal="center" vertical="center" wrapText="1"/>
    </xf>
    <xf numFmtId="1" fontId="5" fillId="0" borderId="386" applyAlignment="1" pivotButton="0" quotePrefix="0" xfId="0">
      <alignment horizontal="center" vertical="center" wrapText="1"/>
    </xf>
    <xf numFmtId="1" fontId="5" fillId="0" borderId="383" applyAlignment="1" pivotButton="0" quotePrefix="0" xfId="0">
      <alignment horizontal="center" vertical="center" wrapText="1"/>
    </xf>
    <xf numFmtId="1" fontId="5" fillId="0" borderId="520" applyAlignment="1" pivotButton="0" quotePrefix="0" xfId="0">
      <alignment horizontal="center" vertical="center"/>
    </xf>
    <xf numFmtId="1" fontId="5" fillId="0" borderId="458" applyAlignment="1" pivotButton="0" quotePrefix="0" xfId="0">
      <alignment horizontal="center" vertical="center"/>
    </xf>
    <xf numFmtId="1" fontId="5" fillId="0" borderId="456" applyAlignment="1" pivotButton="0" quotePrefix="0" xfId="0">
      <alignment horizontal="center" vertical="center"/>
    </xf>
    <xf numFmtId="1" fontId="5" fillId="0" borderId="469" applyAlignment="1" pivotButton="0" quotePrefix="0" xfId="0">
      <alignment horizontal="center" vertical="center" wrapText="1"/>
    </xf>
    <xf numFmtId="1" fontId="5" fillId="0" borderId="227" applyAlignment="1" pivotButton="0" quotePrefix="0" xfId="0">
      <alignment horizontal="center" vertical="center" wrapText="1"/>
    </xf>
    <xf numFmtId="1" fontId="5" fillId="0" borderId="230" applyAlignment="1" pivotButton="0" quotePrefix="0" xfId="0">
      <alignment horizontal="center" vertical="center" wrapText="1"/>
    </xf>
    <xf numFmtId="1" fontId="5" fillId="0" borderId="549" applyAlignment="1" pivotButton="0" quotePrefix="0" xfId="0">
      <alignment horizontal="center" vertical="center" wrapText="1"/>
    </xf>
    <xf numFmtId="1" fontId="5" fillId="0" borderId="458" applyAlignment="1" pivotButton="0" quotePrefix="0" xfId="0">
      <alignment horizontal="center" vertical="center" wrapText="1"/>
    </xf>
    <xf numFmtId="1" fontId="5" fillId="0" borderId="450" applyAlignment="1" pivotButton="0" quotePrefix="0" xfId="0">
      <alignment horizontal="left" vertical="center"/>
    </xf>
    <xf numFmtId="1" fontId="5" fillId="0" borderId="448" applyAlignment="1" pivotButton="0" quotePrefix="0" xfId="0">
      <alignment horizontal="left" vertical="center"/>
    </xf>
    <xf numFmtId="1" fontId="5" fillId="0" borderId="283" applyAlignment="1" pivotButton="0" quotePrefix="0" xfId="0">
      <alignment horizontal="left" vertical="center"/>
    </xf>
    <xf numFmtId="1" fontId="5" fillId="0" borderId="546" applyAlignment="1" pivotButton="0" quotePrefix="0" xfId="0">
      <alignment horizontal="left" vertical="center"/>
    </xf>
    <xf numFmtId="1" fontId="5" fillId="0" borderId="515" applyAlignment="1" pivotButton="0" quotePrefix="0" xfId="0">
      <alignment horizontal="left" wrapText="1"/>
    </xf>
    <xf numFmtId="1" fontId="5" fillId="0" borderId="524" applyAlignment="1" pivotButton="0" quotePrefix="0" xfId="0">
      <alignment horizontal="left" wrapText="1"/>
    </xf>
    <xf numFmtId="1" fontId="5" fillId="0" borderId="450" applyAlignment="1" pivotButton="0" quotePrefix="0" xfId="0">
      <alignment horizontal="left" vertical="center" wrapText="1"/>
    </xf>
    <xf numFmtId="1" fontId="5" fillId="0" borderId="448" applyAlignment="1" pivotButton="0" quotePrefix="0" xfId="0">
      <alignment horizontal="left" vertical="center" wrapText="1"/>
    </xf>
    <xf numFmtId="1" fontId="5" fillId="0" borderId="393" applyAlignment="1" pivotButton="0" quotePrefix="0" xfId="0">
      <alignment horizontal="left"/>
    </xf>
    <xf numFmtId="1" fontId="5" fillId="0" borderId="389" applyAlignment="1" pivotButton="0" quotePrefix="0" xfId="0">
      <alignment horizontal="left"/>
    </xf>
    <xf numFmtId="1" fontId="5" fillId="0" borderId="393" applyAlignment="1" pivotButton="0" quotePrefix="0" xfId="0">
      <alignment horizontal="left" wrapText="1"/>
    </xf>
    <xf numFmtId="1" fontId="5" fillId="0" borderId="389" applyAlignment="1" pivotButton="0" quotePrefix="0" xfId="0">
      <alignment horizontal="left" wrapText="1"/>
    </xf>
    <xf numFmtId="0" fontId="5" fillId="0" borderId="515" applyAlignment="1" pivotButton="0" quotePrefix="0" xfId="0">
      <alignment horizontal="center" vertical="center" wrapText="1"/>
    </xf>
    <xf numFmtId="0" fontId="5" fillId="0" borderId="524" applyAlignment="1" pivotButton="0" quotePrefix="0" xfId="0">
      <alignment horizontal="center" vertical="center" wrapText="1"/>
    </xf>
    <xf numFmtId="1" fontId="5" fillId="0" borderId="520" applyAlignment="1" pivotButton="0" quotePrefix="0" xfId="0">
      <alignment horizontal="center" vertical="center" wrapText="1"/>
    </xf>
    <xf numFmtId="1" fontId="5" fillId="0" borderId="547" applyAlignment="1" pivotButton="0" quotePrefix="0" xfId="0">
      <alignment horizontal="center" vertical="center" wrapText="1"/>
    </xf>
    <xf numFmtId="1" fontId="5" fillId="0" borderId="523" applyAlignment="1" pivotButton="0" quotePrefix="0" xfId="0">
      <alignment horizontal="center" vertical="center" wrapText="1"/>
    </xf>
    <xf numFmtId="1" fontId="5" fillId="0" borderId="576" applyAlignment="1" pivotButton="0" quotePrefix="0" xfId="0">
      <alignment horizontal="center" vertical="center" wrapText="1"/>
    </xf>
    <xf numFmtId="1" fontId="5" fillId="0" borderId="0" applyAlignment="1" pivotButton="0" quotePrefix="0" xfId="15">
      <alignment horizontal="center" vertical="center" wrapText="1"/>
    </xf>
    <xf numFmtId="1" fontId="5" fillId="0" borderId="53" applyAlignment="1" pivotButton="0" quotePrefix="0" xfId="2">
      <alignment horizontal="left" vertical="center"/>
    </xf>
    <xf numFmtId="1" fontId="5" fillId="0" borderId="177" applyAlignment="1" pivotButton="0" quotePrefix="0" xfId="2">
      <alignment horizontal="left" vertical="center"/>
    </xf>
    <xf numFmtId="1" fontId="5" fillId="0" borderId="52" applyAlignment="1" pivotButton="0" quotePrefix="0" xfId="2">
      <alignment horizontal="left" vertical="center"/>
    </xf>
    <xf numFmtId="1" fontId="5" fillId="0" borderId="64" applyAlignment="1" pivotButton="0" quotePrefix="0" xfId="2">
      <alignment horizontal="left" vertical="center"/>
    </xf>
    <xf numFmtId="1" fontId="5" fillId="0" borderId="29" applyAlignment="1" pivotButton="0" quotePrefix="0" xfId="2">
      <alignment horizontal="left" vertical="center" wrapText="1"/>
    </xf>
    <xf numFmtId="1" fontId="5" fillId="0" borderId="36" applyAlignment="1" pivotButton="0" quotePrefix="0" xfId="2">
      <alignment horizontal="left" vertical="center" wrapText="1"/>
    </xf>
    <xf numFmtId="1" fontId="5" fillId="0" borderId="39" applyAlignment="1" pivotButton="0" quotePrefix="0" xfId="2">
      <alignment horizontal="left" vertical="center" wrapText="1"/>
    </xf>
    <xf numFmtId="1" fontId="5" fillId="0" borderId="51" applyAlignment="1" pivotButton="0" quotePrefix="0" xfId="2">
      <alignment horizontal="left" vertical="center"/>
    </xf>
    <xf numFmtId="1" fontId="5" fillId="0" borderId="58" applyAlignment="1" pivotButton="0" quotePrefix="0" xfId="2">
      <alignment horizontal="left" vertical="center"/>
    </xf>
    <xf numFmtId="1" fontId="5" fillId="0" borderId="438" applyAlignment="1" pivotButton="0" quotePrefix="0" xfId="15">
      <alignment horizontal="center" vertical="center" wrapText="1"/>
    </xf>
    <xf numFmtId="1" fontId="5" fillId="0" borderId="283" applyAlignment="1" pivotButton="0" quotePrefix="0" xfId="15">
      <alignment horizontal="center" vertical="center" wrapText="1"/>
    </xf>
    <xf numFmtId="1" fontId="5" fillId="0" borderId="367" applyAlignment="1" pivotButton="0" quotePrefix="0" xfId="15">
      <alignment horizontal="center" vertical="center" wrapText="1"/>
    </xf>
    <xf numFmtId="1" fontId="5" fillId="0" borderId="438" applyAlignment="1" pivotButton="0" quotePrefix="0" xfId="15">
      <alignment horizontal="center" vertical="center"/>
    </xf>
    <xf numFmtId="1" fontId="5" fillId="0" borderId="367" applyAlignment="1" pivotButton="0" quotePrefix="0" xfId="15">
      <alignment horizontal="center" vertical="center"/>
    </xf>
    <xf numFmtId="1" fontId="5" fillId="0" borderId="450" applyAlignment="1" pivotButton="0" quotePrefix="0" xfId="15">
      <alignment horizontal="left" vertical="center" wrapText="1"/>
    </xf>
    <xf numFmtId="1" fontId="5" fillId="0" borderId="448" applyAlignment="1" pivotButton="0" quotePrefix="0" xfId="15">
      <alignment horizontal="left" vertical="center" wrapText="1"/>
    </xf>
    <xf numFmtId="1" fontId="5" fillId="0" borderId="393" applyAlignment="1" pivotButton="0" quotePrefix="0" xfId="15">
      <alignment horizontal="left" vertical="center" wrapText="1"/>
    </xf>
    <xf numFmtId="1" fontId="5" fillId="0" borderId="389" applyAlignment="1" pivotButton="0" quotePrefix="0" xfId="15">
      <alignment horizontal="left" vertical="center" wrapText="1"/>
    </xf>
    <xf numFmtId="1" fontId="5" fillId="0" borderId="407" applyAlignment="1" pivotButton="0" quotePrefix="0" xfId="15">
      <alignment horizontal="left" vertical="center" wrapText="1"/>
    </xf>
    <xf numFmtId="1" fontId="5" fillId="0" borderId="378" applyAlignment="1" pivotButton="0" quotePrefix="0" xfId="15">
      <alignment horizontal="left" vertical="center" wrapText="1"/>
    </xf>
    <xf numFmtId="0" fontId="5" fillId="0" borderId="522" applyAlignment="1" pivotButton="0" quotePrefix="0" xfId="0">
      <alignment horizontal="center" vertical="center" wrapText="1"/>
    </xf>
    <xf numFmtId="0" fontId="5" fillId="0" borderId="486" applyAlignment="1" pivotButton="0" quotePrefix="0" xfId="0">
      <alignment horizontal="center" vertical="center" wrapText="1"/>
    </xf>
    <xf numFmtId="0" fontId="5" fillId="0" borderId="393" applyAlignment="1" pivotButton="0" quotePrefix="0" xfId="0">
      <alignment horizontal="left" vertical="center" wrapText="1"/>
    </xf>
    <xf numFmtId="0" fontId="5" fillId="0" borderId="389" applyAlignment="1" pivotButton="0" quotePrefix="0" xfId="0">
      <alignment horizontal="left" vertical="center" wrapText="1"/>
    </xf>
    <xf numFmtId="0" fontId="5" fillId="0" borderId="367" applyAlignment="1" pivotButton="0" quotePrefix="0" xfId="0">
      <alignment horizontal="left" vertical="center" wrapText="1"/>
    </xf>
    <xf numFmtId="0" fontId="5" fillId="0" borderId="521" applyAlignment="1" pivotButton="0" quotePrefix="0" xfId="0">
      <alignment horizontal="left" vertical="center" wrapText="1"/>
    </xf>
    <xf numFmtId="1" fontId="5" fillId="0" borderId="573" applyAlignment="1" applyProtection="1" pivotButton="0" quotePrefix="0" xfId="15">
      <alignment horizontal="center" vertical="center" wrapText="1"/>
      <protection locked="0" hidden="0"/>
    </xf>
    <xf numFmtId="1" fontId="5" fillId="0" borderId="369" applyAlignment="1" applyProtection="1" pivotButton="0" quotePrefix="0" xfId="15">
      <alignment horizontal="center" vertical="center" wrapText="1"/>
      <protection locked="0" hidden="0"/>
    </xf>
    <xf numFmtId="1" fontId="5" fillId="0" borderId="1237" applyAlignment="1" applyProtection="1" pivotButton="0" quotePrefix="0" xfId="15">
      <alignment horizontal="center" vertical="center" wrapText="1"/>
      <protection locked="0" hidden="0"/>
    </xf>
    <xf numFmtId="1" fontId="5" fillId="0" borderId="283" applyAlignment="1" applyProtection="1" pivotButton="0" quotePrefix="0" xfId="15">
      <alignment horizontal="center" vertical="center" wrapText="1"/>
      <protection locked="0" hidden="0"/>
    </xf>
    <xf numFmtId="1" fontId="5" fillId="0" borderId="850" applyAlignment="1" applyProtection="1" pivotButton="0" quotePrefix="0" xfId="15">
      <alignment horizontal="center" vertical="center" wrapText="1"/>
      <protection locked="0" hidden="0"/>
    </xf>
    <xf numFmtId="1" fontId="5" fillId="0" borderId="1231" applyAlignment="1" applyProtection="1" pivotButton="0" quotePrefix="0" xfId="15">
      <alignment horizontal="center" vertical="center" wrapText="1"/>
      <protection locked="0" hidden="0"/>
    </xf>
    <xf numFmtId="1" fontId="5" fillId="0" borderId="281" applyAlignment="1" applyProtection="1" pivotButton="0" quotePrefix="0" xfId="15">
      <alignment horizontal="center" vertical="center" wrapText="1"/>
      <protection locked="0" hidden="0"/>
    </xf>
    <xf numFmtId="1" fontId="5" fillId="0" borderId="849" applyAlignment="1" applyProtection="1" pivotButton="0" quotePrefix="0" xfId="15">
      <alignment horizontal="center" vertical="center" wrapText="1"/>
      <protection locked="0" hidden="0"/>
    </xf>
    <xf numFmtId="1" fontId="5" fillId="0" borderId="515" applyAlignment="1" pivotButton="0" quotePrefix="0" xfId="0">
      <alignment horizontal="center" vertical="center"/>
    </xf>
    <xf numFmtId="1" fontId="5" fillId="0" borderId="524" applyAlignment="1" pivotButton="0" quotePrefix="0" xfId="0">
      <alignment horizontal="center" vertical="center"/>
    </xf>
    <xf numFmtId="1" fontId="5" fillId="0" borderId="456" applyAlignment="1" pivotButton="0" quotePrefix="0" xfId="0">
      <alignment horizontal="center" vertical="center" wrapText="1"/>
    </xf>
    <xf numFmtId="1" fontId="5" fillId="0" borderId="438" applyAlignment="1" pivotButton="0" quotePrefix="0" xfId="14">
      <alignment horizontal="center" vertical="center"/>
    </xf>
    <xf numFmtId="1" fontId="5" fillId="0" borderId="363" applyAlignment="1" pivotButton="0" quotePrefix="0" xfId="14">
      <alignment horizontal="center" vertical="center"/>
    </xf>
    <xf numFmtId="1" fontId="5" fillId="0" borderId="362" applyAlignment="1" pivotButton="0" quotePrefix="0" xfId="14">
      <alignment horizontal="center" vertical="center"/>
    </xf>
    <xf numFmtId="1" fontId="5" fillId="0" borderId="367" applyAlignment="1" pivotButton="0" quotePrefix="0" xfId="14">
      <alignment horizontal="center" vertical="center"/>
    </xf>
    <xf numFmtId="1" fontId="5" fillId="0" borderId="569" applyAlignment="1" pivotButton="0" quotePrefix="0" xfId="14">
      <alignment horizontal="center" vertical="center"/>
    </xf>
    <xf numFmtId="1" fontId="5" fillId="0" borderId="521" applyAlignment="1" pivotButton="0" quotePrefix="0" xfId="14">
      <alignment horizontal="center" vertical="center"/>
    </xf>
    <xf numFmtId="1" fontId="5" fillId="0" borderId="522" applyAlignment="1" pivotButton="0" quotePrefix="1" xfId="15">
      <alignment horizontal="center" vertical="center" wrapText="1"/>
    </xf>
    <xf numFmtId="1" fontId="5" fillId="0" borderId="560" applyAlignment="1" pivotButton="0" quotePrefix="1" xfId="15">
      <alignment horizontal="center" vertical="center" wrapText="1"/>
    </xf>
    <xf numFmtId="1" fontId="5" fillId="0" borderId="522" applyAlignment="1" pivotButton="0" quotePrefix="0" xfId="15">
      <alignment horizontal="center" vertical="center" wrapText="1"/>
    </xf>
    <xf numFmtId="1" fontId="5" fillId="0" borderId="437" applyAlignment="1" pivotButton="0" quotePrefix="0" xfId="15">
      <alignment horizontal="left" vertical="center" wrapText="1"/>
    </xf>
    <xf numFmtId="1" fontId="5" fillId="0" borderId="346" applyAlignment="1" pivotButton="0" quotePrefix="0" xfId="15">
      <alignment horizontal="left" vertical="center" wrapText="1"/>
    </xf>
    <xf numFmtId="1" fontId="5" fillId="0" borderId="367" applyAlignment="1" pivotButton="0" quotePrefix="0" xfId="15">
      <alignment horizontal="center"/>
    </xf>
    <xf numFmtId="1" fontId="5" fillId="0" borderId="521" applyAlignment="1" pivotButton="0" quotePrefix="0" xfId="15">
      <alignment horizontal="center"/>
    </xf>
    <xf numFmtId="1" fontId="5" fillId="0" borderId="515" applyAlignment="1" pivotButton="0" quotePrefix="0" xfId="0">
      <alignment horizontal="center" wrapText="1"/>
    </xf>
    <xf numFmtId="1" fontId="5" fillId="0" borderId="524" applyAlignment="1" pivotButton="0" quotePrefix="0" xfId="0">
      <alignment horizontal="center" wrapText="1"/>
    </xf>
    <xf numFmtId="1" fontId="5" fillId="0" borderId="373" applyAlignment="1" pivotButton="0" quotePrefix="0" xfId="0">
      <alignment horizontal="center" vertical="center" wrapText="1"/>
    </xf>
    <xf numFmtId="1" fontId="5" fillId="0" borderId="486" applyAlignment="1" pivotButton="0" quotePrefix="0" xfId="0">
      <alignment horizontal="center" vertical="center"/>
    </xf>
    <xf numFmtId="1" fontId="5" fillId="0" borderId="247" applyAlignment="1" pivotButton="0" quotePrefix="0" xfId="0">
      <alignment horizontal="center" vertical="center" wrapText="1"/>
    </xf>
    <xf numFmtId="1" fontId="5" fillId="0" borderId="505" applyAlignment="1" pivotButton="0" quotePrefix="0" xfId="0">
      <alignment horizontal="center" vertical="center" wrapText="1"/>
    </xf>
    <xf numFmtId="1" fontId="14" fillId="3" borderId="363" applyAlignment="1" pivotButton="0" quotePrefix="0" xfId="0">
      <alignment wrapText="1"/>
    </xf>
    <xf numFmtId="1" fontId="5" fillId="5" borderId="515" applyAlignment="1" pivotButton="0" quotePrefix="0" xfId="0">
      <alignment horizontal="center" vertical="center" wrapText="1"/>
    </xf>
    <xf numFmtId="1" fontId="5" fillId="5" borderId="524" applyAlignment="1" pivotButton="0" quotePrefix="0" xfId="0">
      <alignment horizontal="center" vertical="center" wrapText="1"/>
    </xf>
    <xf numFmtId="1" fontId="5" fillId="5" borderId="486" applyAlignment="1" pivotButton="0" quotePrefix="0" xfId="0">
      <alignment horizontal="center" vertical="center" wrapText="1"/>
    </xf>
    <xf numFmtId="1" fontId="5" fillId="0" borderId="362" applyAlignment="1" pivotButton="0" quotePrefix="0" xfId="0">
      <alignment horizontal="left" vertical="center"/>
    </xf>
    <xf numFmtId="1" fontId="5" fillId="0" borderId="521" applyAlignment="1" pivotButton="0" quotePrefix="0" xfId="0">
      <alignment horizontal="left" vertical="center"/>
    </xf>
    <xf numFmtId="1" fontId="5" fillId="6" borderId="283" applyAlignment="1" pivotButton="0" quotePrefix="0" xfId="0">
      <alignment horizontal="left" vertical="center" wrapText="1"/>
    </xf>
    <xf numFmtId="1" fontId="5" fillId="6" borderId="515" applyAlignment="1" pivotButton="0" quotePrefix="0" xfId="0">
      <alignment horizontal="center" vertical="center" wrapText="1"/>
    </xf>
    <xf numFmtId="1" fontId="5" fillId="6" borderId="524" applyAlignment="1" pivotButton="0" quotePrefix="0" xfId="0">
      <alignment horizontal="center" vertical="center" wrapText="1"/>
    </xf>
    <xf numFmtId="1" fontId="5" fillId="0" borderId="554" applyAlignment="1" pivotButton="0" quotePrefix="0" xfId="0">
      <alignment horizontal="left" vertical="center" wrapText="1"/>
    </xf>
    <xf numFmtId="1" fontId="5" fillId="0" borderId="384" applyAlignment="1" pivotButton="0" quotePrefix="0" xfId="0">
      <alignment horizontal="left" vertical="center" wrapText="1"/>
    </xf>
    <xf numFmtId="1" fontId="5" fillId="5" borderId="529" applyAlignment="1" pivotButton="0" quotePrefix="0" xfId="0">
      <alignment horizontal="center" vertical="center" wrapText="1"/>
    </xf>
    <xf numFmtId="1" fontId="5" fillId="0" borderId="561" applyAlignment="1" pivotButton="0" quotePrefix="0" xfId="0">
      <alignment horizontal="left" vertical="center"/>
    </xf>
    <xf numFmtId="1" fontId="5" fillId="0" borderId="449" applyAlignment="1" pivotButton="0" quotePrefix="0" xfId="0">
      <alignment horizontal="left" vertical="center"/>
    </xf>
    <xf numFmtId="1" fontId="5" fillId="0" borderId="562" applyAlignment="1" pivotButton="0" quotePrefix="0" xfId="0">
      <alignment horizontal="left" vertical="center"/>
    </xf>
    <xf numFmtId="1" fontId="5" fillId="0" borderId="380" applyAlignment="1" pivotButton="0" quotePrefix="0" xfId="0">
      <alignment horizontal="left" vertical="center"/>
    </xf>
    <xf numFmtId="1" fontId="5" fillId="0" borderId="26" applyAlignment="1" pivotButton="0" quotePrefix="0" xfId="0">
      <alignment horizontal="center" vertical="center" wrapText="1"/>
    </xf>
    <xf numFmtId="1" fontId="5" fillId="0" borderId="243" applyAlignment="1" pivotButton="0" quotePrefix="0" xfId="0">
      <alignment horizontal="center" vertical="center" wrapText="1"/>
    </xf>
    <xf numFmtId="1" fontId="5" fillId="0" borderId="391" applyAlignment="1" pivotButton="0" quotePrefix="0" xfId="0">
      <alignment horizontal="left"/>
    </xf>
    <xf numFmtId="1" fontId="5" fillId="0" borderId="0" applyAlignment="1" pivotButton="0" quotePrefix="0" xfId="0">
      <alignment horizontal="left"/>
    </xf>
    <xf numFmtId="1" fontId="5" fillId="0" borderId="546" applyAlignment="1" pivotButton="0" quotePrefix="0" xfId="0">
      <alignment horizontal="left"/>
    </xf>
    <xf numFmtId="1" fontId="5" fillId="0" borderId="401" applyAlignment="1" pivotButton="0" quotePrefix="0" xfId="0">
      <alignment horizontal="left"/>
    </xf>
    <xf numFmtId="1" fontId="5" fillId="0" borderId="378" applyAlignment="1" pivotButton="0" quotePrefix="0" xfId="0">
      <alignment horizontal="left"/>
    </xf>
    <xf numFmtId="1" fontId="14" fillId="3" borderId="0" applyAlignment="1" pivotButton="0" quotePrefix="0" xfId="0">
      <alignment wrapText="1"/>
    </xf>
    <xf numFmtId="1" fontId="14" fillId="3" borderId="0" applyAlignment="1" pivotButton="0" quotePrefix="0" xfId="0">
      <alignment horizontal="left" wrapText="1"/>
    </xf>
    <xf numFmtId="1" fontId="5" fillId="0" borderId="18" applyAlignment="1" pivotButton="0" quotePrefix="0" xfId="0">
      <alignment horizontal="center" vertical="center"/>
    </xf>
    <xf numFmtId="1" fontId="5" fillId="0" borderId="57" applyAlignment="1" pivotButton="0" quotePrefix="0" xfId="0">
      <alignment horizontal="center" vertical="center"/>
    </xf>
    <xf numFmtId="1" fontId="5" fillId="0" borderId="21" applyAlignment="1" pivotButton="0" quotePrefix="0" xfId="0">
      <alignment horizontal="center" vertical="center"/>
    </xf>
    <xf numFmtId="1" fontId="5" fillId="0" borderId="546" applyAlignment="1" pivotButton="0" quotePrefix="0" xfId="0">
      <alignment horizontal="center" vertical="center"/>
    </xf>
    <xf numFmtId="1" fontId="5" fillId="0" borderId="432" applyAlignment="1" pivotButton="0" quotePrefix="0" xfId="0">
      <alignment horizontal="center" vertical="center"/>
    </xf>
    <xf numFmtId="1" fontId="5" fillId="0" borderId="166" applyAlignment="1" pivotButton="0" quotePrefix="0" xfId="0">
      <alignment horizontal="center" vertical="center" wrapText="1"/>
    </xf>
    <xf numFmtId="1" fontId="5" fillId="0" borderId="20" applyAlignment="1" pivotButton="0" quotePrefix="0" xfId="0">
      <alignment horizontal="center" vertical="center" wrapText="1"/>
    </xf>
    <xf numFmtId="1" fontId="5" fillId="0" borderId="57" applyAlignment="1" pivotButton="0" quotePrefix="0" xfId="0">
      <alignment horizontal="center" vertical="center" wrapText="1"/>
    </xf>
    <xf numFmtId="1" fontId="5" fillId="0" borderId="238" applyAlignment="1" pivotButton="0" quotePrefix="0" xfId="0">
      <alignment horizontal="center" vertical="center"/>
    </xf>
    <xf numFmtId="1" fontId="5" fillId="0" borderId="26" applyAlignment="1" pivotButton="0" quotePrefix="0" xfId="0">
      <alignment horizontal="center" vertical="center"/>
    </xf>
    <xf numFmtId="1" fontId="5" fillId="0" borderId="243" applyAlignment="1" pivotButton="0" quotePrefix="0" xfId="0">
      <alignment horizontal="center" vertical="center"/>
    </xf>
    <xf numFmtId="1" fontId="5" fillId="0" borderId="238" applyAlignment="1" pivotButton="0" quotePrefix="0" xfId="0">
      <alignment horizontal="center" vertical="center" wrapText="1"/>
    </xf>
    <xf numFmtId="1" fontId="5" fillId="0" borderId="403" applyAlignment="1" pivotButton="0" quotePrefix="0" xfId="0">
      <alignment horizontal="left" wrapText="1"/>
    </xf>
    <xf numFmtId="1" fontId="5" fillId="0" borderId="384" applyAlignment="1" pivotButton="0" quotePrefix="0" xfId="0">
      <alignment horizontal="left" wrapText="1"/>
    </xf>
    <xf numFmtId="1" fontId="5" fillId="0" borderId="522" applyAlignment="1" pivotButton="0" quotePrefix="0" xfId="0">
      <alignment horizontal="left" wrapText="1"/>
    </xf>
    <xf numFmtId="1" fontId="5" fillId="0" borderId="453" applyAlignment="1" pivotButton="0" quotePrefix="0" xfId="0">
      <alignment horizontal="left"/>
    </xf>
    <xf numFmtId="1" fontId="5" fillId="0" borderId="448" applyAlignment="1" pivotButton="0" quotePrefix="0" xfId="0">
      <alignment horizontal="left"/>
    </xf>
    <xf numFmtId="1" fontId="5" fillId="0" borderId="436" applyAlignment="1" pivotButton="0" quotePrefix="0" xfId="0">
      <alignment horizontal="left" vertical="center" wrapText="1"/>
    </xf>
    <xf numFmtId="1" fontId="5" fillId="0" borderId="474" applyAlignment="1" pivotButton="0" quotePrefix="0" xfId="0">
      <alignment horizontal="left" vertical="center" wrapText="1"/>
    </xf>
    <xf numFmtId="1" fontId="5" fillId="0" borderId="849" applyAlignment="1" pivotButton="0" quotePrefix="0" xfId="0">
      <alignment horizontal="center" vertical="center" wrapText="1"/>
    </xf>
    <xf numFmtId="1" fontId="5" fillId="0" borderId="535" applyAlignment="1" pivotButton="0" quotePrefix="0" xfId="0">
      <alignment horizontal="left" vertical="center" wrapText="1"/>
    </xf>
    <xf numFmtId="1" fontId="1" fillId="3" borderId="541" applyAlignment="1" pivotButton="0" quotePrefix="0" xfId="0">
      <alignment horizontal="center" vertical="center" wrapText="1"/>
    </xf>
    <xf numFmtId="1" fontId="5" fillId="0" borderId="1314" applyAlignment="1" pivotButton="0" quotePrefix="0" xfId="0">
      <alignment horizontal="center" vertical="center" wrapText="1"/>
    </xf>
    <xf numFmtId="1" fontId="5" fillId="0" borderId="793" applyAlignment="1" pivotButton="0" quotePrefix="0" xfId="0">
      <alignment horizontal="center" vertical="center" wrapText="1"/>
    </xf>
    <xf numFmtId="1" fontId="5" fillId="0" borderId="1181" applyAlignment="1" pivotButton="0" quotePrefix="0" xfId="0">
      <alignment horizontal="center" vertical="center" wrapText="1"/>
    </xf>
    <xf numFmtId="1" fontId="5" fillId="0" borderId="443" applyAlignment="1" pivotButton="0" quotePrefix="0" xfId="0">
      <alignment horizontal="center" vertical="center" wrapText="1"/>
    </xf>
    <xf numFmtId="1" fontId="5" fillId="5" borderId="1314" applyAlignment="1" pivotButton="0" quotePrefix="0" xfId="0">
      <alignment horizontal="center" vertical="center" wrapText="1"/>
    </xf>
    <xf numFmtId="1" fontId="5" fillId="5" borderId="7" applyAlignment="1" pivotButton="0" quotePrefix="0" xfId="0">
      <alignment horizontal="center" vertical="center" wrapText="1"/>
    </xf>
    <xf numFmtId="1" fontId="5" fillId="5" borderId="793" applyAlignment="1" pivotButton="0" quotePrefix="0" xfId="0">
      <alignment horizontal="center" vertical="center" wrapText="1"/>
    </xf>
    <xf numFmtId="1" fontId="5" fillId="5" borderId="1231" applyAlignment="1" pivotButton="0" quotePrefix="0" xfId="0">
      <alignment horizontal="center" vertical="center" wrapText="1"/>
    </xf>
    <xf numFmtId="1" fontId="5" fillId="5" borderId="281" applyAlignment="1" pivotButton="0" quotePrefix="0" xfId="0">
      <alignment horizontal="center" vertical="center" wrapText="1"/>
    </xf>
    <xf numFmtId="1" fontId="5" fillId="5" borderId="849" applyAlignment="1" pivotButton="0" quotePrefix="0" xfId="0">
      <alignment horizontal="center" vertical="center" wrapText="1"/>
    </xf>
    <xf numFmtId="1" fontId="5" fillId="0" borderId="515" applyAlignment="1" pivotButton="0" quotePrefix="0" xfId="0">
      <alignment horizontal="left" vertical="center" wrapText="1"/>
    </xf>
    <xf numFmtId="1" fontId="5" fillId="0" borderId="524" applyAlignment="1" pivotButton="0" quotePrefix="0" xfId="0">
      <alignment horizontal="left" vertical="center" wrapText="1"/>
    </xf>
    <xf numFmtId="1" fontId="5" fillId="0" borderId="283" applyAlignment="1" pivotButton="0" quotePrefix="0" xfId="0">
      <alignment horizontal="left" vertical="center" wrapText="1"/>
    </xf>
    <xf numFmtId="1" fontId="5" fillId="0" borderId="438" applyAlignment="1" pivotButton="0" quotePrefix="0" xfId="0">
      <alignment horizontal="left" wrapText="1"/>
    </xf>
    <xf numFmtId="1" fontId="5" fillId="0" borderId="362" applyAlignment="1" pivotButton="0" quotePrefix="0" xfId="0">
      <alignment horizontal="left" wrapText="1"/>
    </xf>
    <xf numFmtId="1" fontId="5" fillId="0" borderId="560" applyAlignment="1" pivotButton="0" quotePrefix="0" xfId="0">
      <alignment horizontal="center" vertical="center" wrapText="1"/>
    </xf>
    <xf numFmtId="1" fontId="5" fillId="0" borderId="621" applyAlignment="1" pivotButton="0" quotePrefix="0" xfId="30">
      <alignment horizontal="center" vertical="center"/>
    </xf>
    <xf numFmtId="1" fontId="5" fillId="0" borderId="624" applyAlignment="1" pivotButton="0" quotePrefix="0" xfId="30">
      <alignment horizontal="center" vertical="center"/>
    </xf>
    <xf numFmtId="1" fontId="5" fillId="0" borderId="625" applyAlignment="1" pivotButton="0" quotePrefix="0" xfId="30">
      <alignment horizontal="center" vertical="center"/>
    </xf>
    <xf numFmtId="1" fontId="5" fillId="0" borderId="539" applyAlignment="1" pivotButton="0" quotePrefix="0" xfId="30">
      <alignment horizontal="center" vertical="center"/>
    </xf>
    <xf numFmtId="1" fontId="5" fillId="0" borderId="623" applyAlignment="1" pivotButton="0" quotePrefix="0" xfId="30">
      <alignment horizontal="center" vertical="center" wrapText="1"/>
    </xf>
    <xf numFmtId="1" fontId="5" fillId="0" borderId="546" applyAlignment="1" pivotButton="0" quotePrefix="0" xfId="30">
      <alignment horizontal="center" vertical="center" wrapText="1"/>
    </xf>
    <xf numFmtId="1" fontId="5" fillId="0" borderId="521" applyAlignment="1" pivotButton="0" quotePrefix="0" xfId="30">
      <alignment horizontal="center" vertical="center" wrapText="1"/>
    </xf>
    <xf numFmtId="1" fontId="14" fillId="5" borderId="634" applyAlignment="1" pivotButton="0" quotePrefix="1" xfId="29">
      <alignment horizontal="left"/>
    </xf>
    <xf numFmtId="1" fontId="14" fillId="5" borderId="635" applyAlignment="1" pivotButton="0" quotePrefix="1" xfId="29">
      <alignment horizontal="left"/>
    </xf>
    <xf numFmtId="1" fontId="5" fillId="0" borderId="620" applyAlignment="1" pivotButton="0" quotePrefix="0" xfId="29">
      <alignment horizontal="center" vertical="center" wrapText="1"/>
    </xf>
    <xf numFmtId="1" fontId="5" fillId="0" borderId="281" applyAlignment="1" pivotButton="0" quotePrefix="0" xfId="29">
      <alignment horizontal="center" vertical="center" wrapText="1"/>
    </xf>
    <xf numFmtId="1" fontId="5" fillId="0" borderId="618" applyAlignment="1" pivotButton="0" quotePrefix="0" xfId="29">
      <alignment horizontal="center" vertical="center" wrapText="1"/>
    </xf>
    <xf numFmtId="1" fontId="5" fillId="0" borderId="622" applyAlignment="1" pivotButton="0" quotePrefix="0" xfId="30">
      <alignment horizontal="center" vertical="center"/>
    </xf>
    <xf numFmtId="1" fontId="5" fillId="0" borderId="623" applyAlignment="1" pivotButton="0" quotePrefix="0" xfId="30">
      <alignment horizontal="center" vertical="center"/>
    </xf>
    <xf numFmtId="1" fontId="5" fillId="0" borderId="569" applyAlignment="1" pivotButton="0" quotePrefix="0" xfId="30">
      <alignment horizontal="center" vertical="center"/>
    </xf>
    <xf numFmtId="1" fontId="5" fillId="0" borderId="521" applyAlignment="1" pivotButton="0" quotePrefix="0" xfId="30">
      <alignment horizontal="center" vertical="center"/>
    </xf>
    <xf numFmtId="1" fontId="15" fillId="0" borderId="0" applyAlignment="1" pivotButton="0" quotePrefix="0" xfId="0">
      <alignment horizontal="center" vertical="center" wrapText="1"/>
    </xf>
    <xf numFmtId="1" fontId="5" fillId="0" borderId="363" applyAlignment="1" pivotButton="0" quotePrefix="0" xfId="0">
      <alignment horizontal="center" vertical="center" wrapText="1"/>
    </xf>
    <xf numFmtId="1" fontId="5" fillId="0" borderId="362" applyAlignment="1" pivotButton="0" quotePrefix="0" xfId="0">
      <alignment horizontal="center" vertical="center" wrapText="1"/>
    </xf>
    <xf numFmtId="1" fontId="5" fillId="0" borderId="569" applyAlignment="1" pivotButton="0" quotePrefix="0" xfId="0">
      <alignment horizontal="center" vertical="center" wrapText="1"/>
    </xf>
    <xf numFmtId="1" fontId="5" fillId="0" borderId="521" applyAlignment="1" pivotButton="0" quotePrefix="0" xfId="0">
      <alignment horizontal="center" vertical="center" wrapText="1"/>
    </xf>
    <xf numFmtId="0" fontId="5" fillId="0" borderId="1181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  <xf numFmtId="0" fontId="5" fillId="0" borderId="1347" applyAlignment="1" pivotButton="0" quotePrefix="0" xfId="0">
      <alignment horizontal="center" vertical="center" wrapText="1"/>
    </xf>
    <xf numFmtId="0" fontId="5" fillId="0" borderId="281" applyAlignment="1" pivotButton="0" quotePrefix="0" xfId="0">
      <alignment horizontal="center" vertical="center" wrapText="1"/>
    </xf>
    <xf numFmtId="0" fontId="5" fillId="0" borderId="546" applyAlignment="1" pivotButton="0" quotePrefix="0" xfId="0">
      <alignment horizontal="center" vertical="center" wrapText="1"/>
    </xf>
    <xf numFmtId="0" fontId="5" fillId="0" borderId="515" applyAlignment="1" pivotButton="0" quotePrefix="0" xfId="0">
      <alignment horizontal="center"/>
    </xf>
    <xf numFmtId="0" fontId="5" fillId="0" borderId="524" applyAlignment="1" pivotButton="0" quotePrefix="0" xfId="0">
      <alignment horizontal="center"/>
    </xf>
    <xf numFmtId="0" fontId="5" fillId="0" borderId="442" applyAlignment="1" pivotButton="0" quotePrefix="0" xfId="0">
      <alignment horizontal="center" vertical="center" wrapText="1"/>
    </xf>
    <xf numFmtId="0" fontId="5" fillId="0" borderId="282" applyAlignment="1" pivotButton="0" quotePrefix="0" xfId="0">
      <alignment horizontal="center" vertical="center" wrapText="1"/>
    </xf>
    <xf numFmtId="0" fontId="5" fillId="0" borderId="347" applyAlignment="1" pivotButton="0" quotePrefix="0" xfId="0">
      <alignment horizontal="center" vertical="center" wrapText="1"/>
    </xf>
    <xf numFmtId="1" fontId="5" fillId="0" borderId="1347" applyAlignment="1" pivotButton="0" quotePrefix="0" xfId="0">
      <alignment horizontal="center" vertical="center" wrapText="1"/>
    </xf>
    <xf numFmtId="1" fontId="5" fillId="0" borderId="603" applyAlignment="1" pivotButton="0" quotePrefix="0" xfId="0">
      <alignment horizontal="center" vertical="center"/>
    </xf>
    <xf numFmtId="1" fontId="5" fillId="0" borderId="604" applyAlignment="1" pivotButton="0" quotePrefix="0" xfId="0">
      <alignment horizontal="center" vertical="center"/>
    </xf>
    <xf numFmtId="1" fontId="5" fillId="0" borderId="283" applyAlignment="1" pivotButton="0" quotePrefix="0" xfId="0">
      <alignment horizontal="center" vertical="center"/>
    </xf>
    <xf numFmtId="1" fontId="5" fillId="0" borderId="367" applyAlignment="1" pivotButton="0" quotePrefix="0" xfId="0">
      <alignment horizontal="center" vertical="center"/>
    </xf>
    <xf numFmtId="1" fontId="5" fillId="0" borderId="603" applyAlignment="1" pivotButton="0" quotePrefix="0" xfId="0">
      <alignment horizontal="center" vertical="center" wrapText="1"/>
    </xf>
    <xf numFmtId="1" fontId="5" fillId="0" borderId="608" applyAlignment="1" pivotButton="0" quotePrefix="0" xfId="0">
      <alignment horizontal="center" vertical="center" wrapText="1"/>
    </xf>
    <xf numFmtId="1" fontId="5" fillId="0" borderId="604" applyAlignment="1" pivotButton="0" quotePrefix="0" xfId="0">
      <alignment horizontal="center" vertical="center" wrapText="1"/>
    </xf>
    <xf numFmtId="1" fontId="5" fillId="0" borderId="587" applyAlignment="1" pivotButton="0" quotePrefix="0" xfId="0">
      <alignment horizontal="center" vertical="center" wrapText="1"/>
    </xf>
    <xf numFmtId="1" fontId="5" fillId="0" borderId="605" applyAlignment="1" pivotButton="0" quotePrefix="0" xfId="0">
      <alignment horizontal="center" vertical="center" wrapText="1"/>
    </xf>
    <xf numFmtId="1" fontId="5" fillId="0" borderId="607" applyAlignment="1" pivotButton="0" quotePrefix="0" xfId="0">
      <alignment horizontal="center" vertical="center" wrapText="1"/>
    </xf>
    <xf numFmtId="1" fontId="5" fillId="0" borderId="606" applyAlignment="1" pivotButton="0" quotePrefix="0" xfId="0">
      <alignment horizontal="center" vertical="center" wrapText="1"/>
    </xf>
    <xf numFmtId="1" fontId="5" fillId="0" borderId="609" applyAlignment="1" pivotButton="0" quotePrefix="0" xfId="0">
      <alignment horizontal="center" vertical="center" wrapText="1"/>
    </xf>
    <xf numFmtId="1" fontId="5" fillId="0" borderId="588" applyAlignment="1" pivotButton="0" quotePrefix="0" xfId="0">
      <alignment horizontal="center" vertical="center" wrapText="1"/>
    </xf>
    <xf numFmtId="1" fontId="5" fillId="0" borderId="539" applyAlignment="1" pivotButton="0" quotePrefix="0" xfId="0">
      <alignment horizontal="center" vertical="center" wrapText="1"/>
    </xf>
    <xf numFmtId="1" fontId="5" fillId="0" borderId="605" applyAlignment="1" pivotButton="0" quotePrefix="0" xfId="0">
      <alignment horizontal="center" vertical="center"/>
    </xf>
    <xf numFmtId="1" fontId="5" fillId="0" borderId="536" applyAlignment="1" pivotButton="0" quotePrefix="0" xfId="0">
      <alignment horizontal="center" vertical="center"/>
    </xf>
    <xf numFmtId="1" fontId="5" fillId="0" borderId="536" applyAlignment="1" pivotButton="0" quotePrefix="0" xfId="0">
      <alignment horizontal="center" vertical="center" wrapText="1"/>
    </xf>
    <xf numFmtId="1" fontId="14" fillId="0" borderId="606" applyAlignment="1" pivotButton="0" quotePrefix="0" xfId="0">
      <alignment horizontal="left"/>
    </xf>
    <xf numFmtId="1" fontId="5" fillId="0" borderId="597" applyAlignment="1" pivotButton="0" quotePrefix="0" xfId="0">
      <alignment horizontal="center" vertical="center"/>
    </xf>
    <xf numFmtId="1" fontId="5" fillId="6" borderId="597" applyAlignment="1" pivotButton="0" quotePrefix="0" xfId="0">
      <alignment horizontal="center" vertical="center" wrapText="1"/>
    </xf>
    <xf numFmtId="1" fontId="5" fillId="0" borderId="597" applyAlignment="1" pivotButton="0" quotePrefix="0" xfId="0">
      <alignment horizontal="center" vertical="center" wrapText="1"/>
    </xf>
    <xf numFmtId="1" fontId="5" fillId="0" borderId="615" applyAlignment="1" pivotButton="0" quotePrefix="0" xfId="0">
      <alignment horizontal="center" vertical="center" wrapText="1"/>
    </xf>
    <xf numFmtId="1" fontId="5" fillId="0" borderId="597" applyAlignment="1" pivotButton="0" quotePrefix="0" xfId="0">
      <alignment horizontal="left" vertical="center"/>
    </xf>
    <xf numFmtId="1" fontId="5" fillId="0" borderId="573" applyAlignment="1" pivotButton="0" quotePrefix="0" xfId="30">
      <alignment horizontal="center" vertical="center" wrapText="1"/>
    </xf>
    <xf numFmtId="1" fontId="5" fillId="0" borderId="624" applyAlignment="1" pivotButton="0" quotePrefix="0" xfId="30">
      <alignment horizontal="center" vertical="center" wrapText="1"/>
    </xf>
    <xf numFmtId="1" fontId="5" fillId="0" borderId="369" applyAlignment="1" pivotButton="0" quotePrefix="0" xfId="30">
      <alignment horizontal="center" vertical="center" wrapText="1"/>
    </xf>
    <xf numFmtId="1" fontId="5" fillId="0" borderId="539" applyAlignment="1" pivotButton="0" quotePrefix="0" xfId="30">
      <alignment horizontal="center" vertical="center" wrapText="1"/>
    </xf>
    <xf numFmtId="1" fontId="5" fillId="0" borderId="621" applyAlignment="1" pivotButton="0" quotePrefix="0" xfId="30">
      <alignment horizontal="center" vertical="center" wrapText="1"/>
    </xf>
    <xf numFmtId="1" fontId="5" fillId="0" borderId="622" applyAlignment="1" pivotButton="0" quotePrefix="0" xfId="30">
      <alignment horizontal="center" vertical="center" wrapText="1"/>
    </xf>
    <xf numFmtId="1" fontId="5" fillId="0" borderId="625" applyAlignment="1" pivotButton="0" quotePrefix="0" xfId="30">
      <alignment horizontal="center" vertical="center" wrapText="1"/>
    </xf>
    <xf numFmtId="1" fontId="5" fillId="0" borderId="569" applyAlignment="1" pivotButton="0" quotePrefix="0" xfId="30">
      <alignment horizontal="center" vertical="center" wrapText="1"/>
    </xf>
    <xf numFmtId="1" fontId="16" fillId="0" borderId="605" applyAlignment="1" pivotButton="0" quotePrefix="0" xfId="0">
      <alignment horizontal="left" vertical="center"/>
    </xf>
    <xf numFmtId="1" fontId="16" fillId="0" borderId="486" applyAlignment="1" pivotButton="0" quotePrefix="0" xfId="0">
      <alignment horizontal="left" vertical="center"/>
    </xf>
    <xf numFmtId="1" fontId="16" fillId="0" borderId="524" applyAlignment="1" pivotButton="0" quotePrefix="0" xfId="0">
      <alignment horizontal="left" vertical="center"/>
    </xf>
    <xf numFmtId="1" fontId="14" fillId="5" borderId="569" applyAlignment="1" pivotButton="0" quotePrefix="1" xfId="29">
      <alignment horizontal="left"/>
    </xf>
    <xf numFmtId="1" fontId="14" fillId="5" borderId="572" applyAlignment="1" pivotButton="0" quotePrefix="1" xfId="29">
      <alignment horizontal="left"/>
    </xf>
    <xf numFmtId="1" fontId="5" fillId="0" borderId="639" applyAlignment="1" pivotButton="0" quotePrefix="0" xfId="29">
      <alignment horizontal="center" vertical="center" wrapText="1"/>
    </xf>
    <xf numFmtId="1" fontId="5" fillId="0" borderId="625" applyAlignment="1" pivotButton="0" quotePrefix="0" xfId="29">
      <alignment horizontal="center" vertical="center" wrapText="1"/>
    </xf>
    <xf numFmtId="1" fontId="5" fillId="0" borderId="631" applyAlignment="1" pivotButton="0" quotePrefix="0" xfId="29">
      <alignment horizontal="center" vertical="center" wrapText="1"/>
    </xf>
    <xf numFmtId="1" fontId="5" fillId="0" borderId="640" applyAlignment="1" pivotButton="0" quotePrefix="0" xfId="29">
      <alignment horizontal="center" vertical="center" wrapText="1"/>
    </xf>
    <xf numFmtId="1" fontId="5" fillId="0" borderId="641" applyAlignment="1" pivotButton="0" quotePrefix="0" xfId="29">
      <alignment horizontal="center" vertical="center" wrapText="1"/>
    </xf>
    <xf numFmtId="1" fontId="5" fillId="0" borderId="643" applyAlignment="1" pivotButton="0" quotePrefix="0" xfId="0">
      <alignment horizontal="center" vertical="center"/>
    </xf>
    <xf numFmtId="1" fontId="5" fillId="0" borderId="644" applyAlignment="1" pivotButton="0" quotePrefix="0" xfId="0">
      <alignment horizontal="center" vertical="center" wrapText="1"/>
    </xf>
    <xf numFmtId="1" fontId="5" fillId="0" borderId="631" applyAlignment="1" pivotButton="0" quotePrefix="0" xfId="0">
      <alignment horizontal="center" vertical="center"/>
    </xf>
    <xf numFmtId="1" fontId="5" fillId="0" borderId="645" applyAlignment="1" pivotButton="0" quotePrefix="0" xfId="0">
      <alignment horizontal="center" vertical="center"/>
    </xf>
    <xf numFmtId="1" fontId="5" fillId="0" borderId="646" applyAlignment="1" pivotButton="0" quotePrefix="0" xfId="0">
      <alignment horizontal="center" vertical="center"/>
    </xf>
    <xf numFmtId="1" fontId="5" fillId="0" borderId="647" applyAlignment="1" pivotButton="0" quotePrefix="0" xfId="0">
      <alignment horizontal="center" vertical="center"/>
    </xf>
    <xf numFmtId="1" fontId="5" fillId="0" borderId="1181" applyAlignment="1" pivotButton="0" quotePrefix="0" xfId="0">
      <alignment horizontal="center" vertical="top" wrapText="1"/>
    </xf>
    <xf numFmtId="1" fontId="5" fillId="0" borderId="0" applyAlignment="1" pivotButton="0" quotePrefix="0" xfId="0">
      <alignment horizontal="center" vertical="top" wrapText="1"/>
    </xf>
    <xf numFmtId="1" fontId="5" fillId="0" borderId="1347" applyAlignment="1" pivotButton="0" quotePrefix="0" xfId="0">
      <alignment horizontal="center" vertical="top" wrapText="1"/>
    </xf>
    <xf numFmtId="1" fontId="5" fillId="0" borderId="1231" applyAlignment="1" pivotButton="0" quotePrefix="0" xfId="0">
      <alignment horizontal="center" vertical="top" wrapText="1"/>
    </xf>
    <xf numFmtId="1" fontId="5" fillId="0" borderId="281" applyAlignment="1" pivotButton="0" quotePrefix="0" xfId="0">
      <alignment horizontal="center" vertical="top" wrapText="1"/>
    </xf>
    <xf numFmtId="1" fontId="5" fillId="0" borderId="849" applyAlignment="1" pivotButton="0" quotePrefix="0" xfId="0">
      <alignment horizontal="center" vertical="top" wrapText="1"/>
    </xf>
    <xf numFmtId="1" fontId="5" fillId="0" borderId="649" applyAlignment="1" pivotButton="0" quotePrefix="0" xfId="0">
      <alignment horizontal="center" vertical="center"/>
    </xf>
    <xf numFmtId="1" fontId="5" fillId="0" borderId="1381" applyAlignment="1" pivotButton="0" quotePrefix="0" xfId="0">
      <alignment horizontal="center" vertical="center"/>
    </xf>
    <xf numFmtId="1" fontId="5" fillId="0" borderId="849" applyAlignment="1" pivotButton="0" quotePrefix="0" xfId="0">
      <alignment horizontal="center" vertical="center"/>
    </xf>
    <xf numFmtId="1" fontId="5" fillId="0" borderId="1385" applyAlignment="1" pivotButton="0" quotePrefix="0" xfId="0">
      <alignment horizontal="center" vertical="center"/>
    </xf>
    <xf numFmtId="1" fontId="5" fillId="0" borderId="673" applyAlignment="1" pivotButton="0" quotePrefix="0" xfId="0">
      <alignment horizontal="center" vertical="center" wrapText="1"/>
    </xf>
    <xf numFmtId="1" fontId="5" fillId="0" borderId="650" applyAlignment="1" pivotButton="0" quotePrefix="0" xfId="0">
      <alignment horizontal="left" vertical="center" wrapText="1"/>
    </xf>
    <xf numFmtId="1" fontId="5" fillId="0" borderId="618" applyAlignment="1" pivotButton="0" quotePrefix="0" xfId="0">
      <alignment horizontal="left" vertical="center" wrapText="1"/>
    </xf>
    <xf numFmtId="0" fontId="5" fillId="0" borderId="663" applyAlignment="1" pivotButton="0" quotePrefix="0" xfId="0">
      <alignment horizontal="center" vertical="center"/>
    </xf>
    <xf numFmtId="0" fontId="5" fillId="0" borderId="674" applyAlignment="1" pivotButton="0" quotePrefix="0" xfId="0">
      <alignment horizontal="center" vertical="center"/>
    </xf>
    <xf numFmtId="1" fontId="5" fillId="0" borderId="672" applyAlignment="1" pivotButton="0" quotePrefix="0" xfId="0">
      <alignment horizontal="center" vertical="center" wrapText="1"/>
    </xf>
    <xf numFmtId="0" fontId="5" fillId="0" borderId="1354" applyAlignment="1" pivotButton="0" quotePrefix="0" xfId="0">
      <alignment horizontal="center" vertical="center" wrapText="1"/>
    </xf>
    <xf numFmtId="0" fontId="5" fillId="0" borderId="679" applyAlignment="1" pivotButton="0" quotePrefix="0" xfId="0">
      <alignment horizontal="center" vertical="center"/>
    </xf>
    <xf numFmtId="0" fontId="5" fillId="0" borderId="618" applyAlignment="1" pivotButton="0" quotePrefix="0" xfId="0">
      <alignment horizontal="center" vertical="center"/>
    </xf>
    <xf numFmtId="0" fontId="5" fillId="0" borderId="670" applyAlignment="1" pivotButton="0" quotePrefix="0" xfId="0">
      <alignment horizontal="center" vertical="center"/>
    </xf>
    <xf numFmtId="0" fontId="5" fillId="0" borderId="671" applyAlignment="1" pivotButton="0" quotePrefix="0" xfId="0">
      <alignment horizontal="center" vertical="center"/>
    </xf>
    <xf numFmtId="0" fontId="5" fillId="0" borderId="672" applyAlignment="1" pivotButton="0" quotePrefix="0" xfId="0">
      <alignment horizontal="center" vertical="center"/>
    </xf>
    <xf numFmtId="0" fontId="5" fillId="0" borderId="1364" applyAlignment="1" pivotButton="0" quotePrefix="0" xfId="0">
      <alignment horizontal="center" vertical="center" wrapText="1"/>
    </xf>
    <xf numFmtId="1" fontId="5" fillId="0" borderId="364" applyAlignment="1" pivotButton="0" quotePrefix="0" xfId="0">
      <alignment horizontal="center" vertical="center" wrapText="1"/>
    </xf>
    <xf numFmtId="0" fontId="5" fillId="0" borderId="283" applyAlignment="1" pivotButton="0" quotePrefix="0" xfId="0">
      <alignment horizontal="center" vertical="center" wrapText="1"/>
    </xf>
    <xf numFmtId="0" fontId="5" fillId="0" borderId="364" applyAlignment="1" pivotButton="0" quotePrefix="0" xfId="0">
      <alignment horizontal="center" vertical="center" wrapText="1"/>
    </xf>
    <xf numFmtId="0" fontId="5" fillId="0" borderId="247" applyAlignment="1" pivotButton="0" quotePrefix="0" xfId="0">
      <alignment horizontal="center" vertical="center" wrapText="1"/>
    </xf>
    <xf numFmtId="0" fontId="5" fillId="0" borderId="469" applyAlignment="1" pivotButton="0" quotePrefix="0" xfId="0">
      <alignment horizontal="center" vertical="center" wrapText="1"/>
    </xf>
    <xf numFmtId="0" fontId="5" fillId="0" borderId="583" applyAlignment="1" pivotButton="0" quotePrefix="0" xfId="0">
      <alignment horizontal="center" wrapText="1"/>
    </xf>
    <xf numFmtId="0" fontId="5" fillId="0" borderId="486" applyAlignment="1" pivotButton="0" quotePrefix="0" xfId="0">
      <alignment horizontal="center" wrapText="1"/>
    </xf>
    <xf numFmtId="0" fontId="5" fillId="0" borderId="524" applyAlignment="1" pivotButton="0" quotePrefix="0" xfId="0">
      <alignment horizontal="center" wrapText="1"/>
    </xf>
    <xf numFmtId="1" fontId="5" fillId="0" borderId="1354" applyAlignment="1" pivotButton="0" quotePrefix="0" xfId="0">
      <alignment horizontal="center" vertical="center" wrapText="1"/>
    </xf>
    <xf numFmtId="1" fontId="5" fillId="5" borderId="670" applyAlignment="1" pivotButton="0" quotePrefix="0" xfId="0">
      <alignment horizontal="center" vertical="center" wrapText="1"/>
    </xf>
    <xf numFmtId="1" fontId="5" fillId="5" borderId="671" applyAlignment="1" pivotButton="0" quotePrefix="0" xfId="0">
      <alignment horizontal="center" vertical="center" wrapText="1"/>
    </xf>
    <xf numFmtId="1" fontId="5" fillId="5" borderId="673" applyAlignment="1" pivotButton="0" quotePrefix="0" xfId="0">
      <alignment horizontal="center" vertical="center" wrapText="1"/>
    </xf>
    <xf numFmtId="1" fontId="5" fillId="5" borderId="685" applyAlignment="1" pivotButton="0" quotePrefix="0" xfId="0">
      <alignment horizontal="center" vertical="center"/>
    </xf>
    <xf numFmtId="1" fontId="5" fillId="5" borderId="685" applyAlignment="1" pivotButton="0" quotePrefix="0" xfId="0">
      <alignment horizontal="center" vertical="center" wrapText="1"/>
    </xf>
    <xf numFmtId="1" fontId="5" fillId="5" borderId="686" applyAlignment="1" pivotButton="0" quotePrefix="0" xfId="0">
      <alignment horizontal="center" vertical="center" wrapText="1"/>
    </xf>
    <xf numFmtId="1" fontId="5" fillId="0" borderId="693" applyAlignment="1" pivotButton="0" quotePrefix="0" xfId="0">
      <alignment horizontal="center" vertical="center" wrapText="1"/>
    </xf>
    <xf numFmtId="0" fontId="5" fillId="0" borderId="683" applyAlignment="1" pivotButton="0" quotePrefix="0" xfId="0">
      <alignment horizontal="center" vertical="center"/>
    </xf>
    <xf numFmtId="1" fontId="5" fillId="5" borderId="679" applyAlignment="1" applyProtection="1" pivotButton="0" quotePrefix="0" xfId="0">
      <alignment horizontal="center" vertical="center" wrapText="1"/>
      <protection locked="1" hidden="1"/>
    </xf>
    <xf numFmtId="1" fontId="5" fillId="5" borderId="281" applyAlignment="1" applyProtection="1" pivotButton="0" quotePrefix="0" xfId="0">
      <alignment horizontal="center" vertical="center" wrapText="1"/>
      <protection locked="1" hidden="1"/>
    </xf>
    <xf numFmtId="1" fontId="5" fillId="5" borderId="670" applyAlignment="1" pivotButton="0" quotePrefix="0" xfId="0">
      <alignment horizontal="center" vertical="center"/>
    </xf>
    <xf numFmtId="1" fontId="5" fillId="5" borderId="671" applyAlignment="1" pivotButton="0" quotePrefix="0" xfId="0">
      <alignment horizontal="center" vertical="center"/>
    </xf>
    <xf numFmtId="1" fontId="5" fillId="5" borderId="673" applyAlignment="1" pivotButton="0" quotePrefix="0" xfId="0">
      <alignment horizontal="center" vertical="center"/>
    </xf>
    <xf numFmtId="0" fontId="5" fillId="0" borderId="673" applyAlignment="1" pivotButton="0" quotePrefix="0" xfId="0">
      <alignment horizontal="center" vertical="center"/>
    </xf>
    <xf numFmtId="1" fontId="5" fillId="0" borderId="247" applyAlignment="1" pivotButton="0" quotePrefix="0" xfId="0">
      <alignment horizontal="center" vertical="center"/>
    </xf>
    <xf numFmtId="1" fontId="5" fillId="0" borderId="469" applyAlignment="1" pivotButton="0" quotePrefix="0" xfId="0">
      <alignment horizontal="center" vertical="center"/>
    </xf>
    <xf numFmtId="1" fontId="3" fillId="0" borderId="73" applyAlignment="1" pivotButton="0" quotePrefix="0" xfId="0">
      <alignment horizontal="center" vertical="center" wrapText="1"/>
    </xf>
    <xf numFmtId="1" fontId="3" fillId="0" borderId="20" applyAlignment="1" pivotButton="0" quotePrefix="0" xfId="0">
      <alignment horizontal="center" vertical="center" wrapText="1"/>
    </xf>
    <xf numFmtId="1" fontId="3" fillId="0" borderId="148" applyAlignment="1" pivotButton="0" quotePrefix="0" xfId="0">
      <alignment horizontal="center" vertical="center" wrapText="1"/>
    </xf>
    <xf numFmtId="1" fontId="3" fillId="0" borderId="755" applyAlignment="1" pivotButton="0" quotePrefix="0" xfId="0">
      <alignment horizontal="center" vertical="center" wrapText="1"/>
    </xf>
    <xf numFmtId="1" fontId="3" fillId="0" borderId="756" applyAlignment="1" pivotButton="0" quotePrefix="0" xfId="0">
      <alignment horizontal="center" vertical="center" wrapText="1"/>
    </xf>
    <xf numFmtId="1" fontId="3" fillId="0" borderId="1413" applyAlignment="1" pivotButton="0" quotePrefix="0" xfId="0">
      <alignment horizontal="center" vertical="center" wrapText="1"/>
    </xf>
    <xf numFmtId="1" fontId="3" fillId="0" borderId="1414" applyAlignment="1" pivotButton="0" quotePrefix="0" xfId="0">
      <alignment horizontal="center" vertical="center" wrapText="1"/>
    </xf>
    <xf numFmtId="1" fontId="3" fillId="0" borderId="1390" applyAlignment="1" pivotButton="0" quotePrefix="0" xfId="0">
      <alignment horizontal="center" vertical="center" wrapText="1"/>
    </xf>
    <xf numFmtId="1" fontId="3" fillId="0" borderId="1391" applyAlignment="1" pivotButton="0" quotePrefix="0" xfId="0">
      <alignment horizontal="center" vertical="center" wrapText="1"/>
    </xf>
    <xf numFmtId="1" fontId="3" fillId="0" borderId="1407" applyAlignment="1" pivotButton="0" quotePrefix="0" xfId="0">
      <alignment horizontal="center" vertical="center" wrapText="1"/>
    </xf>
    <xf numFmtId="1" fontId="3" fillId="0" borderId="227" applyAlignment="1" pivotButton="0" quotePrefix="0" xfId="0">
      <alignment horizontal="center" vertical="center" wrapText="1"/>
    </xf>
    <xf numFmtId="1" fontId="3" fillId="0" borderId="1408" applyAlignment="1" pivotButton="0" quotePrefix="0" xfId="0">
      <alignment horizontal="center" vertical="center" wrapText="1"/>
    </xf>
    <xf numFmtId="1" fontId="3" fillId="0" borderId="1397" applyAlignment="1" pivotButton="0" quotePrefix="0" xfId="0">
      <alignment horizontal="center" vertical="center" wrapText="1"/>
    </xf>
    <xf numFmtId="1" fontId="3" fillId="0" borderId="57" applyAlignment="1" pivotButton="0" quotePrefix="0" xfId="0">
      <alignment horizontal="center" vertical="center" wrapText="1"/>
    </xf>
    <xf numFmtId="1" fontId="3" fillId="0" borderId="247" applyAlignment="1" pivotButton="0" quotePrefix="0" xfId="0">
      <alignment horizontal="center" vertical="center" wrapText="1"/>
    </xf>
    <xf numFmtId="1" fontId="3" fillId="0" borderId="469" applyAlignment="1" pivotButton="0" quotePrefix="0" xfId="0">
      <alignment horizontal="center" vertical="center" wrapText="1"/>
    </xf>
    <xf numFmtId="1" fontId="3" fillId="0" borderId="546" applyAlignment="1" pivotButton="0" quotePrefix="0" xfId="0">
      <alignment horizontal="center" vertical="center" wrapText="1"/>
    </xf>
    <xf numFmtId="1" fontId="3" fillId="0" borderId="521" applyAlignment="1" pivotButton="0" quotePrefix="0" xfId="0">
      <alignment horizontal="center" vertical="center" wrapText="1"/>
    </xf>
    <xf numFmtId="1" fontId="2" fillId="5" borderId="754" applyAlignment="1" pivotButton="0" quotePrefix="0" xfId="0">
      <alignment horizontal="left"/>
    </xf>
    <xf numFmtId="1" fontId="2" fillId="5" borderId="730" applyAlignment="1" pivotButton="0" quotePrefix="0" xfId="0">
      <alignment horizontal="left"/>
    </xf>
    <xf numFmtId="1" fontId="3" fillId="0" borderId="699" applyAlignment="1" pivotButton="0" quotePrefix="0" xfId="0">
      <alignment horizontal="center" vertical="center" wrapText="1"/>
    </xf>
    <xf numFmtId="1" fontId="3" fillId="0" borderId="694" applyAlignment="1" pivotButton="0" quotePrefix="0" xfId="0">
      <alignment horizontal="center" vertical="center" wrapText="1"/>
    </xf>
    <xf numFmtId="1" fontId="3" fillId="0" borderId="1415" applyAlignment="1" pivotButton="0" quotePrefix="0" xfId="0">
      <alignment horizontal="center" vertical="center" wrapText="1"/>
    </xf>
    <xf numFmtId="1" fontId="3" fillId="0" borderId="0" applyAlignment="1" pivotButton="0" quotePrefix="0" xfId="0">
      <alignment horizontal="center" vertical="center" wrapText="1"/>
    </xf>
    <xf numFmtId="1" fontId="3" fillId="0" borderId="1347" applyAlignment="1" pivotButton="0" quotePrefix="0" xfId="0">
      <alignment horizontal="center" vertical="center" wrapText="1"/>
    </xf>
    <xf numFmtId="1" fontId="3" fillId="0" borderId="1385" applyAlignment="1" pivotButton="0" quotePrefix="0" xfId="0">
      <alignment horizontal="center" vertical="center" wrapText="1"/>
    </xf>
    <xf numFmtId="1" fontId="3" fillId="0" borderId="281" applyAlignment="1" pivotButton="0" quotePrefix="0" xfId="0">
      <alignment horizontal="center" vertical="center" wrapText="1"/>
    </xf>
    <xf numFmtId="1" fontId="3" fillId="0" borderId="1392" applyAlignment="1" pivotButton="0" quotePrefix="0" xfId="0">
      <alignment horizontal="center" vertical="center" wrapText="1"/>
    </xf>
    <xf numFmtId="1" fontId="3" fillId="5" borderId="679" applyAlignment="1" pivotButton="0" quotePrefix="0" xfId="0">
      <alignment horizontal="center" vertical="center" wrapText="1"/>
    </xf>
    <xf numFmtId="1" fontId="3" fillId="5" borderId="281" applyAlignment="1" pivotButton="0" quotePrefix="0" xfId="0">
      <alignment horizontal="center" vertical="center" wrapText="1"/>
    </xf>
    <xf numFmtId="1" fontId="3" fillId="5" borderId="618" applyAlignment="1" pivotButton="0" quotePrefix="0" xfId="0">
      <alignment horizontal="center" vertical="center" wrapText="1"/>
    </xf>
    <xf numFmtId="1" fontId="3" fillId="0" borderId="679" applyAlignment="1" pivotButton="0" quotePrefix="0" xfId="0">
      <alignment horizontal="center" vertical="center" wrapText="1"/>
    </xf>
    <xf numFmtId="1" fontId="3" fillId="0" borderId="618" applyAlignment="1" pivotButton="0" quotePrefix="0" xfId="0">
      <alignment horizontal="center" vertical="center" wrapText="1"/>
    </xf>
    <xf numFmtId="1" fontId="3" fillId="0" borderId="670" applyAlignment="1" pivotButton="0" quotePrefix="0" xfId="0">
      <alignment horizontal="center" vertical="center" wrapText="1"/>
    </xf>
    <xf numFmtId="1" fontId="3" fillId="0" borderId="671" applyAlignment="1" pivotButton="0" quotePrefix="0" xfId="0">
      <alignment horizontal="center" vertical="center" wrapText="1"/>
    </xf>
    <xf numFmtId="1" fontId="3" fillId="0" borderId="672" applyAlignment="1" pivotButton="0" quotePrefix="0" xfId="0">
      <alignment horizontal="center" vertical="center" wrapText="1"/>
    </xf>
    <xf numFmtId="1" fontId="3" fillId="0" borderId="724" applyAlignment="1" pivotButton="0" quotePrefix="0" xfId="0">
      <alignment horizontal="center" vertical="center" wrapText="1"/>
    </xf>
    <xf numFmtId="1" fontId="3" fillId="0" borderId="673" applyAlignment="1" pivotButton="0" quotePrefix="0" xfId="0">
      <alignment horizontal="center" vertical="center" wrapText="1"/>
    </xf>
    <xf numFmtId="1" fontId="3" fillId="0" borderId="696" applyAlignment="1" pivotButton="0" quotePrefix="0" xfId="0">
      <alignment horizontal="center" vertical="center" wrapText="1"/>
    </xf>
    <xf numFmtId="1" fontId="3" fillId="0" borderId="228" applyAlignment="1" pivotButton="0" quotePrefix="0" xfId="0">
      <alignment horizontal="center" vertical="center" wrapText="1"/>
    </xf>
    <xf numFmtId="1" fontId="3" fillId="0" borderId="725" applyAlignment="1" pivotButton="0" quotePrefix="0" xfId="0">
      <alignment horizontal="center" vertical="center" wrapText="1"/>
    </xf>
    <xf numFmtId="1" fontId="3" fillId="0" borderId="539" applyAlignment="1" pivotButton="0" quotePrefix="0" xfId="0">
      <alignment horizontal="center" vertical="center" wrapText="1"/>
    </xf>
    <xf numFmtId="1" fontId="3" fillId="0" borderId="687" applyAlignment="1" pivotButton="0" quotePrefix="0" xfId="0">
      <alignment horizontal="center" vertical="center" wrapText="1"/>
    </xf>
    <xf numFmtId="1" fontId="3" fillId="0" borderId="347" applyAlignment="1" pivotButton="0" quotePrefix="0" xfId="0">
      <alignment horizontal="center" vertical="center" wrapText="1"/>
    </xf>
    <xf numFmtId="1" fontId="3" fillId="0" borderId="8" applyAlignment="1" pivotButton="0" quotePrefix="0" xfId="0">
      <alignment horizontal="center" vertical="center" wrapText="1"/>
    </xf>
    <xf numFmtId="1" fontId="3" fillId="0" borderId="695" applyAlignment="1" pivotButton="0" quotePrefix="0" xfId="0">
      <alignment horizontal="center" vertical="center" wrapText="1"/>
    </xf>
    <xf numFmtId="1" fontId="3" fillId="6" borderId="730" applyAlignment="1" pivotButton="0" quotePrefix="0" xfId="0">
      <alignment horizontal="center" vertical="center"/>
    </xf>
    <xf numFmtId="1" fontId="3" fillId="6" borderId="729" applyAlignment="1" pivotButton="0" quotePrefix="0" xfId="0">
      <alignment horizontal="center" vertical="center"/>
    </xf>
    <xf numFmtId="1" fontId="3" fillId="0" borderId="752" applyAlignment="1" pivotButton="0" quotePrefix="0" xfId="0">
      <alignment horizontal="center" vertical="center" wrapText="1"/>
    </xf>
    <xf numFmtId="1" fontId="3" fillId="0" borderId="289" applyAlignment="1" pivotButton="0" quotePrefix="0" xfId="0">
      <alignment horizontal="center" vertical="center" wrapText="1"/>
    </xf>
    <xf numFmtId="1" fontId="3" fillId="0" borderId="349" applyAlignment="1" pivotButton="0" quotePrefix="0" xfId="0">
      <alignment horizontal="center" vertical="center" wrapText="1"/>
    </xf>
    <xf numFmtId="1" fontId="3" fillId="6" borderId="699" applyAlignment="1" pivotButton="0" quotePrefix="0" xfId="0">
      <alignment horizontal="center" vertical="center" wrapText="1"/>
    </xf>
    <xf numFmtId="1" fontId="3" fillId="6" borderId="469" applyAlignment="1" pivotButton="0" quotePrefix="0" xfId="0">
      <alignment horizontal="center" vertical="center" wrapText="1"/>
    </xf>
    <xf numFmtId="1" fontId="3" fillId="6" borderId="740" applyAlignment="1" pivotButton="0" quotePrefix="0" xfId="0">
      <alignment horizontal="center" vertical="center" wrapText="1"/>
    </xf>
    <xf numFmtId="1" fontId="3" fillId="6" borderId="226" applyAlignment="1" pivotButton="0" quotePrefix="0" xfId="0">
      <alignment horizontal="center" vertical="center" wrapText="1"/>
    </xf>
    <xf numFmtId="1" fontId="3" fillId="6" borderId="2" applyAlignment="1" pivotButton="0" quotePrefix="0" xfId="0">
      <alignment horizontal="center" vertical="center" wrapText="1"/>
    </xf>
    <xf numFmtId="1" fontId="3" fillId="6" borderId="0" applyAlignment="1" pivotButton="0" quotePrefix="0" xfId="0">
      <alignment horizontal="center" vertical="center" wrapText="1"/>
    </xf>
    <xf numFmtId="1" fontId="3" fillId="6" borderId="747" applyAlignment="1" pivotButton="0" quotePrefix="0" xfId="0">
      <alignment horizontal="center" vertical="center" wrapText="1"/>
    </xf>
    <xf numFmtId="0" fontId="3" fillId="5" borderId="694" applyAlignment="1" pivotButton="0" quotePrefix="0" xfId="0">
      <alignment horizontal="center" vertical="center" wrapText="1"/>
    </xf>
    <xf numFmtId="1" fontId="3" fillId="0" borderId="688" applyAlignment="1" pivotButton="0" quotePrefix="0" xfId="0">
      <alignment horizontal="center" vertical="center" wrapText="1"/>
    </xf>
    <xf numFmtId="1" fontId="3" fillId="0" borderId="679" applyAlignment="1" pivotButton="0" quotePrefix="0" xfId="0">
      <alignment horizontal="left" vertical="center" wrapText="1"/>
    </xf>
    <xf numFmtId="1" fontId="3" fillId="0" borderId="618" applyAlignment="1" pivotButton="0" quotePrefix="0" xfId="0">
      <alignment horizontal="left" vertical="center" wrapText="1"/>
    </xf>
    <xf numFmtId="1" fontId="3" fillId="0" borderId="683" applyAlignment="1" pivotButton="0" quotePrefix="0" xfId="0">
      <alignment horizontal="center" vertical="center" wrapText="1"/>
    </xf>
    <xf numFmtId="1" fontId="3" fillId="0" borderId="245" applyAlignment="1" pivotButton="0" quotePrefix="0" xfId="0">
      <alignment horizontal="center" vertical="center" wrapText="1"/>
    </xf>
    <xf numFmtId="1" fontId="3" fillId="0" borderId="670" applyAlignment="1" pivotButton="0" quotePrefix="0" xfId="0">
      <alignment horizontal="center" vertical="center"/>
    </xf>
    <xf numFmtId="1" fontId="3" fillId="0" borderId="671" applyAlignment="1" pivotButton="0" quotePrefix="0" xfId="0">
      <alignment horizontal="center" vertical="center"/>
    </xf>
    <xf numFmtId="1" fontId="3" fillId="0" borderId="672" applyAlignment="1" pivotButton="0" quotePrefix="0" xfId="0">
      <alignment horizontal="center" vertical="center"/>
    </xf>
    <xf numFmtId="1" fontId="3" fillId="0" borderId="1388" applyAlignment="1" pivotButton="0" quotePrefix="0" xfId="0">
      <alignment horizontal="center" vertical="center" wrapText="1"/>
    </xf>
    <xf numFmtId="1" fontId="3" fillId="0" borderId="1389" applyAlignment="1" pivotButton="0" quotePrefix="0" xfId="0">
      <alignment horizontal="center" vertical="center" wrapText="1"/>
    </xf>
    <xf numFmtId="1" fontId="3" fillId="0" borderId="685" applyAlignment="1" pivotButton="0" quotePrefix="0" xfId="0">
      <alignment horizontal="left" vertical="center" wrapText="1"/>
    </xf>
    <xf numFmtId="1" fontId="3" fillId="0" borderId="283" applyAlignment="1" pivotButton="0" quotePrefix="0" xfId="0">
      <alignment horizontal="center" vertical="center" wrapText="1"/>
    </xf>
    <xf numFmtId="1" fontId="3" fillId="0" borderId="407" applyAlignment="1" pivotButton="0" quotePrefix="0" xfId="0">
      <alignment horizontal="left"/>
    </xf>
    <xf numFmtId="1" fontId="3" fillId="0" borderId="378" applyAlignment="1" pivotButton="0" quotePrefix="0" xfId="0">
      <alignment horizontal="left"/>
    </xf>
    <xf numFmtId="1" fontId="3" fillId="0" borderId="149" applyAlignment="1" pivotButton="0" quotePrefix="0" xfId="0">
      <alignment horizontal="left"/>
    </xf>
    <xf numFmtId="1" fontId="3" fillId="0" borderId="150" applyAlignment="1" pivotButton="0" quotePrefix="0" xfId="0">
      <alignment horizontal="left"/>
    </xf>
    <xf numFmtId="1" fontId="3" fillId="0" borderId="137" applyAlignment="1" pivotButton="0" quotePrefix="0" xfId="0">
      <alignment horizontal="left" vertical="center" wrapText="1"/>
    </xf>
    <xf numFmtId="1" fontId="3" fillId="0" borderId="685" pivotButton="0" quotePrefix="0" xfId="0"/>
    <xf numFmtId="1" fontId="3" fillId="0" borderId="717" applyAlignment="1" pivotButton="0" quotePrefix="0" xfId="0">
      <alignment horizontal="center"/>
    </xf>
    <xf numFmtId="1" fontId="3" fillId="0" borderId="685" applyAlignment="1" pivotButton="0" quotePrefix="0" xfId="0">
      <alignment horizontal="center"/>
    </xf>
    <xf numFmtId="1" fontId="3" fillId="0" borderId="686" applyAlignment="1" pivotButton="0" quotePrefix="0" xfId="0">
      <alignment horizontal="center"/>
    </xf>
    <xf numFmtId="1" fontId="3" fillId="0" borderId="729" applyAlignment="1" pivotButton="0" quotePrefix="0" xfId="0">
      <alignment horizontal="center" vertical="center" wrapText="1"/>
    </xf>
    <xf numFmtId="1" fontId="3" fillId="0" borderId="7" applyAlignment="1" pivotButton="0" quotePrefix="0" xfId="0">
      <alignment horizontal="center" vertical="center" wrapText="1"/>
    </xf>
    <xf numFmtId="0" fontId="3" fillId="0" borderId="1385" applyAlignment="1" pivotButton="0" quotePrefix="0" xfId="0">
      <alignment horizontal="center" wrapText="1"/>
    </xf>
    <xf numFmtId="0" fontId="3" fillId="0" borderId="1392" applyAlignment="1" pivotButton="0" quotePrefix="0" xfId="0">
      <alignment horizontal="center" wrapText="1"/>
    </xf>
    <xf numFmtId="0" fontId="3" fillId="0" borderId="302" applyAlignment="1" pivotButton="0" quotePrefix="0" xfId="0">
      <alignment horizontal="center" wrapText="1"/>
    </xf>
    <xf numFmtId="0" fontId="3" fillId="0" borderId="255" applyAlignment="1" pivotButton="0" quotePrefix="0" xfId="0">
      <alignment horizontal="center" wrapText="1"/>
    </xf>
    <xf numFmtId="1" fontId="3" fillId="0" borderId="698" applyAlignment="1" pivotButton="0" quotePrefix="0" xfId="0">
      <alignment horizontal="center" vertical="center" wrapText="1"/>
    </xf>
    <xf numFmtId="1" fontId="3" fillId="0" borderId="578" applyAlignment="1" pivotButton="0" quotePrefix="0" xfId="0">
      <alignment horizontal="center" vertical="center" wrapText="1"/>
    </xf>
    <xf numFmtId="0" fontId="3" fillId="0" borderId="687" applyAlignment="1" pivotButton="0" quotePrefix="0" xfId="0">
      <alignment horizontal="center" wrapText="1"/>
    </xf>
    <xf numFmtId="0" fontId="3" fillId="0" borderId="681" applyAlignment="1" pivotButton="0" quotePrefix="0" xfId="0">
      <alignment horizontal="center" wrapText="1"/>
    </xf>
    <xf numFmtId="1" fontId="3" fillId="0" borderId="693" applyAlignment="1" pivotButton="0" quotePrefix="0" xfId="0">
      <alignment horizontal="center" vertical="center" wrapText="1"/>
    </xf>
    <xf numFmtId="1" fontId="3" fillId="0" borderId="226" applyAlignment="1" pivotButton="0" quotePrefix="0" xfId="0">
      <alignment horizontal="center" vertical="center" wrapText="1"/>
    </xf>
    <xf numFmtId="1" fontId="3" fillId="0" borderId="1404" applyAlignment="1" pivotButton="0" quotePrefix="0" xfId="0">
      <alignment horizontal="center" vertical="center" wrapText="1"/>
    </xf>
    <xf numFmtId="1" fontId="3" fillId="0" borderId="1405" applyAlignment="1" pivotButton="0" quotePrefix="0" xfId="0">
      <alignment horizontal="center" vertical="center" wrapText="1"/>
    </xf>
    <xf numFmtId="0" fontId="3" fillId="0" borderId="709" applyAlignment="1" pivotButton="0" quotePrefix="0" xfId="0">
      <alignment horizontal="center" vertical="center" wrapText="1"/>
    </xf>
    <xf numFmtId="0" fontId="3" fillId="0" borderId="708" applyAlignment="1" pivotButton="0" quotePrefix="0" xfId="0">
      <alignment horizontal="center" vertical="center" wrapText="1"/>
    </xf>
    <xf numFmtId="1" fontId="3" fillId="0" borderId="1181" applyAlignment="1" pivotButton="0" quotePrefix="0" xfId="0">
      <alignment horizontal="center" vertical="center" wrapText="1"/>
    </xf>
    <xf numFmtId="1" fontId="3" fillId="0" borderId="1393" applyAlignment="1" pivotButton="0" quotePrefix="0" xfId="0">
      <alignment horizontal="center" vertical="center" wrapText="1"/>
    </xf>
    <xf numFmtId="1" fontId="3" fillId="0" borderId="679" pivotButton="0" quotePrefix="0" xfId="0"/>
    <xf numFmtId="1" fontId="3" fillId="0" borderId="660" pivotButton="0" quotePrefix="0" xfId="0"/>
    <xf numFmtId="1" fontId="3" fillId="0" borderId="393" applyAlignment="1" pivotButton="0" quotePrefix="0" xfId="0">
      <alignment wrapText="1"/>
    </xf>
    <xf numFmtId="1" fontId="3" fillId="0" borderId="389" applyAlignment="1" pivotButton="0" quotePrefix="0" xfId="0">
      <alignment wrapText="1"/>
    </xf>
    <xf numFmtId="1" fontId="3" fillId="0" borderId="407" applyAlignment="1" pivotButton="0" quotePrefix="0" xfId="0">
      <alignment wrapText="1"/>
    </xf>
    <xf numFmtId="1" fontId="3" fillId="0" borderId="378" applyAlignment="1" pivotButton="0" quotePrefix="0" xfId="0">
      <alignment wrapText="1"/>
    </xf>
    <xf numFmtId="1" fontId="3" fillId="0" borderId="393" applyAlignment="1" pivotButton="0" quotePrefix="0" xfId="0">
      <alignment horizontal="left" wrapText="1"/>
    </xf>
    <xf numFmtId="1" fontId="3" fillId="0" borderId="389" applyAlignment="1" pivotButton="0" quotePrefix="0" xfId="0">
      <alignment horizontal="left" wrapText="1"/>
    </xf>
    <xf numFmtId="1" fontId="3" fillId="0" borderId="670" applyAlignment="1" pivotButton="0" quotePrefix="0" xfId="0">
      <alignment horizontal="left" wrapText="1"/>
    </xf>
    <xf numFmtId="1" fontId="3" fillId="0" borderId="673" applyAlignment="1" pivotButton="0" quotePrefix="0" xfId="0">
      <alignment horizontal="left" wrapText="1"/>
    </xf>
    <xf numFmtId="1" fontId="3" fillId="0" borderId="407" applyAlignment="1" pivotButton="0" quotePrefix="0" xfId="0">
      <alignment horizontal="left" wrapText="1"/>
    </xf>
    <xf numFmtId="1" fontId="3" fillId="0" borderId="378" applyAlignment="1" pivotButton="0" quotePrefix="0" xfId="0">
      <alignment horizontal="left" wrapText="1"/>
    </xf>
    <xf numFmtId="1" fontId="3" fillId="0" borderId="690" applyAlignment="1" pivotButton="0" quotePrefix="0" xfId="0">
      <alignment horizontal="left" wrapText="1"/>
    </xf>
    <xf numFmtId="1" fontId="3" fillId="0" borderId="677" applyAlignment="1" pivotButton="0" quotePrefix="0" xfId="0">
      <alignment horizontal="left" wrapText="1"/>
    </xf>
    <xf numFmtId="1" fontId="3" fillId="0" borderId="690" pivotButton="0" quotePrefix="0" xfId="0"/>
    <xf numFmtId="1" fontId="3" fillId="0" borderId="677" pivotButton="0" quotePrefix="0" xfId="0"/>
    <xf numFmtId="1" fontId="3" fillId="0" borderId="407" pivotButton="0" quotePrefix="0" xfId="0"/>
    <xf numFmtId="1" fontId="3" fillId="0" borderId="378" pivotButton="0" quotePrefix="0" xfId="0"/>
    <xf numFmtId="1" fontId="3" fillId="0" borderId="671" applyAlignment="1" applyProtection="1" pivotButton="0" quotePrefix="0" xfId="0">
      <alignment horizontal="left" wrapText="1"/>
      <protection locked="1" hidden="1"/>
    </xf>
    <xf numFmtId="1" fontId="3" fillId="0" borderId="673" applyAlignment="1" applyProtection="1" pivotButton="0" quotePrefix="0" xfId="0">
      <alignment horizontal="left" wrapText="1"/>
      <protection locked="1" hidden="1"/>
    </xf>
    <xf numFmtId="1" fontId="3" fillId="0" borderId="705" applyAlignment="1" pivotButton="0" quotePrefix="0" xfId="0">
      <alignment horizontal="center" vertical="center" wrapText="1"/>
    </xf>
    <xf numFmtId="1" fontId="3" fillId="0" borderId="670" pivotButton="0" quotePrefix="0" xfId="0"/>
    <xf numFmtId="1" fontId="3" fillId="0" borderId="673" pivotButton="0" quotePrefix="0" xfId="0"/>
    <xf numFmtId="1" fontId="3" fillId="0" borderId="281" applyAlignment="1" pivotButton="0" quotePrefix="0" xfId="0">
      <alignment horizontal="left" vertical="center" wrapText="1"/>
    </xf>
    <xf numFmtId="1" fontId="3" fillId="0" borderId="683" applyAlignment="1" pivotButton="0" quotePrefix="0" xfId="0">
      <alignment horizontal="center" vertical="center"/>
    </xf>
    <xf numFmtId="1" fontId="3" fillId="0" borderId="695" applyAlignment="1" pivotButton="0" quotePrefix="0" xfId="0">
      <alignment horizontal="center" vertical="center"/>
    </xf>
    <xf numFmtId="1" fontId="3" fillId="0" borderId="705" applyAlignment="1" pivotButton="0" quotePrefix="0" xfId="0">
      <alignment horizontal="center" vertical="center"/>
    </xf>
    <xf numFmtId="1" fontId="3" fillId="0" borderId="748" applyAlignment="1" pivotButton="0" quotePrefix="0" xfId="0">
      <alignment horizontal="center" vertical="center"/>
    </xf>
    <xf numFmtId="1" fontId="3" fillId="0" borderId="673" applyAlignment="1" pivotButton="0" quotePrefix="0" xfId="0">
      <alignment horizontal="center" vertical="center"/>
    </xf>
    <xf numFmtId="1" fontId="3" fillId="0" borderId="685" applyAlignment="1" pivotButton="0" quotePrefix="0" xfId="0">
      <alignment horizontal="center" vertical="center" wrapText="1"/>
    </xf>
    <xf numFmtId="1" fontId="3" fillId="0" borderId="1400" applyAlignment="1" pivotButton="0" quotePrefix="0" xfId="0">
      <alignment horizontal="center" vertical="center" wrapText="1"/>
    </xf>
    <xf numFmtId="1" fontId="3" fillId="0" borderId="22" applyAlignment="1" pivotButton="0" quotePrefix="0" xfId="0">
      <alignment horizontal="center" vertical="center" wrapText="1"/>
    </xf>
    <xf numFmtId="1" fontId="3" fillId="0" borderId="1396" applyAlignment="1" pivotButton="0" quotePrefix="0" xfId="0">
      <alignment horizontal="center" vertical="center" wrapText="1"/>
    </xf>
    <xf numFmtId="1" fontId="1" fillId="0" borderId="0" applyAlignment="1" pivotButton="0" quotePrefix="0" xfId="0">
      <alignment horizontal="center" vertical="center" wrapText="1"/>
    </xf>
    <xf numFmtId="1" fontId="3" fillId="0" borderId="701" applyAlignment="1" pivotButton="0" quotePrefix="0" xfId="0">
      <alignment horizontal="center" vertical="center" wrapText="1"/>
    </xf>
    <xf numFmtId="1" fontId="3" fillId="0" borderId="230" applyAlignment="1" pivotButton="0" quotePrefix="0" xfId="0">
      <alignment horizontal="center" vertical="center" wrapText="1"/>
    </xf>
    <xf numFmtId="0" fontId="3" fillId="0" borderId="673" applyAlignment="1" pivotButton="0" quotePrefix="0" xfId="0">
      <alignment horizontal="center" vertical="center" wrapText="1"/>
    </xf>
    <xf numFmtId="1" fontId="3" fillId="0" borderId="686" applyAlignment="1" pivotButton="0" quotePrefix="0" xfId="0">
      <alignment horizontal="center" vertical="center" wrapText="1"/>
    </xf>
    <xf numFmtId="1" fontId="3" fillId="3" borderId="671" applyAlignment="1" pivotButton="0" quotePrefix="0" xfId="0">
      <alignment horizontal="center" vertical="center" wrapText="1"/>
    </xf>
    <xf numFmtId="1" fontId="3" fillId="3" borderId="673" applyAlignment="1" pivotButton="0" quotePrefix="0" xfId="0">
      <alignment horizontal="center" vertical="center" wrapText="1"/>
    </xf>
    <xf numFmtId="1" fontId="3" fillId="0" borderId="569" applyAlignment="1" pivotButton="0" quotePrefix="0" xfId="0">
      <alignment horizontal="center" vertical="center" wrapText="1"/>
    </xf>
    <xf numFmtId="1" fontId="3" fillId="0" borderId="724" applyAlignment="1" pivotButton="0" quotePrefix="0" xfId="0">
      <alignment horizontal="center"/>
    </xf>
    <xf numFmtId="1" fontId="3" fillId="0" borderId="671" applyAlignment="1" pivotButton="0" quotePrefix="0" xfId="0">
      <alignment horizontal="center"/>
    </xf>
    <xf numFmtId="1" fontId="3" fillId="0" borderId="672" applyAlignment="1" pivotButton="0" quotePrefix="0" xfId="0">
      <alignment horizontal="center"/>
    </xf>
    <xf numFmtId="1" fontId="3" fillId="5" borderId="673" applyAlignment="1" pivotButton="0" quotePrefix="0" xfId="0">
      <alignment horizontal="center" vertical="center" wrapText="1"/>
    </xf>
    <xf numFmtId="1" fontId="3" fillId="5" borderId="685" applyAlignment="1" pivotButton="0" quotePrefix="0" xfId="0">
      <alignment horizontal="center" vertical="center" wrapText="1"/>
    </xf>
    <xf numFmtId="1" fontId="3" fillId="5" borderId="686" applyAlignment="1" pivotButton="0" quotePrefix="0" xfId="0">
      <alignment horizontal="center" vertical="center" wrapText="1"/>
    </xf>
    <xf numFmtId="1" fontId="3" fillId="5" borderId="671" applyAlignment="1" pivotButton="0" quotePrefix="0" xfId="0">
      <alignment horizontal="center" vertical="center" wrapText="1"/>
    </xf>
    <xf numFmtId="1" fontId="3" fillId="0" borderId="1228" applyAlignment="1" pivotButton="0" quotePrefix="0" xfId="0">
      <alignment horizontal="center" vertical="center" wrapText="1"/>
    </xf>
    <xf numFmtId="1" fontId="3" fillId="0" borderId="690" applyAlignment="1" pivotButton="0" quotePrefix="0" xfId="0">
      <alignment wrapText="1"/>
    </xf>
    <xf numFmtId="1" fontId="3" fillId="0" borderId="677" applyAlignment="1" pivotButton="0" quotePrefix="0" xfId="0">
      <alignment wrapText="1"/>
    </xf>
    <xf numFmtId="1" fontId="3" fillId="0" borderId="550" applyAlignment="1" pivotButton="0" quotePrefix="0" xfId="0">
      <alignment horizontal="left"/>
    </xf>
    <xf numFmtId="1" fontId="3" fillId="0" borderId="390" applyAlignment="1" pivotButton="0" quotePrefix="0" xfId="0">
      <alignment horizontal="left"/>
    </xf>
    <xf numFmtId="1" fontId="3" fillId="0" borderId="705" applyAlignment="1" pivotButton="0" quotePrefix="0" xfId="0">
      <alignment horizontal="left"/>
    </xf>
    <xf numFmtId="1" fontId="3" fillId="0" borderId="521" applyAlignment="1" pivotButton="0" quotePrefix="0" xfId="0">
      <alignment horizontal="left"/>
    </xf>
    <xf numFmtId="1" fontId="3" fillId="0" borderId="670" applyAlignment="1" pivotButton="0" quotePrefix="0" xfId="0">
      <alignment horizontal="left" vertical="center" wrapText="1"/>
    </xf>
    <xf numFmtId="1" fontId="3" fillId="0" borderId="673" applyAlignment="1" pivotButton="0" quotePrefix="0" xfId="0">
      <alignment horizontal="left" vertical="center" wrapText="1"/>
    </xf>
    <xf numFmtId="1" fontId="3" fillId="0" borderId="671" applyAlignment="1" applyProtection="1" pivotButton="0" quotePrefix="0" xfId="0">
      <alignment wrapText="1"/>
      <protection locked="1" hidden="1"/>
    </xf>
    <xf numFmtId="1" fontId="3" fillId="0" borderId="673" applyAlignment="1" applyProtection="1" pivotButton="0" quotePrefix="0" xfId="0">
      <alignment wrapText="1"/>
      <protection locked="1" hidden="1"/>
    </xf>
    <xf numFmtId="0" fontId="3" fillId="0" borderId="683" applyAlignment="1" pivotButton="0" quotePrefix="0" xfId="0">
      <alignment horizontal="center" vertical="center" wrapText="1"/>
    </xf>
    <xf numFmtId="0" fontId="3" fillId="0" borderId="695" applyAlignment="1" pivotButton="0" quotePrefix="0" xfId="0">
      <alignment horizontal="center" vertical="center" wrapText="1"/>
    </xf>
    <xf numFmtId="0" fontId="3" fillId="0" borderId="245" applyAlignment="1" pivotButton="0" quotePrefix="0" xfId="0">
      <alignment horizontal="center" vertical="center" wrapText="1"/>
    </xf>
    <xf numFmtId="0" fontId="3" fillId="0" borderId="546" applyAlignment="1" pivotButton="0" quotePrefix="0" xfId="0">
      <alignment horizontal="center" vertical="center" wrapText="1"/>
    </xf>
    <xf numFmtId="0" fontId="3" fillId="0" borderId="705" applyAlignment="1" pivotButton="0" quotePrefix="0" xfId="0">
      <alignment horizontal="center" vertical="center" wrapText="1"/>
    </xf>
    <xf numFmtId="0" fontId="3" fillId="0" borderId="521" applyAlignment="1" pivotButton="0" quotePrefix="0" xfId="0">
      <alignment horizontal="center" vertical="center" wrapText="1"/>
    </xf>
    <xf numFmtId="1" fontId="3" fillId="0" borderId="685" applyAlignment="1" pivotButton="0" quotePrefix="0" xfId="0">
      <alignment horizontal="center" vertical="center"/>
    </xf>
    <xf numFmtId="1" fontId="3" fillId="0" borderId="670" applyAlignment="1" pivotButton="0" quotePrefix="0" xfId="0">
      <alignment wrapText="1"/>
    </xf>
    <xf numFmtId="1" fontId="3" fillId="0" borderId="673" applyAlignment="1" pivotButton="0" quotePrefix="0" xfId="0">
      <alignment wrapText="1"/>
    </xf>
    <xf numFmtId="1" fontId="3" fillId="0" borderId="705" pivotButton="0" quotePrefix="0" xfId="0"/>
    <xf numFmtId="1" fontId="3" fillId="0" borderId="521" pivotButton="0" quotePrefix="0" xfId="0"/>
    <xf numFmtId="1" fontId="3" fillId="0" borderId="618" applyAlignment="1" pivotButton="0" quotePrefix="0" xfId="0">
      <alignment horizontal="center"/>
    </xf>
    <xf numFmtId="1" fontId="2" fillId="0" borderId="730" pivotButton="0" quotePrefix="0" xfId="0"/>
    <xf numFmtId="1" fontId="2" fillId="0" borderId="729" pivotButton="0" quotePrefix="0" xfId="0"/>
    <xf numFmtId="1" fontId="2" fillId="0" borderId="670" applyAlignment="1" pivotButton="0" quotePrefix="0" xfId="0">
      <alignment wrapText="1"/>
    </xf>
    <xf numFmtId="1" fontId="2" fillId="0" borderId="729" applyAlignment="1" pivotButton="0" quotePrefix="0" xfId="0">
      <alignment wrapText="1"/>
    </xf>
    <xf numFmtId="1" fontId="3" fillId="6" borderId="670" applyAlignment="1" pivotButton="0" quotePrefix="0" xfId="0">
      <alignment wrapText="1"/>
    </xf>
    <xf numFmtId="1" fontId="3" fillId="6" borderId="729" applyAlignment="1" pivotButton="0" quotePrefix="0" xfId="0">
      <alignment wrapText="1"/>
    </xf>
    <xf numFmtId="1" fontId="3" fillId="0" borderId="733" applyAlignment="1" pivotButton="0" quotePrefix="0" xfId="0">
      <alignment horizontal="center" vertical="center" wrapText="1"/>
    </xf>
    <xf numFmtId="1" fontId="3" fillId="0" borderId="1192" applyAlignment="1" pivotButton="0" quotePrefix="0" xfId="0">
      <alignment horizontal="center" vertical="center" wrapText="1"/>
    </xf>
    <xf numFmtId="1" fontId="3" fillId="0" borderId="401" applyAlignment="1" pivotButton="0" quotePrefix="0" xfId="0">
      <alignment horizontal="center" vertical="center" wrapText="1"/>
    </xf>
    <xf numFmtId="1" fontId="3" fillId="0" borderId="1349" applyAlignment="1" pivotButton="0" quotePrefix="0" xfId="0">
      <alignment horizontal="center" vertical="center" wrapText="1"/>
    </xf>
    <xf numFmtId="1" fontId="3" fillId="0" borderId="384" applyAlignment="1" pivotButton="0" quotePrefix="0" xfId="0">
      <alignment horizontal="center" vertical="center" wrapText="1"/>
    </xf>
    <xf numFmtId="1" fontId="3" fillId="0" borderId="1398" applyAlignment="1" pivotButton="0" quotePrefix="0" xfId="0">
      <alignment horizontal="center" vertical="center" wrapText="1"/>
    </xf>
    <xf numFmtId="1" fontId="3" fillId="0" borderId="393" applyAlignment="1" pivotButton="0" quotePrefix="0" xfId="0">
      <alignment horizontal="left" vertical="center" wrapText="1"/>
    </xf>
    <xf numFmtId="1" fontId="3" fillId="0" borderId="389" applyAlignment="1" pivotButton="0" quotePrefix="0" xfId="0">
      <alignment horizontal="left" vertical="center" wrapText="1"/>
    </xf>
    <xf numFmtId="1" fontId="3" fillId="0" borderId="550" applyAlignment="1" pivotButton="0" quotePrefix="0" xfId="0">
      <alignment wrapText="1"/>
    </xf>
    <xf numFmtId="1" fontId="3" fillId="0" borderId="390" applyAlignment="1" pivotButton="0" quotePrefix="0" xfId="0">
      <alignment wrapText="1"/>
    </xf>
    <xf numFmtId="1" fontId="3" fillId="0" borderId="1399" applyAlignment="1" pivotButton="0" quotePrefix="0" xfId="0">
      <alignment horizontal="center" vertical="center" wrapText="1"/>
    </xf>
    <xf numFmtId="1" fontId="2" fillId="0" borderId="670" pivotButton="0" quotePrefix="0" xfId="0"/>
    <xf numFmtId="1" fontId="3" fillId="0" borderId="679" applyAlignment="1" applyProtection="1" pivotButton="0" quotePrefix="0" xfId="0">
      <alignment horizontal="center" vertical="center"/>
      <protection locked="1" hidden="1"/>
    </xf>
    <xf numFmtId="1" fontId="3" fillId="0" borderId="281" applyAlignment="1" applyProtection="1" pivotButton="0" quotePrefix="0" xfId="0">
      <alignment horizontal="center" vertical="center"/>
      <protection locked="1" hidden="1"/>
    </xf>
    <xf numFmtId="1" fontId="3" fillId="0" borderId="618" applyAlignment="1" applyProtection="1" pivotButton="0" quotePrefix="0" xfId="0">
      <alignment horizontal="center" vertical="center"/>
      <protection locked="1" hidden="1"/>
    </xf>
    <xf numFmtId="1" fontId="3" fillId="0" borderId="679" applyAlignment="1" applyProtection="1" pivotButton="0" quotePrefix="0" xfId="0">
      <alignment horizontal="center" vertical="center" wrapText="1"/>
      <protection locked="1" hidden="1"/>
    </xf>
    <xf numFmtId="1" fontId="3" fillId="0" borderId="281" applyAlignment="1" applyProtection="1" pivotButton="0" quotePrefix="0" xfId="0">
      <alignment horizontal="center" vertical="center" wrapText="1"/>
      <protection locked="1" hidden="1"/>
    </xf>
    <xf numFmtId="1" fontId="3" fillId="0" borderId="618" applyAlignment="1" applyProtection="1" pivotButton="0" quotePrefix="0" xfId="0">
      <alignment horizontal="center" vertical="center" wrapText="1"/>
      <protection locked="1" hidden="1"/>
    </xf>
    <xf numFmtId="1" fontId="3" fillId="0" borderId="670" applyAlignment="1" applyProtection="1" pivotButton="0" quotePrefix="0" xfId="0">
      <alignment horizontal="center" vertical="center"/>
      <protection locked="1" hidden="1"/>
    </xf>
    <xf numFmtId="1" fontId="3" fillId="0" borderId="730" applyAlignment="1" applyProtection="1" pivotButton="0" quotePrefix="0" xfId="0">
      <alignment horizontal="center" vertical="center"/>
      <protection locked="1" hidden="1"/>
    </xf>
    <xf numFmtId="1" fontId="3" fillId="0" borderId="672" applyAlignment="1" applyProtection="1" pivotButton="0" quotePrefix="0" xfId="0">
      <alignment horizontal="center" vertical="center"/>
      <protection locked="1" hidden="1"/>
    </xf>
    <xf numFmtId="1" fontId="3" fillId="0" borderId="679" applyAlignment="1" applyProtection="1" pivotButton="0" quotePrefix="0" xfId="0">
      <alignment horizontal="left" vertical="center" wrapText="1"/>
      <protection locked="1" hidden="1"/>
    </xf>
    <xf numFmtId="1" fontId="3" fillId="0" borderId="618" applyAlignment="1" applyProtection="1" pivotButton="0" quotePrefix="0" xfId="0">
      <alignment horizontal="left" vertical="center" wrapText="1"/>
      <protection locked="1" hidden="1"/>
    </xf>
    <xf numFmtId="1" fontId="3" fillId="0" borderId="546" applyAlignment="1" pivotButton="0" quotePrefix="0" xfId="0">
      <alignment horizontal="left" vertical="center"/>
    </xf>
    <xf numFmtId="1" fontId="3" fillId="0" borderId="521" applyAlignment="1" pivotButton="0" quotePrefix="0" xfId="0">
      <alignment horizontal="left" vertical="center"/>
    </xf>
    <xf numFmtId="1" fontId="3" fillId="0" borderId="695" applyAlignment="1" pivotButton="0" quotePrefix="0" xfId="0">
      <alignment horizontal="left" vertical="center"/>
    </xf>
    <xf numFmtId="0" fontId="3" fillId="0" borderId="730" applyAlignment="1" pivotButton="0" quotePrefix="0" xfId="0">
      <alignment wrapText="1"/>
    </xf>
    <xf numFmtId="0" fontId="3" fillId="0" borderId="729" applyAlignment="1" pivotButton="0" quotePrefix="0" xfId="0">
      <alignment wrapText="1"/>
    </xf>
    <xf numFmtId="1" fontId="3" fillId="0" borderId="685" applyAlignment="1" pivotButton="0" quotePrefix="0" xfId="0">
      <alignment wrapText="1"/>
    </xf>
    <xf numFmtId="1" fontId="3" fillId="0" borderId="694" applyAlignment="1" pivotButton="0" quotePrefix="0" xfId="0">
      <alignment horizontal="center" vertical="center"/>
    </xf>
    <xf numFmtId="1" fontId="3" fillId="0" borderId="747" applyAlignment="1" pivotButton="0" quotePrefix="0" xfId="0">
      <alignment horizontal="center" vertical="center"/>
    </xf>
    <xf numFmtId="1" fontId="3" fillId="5" borderId="407" applyAlignment="1" pivotButton="0" quotePrefix="0" xfId="0">
      <alignment wrapText="1"/>
    </xf>
    <xf numFmtId="1" fontId="3" fillId="5" borderId="378" applyAlignment="1" pivotButton="0" quotePrefix="0" xfId="0">
      <alignment wrapText="1"/>
    </xf>
    <xf numFmtId="1" fontId="3" fillId="0" borderId="1402" applyAlignment="1" pivotButton="0" quotePrefix="0" xfId="0">
      <alignment horizontal="center" vertical="center" wrapText="1"/>
    </xf>
    <xf numFmtId="1" fontId="3" fillId="0" borderId="1403" applyAlignment="1" pivotButton="0" quotePrefix="0" xfId="0">
      <alignment horizontal="center" vertical="center" wrapText="1"/>
    </xf>
    <xf numFmtId="1" fontId="3" fillId="0" borderId="695" applyAlignment="1" pivotButton="0" quotePrefix="0" xfId="0">
      <alignment horizontal="left" vertical="center" wrapText="1"/>
    </xf>
    <xf numFmtId="1" fontId="3" fillId="0" borderId="546" applyAlignment="1" pivotButton="0" quotePrefix="0" xfId="0">
      <alignment horizontal="left" vertical="center" wrapText="1"/>
    </xf>
    <xf numFmtId="1" fontId="3" fillId="0" borderId="748" applyAlignment="1" pivotButton="0" quotePrefix="0" xfId="0">
      <alignment horizontal="left" vertical="center" wrapText="1"/>
    </xf>
    <xf numFmtId="1" fontId="3" fillId="0" borderId="740" applyAlignment="1" pivotButton="0" quotePrefix="0" xfId="15">
      <alignment horizontal="center" vertical="center" wrapText="1"/>
    </xf>
    <xf numFmtId="1" fontId="3" fillId="0" borderId="2" applyAlignment="1" pivotButton="0" quotePrefix="0" xfId="15">
      <alignment horizontal="center" vertical="center" wrapText="1"/>
    </xf>
    <xf numFmtId="1" fontId="3" fillId="0" borderId="226" applyAlignment="1" pivotButton="0" quotePrefix="0" xfId="15">
      <alignment horizontal="center" vertical="center" wrapText="1"/>
    </xf>
    <xf numFmtId="1" fontId="3" fillId="0" borderId="83" applyAlignment="1" pivotButton="0" quotePrefix="0" xfId="0">
      <alignment horizontal="center" vertical="center" wrapText="1"/>
    </xf>
    <xf numFmtId="1" fontId="3" fillId="0" borderId="84" applyAlignment="1" pivotButton="0" quotePrefix="0" xfId="0">
      <alignment horizontal="center" vertical="center" wrapText="1"/>
    </xf>
    <xf numFmtId="1" fontId="3" fillId="0" borderId="85" applyAlignment="1" pivotButton="0" quotePrefix="0" xfId="0">
      <alignment horizontal="center" vertical="center" wrapText="1"/>
    </xf>
    <xf numFmtId="1" fontId="3" fillId="0" borderId="86" applyAlignment="1" pivotButton="0" quotePrefix="0" xfId="0">
      <alignment horizontal="center" vertical="center" wrapText="1"/>
    </xf>
    <xf numFmtId="1" fontId="3" fillId="0" borderId="87" applyAlignment="1" pivotButton="0" quotePrefix="0" xfId="0">
      <alignment horizontal="center" vertical="center" wrapText="1"/>
    </xf>
    <xf numFmtId="1" fontId="3" fillId="0" borderId="695" applyAlignment="1" pivotButton="0" quotePrefix="0" xfId="15">
      <alignment horizontal="center" vertical="center" wrapText="1"/>
    </xf>
    <xf numFmtId="1" fontId="3" fillId="0" borderId="546" applyAlignment="1" pivotButton="0" quotePrefix="0" xfId="15">
      <alignment horizontal="center" vertical="center" wrapText="1"/>
    </xf>
    <xf numFmtId="1" fontId="3" fillId="0" borderId="748" applyAlignment="1" pivotButton="0" quotePrefix="0" xfId="15">
      <alignment horizontal="center" vertical="center" wrapText="1"/>
    </xf>
    <xf numFmtId="1" fontId="3" fillId="0" borderId="696" applyAlignment="1" pivotButton="0" quotePrefix="0" xfId="15">
      <alignment horizontal="center" vertical="center" wrapText="1"/>
    </xf>
    <xf numFmtId="1" fontId="3" fillId="0" borderId="8" applyAlignment="1" pivotButton="0" quotePrefix="0" xfId="15">
      <alignment horizontal="center" vertical="center" wrapText="1"/>
    </xf>
    <xf numFmtId="1" fontId="3" fillId="0" borderId="228" applyAlignment="1" pivotButton="0" quotePrefix="0" xfId="15">
      <alignment horizontal="center" vertical="center" wrapText="1"/>
    </xf>
    <xf numFmtId="0" fontId="3" fillId="45" borderId="20" applyAlignment="1" pivotButton="0" quotePrefix="0" xfId="0">
      <alignment horizontal="center" vertical="center" wrapText="1"/>
    </xf>
    <xf numFmtId="0" fontId="3" fillId="45" borderId="0" applyAlignment="1" pivotButton="0" quotePrefix="0" xfId="0">
      <alignment horizontal="center" vertical="center" wrapText="1"/>
    </xf>
    <xf numFmtId="0" fontId="3" fillId="45" borderId="1393" applyAlignment="1" pivotButton="0" quotePrefix="0" xfId="0">
      <alignment horizontal="center" vertical="center" wrapText="1"/>
    </xf>
    <xf numFmtId="0" fontId="3" fillId="0" borderId="690" applyAlignment="1" pivotButton="0" quotePrefix="0" xfId="0">
      <alignment wrapText="1"/>
    </xf>
    <xf numFmtId="0" fontId="3" fillId="0" borderId="677" applyAlignment="1" pivotButton="0" quotePrefix="0" xfId="0">
      <alignment wrapText="1"/>
    </xf>
    <xf numFmtId="0" fontId="3" fillId="0" borderId="393" applyAlignment="1" pivotButton="0" quotePrefix="0" xfId="0">
      <alignment wrapText="1"/>
    </xf>
    <xf numFmtId="0" fontId="3" fillId="0" borderId="389" applyAlignment="1" pivotButton="0" quotePrefix="0" xfId="0">
      <alignment wrapText="1"/>
    </xf>
    <xf numFmtId="0" fontId="3" fillId="0" borderId="69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569" applyAlignment="1" pivotButton="0" quotePrefix="0" xfId="0">
      <alignment horizontal="center" vertical="center" wrapText="1"/>
    </xf>
    <xf numFmtId="0" fontId="3" fillId="20" borderId="147" applyAlignment="1" pivotButton="0" quotePrefix="0" xfId="0">
      <alignment horizontal="center"/>
    </xf>
    <xf numFmtId="0" fontId="3" fillId="20" borderId="48" applyAlignment="1" pivotButton="0" quotePrefix="0" xfId="0">
      <alignment horizontal="center"/>
    </xf>
    <xf numFmtId="0" fontId="3" fillId="20" borderId="160" applyAlignment="1" pivotButton="0" quotePrefix="0" xfId="0">
      <alignment horizontal="center"/>
    </xf>
    <xf numFmtId="0" fontId="3" fillId="0" borderId="710" applyAlignment="1" pivotButton="0" quotePrefix="0" xfId="0">
      <alignment horizontal="center" vertical="center" wrapText="1"/>
    </xf>
    <xf numFmtId="0" fontId="3" fillId="45" borderId="1385" applyAlignment="1" pivotButton="0" quotePrefix="0" xfId="0">
      <alignment horizontal="center" vertical="center" wrapText="1"/>
    </xf>
    <xf numFmtId="0" fontId="3" fillId="45" borderId="281" applyAlignment="1" pivotButton="0" quotePrefix="0" xfId="0">
      <alignment horizontal="center" vertical="center" wrapText="1"/>
    </xf>
    <xf numFmtId="0" fontId="3" fillId="45" borderId="1392" applyAlignment="1" pivotButton="0" quotePrefix="0" xfId="0">
      <alignment horizontal="center" vertical="center" wrapText="1"/>
    </xf>
    <xf numFmtId="0" fontId="3" fillId="45" borderId="19" applyAlignment="1" pivotButton="0" quotePrefix="0" xfId="0">
      <alignment horizontal="center" vertical="center" wrapText="1"/>
    </xf>
    <xf numFmtId="0" fontId="3" fillId="45" borderId="22" applyAlignment="1" pivotButton="0" quotePrefix="0" xfId="0">
      <alignment horizontal="center" vertical="center" wrapText="1"/>
    </xf>
    <xf numFmtId="0" fontId="3" fillId="45" borderId="1396" applyAlignment="1" pivotButton="0" quotePrefix="0" xfId="0">
      <alignment horizontal="center" vertical="center" wrapText="1"/>
    </xf>
    <xf numFmtId="0" fontId="3" fillId="45" borderId="161" applyAlignment="1" pivotButton="0" quotePrefix="0" xfId="0">
      <alignment horizontal="center" wrapText="1"/>
    </xf>
    <xf numFmtId="0" fontId="3" fillId="45" borderId="49" applyAlignment="1" pivotButton="0" quotePrefix="0" xfId="0">
      <alignment horizontal="center" wrapText="1"/>
    </xf>
    <xf numFmtId="0" fontId="3" fillId="45" borderId="163" applyAlignment="1" pivotButton="0" quotePrefix="0" xfId="0">
      <alignment horizontal="center" wrapText="1"/>
    </xf>
    <xf numFmtId="0" fontId="3" fillId="20" borderId="161" applyAlignment="1" pivotButton="0" quotePrefix="0" xfId="0">
      <alignment horizontal="center" wrapText="1"/>
    </xf>
    <xf numFmtId="0" fontId="3" fillId="20" borderId="49" applyAlignment="1" pivotButton="0" quotePrefix="0" xfId="0">
      <alignment horizontal="center" wrapText="1"/>
    </xf>
    <xf numFmtId="0" fontId="3" fillId="20" borderId="163" applyAlignment="1" pivotButton="0" quotePrefix="0" xfId="0">
      <alignment horizontal="center" wrapText="1"/>
    </xf>
    <xf numFmtId="0" fontId="3" fillId="0" borderId="49" applyAlignment="1" pivotButton="0" quotePrefix="0" xfId="0">
      <alignment horizontal="center" wrapText="1"/>
    </xf>
    <xf numFmtId="0" fontId="3" fillId="0" borderId="50" applyAlignment="1" pivotButton="0" quotePrefix="0" xfId="0">
      <alignment horizontal="center" wrapText="1"/>
    </xf>
    <xf numFmtId="0" fontId="3" fillId="45" borderId="48" applyAlignment="1" pivotButton="0" quotePrefix="0" xfId="0">
      <alignment horizontal="center" wrapText="1"/>
    </xf>
    <xf numFmtId="0" fontId="3" fillId="45" borderId="28" applyAlignment="1" pivotButton="0" quotePrefix="0" xfId="0">
      <alignment horizontal="center" wrapText="1"/>
    </xf>
    <xf numFmtId="0" fontId="3" fillId="0" borderId="156" applyAlignment="1" pivotButton="0" quotePrefix="0" xfId="0">
      <alignment horizontal="center" vertical="center" wrapText="1"/>
    </xf>
    <xf numFmtId="0" fontId="3" fillId="0" borderId="157" applyAlignment="1" pivotButton="0" quotePrefix="0" xfId="0">
      <alignment horizontal="center" vertical="center" wrapText="1"/>
    </xf>
    <xf numFmtId="0" fontId="3" fillId="0" borderId="54" applyAlignment="1" pivotButton="0" quotePrefix="0" xfId="0">
      <alignment horizontal="center" vertical="center" wrapText="1"/>
    </xf>
    <xf numFmtId="0" fontId="3" fillId="0" borderId="56" applyAlignment="1" pivotButton="0" quotePrefix="0" xfId="0">
      <alignment horizontal="center" vertical="center" wrapText="1"/>
    </xf>
    <xf numFmtId="0" fontId="3" fillId="0" borderId="158" applyAlignment="1" pivotButton="0" quotePrefix="0" xfId="0">
      <alignment horizontal="center" vertical="center" wrapText="1"/>
    </xf>
    <xf numFmtId="0" fontId="3" fillId="0" borderId="103" applyAlignment="1" pivotButton="0" quotePrefix="0" xfId="0">
      <alignment horizontal="center" vertical="center" wrapText="1"/>
    </xf>
    <xf numFmtId="0" fontId="3" fillId="0" borderId="164" applyAlignment="1" pivotButton="0" quotePrefix="0" xfId="0">
      <alignment horizontal="center" vertical="center" wrapText="1"/>
    </xf>
    <xf numFmtId="0" fontId="3" fillId="0" borderId="165" applyAlignment="1" pivotButton="0" quotePrefix="0" xfId="0">
      <alignment horizontal="center" vertical="center" wrapText="1"/>
    </xf>
    <xf numFmtId="0" fontId="3" fillId="0" borderId="104" applyAlignment="1" pivotButton="0" quotePrefix="0" xfId="0">
      <alignment horizontal="center" vertical="center" wrapText="1"/>
    </xf>
    <xf numFmtId="0" fontId="3" fillId="0" borderId="670" applyAlignment="1" pivotButton="0" quotePrefix="0" xfId="0">
      <alignment horizontal="center" vertical="center" wrapText="1"/>
    </xf>
    <xf numFmtId="1" fontId="3" fillId="5" borderId="670" applyAlignment="1" pivotButton="0" quotePrefix="0" xfId="0">
      <alignment horizontal="center" vertical="center" wrapText="1"/>
    </xf>
    <xf numFmtId="0" fontId="3" fillId="20" borderId="407" applyAlignment="1" pivotButton="0" quotePrefix="0" xfId="0">
      <alignment wrapText="1"/>
    </xf>
    <xf numFmtId="0" fontId="3" fillId="20" borderId="378" applyAlignment="1" pivotButton="0" quotePrefix="0" xfId="0">
      <alignment wrapText="1"/>
    </xf>
    <xf numFmtId="0" fontId="3" fillId="45" borderId="88" applyAlignment="1" pivotButton="0" quotePrefix="0" xfId="0">
      <alignment horizontal="center" wrapText="1"/>
    </xf>
    <xf numFmtId="0" fontId="3" fillId="0" borderId="671" applyAlignment="1" pivotButton="0" quotePrefix="0" xfId="0">
      <alignment horizontal="center" vertical="center" wrapText="1"/>
    </xf>
    <xf numFmtId="1" fontId="3" fillId="0" borderId="679" applyAlignment="1" pivotButton="0" quotePrefix="0" xfId="0">
      <alignment horizontal="center" vertical="center"/>
    </xf>
    <xf numFmtId="1" fontId="3" fillId="0" borderId="246" applyAlignment="1" pivotButton="0" quotePrefix="0" xfId="0">
      <alignment horizontal="center" vertical="center"/>
    </xf>
    <xf numFmtId="1" fontId="3" fillId="0" borderId="618" applyAlignment="1" pivotButton="0" quotePrefix="0" xfId="0">
      <alignment horizontal="center" vertical="center"/>
    </xf>
    <xf numFmtId="1" fontId="3" fillId="0" borderId="747" applyAlignment="1" pivotButton="0" quotePrefix="0" xfId="0">
      <alignment horizontal="center" vertical="center" wrapText="1"/>
    </xf>
    <xf numFmtId="1" fontId="3" fillId="0" borderId="748" applyAlignment="1" pivotButton="0" quotePrefix="0" xfId="0">
      <alignment horizontal="center" vertical="center" wrapText="1"/>
    </xf>
    <xf numFmtId="1" fontId="3" fillId="0" borderId="768" applyAlignment="1" pivotButton="0" quotePrefix="0" xfId="0">
      <alignment horizontal="center" vertical="center" wrapText="1"/>
    </xf>
    <xf numFmtId="1" fontId="3" fillId="0" borderId="730" applyAlignment="1" pivotButton="0" quotePrefix="0" xfId="0">
      <alignment horizontal="center" vertical="center" wrapText="1"/>
    </xf>
    <xf numFmtId="1" fontId="3" fillId="0" borderId="769" applyAlignment="1" pivotButton="0" quotePrefix="0" xfId="0">
      <alignment horizontal="center" vertical="center" wrapText="1"/>
    </xf>
    <xf numFmtId="1" fontId="3" fillId="0" borderId="304" applyAlignment="1" pivotButton="0" quotePrefix="0" xfId="0">
      <alignment horizontal="center" vertical="center" wrapText="1"/>
    </xf>
    <xf numFmtId="1" fontId="3" fillId="0" borderId="305" applyAlignment="1" pivotButton="0" quotePrefix="0" xfId="0">
      <alignment horizontal="center" vertical="center" wrapText="1"/>
    </xf>
    <xf numFmtId="1" fontId="3" fillId="0" borderId="768" applyAlignment="1" pivotButton="0" quotePrefix="0" xfId="0">
      <alignment horizontal="center" vertical="center"/>
    </xf>
    <xf numFmtId="1" fontId="3" fillId="0" borderId="681" applyAlignment="1" pivotButton="0" quotePrefix="0" xfId="0">
      <alignment horizontal="center" vertical="center" wrapText="1"/>
    </xf>
    <xf numFmtId="1" fontId="3" fillId="0" borderId="684" applyAlignment="1" pivotButton="0" quotePrefix="0" xfId="0">
      <alignment horizontal="center" vertical="center" wrapText="1"/>
    </xf>
    <xf numFmtId="1" fontId="3" fillId="0" borderId="246" applyAlignment="1" pivotButton="0" quotePrefix="0" xfId="0">
      <alignment horizontal="left" vertical="center" wrapText="1"/>
    </xf>
    <xf numFmtId="1" fontId="3" fillId="0" borderId="729" applyAlignment="1" pivotButton="0" quotePrefix="0" xfId="0">
      <alignment horizontal="left" vertical="center" wrapText="1"/>
    </xf>
    <xf numFmtId="1" fontId="3" fillId="0" borderId="729" applyAlignment="1" pivotButton="0" quotePrefix="0" xfId="0">
      <alignment horizontal="center" vertical="center"/>
    </xf>
    <xf numFmtId="1" fontId="3" fillId="0" borderId="740" applyAlignment="1" pivotButton="0" quotePrefix="0" xfId="0">
      <alignment horizontal="center" vertical="center" wrapText="1"/>
    </xf>
    <xf numFmtId="1" fontId="3" fillId="0" borderId="2" applyAlignment="1" pivotButton="0" quotePrefix="0" xfId="0">
      <alignment horizontal="center" vertical="center" wrapText="1"/>
    </xf>
    <xf numFmtId="1" fontId="3" fillId="0" borderId="697" applyAlignment="1" pivotButton="0" quotePrefix="0" xfId="0">
      <alignment horizontal="center" vertical="center" wrapText="1"/>
    </xf>
    <xf numFmtId="1" fontId="3" fillId="0" borderId="360" applyAlignment="1" pivotButton="0" quotePrefix="0" xfId="0">
      <alignment horizontal="center" vertical="center" wrapText="1"/>
    </xf>
    <xf numFmtId="1" fontId="3" fillId="0" borderId="298" applyAlignment="1" pivotButton="0" quotePrefix="0" xfId="0">
      <alignment horizontal="center" vertical="center" wrapText="1"/>
    </xf>
    <xf numFmtId="1" fontId="3" fillId="0" borderId="762" applyAlignment="1" pivotButton="0" quotePrefix="0" xfId="0">
      <alignment horizontal="center" vertical="center" wrapText="1"/>
    </xf>
    <xf numFmtId="1" fontId="3" fillId="0" borderId="303" applyAlignment="1" pivotButton="0" quotePrefix="0" xfId="0">
      <alignment horizontal="center" vertical="center" wrapText="1"/>
    </xf>
    <xf numFmtId="1" fontId="3" fillId="0" borderId="764" applyAlignment="1" pivotButton="0" quotePrefix="0" xfId="0">
      <alignment horizontal="center" vertical="center" wrapText="1"/>
    </xf>
    <xf numFmtId="1" fontId="3" fillId="0" borderId="770" applyAlignment="1" pivotButton="0" quotePrefix="0" xfId="0">
      <alignment horizontal="center" vertical="center" wrapText="1"/>
    </xf>
    <xf numFmtId="1" fontId="3" fillId="0" borderId="307" applyAlignment="1" pivotButton="0" quotePrefix="0" xfId="0">
      <alignment horizontal="center" vertical="center" wrapText="1"/>
    </xf>
    <xf numFmtId="1" fontId="3" fillId="0" borderId="771" applyAlignment="1" pivotButton="0" quotePrefix="0" xfId="0">
      <alignment horizontal="center" vertical="center" wrapText="1"/>
    </xf>
    <xf numFmtId="1" fontId="3" fillId="0" borderId="683" applyAlignment="1" applyProtection="1" pivotButton="0" quotePrefix="0" xfId="0">
      <alignment horizontal="center" vertical="center"/>
      <protection locked="1" hidden="1"/>
    </xf>
    <xf numFmtId="1" fontId="3" fillId="0" borderId="695" applyAlignment="1" applyProtection="1" pivotButton="0" quotePrefix="0" xfId="0">
      <alignment horizontal="center" vertical="center"/>
      <protection locked="1" hidden="1"/>
    </xf>
    <xf numFmtId="1" fontId="3" fillId="0" borderId="245" applyAlignment="1" applyProtection="1" pivotButton="0" quotePrefix="0" xfId="0">
      <alignment horizontal="center" vertical="center"/>
      <protection locked="1" hidden="1"/>
    </xf>
    <xf numFmtId="1" fontId="3" fillId="0" borderId="546" applyAlignment="1" applyProtection="1" pivotButton="0" quotePrefix="0" xfId="0">
      <alignment horizontal="center" vertical="center"/>
      <protection locked="1" hidden="1"/>
    </xf>
    <xf numFmtId="1" fontId="3" fillId="0" borderId="705" applyAlignment="1" applyProtection="1" pivotButton="0" quotePrefix="0" xfId="0">
      <alignment horizontal="center" vertical="center"/>
      <protection locked="1" hidden="1"/>
    </xf>
    <xf numFmtId="1" fontId="3" fillId="0" borderId="748" applyAlignment="1" applyProtection="1" pivotButton="0" quotePrefix="0" xfId="0">
      <alignment horizontal="center" vertical="center"/>
      <protection locked="1" hidden="1"/>
    </xf>
    <xf numFmtId="1" fontId="3" fillId="0" borderId="683" applyAlignment="1" applyProtection="1" pivotButton="0" quotePrefix="0" xfId="0">
      <alignment horizontal="center" vertical="center" wrapText="1"/>
      <protection locked="1" hidden="1"/>
    </xf>
    <xf numFmtId="1" fontId="3" fillId="0" borderId="694" applyAlignment="1" applyProtection="1" pivotButton="0" quotePrefix="0" xfId="0">
      <alignment horizontal="center" vertical="center" wrapText="1"/>
      <protection locked="1" hidden="1"/>
    </xf>
    <xf numFmtId="1" fontId="3" fillId="0" borderId="695" applyAlignment="1" applyProtection="1" pivotButton="0" quotePrefix="0" xfId="0">
      <alignment horizontal="center" vertical="center" wrapText="1"/>
      <protection locked="1" hidden="1"/>
    </xf>
    <xf numFmtId="1" fontId="3" fillId="0" borderId="705" applyAlignment="1" applyProtection="1" pivotButton="0" quotePrefix="0" xfId="0">
      <alignment horizontal="center" vertical="center" wrapText="1"/>
      <protection locked="1" hidden="1"/>
    </xf>
    <xf numFmtId="1" fontId="3" fillId="0" borderId="747" applyAlignment="1" applyProtection="1" pivotButton="0" quotePrefix="0" xfId="0">
      <alignment horizontal="center" vertical="center" wrapText="1"/>
      <protection locked="1" hidden="1"/>
    </xf>
    <xf numFmtId="1" fontId="3" fillId="0" borderId="748" applyAlignment="1" applyProtection="1" pivotButton="0" quotePrefix="0" xfId="0">
      <alignment horizontal="center" vertical="center" wrapText="1"/>
      <protection locked="1" hidden="1"/>
    </xf>
    <xf numFmtId="0" fontId="3" fillId="5" borderId="670" applyAlignment="1" pivotButton="0" quotePrefix="0" xfId="0">
      <alignment horizontal="center" vertical="center"/>
    </xf>
    <xf numFmtId="0" fontId="3" fillId="5" borderId="730" applyAlignment="1" pivotButton="0" quotePrefix="0" xfId="0">
      <alignment horizontal="center" vertical="center"/>
    </xf>
    <xf numFmtId="0" fontId="3" fillId="5" borderId="729" applyAlignment="1" pivotButton="0" quotePrefix="0" xfId="0">
      <alignment horizontal="center" vertical="center"/>
    </xf>
    <xf numFmtId="1" fontId="2" fillId="0" borderId="730" applyAlignment="1" applyProtection="1" pivotButton="0" quotePrefix="0" xfId="0">
      <alignment horizontal="left" wrapText="1"/>
      <protection locked="1" hidden="1"/>
    </xf>
    <xf numFmtId="1" fontId="3" fillId="0" borderId="670" applyAlignment="1" applyProtection="1" pivotButton="0" quotePrefix="0" xfId="0">
      <alignment horizontal="center" vertical="center" wrapText="1"/>
      <protection locked="1" hidden="1"/>
    </xf>
    <xf numFmtId="1" fontId="3" fillId="0" borderId="730" applyAlignment="1" applyProtection="1" pivotButton="0" quotePrefix="0" xfId="0">
      <alignment horizontal="center" vertical="center" wrapText="1"/>
      <protection locked="1" hidden="1"/>
    </xf>
    <xf numFmtId="1" fontId="3" fillId="0" borderId="672" applyAlignment="1" applyProtection="1" pivotButton="0" quotePrefix="0" xfId="0">
      <alignment horizontal="center" vertical="center" wrapText="1"/>
      <protection locked="1" hidden="1"/>
    </xf>
    <xf numFmtId="1" fontId="3" fillId="0" borderId="246" applyAlignment="1" applyProtection="1" pivotButton="0" quotePrefix="0" xfId="0">
      <alignment horizontal="left" vertical="center" wrapText="1"/>
      <protection locked="1" hidden="1"/>
    </xf>
    <xf numFmtId="1" fontId="3" fillId="0" borderId="687" applyAlignment="1" applyProtection="1" pivotButton="0" quotePrefix="0" xfId="0">
      <alignment horizontal="center" vertical="center" wrapText="1"/>
      <protection locked="1" hidden="1"/>
    </xf>
    <xf numFmtId="1" fontId="3" fillId="0" borderId="347" applyAlignment="1" applyProtection="1" pivotButton="0" quotePrefix="0" xfId="0">
      <alignment horizontal="center" vertical="center" wrapText="1"/>
      <protection locked="1" hidden="1"/>
    </xf>
    <xf numFmtId="1" fontId="3" fillId="0" borderId="740" applyAlignment="1" applyProtection="1" pivotButton="0" quotePrefix="0" xfId="0">
      <alignment horizontal="center" vertical="center" wrapText="1"/>
      <protection locked="1" hidden="1"/>
    </xf>
    <xf numFmtId="1" fontId="3" fillId="0" borderId="226" applyAlignment="1" applyProtection="1" pivotButton="0" quotePrefix="0" xfId="0">
      <alignment horizontal="center" vertical="center" wrapText="1"/>
      <protection locked="1" hidden="1"/>
    </xf>
    <xf numFmtId="1" fontId="3" fillId="0" borderId="729" applyAlignment="1" applyProtection="1" pivotButton="0" quotePrefix="0" xfId="0">
      <alignment horizontal="center" vertical="center" wrapText="1"/>
      <protection locked="1" hidden="1"/>
    </xf>
    <xf numFmtId="1" fontId="3" fillId="0" borderId="786" applyAlignment="1" pivotButton="0" quotePrefix="0" xfId="0">
      <alignment horizontal="center" vertical="center"/>
    </xf>
    <xf numFmtId="1" fontId="3" fillId="0" borderId="784" applyAlignment="1" pivotButton="0" quotePrefix="0" xfId="0">
      <alignment horizontal="center" vertical="center" wrapText="1"/>
    </xf>
    <xf numFmtId="1" fontId="3" fillId="0" borderId="783" applyAlignment="1" pivotButton="0" quotePrefix="0" xfId="0">
      <alignment horizontal="center" vertical="center" wrapText="1"/>
    </xf>
    <xf numFmtId="1" fontId="3" fillId="0" borderId="785" applyAlignment="1" pivotButton="0" quotePrefix="0" xfId="0">
      <alignment horizontal="center" vertical="center" wrapText="1"/>
    </xf>
    <xf numFmtId="1" fontId="3" fillId="0" borderId="685" applyAlignment="1" applyProtection="1" pivotButton="0" quotePrefix="0" xfId="0">
      <alignment horizontal="center" vertical="center" wrapText="1"/>
      <protection locked="1" hidden="1"/>
    </xf>
    <xf numFmtId="1" fontId="3" fillId="0" borderId="686" applyAlignment="1" applyProtection="1" pivotButton="0" quotePrefix="0" xfId="0">
      <alignment horizontal="center" vertical="center" wrapText="1"/>
      <protection locked="1" hidden="1"/>
    </xf>
    <xf numFmtId="1" fontId="3" fillId="0" borderId="786" applyAlignment="1" pivotButton="0" quotePrefix="0" xfId="0">
      <alignment horizontal="center" vertical="center" wrapText="1"/>
    </xf>
    <xf numFmtId="1" fontId="3" fillId="0" borderId="730" applyAlignment="1" pivotButton="0" quotePrefix="0" xfId="0">
      <alignment horizontal="center" vertical="center"/>
    </xf>
    <xf numFmtId="1" fontId="3" fillId="5" borderId="791" applyAlignment="1" pivotButton="0" quotePrefix="0" xfId="0">
      <alignment horizontal="center" vertical="center" wrapText="1"/>
    </xf>
    <xf numFmtId="1" fontId="3" fillId="5" borderId="229" applyAlignment="1" pivotButton="0" quotePrefix="0" xfId="0">
      <alignment horizontal="center" vertical="center" wrapText="1"/>
    </xf>
    <xf numFmtId="1" fontId="3" fillId="0" borderId="763" applyAlignment="1" pivotButton="0" quotePrefix="0" xfId="0">
      <alignment horizontal="center" vertical="center" wrapText="1"/>
    </xf>
    <xf numFmtId="1" fontId="3" fillId="0" borderId="300" applyAlignment="1" pivotButton="0" quotePrefix="0" xfId="0">
      <alignment horizontal="center" vertical="center" wrapText="1"/>
    </xf>
    <xf numFmtId="1" fontId="3" fillId="0" borderId="787" applyAlignment="1" pivotButton="0" quotePrefix="0" xfId="0">
      <alignment horizontal="center" vertical="center" wrapText="1"/>
    </xf>
    <xf numFmtId="1" fontId="3" fillId="0" borderId="781" applyAlignment="1" pivotButton="0" quotePrefix="0" xfId="0">
      <alignment horizontal="center" vertical="center" wrapText="1"/>
    </xf>
    <xf numFmtId="1" fontId="3" fillId="0" borderId="711" applyAlignment="1" pivotButton="0" quotePrefix="0" xfId="0">
      <alignment horizontal="center" vertical="center" wrapText="1"/>
    </xf>
    <xf numFmtId="1" fontId="3" fillId="0" borderId="221" applyAlignment="1" pivotButton="0" quotePrefix="0" xfId="0">
      <alignment horizontal="center" vertical="center" wrapText="1"/>
    </xf>
    <xf numFmtId="1" fontId="3" fillId="0" borderId="794" applyAlignment="1" pivotButton="0" quotePrefix="0" xfId="0">
      <alignment horizontal="center" vertical="center" wrapText="1"/>
    </xf>
    <xf numFmtId="1" fontId="2" fillId="0" borderId="783" applyAlignment="1" pivotButton="0" quotePrefix="0" xfId="0">
      <alignment horizontal="left"/>
    </xf>
    <xf numFmtId="0" fontId="3" fillId="5" borderId="679" applyAlignment="1" pivotButton="0" quotePrefix="0" xfId="0">
      <alignment horizontal="left" vertical="center" wrapText="1"/>
    </xf>
    <xf numFmtId="0" fontId="3" fillId="5" borderId="246" applyAlignment="1" pivotButton="0" quotePrefix="0" xfId="0">
      <alignment horizontal="left" vertical="center" wrapText="1"/>
    </xf>
    <xf numFmtId="0" fontId="3" fillId="5" borderId="786" applyAlignment="1" pivotButton="0" quotePrefix="0" xfId="0">
      <alignment horizontal="left" vertical="center" wrapText="1"/>
    </xf>
    <xf numFmtId="1" fontId="3" fillId="0" borderId="798" applyAlignment="1" pivotButton="0" quotePrefix="0" xfId="0">
      <alignment horizontal="center" vertical="center" wrapText="1"/>
    </xf>
    <xf numFmtId="1" fontId="3" fillId="0" borderId="783" applyAlignment="1" pivotButton="0" quotePrefix="0" xfId="0">
      <alignment horizontal="center" vertical="center"/>
    </xf>
    <xf numFmtId="1" fontId="3" fillId="0" borderId="784" applyAlignment="1" pivotButton="0" quotePrefix="0" xfId="0">
      <alignment horizontal="center" vertical="center"/>
    </xf>
    <xf numFmtId="1" fontId="3" fillId="0" borderId="788" applyAlignment="1" pivotButton="0" quotePrefix="0" xfId="0">
      <alignment horizontal="center" vertical="center" wrapText="1"/>
    </xf>
    <xf numFmtId="1" fontId="3" fillId="0" borderId="687" applyAlignment="1" pivotButton="0" quotePrefix="0" xfId="0">
      <alignment horizontal="center" wrapText="1"/>
    </xf>
    <xf numFmtId="1" fontId="3" fillId="0" borderId="788" applyAlignment="1" pivotButton="0" quotePrefix="0" xfId="0">
      <alignment horizontal="center" wrapText="1"/>
    </xf>
    <xf numFmtId="1" fontId="3" fillId="0" borderId="789" applyAlignment="1" pivotButton="0" quotePrefix="0" xfId="0">
      <alignment horizontal="center" vertical="center" wrapText="1"/>
    </xf>
    <xf numFmtId="1" fontId="3" fillId="0" borderId="246" applyAlignment="1" pivotButton="0" quotePrefix="0" xfId="0">
      <alignment horizontal="center" vertical="center" wrapText="1"/>
    </xf>
    <xf numFmtId="1" fontId="3" fillId="0" borderId="781" applyAlignment="1" applyProtection="1" pivotButton="0" quotePrefix="0" xfId="0">
      <alignment horizontal="center" vertical="center" wrapText="1"/>
      <protection locked="1" hidden="1"/>
    </xf>
    <xf numFmtId="1" fontId="3" fillId="0" borderId="369" applyAlignment="1" applyProtection="1" pivotButton="0" quotePrefix="0" xfId="0">
      <alignment horizontal="center" vertical="center" wrapText="1"/>
      <protection locked="1" hidden="1"/>
    </xf>
    <xf numFmtId="1" fontId="3" fillId="0" borderId="688" applyAlignment="1" applyProtection="1" pivotButton="0" quotePrefix="0" xfId="0">
      <alignment horizontal="center" vertical="center" wrapText="1"/>
      <protection locked="1" hidden="1"/>
    </xf>
    <xf numFmtId="1" fontId="3" fillId="0" borderId="227" applyAlignment="1" applyProtection="1" pivotButton="0" quotePrefix="0" xfId="0">
      <alignment horizontal="center" vertical="center" wrapText="1"/>
      <protection locked="1" hidden="1"/>
    </xf>
    <xf numFmtId="1" fontId="3" fillId="0" borderId="710" applyAlignment="1" pivotButton="0" quotePrefix="0" xfId="0">
      <alignment horizontal="center" vertical="center" wrapText="1"/>
    </xf>
    <xf numFmtId="1" fontId="3" fillId="0" borderId="6" applyAlignment="1" pivotButton="0" quotePrefix="0" xfId="0">
      <alignment horizontal="center" vertical="center" wrapText="1"/>
    </xf>
    <xf numFmtId="1" fontId="3" fillId="0" borderId="799" applyAlignment="1" pivotButton="0" quotePrefix="0" xfId="0">
      <alignment horizontal="center" vertical="center" wrapText="1"/>
    </xf>
    <xf numFmtId="0" fontId="3" fillId="0" borderId="684" applyAlignment="1" pivotButton="0" quotePrefix="0" xfId="0">
      <alignment horizontal="center" vertical="center" wrapText="1"/>
    </xf>
    <xf numFmtId="0" fontId="3" fillId="0" borderId="689" applyAlignment="1" pivotButton="0" quotePrefix="0" xfId="0">
      <alignment horizontal="center" vertical="center" wrapText="1"/>
    </xf>
    <xf numFmtId="0" fontId="3" fillId="0" borderId="729" applyAlignment="1" pivotButton="0" quotePrefix="0" xfId="0">
      <alignment horizontal="center" vertical="center" wrapText="1"/>
    </xf>
    <xf numFmtId="1" fontId="3" fillId="3" borderId="781" applyAlignment="1" pivotButton="0" quotePrefix="0" xfId="0">
      <alignment horizontal="center" vertical="center"/>
    </xf>
    <xf numFmtId="1" fontId="3" fillId="3" borderId="694" applyAlignment="1" pivotButton="0" quotePrefix="0" xfId="0">
      <alignment horizontal="center" vertical="center"/>
    </xf>
    <xf numFmtId="1" fontId="3" fillId="3" borderId="695" applyAlignment="1" pivotButton="0" quotePrefix="0" xfId="0">
      <alignment horizontal="center" vertical="center"/>
    </xf>
    <xf numFmtId="1" fontId="3" fillId="3" borderId="793" applyAlignment="1" pivotButton="0" quotePrefix="0" xfId="0">
      <alignment horizontal="center" vertical="center"/>
    </xf>
    <xf numFmtId="1" fontId="3" fillId="3" borderId="783" applyAlignment="1" pivotButton="0" quotePrefix="0" xfId="0">
      <alignment horizontal="center" vertical="center"/>
    </xf>
    <xf numFmtId="1" fontId="3" fillId="3" borderId="785" applyAlignment="1" pivotButton="0" quotePrefix="0" xfId="0">
      <alignment horizontal="center" vertical="center"/>
    </xf>
    <xf numFmtId="1" fontId="2" fillId="0" borderId="827" applyAlignment="1" pivotButton="0" quotePrefix="0" xfId="0">
      <alignment horizontal="left"/>
    </xf>
    <xf numFmtId="1" fontId="2" fillId="0" borderId="822" applyAlignment="1" pivotButton="0" quotePrefix="0" xfId="0">
      <alignment horizontal="left"/>
    </xf>
    <xf numFmtId="0" fontId="3" fillId="0" borderId="786" applyAlignment="1" pivotButton="0" quotePrefix="0" xfId="0">
      <alignment horizontal="left" wrapText="1"/>
    </xf>
    <xf numFmtId="0" fontId="3" fillId="0" borderId="166" applyAlignment="1" pivotButton="0" quotePrefix="0" xfId="0">
      <alignment horizontal="center" vertical="center"/>
    </xf>
    <xf numFmtId="0" fontId="3" fillId="0" borderId="57" applyAlignment="1" pivotButton="0" quotePrefix="0" xfId="0">
      <alignment horizontal="center" vertical="center"/>
    </xf>
    <xf numFmtId="0" fontId="3" fillId="0" borderId="245" applyAlignment="1" pivotButton="0" quotePrefix="0" xfId="0">
      <alignment horizontal="center" vertical="center"/>
    </xf>
    <xf numFmtId="0" fontId="3" fillId="0" borderId="546" applyAlignment="1" pivotButton="0" quotePrefix="0" xfId="0">
      <alignment horizontal="center" vertical="center"/>
    </xf>
    <xf numFmtId="0" fontId="3" fillId="0" borderId="784" applyAlignment="1" pivotButton="0" quotePrefix="0" xfId="0">
      <alignment horizontal="center" vertical="center"/>
    </xf>
    <xf numFmtId="0" fontId="3" fillId="0" borderId="785" applyAlignment="1" pivotButton="0" quotePrefix="0" xfId="0">
      <alignment horizontal="center" vertical="center"/>
    </xf>
    <xf numFmtId="0" fontId="3" fillId="0" borderId="685" applyAlignment="1" pivotButton="0" quotePrefix="0" xfId="0">
      <alignment horizontal="center" vertical="center"/>
    </xf>
    <xf numFmtId="0" fontId="3" fillId="0" borderId="681" applyAlignment="1" pivotButton="0" quotePrefix="0" xfId="0">
      <alignment horizontal="center" vertical="center"/>
    </xf>
    <xf numFmtId="0" fontId="3" fillId="0" borderId="730" applyAlignment="1" pivotButton="0" quotePrefix="0" xfId="0">
      <alignment horizontal="center" vertical="center"/>
    </xf>
    <xf numFmtId="0" fontId="3" fillId="0" borderId="729" applyAlignment="1" pivotButton="0" quotePrefix="0" xfId="0">
      <alignment horizontal="center" vertical="center"/>
    </xf>
    <xf numFmtId="0" fontId="3" fillId="0" borderId="736" applyAlignment="1" pivotButton="0" quotePrefix="0" xfId="0">
      <alignment horizontal="left" wrapText="1"/>
    </xf>
    <xf numFmtId="0" fontId="3" fillId="0" borderId="685" applyAlignment="1" pivotButton="0" quotePrefix="0" xfId="0">
      <alignment horizontal="center" vertical="center" wrapText="1"/>
    </xf>
    <xf numFmtId="0" fontId="3" fillId="0" borderId="681" applyAlignment="1" pivotButton="0" quotePrefix="0" xfId="0">
      <alignment horizontal="center" vertical="center" wrapText="1"/>
    </xf>
    <xf numFmtId="1" fontId="3" fillId="0" borderId="807" applyAlignment="1" pivotButton="0" quotePrefix="0" xfId="0">
      <alignment horizontal="center" vertical="center" wrapText="1"/>
    </xf>
    <xf numFmtId="1" fontId="3" fillId="0" borderId="322" applyAlignment="1" pivotButton="0" quotePrefix="0" xfId="0">
      <alignment horizontal="center" vertical="center" wrapText="1"/>
    </xf>
    <xf numFmtId="1" fontId="3" fillId="0" borderId="811" applyAlignment="1" pivotButton="0" quotePrefix="0" xfId="0">
      <alignment horizontal="center" vertical="center" wrapText="1"/>
    </xf>
    <xf numFmtId="1" fontId="3" fillId="0" borderId="29" applyAlignment="1" pivotButton="0" quotePrefix="0" xfId="0">
      <alignment horizontal="left" vertical="center"/>
    </xf>
    <xf numFmtId="0" fontId="22" fillId="0" borderId="39" applyAlignment="1" pivotButton="0" quotePrefix="0" xfId="0">
      <alignment horizontal="left" vertical="center"/>
    </xf>
    <xf numFmtId="0" fontId="22" fillId="0" borderId="826" applyAlignment="1" pivotButton="0" quotePrefix="0" xfId="0">
      <alignment horizontal="left" vertical="center"/>
    </xf>
    <xf numFmtId="1" fontId="3" fillId="0" borderId="39" applyAlignment="1" pivotButton="0" quotePrefix="0" xfId="0">
      <alignment horizontal="left" vertical="center"/>
    </xf>
    <xf numFmtId="1" fontId="3" fillId="0" borderId="93" applyAlignment="1" pivotButton="0" quotePrefix="0" xfId="0">
      <alignment horizontal="left" vertical="center"/>
    </xf>
    <xf numFmtId="0" fontId="22" fillId="0" borderId="94" pivotButton="0" quotePrefix="0" xfId="0"/>
    <xf numFmtId="1" fontId="3" fillId="24" borderId="29" applyAlignment="1" pivotButton="0" quotePrefix="0" xfId="0">
      <alignment horizontal="left" vertical="center"/>
    </xf>
    <xf numFmtId="0" fontId="22" fillId="0" borderId="39" pivotButton="0" quotePrefix="0" xfId="0"/>
    <xf numFmtId="1" fontId="3" fillId="0" borderId="55" applyAlignment="1" pivotButton="0" quotePrefix="0" xfId="0">
      <alignment horizontal="center" vertical="center"/>
    </xf>
    <xf numFmtId="0" fontId="8" fillId="0" borderId="162" applyAlignment="1" pivotButton="0" quotePrefix="0" xfId="0">
      <alignment horizontal="center" vertical="center"/>
    </xf>
    <xf numFmtId="1" fontId="3" fillId="0" borderId="56" applyAlignment="1" pivotButton="0" quotePrefix="0" xfId="0">
      <alignment horizontal="center" vertical="center" wrapText="1"/>
    </xf>
    <xf numFmtId="0" fontId="8" fillId="0" borderId="103" applyAlignment="1" pivotButton="0" quotePrefix="0" xfId="0">
      <alignment horizontal="center" vertical="center"/>
    </xf>
    <xf numFmtId="1" fontId="3" fillId="0" borderId="103" applyAlignment="1" pivotButton="0" quotePrefix="0" xfId="0">
      <alignment horizontal="center" vertical="center" wrapText="1"/>
    </xf>
    <xf numFmtId="1" fontId="3" fillId="0" borderId="736" applyAlignment="1" pivotButton="0" quotePrefix="0" xfId="0">
      <alignment horizontal="left" vertical="center" wrapText="1"/>
    </xf>
    <xf numFmtId="1" fontId="3" fillId="0" borderId="384" applyAlignment="1" pivotButton="0" quotePrefix="0" xfId="0">
      <alignment horizontal="left" vertical="center" wrapText="1"/>
    </xf>
    <xf numFmtId="1" fontId="3" fillId="0" borderId="736" applyAlignment="1" pivotButton="0" quotePrefix="0" xfId="0">
      <alignment horizontal="left" vertical="center"/>
    </xf>
    <xf numFmtId="1" fontId="3" fillId="0" borderId="380" applyAlignment="1" pivotButton="0" quotePrefix="0" xfId="0">
      <alignment horizontal="left" vertical="center"/>
    </xf>
    <xf numFmtId="1" fontId="3" fillId="0" borderId="384" applyAlignment="1" pivotButton="0" quotePrefix="0" xfId="0">
      <alignment horizontal="left" vertical="center"/>
    </xf>
    <xf numFmtId="1" fontId="3" fillId="0" borderId="786" applyAlignment="1" pivotButton="0" quotePrefix="0" xfId="0">
      <alignment horizontal="left" vertical="center" wrapText="1"/>
    </xf>
    <xf numFmtId="1" fontId="3" fillId="0" borderId="18" applyAlignment="1" pivotButton="0" quotePrefix="0" xfId="0">
      <alignment horizontal="center" vertical="center"/>
    </xf>
    <xf numFmtId="0" fontId="22" fillId="0" borderId="19" pivotButton="0" quotePrefix="0" xfId="0"/>
    <xf numFmtId="0" fontId="22" fillId="0" borderId="21" pivotButton="0" quotePrefix="0" xfId="0"/>
    <xf numFmtId="0" fontId="22" fillId="0" borderId="22" pivotButton="0" quotePrefix="0" xfId="0"/>
    <xf numFmtId="0" fontId="22" fillId="0" borderId="23" pivotButton="0" quotePrefix="0" xfId="0"/>
    <xf numFmtId="0" fontId="22" fillId="0" borderId="25" pivotButton="0" quotePrefix="0" xfId="0"/>
    <xf numFmtId="1" fontId="3" fillId="0" borderId="23" applyAlignment="1" pivotButton="0" quotePrefix="0" xfId="0">
      <alignment horizontal="center" vertical="center" wrapText="1"/>
    </xf>
    <xf numFmtId="0" fontId="22" fillId="0" borderId="194" pivotButton="0" quotePrefix="0" xfId="0"/>
    <xf numFmtId="1" fontId="3" fillId="0" borderId="18" applyAlignment="1" pivotButton="0" quotePrefix="0" xfId="0">
      <alignment horizontal="center" vertical="center" wrapText="1"/>
    </xf>
    <xf numFmtId="0" fontId="22" fillId="0" borderId="20" pivotButton="0" quotePrefix="0" xfId="0"/>
    <xf numFmtId="0" fontId="22" fillId="0" borderId="24" pivotButton="0" quotePrefix="0" xfId="0"/>
    <xf numFmtId="1" fontId="2" fillId="0" borderId="820" applyAlignment="1" pivotButton="0" quotePrefix="0" xfId="0">
      <alignment horizontal="left"/>
    </xf>
    <xf numFmtId="1" fontId="2" fillId="0" borderId="821" applyAlignment="1" pivotButton="0" quotePrefix="0" xfId="0">
      <alignment horizontal="left"/>
    </xf>
    <xf numFmtId="0" fontId="3" fillId="0" borderId="699" applyAlignment="1" pivotButton="0" quotePrefix="0" xfId="0">
      <alignment horizontal="center" vertical="center"/>
    </xf>
    <xf numFmtId="0" fontId="3" fillId="0" borderId="247" applyAlignment="1" pivotButton="0" quotePrefix="0" xfId="0">
      <alignment horizontal="center" vertical="center"/>
    </xf>
    <xf numFmtId="0" fontId="3" fillId="0" borderId="789" applyAlignment="1" pivotButton="0" quotePrefix="0" xfId="0">
      <alignment horizontal="center" vertical="center"/>
    </xf>
    <xf numFmtId="0" fontId="3" fillId="0" borderId="700" applyAlignment="1" pivotButton="0" quotePrefix="0" xfId="0">
      <alignment horizontal="center" vertical="center" wrapText="1"/>
    </xf>
    <xf numFmtId="0" fontId="3" fillId="0" borderId="475" applyAlignment="1" pivotButton="0" quotePrefix="0" xfId="0">
      <alignment horizontal="center" vertical="center" wrapText="1"/>
    </xf>
    <xf numFmtId="0" fontId="3" fillId="0" borderId="231" applyAlignment="1" pivotButton="0" quotePrefix="0" xfId="0">
      <alignment horizontal="center" vertical="center" wrapText="1"/>
    </xf>
    <xf numFmtId="0" fontId="3" fillId="20" borderId="694" applyAlignment="1" pivotButton="0" quotePrefix="0" xfId="0">
      <alignment horizontal="center" vertical="center" wrapText="1"/>
    </xf>
    <xf numFmtId="0" fontId="3" fillId="20" borderId="695" applyAlignment="1" pivotButton="0" quotePrefix="0" xfId="0">
      <alignment horizontal="center" vertical="center" wrapText="1"/>
    </xf>
    <xf numFmtId="0" fontId="3" fillId="20" borderId="783" applyAlignment="1" pivotButton="0" quotePrefix="0" xfId="0">
      <alignment horizontal="center" vertical="center" wrapText="1"/>
    </xf>
    <xf numFmtId="0" fontId="3" fillId="20" borderId="785" applyAlignment="1" pivotButton="0" quotePrefix="0" xfId="0">
      <alignment horizontal="center" vertical="center" wrapText="1"/>
    </xf>
    <xf numFmtId="0" fontId="3" fillId="0" borderId="670" applyAlignment="1" pivotButton="0" quotePrefix="0" xfId="0">
      <alignment horizontal="center"/>
    </xf>
    <xf numFmtId="0" fontId="3" fillId="0" borderId="730" applyAlignment="1" pivotButton="0" quotePrefix="0" xfId="0">
      <alignment horizontal="center"/>
    </xf>
    <xf numFmtId="0" fontId="3" fillId="0" borderId="672" applyAlignment="1" pivotButton="0" quotePrefix="0" xfId="0">
      <alignment horizontal="center"/>
    </xf>
    <xf numFmtId="1" fontId="1" fillId="3" borderId="0" applyAlignment="1" pivotButton="0" quotePrefix="0" xfId="0">
      <alignment horizontal="center" vertical="center"/>
    </xf>
    <xf numFmtId="1" fontId="3" fillId="0" borderId="724" applyAlignment="1" pivotButton="0" quotePrefix="0" xfId="0">
      <alignment horizontal="center" vertical="center"/>
    </xf>
    <xf numFmtId="1" fontId="3" fillId="0" borderId="708" applyAlignment="1" pivotButton="0" quotePrefix="0" xfId="0">
      <alignment horizontal="center" vertical="center"/>
    </xf>
    <xf numFmtId="1" fontId="3" fillId="0" borderId="683" applyAlignment="1" pivotButton="0" quotePrefix="0" xfId="0">
      <alignment horizontal="left" vertical="center"/>
    </xf>
    <xf numFmtId="1" fontId="3" fillId="0" borderId="245" applyAlignment="1" pivotButton="0" quotePrefix="0" xfId="0">
      <alignment horizontal="center" vertical="center"/>
    </xf>
    <xf numFmtId="1" fontId="3" fillId="0" borderId="546" applyAlignment="1" pivotButton="0" quotePrefix="0" xfId="0">
      <alignment horizontal="center" vertical="center"/>
    </xf>
    <xf numFmtId="1" fontId="3" fillId="0" borderId="785" applyAlignment="1" pivotButton="0" quotePrefix="0" xfId="0">
      <alignment horizontal="center" vertical="center"/>
    </xf>
    <xf numFmtId="1" fontId="3" fillId="0" borderId="393" applyAlignment="1" pivotButton="0" quotePrefix="0" xfId="0">
      <alignment horizontal="left" vertical="center" shrinkToFit="1"/>
    </xf>
    <xf numFmtId="1" fontId="3" fillId="0" borderId="389" applyAlignment="1" pivotButton="0" quotePrefix="0" xfId="0">
      <alignment horizontal="left" vertical="center" shrinkToFit="1"/>
    </xf>
    <xf numFmtId="1" fontId="3" fillId="0" borderId="393" applyAlignment="1" pivotButton="0" quotePrefix="0" xfId="0">
      <alignment horizontal="left" vertical="center"/>
    </xf>
    <xf numFmtId="1" fontId="3" fillId="0" borderId="389" applyAlignment="1" pivotButton="0" quotePrefix="0" xfId="0">
      <alignment horizontal="left" vertical="center"/>
    </xf>
    <xf numFmtId="1" fontId="3" fillId="0" borderId="550" applyAlignment="1" pivotButton="0" quotePrefix="0" xfId="0">
      <alignment horizontal="center" vertical="center" wrapText="1"/>
    </xf>
    <xf numFmtId="1" fontId="3" fillId="0" borderId="390" applyAlignment="1" pivotButton="0" quotePrefix="0" xfId="0">
      <alignment horizontal="center" vertical="center" wrapText="1"/>
    </xf>
    <xf numFmtId="1" fontId="3" fillId="0" borderId="505" applyAlignment="1" pivotButton="0" quotePrefix="0" xfId="0">
      <alignment horizontal="center" vertical="center" wrapText="1"/>
    </xf>
    <xf numFmtId="1" fontId="3" fillId="0" borderId="269" applyAlignment="1" pivotButton="0" quotePrefix="0" xfId="0">
      <alignment horizontal="center" vertical="center" wrapText="1"/>
    </xf>
    <xf numFmtId="1" fontId="3" fillId="0" borderId="271" applyAlignment="1" pivotButton="0" quotePrefix="0" xfId="0">
      <alignment horizontal="center" vertical="center" wrapText="1"/>
    </xf>
    <xf numFmtId="1" fontId="3" fillId="0" borderId="273" applyAlignment="1" pivotButton="0" quotePrefix="0" xfId="0">
      <alignment horizontal="center" vertical="center" wrapText="1"/>
    </xf>
    <xf numFmtId="1" fontId="3" fillId="0" borderId="29" applyAlignment="1" pivotButton="0" quotePrefix="0" xfId="0">
      <alignment horizontal="center" vertical="center" wrapText="1"/>
    </xf>
    <xf numFmtId="1" fontId="3" fillId="0" borderId="36" applyAlignment="1" pivotButton="0" quotePrefix="0" xfId="0">
      <alignment horizontal="center" vertical="center" wrapText="1"/>
    </xf>
    <xf numFmtId="1" fontId="3" fillId="0" borderId="39" applyAlignment="1" pivotButton="0" quotePrefix="0" xfId="0">
      <alignment horizontal="center" vertical="center" wrapText="1"/>
    </xf>
    <xf numFmtId="1" fontId="3" fillId="0" borderId="48" applyAlignment="1" pivotButton="0" quotePrefix="0" xfId="0">
      <alignment horizontal="center" vertical="center" wrapText="1"/>
    </xf>
    <xf numFmtId="1" fontId="3" fillId="0" borderId="28" applyAlignment="1" pivotButton="0" quotePrefix="0" xfId="0">
      <alignment horizontal="center" vertical="center" wrapText="1"/>
    </xf>
    <xf numFmtId="1" fontId="3" fillId="0" borderId="806" applyAlignment="1" pivotButton="0" quotePrefix="0" xfId="0">
      <alignment horizontal="center" vertical="center" wrapText="1"/>
    </xf>
    <xf numFmtId="1" fontId="3" fillId="0" borderId="321" applyAlignment="1" pivotButton="0" quotePrefix="0" xfId="0">
      <alignment horizontal="center" vertical="center" wrapText="1"/>
    </xf>
    <xf numFmtId="1" fontId="3" fillId="0" borderId="810" applyAlignment="1" pivotButton="0" quotePrefix="0" xfId="0">
      <alignment horizontal="center" vertical="center" wrapText="1"/>
    </xf>
    <xf numFmtId="1" fontId="3" fillId="0" borderId="731" applyAlignment="1" pivotButton="0" quotePrefix="0" xfId="0">
      <alignment horizontal="center" vertical="center" wrapText="1"/>
    </xf>
    <xf numFmtId="1" fontId="3" fillId="0" borderId="737" applyAlignment="1" pivotButton="0" quotePrefix="0" xfId="0">
      <alignment horizontal="center" vertical="center" wrapText="1"/>
    </xf>
    <xf numFmtId="1" fontId="3" fillId="0" borderId="394" applyAlignment="1" pivotButton="0" quotePrefix="0" xfId="0">
      <alignment horizontal="center" vertical="center" wrapText="1"/>
    </xf>
    <xf numFmtId="1" fontId="3" fillId="0" borderId="354" applyAlignment="1" pivotButton="0" quotePrefix="0" xfId="0">
      <alignment horizontal="center" vertical="center" wrapText="1"/>
    </xf>
    <xf numFmtId="0" fontId="22" fillId="0" borderId="88" pivotButton="0" quotePrefix="0" xfId="0"/>
    <xf numFmtId="1" fontId="3" fillId="0" borderId="268" applyAlignment="1" pivotButton="0" quotePrefix="0" xfId="0">
      <alignment horizontal="center" vertical="center" wrapText="1"/>
    </xf>
    <xf numFmtId="1" fontId="3" fillId="0" borderId="270" applyAlignment="1" pivotButton="0" quotePrefix="0" xfId="0">
      <alignment horizontal="center" vertical="center" wrapText="1"/>
    </xf>
    <xf numFmtId="1" fontId="3" fillId="0" borderId="272" applyAlignment="1" pivotButton="0" quotePrefix="0" xfId="0">
      <alignment horizontal="center" vertical="center" wrapText="1"/>
    </xf>
    <xf numFmtId="1" fontId="3" fillId="0" borderId="269" applyAlignment="1" pivotButton="0" quotePrefix="0" xfId="0">
      <alignment horizontal="center" vertical="center"/>
    </xf>
    <xf numFmtId="0" fontId="8" fillId="0" borderId="273" applyAlignment="1" pivotButton="0" quotePrefix="0" xfId="0">
      <alignment horizontal="center" vertical="center"/>
    </xf>
    <xf numFmtId="1" fontId="3" fillId="0" borderId="156" applyAlignment="1" pivotButton="0" quotePrefix="0" xfId="0">
      <alignment horizontal="center" vertical="center" wrapText="1"/>
    </xf>
    <xf numFmtId="0" fontId="22" fillId="0" borderId="54" pivotButton="0" quotePrefix="0" xfId="0"/>
    <xf numFmtId="1" fontId="3" fillId="0" borderId="266" applyAlignment="1" pivotButton="0" quotePrefix="0" xfId="0">
      <alignment horizontal="center" vertical="center" wrapText="1"/>
    </xf>
    <xf numFmtId="0" fontId="22" fillId="0" borderId="267" pivotButton="0" quotePrefix="0" xfId="0"/>
    <xf numFmtId="1" fontId="3" fillId="0" borderId="725" applyAlignment="1" pivotButton="0" quotePrefix="0" xfId="0">
      <alignment horizontal="center" vertical="center"/>
    </xf>
    <xf numFmtId="1" fontId="3" fillId="0" borderId="799" applyAlignment="1" pivotButton="0" quotePrefix="0" xfId="0">
      <alignment horizontal="center" vertical="center"/>
    </xf>
    <xf numFmtId="1" fontId="3" fillId="5" borderId="694" applyAlignment="1" pivotButton="0" quotePrefix="0" xfId="0">
      <alignment horizontal="center" vertical="center" wrapText="1"/>
    </xf>
    <xf numFmtId="1" fontId="3" fillId="5" borderId="695" applyAlignment="1" pivotButton="0" quotePrefix="0" xfId="0">
      <alignment horizontal="center" vertical="center" wrapText="1"/>
    </xf>
    <xf numFmtId="1" fontId="3" fillId="5" borderId="783" applyAlignment="1" pivotButton="0" quotePrefix="0" xfId="0">
      <alignment horizontal="center" vertical="center" wrapText="1"/>
    </xf>
    <xf numFmtId="1" fontId="3" fillId="5" borderId="785" applyAlignment="1" pivotButton="0" quotePrefix="0" xfId="0">
      <alignment horizontal="center" vertical="center" wrapText="1"/>
    </xf>
    <xf numFmtId="1" fontId="3" fillId="0" borderId="749" applyAlignment="1" pivotButton="0" quotePrefix="0" xfId="0">
      <alignment horizontal="left" vertical="center"/>
    </xf>
    <xf numFmtId="1" fontId="3" fillId="0" borderId="726" applyAlignment="1" pivotButton="0" quotePrefix="0" xfId="0">
      <alignment horizontal="left" vertical="center"/>
    </xf>
    <xf numFmtId="1" fontId="3" fillId="5" borderId="683" applyAlignment="1" pivotButton="0" quotePrefix="0" xfId="0">
      <alignment horizontal="center" vertical="center" wrapText="1"/>
    </xf>
    <xf numFmtId="1" fontId="3" fillId="5" borderId="670" applyAlignment="1" pivotButton="0" quotePrefix="0" xfId="0">
      <alignment horizontal="center" vertical="center"/>
    </xf>
    <xf numFmtId="1" fontId="3" fillId="5" borderId="730" applyAlignment="1" pivotButton="0" quotePrefix="0" xfId="0">
      <alignment horizontal="center" vertical="center"/>
    </xf>
    <xf numFmtId="1" fontId="3" fillId="5" borderId="729" applyAlignment="1" pivotButton="0" quotePrefix="0" xfId="0">
      <alignment horizontal="center" vertical="center"/>
    </xf>
    <xf numFmtId="1" fontId="3" fillId="22" borderId="683" applyAlignment="1" pivotButton="0" quotePrefix="0" xfId="0">
      <alignment horizontal="center" vertical="center" wrapText="1"/>
    </xf>
    <xf numFmtId="1" fontId="3" fillId="22" borderId="695" applyAlignment="1" pivotButton="0" quotePrefix="0" xfId="0">
      <alignment horizontal="center" vertical="center" wrapText="1"/>
    </xf>
    <xf numFmtId="1" fontId="3" fillId="0" borderId="407" applyAlignment="1" pivotButton="0" quotePrefix="0" xfId="0">
      <alignment horizontal="left" vertical="center"/>
    </xf>
    <xf numFmtId="1" fontId="3" fillId="0" borderId="378" applyAlignment="1" pivotButton="0" quotePrefix="0" xfId="0">
      <alignment horizontal="left" vertical="center"/>
    </xf>
    <xf numFmtId="1" fontId="3" fillId="0" borderId="805" applyAlignment="1" pivotButton="0" quotePrefix="0" xfId="0">
      <alignment horizontal="center" vertical="center" wrapText="1"/>
    </xf>
    <xf numFmtId="1" fontId="3" fillId="0" borderId="808" applyAlignment="1" pivotButton="0" quotePrefix="0" xfId="0">
      <alignment horizontal="center" vertical="center" wrapText="1"/>
    </xf>
    <xf numFmtId="1" fontId="3" fillId="0" borderId="809" applyAlignment="1" pivotButton="0" quotePrefix="0" xfId="0">
      <alignment horizontal="center" vertical="center" wrapText="1"/>
    </xf>
    <xf numFmtId="16" fontId="3" fillId="0" borderId="784" applyAlignment="1" pivotButton="0" quotePrefix="0" xfId="0">
      <alignment horizontal="center" vertical="center"/>
    </xf>
    <xf numFmtId="17" fontId="3" fillId="0" borderId="784" applyAlignment="1" pivotButton="0" quotePrefix="0" xfId="0">
      <alignment horizontal="center" vertical="center"/>
    </xf>
    <xf numFmtId="17" fontId="3" fillId="0" borderId="785" applyAlignment="1" pivotButton="0" quotePrefix="0" xfId="0">
      <alignment horizontal="center" vertical="center"/>
    </xf>
    <xf numFmtId="0" fontId="3" fillId="0" borderId="24" applyAlignment="1" pivotButton="0" quotePrefix="0" xfId="0">
      <alignment horizontal="center" vertical="center"/>
    </xf>
    <xf numFmtId="0" fontId="3" fillId="0" borderId="194" applyAlignment="1" pivotButton="0" quotePrefix="0" xfId="0">
      <alignment horizontal="center" vertical="center"/>
    </xf>
    <xf numFmtId="0" fontId="3" fillId="0" borderId="732" applyAlignment="1" pivotButton="0" quotePrefix="0" xfId="0">
      <alignment horizontal="center" vertical="center"/>
    </xf>
    <xf numFmtId="0" fontId="3" fillId="0" borderId="685" applyAlignment="1" pivotButton="0" quotePrefix="0" xfId="0">
      <alignment horizontal="center" wrapText="1"/>
    </xf>
    <xf numFmtId="0" fontId="3" fillId="0" borderId="546" applyAlignment="1" pivotButton="0" quotePrefix="0" xfId="0">
      <alignment horizontal="left" vertical="center" wrapText="1"/>
    </xf>
    <xf numFmtId="0" fontId="3" fillId="0" borderId="785" applyAlignment="1" pivotButton="0" quotePrefix="0" xfId="0">
      <alignment horizontal="left" vertical="center" wrapText="1"/>
    </xf>
    <xf numFmtId="0" fontId="3" fillId="0" borderId="698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center" vertical="center" wrapText="1"/>
    </xf>
    <xf numFmtId="0" fontId="3" fillId="0" borderId="803" applyAlignment="1" pivotButton="0" quotePrefix="0" xfId="0">
      <alignment horizontal="center" vertical="center" wrapText="1"/>
    </xf>
    <xf numFmtId="0" fontId="3" fillId="0" borderId="698" applyAlignment="1" pivotButton="0" quotePrefix="0" xfId="0">
      <alignment horizontal="center" vertical="center"/>
    </xf>
    <xf numFmtId="0" fontId="3" fillId="0" borderId="22" applyAlignment="1" pivotButton="0" quotePrefix="0" xfId="0">
      <alignment horizontal="center" vertical="center"/>
    </xf>
    <xf numFmtId="0" fontId="3" fillId="0" borderId="803" applyAlignment="1" pivotButton="0" quotePrefix="0" xfId="0">
      <alignment horizontal="center" vertical="center"/>
    </xf>
    <xf numFmtId="1" fontId="5" fillId="0" borderId="695" applyAlignment="1" pivotButton="0" quotePrefix="0" xfId="0">
      <alignment horizontal="center" vertical="center" wrapText="1"/>
    </xf>
    <xf numFmtId="1" fontId="5" fillId="0" borderId="785" applyAlignment="1" pivotButton="0" quotePrefix="0" xfId="0">
      <alignment horizontal="center" vertical="center" wrapText="1"/>
    </xf>
    <xf numFmtId="1" fontId="5" fillId="0" borderId="670" applyAlignment="1" pivotButton="0" quotePrefix="0" xfId="0">
      <alignment horizontal="center" vertical="center" wrapText="1"/>
    </xf>
    <xf numFmtId="1" fontId="5" fillId="0" borderId="708" applyAlignment="1" pivotButton="0" quotePrefix="0" xfId="0">
      <alignment horizontal="center" vertical="center" wrapText="1"/>
    </xf>
    <xf numFmtId="1" fontId="5" fillId="0" borderId="730" applyAlignment="1" pivotButton="0" quotePrefix="0" xfId="0">
      <alignment horizontal="center" vertical="center" wrapText="1"/>
    </xf>
    <xf numFmtId="1" fontId="5" fillId="0" borderId="784" applyAlignment="1" pivotButton="0" quotePrefix="0" xfId="0">
      <alignment horizontal="center" vertical="center" wrapText="1"/>
    </xf>
    <xf numFmtId="1" fontId="5" fillId="0" borderId="783" applyAlignment="1" pivotButton="0" quotePrefix="0" xfId="0">
      <alignment horizontal="center" vertical="center" wrapText="1"/>
    </xf>
    <xf numFmtId="1" fontId="15" fillId="3" borderId="0" applyAlignment="1" pivotButton="0" quotePrefix="0" xfId="0">
      <alignment horizontal="center" vertical="center"/>
    </xf>
    <xf numFmtId="1" fontId="5" fillId="0" borderId="679" applyAlignment="1" pivotButton="0" quotePrefix="0" xfId="0">
      <alignment horizontal="center" vertical="center"/>
    </xf>
    <xf numFmtId="1" fontId="5" fillId="0" borderId="246" applyAlignment="1" pivotButton="0" quotePrefix="0" xfId="0">
      <alignment horizontal="center" vertical="center"/>
    </xf>
    <xf numFmtId="1" fontId="5" fillId="0" borderId="786" applyAlignment="1" pivotButton="0" quotePrefix="0" xfId="0">
      <alignment horizontal="center" vertical="center"/>
    </xf>
    <xf numFmtId="1" fontId="5" fillId="0" borderId="683" applyAlignment="1" pivotButton="0" quotePrefix="0" xfId="0">
      <alignment horizontal="center" vertical="center" wrapText="1"/>
    </xf>
    <xf numFmtId="1" fontId="5" fillId="0" borderId="694" applyAlignment="1" pivotButton="0" quotePrefix="0" xfId="0">
      <alignment horizontal="center" vertical="center" wrapText="1"/>
    </xf>
    <xf numFmtId="1" fontId="5" fillId="0" borderId="685" applyAlignment="1" pivotButton="0" quotePrefix="0" xfId="0">
      <alignment horizontal="center" vertical="center" wrapText="1"/>
    </xf>
    <xf numFmtId="1" fontId="5" fillId="0" borderId="686" applyAlignment="1" pivotButton="0" quotePrefix="0" xfId="0">
      <alignment horizontal="center" vertical="center" wrapText="1"/>
    </xf>
    <xf numFmtId="1" fontId="5" fillId="0" borderId="685" applyAlignment="1" pivotButton="0" quotePrefix="0" xfId="0">
      <alignment horizontal="center" vertical="center"/>
    </xf>
    <xf numFmtId="1" fontId="5" fillId="0" borderId="740" applyAlignment="1" pivotButton="0" quotePrefix="0" xfId="0">
      <alignment horizontal="center" vertical="center" wrapText="1"/>
    </xf>
    <xf numFmtId="1" fontId="5" fillId="0" borderId="688" applyAlignment="1" pivotButton="0" quotePrefix="0" xfId="0">
      <alignment horizontal="center" vertical="center" wrapText="1"/>
    </xf>
    <xf numFmtId="1" fontId="5" fillId="0" borderId="1385" applyAlignment="1" pivotButton="0" quotePrefix="0" xfId="0">
      <alignment horizontal="center" vertical="center" wrapText="1"/>
    </xf>
    <xf numFmtId="1" fontId="5" fillId="0" borderId="1392" applyAlignment="1" pivotButton="0" quotePrefix="0" xfId="0">
      <alignment horizontal="center" vertical="center" wrapText="1"/>
    </xf>
    <xf numFmtId="1" fontId="14" fillId="0" borderId="730" applyAlignment="1" pivotButton="0" quotePrefix="0" xfId="0">
      <alignment horizontal="left"/>
    </xf>
    <xf numFmtId="1" fontId="5" fillId="0" borderId="729" applyAlignment="1" pivotButton="0" quotePrefix="0" xfId="0">
      <alignment horizontal="center" vertical="center" wrapText="1"/>
    </xf>
    <xf numFmtId="1" fontId="5" fillId="0" borderId="686" applyAlignment="1" pivotButton="0" quotePrefix="0" xfId="0">
      <alignment horizontal="center" vertical="center"/>
    </xf>
    <xf numFmtId="1" fontId="5" fillId="0" borderId="687" applyAlignment="1" pivotButton="0" quotePrefix="0" xfId="0">
      <alignment horizontal="center" vertical="center" wrapText="1"/>
    </xf>
    <xf numFmtId="1" fontId="5" fillId="0" borderId="788" applyAlignment="1" pivotButton="0" quotePrefix="0" xfId="0">
      <alignment horizontal="center" vertical="center" wrapText="1"/>
    </xf>
    <xf numFmtId="1" fontId="5" fillId="0" borderId="698" applyAlignment="1" pivotButton="0" quotePrefix="0" xfId="0">
      <alignment horizontal="center" vertical="center" wrapText="1"/>
    </xf>
    <xf numFmtId="1" fontId="5" fillId="0" borderId="803" applyAlignment="1" pivotButton="0" quotePrefix="0" xfId="0">
      <alignment horizontal="center" vertical="center" wrapText="1"/>
    </xf>
    <xf numFmtId="1" fontId="5" fillId="0" borderId="1381" applyAlignment="1" pivotButton="0" quotePrefix="0" xfId="0">
      <alignment horizontal="center" vertical="center" wrapText="1"/>
    </xf>
    <xf numFmtId="1" fontId="5" fillId="0" borderId="1245" applyAlignment="1" pivotButton="0" quotePrefix="0" xfId="0">
      <alignment horizontal="center" vertical="center" wrapText="1"/>
    </xf>
    <xf numFmtId="1" fontId="5" fillId="0" borderId="1391" applyAlignment="1" pivotButton="0" quotePrefix="0" xfId="0">
      <alignment horizontal="center" vertical="center" wrapText="1"/>
    </xf>
    <xf numFmtId="1" fontId="5" fillId="0" borderId="1418" applyAlignment="1" pivotButton="0" quotePrefix="0" xfId="0">
      <alignment horizontal="center" vertical="center" wrapText="1"/>
    </xf>
    <xf numFmtId="1" fontId="5" fillId="0" borderId="21" applyAlignment="1" pivotButton="0" quotePrefix="0" xfId="0">
      <alignment horizontal="center" vertical="center" wrapText="1"/>
    </xf>
    <xf numFmtId="1" fontId="5" fillId="0" borderId="1419" applyAlignment="1" pivotButton="0" quotePrefix="0" xfId="0">
      <alignment horizontal="center" vertical="center" wrapText="1"/>
    </xf>
    <xf numFmtId="1" fontId="5" fillId="0" borderId="683" applyAlignment="1" pivotButton="0" quotePrefix="0" xfId="0">
      <alignment horizontal="center" vertical="center"/>
    </xf>
    <xf numFmtId="1" fontId="5" fillId="0" borderId="245" applyAlignment="1" pivotButton="0" quotePrefix="0" xfId="0">
      <alignment horizontal="center" vertical="center"/>
    </xf>
    <xf numFmtId="1" fontId="5" fillId="0" borderId="784" applyAlignment="1" pivotButton="0" quotePrefix="0" xfId="0">
      <alignment horizontal="center" vertical="center"/>
    </xf>
    <xf numFmtId="1" fontId="5" fillId="0" borderId="1423" applyAlignment="1" pivotButton="0" quotePrefix="0" xfId="0">
      <alignment horizontal="center" vertical="center" wrapText="1"/>
    </xf>
    <xf numFmtId="1" fontId="5" fillId="0" borderId="3" applyAlignment="1" pivotButton="0" quotePrefix="0" xfId="0">
      <alignment horizontal="center" vertical="center" wrapText="1"/>
    </xf>
    <xf numFmtId="1" fontId="5" fillId="0" borderId="229" applyAlignment="1" pivotButton="0" quotePrefix="0" xfId="0">
      <alignment horizontal="center" vertical="center" wrapText="1"/>
    </xf>
    <xf numFmtId="1" fontId="5" fillId="0" borderId="670" applyAlignment="1" pivotButton="0" quotePrefix="0" xfId="0">
      <alignment horizontal="center" vertical="center"/>
    </xf>
    <xf numFmtId="1" fontId="5" fillId="0" borderId="729" applyAlignment="1" pivotButton="0" quotePrefix="0" xfId="0">
      <alignment horizontal="center" vertical="center"/>
    </xf>
    <xf numFmtId="1" fontId="5" fillId="0" borderId="672" applyAlignment="1" pivotButton="0" quotePrefix="0" xfId="0">
      <alignment horizontal="center" vertical="center"/>
    </xf>
    <xf numFmtId="1" fontId="5" fillId="3" borderId="694" applyAlignment="1" pivotButton="0" quotePrefix="0" xfId="0">
      <alignment horizontal="center" vertical="center" wrapText="1"/>
    </xf>
    <xf numFmtId="1" fontId="5" fillId="3" borderId="695" applyAlignment="1" pivotButton="0" quotePrefix="0" xfId="0">
      <alignment horizontal="center" vertical="center" wrapText="1"/>
    </xf>
    <xf numFmtId="1" fontId="5" fillId="3" borderId="783" applyAlignment="1" pivotButton="0" quotePrefix="0" xfId="0">
      <alignment horizontal="center" vertical="center" wrapText="1"/>
    </xf>
    <xf numFmtId="1" fontId="5" fillId="3" borderId="785" applyAlignment="1" pivotButton="0" quotePrefix="0" xfId="0">
      <alignment horizontal="center" vertical="center" wrapText="1"/>
    </xf>
    <xf numFmtId="1" fontId="5" fillId="3" borderId="683" applyAlignment="1" pivotButton="0" quotePrefix="0" xfId="0">
      <alignment horizontal="center" vertical="center"/>
    </xf>
    <xf numFmtId="1" fontId="5" fillId="3" borderId="694" applyAlignment="1" pivotButton="0" quotePrefix="0" xfId="0">
      <alignment horizontal="center" vertical="center"/>
    </xf>
    <xf numFmtId="1" fontId="5" fillId="3" borderId="695" applyAlignment="1" pivotButton="0" quotePrefix="0" xfId="0">
      <alignment horizontal="center" vertical="center"/>
    </xf>
    <xf numFmtId="1" fontId="5" fillId="3" borderId="784" applyAlignment="1" pivotButton="0" quotePrefix="0" xfId="0">
      <alignment horizontal="center" vertical="center"/>
    </xf>
    <xf numFmtId="1" fontId="5" fillId="3" borderId="783" applyAlignment="1" pivotButton="0" quotePrefix="0" xfId="0">
      <alignment horizontal="center" vertical="center"/>
    </xf>
    <xf numFmtId="1" fontId="5" fillId="3" borderId="785" applyAlignment="1" pivotButton="0" quotePrefix="0" xfId="0">
      <alignment horizontal="center" vertical="center"/>
    </xf>
    <xf numFmtId="1" fontId="5" fillId="3" borderId="685" applyAlignment="1" pivotButton="0" quotePrefix="0" xfId="0">
      <alignment horizontal="center" vertical="center"/>
    </xf>
    <xf numFmtId="1" fontId="16" fillId="3" borderId="685" applyAlignment="1" pivotButton="0" quotePrefix="0" xfId="0">
      <alignment horizontal="center" vertical="center"/>
    </xf>
    <xf numFmtId="1" fontId="16" fillId="3" borderId="686" applyAlignment="1" pivotButton="0" quotePrefix="0" xfId="0">
      <alignment horizontal="center" vertical="center"/>
    </xf>
    <xf numFmtId="1" fontId="5" fillId="0" borderId="683" applyAlignment="1" pivotButton="0" quotePrefix="0" xfId="0">
      <alignment horizontal="left" vertical="center" wrapText="1"/>
    </xf>
    <xf numFmtId="1" fontId="5" fillId="0" borderId="695" applyAlignment="1" pivotButton="0" quotePrefix="0" xfId="0">
      <alignment horizontal="left" vertical="center" wrapText="1"/>
    </xf>
    <xf numFmtId="1" fontId="5" fillId="0" borderId="245" applyAlignment="1" pivotButton="0" quotePrefix="0" xfId="0">
      <alignment horizontal="left" vertical="center" wrapText="1"/>
    </xf>
    <xf numFmtId="1" fontId="5" fillId="0" borderId="546" applyAlignment="1" pivotButton="0" quotePrefix="0" xfId="0">
      <alignment horizontal="left" vertical="center" wrapText="1"/>
    </xf>
    <xf numFmtId="1" fontId="5" fillId="0" borderId="784" applyAlignment="1" pivotButton="0" quotePrefix="0" xfId="0">
      <alignment horizontal="left" vertical="center" wrapText="1"/>
    </xf>
    <xf numFmtId="1" fontId="5" fillId="0" borderId="785" applyAlignment="1" pivotButton="0" quotePrefix="0" xfId="0">
      <alignment horizontal="left" vertical="center" wrapText="1"/>
    </xf>
    <xf numFmtId="1" fontId="14" fillId="0" borderId="783" applyAlignment="1" pivotButton="0" quotePrefix="0" xfId="0">
      <alignment horizontal="left"/>
    </xf>
    <xf numFmtId="1" fontId="14" fillId="0" borderId="840" applyAlignment="1" pivotButton="0" quotePrefix="0" xfId="0">
      <alignment horizontal="left"/>
    </xf>
    <xf numFmtId="1" fontId="5" fillId="0" borderId="407" applyAlignment="1" pivotButton="0" quotePrefix="0" xfId="0">
      <alignment horizontal="left" vertical="center"/>
    </xf>
    <xf numFmtId="1" fontId="5" fillId="0" borderId="378" applyAlignment="1" pivotButton="0" quotePrefix="0" xfId="0">
      <alignment horizontal="left" vertical="center"/>
    </xf>
    <xf numFmtId="1" fontId="5" fillId="0" borderId="393" applyAlignment="1" pivotButton="0" quotePrefix="0" xfId="0">
      <alignment horizontal="left" vertical="center"/>
    </xf>
    <xf numFmtId="1" fontId="5" fillId="0" borderId="389" applyAlignment="1" pivotButton="0" quotePrefix="0" xfId="0">
      <alignment horizontal="left" vertical="center"/>
    </xf>
    <xf numFmtId="1" fontId="5" fillId="0" borderId="550" applyAlignment="1" pivotButton="0" quotePrefix="0" xfId="0">
      <alignment horizontal="left" vertical="center"/>
    </xf>
    <xf numFmtId="1" fontId="5" fillId="0" borderId="390" applyAlignment="1" pivotButton="0" quotePrefix="0" xfId="0">
      <alignment horizontal="left" vertical="center"/>
    </xf>
    <xf numFmtId="1" fontId="5" fillId="0" borderId="245" applyAlignment="1" pivotButton="0" quotePrefix="0" xfId="0">
      <alignment horizontal="center" vertical="center" wrapText="1"/>
    </xf>
    <xf numFmtId="1" fontId="5" fillId="0" borderId="670" applyAlignment="1" pivotButton="0" quotePrefix="0" xfId="0">
      <alignment horizontal="left" vertical="center" wrapText="1"/>
    </xf>
    <xf numFmtId="1" fontId="5" fillId="0" borderId="729" applyAlignment="1" pivotButton="0" quotePrefix="0" xfId="0">
      <alignment horizontal="left" vertical="center" wrapText="1"/>
    </xf>
    <xf numFmtId="1" fontId="5" fillId="0" borderId="679" applyAlignment="1" pivotButton="0" quotePrefix="0" xfId="0">
      <alignment horizontal="left" vertical="center" wrapText="1"/>
    </xf>
    <xf numFmtId="1" fontId="5" fillId="0" borderId="246" applyAlignment="1" pivotButton="0" quotePrefix="0" xfId="0">
      <alignment horizontal="left" vertical="center" wrapText="1"/>
    </xf>
    <xf numFmtId="1" fontId="5" fillId="0" borderId="785" applyAlignment="1" pivotButton="0" quotePrefix="0" xfId="0">
      <alignment horizontal="left" wrapText="1"/>
    </xf>
    <xf numFmtId="1" fontId="5" fillId="0" borderId="695" applyAlignment="1" pivotButton="0" quotePrefix="0" xfId="0">
      <alignment horizontal="center" vertical="center"/>
    </xf>
    <xf numFmtId="1" fontId="5" fillId="0" borderId="785" applyAlignment="1" pivotButton="0" quotePrefix="0" xfId="0">
      <alignment horizontal="center" vertical="center"/>
    </xf>
    <xf numFmtId="1" fontId="5" fillId="0" borderId="749" applyAlignment="1" pivotButton="0" quotePrefix="0" xfId="0">
      <alignment horizontal="left" vertical="center" wrapText="1"/>
    </xf>
    <xf numFmtId="1" fontId="5" fillId="0" borderId="726" applyAlignment="1" pivotButton="0" quotePrefix="0" xfId="0">
      <alignment horizontal="left" vertical="center" wrapText="1"/>
    </xf>
    <xf numFmtId="1" fontId="5" fillId="0" borderId="393" applyAlignment="1" pivotButton="0" quotePrefix="0" xfId="0">
      <alignment horizontal="left" vertical="center" wrapText="1"/>
    </xf>
    <xf numFmtId="1" fontId="5" fillId="0" borderId="389" applyAlignment="1" pivotButton="0" quotePrefix="0" xfId="0">
      <alignment horizontal="left" vertical="center" wrapText="1"/>
    </xf>
    <xf numFmtId="1" fontId="5" fillId="0" borderId="407" applyAlignment="1" pivotButton="0" quotePrefix="0" xfId="0">
      <alignment horizontal="left" vertical="center" wrapText="1"/>
    </xf>
    <xf numFmtId="1" fontId="5" fillId="0" borderId="378" applyAlignment="1" pivotButton="0" quotePrefix="0" xfId="0">
      <alignment horizontal="left" vertical="center" wrapText="1"/>
    </xf>
    <xf numFmtId="1" fontId="5" fillId="0" borderId="694" applyAlignment="1" pivotButton="0" quotePrefix="0" xfId="0">
      <alignment horizontal="center" vertical="center"/>
    </xf>
    <xf numFmtId="1" fontId="5" fillId="0" borderId="670" applyAlignment="1" pivotButton="0" quotePrefix="1" xfId="0">
      <alignment horizontal="center" vertical="center" wrapText="1"/>
    </xf>
    <xf numFmtId="1" fontId="5" fillId="5" borderId="843" applyAlignment="1" pivotButton="0" quotePrefix="0" xfId="0">
      <alignment horizontal="center" vertical="center" wrapText="1"/>
    </xf>
    <xf numFmtId="1" fontId="5" fillId="0" borderId="844" applyAlignment="1" pivotButton="0" quotePrefix="0" xfId="0">
      <alignment horizontal="center" vertical="center" wrapText="1"/>
    </xf>
    <xf numFmtId="1" fontId="5" fillId="0" borderId="783" applyAlignment="1" pivotButton="0" quotePrefix="0" xfId="0">
      <alignment horizontal="center" vertical="center"/>
    </xf>
    <xf numFmtId="1" fontId="5" fillId="0" borderId="730" applyAlignment="1" pivotButton="0" quotePrefix="0" xfId="0">
      <alignment horizontal="center" vertical="center"/>
    </xf>
    <xf numFmtId="1" fontId="5" fillId="0" borderId="724" applyAlignment="1" pivotButton="0" quotePrefix="0" xfId="0">
      <alignment horizontal="center" vertical="center"/>
    </xf>
    <xf numFmtId="1" fontId="5" fillId="0" borderId="784" applyAlignment="1" pivotButton="0" quotePrefix="0" xfId="0">
      <alignment horizontal="left" vertical="center"/>
    </xf>
    <xf numFmtId="1" fontId="5" fillId="0" borderId="785" applyAlignment="1" pivotButton="0" quotePrefix="0" xfId="0">
      <alignment horizontal="left" vertical="center"/>
    </xf>
    <xf numFmtId="1" fontId="5" fillId="0" borderId="1404" applyAlignment="1" pivotButton="0" quotePrefix="0" xfId="0">
      <alignment horizontal="center" vertical="center" wrapText="1"/>
    </xf>
    <xf numFmtId="1" fontId="5" fillId="0" borderId="1405" applyAlignment="1" pivotButton="0" quotePrefix="0" xfId="0">
      <alignment horizontal="center" vertical="center" wrapText="1"/>
    </xf>
    <xf numFmtId="1" fontId="5" fillId="0" borderId="1428" applyAlignment="1" pivotButton="0" quotePrefix="0" xfId="0">
      <alignment horizontal="center" vertical="center" wrapText="1"/>
    </xf>
    <xf numFmtId="1" fontId="5" fillId="0" borderId="1437" applyAlignment="1" pivotButton="0" quotePrefix="0" xfId="0">
      <alignment horizontal="center" vertical="center" wrapText="1"/>
    </xf>
    <xf numFmtId="1" fontId="5" fillId="0" borderId="1425" applyAlignment="1" pivotButton="0" quotePrefix="0" xfId="0">
      <alignment horizontal="center" vertical="center" wrapText="1"/>
    </xf>
    <xf numFmtId="1" fontId="5" fillId="0" borderId="849" applyAlignment="1" pivotButton="0" quotePrefix="0" xfId="0">
      <alignment horizontal="left" vertical="center" wrapText="1"/>
    </xf>
    <xf numFmtId="1" fontId="5" fillId="0" borderId="679" applyAlignment="1" pivotButton="0" quotePrefix="0" xfId="0">
      <alignment horizontal="center" vertical="center" wrapText="1"/>
    </xf>
    <xf numFmtId="1" fontId="5" fillId="5" borderId="679" applyAlignment="1" pivotButton="0" quotePrefix="0" xfId="0">
      <alignment horizontal="center" vertical="center"/>
    </xf>
    <xf numFmtId="1" fontId="5" fillId="5" borderId="849" applyAlignment="1" pivotButton="0" quotePrefix="0" xfId="0">
      <alignment horizontal="center" vertical="center"/>
    </xf>
    <xf numFmtId="1" fontId="5" fillId="3" borderId="685" applyAlignment="1" pivotButton="0" quotePrefix="0" xfId="0">
      <alignment horizontal="center"/>
    </xf>
    <xf numFmtId="1" fontId="5" fillId="0" borderId="1442" applyAlignment="1" pivotButton="0" quotePrefix="0" xfId="0">
      <alignment horizontal="center" vertical="center" wrapText="1"/>
    </xf>
    <xf numFmtId="1" fontId="5" fillId="3" borderId="679" applyAlignment="1" pivotButton="0" quotePrefix="0" xfId="0">
      <alignment horizontal="center" vertical="center" wrapText="1"/>
    </xf>
    <xf numFmtId="1" fontId="5" fillId="3" borderId="281" applyAlignment="1" pivotButton="0" quotePrefix="0" xfId="0">
      <alignment horizontal="center" vertical="center" wrapText="1"/>
    </xf>
    <xf numFmtId="1" fontId="5" fillId="3" borderId="849" applyAlignment="1" pivotButton="0" quotePrefix="0" xfId="0">
      <alignment horizontal="center" vertical="center" wrapText="1"/>
    </xf>
    <xf numFmtId="1" fontId="5" fillId="3" borderId="670" applyAlignment="1" pivotButton="0" quotePrefix="0" xfId="0">
      <alignment horizontal="center"/>
    </xf>
    <xf numFmtId="1" fontId="5" fillId="3" borderId="730" applyAlignment="1" pivotButton="0" quotePrefix="0" xfId="0">
      <alignment horizontal="center"/>
    </xf>
    <xf numFmtId="1" fontId="5" fillId="3" borderId="729" applyAlignment="1" pivotButton="0" quotePrefix="0" xfId="0">
      <alignment horizontal="center"/>
    </xf>
    <xf numFmtId="1" fontId="5" fillId="0" borderId="868" applyAlignment="1" pivotButton="0" quotePrefix="0" xfId="0">
      <alignment horizontal="center" vertical="center" wrapText="1"/>
    </xf>
    <xf numFmtId="1" fontId="5" fillId="0" borderId="1228" applyAlignment="1" pivotButton="0" quotePrefix="0" xfId="0">
      <alignment horizontal="center" vertical="center" wrapText="1"/>
    </xf>
    <xf numFmtId="1" fontId="5" fillId="0" borderId="1397" applyAlignment="1" pivotButton="0" quotePrefix="0" xfId="0">
      <alignment horizontal="center" vertical="center" wrapText="1"/>
    </xf>
    <xf numFmtId="1" fontId="5" fillId="0" borderId="869" applyAlignment="1" pivotButton="0" quotePrefix="0" xfId="0">
      <alignment horizontal="center" vertical="center" wrapText="1"/>
    </xf>
    <xf numFmtId="1" fontId="5" fillId="0" borderId="789" applyAlignment="1" pivotButton="0" quotePrefix="0" xfId="0">
      <alignment horizontal="center" vertical="center" wrapText="1"/>
    </xf>
    <xf numFmtId="1" fontId="5" fillId="0" borderId="870" applyAlignment="1" pivotButton="0" quotePrefix="0" xfId="0">
      <alignment horizontal="left" vertical="center" wrapText="1"/>
    </xf>
    <xf numFmtId="1" fontId="5" fillId="0" borderId="876" applyAlignment="1" pivotButton="0" quotePrefix="0" xfId="0">
      <alignment horizontal="center" vertical="center" wrapText="1"/>
    </xf>
    <xf numFmtId="1" fontId="5" fillId="0" borderId="866" applyAlignment="1" pivotButton="0" quotePrefix="0" xfId="0">
      <alignment horizontal="center" vertical="center"/>
    </xf>
    <xf numFmtId="1" fontId="5" fillId="3" borderId="867" applyAlignment="1" pivotButton="0" quotePrefix="0" xfId="0">
      <alignment horizontal="center"/>
    </xf>
    <xf numFmtId="1" fontId="5" fillId="0" borderId="1424" applyAlignment="1" pivotButton="0" quotePrefix="0" xfId="0">
      <alignment horizontal="center" vertical="center" wrapText="1"/>
    </xf>
    <xf numFmtId="1" fontId="5" fillId="0" borderId="874" applyAlignment="1" pivotButton="0" quotePrefix="0" xfId="0">
      <alignment horizontal="center" vertical="center" wrapText="1"/>
    </xf>
    <xf numFmtId="1" fontId="5" fillId="0" borderId="867" applyAlignment="1" pivotButton="0" quotePrefix="0" xfId="0">
      <alignment horizontal="center" vertical="center"/>
    </xf>
    <xf numFmtId="1" fontId="5" fillId="0" borderId="875" applyAlignment="1" pivotButton="0" quotePrefix="0" xfId="0">
      <alignment horizontal="center" wrapText="1"/>
    </xf>
    <xf numFmtId="1" fontId="5" fillId="0" borderId="866" applyAlignment="1" pivotButton="0" quotePrefix="0" xfId="0">
      <alignment horizontal="center" wrapText="1"/>
    </xf>
    <xf numFmtId="1" fontId="5" fillId="0" borderId="867" applyAlignment="1" pivotButton="0" quotePrefix="0" xfId="0">
      <alignment horizontal="center" wrapText="1"/>
    </xf>
    <xf numFmtId="1" fontId="5" fillId="0" borderId="736" applyAlignment="1" pivotButton="0" quotePrefix="0" xfId="0">
      <alignment horizontal="left" vertical="center" wrapText="1"/>
    </xf>
    <xf numFmtId="1" fontId="5" fillId="3" borderId="875" applyAlignment="1" pivotButton="0" quotePrefix="0" xfId="0">
      <alignment horizontal="center" vertical="center"/>
    </xf>
    <xf numFmtId="1" fontId="5" fillId="3" borderId="866" applyAlignment="1" pivotButton="0" quotePrefix="0" xfId="0">
      <alignment horizontal="center" vertical="center"/>
    </xf>
    <xf numFmtId="1" fontId="5" fillId="3" borderId="867" applyAlignment="1" pivotButton="0" quotePrefix="0" xfId="0">
      <alignment horizontal="center" vertical="center"/>
    </xf>
    <xf numFmtId="1" fontId="3" fillId="28" borderId="875" applyAlignment="1" pivotButton="0" quotePrefix="0" xfId="0">
      <alignment horizontal="center" vertical="center" wrapText="1"/>
    </xf>
    <xf numFmtId="1" fontId="3" fillId="28" borderId="866" applyAlignment="1" pivotButton="0" quotePrefix="0" xfId="0">
      <alignment horizontal="center" vertical="center" wrapText="1"/>
    </xf>
    <xf numFmtId="1" fontId="3" fillId="28" borderId="874" applyAlignment="1" pivotButton="0" quotePrefix="0" xfId="0">
      <alignment horizontal="center" vertical="center" wrapText="1"/>
    </xf>
    <xf numFmtId="0" fontId="0" fillId="0" borderId="0" pivotButton="0" quotePrefix="0" xfId="0"/>
    <xf numFmtId="1" fontId="3" fillId="0" borderId="0" applyAlignment="1" pivotButton="0" quotePrefix="0" xfId="0">
      <alignment horizontal="center" vertical="center"/>
    </xf>
    <xf numFmtId="1" fontId="3" fillId="0" borderId="875" applyAlignment="1" pivotButton="0" quotePrefix="0" xfId="0">
      <alignment horizontal="center" vertical="center" wrapText="1"/>
    </xf>
    <xf numFmtId="1" fontId="3" fillId="0" borderId="866" applyAlignment="1" pivotButton="0" quotePrefix="0" xfId="0">
      <alignment horizontal="center" vertical="center" wrapText="1"/>
    </xf>
    <xf numFmtId="1" fontId="3" fillId="0" borderId="867" applyAlignment="1" pivotButton="0" quotePrefix="0" xfId="0">
      <alignment horizontal="center" vertical="center" wrapText="1"/>
    </xf>
    <xf numFmtId="1" fontId="3" fillId="0" borderId="885" applyAlignment="1" pivotButton="0" quotePrefix="0" xfId="0">
      <alignment horizontal="center" vertical="center" wrapText="1"/>
    </xf>
    <xf numFmtId="1" fontId="3" fillId="0" borderId="886" applyAlignment="1" pivotButton="0" quotePrefix="0" xfId="0">
      <alignment horizontal="center" vertical="center" wrapText="1"/>
    </xf>
    <xf numFmtId="1" fontId="3" fillId="5" borderId="886" applyAlignment="1" pivotButton="0" quotePrefix="0" xfId="0">
      <alignment horizontal="center" vertical="center" wrapText="1"/>
    </xf>
    <xf numFmtId="1" fontId="3" fillId="5" borderId="2" applyAlignment="1" pivotButton="0" quotePrefix="0" xfId="0">
      <alignment horizontal="center" vertical="center" wrapText="1"/>
    </xf>
    <xf numFmtId="1" fontId="3" fillId="5" borderId="226" applyAlignment="1" pivotButton="0" quotePrefix="0" xfId="0">
      <alignment horizontal="center" vertical="center" wrapText="1"/>
    </xf>
    <xf numFmtId="1" fontId="3" fillId="0" borderId="887" applyAlignment="1" pivotButton="0" quotePrefix="0" xfId="0">
      <alignment horizontal="center" vertical="center" wrapText="1"/>
    </xf>
    <xf numFmtId="1" fontId="3" fillId="3" borderId="875" applyAlignment="1" pivotButton="0" quotePrefix="0" xfId="0">
      <alignment horizontal="center" vertical="center"/>
    </xf>
    <xf numFmtId="1" fontId="3" fillId="3" borderId="874" applyAlignment="1" pivotButton="0" quotePrefix="0" xfId="0">
      <alignment horizontal="center" vertical="center"/>
    </xf>
    <xf numFmtId="1" fontId="3" fillId="0" borderId="874" applyAlignment="1" pivotButton="0" quotePrefix="0" xfId="0">
      <alignment horizontal="center" vertical="center" wrapText="1"/>
    </xf>
    <xf numFmtId="1" fontId="3" fillId="0" borderId="867" applyAlignment="1" pivotButton="0" quotePrefix="0" xfId="0">
      <alignment horizontal="center" vertical="center"/>
    </xf>
    <xf numFmtId="1" fontId="3" fillId="0" borderId="874" applyAlignment="1" pivotButton="0" quotePrefix="0" xfId="0">
      <alignment horizontal="center" vertical="center"/>
    </xf>
    <xf numFmtId="1" fontId="3" fillId="3" borderId="887" applyAlignment="1" pivotButton="0" quotePrefix="0" xfId="0">
      <alignment horizontal="center" vertical="center" wrapText="1"/>
    </xf>
    <xf numFmtId="1" fontId="3" fillId="3" borderId="794" applyAlignment="1" pivotButton="0" quotePrefix="0" xfId="0">
      <alignment horizontal="center" vertical="center" wrapText="1"/>
    </xf>
    <xf numFmtId="1" fontId="3" fillId="3" borderId="695" applyAlignment="1" pivotButton="0" quotePrefix="0" xfId="0">
      <alignment horizontal="center" vertical="center" wrapText="1"/>
    </xf>
    <xf numFmtId="1" fontId="3" fillId="3" borderId="785" applyAlignment="1" pivotButton="0" quotePrefix="0" xfId="0">
      <alignment horizontal="center" vertical="center" wrapText="1"/>
    </xf>
    <xf numFmtId="1" fontId="3" fillId="0" borderId="812" pivotButton="0" quotePrefix="0" xfId="0"/>
    <xf numFmtId="1" fontId="3" fillId="0" borderId="735" pivotButton="0" quotePrefix="0" xfId="0"/>
    <xf numFmtId="1" fontId="3" fillId="0" borderId="726" pivotButton="0" quotePrefix="0" xfId="0"/>
    <xf numFmtId="1" fontId="3" fillId="0" borderId="355" pivotButton="0" quotePrefix="0" xfId="0"/>
    <xf numFmtId="1" fontId="3" fillId="0" borderId="391" pivotButton="0" quotePrefix="0" xfId="0"/>
    <xf numFmtId="1" fontId="3" fillId="0" borderId="389" pivotButton="0" quotePrefix="0" xfId="0"/>
    <xf numFmtId="1" fontId="3" fillId="0" borderId="888" applyAlignment="1" pivotButton="0" quotePrefix="0" xfId="0">
      <alignment horizontal="center" vertical="center"/>
    </xf>
    <xf numFmtId="1" fontId="3" fillId="0" borderId="850" applyAlignment="1" pivotButton="0" quotePrefix="0" xfId="0">
      <alignment horizontal="center" vertical="center"/>
    </xf>
    <xf numFmtId="1" fontId="3" fillId="3" borderId="888" applyAlignment="1" pivotButton="0" quotePrefix="0" xfId="0">
      <alignment horizontal="center" vertical="center"/>
    </xf>
    <xf numFmtId="1" fontId="3" fillId="0" borderId="870" applyAlignment="1" pivotButton="0" quotePrefix="0" xfId="0">
      <alignment horizontal="center" vertical="center" wrapText="1"/>
    </xf>
    <xf numFmtId="1" fontId="3" fillId="0" borderId="394" applyAlignment="1" pivotButton="0" quotePrefix="0" xfId="0">
      <alignment horizontal="left" vertical="center" wrapText="1"/>
    </xf>
    <xf numFmtId="1" fontId="3" fillId="0" borderId="358" applyAlignment="1" pivotButton="0" quotePrefix="0" xfId="0">
      <alignment horizontal="left" vertical="center" wrapText="1"/>
    </xf>
    <xf numFmtId="1" fontId="3" fillId="0" borderId="354" applyAlignment="1" pivotButton="0" quotePrefix="0" xfId="0">
      <alignment horizontal="left" vertical="center" wrapText="1"/>
    </xf>
    <xf numFmtId="1" fontId="3" fillId="0" borderId="391" applyAlignment="1" pivotButton="0" quotePrefix="0" xfId="0">
      <alignment horizontal="left" vertical="center" wrapText="1"/>
    </xf>
    <xf numFmtId="1" fontId="3" fillId="0" borderId="550" pivotButton="0" quotePrefix="0" xfId="0"/>
    <xf numFmtId="1" fontId="3" fillId="0" borderId="5" pivotButton="0" quotePrefix="0" xfId="0"/>
    <xf numFmtId="1" fontId="3" fillId="0" borderId="390" pivotButton="0" quotePrefix="0" xfId="0"/>
    <xf numFmtId="1" fontId="3" fillId="3" borderId="850" applyAlignment="1" pivotButton="0" quotePrefix="0" xfId="0">
      <alignment horizontal="left" vertical="center" wrapText="1"/>
    </xf>
    <xf numFmtId="1" fontId="3" fillId="3" borderId="783" applyAlignment="1" pivotButton="0" quotePrefix="0" xfId="0">
      <alignment horizontal="left" vertical="center" wrapText="1"/>
    </xf>
    <xf numFmtId="1" fontId="3" fillId="3" borderId="785" applyAlignment="1" pivotButton="0" quotePrefix="0" xfId="0">
      <alignment horizontal="left" vertical="center" wrapText="1"/>
    </xf>
    <xf numFmtId="1" fontId="3" fillId="3" borderId="889" applyAlignment="1" pivotButton="0" quotePrefix="0" xfId="0">
      <alignment horizontal="center" vertical="center" wrapText="1"/>
    </xf>
    <xf numFmtId="1" fontId="3" fillId="3" borderId="231" applyAlignment="1" pivotButton="0" quotePrefix="0" xfId="0">
      <alignment horizontal="center" vertical="center" wrapText="1"/>
    </xf>
    <xf numFmtId="1" fontId="3" fillId="0" borderId="731" applyAlignment="1" pivotButton="0" quotePrefix="0" xfId="0">
      <alignment horizontal="left" vertical="center" wrapText="1"/>
    </xf>
    <xf numFmtId="1" fontId="3" fillId="0" borderId="344" applyAlignment="1" pivotButton="0" quotePrefix="0" xfId="0">
      <alignment horizontal="left" vertical="center" wrapText="1"/>
    </xf>
    <xf numFmtId="1" fontId="3" fillId="0" borderId="737" applyAlignment="1" pivotButton="0" quotePrefix="0" xfId="0">
      <alignment horizontal="left" vertical="center" wrapText="1"/>
    </xf>
    <xf numFmtId="1" fontId="3" fillId="0" borderId="866" applyAlignment="1" pivotButton="0" quotePrefix="0" xfId="0">
      <alignment horizontal="center" vertical="center"/>
    </xf>
    <xf numFmtId="1" fontId="3" fillId="0" borderId="326" applyAlignment="1" pivotButton="0" quotePrefix="0" xfId="0">
      <alignment horizontal="center" vertical="center" wrapText="1"/>
    </xf>
    <xf numFmtId="1" fontId="3" fillId="3" borderId="393" applyAlignment="1" pivotButton="0" quotePrefix="0" xfId="0">
      <alignment horizontal="left" vertical="center" wrapText="1"/>
    </xf>
    <xf numFmtId="1" fontId="3" fillId="3" borderId="391" applyAlignment="1" pivotButton="0" quotePrefix="0" xfId="0">
      <alignment horizontal="left" vertical="center" wrapText="1"/>
    </xf>
    <xf numFmtId="1" fontId="3" fillId="3" borderId="389" applyAlignment="1" pivotButton="0" quotePrefix="0" xfId="0">
      <alignment horizontal="left" vertical="center" wrapText="1"/>
    </xf>
    <xf numFmtId="1" fontId="3" fillId="0" borderId="888" applyAlignment="1" pivotButton="0" quotePrefix="0" xfId="0">
      <alignment horizontal="center" vertical="center" wrapText="1"/>
    </xf>
    <xf numFmtId="1" fontId="8" fillId="0" borderId="0" pivotButton="0" quotePrefix="0" xfId="0"/>
    <xf numFmtId="1" fontId="3" fillId="0" borderId="892" applyAlignment="1" pivotButton="0" quotePrefix="0" xfId="0">
      <alignment horizontal="center" vertical="center" wrapText="1"/>
    </xf>
    <xf numFmtId="1" fontId="3" fillId="0" borderId="875" applyAlignment="1" pivotButton="0" quotePrefix="0" xfId="0">
      <alignment horizontal="center" vertical="center"/>
    </xf>
    <xf numFmtId="1" fontId="3" fillId="0" borderId="889" applyAlignment="1" pivotButton="0" quotePrefix="0" xfId="0">
      <alignment horizontal="center" vertical="center" wrapText="1"/>
    </xf>
    <xf numFmtId="1" fontId="3" fillId="0" borderId="475" applyAlignment="1" pivotButton="0" quotePrefix="0" xfId="0">
      <alignment horizontal="center" vertical="center" wrapText="1"/>
    </xf>
    <xf numFmtId="1" fontId="3" fillId="0" borderId="231" applyAlignment="1" pivotButton="0" quotePrefix="0" xfId="0">
      <alignment horizontal="center" vertical="center" wrapText="1"/>
    </xf>
    <xf numFmtId="1" fontId="3" fillId="3" borderId="749" applyAlignment="1" pivotButton="0" quotePrefix="0" xfId="0">
      <alignment horizontal="left" vertical="center" wrapText="1"/>
    </xf>
    <xf numFmtId="1" fontId="3" fillId="3" borderId="735" applyAlignment="1" pivotButton="0" quotePrefix="0" xfId="0">
      <alignment horizontal="left" vertical="center" wrapText="1"/>
    </xf>
    <xf numFmtId="1" fontId="3" fillId="3" borderId="726" applyAlignment="1" pivotButton="0" quotePrefix="0" xfId="0">
      <alignment horizontal="left" vertical="center" wrapText="1"/>
    </xf>
    <xf numFmtId="1" fontId="3" fillId="0" borderId="245" pivotButton="0" quotePrefix="0" xfId="0"/>
    <xf numFmtId="1" fontId="3" fillId="0" borderId="0" pivotButton="0" quotePrefix="0" xfId="0"/>
    <xf numFmtId="1" fontId="3" fillId="0" borderId="355" applyAlignment="1" pivotButton="0" quotePrefix="0" xfId="0">
      <alignment horizontal="left" vertical="center" wrapText="1"/>
    </xf>
    <xf numFmtId="1" fontId="3" fillId="3" borderId="550" applyAlignment="1" pivotButton="0" quotePrefix="0" xfId="0">
      <alignment horizontal="left" vertical="center" wrapText="1"/>
    </xf>
    <xf numFmtId="1" fontId="3" fillId="3" borderId="5" applyAlignment="1" pivotButton="0" quotePrefix="0" xfId="0">
      <alignment horizontal="left" vertical="center" wrapText="1"/>
    </xf>
    <xf numFmtId="1" fontId="3" fillId="3" borderId="390" applyAlignment="1" pivotButton="0" quotePrefix="0" xfId="0">
      <alignment horizontal="left" vertical="center" wrapText="1"/>
    </xf>
    <xf numFmtId="1" fontId="3" fillId="0" borderId="875" applyAlignment="1" pivotButton="0" quotePrefix="0" xfId="0">
      <alignment horizontal="left" vertical="center" wrapText="1"/>
    </xf>
    <xf numFmtId="1" fontId="3" fillId="0" borderId="866" applyAlignment="1" pivotButton="0" quotePrefix="0" xfId="0">
      <alignment horizontal="left" vertical="center" wrapText="1"/>
    </xf>
    <xf numFmtId="1" fontId="3" fillId="0" borderId="874" applyAlignment="1" pivotButton="0" quotePrefix="0" xfId="0">
      <alignment horizontal="left" vertical="center" wrapText="1"/>
    </xf>
    <xf numFmtId="1" fontId="3" fillId="3" borderId="888" applyAlignment="1" pivotButton="0" quotePrefix="0" xfId="0">
      <alignment horizontal="left" vertical="center" wrapText="1"/>
    </xf>
    <xf numFmtId="1" fontId="3" fillId="3" borderId="695" applyAlignment="1" pivotButton="0" quotePrefix="0" xfId="0">
      <alignment horizontal="left" vertical="center" wrapText="1"/>
    </xf>
    <xf numFmtId="1" fontId="3" fillId="3" borderId="245" applyAlignment="1" pivotButton="0" quotePrefix="0" xfId="0">
      <alignment horizontal="left" vertical="center" wrapText="1"/>
    </xf>
    <xf numFmtId="1" fontId="3" fillId="3" borderId="546" applyAlignment="1" pivotButton="0" quotePrefix="0" xfId="0">
      <alignment horizontal="left" vertical="center" wrapText="1"/>
    </xf>
    <xf numFmtId="1" fontId="3" fillId="0" borderId="407" applyAlignment="1" pivotButton="0" quotePrefix="0" xfId="0">
      <alignment horizontal="left" vertical="center" wrapText="1"/>
    </xf>
    <xf numFmtId="1" fontId="3" fillId="0" borderId="401" applyAlignment="1" pivotButton="0" quotePrefix="0" xfId="0">
      <alignment horizontal="left" vertical="center" wrapText="1"/>
    </xf>
    <xf numFmtId="1" fontId="3" fillId="0" borderId="378" applyAlignment="1" pivotButton="0" quotePrefix="0" xfId="0">
      <alignment horizontal="left" vertical="center" wrapText="1"/>
    </xf>
    <xf numFmtId="1" fontId="3" fillId="0" borderId="888" applyAlignment="1" pivotButton="0" quotePrefix="0" xfId="0">
      <alignment horizontal="left" vertical="center" wrapText="1"/>
    </xf>
    <xf numFmtId="1" fontId="3" fillId="0" borderId="245" applyAlignment="1" pivotButton="0" quotePrefix="0" xfId="0">
      <alignment horizontal="left" vertical="center" wrapText="1"/>
    </xf>
    <xf numFmtId="1" fontId="3" fillId="0" borderId="850" applyAlignment="1" pivotButton="0" quotePrefix="0" xfId="0">
      <alignment horizontal="left" vertical="center" wrapText="1"/>
    </xf>
    <xf numFmtId="1" fontId="3" fillId="0" borderId="785" applyAlignment="1" pivotButton="0" quotePrefix="0" xfId="0">
      <alignment horizontal="left" vertical="center" wrapText="1"/>
    </xf>
    <xf numFmtId="1" fontId="3" fillId="0" borderId="850" applyAlignment="1" pivotButton="0" quotePrefix="0" xfId="0">
      <alignment horizontal="center" vertical="center" wrapText="1"/>
    </xf>
    <xf numFmtId="1" fontId="3" fillId="0" borderId="400" applyAlignment="1" pivotButton="0" quotePrefix="0" xfId="0">
      <alignment horizontal="left" vertical="center" wrapText="1"/>
    </xf>
    <xf numFmtId="1" fontId="3" fillId="0" borderId="898" applyAlignment="1" pivotButton="0" quotePrefix="0" xfId="0">
      <alignment horizontal="left" vertical="center" wrapText="1"/>
    </xf>
    <xf numFmtId="1" fontId="3" fillId="0" borderId="849" applyAlignment="1" pivotButton="0" quotePrefix="0" xfId="0">
      <alignment horizontal="left" vertical="center" wrapText="1"/>
    </xf>
    <xf numFmtId="1" fontId="3" fillId="0" borderId="749" applyAlignment="1" pivotButton="0" quotePrefix="0" xfId="0">
      <alignment horizontal="left"/>
    </xf>
    <xf numFmtId="1" fontId="3" fillId="0" borderId="726" applyAlignment="1" pivotButton="0" quotePrefix="0" xfId="0">
      <alignment horizontal="left"/>
    </xf>
    <xf numFmtId="1" fontId="3" fillId="0" borderId="551" applyAlignment="1" pivotButton="0" quotePrefix="0" xfId="0">
      <alignment horizontal="left" vertical="center" wrapText="1"/>
    </xf>
    <xf numFmtId="1" fontId="3" fillId="0" borderId="5" applyAlignment="1" pivotButton="0" quotePrefix="0" xfId="0">
      <alignment horizontal="left" vertical="center" wrapText="1"/>
    </xf>
    <xf numFmtId="1" fontId="3" fillId="5" borderId="895" applyAlignment="1" pivotButton="0" quotePrefix="0" xfId="0">
      <alignment horizontal="center" vertical="center" wrapText="1"/>
    </xf>
    <xf numFmtId="1" fontId="3" fillId="5" borderId="869" applyAlignment="1" pivotButton="0" quotePrefix="0" xfId="0">
      <alignment horizontal="center" vertical="center" wrapText="1"/>
    </xf>
    <xf numFmtId="1" fontId="3" fillId="5" borderId="247" applyAlignment="1" pivotButton="0" quotePrefix="0" xfId="0">
      <alignment horizontal="center" vertical="center" wrapText="1"/>
    </xf>
    <xf numFmtId="1" fontId="3" fillId="5" borderId="789" applyAlignment="1" pivotButton="0" quotePrefix="0" xfId="0">
      <alignment horizontal="center" vertical="center" wrapText="1"/>
    </xf>
    <xf numFmtId="1" fontId="3" fillId="0" borderId="894" applyAlignment="1" pivotButton="0" quotePrefix="0" xfId="0">
      <alignment horizontal="center" vertical="center" wrapText="1"/>
    </xf>
    <xf numFmtId="1" fontId="3" fillId="0" borderId="879" applyAlignment="1" pivotButton="0" quotePrefix="0" xfId="0">
      <alignment horizontal="center" vertical="center" wrapText="1"/>
    </xf>
    <xf numFmtId="1" fontId="3" fillId="5" borderId="393" applyAlignment="1" pivotButton="0" quotePrefix="0" xfId="0">
      <alignment horizontal="left" vertical="center" wrapText="1"/>
    </xf>
    <xf numFmtId="1" fontId="3" fillId="5" borderId="391" applyAlignment="1" pivotButton="0" quotePrefix="0" xfId="0">
      <alignment horizontal="left" vertical="center" wrapText="1"/>
    </xf>
    <xf numFmtId="1" fontId="3" fillId="5" borderId="389" applyAlignment="1" pivotButton="0" quotePrefix="0" xfId="0">
      <alignment horizontal="left" vertical="center" wrapText="1"/>
    </xf>
    <xf numFmtId="1" fontId="3" fillId="0" borderId="550" applyAlignment="1" pivotButton="0" quotePrefix="0" xfId="0">
      <alignment horizontal="left" vertical="center" wrapText="1"/>
    </xf>
    <xf numFmtId="1" fontId="3" fillId="0" borderId="390" applyAlignment="1" pivotButton="0" quotePrefix="0" xfId="0">
      <alignment horizontal="left" vertical="center" wrapText="1"/>
    </xf>
    <xf numFmtId="1" fontId="3" fillId="0" borderId="749" applyAlignment="1" pivotButton="0" quotePrefix="0" xfId="0">
      <alignment horizontal="left" vertical="center" wrapText="1"/>
    </xf>
    <xf numFmtId="1" fontId="3" fillId="0" borderId="726" applyAlignment="1" pivotButton="0" quotePrefix="0" xfId="0">
      <alignment horizontal="left" vertical="center" wrapText="1"/>
    </xf>
    <xf numFmtId="1" fontId="3" fillId="0" borderId="412" applyAlignment="1" pivotButton="0" quotePrefix="0" xfId="0">
      <alignment horizontal="left" vertical="center" wrapText="1"/>
    </xf>
    <xf numFmtId="1" fontId="3" fillId="0" borderId="406" applyAlignment="1" pivotButton="0" quotePrefix="0" xfId="0">
      <alignment horizontal="left" vertical="center" wrapText="1"/>
    </xf>
    <xf numFmtId="1" fontId="3" fillId="3" borderId="888" applyAlignment="1" pivotButton="0" quotePrefix="0" xfId="0">
      <alignment horizontal="center" vertical="center" wrapText="1"/>
    </xf>
    <xf numFmtId="1" fontId="3" fillId="3" borderId="694" applyAlignment="1" pivotButton="0" quotePrefix="0" xfId="0">
      <alignment horizontal="center" vertical="center" wrapText="1"/>
    </xf>
    <xf numFmtId="1" fontId="3" fillId="3" borderId="245" applyAlignment="1" pivotButton="0" quotePrefix="0" xfId="0">
      <alignment horizontal="center" vertical="center" wrapText="1"/>
    </xf>
    <xf numFmtId="1" fontId="3" fillId="3" borderId="0" applyAlignment="1" pivotButton="0" quotePrefix="0" xfId="0">
      <alignment horizontal="center" vertical="center" wrapText="1"/>
    </xf>
    <xf numFmtId="1" fontId="3" fillId="3" borderId="546" applyAlignment="1" pivotButton="0" quotePrefix="0" xfId="0">
      <alignment horizontal="center" vertical="center" wrapText="1"/>
    </xf>
    <xf numFmtId="1" fontId="3" fillId="3" borderId="850" applyAlignment="1" pivotButton="0" quotePrefix="0" xfId="0">
      <alignment horizontal="center" vertical="center" wrapText="1"/>
    </xf>
    <xf numFmtId="1" fontId="3" fillId="3" borderId="783" applyAlignment="1" pivotButton="0" quotePrefix="0" xfId="0">
      <alignment horizontal="center" vertical="center" wrapText="1"/>
    </xf>
    <xf numFmtId="1" fontId="3" fillId="5" borderId="749" applyAlignment="1" pivotButton="0" quotePrefix="0" xfId="0">
      <alignment horizontal="left" vertical="center" wrapText="1"/>
    </xf>
    <xf numFmtId="1" fontId="3" fillId="5" borderId="735" applyAlignment="1" pivotButton="0" quotePrefix="0" xfId="0">
      <alignment horizontal="left" vertical="center" wrapText="1"/>
    </xf>
    <xf numFmtId="1" fontId="3" fillId="5" borderId="726" applyAlignment="1" pivotButton="0" quotePrefix="0" xfId="0">
      <alignment horizontal="left" vertical="center" wrapText="1"/>
    </xf>
    <xf numFmtId="1" fontId="3" fillId="0" borderId="1345" applyAlignment="1" pivotButton="0" quotePrefix="0" xfId="0">
      <alignment horizontal="center" vertical="center" wrapText="1"/>
    </xf>
    <xf numFmtId="1" fontId="3" fillId="0" borderId="1354" applyAlignment="1" pivotButton="0" quotePrefix="0" xfId="0">
      <alignment horizontal="center" vertical="center" wrapText="1"/>
    </xf>
    <xf numFmtId="1" fontId="3" fillId="5" borderId="1345" applyAlignment="1" pivotButton="0" quotePrefix="0" xfId="0">
      <alignment horizontal="center" vertical="center" wrapText="1"/>
    </xf>
    <xf numFmtId="1" fontId="3" fillId="5" borderId="1368" applyAlignment="1" pivotButton="0" quotePrefix="0" xfId="0">
      <alignment horizontal="center" vertical="center" wrapText="1"/>
    </xf>
    <xf numFmtId="1" fontId="3" fillId="0" borderId="898" applyAlignment="1" pivotButton="0" quotePrefix="0" xfId="0">
      <alignment horizontal="center" vertical="center" wrapText="1"/>
    </xf>
    <xf numFmtId="1" fontId="3" fillId="0" borderId="1364" applyAlignment="1" pivotButton="0" quotePrefix="0" xfId="0">
      <alignment horizontal="center" vertical="center" wrapText="1"/>
    </xf>
    <xf numFmtId="1" fontId="3" fillId="6" borderId="393" applyAlignment="1" pivotButton="0" quotePrefix="0" xfId="0">
      <alignment horizontal="left" vertical="center"/>
    </xf>
    <xf numFmtId="1" fontId="3" fillId="6" borderId="389" applyAlignment="1" pivotButton="0" quotePrefix="0" xfId="0">
      <alignment horizontal="left" vertical="center"/>
    </xf>
    <xf numFmtId="1" fontId="3" fillId="6" borderId="393" applyAlignment="1" pivotButton="0" quotePrefix="0" xfId="0">
      <alignment horizontal="left" vertical="center" wrapText="1"/>
    </xf>
    <xf numFmtId="1" fontId="3" fillId="6" borderId="389" applyAlignment="1" pivotButton="0" quotePrefix="0" xfId="0">
      <alignment horizontal="left" vertical="center" wrapText="1"/>
    </xf>
    <xf numFmtId="1" fontId="3" fillId="3" borderId="407" applyAlignment="1" pivotButton="0" quotePrefix="0" xfId="0">
      <alignment horizontal="left" vertical="center" wrapText="1"/>
    </xf>
    <xf numFmtId="1" fontId="3" fillId="3" borderId="378" applyAlignment="1" pivotButton="0" quotePrefix="0" xfId="0">
      <alignment horizontal="left" vertical="center" wrapText="1"/>
    </xf>
    <xf numFmtId="1" fontId="3" fillId="6" borderId="749" applyAlignment="1" pivotButton="0" quotePrefix="0" xfId="0">
      <alignment horizontal="left" vertical="center"/>
    </xf>
    <xf numFmtId="1" fontId="3" fillId="6" borderId="726" applyAlignment="1" pivotButton="0" quotePrefix="0" xfId="0">
      <alignment horizontal="left" vertical="center"/>
    </xf>
    <xf numFmtId="1" fontId="3" fillId="3" borderId="1231" applyAlignment="1" pivotButton="0" quotePrefix="0" xfId="0">
      <alignment horizontal="center" vertical="center" wrapText="1"/>
    </xf>
    <xf numFmtId="1" fontId="3" fillId="3" borderId="281" applyAlignment="1" pivotButton="0" quotePrefix="0" xfId="0">
      <alignment horizontal="center" vertical="center" wrapText="1"/>
    </xf>
    <xf numFmtId="1" fontId="3" fillId="3" borderId="849" applyAlignment="1" pivotButton="0" quotePrefix="0" xfId="0">
      <alignment horizontal="center" vertical="center" wrapText="1"/>
    </xf>
    <xf numFmtId="1" fontId="3" fillId="20" borderId="898" applyAlignment="1" pivotButton="0" quotePrefix="0" xfId="0">
      <alignment horizontal="left" vertical="center" wrapText="1"/>
    </xf>
    <xf numFmtId="1" fontId="3" fillId="20" borderId="281" applyAlignment="1" pivotButton="0" quotePrefix="0" xfId="0">
      <alignment horizontal="left" vertical="center" wrapText="1"/>
    </xf>
    <xf numFmtId="1" fontId="3" fillId="20" borderId="849" applyAlignment="1" pivotButton="0" quotePrefix="0" xfId="0">
      <alignment horizontal="left" vertical="center" wrapText="1"/>
    </xf>
    <xf numFmtId="1" fontId="3" fillId="5" borderId="898" applyAlignment="1" pivotButton="0" quotePrefix="0" xfId="0">
      <alignment horizontal="left" vertical="center" wrapText="1"/>
    </xf>
    <xf numFmtId="1" fontId="3" fillId="5" borderId="281" applyAlignment="1" pivotButton="0" quotePrefix="0" xfId="0">
      <alignment horizontal="left" vertical="center" wrapText="1"/>
    </xf>
    <xf numFmtId="1" fontId="3" fillId="5" borderId="849" applyAlignment="1" pivotButton="0" quotePrefix="0" xfId="0">
      <alignment horizontal="left" vertical="center" wrapText="1"/>
    </xf>
    <xf numFmtId="1" fontId="3" fillId="5" borderId="888" applyAlignment="1" pivotButton="0" quotePrefix="0" xfId="0">
      <alignment horizontal="left" vertical="center" wrapText="1"/>
    </xf>
    <xf numFmtId="1" fontId="3" fillId="5" borderId="245" applyAlignment="1" pivotButton="0" quotePrefix="0" xfId="0">
      <alignment horizontal="left" vertical="center" wrapText="1"/>
    </xf>
    <xf numFmtId="1" fontId="3" fillId="3" borderId="1181" applyAlignment="1" pivotButton="0" quotePrefix="0" xfId="0">
      <alignment horizontal="center" vertical="center" wrapText="1"/>
    </xf>
    <xf numFmtId="1" fontId="3" fillId="3" borderId="1347" applyAlignment="1" pivotButton="0" quotePrefix="0" xfId="0">
      <alignment horizontal="center" vertical="center" wrapText="1"/>
    </xf>
    <xf numFmtId="1" fontId="3" fillId="3" borderId="401" applyAlignment="1" pivotButton="0" quotePrefix="0" xfId="0">
      <alignment horizontal="left" vertical="center" wrapText="1"/>
    </xf>
    <xf numFmtId="1" fontId="3" fillId="0" borderId="906" applyAlignment="1" pivotButton="0" quotePrefix="0" xfId="0">
      <alignment horizontal="center" vertical="center" wrapText="1"/>
    </xf>
    <xf numFmtId="0" fontId="3" fillId="0" borderId="885" applyAlignment="1" pivotButton="0" quotePrefix="0" xfId="0">
      <alignment horizontal="center" vertical="center" wrapText="1"/>
    </xf>
    <xf numFmtId="0" fontId="3" fillId="0" borderId="8" applyAlignment="1" pivotButton="0" quotePrefix="0" xfId="0">
      <alignment horizontal="center" vertical="center" wrapText="1"/>
    </xf>
    <xf numFmtId="0" fontId="3" fillId="0" borderId="228" applyAlignment="1" pivotButton="0" quotePrefix="0" xfId="0">
      <alignment horizontal="center" vertical="center" wrapText="1"/>
    </xf>
    <xf numFmtId="1" fontId="3" fillId="0" borderId="900" applyAlignment="1" pivotButton="0" quotePrefix="0" xfId="0">
      <alignment horizontal="center" vertical="center" wrapText="1"/>
    </xf>
    <xf numFmtId="1" fontId="3" fillId="3" borderId="897" applyAlignment="1" pivotButton="0" quotePrefix="0" xfId="0">
      <alignment horizontal="center" vertical="center" wrapText="1"/>
    </xf>
    <xf numFmtId="1" fontId="3" fillId="3" borderId="908" applyAlignment="1" pivotButton="0" quotePrefix="0" xfId="0">
      <alignment horizontal="center" vertical="center" wrapText="1"/>
    </xf>
    <xf numFmtId="1" fontId="3" fillId="3" borderId="227" applyAlignment="1" pivotButton="0" quotePrefix="0" xfId="0">
      <alignment horizontal="center" vertical="center" wrapText="1"/>
    </xf>
    <xf numFmtId="1" fontId="3" fillId="3" borderId="906" applyAlignment="1" pivotButton="0" quotePrefix="0" xfId="0">
      <alignment horizontal="center" vertical="center" wrapText="1"/>
    </xf>
    <xf numFmtId="1" fontId="3" fillId="3" borderId="6" applyAlignment="1" pivotButton="0" quotePrefix="0" xfId="0">
      <alignment horizontal="center" vertical="center" wrapText="1"/>
    </xf>
    <xf numFmtId="1" fontId="3" fillId="3" borderId="799" applyAlignment="1" pivotButton="0" quotePrefix="0" xfId="0">
      <alignment horizontal="center" vertical="center" wrapText="1"/>
    </xf>
    <xf numFmtId="1" fontId="3" fillId="3" borderId="1314" applyAlignment="1" pivotButton="0" quotePrefix="0" xfId="0">
      <alignment horizontal="center" vertical="center" wrapText="1"/>
    </xf>
    <xf numFmtId="1" fontId="3" fillId="3" borderId="7" applyAlignment="1" pivotButton="0" quotePrefix="0" xfId="0">
      <alignment horizontal="center" vertical="center" wrapText="1"/>
    </xf>
    <xf numFmtId="1" fontId="3" fillId="3" borderId="793" applyAlignment="1" pivotButton="0" quotePrefix="0" xfId="0">
      <alignment horizontal="center" vertical="center" wrapText="1"/>
    </xf>
    <xf numFmtId="1" fontId="3" fillId="0" borderId="900" applyAlignment="1" pivotButton="0" quotePrefix="0" xfId="0">
      <alignment horizontal="center" vertical="center"/>
    </xf>
    <xf numFmtId="1" fontId="3" fillId="3" borderId="918" applyAlignment="1" pivotButton="0" quotePrefix="0" xfId="0">
      <alignment horizontal="left" vertical="center" wrapText="1"/>
    </xf>
    <xf numFmtId="1" fontId="3" fillId="5" borderId="384" applyAlignment="1" pivotButton="0" quotePrefix="0" xfId="0">
      <alignment horizontal="left" vertical="center" wrapText="1"/>
    </xf>
    <xf numFmtId="1" fontId="3" fillId="0" borderId="735" applyAlignment="1" pivotButton="0" quotePrefix="0" xfId="0">
      <alignment horizontal="left" vertical="center" wrapText="1"/>
    </xf>
    <xf numFmtId="1" fontId="3" fillId="3" borderId="554" applyAlignment="1" pivotButton="0" quotePrefix="0" xfId="0">
      <alignment horizontal="left" vertical="center" wrapText="1"/>
    </xf>
    <xf numFmtId="1" fontId="3" fillId="3" borderId="913" applyAlignment="1" pivotButton="0" quotePrefix="0" xfId="0">
      <alignment horizontal="left" vertical="center" wrapText="1"/>
    </xf>
    <xf numFmtId="1" fontId="3" fillId="0" borderId="749" applyAlignment="1" pivotButton="0" quotePrefix="0" xfId="0">
      <alignment horizontal="left" wrapText="1"/>
    </xf>
    <xf numFmtId="1" fontId="3" fillId="0" borderId="726" applyAlignment="1" pivotButton="0" quotePrefix="0" xfId="0">
      <alignment horizontal="left" wrapText="1"/>
    </xf>
    <xf numFmtId="1" fontId="3" fillId="5" borderId="875" applyAlignment="1" pivotButton="0" quotePrefix="0" xfId="0">
      <alignment horizontal="center" vertical="center" wrapText="1"/>
    </xf>
    <xf numFmtId="1" fontId="3" fillId="5" borderId="866" applyAlignment="1" pivotButton="0" quotePrefix="0" xfId="0">
      <alignment horizontal="center" vertical="center" wrapText="1"/>
    </xf>
    <xf numFmtId="1" fontId="3" fillId="5" borderId="874" applyAlignment="1" pivotButton="0" quotePrefix="0" xfId="0">
      <alignment horizontal="center" vertical="center" wrapText="1"/>
    </xf>
    <xf numFmtId="1" fontId="3" fillId="5" borderId="867" applyAlignment="1" pivotButton="0" quotePrefix="0" xfId="0">
      <alignment horizontal="center" vertical="center" wrapText="1"/>
    </xf>
    <xf numFmtId="1" fontId="3" fillId="0" borderId="889" applyAlignment="1" pivotButton="0" quotePrefix="0" xfId="0">
      <alignment horizontal="left" vertical="center" wrapText="1"/>
    </xf>
    <xf numFmtId="1" fontId="3" fillId="0" borderId="694" applyAlignment="1" pivotButton="0" quotePrefix="0" xfId="0">
      <alignment horizontal="left" vertical="center" wrapText="1"/>
    </xf>
    <xf numFmtId="1" fontId="3" fillId="0" borderId="405" applyAlignment="1" pivotButton="0" quotePrefix="0" xfId="0">
      <alignment horizontal="left" vertical="center" wrapText="1"/>
    </xf>
    <xf numFmtId="1" fontId="3" fillId="0" borderId="326" applyAlignment="1" pivotButton="0" quotePrefix="0" xfId="0">
      <alignment horizontal="left" vertical="center" wrapText="1"/>
    </xf>
    <xf numFmtId="0" fontId="3" fillId="5" borderId="391" applyAlignment="1" pivotButton="0" quotePrefix="0" xfId="0">
      <alignment horizontal="left" vertical="center"/>
    </xf>
    <xf numFmtId="0" fontId="3" fillId="5" borderId="389" applyAlignment="1" pivotButton="0" quotePrefix="0" xfId="0">
      <alignment horizontal="left" vertical="center"/>
    </xf>
    <xf numFmtId="1" fontId="3" fillId="5" borderId="546" applyAlignment="1" pivotButton="0" quotePrefix="0" xfId="0">
      <alignment horizontal="center" vertical="center" wrapText="1"/>
    </xf>
    <xf numFmtId="1" fontId="3" fillId="0" borderId="898" applyAlignment="1" pivotButton="0" quotePrefix="0" xfId="0">
      <alignment horizontal="center" vertical="center"/>
    </xf>
    <xf numFmtId="1" fontId="3" fillId="0" borderId="281" applyAlignment="1" pivotButton="0" quotePrefix="0" xfId="0">
      <alignment horizontal="center" vertical="center"/>
    </xf>
    <xf numFmtId="1" fontId="3" fillId="0" borderId="849" applyAlignment="1" pivotButton="0" quotePrefix="0" xfId="0">
      <alignment horizontal="center" vertical="center"/>
    </xf>
    <xf numFmtId="1" fontId="3" fillId="0" borderId="890" applyAlignment="1" pivotButton="0" quotePrefix="0" xfId="0">
      <alignment horizontal="center" vertical="center" wrapText="1"/>
    </xf>
    <xf numFmtId="1" fontId="3" fillId="0" borderId="282" applyAlignment="1" pivotButton="0" quotePrefix="0" xfId="0">
      <alignment horizontal="center" vertical="center" wrapText="1"/>
    </xf>
    <xf numFmtId="1" fontId="3" fillId="0" borderId="899" applyAlignment="1" pivotButton="0" quotePrefix="0" xfId="0">
      <alignment horizontal="center" vertical="center" wrapText="1"/>
    </xf>
    <xf numFmtId="1" fontId="3" fillId="0" borderId="365" applyAlignment="1" pivotButton="0" quotePrefix="0" xfId="0">
      <alignment horizontal="center" vertical="center" wrapText="1"/>
    </xf>
    <xf numFmtId="1" fontId="3" fillId="0" borderId="869" applyAlignment="1" pivotButton="0" quotePrefix="0" xfId="0">
      <alignment horizontal="center" vertical="center" wrapText="1"/>
    </xf>
    <xf numFmtId="1" fontId="3" fillId="0" borderId="897" applyAlignment="1" pivotButton="0" quotePrefix="0" xfId="0">
      <alignment horizontal="center" vertical="center"/>
    </xf>
    <xf numFmtId="1" fontId="3" fillId="0" borderId="505" applyAlignment="1" pivotButton="0" quotePrefix="0" xfId="0">
      <alignment horizontal="center" vertical="center"/>
    </xf>
    <xf numFmtId="1" fontId="3" fillId="0" borderId="227" applyAlignment="1" pivotButton="0" quotePrefix="0" xfId="0">
      <alignment horizontal="center" vertical="center"/>
    </xf>
    <xf numFmtId="1" fontId="3" fillId="0" borderId="878" applyAlignment="1" pivotButton="0" quotePrefix="0" xfId="0">
      <alignment horizontal="center" vertical="center" wrapText="1"/>
    </xf>
    <xf numFmtId="1" fontId="3" fillId="0" borderId="893" applyAlignment="1" pivotButton="0" quotePrefix="0" xfId="0">
      <alignment horizontal="center" vertical="center" wrapText="1"/>
    </xf>
    <xf numFmtId="1" fontId="3" fillId="5" borderId="1354" applyAlignment="1" pivotButton="0" quotePrefix="0" xfId="0">
      <alignment horizontal="center" vertical="center" wrapText="1"/>
    </xf>
    <xf numFmtId="1" fontId="3" fillId="5" borderId="1231" applyAlignment="1" pivotButton="0" quotePrefix="0" xfId="0">
      <alignment horizontal="center" vertical="center" wrapText="1"/>
    </xf>
    <xf numFmtId="1" fontId="3" fillId="5" borderId="849" applyAlignment="1" pivotButton="0" quotePrefix="0" xfId="0">
      <alignment horizontal="center" vertical="center" wrapText="1"/>
    </xf>
    <xf numFmtId="1" fontId="3" fillId="5" borderId="1181" applyAlignment="1" pivotButton="0" quotePrefix="0" xfId="0">
      <alignment horizontal="center" vertical="center" wrapText="1"/>
    </xf>
    <xf numFmtId="1" fontId="3" fillId="5" borderId="0" applyAlignment="1" pivotButton="0" quotePrefix="0" xfId="0">
      <alignment horizontal="center" vertical="center" wrapText="1"/>
    </xf>
    <xf numFmtId="1" fontId="3" fillId="5" borderId="1347" applyAlignment="1" pivotButton="0" quotePrefix="0" xfId="0">
      <alignment horizontal="center" vertical="center" wrapText="1"/>
    </xf>
    <xf numFmtId="1" fontId="3" fillId="5" borderId="224" applyAlignment="1" pivotButton="0" quotePrefix="0" xfId="0">
      <alignment horizontal="center" vertical="center" wrapText="1"/>
    </xf>
    <xf numFmtId="1" fontId="3" fillId="0" borderId="875" applyAlignment="1" pivotButton="0" quotePrefix="0" xfId="9">
      <alignment horizontal="center" vertical="center" wrapText="1"/>
    </xf>
    <xf numFmtId="1" fontId="3" fillId="0" borderId="874" applyAlignment="1" pivotButton="0" quotePrefix="0" xfId="9">
      <alignment horizontal="center" vertical="center"/>
    </xf>
    <xf numFmtId="1" fontId="3" fillId="0" borderId="897" applyAlignment="1" pivotButton="0" quotePrefix="0" xfId="0">
      <alignment horizontal="center" vertical="center" wrapText="1"/>
    </xf>
    <xf numFmtId="1" fontId="3" fillId="0" borderId="908" applyAlignment="1" pivotButton="0" quotePrefix="0" xfId="0">
      <alignment horizontal="center" vertical="center" wrapText="1"/>
    </xf>
    <xf numFmtId="1" fontId="3" fillId="0" borderId="1237" applyAlignment="1" pivotButton="0" quotePrefix="0" xfId="0">
      <alignment horizontal="center" vertical="center" wrapText="1"/>
    </xf>
    <xf numFmtId="1" fontId="3" fillId="5" borderId="1245" applyAlignment="1" pivotButton="0" quotePrefix="0" xfId="0">
      <alignment horizontal="center" vertical="center" wrapText="1"/>
    </xf>
    <xf numFmtId="1" fontId="3" fillId="5" borderId="1252" applyAlignment="1" pivotButton="0" quotePrefix="0" xfId="0">
      <alignment horizontal="center" vertical="center" wrapText="1"/>
    </xf>
    <xf numFmtId="1" fontId="3" fillId="3" borderId="1362" applyAlignment="1" pivotButton="0" quotePrefix="0" xfId="0">
      <alignment horizontal="center" vertical="center" wrapText="1"/>
    </xf>
    <xf numFmtId="1" fontId="3" fillId="3" borderId="874" applyAlignment="1" pivotButton="0" quotePrefix="0" xfId="0">
      <alignment horizontal="center" vertical="center" wrapText="1"/>
    </xf>
    <xf numFmtId="1" fontId="3" fillId="3" borderId="898" applyAlignment="1" pivotButton="0" quotePrefix="0" xfId="0">
      <alignment horizontal="center" vertical="center" wrapText="1"/>
    </xf>
    <xf numFmtId="1" fontId="3" fillId="3" borderId="1354" applyAlignment="1" pivotButton="0" quotePrefix="0" xfId="0">
      <alignment horizontal="center" vertical="center" wrapText="1"/>
    </xf>
    <xf numFmtId="1" fontId="3" fillId="5" borderId="897" applyAlignment="1" pivotButton="0" quotePrefix="0" xfId="0">
      <alignment horizontal="center" vertical="center" wrapText="1"/>
    </xf>
    <xf numFmtId="1" fontId="3" fillId="5" borderId="227" applyAlignment="1" pivotButton="0" quotePrefix="0" xfId="0">
      <alignment horizontal="center" vertical="center" wrapText="1"/>
    </xf>
    <xf numFmtId="1" fontId="3" fillId="5" borderId="888" applyAlignment="1" pivotButton="0" quotePrefix="0" xfId="0">
      <alignment horizontal="center" vertical="center" wrapText="1"/>
    </xf>
    <xf numFmtId="1" fontId="3" fillId="5" borderId="865" applyAlignment="1" pivotButton="0" quotePrefix="0" xfId="0">
      <alignment horizontal="center" vertical="center" wrapText="1"/>
    </xf>
    <xf numFmtId="1" fontId="3" fillId="5" borderId="850" applyAlignment="1" pivotButton="0" quotePrefix="0" xfId="0">
      <alignment horizontal="center" vertical="center" wrapText="1"/>
    </xf>
    <xf numFmtId="1" fontId="3" fillId="0" borderId="943" applyAlignment="1" pivotButton="0" quotePrefix="0" xfId="0">
      <alignment horizontal="left" vertical="center" wrapText="1"/>
    </xf>
    <xf numFmtId="1" fontId="3" fillId="3" borderId="736" applyAlignment="1" pivotButton="0" quotePrefix="0" xfId="0">
      <alignment horizontal="left" vertical="center" wrapText="1"/>
    </xf>
    <xf numFmtId="1" fontId="3" fillId="3" borderId="866" applyAlignment="1" pivotButton="0" quotePrefix="0" xfId="0">
      <alignment horizontal="center" vertical="center"/>
    </xf>
    <xf numFmtId="1" fontId="3" fillId="20" borderId="870" applyAlignment="1" pivotButton="0" quotePrefix="0" xfId="0">
      <alignment horizontal="center" vertical="center" wrapText="1"/>
    </xf>
    <xf numFmtId="1" fontId="3" fillId="5" borderId="407" applyAlignment="1" applyProtection="1" pivotButton="0" quotePrefix="0" xfId="0">
      <alignment horizontal="left" vertical="center" wrapText="1"/>
      <protection locked="1" hidden="1"/>
    </xf>
    <xf numFmtId="1" fontId="3" fillId="5" borderId="378" applyAlignment="1" applyProtection="1" pivotButton="0" quotePrefix="0" xfId="0">
      <alignment horizontal="left" vertical="center" wrapText="1"/>
      <protection locked="1" hidden="1"/>
    </xf>
    <xf numFmtId="1" fontId="3" fillId="0" borderId="918" applyAlignment="1" applyProtection="1" pivotButton="0" quotePrefix="0" xfId="0">
      <alignment horizontal="left" vertical="center" wrapText="1"/>
      <protection locked="1" hidden="1"/>
    </xf>
    <xf numFmtId="1" fontId="3" fillId="0" borderId="389" applyAlignment="1" applyProtection="1" pivotButton="0" quotePrefix="0" xfId="0">
      <alignment horizontal="left" vertical="center" wrapText="1"/>
      <protection locked="1" hidden="1"/>
    </xf>
    <xf numFmtId="1" fontId="3" fillId="5" borderId="918" applyAlignment="1" applyProtection="1" pivotButton="0" quotePrefix="0" xfId="0">
      <alignment horizontal="left" vertical="center" wrapText="1"/>
      <protection locked="1" hidden="1"/>
    </xf>
    <xf numFmtId="1" fontId="3" fillId="5" borderId="389" applyAlignment="1" applyProtection="1" pivotButton="0" quotePrefix="0" xfId="0">
      <alignment horizontal="left" vertical="center" wrapText="1"/>
      <protection locked="1" hidden="1"/>
    </xf>
    <xf numFmtId="1" fontId="3" fillId="0" borderId="952" applyAlignment="1" applyProtection="1" pivotButton="0" quotePrefix="0" xfId="0">
      <alignment horizontal="left" vertical="center" wrapText="1"/>
      <protection locked="1" hidden="1"/>
    </xf>
    <xf numFmtId="1" fontId="3" fillId="0" borderId="953" applyAlignment="1" applyProtection="1" pivotButton="0" quotePrefix="0" xfId="0">
      <alignment horizontal="left" vertical="center" wrapText="1"/>
      <protection locked="1" hidden="1"/>
    </xf>
    <xf numFmtId="1" fontId="3" fillId="0" borderId="391" applyAlignment="1" pivotButton="0" quotePrefix="0" xfId="0">
      <alignment horizontal="left"/>
    </xf>
    <xf numFmtId="1" fontId="3" fillId="0" borderId="389" applyAlignment="1" pivotButton="0" quotePrefix="0" xfId="0">
      <alignment horizontal="left"/>
    </xf>
    <xf numFmtId="1" fontId="3" fillId="0" borderId="918" applyAlignment="1" pivotButton="0" quotePrefix="0" xfId="0">
      <alignment horizontal="left" vertical="center" wrapText="1"/>
    </xf>
    <xf numFmtId="1" fontId="3" fillId="0" borderId="401" applyAlignment="1" pivotButton="0" quotePrefix="0" xfId="0">
      <alignment horizontal="left"/>
    </xf>
    <xf numFmtId="1" fontId="3" fillId="3" borderId="281" applyAlignment="1" pivotButton="0" quotePrefix="0" xfId="0">
      <alignment horizontal="left" vertical="center" wrapText="1"/>
    </xf>
    <xf numFmtId="1" fontId="3" fillId="3" borderId="849" applyAlignment="1" pivotButton="0" quotePrefix="0" xfId="0">
      <alignment horizontal="left" vertical="center" wrapText="1"/>
    </xf>
    <xf numFmtId="1" fontId="3" fillId="0" borderId="929" applyAlignment="1" pivotButton="0" quotePrefix="0" xfId="0">
      <alignment horizontal="center" vertical="center"/>
    </xf>
    <xf numFmtId="1" fontId="3" fillId="0" borderId="954" applyAlignment="1" pivotButton="0" quotePrefix="0" xfId="0">
      <alignment horizontal="center" vertical="center"/>
    </xf>
    <xf numFmtId="1" fontId="3" fillId="0" borderId="955" applyAlignment="1" pivotButton="0" quotePrefix="0" xfId="0">
      <alignment horizontal="center" vertical="center"/>
    </xf>
    <xf numFmtId="1" fontId="3" fillId="0" borderId="956" applyAlignment="1" pivotButton="0" quotePrefix="0" xfId="0">
      <alignment horizontal="center" vertical="center"/>
    </xf>
    <xf numFmtId="1" fontId="3" fillId="0" borderId="955" applyAlignment="1" pivotButton="0" quotePrefix="0" xfId="0">
      <alignment horizontal="center" vertical="center" wrapText="1"/>
    </xf>
    <xf numFmtId="1" fontId="3" fillId="0" borderId="956" applyAlignment="1" pivotButton="0" quotePrefix="0" xfId="0">
      <alignment horizontal="center" vertical="center" wrapText="1"/>
    </xf>
    <xf numFmtId="1" fontId="3" fillId="5" borderId="876" applyAlignment="1" pivotButton="0" quotePrefix="0" xfId="0">
      <alignment horizontal="center" vertical="center" wrapText="1"/>
    </xf>
    <xf numFmtId="1" fontId="3" fillId="5" borderId="906" applyAlignment="1" pivotButton="0" quotePrefix="0" xfId="0">
      <alignment horizontal="center" vertical="center" wrapText="1"/>
    </xf>
    <xf numFmtId="1" fontId="3" fillId="5" borderId="793" applyAlignment="1" pivotButton="0" quotePrefix="0" xfId="0">
      <alignment horizontal="center" vertical="center" wrapText="1"/>
    </xf>
    <xf numFmtId="1" fontId="3" fillId="5" borderId="799" applyAlignment="1" pivotButton="0" quotePrefix="0" xfId="0">
      <alignment horizontal="center" vertical="center" wrapText="1"/>
    </xf>
    <xf numFmtId="1" fontId="3" fillId="0" borderId="954" applyAlignment="1" pivotButton="0" quotePrefix="0" xfId="0">
      <alignment horizontal="center" vertical="center" wrapText="1"/>
    </xf>
    <xf numFmtId="1" fontId="3" fillId="0" borderId="951" applyAlignment="1" pivotButton="0" quotePrefix="0" xfId="0">
      <alignment horizontal="center" vertical="center" wrapText="1"/>
    </xf>
    <xf numFmtId="1" fontId="3" fillId="0" borderId="1381" applyAlignment="1" pivotButton="0" quotePrefix="0" xfId="0">
      <alignment horizontal="center" vertical="center" wrapText="1"/>
    </xf>
    <xf numFmtId="1" fontId="3" fillId="0" borderId="865" applyAlignment="1" pivotButton="0" quotePrefix="0" xfId="0">
      <alignment horizontal="center" vertical="center"/>
    </xf>
    <xf numFmtId="1" fontId="3" fillId="0" borderId="1423" applyAlignment="1" pivotButton="0" quotePrefix="0" xfId="0">
      <alignment horizontal="center" vertical="center" wrapText="1"/>
    </xf>
    <xf numFmtId="1" fontId="3" fillId="0" borderId="3" applyAlignment="1" pivotButton="0" quotePrefix="0" xfId="0">
      <alignment horizontal="center" vertical="center" wrapText="1"/>
    </xf>
    <xf numFmtId="1" fontId="3" fillId="0" borderId="229" applyAlignment="1" pivotButton="0" quotePrefix="0" xfId="0">
      <alignment horizontal="center" vertical="center" wrapText="1"/>
    </xf>
    <xf numFmtId="1" fontId="2" fillId="3" borderId="955" applyAlignment="1" pivotButton="0" quotePrefix="0" xfId="0">
      <alignment horizontal="left" vertical="center" wrapText="1"/>
    </xf>
    <xf numFmtId="1" fontId="3" fillId="0" borderId="929" applyAlignment="1" pivotButton="0" quotePrefix="0" xfId="0">
      <alignment horizontal="center" vertical="center" wrapText="1"/>
    </xf>
    <xf numFmtId="1" fontId="3" fillId="0" borderId="951" applyAlignment="1" pivotButton="0" quotePrefix="0" xfId="0">
      <alignment horizontal="center" vertical="center"/>
    </xf>
    <xf numFmtId="1" fontId="3" fillId="0" borderId="962" applyAlignment="1" pivotButton="0" quotePrefix="0" xfId="0">
      <alignment horizontal="center" vertical="center"/>
    </xf>
    <xf numFmtId="1" fontId="3" fillId="0" borderId="890" applyAlignment="1" pivotButton="0" quotePrefix="0" xfId="0">
      <alignment horizontal="left"/>
    </xf>
    <xf numFmtId="1" fontId="3" fillId="0" borderId="897" applyAlignment="1" pivotButton="0" quotePrefix="0" xfId="0">
      <alignment horizontal="left"/>
    </xf>
    <xf numFmtId="1" fontId="3" fillId="0" borderId="961" applyAlignment="1" pivotButton="0" quotePrefix="0" xfId="0">
      <alignment horizontal="left" vertical="center" wrapText="1"/>
    </xf>
    <xf numFmtId="1" fontId="3" fillId="0" borderId="913" applyAlignment="1" pivotButton="0" quotePrefix="0" xfId="0">
      <alignment horizontal="left" vertical="center" wrapText="1"/>
    </xf>
    <xf numFmtId="1" fontId="3" fillId="0" borderId="788" applyAlignment="1" pivotButton="0" quotePrefix="0" xfId="0">
      <alignment horizontal="left"/>
    </xf>
    <xf numFmtId="1" fontId="3" fillId="0" borderId="227" applyAlignment="1" pivotButton="0" quotePrefix="0" xfId="0">
      <alignment horizontal="left"/>
    </xf>
    <xf numFmtId="1" fontId="3" fillId="0" borderId="890" pivotButton="0" quotePrefix="0" xfId="0"/>
    <xf numFmtId="1" fontId="3" fillId="0" borderId="897" pivotButton="0" quotePrefix="0" xfId="0"/>
    <xf numFmtId="1" fontId="3" fillId="0" borderId="788" pivotButton="0" quotePrefix="0" xfId="0"/>
    <xf numFmtId="1" fontId="3" fillId="0" borderId="227" pivotButton="0" quotePrefix="0" xfId="0"/>
    <xf numFmtId="1" fontId="3" fillId="5" borderId="956" applyAlignment="1" pivotButton="0" quotePrefix="0" xfId="0">
      <alignment horizontal="center" vertical="center" wrapText="1"/>
    </xf>
    <xf numFmtId="1" fontId="3" fillId="5" borderId="963" applyAlignment="1" pivotButton="0" quotePrefix="0" xfId="0">
      <alignment horizontal="center" vertical="center" wrapText="1"/>
    </xf>
    <xf numFmtId="1" fontId="3" fillId="0" borderId="865" applyAlignment="1" pivotButton="0" quotePrefix="0" xfId="0">
      <alignment horizontal="center" vertical="center" wrapText="1"/>
    </xf>
    <xf numFmtId="0" fontId="3" fillId="0" borderId="954" applyAlignment="1" pivotButton="0" quotePrefix="0" xfId="0">
      <alignment horizontal="center" vertical="center" wrapText="1"/>
    </xf>
    <xf numFmtId="0" fontId="3" fillId="0" borderId="956" applyAlignment="1" pivotButton="0" quotePrefix="0" xfId="0">
      <alignment horizontal="center" vertical="center" wrapText="1"/>
    </xf>
    <xf numFmtId="0" fontId="3" fillId="0" borderId="963" applyAlignment="1" pivotButton="0" quotePrefix="0" xfId="0">
      <alignment horizontal="center" vertical="center" wrapText="1"/>
    </xf>
    <xf numFmtId="0" fontId="3" fillId="0" borderId="951" applyAlignment="1" pivotButton="0" quotePrefix="0" xfId="0">
      <alignment horizontal="center" vertical="center" wrapText="1"/>
    </xf>
    <xf numFmtId="0" fontId="3" fillId="0" borderId="866" applyAlignment="1" pivotButton="0" quotePrefix="0" xfId="0">
      <alignment horizontal="center" vertical="center" wrapText="1"/>
    </xf>
    <xf numFmtId="0" fontId="3" fillId="0" borderId="952" applyAlignment="1" pivotButton="0" quotePrefix="0" xfId="0">
      <alignment horizontal="left" vertical="center"/>
    </xf>
    <xf numFmtId="0" fontId="3" fillId="0" borderId="953" applyAlignment="1" pivotButton="0" quotePrefix="0" xfId="0">
      <alignment horizontal="left" vertical="center"/>
    </xf>
    <xf numFmtId="0" fontId="3" fillId="0" borderId="918" applyAlignment="1" pivotButton="0" quotePrefix="0" xfId="0">
      <alignment horizontal="left" vertical="center"/>
    </xf>
    <xf numFmtId="0" fontId="3" fillId="0" borderId="389" applyAlignment="1" pivotButton="0" quotePrefix="0" xfId="0">
      <alignment horizontal="left" vertical="center"/>
    </xf>
    <xf numFmtId="0" fontId="3" fillId="0" borderId="412" applyAlignment="1" pivotButton="0" quotePrefix="0" xfId="0">
      <alignment horizontal="left"/>
    </xf>
    <xf numFmtId="0" fontId="3" fillId="0" borderId="406" applyAlignment="1" pivotButton="0" quotePrefix="0" xfId="0">
      <alignment horizontal="left"/>
    </xf>
    <xf numFmtId="0" fontId="3" fillId="0" borderId="550" applyAlignment="1" pivotButton="0" quotePrefix="0" xfId="0">
      <alignment horizontal="left" vertical="center"/>
    </xf>
    <xf numFmtId="0" fontId="3" fillId="0" borderId="390" applyAlignment="1" pivotButton="0" quotePrefix="0" xfId="0">
      <alignment horizontal="left" vertical="center"/>
    </xf>
    <xf numFmtId="0" fontId="3" fillId="0" borderId="407" applyAlignment="1" pivotButton="0" quotePrefix="0" xfId="0">
      <alignment horizontal="left" vertical="center"/>
    </xf>
    <xf numFmtId="0" fontId="3" fillId="0" borderId="378" applyAlignment="1" pivotButton="0" quotePrefix="0" xfId="0">
      <alignment horizontal="left" vertical="center"/>
    </xf>
    <xf numFmtId="0" fontId="3" fillId="0" borderId="898" applyAlignment="1" pivotButton="0" quotePrefix="0" xfId="0">
      <alignment horizontal="center" vertical="center"/>
    </xf>
    <xf numFmtId="0" fontId="3" fillId="0" borderId="281" applyAlignment="1" pivotButton="0" quotePrefix="0" xfId="0">
      <alignment horizontal="center" vertical="center"/>
    </xf>
    <xf numFmtId="0" fontId="3" fillId="0" borderId="849" applyAlignment="1" pivotButton="0" quotePrefix="0" xfId="0">
      <alignment horizontal="center" vertical="center"/>
    </xf>
    <xf numFmtId="0" fontId="3" fillId="0" borderId="962" applyAlignment="1" pivotButton="0" quotePrefix="0" xfId="0">
      <alignment horizontal="center" vertical="center"/>
    </xf>
    <xf numFmtId="0" fontId="3" fillId="0" borderId="969" applyAlignment="1" pivotButton="0" quotePrefix="0" xfId="0">
      <alignment horizontal="center" vertical="center"/>
    </xf>
    <xf numFmtId="0" fontId="3" fillId="0" borderId="969" applyAlignment="1" pivotButton="0" quotePrefix="0" xfId="0">
      <alignment horizontal="center" vertical="center" wrapText="1"/>
    </xf>
    <xf numFmtId="1" fontId="3" fillId="0" borderId="963" applyAlignment="1" pivotButton="0" quotePrefix="0" xfId="0">
      <alignment horizontal="center" vertical="center" wrapText="1"/>
    </xf>
    <xf numFmtId="0" fontId="3" fillId="0" borderId="962" applyAlignment="1" pivotButton="0" quotePrefix="0" xfId="0">
      <alignment horizontal="center" vertical="center" wrapText="1"/>
    </xf>
    <xf numFmtId="0" fontId="3" fillId="0" borderId="958" applyAlignment="1" pivotButton="0" quotePrefix="0" xfId="0">
      <alignment horizontal="center" vertical="center" wrapText="1"/>
    </xf>
    <xf numFmtId="1" fontId="3" fillId="5" borderId="868" applyAlignment="1" pivotButton="0" quotePrefix="0" xfId="0">
      <alignment horizontal="center" vertical="center" wrapText="1"/>
    </xf>
    <xf numFmtId="1" fontId="3" fillId="5" borderId="970" applyAlignment="1" pivotButton="0" quotePrefix="0" xfId="0">
      <alignment horizontal="center" vertical="center" wrapText="1"/>
    </xf>
    <xf numFmtId="1" fontId="3" fillId="5" borderId="847" applyAlignment="1" pivotButton="0" quotePrefix="0" xfId="0">
      <alignment horizontal="center" vertical="center" wrapText="1"/>
    </xf>
    <xf numFmtId="0" fontId="3" fillId="0" borderId="888" applyAlignment="1" pivotButton="0" quotePrefix="0" xfId="0">
      <alignment horizontal="center" vertical="center"/>
    </xf>
    <xf numFmtId="0" fontId="3" fillId="0" borderId="929" applyAlignment="1" pivotButton="0" quotePrefix="0" xfId="0">
      <alignment horizontal="center" vertical="center"/>
    </xf>
    <xf numFmtId="0" fontId="3" fillId="0" borderId="850" applyAlignment="1" pivotButton="0" quotePrefix="0" xfId="0">
      <alignment horizontal="center" vertical="center"/>
    </xf>
    <xf numFmtId="0" fontId="3" fillId="0" borderId="865" applyAlignment="1" pivotButton="0" quotePrefix="0" xfId="0">
      <alignment horizontal="center" vertical="center"/>
    </xf>
    <xf numFmtId="0" fontId="3" fillId="0" borderId="783" applyAlignment="1" pivotButton="0" quotePrefix="0" xfId="0">
      <alignment horizontal="center" vertical="center"/>
    </xf>
    <xf numFmtId="0" fontId="3" fillId="0" borderId="954" applyAlignment="1" pivotButton="0" quotePrefix="0" xfId="0">
      <alignment horizontal="center" vertical="center"/>
    </xf>
    <xf numFmtId="0" fontId="3" fillId="0" borderId="866" applyAlignment="1" pivotButton="0" quotePrefix="0" xfId="0">
      <alignment horizontal="center" vertical="center"/>
    </xf>
    <xf numFmtId="0" fontId="3" fillId="0" borderId="956" applyAlignment="1" pivotButton="0" quotePrefix="0" xfId="0">
      <alignment horizontal="center" vertical="center"/>
    </xf>
    <xf numFmtId="1" fontId="2" fillId="3" borderId="866" applyAlignment="1" pivotButton="0" quotePrefix="0" xfId="0">
      <alignment horizontal="left"/>
    </xf>
    <xf numFmtId="0" fontId="3" fillId="0" borderId="888" applyAlignment="1" pivotButton="0" quotePrefix="0" xfId="0">
      <alignment horizontal="center" vertical="center" wrapText="1"/>
    </xf>
    <xf numFmtId="0" fontId="3" fillId="0" borderId="865" applyAlignment="1" pivotButton="0" quotePrefix="0" xfId="0">
      <alignment horizontal="center" vertical="center" wrapText="1"/>
    </xf>
    <xf numFmtId="0" fontId="3" fillId="0" borderId="929" applyAlignment="1" pivotButton="0" quotePrefix="0" xfId="0">
      <alignment horizontal="center" vertical="center" wrapText="1"/>
    </xf>
    <xf numFmtId="0" fontId="3" fillId="0" borderId="1423" applyAlignment="1" pivotButton="0" quotePrefix="0" xfId="0">
      <alignment horizontal="center" vertical="center" wrapText="1"/>
    </xf>
    <xf numFmtId="0" fontId="3" fillId="0" borderId="3" applyAlignment="1" pivotButton="0" quotePrefix="0" xfId="0">
      <alignment horizontal="center" vertical="center" wrapText="1"/>
    </xf>
    <xf numFmtId="0" fontId="3" fillId="0" borderId="229" applyAlignment="1" pivotButton="0" quotePrefix="0" xfId="0">
      <alignment horizontal="center" vertical="center" wrapText="1"/>
    </xf>
    <xf numFmtId="0" fontId="3" fillId="0" borderId="1228" applyAlignment="1" pivotButton="0" quotePrefix="0" xfId="0">
      <alignment horizontal="center" vertical="center" wrapText="1"/>
    </xf>
    <xf numFmtId="0" fontId="3" fillId="0" borderId="1397" applyAlignment="1" pivotButton="0" quotePrefix="0" xfId="0">
      <alignment horizontal="center" vertical="center" wrapText="1"/>
    </xf>
    <xf numFmtId="1" fontId="2" fillId="3" borderId="783" applyAlignment="1" pivotButton="0" quotePrefix="0" xfId="0">
      <alignment horizontal="left"/>
    </xf>
    <xf numFmtId="49" fontId="3" fillId="0" borderId="954" applyAlignment="1" pivotButton="0" quotePrefix="0" xfId="0">
      <alignment horizontal="center"/>
    </xf>
    <xf numFmtId="49" fontId="3" fillId="0" borderId="951" applyAlignment="1" pivotButton="0" quotePrefix="0" xfId="0">
      <alignment horizontal="center"/>
    </xf>
    <xf numFmtId="0" fontId="2" fillId="0" borderId="0" applyAlignment="1" pivotButton="0" quotePrefix="0" xfId="0">
      <alignment horizontal="left" wrapText="1"/>
    </xf>
    <xf numFmtId="0" fontId="2" fillId="0" borderId="866" applyAlignment="1" pivotButton="0" quotePrefix="0" xfId="0">
      <alignment horizontal="left" wrapText="1"/>
    </xf>
    <xf numFmtId="0" fontId="3" fillId="0" borderId="1181" applyAlignment="1" pivotButton="0" quotePrefix="0" xfId="0">
      <alignment horizontal="center" vertical="center" wrapText="1"/>
    </xf>
    <xf numFmtId="0" fontId="3" fillId="0" borderId="1347" applyAlignment="1" pivotButton="0" quotePrefix="0" xfId="0">
      <alignment horizontal="center" vertical="center" wrapText="1"/>
    </xf>
    <xf numFmtId="0" fontId="3" fillId="0" borderId="1381" applyAlignment="1" pivotButton="0" quotePrefix="0" xfId="0">
      <alignment horizontal="center" vertical="center" wrapText="1"/>
    </xf>
    <xf numFmtId="0" fontId="3" fillId="0" borderId="1392" applyAlignment="1" pivotButton="0" quotePrefix="0" xfId="0">
      <alignment horizontal="center" vertical="center" wrapText="1"/>
    </xf>
    <xf numFmtId="0" fontId="3" fillId="0" borderId="898" applyAlignment="1" pivotButton="0" quotePrefix="0" xfId="0">
      <alignment horizontal="center" vertical="center" wrapText="1"/>
    </xf>
    <xf numFmtId="0" fontId="3" fillId="0" borderId="849" applyAlignment="1" pivotButton="0" quotePrefix="0" xfId="0">
      <alignment horizontal="center" vertical="center" wrapText="1"/>
    </xf>
    <xf numFmtId="0" fontId="2" fillId="0" borderId="783" applyAlignment="1" pivotButton="0" quotePrefix="0" xfId="0">
      <alignment horizontal="left" wrapText="1"/>
    </xf>
    <xf numFmtId="0" fontId="4" fillId="0" borderId="898" applyAlignment="1" pivotButton="0" quotePrefix="0" xfId="0">
      <alignment horizontal="center" vertical="center" wrapText="1"/>
    </xf>
    <xf numFmtId="0" fontId="4" fillId="0" borderId="849" applyAlignment="1" pivotButton="0" quotePrefix="0" xfId="0">
      <alignment horizontal="center" vertical="center" wrapText="1"/>
    </xf>
    <xf numFmtId="0" fontId="3" fillId="0" borderId="929" applyAlignment="1" pivotButton="0" quotePrefix="0" xfId="0">
      <alignment horizontal="center"/>
    </xf>
    <xf numFmtId="0" fontId="3" fillId="0" borderId="785" applyAlignment="1" pivotButton="0" quotePrefix="0" xfId="0">
      <alignment horizontal="center"/>
    </xf>
    <xf numFmtId="0" fontId="3" fillId="0" borderId="1426" applyAlignment="1" pivotButton="0" quotePrefix="0" xfId="0">
      <alignment horizontal="center" vertical="center" wrapText="1"/>
    </xf>
    <xf numFmtId="0" fontId="3" fillId="0" borderId="1389" applyAlignment="1" pivotButton="0" quotePrefix="0" xfId="0">
      <alignment horizontal="center" vertical="center" wrapText="1"/>
    </xf>
    <xf numFmtId="0" fontId="3" fillId="0" borderId="785" applyAlignment="1" pivotButton="0" quotePrefix="0" xfId="0">
      <alignment horizontal="center" vertical="center" wrapText="1"/>
    </xf>
    <xf numFmtId="0" fontId="0" fillId="0" borderId="898" applyAlignment="1" pivotButton="0" quotePrefix="0" xfId="0">
      <alignment horizontal="center" vertical="center" wrapText="1"/>
    </xf>
    <xf numFmtId="0" fontId="0" fillId="0" borderId="849" applyAlignment="1" pivotButton="0" quotePrefix="0" xfId="0">
      <alignment horizontal="center" vertical="center" wrapText="1"/>
    </xf>
    <xf numFmtId="0" fontId="2" fillId="5" borderId="783" applyAlignment="1" pivotButton="0" quotePrefix="0" xfId="0">
      <alignment horizontal="left" wrapText="1"/>
    </xf>
    <xf numFmtId="1" fontId="2" fillId="3" borderId="0" applyAlignment="1" pivotButton="0" quotePrefix="0" xfId="0">
      <alignment horizontal="left" vertical="center"/>
    </xf>
    <xf numFmtId="0" fontId="3" fillId="0" borderId="951" applyAlignment="1" pivotButton="0" quotePrefix="0" xfId="0">
      <alignment horizontal="center" vertical="center"/>
    </xf>
    <xf numFmtId="1" fontId="2" fillId="3" borderId="0" applyAlignment="1" pivotButton="0" quotePrefix="0" xfId="0">
      <alignment horizontal="left"/>
    </xf>
    <xf numFmtId="1" fontId="3" fillId="5" borderId="954" applyAlignment="1" pivotButton="0" quotePrefix="0" xfId="0">
      <alignment horizontal="center" vertical="center" wrapText="1"/>
    </xf>
    <xf numFmtId="1" fontId="3" fillId="0" borderId="876" applyAlignment="1" pivotButton="0" quotePrefix="0" xfId="0">
      <alignment horizontal="center" vertical="center"/>
    </xf>
    <xf numFmtId="1" fontId="3" fillId="0" borderId="906" applyAlignment="1" pivotButton="0" quotePrefix="0" xfId="0">
      <alignment horizontal="center" vertical="center"/>
    </xf>
    <xf numFmtId="1" fontId="3" fillId="0" borderId="793" applyAlignment="1" pivotButton="0" quotePrefix="0" xfId="0">
      <alignment horizontal="center" vertical="center"/>
    </xf>
    <xf numFmtId="1" fontId="3" fillId="0" borderId="868" applyAlignment="1" pivotButton="0" quotePrefix="0" xfId="0">
      <alignment horizontal="center" vertical="center" wrapText="1"/>
    </xf>
    <xf numFmtId="1" fontId="3" fillId="0" borderId="962" applyAlignment="1" pivotButton="0" quotePrefix="0" xfId="0">
      <alignment horizontal="center" vertical="center" wrapText="1"/>
    </xf>
    <xf numFmtId="1" fontId="2" fillId="3" borderId="0" applyAlignment="1" pivotButton="0" quotePrefix="0" xfId="0">
      <alignment horizontal="left" wrapText="1"/>
    </xf>
    <xf numFmtId="1" fontId="2" fillId="3" borderId="865" applyAlignment="1" pivotButton="0" quotePrefix="0" xfId="0">
      <alignment horizontal="left"/>
    </xf>
    <xf numFmtId="1" fontId="3" fillId="0" borderId="929" applyAlignment="1" pivotButton="0" quotePrefix="0" xfId="0">
      <alignment horizontal="center" wrapText="1"/>
    </xf>
    <xf numFmtId="1" fontId="3" fillId="0" borderId="785" applyAlignment="1" pivotButton="0" quotePrefix="0" xfId="0">
      <alignment horizontal="center" wrapText="1"/>
    </xf>
    <xf numFmtId="1" fontId="3" fillId="5" borderId="951" applyAlignment="1" pivotButton="0" quotePrefix="0" xfId="0">
      <alignment horizontal="center" vertical="center" wrapText="1"/>
    </xf>
    <xf numFmtId="1" fontId="3" fillId="0" borderId="1429" applyAlignment="1" pivotButton="0" quotePrefix="0" xfId="0">
      <alignment horizontal="center" vertical="center" wrapText="1"/>
    </xf>
    <xf numFmtId="1" fontId="3" fillId="0" borderId="1381" applyAlignment="1" pivotButton="0" quotePrefix="0" xfId="0">
      <alignment horizontal="center" vertical="center"/>
    </xf>
    <xf numFmtId="1" fontId="3" fillId="0" borderId="1392" applyAlignment="1" pivotButton="0" quotePrefix="0" xfId="0">
      <alignment horizontal="center" vertical="center"/>
    </xf>
    <xf numFmtId="1" fontId="3" fillId="0" borderId="1181" applyAlignment="1" pivotButton="0" quotePrefix="0" xfId="0">
      <alignment horizontal="center" vertical="center"/>
    </xf>
    <xf numFmtId="1" fontId="3" fillId="0" borderId="1347" applyAlignment="1" pivotButton="0" quotePrefix="0" xfId="0">
      <alignment horizontal="center" vertical="center"/>
    </xf>
    <xf numFmtId="0" fontId="3" fillId="0" borderId="886" applyAlignment="1" pivotButton="0" quotePrefix="0" xfId="0">
      <alignment horizontal="center" vertical="center" wrapText="1"/>
    </xf>
    <xf numFmtId="0" fontId="3" fillId="0" borderId="226" applyAlignment="1" pivotButton="0" quotePrefix="0" xfId="0">
      <alignment horizontal="center" vertical="center" wrapText="1"/>
    </xf>
    <xf numFmtId="1" fontId="3" fillId="0" borderId="898" applyAlignment="1" pivotButton="0" quotePrefix="0" xfId="6">
      <alignment horizontal="left" vertical="center"/>
    </xf>
    <xf numFmtId="1" fontId="3" fillId="0" borderId="849" applyAlignment="1" pivotButton="0" quotePrefix="0" xfId="6">
      <alignment horizontal="left" vertical="center"/>
    </xf>
    <xf numFmtId="1" fontId="3" fillId="0" borderId="1013" applyAlignment="1" pivotButton="0" quotePrefix="0" xfId="6">
      <alignment horizontal="left"/>
    </xf>
    <xf numFmtId="1" fontId="3" fillId="0" borderId="1017" applyAlignment="1" pivotButton="0" quotePrefix="0" xfId="6">
      <alignment horizontal="left"/>
    </xf>
    <xf numFmtId="0" fontId="7" fillId="5" borderId="1013" applyAlignment="1" pivotButton="0" quotePrefix="0" xfId="0">
      <alignment horizontal="center"/>
    </xf>
    <xf numFmtId="0" fontId="7" fillId="5" borderId="1014" applyAlignment="1" pivotButton="0" quotePrefix="0" xfId="0">
      <alignment horizontal="center"/>
    </xf>
    <xf numFmtId="0" fontId="7" fillId="5" borderId="1015" applyAlignment="1" pivotButton="0" quotePrefix="0" xfId="0">
      <alignment horizontal="center"/>
    </xf>
    <xf numFmtId="1" fontId="6" fillId="5" borderId="1013" applyAlignment="1" pivotButton="0" quotePrefix="0" xfId="0">
      <alignment horizontal="center"/>
    </xf>
    <xf numFmtId="1" fontId="6" fillId="5" borderId="1014" applyAlignment="1" pivotButton="0" quotePrefix="0" xfId="0">
      <alignment horizontal="center"/>
    </xf>
    <xf numFmtId="1" fontId="6" fillId="5" borderId="1017" applyAlignment="1" pivotButton="0" quotePrefix="0" xfId="0">
      <alignment horizontal="center"/>
    </xf>
    <xf numFmtId="1" fontId="3" fillId="0" borderId="1011" applyAlignment="1" pivotButton="0" quotePrefix="0" xfId="6">
      <alignment horizontal="center" vertical="center" wrapText="1"/>
    </xf>
    <xf numFmtId="1" fontId="3" fillId="0" borderId="783" applyAlignment="1" pivotButton="0" quotePrefix="0" xfId="6">
      <alignment horizontal="center" vertical="center" wrapText="1"/>
    </xf>
    <xf numFmtId="1" fontId="3" fillId="0" borderId="1021" applyAlignment="1" pivotButton="0" quotePrefix="0" xfId="6">
      <alignment horizontal="center" vertical="center" wrapText="1"/>
    </xf>
    <xf numFmtId="1" fontId="3" fillId="3" borderId="1021" applyAlignment="1" pivotButton="0" quotePrefix="0" xfId="0">
      <alignment horizontal="center" vertical="center" wrapText="1"/>
    </xf>
    <xf numFmtId="1" fontId="3" fillId="0" borderId="1021" applyAlignment="1" pivotButton="0" quotePrefix="0" xfId="0">
      <alignment horizontal="center" vertical="center" wrapText="1"/>
    </xf>
    <xf numFmtId="1" fontId="3" fillId="0" borderId="898" applyAlignment="1" pivotButton="0" quotePrefix="0" xfId="6">
      <alignment horizontal="left" vertical="center" wrapText="1"/>
    </xf>
    <xf numFmtId="1" fontId="3" fillId="0" borderId="849" applyAlignment="1" pivotButton="0" quotePrefix="0" xfId="6">
      <alignment horizontal="left" vertical="center" wrapText="1"/>
    </xf>
    <xf numFmtId="1" fontId="2" fillId="0" borderId="1060" pivotButton="0" quotePrefix="0" xfId="0"/>
    <xf numFmtId="1" fontId="2" fillId="0" borderId="1014" pivotButton="0" quotePrefix="0" xfId="0"/>
    <xf numFmtId="1" fontId="2" fillId="0" borderId="1061" pivotButton="0" quotePrefix="0" xfId="0"/>
    <xf numFmtId="1" fontId="3" fillId="0" borderId="1013" applyAlignment="1" pivotButton="0" quotePrefix="0" xfId="6">
      <alignment horizontal="left" wrapText="1"/>
    </xf>
    <xf numFmtId="1" fontId="3" fillId="0" borderId="1017" applyAlignment="1" pivotButton="0" quotePrefix="0" xfId="6">
      <alignment horizontal="left" wrapText="1"/>
    </xf>
    <xf numFmtId="1" fontId="3" fillId="0" borderId="1016" applyAlignment="1" pivotButton="0" quotePrefix="0" xfId="0">
      <alignment horizontal="center" vertical="center"/>
    </xf>
    <xf numFmtId="1" fontId="3" fillId="0" borderId="1017" applyAlignment="1" pivotButton="0" quotePrefix="0" xfId="0">
      <alignment horizontal="center" vertical="center"/>
    </xf>
    <xf numFmtId="1" fontId="3" fillId="0" borderId="1013" applyAlignment="1" pivotButton="0" quotePrefix="0" xfId="6">
      <alignment horizontal="center" vertical="center" wrapText="1"/>
    </xf>
    <xf numFmtId="1" fontId="3" fillId="0" borderId="1014" applyAlignment="1" pivotButton="0" quotePrefix="0" xfId="6">
      <alignment horizontal="center" vertical="center" wrapText="1"/>
    </xf>
    <xf numFmtId="1" fontId="3" fillId="0" borderId="1017" applyAlignment="1" pivotButton="0" quotePrefix="0" xfId="6">
      <alignment horizontal="center" vertical="center" wrapText="1"/>
    </xf>
    <xf numFmtId="1" fontId="2" fillId="0" borderId="1014" applyAlignment="1" pivotButton="0" quotePrefix="0" xfId="6">
      <alignment horizontal="left" wrapText="1"/>
    </xf>
    <xf numFmtId="1" fontId="3" fillId="0" borderId="898" applyAlignment="1" pivotButton="0" quotePrefix="0" xfId="6">
      <alignment horizontal="center" vertical="center"/>
    </xf>
    <xf numFmtId="1" fontId="3" fillId="0" borderId="849" applyAlignment="1" pivotButton="0" quotePrefix="0" xfId="6">
      <alignment horizontal="center" vertical="center"/>
    </xf>
    <xf numFmtId="1" fontId="3" fillId="0" borderId="1012" applyAlignment="1" pivotButton="0" quotePrefix="0" xfId="6">
      <alignment horizontal="center" vertical="center" wrapText="1"/>
    </xf>
    <xf numFmtId="1" fontId="3" fillId="0" borderId="546" applyAlignment="1" pivotButton="0" quotePrefix="0" xfId="6">
      <alignment horizontal="center" vertical="center" wrapText="1"/>
    </xf>
    <xf numFmtId="1" fontId="3" fillId="0" borderId="785" applyAlignment="1" pivotButton="0" quotePrefix="0" xfId="6">
      <alignment horizontal="center" vertical="center" wrapText="1"/>
    </xf>
    <xf numFmtId="1" fontId="3" fillId="0" borderId="888" applyAlignment="1" pivotButton="0" quotePrefix="0" xfId="6">
      <alignment horizontal="center" vertical="center" wrapText="1"/>
    </xf>
    <xf numFmtId="1" fontId="3" fillId="0" borderId="850" applyAlignment="1" pivotButton="0" quotePrefix="0" xfId="6">
      <alignment horizontal="center" vertical="center" wrapText="1"/>
    </xf>
    <xf numFmtId="1" fontId="3" fillId="0" borderId="1013" applyAlignment="1" pivotButton="0" quotePrefix="0" xfId="0">
      <alignment horizontal="center" vertical="center" wrapText="1"/>
    </xf>
    <xf numFmtId="1" fontId="3" fillId="0" borderId="1014" applyAlignment="1" pivotButton="0" quotePrefix="0" xfId="0">
      <alignment horizontal="center" vertical="center" wrapText="1"/>
    </xf>
    <xf numFmtId="1" fontId="3" fillId="0" borderId="1015" applyAlignment="1" pivotButton="0" quotePrefix="0" xfId="0">
      <alignment horizontal="center" vertical="center" wrapText="1"/>
    </xf>
    <xf numFmtId="1" fontId="3" fillId="5" borderId="1082" applyAlignment="1" applyProtection="1" pivotButton="0" quotePrefix="0" xfId="6">
      <alignment horizontal="center" vertical="center" wrapText="1"/>
      <protection locked="0" hidden="0"/>
    </xf>
    <xf numFmtId="1" fontId="3" fillId="0" borderId="1013" applyAlignment="1" pivotButton="0" quotePrefix="0" xfId="6">
      <alignment horizontal="center"/>
    </xf>
    <xf numFmtId="1" fontId="3" fillId="0" borderId="1017" applyAlignment="1" pivotButton="0" quotePrefix="0" xfId="6">
      <alignment horizontal="center"/>
    </xf>
    <xf numFmtId="1" fontId="3" fillId="0" borderId="1021" applyAlignment="1" pivotButton="0" quotePrefix="0" xfId="6">
      <alignment horizontal="center"/>
    </xf>
    <xf numFmtId="1" fontId="3" fillId="0" borderId="1032" applyAlignment="1" pivotButton="0" quotePrefix="0" xfId="6">
      <alignment horizontal="center"/>
    </xf>
    <xf numFmtId="1" fontId="3" fillId="5" borderId="1017" applyAlignment="1" applyProtection="1" pivotButton="0" quotePrefix="0" xfId="6">
      <alignment horizontal="center" vertical="center" wrapText="1"/>
      <protection locked="0" hidden="0"/>
    </xf>
    <xf numFmtId="1" fontId="3" fillId="0" borderId="1032" applyAlignment="1" pivotButton="0" quotePrefix="0" xfId="6">
      <alignment horizontal="center" vertical="center"/>
    </xf>
    <xf numFmtId="1" fontId="1" fillId="3" borderId="0" applyAlignment="1" pivotButton="0" quotePrefix="0" xfId="0">
      <alignment horizontal="center"/>
    </xf>
    <xf numFmtId="1" fontId="3" fillId="3" borderId="546" applyAlignment="1" pivotButton="0" quotePrefix="0" xfId="0">
      <alignment horizontal="center" vertical="center"/>
    </xf>
    <xf numFmtId="1" fontId="3" fillId="3" borderId="869" applyAlignment="1" pivotButton="0" quotePrefix="0" xfId="0">
      <alignment horizontal="center" vertical="center" wrapText="1"/>
    </xf>
    <xf numFmtId="1" fontId="3" fillId="3" borderId="247" applyAlignment="1" pivotButton="0" quotePrefix="0" xfId="0">
      <alignment horizontal="center" vertical="center" wrapText="1"/>
    </xf>
    <xf numFmtId="1" fontId="3" fillId="3" borderId="789" applyAlignment="1" pivotButton="0" quotePrefix="0" xfId="0">
      <alignment horizontal="center" vertical="center" wrapText="1"/>
    </xf>
    <xf numFmtId="1" fontId="3" fillId="3" borderId="886" applyAlignment="1" pivotButton="0" quotePrefix="0" xfId="0">
      <alignment horizontal="center" vertical="center" wrapText="1"/>
    </xf>
    <xf numFmtId="1" fontId="3" fillId="3" borderId="2" applyAlignment="1" pivotButton="0" quotePrefix="0" xfId="0">
      <alignment horizontal="center" vertical="center" wrapText="1"/>
    </xf>
    <xf numFmtId="1" fontId="3" fillId="3" borderId="226" applyAlignment="1" pivotButton="0" quotePrefix="0" xfId="0">
      <alignment horizontal="center" vertical="center" wrapText="1"/>
    </xf>
    <xf numFmtId="1" fontId="3" fillId="3" borderId="929" applyAlignment="1" pivotButton="0" quotePrefix="0" xfId="0">
      <alignment horizontal="center" vertical="center" wrapText="1"/>
    </xf>
    <xf numFmtId="1" fontId="4" fillId="3" borderId="888" applyAlignment="1" pivotButton="0" quotePrefix="0" xfId="0">
      <alignment horizontal="center" vertical="center"/>
    </xf>
    <xf numFmtId="1" fontId="4" fillId="3" borderId="865" applyAlignment="1" pivotButton="0" quotePrefix="0" xfId="0">
      <alignment horizontal="center" vertical="center"/>
    </xf>
    <xf numFmtId="1" fontId="4" fillId="3" borderId="906" applyAlignment="1" pivotButton="0" quotePrefix="0" xfId="0">
      <alignment horizontal="center" vertical="center"/>
    </xf>
    <xf numFmtId="1" fontId="3" fillId="0" borderId="999" applyAlignment="1" pivotButton="0" quotePrefix="0" xfId="6">
      <alignment horizontal="center" vertical="center" wrapText="1"/>
    </xf>
    <xf numFmtId="1" fontId="3" fillId="0" borderId="849" applyAlignment="1" pivotButton="0" quotePrefix="0" xfId="6">
      <alignment horizontal="center" vertical="center" wrapText="1"/>
    </xf>
    <xf numFmtId="1" fontId="3" fillId="0" borderId="1002" applyAlignment="1" pivotButton="0" quotePrefix="0" xfId="6">
      <alignment horizontal="left"/>
    </xf>
    <xf numFmtId="1" fontId="3" fillId="0" borderId="1022" applyAlignment="1" pivotButton="0" quotePrefix="0" xfId="6">
      <alignment horizontal="left"/>
    </xf>
    <xf numFmtId="1" fontId="3" fillId="0" borderId="1004" applyAlignment="1" pivotButton="0" quotePrefix="0" xfId="6">
      <alignment horizontal="left"/>
    </xf>
    <xf numFmtId="1" fontId="3" fillId="0" borderId="1023" applyAlignment="1" pivotButton="0" quotePrefix="0" xfId="6">
      <alignment horizontal="left"/>
    </xf>
    <xf numFmtId="1" fontId="3" fillId="0" borderId="407" applyAlignment="1" pivotButton="0" quotePrefix="0" xfId="6">
      <alignment horizontal="left"/>
    </xf>
    <xf numFmtId="1" fontId="3" fillId="0" borderId="378" applyAlignment="1" pivotButton="0" quotePrefix="0" xfId="6">
      <alignment horizontal="left"/>
    </xf>
    <xf numFmtId="0" fontId="0" fillId="0" borderId="1013" applyAlignment="1" pivotButton="0" quotePrefix="0" xfId="0">
      <alignment horizontal="center"/>
    </xf>
    <xf numFmtId="0" fontId="0" fillId="0" borderId="1017" applyAlignment="1" pivotButton="0" quotePrefix="0" xfId="0">
      <alignment horizontal="center"/>
    </xf>
    <xf numFmtId="1" fontId="3" fillId="0" borderId="1015" applyAlignment="1" pivotButton="0" quotePrefix="0" xfId="6">
      <alignment horizontal="center" vertical="center" wrapText="1"/>
    </xf>
    <xf numFmtId="1" fontId="4" fillId="3" borderId="866" applyAlignment="1" pivotButton="0" quotePrefix="0" xfId="0">
      <alignment horizontal="center" vertical="center"/>
    </xf>
    <xf numFmtId="1" fontId="4" fillId="3" borderId="951" applyAlignment="1" pivotButton="0" quotePrefix="0" xfId="0">
      <alignment horizontal="center" vertical="center"/>
    </xf>
    <xf numFmtId="1" fontId="3" fillId="3" borderId="865" applyAlignment="1" pivotButton="0" quotePrefix="0" xfId="0">
      <alignment horizontal="center" vertical="center" wrapText="1"/>
    </xf>
    <xf numFmtId="1" fontId="3" fillId="0" borderId="1016" applyAlignment="1" pivotButton="0" quotePrefix="0" xfId="6">
      <alignment horizontal="center" vertical="center"/>
    </xf>
    <xf numFmtId="1" fontId="3" fillId="0" borderId="1014" applyAlignment="1" pivotButton="0" quotePrefix="0" xfId="6">
      <alignment horizontal="center" vertical="center"/>
    </xf>
    <xf numFmtId="1" fontId="3" fillId="0" borderId="1017" applyAlignment="1" pivotButton="0" quotePrefix="0" xfId="6">
      <alignment horizontal="center" vertical="center"/>
    </xf>
    <xf numFmtId="1" fontId="3" fillId="0" borderId="1013" applyAlignment="1" pivotButton="0" quotePrefix="0" xfId="0">
      <alignment horizontal="center" vertical="center"/>
    </xf>
    <xf numFmtId="1" fontId="3" fillId="0" borderId="1013" applyAlignment="1" pivotButton="0" quotePrefix="0" xfId="0">
      <alignment horizontal="center"/>
    </xf>
    <xf numFmtId="1" fontId="3" fillId="0" borderId="1014" applyAlignment="1" pivotButton="0" quotePrefix="0" xfId="0">
      <alignment horizontal="center"/>
    </xf>
    <xf numFmtId="1" fontId="3" fillId="0" borderId="1017" applyAlignment="1" pivotButton="0" quotePrefix="0" xfId="0">
      <alignment horizontal="center"/>
    </xf>
    <xf numFmtId="1" fontId="3" fillId="3" borderId="1013" applyAlignment="1" pivotButton="0" quotePrefix="0" xfId="0">
      <alignment horizontal="center" vertical="center"/>
    </xf>
    <xf numFmtId="1" fontId="3" fillId="3" borderId="1014" applyAlignment="1" pivotButton="0" quotePrefix="0" xfId="0">
      <alignment horizontal="center" vertical="center"/>
    </xf>
    <xf numFmtId="1" fontId="3" fillId="3" borderId="1017" applyAlignment="1" pivotButton="0" quotePrefix="0" xfId="0">
      <alignment horizontal="center" vertical="center"/>
    </xf>
    <xf numFmtId="1" fontId="3" fillId="0" borderId="1014" applyAlignment="1" pivotButton="0" quotePrefix="0" xfId="0">
      <alignment horizontal="center" vertical="center"/>
    </xf>
    <xf numFmtId="1" fontId="3" fillId="0" borderId="1015" applyAlignment="1" pivotButton="0" quotePrefix="0" xfId="0">
      <alignment horizontal="center"/>
    </xf>
    <xf numFmtId="1" fontId="3" fillId="0" borderId="1092" applyAlignment="1" pivotButton="0" quotePrefix="0" xfId="0">
      <alignment horizontal="center" vertical="center"/>
    </xf>
    <xf numFmtId="1" fontId="3" fillId="3" borderId="1015" applyAlignment="1" pivotButton="0" quotePrefix="0" xfId="0">
      <alignment horizontal="center" vertical="center"/>
    </xf>
    <xf numFmtId="1" fontId="3" fillId="0" borderId="1091" applyAlignment="1" pivotButton="0" quotePrefix="0" xfId="0">
      <alignment horizontal="center"/>
    </xf>
    <xf numFmtId="1" fontId="3" fillId="0" borderId="1426" applyAlignment="1" pivotButton="0" quotePrefix="0" xfId="0">
      <alignment horizontal="center" vertical="center" wrapText="1"/>
    </xf>
    <xf numFmtId="0" fontId="3" fillId="0" borderId="1003" applyAlignment="1" pivotButton="0" quotePrefix="0" xfId="0">
      <alignment horizontal="left" vertical="center"/>
    </xf>
    <xf numFmtId="0" fontId="3" fillId="0" borderId="1074" applyAlignment="1" pivotButton="0" quotePrefix="0" xfId="0">
      <alignment horizontal="left" vertical="center"/>
    </xf>
    <xf numFmtId="0" fontId="3" fillId="0" borderId="888" applyAlignment="1" pivotButton="0" quotePrefix="0" xfId="0">
      <alignment horizontal="left" vertical="center"/>
    </xf>
    <xf numFmtId="0" fontId="3" fillId="0" borderId="929" applyAlignment="1" pivotButton="0" quotePrefix="0" xfId="0">
      <alignment horizontal="left" vertical="center"/>
    </xf>
    <xf numFmtId="0" fontId="3" fillId="0" borderId="850" applyAlignment="1" pivotButton="0" quotePrefix="0" xfId="0">
      <alignment horizontal="left" vertical="center"/>
    </xf>
    <xf numFmtId="0" fontId="3" fillId="0" borderId="785" applyAlignment="1" pivotButton="0" quotePrefix="0" xfId="0">
      <alignment horizontal="left" vertical="center"/>
    </xf>
    <xf numFmtId="1" fontId="3" fillId="0" borderId="1003" applyAlignment="1" pivotButton="0" quotePrefix="0" xfId="0">
      <alignment horizontal="left" vertical="center" wrapText="1"/>
    </xf>
    <xf numFmtId="1" fontId="3" fillId="0" borderId="1074" applyAlignment="1" pivotButton="0" quotePrefix="0" xfId="0">
      <alignment horizontal="left" vertical="center" wrapText="1"/>
    </xf>
    <xf numFmtId="1" fontId="3" fillId="0" borderId="1003" applyAlignment="1" pivotButton="0" quotePrefix="0" xfId="0">
      <alignment horizontal="center" vertical="center"/>
    </xf>
    <xf numFmtId="1" fontId="3" fillId="0" borderId="1085" applyAlignment="1" pivotButton="0" quotePrefix="0" xfId="0">
      <alignment horizontal="center" vertical="center"/>
    </xf>
    <xf numFmtId="1" fontId="3" fillId="0" borderId="1074" applyAlignment="1" pivotButton="0" quotePrefix="0" xfId="0">
      <alignment horizontal="center" vertical="center"/>
    </xf>
    <xf numFmtId="0" fontId="3" fillId="0" borderId="1021" applyAlignment="1" pivotButton="0" quotePrefix="0" xfId="0">
      <alignment horizontal="center" vertical="center" wrapText="1"/>
    </xf>
    <xf numFmtId="1" fontId="3" fillId="3" borderId="865" applyAlignment="1" pivotButton="0" quotePrefix="0" xfId="0">
      <alignment horizontal="center" vertical="center"/>
    </xf>
    <xf numFmtId="1" fontId="3" fillId="3" borderId="929" applyAlignment="1" pivotButton="0" quotePrefix="0" xfId="0">
      <alignment horizontal="center" vertical="center"/>
    </xf>
    <xf numFmtId="1" fontId="2" fillId="0" borderId="1014" applyAlignment="1" pivotButton="0" quotePrefix="0" xfId="0">
      <alignment horizontal="left"/>
    </xf>
    <xf numFmtId="1" fontId="3" fillId="3" borderId="1021" applyAlignment="1" pivotButton="0" quotePrefix="0" xfId="0">
      <alignment horizontal="center" vertical="center"/>
    </xf>
    <xf numFmtId="1" fontId="3" fillId="3" borderId="898" applyAlignment="1" pivotButton="0" quotePrefix="0" xfId="0">
      <alignment horizontal="left" vertical="center" wrapText="1"/>
    </xf>
    <xf numFmtId="1" fontId="2" fillId="0" borderId="865" applyAlignment="1" pivotButton="0" quotePrefix="0" xfId="0">
      <alignment horizontal="left"/>
    </xf>
    <xf numFmtId="1" fontId="3" fillId="3" borderId="0" applyAlignment="1" pivotButton="0" quotePrefix="0" xfId="0">
      <alignment horizontal="center" vertical="center"/>
    </xf>
    <xf numFmtId="1" fontId="3" fillId="3" borderId="850" applyAlignment="1" pivotButton="0" quotePrefix="0" xfId="0">
      <alignment horizontal="center" vertical="center"/>
    </xf>
    <xf numFmtId="1" fontId="3" fillId="3" borderId="1013" applyAlignment="1" pivotButton="0" quotePrefix="0" xfId="0">
      <alignment horizontal="center"/>
    </xf>
    <xf numFmtId="1" fontId="3" fillId="3" borderId="1017" applyAlignment="1" pivotButton="0" quotePrefix="0" xfId="0">
      <alignment horizontal="center"/>
    </xf>
    <xf numFmtId="1" fontId="2" fillId="0" borderId="0" applyAlignment="1" pivotButton="0" quotePrefix="0" xfId="0">
      <alignment horizontal="left"/>
    </xf>
    <xf numFmtId="1" fontId="3" fillId="3" borderId="1013" applyAlignment="1" pivotButton="0" quotePrefix="0" xfId="0">
      <alignment horizontal="center" vertical="center" wrapText="1"/>
    </xf>
    <xf numFmtId="1" fontId="3" fillId="3" borderId="1017" applyAlignment="1" pivotButton="0" quotePrefix="0" xfId="0">
      <alignment horizontal="center" vertical="center" wrapText="1"/>
    </xf>
    <xf numFmtId="1" fontId="3" fillId="3" borderId="1003" applyAlignment="1" pivotButton="0" quotePrefix="0" xfId="0">
      <alignment horizontal="left" vertical="center" wrapText="1"/>
    </xf>
    <xf numFmtId="1" fontId="3" fillId="3" borderId="1085" applyAlignment="1" pivotButton="0" quotePrefix="0" xfId="0">
      <alignment horizontal="left" vertical="center" wrapText="1"/>
    </xf>
    <xf numFmtId="1" fontId="3" fillId="3" borderId="1074" applyAlignment="1" pivotButton="0" quotePrefix="0" xfId="0">
      <alignment horizontal="left" vertical="center" wrapText="1"/>
    </xf>
    <xf numFmtId="1" fontId="3" fillId="0" borderId="1015" applyAlignment="1" pivotButton="0" quotePrefix="0" xfId="0">
      <alignment horizontal="center" vertical="center"/>
    </xf>
    <xf numFmtId="1" fontId="3" fillId="0" borderId="1021" applyAlignment="1" pivotButton="0" quotePrefix="0" xfId="0">
      <alignment horizontal="center" vertical="center"/>
    </xf>
    <xf numFmtId="1" fontId="3" fillId="0" borderId="1094" applyAlignment="1" pivotButton="0" quotePrefix="0" xfId="0">
      <alignment horizontal="left" vertical="center" wrapText="1"/>
    </xf>
    <xf numFmtId="1" fontId="3" fillId="0" borderId="1081" applyAlignment="1" pivotButton="0" quotePrefix="0" xfId="0">
      <alignment horizontal="left" vertical="center" wrapText="1"/>
    </xf>
    <xf numFmtId="1" fontId="3" fillId="0" borderId="1107" applyAlignment="1" pivotButton="0" quotePrefix="0" xfId="0">
      <alignment horizontal="left" vertical="center"/>
    </xf>
    <xf numFmtId="1" fontId="3" fillId="0" borderId="1002" applyAlignment="1" pivotButton="0" quotePrefix="0" xfId="0">
      <alignment horizontal="left" vertical="center" wrapText="1"/>
    </xf>
    <xf numFmtId="1" fontId="3" fillId="0" borderId="1022" applyAlignment="1" pivotButton="0" quotePrefix="0" xfId="0">
      <alignment horizontal="left" vertical="center" wrapText="1"/>
    </xf>
    <xf numFmtId="1" fontId="3" fillId="0" borderId="1017" applyAlignment="1" pivotButton="0" quotePrefix="0" xfId="0">
      <alignment horizontal="center" vertical="center" wrapText="1"/>
    </xf>
    <xf numFmtId="1" fontId="3" fillId="0" borderId="929" applyAlignment="1" pivotButton="0" quotePrefix="0" xfId="14">
      <alignment horizontal="center" vertical="center" wrapText="1"/>
    </xf>
    <xf numFmtId="1" fontId="3" fillId="0" borderId="546" applyAlignment="1" pivotButton="0" quotePrefix="0" xfId="14">
      <alignment horizontal="center" vertical="center" wrapText="1"/>
    </xf>
    <xf numFmtId="1" fontId="3" fillId="0" borderId="785" applyAlignment="1" pivotButton="0" quotePrefix="0" xfId="14">
      <alignment horizontal="center" vertical="center" wrapText="1"/>
    </xf>
    <xf numFmtId="1" fontId="3" fillId="0" borderId="888" applyAlignment="1" pivotButton="0" quotePrefix="0" xfId="14">
      <alignment horizontal="center" vertical="center" wrapText="1"/>
    </xf>
    <xf numFmtId="1" fontId="3" fillId="0" borderId="865" applyAlignment="1" pivotButton="0" quotePrefix="0" xfId="14">
      <alignment horizontal="center" vertical="center" wrapText="1"/>
    </xf>
    <xf numFmtId="1" fontId="3" fillId="0" borderId="850" applyAlignment="1" pivotButton="0" quotePrefix="0" xfId="14">
      <alignment horizontal="center" vertical="center" wrapText="1"/>
    </xf>
    <xf numFmtId="1" fontId="3" fillId="0" borderId="783" applyAlignment="1" pivotButton="0" quotePrefix="0" xfId="14">
      <alignment horizontal="center" vertical="center" wrapText="1"/>
    </xf>
    <xf numFmtId="1" fontId="3" fillId="0" borderId="865" applyAlignment="1" applyProtection="1" pivotButton="0" quotePrefix="1" xfId="14">
      <alignment horizontal="center" vertical="center"/>
      <protection locked="1" hidden="1"/>
    </xf>
    <xf numFmtId="1" fontId="3" fillId="0" borderId="929" applyAlignment="1" applyProtection="1" pivotButton="0" quotePrefix="1" xfId="14">
      <alignment horizontal="center" vertical="center"/>
      <protection locked="1" hidden="1"/>
    </xf>
    <xf numFmtId="1" fontId="3" fillId="0" borderId="783" applyAlignment="1" applyProtection="1" pivotButton="0" quotePrefix="1" xfId="14">
      <alignment horizontal="center" vertical="center"/>
      <protection locked="1" hidden="1"/>
    </xf>
    <xf numFmtId="1" fontId="3" fillId="0" borderId="785" applyAlignment="1" applyProtection="1" pivotButton="0" quotePrefix="1" xfId="14">
      <alignment horizontal="center" vertical="center"/>
      <protection locked="1" hidden="1"/>
    </xf>
    <xf numFmtId="1" fontId="3" fillId="0" borderId="898" applyAlignment="1" pivotButton="0" quotePrefix="0" xfId="0">
      <alignment horizontal="left" vertical="center"/>
    </xf>
    <xf numFmtId="1" fontId="3" fillId="0" borderId="281" applyAlignment="1" pivotButton="0" quotePrefix="0" xfId="0">
      <alignment horizontal="left" vertical="center"/>
    </xf>
    <xf numFmtId="1" fontId="3" fillId="0" borderId="849" applyAlignment="1" pivotButton="0" quotePrefix="0" xfId="0">
      <alignment horizontal="left" vertical="center"/>
    </xf>
    <xf numFmtId="1" fontId="3" fillId="0" borderId="1002" applyAlignment="1" pivotButton="0" quotePrefix="0" xfId="0">
      <alignment horizontal="left" vertical="center"/>
    </xf>
    <xf numFmtId="1" fontId="3" fillId="0" borderId="1022" applyAlignment="1" pivotButton="0" quotePrefix="0" xfId="0">
      <alignment horizontal="left" vertical="center"/>
    </xf>
    <xf numFmtId="1" fontId="3" fillId="0" borderId="1094" applyAlignment="1" pivotButton="0" quotePrefix="0" xfId="0">
      <alignment horizontal="left" vertical="center"/>
    </xf>
    <xf numFmtId="1" fontId="3" fillId="0" borderId="1081" applyAlignment="1" pivotButton="0" quotePrefix="0" xfId="0">
      <alignment horizontal="left" vertical="center"/>
    </xf>
    <xf numFmtId="1" fontId="3" fillId="0" borderId="1087" applyAlignment="1" pivotButton="0" quotePrefix="0" xfId="0">
      <alignment horizontal="left" vertical="center"/>
    </xf>
    <xf numFmtId="1" fontId="3" fillId="3" borderId="1014" applyAlignment="1" pivotButton="0" quotePrefix="0" xfId="0">
      <alignment horizontal="center"/>
    </xf>
    <xf numFmtId="1" fontId="3" fillId="3" borderId="1091" applyAlignment="1" pivotButton="0" quotePrefix="0" xfId="0">
      <alignment horizontal="center"/>
    </xf>
    <xf numFmtId="1" fontId="3" fillId="3" borderId="245" applyAlignment="1" pivotButton="0" quotePrefix="0" xfId="0">
      <alignment horizontal="center" vertical="center"/>
    </xf>
    <xf numFmtId="1" fontId="5" fillId="5" borderId="898" applyAlignment="1" pivotButton="0" quotePrefix="0" xfId="0">
      <alignment horizontal="center" vertical="center"/>
    </xf>
    <xf numFmtId="1" fontId="5" fillId="3" borderId="1017" applyAlignment="1" pivotButton="0" quotePrefix="0" xfId="0">
      <alignment horizontal="center" vertical="center" wrapText="1"/>
    </xf>
    <xf numFmtId="1" fontId="5" fillId="3" borderId="1021" applyAlignment="1" pivotButton="0" quotePrefix="0" xfId="0">
      <alignment horizontal="center" vertical="center" wrapText="1"/>
    </xf>
    <xf numFmtId="1" fontId="5" fillId="5" borderId="1021" applyAlignment="1" pivotButton="0" quotePrefix="0" xfId="0">
      <alignment horizontal="center" vertical="center"/>
    </xf>
    <xf numFmtId="1" fontId="5" fillId="5" borderId="898" applyAlignment="1" pivotButton="0" quotePrefix="0" xfId="0">
      <alignment horizontal="left" vertical="center" wrapText="1"/>
    </xf>
    <xf numFmtId="1" fontId="5" fillId="5" borderId="849" applyAlignment="1" pivotButton="0" quotePrefix="0" xfId="0">
      <alignment horizontal="left" vertical="center" wrapText="1"/>
    </xf>
    <xf numFmtId="1" fontId="5" fillId="5" borderId="281" applyAlignment="1" pivotButton="0" quotePrefix="0" xfId="0">
      <alignment horizontal="left" vertical="center" wrapText="1"/>
    </xf>
    <xf numFmtId="1" fontId="5" fillId="0" borderId="929" applyAlignment="1" pivotButton="0" quotePrefix="0" xfId="0">
      <alignment horizontal="center" vertical="center"/>
    </xf>
    <xf numFmtId="1" fontId="5" fillId="0" borderId="898" applyAlignment="1" pivotButton="0" quotePrefix="0" xfId="0">
      <alignment horizontal="center" vertical="center" wrapText="1"/>
    </xf>
    <xf numFmtId="1" fontId="5" fillId="0" borderId="850" applyAlignment="1" pivotButton="0" quotePrefix="0" xfId="0">
      <alignment horizontal="center" vertical="center" wrapText="1"/>
    </xf>
    <xf numFmtId="0" fontId="5" fillId="0" borderId="1013" applyAlignment="1" pivotButton="0" quotePrefix="0" xfId="0">
      <alignment horizontal="center" vertical="center"/>
    </xf>
    <xf numFmtId="0" fontId="5" fillId="0" borderId="1014" applyAlignment="1" pivotButton="0" quotePrefix="0" xfId="0">
      <alignment horizontal="center" vertical="center"/>
    </xf>
    <xf numFmtId="0" fontId="5" fillId="0" borderId="1015" applyAlignment="1" pivotButton="0" quotePrefix="0" xfId="0">
      <alignment horizontal="center" vertical="center"/>
    </xf>
    <xf numFmtId="0" fontId="5" fillId="0" borderId="865" applyAlignment="1" pivotButton="0" quotePrefix="0" xfId="0">
      <alignment horizontal="center" vertical="center" wrapText="1"/>
    </xf>
    <xf numFmtId="0" fontId="5" fillId="0" borderId="783" applyAlignment="1" pivotButton="0" quotePrefix="0" xfId="0">
      <alignment horizontal="center" vertical="center" wrapText="1"/>
    </xf>
    <xf numFmtId="0" fontId="5" fillId="0" borderId="898" applyAlignment="1" pivotButton="0" quotePrefix="0" xfId="0">
      <alignment horizontal="center" vertical="center"/>
    </xf>
    <xf numFmtId="0" fontId="5" fillId="0" borderId="849" applyAlignment="1" pivotButton="0" quotePrefix="0" xfId="0">
      <alignment horizontal="center" vertical="center"/>
    </xf>
    <xf numFmtId="0" fontId="5" fillId="0" borderId="898" applyAlignment="1" pivotButton="0" quotePrefix="0" xfId="0">
      <alignment horizontal="center" vertical="center" wrapText="1"/>
    </xf>
    <xf numFmtId="1" fontId="5" fillId="0" borderId="1013" applyAlignment="1" pivotButton="0" quotePrefix="0" xfId="0">
      <alignment horizontal="left" vertical="center" wrapText="1"/>
    </xf>
    <xf numFmtId="1" fontId="5" fillId="0" borderId="1017" applyAlignment="1" pivotButton="0" quotePrefix="0" xfId="0">
      <alignment horizontal="left" vertical="center" wrapText="1"/>
    </xf>
    <xf numFmtId="1" fontId="14" fillId="0" borderId="1119" applyAlignment="1" pivotButton="0" quotePrefix="0" xfId="0">
      <alignment horizontal="left" wrapText="1"/>
    </xf>
    <xf numFmtId="1" fontId="14" fillId="0" borderId="783" applyAlignment="1" pivotButton="0" quotePrefix="0" xfId="0">
      <alignment horizontal="left" wrapText="1"/>
    </xf>
    <xf numFmtId="1" fontId="5" fillId="0" borderId="1120" applyAlignment="1" pivotButton="0" quotePrefix="0" xfId="0">
      <alignment horizontal="center" vertical="center"/>
    </xf>
    <xf numFmtId="1" fontId="5" fillId="0" borderId="1013" applyAlignment="1" pivotButton="0" quotePrefix="0" xfId="0">
      <alignment horizontal="center" vertical="center" wrapText="1"/>
    </xf>
    <xf numFmtId="1" fontId="5" fillId="0" borderId="1014" applyAlignment="1" pivotButton="0" quotePrefix="0" xfId="0">
      <alignment horizontal="center" vertical="center" wrapText="1"/>
    </xf>
    <xf numFmtId="1" fontId="5" fillId="0" borderId="1017" applyAlignment="1" pivotButton="0" quotePrefix="0" xfId="0">
      <alignment horizontal="center" vertical="center" wrapText="1"/>
    </xf>
    <xf numFmtId="1" fontId="5" fillId="3" borderId="898" applyAlignment="1" pivotButton="0" quotePrefix="0" xfId="0">
      <alignment horizontal="center" vertical="center" wrapText="1"/>
    </xf>
    <xf numFmtId="1" fontId="5" fillId="3" borderId="1120" applyAlignment="1" pivotButton="0" quotePrefix="0" xfId="0">
      <alignment horizontal="center" vertical="center" wrapText="1"/>
    </xf>
    <xf numFmtId="1" fontId="5" fillId="5" borderId="1013" applyAlignment="1" pivotButton="0" quotePrefix="0" xfId="0">
      <alignment horizontal="center" vertical="center" wrapText="1"/>
    </xf>
    <xf numFmtId="1" fontId="5" fillId="5" borderId="1014" applyAlignment="1" pivotButton="0" quotePrefix="0" xfId="0">
      <alignment horizontal="center" vertical="center" wrapText="1"/>
    </xf>
    <xf numFmtId="1" fontId="5" fillId="5" borderId="1017" applyAlignment="1" pivotButton="0" quotePrefix="0" xfId="0">
      <alignment horizontal="center" vertical="center" wrapText="1"/>
    </xf>
    <xf numFmtId="1" fontId="16" fillId="0" borderId="865" applyAlignment="1" pivotButton="0" quotePrefix="0" xfId="0">
      <alignment horizontal="left" wrapText="1"/>
    </xf>
    <xf numFmtId="1" fontId="5" fillId="0" borderId="898" applyAlignment="1" pivotButton="0" quotePrefix="0" xfId="0">
      <alignment horizontal="center" vertical="center"/>
    </xf>
    <xf numFmtId="1" fontId="5" fillId="0" borderId="1015" applyAlignment="1" pivotButton="0" quotePrefix="0" xfId="0">
      <alignment horizontal="center" vertical="center" wrapText="1"/>
    </xf>
    <xf numFmtId="1" fontId="5" fillId="0" borderId="929" applyAlignment="1" pivotButton="0" quotePrefix="0" xfId="0">
      <alignment horizontal="center" vertical="center" wrapText="1"/>
    </xf>
    <xf numFmtId="1" fontId="5" fillId="0" borderId="1013" applyAlignment="1" pivotButton="0" quotePrefix="0" xfId="0">
      <alignment horizontal="left" wrapText="1"/>
    </xf>
    <xf numFmtId="1" fontId="5" fillId="0" borderId="1017" applyAlignment="1" pivotButton="0" quotePrefix="0" xfId="0">
      <alignment horizontal="left" wrapText="1"/>
    </xf>
    <xf numFmtId="1" fontId="5" fillId="0" borderId="1021" applyAlignment="1" pivotButton="0" quotePrefix="0" xfId="0">
      <alignment horizontal="center" vertical="center"/>
    </xf>
    <xf numFmtId="1" fontId="5" fillId="3" borderId="1013" applyAlignment="1" pivotButton="0" quotePrefix="0" xfId="0">
      <alignment horizontal="center" vertical="center" wrapText="1"/>
    </xf>
    <xf numFmtId="1" fontId="5" fillId="3" borderId="1021" applyAlignment="1" pivotButton="0" quotePrefix="0" xfId="0">
      <alignment horizontal="center" vertical="center"/>
    </xf>
    <xf numFmtId="1" fontId="5" fillId="0" borderId="1392" applyAlignment="1" pivotButton="0" quotePrefix="0" xfId="0">
      <alignment horizontal="center" vertical="center"/>
    </xf>
    <xf numFmtId="1" fontId="5" fillId="0" borderId="906" applyAlignment="1" pivotButton="0" quotePrefix="0" xfId="0">
      <alignment horizontal="center" vertical="center" wrapText="1"/>
    </xf>
    <xf numFmtId="1" fontId="5" fillId="0" borderId="6" applyAlignment="1" pivotButton="0" quotePrefix="0" xfId="0">
      <alignment horizontal="center" vertical="center" wrapText="1"/>
    </xf>
    <xf numFmtId="1" fontId="5" fillId="0" borderId="799" applyAlignment="1" pivotButton="0" quotePrefix="0" xfId="0">
      <alignment horizontal="center" vertical="center" wrapText="1"/>
    </xf>
    <xf numFmtId="0" fontId="5" fillId="0" borderId="876" applyAlignment="1" pivotButton="0" quotePrefix="0" xfId="0">
      <alignment horizontal="center" vertical="center"/>
    </xf>
    <xf numFmtId="0" fontId="5" fillId="0" borderId="929" applyAlignment="1" pivotButton="0" quotePrefix="0" xfId="0">
      <alignment horizontal="center" vertical="center"/>
    </xf>
    <xf numFmtId="0" fontId="5" fillId="0" borderId="793" applyAlignment="1" pivotButton="0" quotePrefix="0" xfId="0">
      <alignment horizontal="center" vertical="center"/>
    </xf>
    <xf numFmtId="0" fontId="5" fillId="0" borderId="785" applyAlignment="1" pivotButton="0" quotePrefix="0" xfId="0">
      <alignment horizontal="center" vertical="center"/>
    </xf>
    <xf numFmtId="1" fontId="5" fillId="5" borderId="1016" applyAlignment="1" pivotButton="0" quotePrefix="0" xfId="0">
      <alignment horizontal="center" vertical="center" wrapText="1"/>
    </xf>
    <xf numFmtId="1" fontId="5" fillId="5" borderId="1015" applyAlignment="1" pivotButton="0" quotePrefix="0" xfId="0">
      <alignment horizontal="center" vertical="center" wrapText="1"/>
    </xf>
    <xf numFmtId="1" fontId="5" fillId="0" borderId="1107" applyAlignment="1" pivotButton="0" quotePrefix="0" xfId="0">
      <alignment horizontal="left" vertical="center"/>
    </xf>
    <xf numFmtId="1" fontId="5" fillId="3" borderId="1013" applyAlignment="1" pivotButton="0" quotePrefix="0" xfId="0">
      <alignment horizontal="left" vertical="center"/>
    </xf>
    <xf numFmtId="1" fontId="5" fillId="3" borderId="1017" applyAlignment="1" pivotButton="0" quotePrefix="0" xfId="0">
      <alignment horizontal="left" vertical="center"/>
    </xf>
    <xf numFmtId="1" fontId="5" fillId="0" borderId="1002" applyAlignment="1" pivotButton="0" quotePrefix="0" xfId="0">
      <alignment horizontal="left" vertical="center"/>
    </xf>
    <xf numFmtId="1" fontId="5" fillId="0" borderId="1022" applyAlignment="1" pivotButton="0" quotePrefix="0" xfId="0">
      <alignment horizontal="left" vertical="center"/>
    </xf>
    <xf numFmtId="1" fontId="5" fillId="0" borderId="1094" applyAlignment="1" pivotButton="0" quotePrefix="0" xfId="0">
      <alignment horizontal="left" vertical="center"/>
    </xf>
    <xf numFmtId="1" fontId="5" fillId="0" borderId="1081" applyAlignment="1" pivotButton="0" quotePrefix="0" xfId="0">
      <alignment horizontal="left" vertical="center"/>
    </xf>
    <xf numFmtId="1" fontId="5" fillId="0" borderId="885" applyAlignment="1" pivotButton="0" quotePrefix="0" xfId="0">
      <alignment horizontal="center" vertical="center" wrapText="1"/>
    </xf>
    <xf numFmtId="1" fontId="5" fillId="0" borderId="886" applyAlignment="1" pivotButton="0" quotePrefix="0" xfId="0">
      <alignment horizontal="center" vertical="center" wrapText="1"/>
    </xf>
    <xf numFmtId="1" fontId="5" fillId="0" borderId="865" applyAlignment="1" pivotButton="0" quotePrefix="0" xfId="0">
      <alignment horizontal="center" vertical="center" wrapText="1"/>
    </xf>
    <xf numFmtId="1" fontId="5" fillId="0" borderId="1426" applyAlignment="1" pivotButton="0" quotePrefix="0" xfId="0">
      <alignment horizontal="center" vertical="center" wrapText="1"/>
    </xf>
    <xf numFmtId="1" fontId="5" fillId="0" borderId="1389" applyAlignment="1" pivotButton="0" quotePrefix="0" xfId="0">
      <alignment horizontal="center" vertical="center" wrapText="1"/>
    </xf>
    <xf numFmtId="1" fontId="5" fillId="0" borderId="1013" applyAlignment="1" pivotButton="0" quotePrefix="0" xfId="0">
      <alignment horizontal="center" vertical="center"/>
    </xf>
    <xf numFmtId="1" fontId="5" fillId="0" borderId="1017" applyAlignment="1" pivotButton="0" quotePrefix="0" xfId="0">
      <alignment horizontal="center" vertical="center"/>
    </xf>
    <xf numFmtId="1" fontId="5" fillId="0" borderId="888" applyAlignment="1" pivotButton="0" quotePrefix="0" xfId="0">
      <alignment horizontal="center" vertical="center" wrapText="1"/>
    </xf>
    <xf numFmtId="1" fontId="5" fillId="0" borderId="888" applyAlignment="1" pivotButton="0" quotePrefix="0" xfId="0">
      <alignment horizontal="center" vertical="center"/>
    </xf>
    <xf numFmtId="1" fontId="5" fillId="0" borderId="850" applyAlignment="1" pivotButton="0" quotePrefix="0" xfId="0">
      <alignment horizontal="center" vertical="center"/>
    </xf>
    <xf numFmtId="1" fontId="5" fillId="3" borderId="1014" applyAlignment="1" pivotButton="0" quotePrefix="0" xfId="0">
      <alignment horizontal="center" vertical="center" wrapText="1"/>
    </xf>
    <xf numFmtId="1" fontId="5" fillId="0" borderId="1021" applyAlignment="1" pivotButton="0" quotePrefix="0" xfId="0">
      <alignment horizontal="center" vertical="center" wrapText="1"/>
    </xf>
    <xf numFmtId="1" fontId="5" fillId="0" borderId="899" applyAlignment="1" pivotButton="0" quotePrefix="0" xfId="0">
      <alignment horizontal="center" vertical="center" wrapText="1"/>
    </xf>
    <xf numFmtId="1" fontId="5" fillId="0" borderId="890" applyAlignment="1" pivotButton="0" quotePrefix="0" xfId="0">
      <alignment horizontal="center" vertical="center" wrapText="1"/>
    </xf>
    <xf numFmtId="1" fontId="5" fillId="3" borderId="886" applyAlignment="1" pivotButton="0" quotePrefix="0" xfId="0">
      <alignment horizontal="center" vertical="center" wrapText="1"/>
    </xf>
    <xf numFmtId="1" fontId="5" fillId="3" borderId="226" applyAlignment="1" pivotButton="0" quotePrefix="0" xfId="0">
      <alignment horizontal="center" vertical="center" wrapText="1"/>
    </xf>
    <xf numFmtId="1" fontId="5" fillId="0" borderId="897" applyAlignment="1" pivotButton="0" quotePrefix="0" xfId="0">
      <alignment horizontal="center" vertical="center" wrapText="1"/>
    </xf>
    <xf numFmtId="1" fontId="5" fillId="3" borderId="890" applyAlignment="1" pivotButton="0" quotePrefix="0" xfId="0">
      <alignment horizontal="center" vertical="center" wrapText="1"/>
    </xf>
    <xf numFmtId="1" fontId="5" fillId="3" borderId="788" applyAlignment="1" pivotButton="0" quotePrefix="0" xfId="0">
      <alignment horizontal="center" vertical="center" wrapText="1"/>
    </xf>
    <xf numFmtId="1" fontId="5" fillId="3" borderId="929" applyAlignment="1" pivotButton="0" quotePrefix="0" xfId="0">
      <alignment horizontal="center" vertical="center" wrapText="1"/>
    </xf>
    <xf numFmtId="1" fontId="5" fillId="0" borderId="1002" applyAlignment="1" pivotButton="0" quotePrefix="0" xfId="0">
      <alignment horizontal="left" vertical="center" wrapText="1"/>
    </xf>
    <xf numFmtId="1" fontId="5" fillId="0" borderId="1022" applyAlignment="1" pivotButton="0" quotePrefix="0" xfId="0">
      <alignment horizontal="left" vertical="center" wrapText="1"/>
    </xf>
    <xf numFmtId="1" fontId="5" fillId="0" borderId="412" applyAlignment="1" pivotButton="0" quotePrefix="0" xfId="0">
      <alignment horizontal="left" vertical="center" wrapText="1"/>
    </xf>
    <xf numFmtId="1" fontId="5" fillId="0" borderId="406" applyAlignment="1" pivotButton="0" quotePrefix="0" xfId="0">
      <alignment horizontal="left" vertical="center" wrapText="1"/>
    </xf>
    <xf numFmtId="1" fontId="5" fillId="0" borderId="898" applyAlignment="1" pivotButton="0" quotePrefix="0" xfId="0">
      <alignment horizontal="left" vertical="center"/>
    </xf>
    <xf numFmtId="1" fontId="5" fillId="0" borderId="849" applyAlignment="1" pivotButton="0" quotePrefix="0" xfId="0">
      <alignment horizontal="left" vertical="center"/>
    </xf>
    <xf numFmtId="1" fontId="5" fillId="5" borderId="1013" applyAlignment="1" pivotButton="0" quotePrefix="0" xfId="0">
      <alignment horizontal="left" vertical="center" wrapText="1"/>
    </xf>
    <xf numFmtId="1" fontId="5" fillId="5" borderId="1017" applyAlignment="1" pivotButton="0" quotePrefix="0" xfId="0">
      <alignment horizontal="left" vertical="center" wrapText="1"/>
    </xf>
    <xf numFmtId="1" fontId="5" fillId="0" borderId="898" applyAlignment="1" pivotButton="0" quotePrefix="0" xfId="0">
      <alignment horizontal="left" vertical="center" wrapText="1"/>
    </xf>
    <xf numFmtId="1" fontId="5" fillId="3" borderId="1013" applyAlignment="1" pivotButton="0" quotePrefix="0" xfId="0">
      <alignment horizontal="left" vertical="center" wrapText="1"/>
    </xf>
    <xf numFmtId="1" fontId="5" fillId="3" borderId="1017" applyAlignment="1" pivotButton="0" quotePrefix="0" xfId="0">
      <alignment horizontal="left" vertical="center" wrapText="1"/>
    </xf>
    <xf numFmtId="1" fontId="5" fillId="5" borderId="1013" applyAlignment="1" pivotButton="0" quotePrefix="0" xfId="0">
      <alignment horizontal="center" vertical="center"/>
    </xf>
    <xf numFmtId="1" fontId="5" fillId="5" borderId="1017" applyAlignment="1" pivotButton="0" quotePrefix="0" xfId="0">
      <alignment horizontal="center" vertical="center"/>
    </xf>
    <xf numFmtId="1" fontId="5" fillId="5" borderId="888" applyAlignment="1" pivotButton="0" quotePrefix="0" xfId="0">
      <alignment horizontal="left" vertical="center" wrapText="1"/>
    </xf>
    <xf numFmtId="1" fontId="5" fillId="5" borderId="850" applyAlignment="1" pivotButton="0" quotePrefix="0" xfId="0">
      <alignment horizontal="left" vertical="center" wrapText="1"/>
    </xf>
    <xf numFmtId="1" fontId="5" fillId="5" borderId="849" applyAlignment="1" pivotButton="0" quotePrefix="0" xfId="0">
      <alignment horizontal="left" vertical="center"/>
    </xf>
    <xf numFmtId="1" fontId="5" fillId="5" borderId="888" applyAlignment="1" pivotButton="0" quotePrefix="0" xfId="0">
      <alignment horizontal="center" vertical="center"/>
    </xf>
    <xf numFmtId="1" fontId="5" fillId="5" borderId="929" applyAlignment="1" pivotButton="0" quotePrefix="0" xfId="0">
      <alignment horizontal="center" vertical="center"/>
    </xf>
    <xf numFmtId="1" fontId="5" fillId="5" borderId="850" applyAlignment="1" pivotButton="0" quotePrefix="0" xfId="0">
      <alignment horizontal="center" vertical="center"/>
    </xf>
    <xf numFmtId="1" fontId="5" fillId="5" borderId="785" applyAlignment="1" pivotButton="0" quotePrefix="0" xfId="0">
      <alignment horizontal="center" vertical="center"/>
    </xf>
    <xf numFmtId="1" fontId="5" fillId="0" borderId="333" applyAlignment="1" pivotButton="0" quotePrefix="0" xfId="0">
      <alignment horizontal="center" vertical="center" wrapText="1"/>
    </xf>
    <xf numFmtId="1" fontId="5" fillId="0" borderId="1113" applyAlignment="1" pivotButton="0" quotePrefix="0" xfId="0">
      <alignment horizontal="center" vertical="center" wrapText="1"/>
    </xf>
    <xf numFmtId="1" fontId="58" fillId="3" borderId="367" applyAlignment="1" pivotButton="0" quotePrefix="0" xfId="0">
      <alignment horizontal="center" vertical="center"/>
    </xf>
    <xf numFmtId="1" fontId="58" fillId="3" borderId="1195" applyAlignment="1" pivotButton="0" quotePrefix="0" xfId="0">
      <alignment horizontal="center" vertical="center"/>
    </xf>
    <xf numFmtId="1" fontId="58" fillId="3" borderId="1290" applyAlignment="1" pivotButton="0" quotePrefix="0" xfId="0">
      <alignment horizontal="center" vertical="center"/>
    </xf>
    <xf numFmtId="1" fontId="58" fillId="3" borderId="1288" applyAlignment="1" pivotButton="0" quotePrefix="0" xfId="0">
      <alignment horizontal="center" vertical="center"/>
    </xf>
    <xf numFmtId="1" fontId="58" fillId="3" borderId="1291" applyAlignment="1" pivotButton="0" quotePrefix="0" xfId="0">
      <alignment horizontal="center" vertical="center"/>
    </xf>
    <xf numFmtId="1" fontId="5" fillId="0" borderId="1325" applyAlignment="1" pivotButton="0" quotePrefix="0" xfId="0">
      <alignment horizontal="center" vertical="center" wrapText="1"/>
    </xf>
    <xf numFmtId="1" fontId="5" fillId="0" borderId="304" applyAlignment="1" pivotButton="0" quotePrefix="0" xfId="0">
      <alignment horizontal="center" vertical="center" wrapText="1"/>
    </xf>
    <xf numFmtId="1" fontId="5" fillId="0" borderId="305" applyAlignment="1" pivotButton="0" quotePrefix="0" xfId="0">
      <alignment horizontal="center" vertical="center" wrapText="1"/>
    </xf>
    <xf numFmtId="1" fontId="5" fillId="0" borderId="1263" applyAlignment="1" pivotButton="0" quotePrefix="0" xfId="0">
      <alignment horizontal="center" vertical="center"/>
    </xf>
    <xf numFmtId="1" fontId="5" fillId="0" borderId="284" applyAlignment="1" pivotButton="0" quotePrefix="0" xfId="0">
      <alignment horizontal="center" vertical="center"/>
    </xf>
    <xf numFmtId="1" fontId="5" fillId="0" borderId="366" applyAlignment="1" pivotButton="0" quotePrefix="0" xfId="0">
      <alignment horizontal="center" vertical="center"/>
    </xf>
    <xf numFmtId="0" fontId="5" fillId="0" borderId="1017" applyAlignment="1" pivotButton="0" quotePrefix="0" xfId="0">
      <alignment horizontal="center" vertical="center"/>
    </xf>
    <xf numFmtId="1" fontId="5" fillId="5" borderId="898" applyAlignment="1" pivotButton="0" quotePrefix="0" xfId="0">
      <alignment horizontal="center" vertical="center" wrapText="1"/>
    </xf>
    <xf numFmtId="1" fontId="5" fillId="0" borderId="1084" applyAlignment="1" pivotButton="0" quotePrefix="0" xfId="0">
      <alignment horizontal="left" vertical="center"/>
    </xf>
    <xf numFmtId="1" fontId="5" fillId="0" borderId="850" applyAlignment="1" pivotButton="0" quotePrefix="0" xfId="0">
      <alignment horizontal="left" vertical="center"/>
    </xf>
    <xf numFmtId="1" fontId="5" fillId="5" borderId="898" applyAlignment="1" pivotButton="0" quotePrefix="0" xfId="0">
      <alignment horizontal="left" vertical="center"/>
    </xf>
    <xf numFmtId="1" fontId="5" fillId="5" borderId="281" applyAlignment="1" pivotButton="0" quotePrefix="0" xfId="0">
      <alignment horizontal="left" vertical="center"/>
    </xf>
    <xf numFmtId="1" fontId="5" fillId="0" borderId="1329" applyAlignment="1" pivotButton="0" quotePrefix="0" xfId="0">
      <alignment horizontal="center" vertical="center" wrapText="1"/>
    </xf>
    <xf numFmtId="1" fontId="5" fillId="0" borderId="36" applyAlignment="1" pivotButton="0" quotePrefix="0" xfId="0">
      <alignment horizontal="center" vertical="center" wrapText="1"/>
    </xf>
    <xf numFmtId="1" fontId="5" fillId="0" borderId="351" applyAlignment="1" pivotButton="0" quotePrefix="0" xfId="0">
      <alignment horizontal="center" vertical="center" wrapText="1"/>
    </xf>
    <xf numFmtId="1" fontId="5" fillId="0" borderId="1014" applyAlignment="1" pivotButton="0" quotePrefix="0" xfId="0">
      <alignment horizontal="center" vertical="center"/>
    </xf>
    <xf numFmtId="1" fontId="5" fillId="0" borderId="1290" applyAlignment="1" pivotButton="0" quotePrefix="0" xfId="0">
      <alignment horizontal="center" vertical="center"/>
    </xf>
    <xf numFmtId="1" fontId="5" fillId="0" borderId="1288" applyAlignment="1" pivotButton="0" quotePrefix="0" xfId="0">
      <alignment horizontal="center" vertical="center"/>
    </xf>
    <xf numFmtId="1" fontId="5" fillId="0" borderId="1291" applyAlignment="1" pivotButton="0" quotePrefix="0" xfId="0">
      <alignment horizontal="center" vertical="center"/>
    </xf>
    <xf numFmtId="1" fontId="5" fillId="5" borderId="888" applyAlignment="1" pivotButton="0" quotePrefix="0" xfId="0">
      <alignment horizontal="center" vertical="center" wrapText="1"/>
    </xf>
    <xf numFmtId="1" fontId="5" fillId="5" borderId="929" applyAlignment="1" pivotButton="0" quotePrefix="0" xfId="0">
      <alignment horizontal="center" vertical="center" wrapText="1"/>
    </xf>
    <xf numFmtId="1" fontId="5" fillId="5" borderId="850" applyAlignment="1" pivotButton="0" quotePrefix="0" xfId="0">
      <alignment horizontal="center" vertical="center" wrapText="1"/>
    </xf>
    <xf numFmtId="1" fontId="5" fillId="5" borderId="785" applyAlignment="1" pivotButton="0" quotePrefix="0" xfId="0">
      <alignment horizontal="center" vertical="center" wrapText="1"/>
    </xf>
    <xf numFmtId="1" fontId="5" fillId="5" borderId="890" applyAlignment="1" pivotButton="0" quotePrefix="0" xfId="0">
      <alignment horizontal="center" vertical="center" wrapText="1"/>
    </xf>
    <xf numFmtId="1" fontId="5" fillId="5" borderId="788" applyAlignment="1" pivotButton="0" quotePrefix="0" xfId="0">
      <alignment horizontal="center" vertical="center" wrapText="1"/>
    </xf>
    <xf numFmtId="1" fontId="5" fillId="5" borderId="886" applyAlignment="1" pivotButton="0" quotePrefix="0" xfId="0">
      <alignment horizontal="center" vertical="center" wrapText="1"/>
    </xf>
    <xf numFmtId="1" fontId="5" fillId="5" borderId="226" applyAlignment="1" pivotButton="0" quotePrefix="0" xfId="0">
      <alignment horizontal="center" vertical="center" wrapText="1"/>
    </xf>
    <xf numFmtId="1" fontId="5" fillId="5" borderId="897" applyAlignment="1" pivotButton="0" quotePrefix="0" xfId="0">
      <alignment horizontal="center" vertical="center" wrapText="1"/>
    </xf>
    <xf numFmtId="1" fontId="5" fillId="5" borderId="227" applyAlignment="1" pivotButton="0" quotePrefix="0" xfId="0">
      <alignment horizontal="center" vertical="center" wrapText="1"/>
    </xf>
    <xf numFmtId="1" fontId="5" fillId="5" borderId="1107" applyAlignment="1" pivotButton="0" quotePrefix="0" xfId="0">
      <alignment horizontal="left" vertical="center"/>
    </xf>
    <xf numFmtId="1" fontId="5" fillId="5" borderId="378" applyAlignment="1" pivotButton="0" quotePrefix="0" xfId="0">
      <alignment horizontal="left" vertical="center"/>
    </xf>
    <xf numFmtId="1" fontId="5" fillId="5" borderId="1013" applyAlignment="1" pivotButton="0" quotePrefix="0" xfId="0">
      <alignment horizontal="left" vertical="center"/>
    </xf>
    <xf numFmtId="1" fontId="5" fillId="5" borderId="1017" applyAlignment="1" pivotButton="0" quotePrefix="0" xfId="0">
      <alignment horizontal="left" vertical="center"/>
    </xf>
    <xf numFmtId="1" fontId="14" fillId="3" borderId="279" applyAlignment="1" pivotButton="0" quotePrefix="0" xfId="0">
      <alignment horizontal="left" wrapText="1"/>
    </xf>
    <xf numFmtId="1" fontId="14" fillId="3" borderId="1119" applyAlignment="1" pivotButton="0" quotePrefix="0" xfId="0">
      <alignment horizontal="left" wrapText="1"/>
    </xf>
    <xf numFmtId="1" fontId="14" fillId="3" borderId="783" applyAlignment="1" pivotButton="0" quotePrefix="0" xfId="0">
      <alignment horizontal="left" wrapText="1"/>
    </xf>
    <xf numFmtId="1" fontId="5" fillId="0" borderId="335" applyAlignment="1" pivotButton="0" quotePrefix="0" xfId="0">
      <alignment horizontal="left" vertical="center"/>
    </xf>
    <xf numFmtId="1" fontId="5" fillId="0" borderId="850" applyAlignment="1" pivotButton="0" quotePrefix="0" xfId="0">
      <alignment horizontal="left" vertical="center" wrapText="1"/>
    </xf>
    <xf numFmtId="1" fontId="15" fillId="5" borderId="0" applyAlignment="1" pivotButton="0" quotePrefix="0" xfId="0">
      <alignment horizontal="center"/>
    </xf>
    <xf numFmtId="1" fontId="5" fillId="0" borderId="1013" applyAlignment="1" pivotButton="0" quotePrefix="0" xfId="0">
      <alignment horizontal="center"/>
    </xf>
    <xf numFmtId="1" fontId="5" fillId="0" borderId="1014" applyAlignment="1" pivotButton="0" quotePrefix="0" xfId="0">
      <alignment horizontal="center"/>
    </xf>
    <xf numFmtId="1" fontId="5" fillId="0" borderId="1017" applyAlignment="1" pivotButton="0" quotePrefix="0" xfId="0">
      <alignment horizontal="center"/>
    </xf>
    <xf numFmtId="1" fontId="5" fillId="0" borderId="1002" applyAlignment="1" pivotButton="0" quotePrefix="0" xfId="0">
      <alignment horizontal="left"/>
    </xf>
    <xf numFmtId="1" fontId="5" fillId="0" borderId="1045" applyAlignment="1" pivotButton="0" quotePrefix="0" xfId="0">
      <alignment horizontal="left"/>
    </xf>
    <xf numFmtId="1" fontId="5" fillId="0" borderId="1022" applyAlignment="1" pivotButton="0" quotePrefix="0" xfId="0">
      <alignment horizontal="left"/>
    </xf>
    <xf numFmtId="1" fontId="5" fillId="0" borderId="1107" applyAlignment="1" pivotButton="0" quotePrefix="0" xfId="0">
      <alignment horizontal="left"/>
    </xf>
    <xf numFmtId="1" fontId="5" fillId="5" borderId="1013" applyAlignment="1" pivotButton="0" quotePrefix="0" xfId="14">
      <alignment horizontal="center" wrapText="1"/>
    </xf>
    <xf numFmtId="1" fontId="5" fillId="5" borderId="1017" applyAlignment="1" pivotButton="0" quotePrefix="0" xfId="14">
      <alignment horizontal="center" wrapText="1"/>
    </xf>
    <xf numFmtId="1" fontId="5" fillId="5" borderId="1021" applyAlignment="1" pivotButton="0" quotePrefix="0" xfId="0">
      <alignment horizontal="left" vertical="center" wrapText="1"/>
    </xf>
    <xf numFmtId="1" fontId="5" fillId="0" borderId="1002" applyAlignment="1" pivotButton="0" quotePrefix="0" xfId="14">
      <alignment horizontal="left" vertical="center" wrapText="1"/>
    </xf>
    <xf numFmtId="1" fontId="5" fillId="0" borderId="1022" applyAlignment="1" pivotButton="0" quotePrefix="0" xfId="14">
      <alignment horizontal="left" vertical="center" wrapText="1"/>
    </xf>
    <xf numFmtId="1" fontId="5" fillId="0" borderId="1094" applyAlignment="1" pivotButton="0" quotePrefix="0" xfId="14">
      <alignment horizontal="left" vertical="center" wrapText="1"/>
    </xf>
    <xf numFmtId="1" fontId="5" fillId="0" borderId="1081" applyAlignment="1" pivotButton="0" quotePrefix="0" xfId="14">
      <alignment horizontal="left" vertical="center" wrapText="1"/>
    </xf>
    <xf numFmtId="1" fontId="5" fillId="0" borderId="1107" applyAlignment="1" pivotButton="0" quotePrefix="0" xfId="14">
      <alignment horizontal="left" vertical="center" wrapText="1"/>
    </xf>
    <xf numFmtId="1" fontId="5" fillId="0" borderId="378" applyAlignment="1" pivotButton="0" quotePrefix="0" xfId="14">
      <alignment horizontal="left" vertical="center" wrapText="1"/>
    </xf>
    <xf numFmtId="1" fontId="14" fillId="3" borderId="865" applyAlignment="1" pivotButton="0" quotePrefix="0" xfId="14">
      <alignment horizontal="left" wrapText="1"/>
    </xf>
    <xf numFmtId="1" fontId="5" fillId="5" borderId="1002" applyAlignment="1" pivotButton="0" quotePrefix="0" xfId="0">
      <alignment horizontal="left" vertical="center" wrapText="1"/>
    </xf>
    <xf numFmtId="1" fontId="5" fillId="5" borderId="1045" applyAlignment="1" pivotButton="0" quotePrefix="0" xfId="0">
      <alignment horizontal="left" vertical="center" wrapText="1"/>
    </xf>
    <xf numFmtId="1" fontId="5" fillId="5" borderId="1022" applyAlignment="1" pivotButton="0" quotePrefix="0" xfId="0">
      <alignment horizontal="left" vertical="center" wrapText="1"/>
    </xf>
    <xf numFmtId="1" fontId="5" fillId="5" borderId="1094" applyAlignment="1" pivotButton="0" quotePrefix="0" xfId="0">
      <alignment horizontal="left" vertical="center" wrapText="1"/>
    </xf>
    <xf numFmtId="1" fontId="5" fillId="5" borderId="1087" applyAlignment="1" pivotButton="0" quotePrefix="0" xfId="0">
      <alignment horizontal="left" vertical="center" wrapText="1"/>
    </xf>
    <xf numFmtId="1" fontId="5" fillId="5" borderId="1081" applyAlignment="1" pivotButton="0" quotePrefix="0" xfId="0">
      <alignment horizontal="left" vertical="center" wrapText="1"/>
    </xf>
    <xf numFmtId="1" fontId="5" fillId="5" borderId="783" applyAlignment="1" pivotButton="0" quotePrefix="0" xfId="0">
      <alignment horizontal="left" vertical="center" wrapText="1"/>
    </xf>
    <xf numFmtId="1" fontId="5" fillId="5" borderId="785" applyAlignment="1" pivotButton="0" quotePrefix="0" xfId="0">
      <alignment horizontal="left" vertical="center" wrapText="1"/>
    </xf>
    <xf numFmtId="1" fontId="5" fillId="5" borderId="1014" applyAlignment="1" pivotButton="0" quotePrefix="0" xfId="0">
      <alignment horizontal="left" vertical="center" wrapText="1"/>
    </xf>
    <xf numFmtId="1" fontId="5" fillId="5" borderId="1107" applyAlignment="1" pivotButton="0" quotePrefix="0" xfId="0">
      <alignment horizontal="left" vertical="center" wrapText="1"/>
    </xf>
    <xf numFmtId="1" fontId="5" fillId="5" borderId="401" applyAlignment="1" pivotButton="0" quotePrefix="0" xfId="0">
      <alignment horizontal="left" vertical="center" wrapText="1"/>
    </xf>
    <xf numFmtId="1" fontId="5" fillId="5" borderId="378" applyAlignment="1" pivotButton="0" quotePrefix="0" xfId="0">
      <alignment horizontal="left" vertical="center" wrapText="1"/>
    </xf>
    <xf numFmtId="1" fontId="5" fillId="5" borderId="550" applyAlignment="1" pivotButton="0" quotePrefix="0" xfId="0">
      <alignment horizontal="left" vertical="center" wrapText="1"/>
    </xf>
    <xf numFmtId="1" fontId="5" fillId="5" borderId="5" applyAlignment="1" pivotButton="0" quotePrefix="0" xfId="0">
      <alignment horizontal="left" vertical="center" wrapText="1"/>
    </xf>
    <xf numFmtId="1" fontId="5" fillId="5" borderId="1084" applyAlignment="1" pivotButton="0" quotePrefix="0" xfId="0">
      <alignment horizontal="left" vertical="center" wrapText="1"/>
    </xf>
    <xf numFmtId="1" fontId="14" fillId="3" borderId="783" applyAlignment="1" pivotButton="0" quotePrefix="0" xfId="0">
      <alignment horizontal="left"/>
    </xf>
    <xf numFmtId="1" fontId="5" fillId="5" borderId="550" applyAlignment="1" pivotButton="0" quotePrefix="0" xfId="14">
      <alignment horizontal="left" vertical="center" wrapText="1"/>
    </xf>
    <xf numFmtId="1" fontId="5" fillId="5" borderId="1084" applyAlignment="1" pivotButton="0" quotePrefix="0" xfId="14">
      <alignment horizontal="left" vertical="center" wrapText="1"/>
    </xf>
    <xf numFmtId="1" fontId="5" fillId="5" borderId="1094" applyAlignment="1" pivotButton="0" quotePrefix="0" xfId="14">
      <alignment horizontal="left" vertical="center" wrapText="1"/>
    </xf>
    <xf numFmtId="1" fontId="5" fillId="5" borderId="1081" applyAlignment="1" pivotButton="0" quotePrefix="0" xfId="14">
      <alignment horizontal="left" vertical="center" wrapText="1"/>
    </xf>
    <xf numFmtId="1" fontId="5" fillId="5" borderId="1107" applyAlignment="1" pivotButton="0" quotePrefix="0" xfId="14">
      <alignment horizontal="left" vertical="center" wrapText="1"/>
    </xf>
    <xf numFmtId="1" fontId="5" fillId="5" borderId="378" applyAlignment="1" pivotButton="0" quotePrefix="0" xfId="14">
      <alignment horizontal="left" vertical="center" wrapText="1"/>
    </xf>
    <xf numFmtId="1" fontId="14" fillId="0" borderId="1014" applyAlignment="1" pivotButton="0" quotePrefix="0" xfId="0">
      <alignment horizontal="left"/>
    </xf>
    <xf numFmtId="1" fontId="5" fillId="0" borderId="550" applyAlignment="1" pivotButton="0" quotePrefix="0" xfId="14">
      <alignment horizontal="left" vertical="center" wrapText="1"/>
    </xf>
    <xf numFmtId="1" fontId="5" fillId="0" borderId="1084" applyAlignment="1" pivotButton="0" quotePrefix="0" xfId="14">
      <alignment horizontal="left" vertical="center" wrapText="1"/>
    </xf>
    <xf numFmtId="1" fontId="5" fillId="5" borderId="898" applyAlignment="1" pivotButton="0" quotePrefix="0" xfId="0">
      <alignment vertical="center" wrapText="1"/>
    </xf>
    <xf numFmtId="1" fontId="5" fillId="5" borderId="849" applyAlignment="1" pivotButton="0" quotePrefix="0" xfId="0">
      <alignment vertical="center" wrapText="1"/>
    </xf>
    <xf numFmtId="1" fontId="5" fillId="5" borderId="281" applyAlignment="1" pivotButton="0" quotePrefix="0" xfId="0">
      <alignment vertical="center" wrapText="1"/>
    </xf>
    <xf numFmtId="1" fontId="5" fillId="0" borderId="850" applyAlignment="1" pivotButton="0" quotePrefix="0" xfId="0">
      <alignment horizontal="center"/>
    </xf>
    <xf numFmtId="1" fontId="5" fillId="0" borderId="783" applyAlignment="1" pivotButton="0" quotePrefix="0" xfId="0">
      <alignment horizontal="center"/>
    </xf>
    <xf numFmtId="1" fontId="5" fillId="0" borderId="785" applyAlignment="1" pivotButton="0" quotePrefix="0" xfId="0">
      <alignment horizontal="center"/>
    </xf>
    <xf numFmtId="1" fontId="14" fillId="3" borderId="1014" applyAlignment="1" pivotButton="0" quotePrefix="0" xfId="14">
      <alignment horizontal="left" wrapText="1"/>
    </xf>
    <xf numFmtId="1" fontId="14" fillId="3" borderId="783" applyAlignment="1" pivotButton="0" quotePrefix="0" xfId="14">
      <alignment horizontal="left" wrapText="1"/>
    </xf>
    <xf numFmtId="1" fontId="14" fillId="0" borderId="0" applyAlignment="1" pivotButton="0" quotePrefix="0" xfId="0">
      <alignment horizontal="left"/>
    </xf>
    <xf numFmtId="1" fontId="5" fillId="3" borderId="929" applyAlignment="1" pivotButton="0" quotePrefix="0" xfId="14">
      <alignment horizontal="center" vertical="center" wrapText="1"/>
    </xf>
    <xf numFmtId="1" fontId="5" fillId="3" borderId="785" applyAlignment="1" pivotButton="0" quotePrefix="0" xfId="14">
      <alignment horizontal="center" vertical="center" wrapText="1"/>
    </xf>
    <xf numFmtId="1" fontId="5" fillId="3" borderId="1017" applyAlignment="1" pivotButton="0" quotePrefix="0" xfId="14">
      <alignment horizontal="center" vertical="center" wrapText="1"/>
    </xf>
    <xf numFmtId="1" fontId="5" fillId="3" borderId="1021" applyAlignment="1" pivotButton="0" quotePrefix="0" xfId="14">
      <alignment horizontal="center" vertical="center" wrapText="1"/>
    </xf>
    <xf numFmtId="1" fontId="5" fillId="3" borderId="1002" applyAlignment="1" pivotButton="0" quotePrefix="0" xfId="0">
      <alignment horizontal="left" vertical="center" wrapText="1"/>
    </xf>
    <xf numFmtId="1" fontId="5" fillId="3" borderId="1022" applyAlignment="1" pivotButton="0" quotePrefix="0" xfId="0">
      <alignment horizontal="left" vertical="center" wrapText="1"/>
    </xf>
    <xf numFmtId="1" fontId="5" fillId="0" borderId="1094" applyAlignment="1" pivotButton="0" quotePrefix="0" xfId="0">
      <alignment horizontal="left" vertical="center" wrapText="1"/>
    </xf>
    <xf numFmtId="1" fontId="5" fillId="0" borderId="1081" applyAlignment="1" pivotButton="0" quotePrefix="0" xfId="0">
      <alignment horizontal="left" vertical="center" wrapText="1"/>
    </xf>
    <xf numFmtId="1" fontId="5" fillId="0" borderId="1013" applyAlignment="1" pivotButton="0" quotePrefix="0" xfId="0">
      <alignment horizontal="left"/>
    </xf>
    <xf numFmtId="1" fontId="5" fillId="0" borderId="1017" applyAlignment="1" pivotButton="0" quotePrefix="0" xfId="0">
      <alignment horizontal="left"/>
    </xf>
    <xf numFmtId="1" fontId="5" fillId="3" borderId="890" applyAlignment="1" pivotButton="0" quotePrefix="0" xfId="14">
      <alignment horizontal="center" vertical="center" wrapText="1"/>
    </xf>
    <xf numFmtId="1" fontId="5" fillId="3" borderId="788" applyAlignment="1" pivotButton="0" quotePrefix="0" xfId="14">
      <alignment horizontal="center" vertical="center" wrapText="1"/>
    </xf>
    <xf numFmtId="1" fontId="5" fillId="0" borderId="1021" applyAlignment="1" pivotButton="0" quotePrefix="0" xfId="0">
      <alignment horizontal="center"/>
    </xf>
    <xf numFmtId="1" fontId="5" fillId="3" borderId="1094" applyAlignment="1" pivotButton="0" quotePrefix="0" xfId="0">
      <alignment horizontal="left" vertical="center" wrapText="1"/>
    </xf>
    <xf numFmtId="1" fontId="5" fillId="3" borderId="1081" applyAlignment="1" pivotButton="0" quotePrefix="0" xfId="0">
      <alignment horizontal="left" vertical="center" wrapText="1"/>
    </xf>
    <xf numFmtId="1" fontId="5" fillId="3" borderId="1107" applyAlignment="1" pivotButton="0" quotePrefix="0" xfId="0">
      <alignment horizontal="left" vertical="center" wrapText="1"/>
    </xf>
    <xf numFmtId="1" fontId="5" fillId="3" borderId="378" applyAlignment="1" pivotButton="0" quotePrefix="0" xfId="0">
      <alignment horizontal="left" vertical="center" wrapText="1"/>
    </xf>
    <xf numFmtId="1" fontId="14" fillId="3" borderId="0" applyAlignment="1" pivotButton="0" quotePrefix="0" xfId="14">
      <alignment horizontal="left" wrapText="1"/>
    </xf>
    <xf numFmtId="1" fontId="5" fillId="3" borderId="1107" applyAlignment="1" pivotButton="0" quotePrefix="0" xfId="0">
      <alignment horizontal="left"/>
    </xf>
    <xf numFmtId="1" fontId="5" fillId="3" borderId="378" applyAlignment="1" pivotButton="0" quotePrefix="0" xfId="0">
      <alignment horizontal="left"/>
    </xf>
    <xf numFmtId="1" fontId="5" fillId="0" borderId="929" pivotButton="0" quotePrefix="0" xfId="0"/>
    <xf numFmtId="1" fontId="14" fillId="3" borderId="1014" applyAlignment="1" pivotButton="0" quotePrefix="0" xfId="0">
      <alignment horizontal="left"/>
    </xf>
    <xf numFmtId="1" fontId="5" fillId="3" borderId="1021" applyAlignment="1" pivotButton="0" quotePrefix="0" xfId="0">
      <alignment horizontal="left" vertical="center"/>
    </xf>
    <xf numFmtId="1" fontId="5" fillId="3" borderId="1002" pivotButton="0" quotePrefix="0" xfId="0"/>
    <xf numFmtId="1" fontId="5" fillId="3" borderId="1045" pivotButton="0" quotePrefix="0" xfId="0"/>
    <xf numFmtId="1" fontId="5" fillId="3" borderId="1022" pivotButton="0" quotePrefix="0" xfId="0"/>
    <xf numFmtId="1" fontId="5" fillId="3" borderId="1094" pivotButton="0" quotePrefix="0" xfId="0"/>
    <xf numFmtId="1" fontId="5" fillId="3" borderId="1087" pivotButton="0" quotePrefix="0" xfId="0"/>
    <xf numFmtId="1" fontId="5" fillId="3" borderId="1081" pivotButton="0" quotePrefix="0" xfId="0"/>
    <xf numFmtId="1" fontId="5" fillId="3" borderId="888" applyAlignment="1" pivotButton="0" quotePrefix="0" xfId="0">
      <alignment horizontal="center" vertical="center"/>
    </xf>
    <xf numFmtId="1" fontId="5" fillId="3" borderId="865" applyAlignment="1" pivotButton="0" quotePrefix="0" xfId="0">
      <alignment horizontal="center" vertical="center"/>
    </xf>
    <xf numFmtId="1" fontId="5" fillId="3" borderId="929" applyAlignment="1" pivotButton="0" quotePrefix="0" xfId="0">
      <alignment horizontal="center" vertical="center"/>
    </xf>
    <xf numFmtId="1" fontId="5" fillId="3" borderId="850" pivotButton="0" quotePrefix="0" xfId="0"/>
    <xf numFmtId="1" fontId="5" fillId="3" borderId="783" pivotButton="0" quotePrefix="0" xfId="0"/>
    <xf numFmtId="1" fontId="5" fillId="3" borderId="785" pivotButton="0" quotePrefix="0" xfId="0"/>
    <xf numFmtId="1" fontId="5" fillId="3" borderId="1021" applyAlignment="1" pivotButton="0" quotePrefix="0" xfId="0">
      <alignment horizontal="left" vertical="center" wrapText="1"/>
    </xf>
    <xf numFmtId="0" fontId="5" fillId="0" borderId="898" applyAlignment="1" pivotButton="0" quotePrefix="0" xfId="0">
      <alignment horizontal="left" vertical="center"/>
    </xf>
    <xf numFmtId="0" fontId="5" fillId="0" borderId="281" applyAlignment="1" pivotButton="0" quotePrefix="0" xfId="0">
      <alignment horizontal="left" vertical="center"/>
    </xf>
    <xf numFmtId="0" fontId="5" fillId="0" borderId="849" applyAlignment="1" pivotButton="0" quotePrefix="0" xfId="0">
      <alignment horizontal="left" vertical="center"/>
    </xf>
    <xf numFmtId="0" fontId="14" fillId="0" borderId="783" applyAlignment="1" pivotButton="0" quotePrefix="0" xfId="0">
      <alignment horizontal="left"/>
    </xf>
    <xf numFmtId="0" fontId="14" fillId="0" borderId="0" applyAlignment="1" pivotButton="0" quotePrefix="0" xfId="0">
      <alignment horizontal="left"/>
    </xf>
    <xf numFmtId="1" fontId="5" fillId="3" borderId="1107" pivotButton="0" quotePrefix="0" xfId="0"/>
    <xf numFmtId="1" fontId="5" fillId="3" borderId="401" pivotButton="0" quotePrefix="0" xfId="0"/>
    <xf numFmtId="1" fontId="5" fillId="3" borderId="378" pivotButton="0" quotePrefix="0" xfId="0"/>
    <xf numFmtId="0" fontId="5" fillId="0" borderId="850" applyAlignment="1" pivotButton="0" quotePrefix="0" xfId="0">
      <alignment horizontal="center" vertical="center" wrapText="1"/>
    </xf>
    <xf numFmtId="0" fontId="5" fillId="0" borderId="785" applyAlignment="1" pivotButton="0" quotePrefix="0" xfId="0">
      <alignment horizontal="center" vertical="center" wrapText="1"/>
    </xf>
    <xf numFmtId="1" fontId="5" fillId="3" borderId="550" pivotButton="0" quotePrefix="0" xfId="0"/>
    <xf numFmtId="1" fontId="5" fillId="3" borderId="5" pivotButton="0" quotePrefix="0" xfId="0"/>
    <xf numFmtId="1" fontId="5" fillId="3" borderId="1084" pivotButton="0" quotePrefix="0" xfId="0"/>
    <xf numFmtId="1" fontId="5" fillId="3" borderId="1094" applyAlignment="1" pivotButton="0" quotePrefix="0" xfId="0">
      <alignment wrapText="1"/>
    </xf>
    <xf numFmtId="1" fontId="5" fillId="3" borderId="1087" applyAlignment="1" pivotButton="0" quotePrefix="0" xfId="0">
      <alignment wrapText="1"/>
    </xf>
    <xf numFmtId="1" fontId="5" fillId="3" borderId="1081" applyAlignment="1" pivotButton="0" quotePrefix="0" xfId="0">
      <alignment wrapText="1"/>
    </xf>
    <xf numFmtId="1" fontId="5" fillId="3" borderId="1107" applyAlignment="1" pivotButton="0" quotePrefix="0" xfId="0">
      <alignment wrapText="1"/>
    </xf>
    <xf numFmtId="1" fontId="5" fillId="3" borderId="401" applyAlignment="1" pivotButton="0" quotePrefix="0" xfId="0">
      <alignment wrapText="1"/>
    </xf>
    <xf numFmtId="1" fontId="5" fillId="3" borderId="378" applyAlignment="1" pivotButton="0" quotePrefix="0" xfId="0">
      <alignment wrapText="1"/>
    </xf>
    <xf numFmtId="0" fontId="5" fillId="0" borderId="1094" applyAlignment="1" pivotButton="0" quotePrefix="0" xfId="0">
      <alignment horizontal="left" vertical="center"/>
    </xf>
    <xf numFmtId="0" fontId="5" fillId="0" borderId="1081" applyAlignment="1" pivotButton="0" quotePrefix="0" xfId="0">
      <alignment horizontal="left" vertical="center"/>
    </xf>
    <xf numFmtId="0" fontId="14" fillId="0" borderId="1014" applyAlignment="1" pivotButton="0" quotePrefix="0" xfId="0">
      <alignment horizontal="left"/>
    </xf>
    <xf numFmtId="0" fontId="5" fillId="0" borderId="1094" applyAlignment="1" pivotButton="0" quotePrefix="0" xfId="0">
      <alignment horizontal="left" vertical="center" wrapText="1"/>
    </xf>
    <xf numFmtId="0" fontId="5" fillId="0" borderId="1081" applyAlignment="1" pivotButton="0" quotePrefix="0" xfId="0">
      <alignment horizontal="left" vertical="center" wrapText="1"/>
    </xf>
    <xf numFmtId="0" fontId="5" fillId="0" borderId="1107" applyAlignment="1" pivotButton="0" quotePrefix="0" xfId="0">
      <alignment horizontal="left" vertical="center" wrapText="1"/>
    </xf>
    <xf numFmtId="0" fontId="5" fillId="0" borderId="849" applyAlignment="1" pivotButton="0" quotePrefix="0" xfId="0">
      <alignment horizontal="left"/>
    </xf>
    <xf numFmtId="0" fontId="5" fillId="0" borderId="1013" applyAlignment="1" pivotButton="0" quotePrefix="0" xfId="0">
      <alignment horizontal="center"/>
    </xf>
    <xf numFmtId="0" fontId="5" fillId="0" borderId="1017" applyAlignment="1" pivotButton="0" quotePrefix="0" xfId="0">
      <alignment horizontal="center"/>
    </xf>
    <xf numFmtId="0" fontId="5" fillId="0" borderId="1002" applyAlignment="1" pivotButton="0" quotePrefix="0" xfId="0">
      <alignment horizontal="left" vertical="center"/>
    </xf>
    <xf numFmtId="0" fontId="5" fillId="0" borderId="1022" applyAlignment="1" pivotButton="0" quotePrefix="0" xfId="0">
      <alignment horizontal="left" vertical="center"/>
    </xf>
    <xf numFmtId="0" fontId="5" fillId="0" borderId="1084" applyAlignment="1" pivotButton="0" quotePrefix="0" xfId="0">
      <alignment horizontal="left" vertical="center"/>
    </xf>
    <xf numFmtId="0" fontId="5" fillId="0" borderId="850" applyAlignment="1" pivotButton="0" quotePrefix="0" xfId="0">
      <alignment horizontal="left" vertical="center"/>
    </xf>
    <xf numFmtId="0" fontId="5" fillId="0" borderId="785" applyAlignment="1" pivotButton="0" quotePrefix="0" xfId="0">
      <alignment horizontal="left" vertical="center"/>
    </xf>
    <xf numFmtId="0" fontId="5" fillId="0" borderId="1021" applyAlignment="1" pivotButton="0" quotePrefix="0" xfId="0">
      <alignment horizontal="center" vertical="center"/>
    </xf>
    <xf numFmtId="0" fontId="5" fillId="0" borderId="1003" pivotButton="0" quotePrefix="0" xfId="0"/>
    <xf numFmtId="0" fontId="5" fillId="0" borderId="849" pivotButton="0" quotePrefix="0" xfId="0"/>
    <xf numFmtId="0" fontId="5" fillId="0" borderId="1021" applyAlignment="1" pivotButton="0" quotePrefix="0" xfId="0">
      <alignment horizontal="center"/>
    </xf>
    <xf numFmtId="165" fontId="3" fillId="0" borderId="1021" applyAlignment="1" pivotButton="0" quotePrefix="0" xfId="18">
      <alignment horizontal="center" vertical="center"/>
    </xf>
    <xf numFmtId="165" fontId="3" fillId="0" borderId="888" applyAlignment="1" pivotButton="0" quotePrefix="0" xfId="18">
      <alignment horizontal="center" vertical="center"/>
    </xf>
    <xf numFmtId="165" fontId="3" fillId="0" borderId="865" applyAlignment="1" pivotButton="0" quotePrefix="0" xfId="18">
      <alignment horizontal="center" vertical="center"/>
    </xf>
    <xf numFmtId="165" fontId="3" fillId="0" borderId="1116" applyAlignment="1" pivotButton="0" quotePrefix="0" xfId="18">
      <alignment horizontal="center" vertical="center"/>
    </xf>
    <xf numFmtId="165" fontId="3" fillId="0" borderId="865" applyAlignment="1" pivotButton="0" quotePrefix="0" xfId="17">
      <alignment horizontal="center" vertical="center"/>
    </xf>
    <xf numFmtId="165" fontId="3" fillId="0" borderId="929" applyAlignment="1" pivotButton="0" quotePrefix="0" xfId="17">
      <alignment horizontal="center" vertical="center"/>
    </xf>
    <xf numFmtId="165" fontId="3" fillId="0" borderId="783" applyAlignment="1" pivotButton="0" quotePrefix="0" xfId="17">
      <alignment horizontal="center" vertical="center"/>
    </xf>
    <xf numFmtId="165" fontId="3" fillId="0" borderId="785" applyAlignment="1" pivotButton="0" quotePrefix="0" xfId="17">
      <alignment horizontal="center" vertical="center"/>
    </xf>
    <xf numFmtId="165" fontId="3" fillId="0" borderId="1013" applyAlignment="1" pivotButton="0" quotePrefix="0" xfId="18">
      <alignment horizontal="center" vertical="center" wrapText="1"/>
    </xf>
    <xf numFmtId="165" fontId="3" fillId="0" borderId="1014" applyAlignment="1" pivotButton="0" quotePrefix="0" xfId="18">
      <alignment horizontal="center" vertical="center" wrapText="1"/>
    </xf>
    <xf numFmtId="165" fontId="3" fillId="0" borderId="1132" applyAlignment="1" pivotButton="0" quotePrefix="0" xfId="18">
      <alignment horizontal="center" vertical="center" wrapText="1"/>
    </xf>
    <xf numFmtId="1" fontId="3" fillId="0" borderId="1094" applyAlignment="1" pivotButton="0" quotePrefix="0" xfId="0">
      <alignment horizontal="left"/>
    </xf>
    <xf numFmtId="1" fontId="3" fillId="0" borderId="1081" applyAlignment="1" pivotButton="0" quotePrefix="0" xfId="0">
      <alignment horizontal="left"/>
    </xf>
    <xf numFmtId="1" fontId="3" fillId="0" borderId="1107" applyAlignment="1" pivotButton="0" quotePrefix="0" xfId="0">
      <alignment horizontal="left"/>
    </xf>
    <xf numFmtId="1" fontId="3" fillId="0" borderId="898" applyAlignment="1" applyProtection="1" pivotButton="0" quotePrefix="0" xfId="0">
      <alignment horizontal="center" vertical="center" wrapText="1"/>
      <protection locked="1" hidden="1"/>
    </xf>
    <xf numFmtId="1" fontId="3" fillId="0" borderId="849" applyAlignment="1" applyProtection="1" pivotButton="0" quotePrefix="0" xfId="0">
      <alignment horizontal="center" vertical="center" wrapText="1"/>
      <protection locked="1" hidden="1"/>
    </xf>
    <xf numFmtId="1" fontId="3" fillId="0" borderId="1002" applyAlignment="1" pivotButton="0" quotePrefix="0" xfId="0">
      <alignment horizontal="left"/>
    </xf>
    <xf numFmtId="1" fontId="3" fillId="0" borderId="1022" applyAlignment="1" pivotButton="0" quotePrefix="0" xfId="0">
      <alignment horizontal="left"/>
    </xf>
    <xf numFmtId="1" fontId="3" fillId="0" borderId="1094" applyAlignment="1" pivotButton="0" quotePrefix="1" xfId="0">
      <alignment horizontal="left"/>
    </xf>
    <xf numFmtId="1" fontId="3" fillId="0" borderId="1032" applyAlignment="1" pivotButton="0" quotePrefix="0" xfId="0">
      <alignment horizontal="center" vertical="center"/>
    </xf>
    <xf numFmtId="1" fontId="3" fillId="5" borderId="1107" applyAlignment="1" pivotButton="0" quotePrefix="0" xfId="0">
      <alignment horizontal="left" vertical="center" wrapText="1"/>
    </xf>
    <xf numFmtId="1" fontId="3" fillId="5" borderId="378" applyAlignment="1" pivotButton="0" quotePrefix="0" xfId="0">
      <alignment horizontal="left" vertical="center" wrapText="1"/>
    </xf>
    <xf numFmtId="1" fontId="3" fillId="0" borderId="283" applyAlignment="1" pivotButton="0" quotePrefix="0" xfId="0">
      <alignment horizontal="center" vertical="center"/>
    </xf>
    <xf numFmtId="1" fontId="3" fillId="0" borderId="1107" applyAlignment="1" pivotButton="0" quotePrefix="0" xfId="0">
      <alignment horizontal="left" vertical="center" wrapText="1"/>
    </xf>
    <xf numFmtId="1" fontId="3" fillId="5" borderId="1087" applyAlignment="1" pivotButton="0" quotePrefix="0" xfId="0">
      <alignment horizontal="left" vertical="center" wrapText="1"/>
    </xf>
    <xf numFmtId="1" fontId="3" fillId="5" borderId="1081" applyAlignment="1" pivotButton="0" quotePrefix="0" xfId="0">
      <alignment horizontal="left" vertical="center" wrapText="1"/>
    </xf>
    <xf numFmtId="1" fontId="3" fillId="5" borderId="401" applyAlignment="1" pivotButton="0" quotePrefix="0" xfId="0">
      <alignment horizontal="left" vertical="center" wrapText="1"/>
    </xf>
    <xf numFmtId="1" fontId="1" fillId="0" borderId="0" applyAlignment="1" pivotButton="0" quotePrefix="0" xfId="0">
      <alignment horizontal="center" vertical="center"/>
    </xf>
    <xf numFmtId="1" fontId="3" fillId="0" borderId="822" applyAlignment="1" pivotButton="0" quotePrefix="0" xfId="0">
      <alignment horizontal="center" vertical="center" wrapText="1"/>
    </xf>
    <xf numFmtId="0" fontId="6" fillId="0" borderId="1014" applyAlignment="1" pivotButton="0" quotePrefix="0" xfId="0">
      <alignment horizontal="center" vertical="center"/>
    </xf>
    <xf numFmtId="0" fontId="6" fillId="0" borderId="1288" applyAlignment="1" pivotButton="0" quotePrefix="0" xfId="0">
      <alignment horizontal="center" vertical="center"/>
    </xf>
    <xf numFmtId="1" fontId="3" fillId="0" borderId="929" applyAlignment="1" pivotButton="0" quotePrefix="0" xfId="0">
      <alignment horizontal="left" vertical="center" wrapText="1"/>
    </xf>
    <xf numFmtId="1" fontId="3" fillId="0" borderId="283" applyAlignment="1" pivotButton="0" quotePrefix="0" xfId="0">
      <alignment horizontal="left" vertical="center" wrapText="1"/>
    </xf>
    <xf numFmtId="1" fontId="3" fillId="3" borderId="850" applyAlignment="1" pivotButton="0" quotePrefix="0" xfId="0">
      <alignment horizontal="left" wrapText="1"/>
    </xf>
    <xf numFmtId="1" fontId="3" fillId="3" borderId="785" applyAlignment="1" pivotButton="0" quotePrefix="0" xfId="0">
      <alignment horizontal="left" wrapText="1"/>
    </xf>
    <xf numFmtId="1" fontId="3" fillId="0" borderId="888" applyAlignment="1" pivotButton="0" quotePrefix="0" xfId="0">
      <alignment horizontal="left" wrapText="1"/>
    </xf>
    <xf numFmtId="1" fontId="3" fillId="0" borderId="929" applyAlignment="1" pivotButton="0" quotePrefix="0" xfId="0">
      <alignment horizontal="left" wrapText="1"/>
    </xf>
    <xf numFmtId="1" fontId="3" fillId="0" borderId="550" applyAlignment="1" pivotButton="0" quotePrefix="0" xfId="0">
      <alignment horizontal="left" vertical="center"/>
    </xf>
    <xf numFmtId="1" fontId="3" fillId="0" borderId="1084" applyAlignment="1" pivotButton="0" quotePrefix="0" xfId="0">
      <alignment horizontal="left" vertical="center"/>
    </xf>
    <xf numFmtId="1" fontId="3" fillId="0" borderId="412" applyAlignment="1" pivotButton="0" quotePrefix="0" xfId="0">
      <alignment horizontal="left" vertical="center"/>
    </xf>
    <xf numFmtId="1" fontId="3" fillId="0" borderId="406" applyAlignment="1" pivotButton="0" quotePrefix="0" xfId="0">
      <alignment horizontal="left" vertical="center"/>
    </xf>
    <xf numFmtId="1" fontId="3" fillId="0" borderId="1002" pivotButton="0" quotePrefix="0" xfId="0"/>
    <xf numFmtId="1" fontId="3" fillId="0" borderId="1045" pivotButton="0" quotePrefix="0" xfId="0"/>
    <xf numFmtId="1" fontId="3" fillId="0" borderId="1022" pivotButton="0" quotePrefix="0" xfId="0"/>
    <xf numFmtId="1" fontId="3" fillId="3" borderId="1003" applyAlignment="1" pivotButton="0" quotePrefix="0" xfId="0">
      <alignment horizontal="center" vertical="center" wrapText="1"/>
    </xf>
    <xf numFmtId="1" fontId="3" fillId="3" borderId="1074" applyAlignment="1" pivotButton="0" quotePrefix="0" xfId="0">
      <alignment horizontal="center" vertical="center" wrapText="1"/>
    </xf>
    <xf numFmtId="1" fontId="3" fillId="3" borderId="550" applyAlignment="1" pivotButton="0" quotePrefix="0" xfId="0">
      <alignment horizontal="left" wrapText="1"/>
    </xf>
    <xf numFmtId="1" fontId="3" fillId="3" borderId="1022" applyAlignment="1" pivotButton="0" quotePrefix="0" xfId="0">
      <alignment horizontal="left" wrapText="1"/>
    </xf>
    <xf numFmtId="1" fontId="6" fillId="3" borderId="0" applyAlignment="1" pivotButton="0" quotePrefix="0" xfId="0">
      <alignment horizontal="center"/>
    </xf>
    <xf numFmtId="1" fontId="3" fillId="0" borderId="1087" applyAlignment="1" pivotButton="0" quotePrefix="0" xfId="0">
      <alignment horizontal="left"/>
    </xf>
    <xf numFmtId="1" fontId="3" fillId="3" borderId="1002" applyAlignment="1" pivotButton="0" quotePrefix="0" xfId="0">
      <alignment horizontal="left" wrapText="1"/>
    </xf>
    <xf numFmtId="1" fontId="3" fillId="3" borderId="283" applyAlignment="1" pivotButton="0" quotePrefix="0" xfId="0">
      <alignment horizontal="center" vertical="center" wrapText="1"/>
    </xf>
    <xf numFmtId="1" fontId="3" fillId="0" borderId="1013" applyAlignment="1" pivotButton="0" quotePrefix="0" xfId="0">
      <alignment horizontal="center" wrapText="1"/>
    </xf>
    <xf numFmtId="1" fontId="3" fillId="0" borderId="1017" applyAlignment="1" pivotButton="0" quotePrefix="0" xfId="0">
      <alignment horizontal="center" wrapText="1"/>
    </xf>
    <xf numFmtId="1" fontId="3" fillId="0" borderId="1013" applyAlignment="1" pivotButton="0" quotePrefix="0" xfId="0">
      <alignment horizontal="left" vertical="center"/>
    </xf>
    <xf numFmtId="1" fontId="3" fillId="0" borderId="1017" applyAlignment="1" pivotButton="0" quotePrefix="0" xfId="0">
      <alignment horizontal="left" vertical="center"/>
    </xf>
    <xf numFmtId="1" fontId="3" fillId="0" borderId="1021" applyAlignment="1" pivotButton="0" quotePrefix="0" xfId="0">
      <alignment horizontal="left" vertical="center" wrapText="1"/>
    </xf>
    <xf numFmtId="1" fontId="3" fillId="0" borderId="283" applyAlignment="1" pivotButton="0" quotePrefix="0" xfId="0">
      <alignment horizontal="left" vertical="center"/>
    </xf>
    <xf numFmtId="1" fontId="3" fillId="0" borderId="1045" applyAlignment="1" pivotButton="0" quotePrefix="0" xfId="0">
      <alignment horizontal="left" vertical="center" wrapText="1"/>
    </xf>
    <xf numFmtId="1" fontId="3" fillId="0" borderId="1087" applyAlignment="1" pivotButton="0" quotePrefix="0" xfId="0">
      <alignment horizontal="left" vertical="center" wrapText="1"/>
    </xf>
    <xf numFmtId="1" fontId="3" fillId="0" borderId="166" applyAlignment="1" pivotButton="0" quotePrefix="0" xfId="0">
      <alignment horizontal="center" vertical="center" wrapText="1"/>
    </xf>
    <xf numFmtId="1" fontId="3" fillId="0" borderId="1032" applyAlignment="1" pivotButton="0" quotePrefix="0" xfId="0">
      <alignment horizontal="center" vertical="center" wrapText="1"/>
    </xf>
    <xf numFmtId="1" fontId="3" fillId="0" borderId="19" applyAlignment="1" pivotButton="0" quotePrefix="0" xfId="0">
      <alignment horizontal="center" vertical="center" wrapText="1"/>
    </xf>
    <xf numFmtId="1" fontId="3" fillId="0" borderId="25" applyAlignment="1" pivotButton="0" quotePrefix="0" xfId="0">
      <alignment horizontal="center" vertical="center" wrapText="1"/>
    </xf>
    <xf numFmtId="1" fontId="3" fillId="0" borderId="401" applyAlignment="1" pivotButton="0" quotePrefix="0" xfId="0">
      <alignment horizontal="left" vertical="center"/>
    </xf>
    <xf numFmtId="1" fontId="3" fillId="3" borderId="1002" applyAlignment="1" pivotButton="0" quotePrefix="0" xfId="0">
      <alignment horizontal="left"/>
    </xf>
    <xf numFmtId="1" fontId="3" fillId="3" borderId="1045" applyAlignment="1" pivotButton="0" quotePrefix="0" xfId="0">
      <alignment horizontal="left"/>
    </xf>
    <xf numFmtId="1" fontId="3" fillId="3" borderId="1022" applyAlignment="1" pivotButton="0" quotePrefix="0" xfId="0">
      <alignment horizontal="left"/>
    </xf>
    <xf numFmtId="1" fontId="3" fillId="3" borderId="1107" applyAlignment="1" pivotButton="0" quotePrefix="0" xfId="0">
      <alignment horizontal="left"/>
    </xf>
    <xf numFmtId="1" fontId="3" fillId="3" borderId="401" applyAlignment="1" pivotButton="0" quotePrefix="0" xfId="0">
      <alignment horizontal="left"/>
    </xf>
    <xf numFmtId="1" fontId="3" fillId="3" borderId="378" applyAlignment="1" pivotButton="0" quotePrefix="0" xfId="0">
      <alignment horizontal="left"/>
    </xf>
    <xf numFmtId="1" fontId="3" fillId="0" borderId="1309" applyAlignment="1" pivotButton="0" quotePrefix="0" xfId="0">
      <alignment horizontal="center" vertical="center"/>
    </xf>
    <xf numFmtId="1" fontId="3" fillId="0" borderId="229" applyAlignment="1" pivotButton="0" quotePrefix="0" xfId="0">
      <alignment horizontal="center" vertical="center"/>
    </xf>
    <xf numFmtId="1" fontId="3" fillId="0" borderId="1045" applyAlignment="1" pivotButton="0" quotePrefix="0" xfId="0">
      <alignment horizontal="left" vertical="center"/>
    </xf>
    <xf numFmtId="1" fontId="3" fillId="0" borderId="1013" applyAlignment="1" pivotButton="0" quotePrefix="0" xfId="2">
      <alignment horizontal="center" vertical="center"/>
    </xf>
    <xf numFmtId="1" fontId="3" fillId="0" borderId="1014" applyAlignment="1" pivotButton="0" quotePrefix="0" xfId="2">
      <alignment horizontal="center" vertical="center"/>
    </xf>
    <xf numFmtId="1" fontId="3" fillId="0" borderId="1015" applyAlignment="1" pivotButton="0" quotePrefix="0" xfId="2">
      <alignment horizontal="center" vertical="center"/>
    </xf>
    <xf numFmtId="1" fontId="3" fillId="0" borderId="970" applyAlignment="1" pivotButton="0" quotePrefix="0" xfId="0">
      <alignment horizontal="center" vertical="center" wrapText="1"/>
    </xf>
    <xf numFmtId="1" fontId="3" fillId="0" borderId="847" applyAlignment="1" pivotButton="0" quotePrefix="0" xfId="0">
      <alignment horizontal="center" vertical="center" wrapText="1"/>
    </xf>
    <xf numFmtId="0" fontId="3" fillId="0" borderId="1016" applyAlignment="1" pivotButton="0" quotePrefix="0" xfId="0">
      <alignment horizontal="center" vertical="center"/>
    </xf>
    <xf numFmtId="0" fontId="3" fillId="0" borderId="1014" applyAlignment="1" pivotButton="0" quotePrefix="0" xfId="0">
      <alignment horizontal="center" vertical="center"/>
    </xf>
    <xf numFmtId="0" fontId="3" fillId="0" borderId="1015" applyAlignment="1" pivotButton="0" quotePrefix="0" xfId="0">
      <alignment horizontal="center" vertical="center"/>
    </xf>
    <xf numFmtId="1" fontId="3" fillId="0" borderId="20" applyAlignment="1" pivotButton="0" quotePrefix="0" xfId="2">
      <alignment horizontal="center" vertical="center"/>
    </xf>
    <xf numFmtId="1" fontId="3" fillId="0" borderId="19" applyAlignment="1" pivotButton="0" quotePrefix="0" xfId="2">
      <alignment horizontal="center" vertical="center"/>
    </xf>
    <xf numFmtId="1" fontId="3" fillId="0" borderId="24" applyAlignment="1" pivotButton="0" quotePrefix="0" xfId="2">
      <alignment horizontal="center" vertical="center"/>
    </xf>
    <xf numFmtId="1" fontId="3" fillId="0" borderId="25" applyAlignment="1" pivotButton="0" quotePrefix="0" xfId="2">
      <alignment horizontal="center" vertical="center"/>
    </xf>
    <xf numFmtId="1" fontId="3" fillId="0" borderId="18" applyAlignment="1" pivotButton="0" quotePrefix="0" xfId="2">
      <alignment horizontal="center" vertical="center" wrapText="1"/>
    </xf>
    <xf numFmtId="0" fontId="3" fillId="0" borderId="39" pivotButton="0" quotePrefix="0" xfId="2"/>
    <xf numFmtId="1" fontId="3" fillId="3" borderId="1014" applyAlignment="1" pivotButton="0" quotePrefix="0" xfId="0">
      <alignment horizontal="center" vertical="center" wrapText="1"/>
    </xf>
    <xf numFmtId="1" fontId="3" fillId="0" borderId="18" applyAlignment="1" pivotButton="0" quotePrefix="0" xfId="2">
      <alignment horizontal="left" vertical="center" wrapText="1"/>
    </xf>
    <xf numFmtId="1" fontId="3" fillId="0" borderId="19" applyAlignment="1" pivotButton="0" quotePrefix="0" xfId="2">
      <alignment horizontal="left" vertical="center" wrapText="1"/>
    </xf>
    <xf numFmtId="1" fontId="3" fillId="0" borderId="21" applyAlignment="1" pivotButton="0" quotePrefix="0" xfId="2">
      <alignment horizontal="left" vertical="center" wrapText="1"/>
    </xf>
    <xf numFmtId="1" fontId="3" fillId="0" borderId="22" applyAlignment="1" pivotButton="0" quotePrefix="0" xfId="2">
      <alignment horizontal="left" vertical="center" wrapText="1"/>
    </xf>
    <xf numFmtId="1" fontId="3" fillId="0" borderId="1141" applyAlignment="1" pivotButton="0" quotePrefix="0" xfId="2">
      <alignment horizontal="left" vertical="center" wrapText="1"/>
    </xf>
    <xf numFmtId="1" fontId="3" fillId="0" borderId="803" applyAlignment="1" pivotButton="0" quotePrefix="0" xfId="2">
      <alignment horizontal="left" vertical="center" wrapText="1"/>
    </xf>
    <xf numFmtId="1" fontId="3" fillId="0" borderId="888" applyAlignment="1" pivotButton="0" quotePrefix="0" xfId="2">
      <alignment horizontal="left" vertical="center" wrapText="1"/>
    </xf>
    <xf numFmtId="1" fontId="3" fillId="0" borderId="1116" applyAlignment="1" pivotButton="0" quotePrefix="0" xfId="2">
      <alignment horizontal="left" vertical="center" wrapText="1"/>
    </xf>
    <xf numFmtId="1" fontId="3" fillId="0" borderId="283" applyAlignment="1" pivotButton="0" quotePrefix="0" xfId="2">
      <alignment horizontal="left" vertical="center" wrapText="1"/>
    </xf>
    <xf numFmtId="1" fontId="3" fillId="0" borderId="850" applyAlignment="1" pivotButton="0" quotePrefix="0" xfId="2">
      <alignment horizontal="left" vertical="center" wrapText="1"/>
    </xf>
    <xf numFmtId="1" fontId="3" fillId="0" borderId="1018" applyAlignment="1" pivotButton="0" quotePrefix="0" xfId="0">
      <alignment horizontal="center" wrapText="1"/>
    </xf>
    <xf numFmtId="1" fontId="3" fillId="0" borderId="1105" applyAlignment="1" pivotButton="0" quotePrefix="0" xfId="0">
      <alignment horizontal="center" wrapText="1"/>
    </xf>
    <xf numFmtId="0" fontId="3" fillId="0" borderId="1021" applyAlignment="1" pivotButton="0" quotePrefix="0" xfId="0">
      <alignment horizontal="center" vertical="center"/>
    </xf>
    <xf numFmtId="0" fontId="3" fillId="0" borderId="1231" applyAlignment="1" pivotButton="0" quotePrefix="0" xfId="0">
      <alignment horizontal="center" vertical="center" wrapText="1"/>
    </xf>
    <xf numFmtId="1" fontId="3" fillId="0" borderId="48" applyAlignment="1" pivotButton="0" quotePrefix="0" xfId="2">
      <alignment horizontal="center" vertical="center"/>
    </xf>
    <xf numFmtId="0" fontId="3" fillId="0" borderId="28" pivotButton="0" quotePrefix="0" xfId="2"/>
    <xf numFmtId="0" fontId="3" fillId="0" borderId="1242" applyAlignment="1" pivotButton="0" quotePrefix="0" xfId="0">
      <alignment horizontal="center" vertical="center" wrapText="1"/>
    </xf>
    <xf numFmtId="0" fontId="3" fillId="0" borderId="1328" applyAlignment="1" pivotButton="0" quotePrefix="0" xfId="0">
      <alignment horizontal="center" vertical="center" wrapText="1"/>
    </xf>
    <xf numFmtId="1" fontId="3" fillId="0" borderId="335" applyAlignment="1" pivotButton="0" quotePrefix="0" xfId="0">
      <alignment horizontal="left" vertical="center" wrapText="1"/>
    </xf>
    <xf numFmtId="1" fontId="3" fillId="0" borderId="1143" applyAlignment="1" pivotButton="0" quotePrefix="0" xfId="0">
      <alignment horizontal="left" vertical="center" wrapText="1"/>
    </xf>
    <xf numFmtId="1" fontId="3" fillId="0" borderId="105" applyAlignment="1" pivotButton="0" quotePrefix="0" xfId="0">
      <alignment horizontal="left" vertical="center" wrapText="1"/>
    </xf>
    <xf numFmtId="1" fontId="3" fillId="0" borderId="1146" applyAlignment="1" pivotButton="0" quotePrefix="0" xfId="0">
      <alignment horizontal="left" vertical="center" wrapText="1"/>
    </xf>
    <xf numFmtId="1" fontId="3" fillId="0" borderId="1150" applyAlignment="1" pivotButton="0" quotePrefix="0" xfId="0">
      <alignment horizontal="center" vertical="center"/>
    </xf>
    <xf numFmtId="1" fontId="3" fillId="0" borderId="1151" applyAlignment="1" pivotButton="0" quotePrefix="0" xfId="0">
      <alignment horizontal="center" vertical="center"/>
    </xf>
    <xf numFmtId="1" fontId="3" fillId="0" borderId="1152" applyAlignment="1" pivotButton="0" quotePrefix="0" xfId="0">
      <alignment horizontal="center" vertical="center"/>
    </xf>
    <xf numFmtId="1" fontId="3" fillId="0" borderId="1150" applyAlignment="1" pivotButton="0" quotePrefix="0" xfId="0">
      <alignment horizontal="center" vertical="center" wrapText="1"/>
    </xf>
    <xf numFmtId="1" fontId="3" fillId="0" borderId="1153" applyAlignment="1" pivotButton="0" quotePrefix="0" xfId="0">
      <alignment horizontal="center" vertical="center" wrapText="1"/>
    </xf>
    <xf numFmtId="1" fontId="3" fillId="0" borderId="1153" applyAlignment="1" pivotButton="0" quotePrefix="0" xfId="0">
      <alignment horizontal="center" vertical="center"/>
    </xf>
    <xf numFmtId="1" fontId="3" fillId="5" borderId="1150" applyAlignment="1" pivotButton="0" quotePrefix="0" xfId="0">
      <alignment horizontal="center" vertical="center"/>
    </xf>
    <xf numFmtId="1" fontId="3" fillId="5" borderId="1014" applyAlignment="1" pivotButton="0" quotePrefix="0" xfId="0">
      <alignment horizontal="center" vertical="center"/>
    </xf>
    <xf numFmtId="1" fontId="3" fillId="5" borderId="1153" applyAlignment="1" pivotButton="0" quotePrefix="0" xfId="0">
      <alignment horizontal="center" vertical="center"/>
    </xf>
    <xf numFmtId="1" fontId="3" fillId="5" borderId="1152" applyAlignment="1" pivotButton="0" quotePrefix="0" xfId="0">
      <alignment horizontal="center" vertical="center" wrapText="1"/>
    </xf>
    <xf numFmtId="1" fontId="3" fillId="5" borderId="1153" applyAlignment="1" pivotButton="0" quotePrefix="0" xfId="0">
      <alignment horizontal="center" vertical="center" wrapText="1"/>
    </xf>
    <xf numFmtId="1" fontId="3" fillId="3" borderId="898" applyAlignment="1" pivotButton="0" quotePrefix="0" xfId="0">
      <alignment horizontal="center" vertical="center"/>
    </xf>
    <xf numFmtId="1" fontId="3" fillId="3" borderId="849" applyAlignment="1" pivotButton="0" quotePrefix="0" xfId="0">
      <alignment horizontal="center" vertical="center"/>
    </xf>
    <xf numFmtId="1" fontId="3" fillId="5" borderId="1156" applyAlignment="1" pivotButton="0" quotePrefix="0" xfId="0">
      <alignment horizontal="center" vertical="center"/>
    </xf>
    <xf numFmtId="1" fontId="3" fillId="5" borderId="1163" applyAlignment="1" pivotButton="0" quotePrefix="0" xfId="0">
      <alignment horizontal="center" vertical="center"/>
    </xf>
    <xf numFmtId="1" fontId="3" fillId="0" borderId="1175" applyAlignment="1" pivotButton="0" quotePrefix="0" xfId="0">
      <alignment horizontal="left" vertical="center" wrapText="1"/>
    </xf>
    <xf numFmtId="1" fontId="3" fillId="0" borderId="1180" applyAlignment="1" pivotButton="0" quotePrefix="0" xfId="0">
      <alignment horizontal="center" vertical="center"/>
    </xf>
    <xf numFmtId="1" fontId="3" fillId="0" borderId="1182" applyAlignment="1" pivotButton="0" quotePrefix="0" xfId="0">
      <alignment horizontal="center" vertical="center"/>
    </xf>
    <xf numFmtId="1" fontId="3" fillId="0" borderId="1177" applyAlignment="1" pivotButton="0" quotePrefix="0" xfId="0">
      <alignment horizontal="center" vertical="center" wrapText="1"/>
    </xf>
    <xf numFmtId="1" fontId="3" fillId="0" borderId="1168" applyAlignment="1" pivotButton="0" quotePrefix="0" xfId="0">
      <alignment horizontal="center" vertical="center" wrapText="1"/>
    </xf>
    <xf numFmtId="1" fontId="3" fillId="0" borderId="1160" applyAlignment="1" pivotButton="0" quotePrefix="0" xfId="0">
      <alignment horizontal="center" vertical="center" wrapText="1"/>
    </xf>
    <xf numFmtId="1" fontId="3" fillId="0" borderId="1169" applyAlignment="1" pivotButton="0" quotePrefix="0" xfId="0">
      <alignment horizontal="center" vertical="center" wrapText="1"/>
    </xf>
    <xf numFmtId="1" fontId="3" fillId="0" borderId="1170" applyAlignment="1" pivotButton="0" quotePrefix="0" xfId="0">
      <alignment horizontal="center" vertical="center" wrapText="1"/>
    </xf>
    <xf numFmtId="1" fontId="3" fillId="0" borderId="1171" applyAlignment="1" pivotButton="0" quotePrefix="0" xfId="0">
      <alignment horizontal="center" vertical="center" wrapText="1"/>
    </xf>
    <xf numFmtId="1" fontId="3" fillId="0" borderId="1172" applyAlignment="1" pivotButton="0" quotePrefix="0" xfId="0">
      <alignment horizontal="center" vertical="center" wrapText="1"/>
    </xf>
    <xf numFmtId="1" fontId="3" fillId="5" borderId="1173" applyAlignment="1" pivotButton="0" quotePrefix="0" xfId="0">
      <alignment horizontal="center" vertical="center"/>
    </xf>
    <xf numFmtId="1" fontId="3" fillId="0" borderId="1177" applyAlignment="1" pivotButton="0" quotePrefix="0" xfId="0">
      <alignment horizontal="left" vertical="center" wrapText="1"/>
    </xf>
    <xf numFmtId="1" fontId="3" fillId="0" borderId="1177" applyAlignment="1" pivotButton="0" quotePrefix="0" xfId="0">
      <alignment horizontal="left" vertical="center"/>
    </xf>
    <xf numFmtId="1" fontId="3" fillId="3" borderId="1173" applyAlignment="1" pivotButton="0" quotePrefix="0" xfId="0">
      <alignment horizontal="center" vertical="center" wrapText="1"/>
    </xf>
    <xf numFmtId="1" fontId="3" fillId="3" borderId="1183" applyAlignment="1" pivotButton="0" quotePrefix="0" xfId="0">
      <alignment horizontal="center" vertical="center" wrapText="1"/>
    </xf>
    <xf numFmtId="1" fontId="3" fillId="3" borderId="1184" applyAlignment="1" pivotButton="0" quotePrefix="0" xfId="0">
      <alignment horizontal="center" vertical="center" wrapText="1"/>
    </xf>
    <xf numFmtId="1" fontId="3" fillId="0" borderId="1177" applyAlignment="1" pivotButton="0" quotePrefix="1" xfId="0">
      <alignment horizontal="center" vertical="center" wrapText="1"/>
    </xf>
    <xf numFmtId="1" fontId="3" fillId="0" borderId="344" applyAlignment="1" pivotButton="0" quotePrefix="0" xfId="0">
      <alignment horizontal="center" vertical="center"/>
    </xf>
    <xf numFmtId="1" fontId="3" fillId="0" borderId="737" applyAlignment="1" pivotButton="0" quotePrefix="0" xfId="0">
      <alignment horizontal="center" vertical="center"/>
    </xf>
    <xf numFmtId="1" fontId="3" fillId="0" borderId="1185" applyAlignment="1" pivotButton="0" quotePrefix="0" xfId="0">
      <alignment horizontal="center" vertical="center"/>
    </xf>
    <xf numFmtId="1" fontId="3" fillId="0" borderId="1186" applyAlignment="1" pivotButton="0" quotePrefix="0" xfId="0">
      <alignment horizontal="center" vertical="center"/>
    </xf>
    <xf numFmtId="1" fontId="3" fillId="0" borderId="8" applyAlignment="1" pivotButton="0" quotePrefix="0" xfId="0">
      <alignment horizontal="center" vertical="center"/>
    </xf>
    <xf numFmtId="0" fontId="3" fillId="0" borderId="1175" applyAlignment="1" pivotButton="0" quotePrefix="0" xfId="0">
      <alignment horizontal="center" vertical="center" wrapText="1"/>
    </xf>
    <xf numFmtId="1" fontId="3" fillId="5" borderId="1175" applyAlignment="1" pivotButton="0" quotePrefix="0" xfId="0">
      <alignment horizontal="center" vertical="center"/>
    </xf>
    <xf numFmtId="1" fontId="3" fillId="5" borderId="281" applyAlignment="1" pivotButton="0" quotePrefix="0" xfId="0">
      <alignment horizontal="center" vertical="center"/>
    </xf>
    <xf numFmtId="1" fontId="3" fillId="5" borderId="849" applyAlignment="1" pivotButton="0" quotePrefix="0" xfId="0">
      <alignment horizontal="center" vertical="center"/>
    </xf>
    <xf numFmtId="1" fontId="3" fillId="5" borderId="1180" applyAlignment="1" pivotButton="0" quotePrefix="0" xfId="0">
      <alignment horizontal="center" vertical="center"/>
    </xf>
    <xf numFmtId="1" fontId="3" fillId="5" borderId="1181" applyAlignment="1" pivotButton="0" quotePrefix="0" xfId="0">
      <alignment horizontal="center" vertical="center"/>
    </xf>
    <xf numFmtId="1" fontId="3" fillId="5" borderId="1194" applyAlignment="1" pivotButton="0" quotePrefix="0" xfId="0">
      <alignment horizontal="center" vertical="center"/>
    </xf>
    <xf numFmtId="1" fontId="3" fillId="5" borderId="850" applyAlignment="1" pivotButton="0" quotePrefix="0" xfId="0">
      <alignment horizontal="center" vertical="center"/>
    </xf>
    <xf numFmtId="1" fontId="3" fillId="5" borderId="1195" applyAlignment="1" pivotButton="0" quotePrefix="0" xfId="0">
      <alignment horizontal="center" vertical="center"/>
    </xf>
    <xf numFmtId="1" fontId="3" fillId="5" borderId="1196" applyAlignment="1" pivotButton="0" quotePrefix="0" xfId="0">
      <alignment horizontal="center" vertical="center"/>
    </xf>
    <xf numFmtId="1" fontId="3" fillId="5" borderId="1183" applyAlignment="1" pivotButton="0" quotePrefix="0" xfId="0">
      <alignment horizontal="center" vertical="center" wrapText="1"/>
    </xf>
    <xf numFmtId="0" fontId="3" fillId="5" borderId="1181" applyAlignment="1" pivotButton="0" quotePrefix="0" xfId="0">
      <alignment horizontal="center" wrapText="1"/>
    </xf>
    <xf numFmtId="0" fontId="3" fillId="5" borderId="1174" applyAlignment="1" pivotButton="0" quotePrefix="0" xfId="0">
      <alignment horizontal="center" wrapText="1"/>
    </xf>
    <xf numFmtId="1" fontId="3" fillId="5" borderId="1177" applyAlignment="1" pivotButton="0" quotePrefix="0" xfId="0">
      <alignment horizontal="center" vertical="center" wrapText="1"/>
    </xf>
    <xf numFmtId="0" fontId="3" fillId="5" borderId="1186" applyAlignment="1" pivotButton="0" quotePrefix="0" xfId="0">
      <alignment horizontal="center" wrapText="1"/>
    </xf>
    <xf numFmtId="0" fontId="3" fillId="5" borderId="1197" applyAlignment="1" pivotButton="0" quotePrefix="0" xfId="0">
      <alignment horizontal="center" wrapText="1"/>
    </xf>
    <xf numFmtId="0" fontId="3" fillId="5" borderId="1188" applyAlignment="1" pivotButton="0" quotePrefix="0" xfId="0">
      <alignment horizontal="center" wrapText="1"/>
    </xf>
    <xf numFmtId="1" fontId="3" fillId="0" borderId="1175" applyAlignment="1" pivotButton="0" quotePrefix="0" xfId="0">
      <alignment horizontal="left" vertical="center"/>
    </xf>
    <xf numFmtId="1" fontId="3" fillId="0" borderId="1175" applyAlignment="1" pivotButton="0" quotePrefix="0" xfId="0">
      <alignment horizontal="center" vertical="center"/>
    </xf>
    <xf numFmtId="1" fontId="3" fillId="0" borderId="1198" applyAlignment="1" pivotButton="0" quotePrefix="0" xfId="0">
      <alignment horizontal="center" vertical="center"/>
    </xf>
    <xf numFmtId="1" fontId="3" fillId="0" borderId="1183" applyAlignment="1" pivotButton="0" quotePrefix="0" xfId="0">
      <alignment horizontal="center" vertical="center"/>
    </xf>
    <xf numFmtId="1" fontId="3" fillId="0" borderId="1184" applyAlignment="1" pivotButton="0" quotePrefix="0" xfId="0">
      <alignment horizontal="center" vertical="center"/>
    </xf>
    <xf numFmtId="1" fontId="3" fillId="0" borderId="1177" applyAlignment="1" pivotButton="0" quotePrefix="0" xfId="0">
      <alignment horizontal="center" vertical="center"/>
    </xf>
    <xf numFmtId="1" fontId="3" fillId="0" borderId="1199" applyAlignment="1" pivotButton="0" quotePrefix="0" xfId="0">
      <alignment horizontal="center" vertical="center"/>
    </xf>
    <xf numFmtId="0" fontId="3" fillId="0" borderId="1184" applyAlignment="1" pivotButton="0" quotePrefix="0" xfId="0">
      <alignment horizontal="center" vertical="center" wrapText="1"/>
    </xf>
    <xf numFmtId="0" fontId="3" fillId="0" borderId="1177" applyAlignment="1" pivotButton="0" quotePrefix="0" xfId="0">
      <alignment horizontal="center" vertical="center" wrapText="1"/>
    </xf>
    <xf numFmtId="0" fontId="3" fillId="0" borderId="1199" applyAlignment="1" pivotButton="0" quotePrefix="0" xfId="0">
      <alignment horizontal="center" vertical="center" wrapText="1"/>
    </xf>
    <xf numFmtId="1" fontId="3" fillId="0" borderId="1174" applyAlignment="1" pivotButton="0" quotePrefix="0" xfId="0">
      <alignment horizontal="center" vertical="center"/>
    </xf>
    <xf numFmtId="1" fontId="3" fillId="0" borderId="1172" applyAlignment="1" pivotButton="0" quotePrefix="0" xfId="0">
      <alignment horizontal="center" vertical="center"/>
    </xf>
    <xf numFmtId="1" fontId="3" fillId="0" borderId="1183" applyAlignment="1" pivotButton="0" quotePrefix="0" xfId="0">
      <alignment horizontal="center" vertical="center" wrapText="1"/>
    </xf>
    <xf numFmtId="1" fontId="3" fillId="0" borderId="1198" applyAlignment="1" pivotButton="0" quotePrefix="0" xfId="0">
      <alignment horizontal="center"/>
    </xf>
    <xf numFmtId="1" fontId="3" fillId="0" borderId="1183" applyAlignment="1" pivotButton="0" quotePrefix="0" xfId="0">
      <alignment horizontal="center"/>
    </xf>
    <xf numFmtId="1" fontId="3" fillId="0" borderId="1184" applyAlignment="1" pivotButton="0" quotePrefix="0" xfId="0">
      <alignment horizontal="center"/>
    </xf>
    <xf numFmtId="1" fontId="3" fillId="0" borderId="1215" applyAlignment="1" pivotButton="0" quotePrefix="0" xfId="0">
      <alignment horizontal="left" vertical="center" wrapText="1"/>
    </xf>
    <xf numFmtId="1" fontId="3" fillId="0" borderId="1231" applyAlignment="1" pivotButton="0" quotePrefix="0" xfId="0">
      <alignment horizontal="center" vertical="center"/>
    </xf>
    <xf numFmtId="0" fontId="3" fillId="0" borderId="1161" applyAlignment="1" pivotButton="0" quotePrefix="0" xfId="0">
      <alignment horizontal="left" vertical="center" wrapText="1"/>
    </xf>
    <xf numFmtId="0" fontId="3" fillId="0" borderId="1074" applyAlignment="1" pivotButton="0" quotePrefix="0" xfId="0">
      <alignment horizontal="left" vertical="center" wrapText="1"/>
    </xf>
    <xf numFmtId="1" fontId="3" fillId="0" borderId="1161" applyAlignment="1" pivotButton="0" quotePrefix="0" xfId="0">
      <alignment horizontal="left" vertical="center"/>
    </xf>
    <xf numFmtId="1" fontId="3" fillId="0" borderId="1074" applyAlignment="1" pivotButton="0" quotePrefix="0" xfId="0">
      <alignment horizontal="left" vertical="center"/>
    </xf>
    <xf numFmtId="1" fontId="3" fillId="0" borderId="554" applyAlignment="1" pivotButton="0" quotePrefix="0" xfId="0">
      <alignment horizontal="left" vertical="center"/>
    </xf>
    <xf numFmtId="1" fontId="3" fillId="0" borderId="1228" applyAlignment="1" pivotButton="0" quotePrefix="0" xfId="0">
      <alignment horizontal="left" vertical="center"/>
    </xf>
    <xf numFmtId="1" fontId="3" fillId="0" borderId="1200" applyAlignment="1" pivotButton="0" quotePrefix="0" xfId="0">
      <alignment horizontal="left" vertical="center"/>
    </xf>
    <xf numFmtId="1" fontId="3" fillId="0" borderId="1181" applyAlignment="1" pivotButton="0" quotePrefix="0" xfId="0">
      <alignment horizontal="left" vertical="center"/>
    </xf>
    <xf numFmtId="1" fontId="3" fillId="0" borderId="0" applyAlignment="1" pivotButton="0" quotePrefix="0" xfId="0">
      <alignment horizontal="left" vertical="center"/>
    </xf>
    <xf numFmtId="1" fontId="3" fillId="0" borderId="24" applyAlignment="1" pivotButton="0" quotePrefix="0" xfId="0">
      <alignment horizontal="left" vertical="center"/>
    </xf>
    <xf numFmtId="1" fontId="3" fillId="0" borderId="1232" applyAlignment="1" pivotButton="0" quotePrefix="0" xfId="0">
      <alignment horizontal="center" vertical="center" wrapText="1"/>
    </xf>
    <xf numFmtId="0" fontId="3" fillId="0" borderId="1233" applyAlignment="1" pivotButton="0" quotePrefix="0" xfId="0">
      <alignment horizontal="center"/>
    </xf>
    <xf numFmtId="0" fontId="3" fillId="0" borderId="1232" applyAlignment="1" pivotButton="0" quotePrefix="0" xfId="0">
      <alignment horizontal="center"/>
    </xf>
    <xf numFmtId="0" fontId="3" fillId="0" borderId="1237" applyAlignment="1" pivotButton="0" quotePrefix="0" xfId="0">
      <alignment horizontal="center" vertical="center"/>
    </xf>
    <xf numFmtId="0" fontId="3" fillId="0" borderId="1238" applyAlignment="1" pivotButton="0" quotePrefix="0" xfId="0">
      <alignment horizontal="center" vertical="center"/>
    </xf>
    <xf numFmtId="0" fontId="3" fillId="0" borderId="1239" applyAlignment="1" pivotButton="0" quotePrefix="0" xfId="0">
      <alignment horizontal="center" vertical="center"/>
    </xf>
    <xf numFmtId="0" fontId="3" fillId="0" borderId="1195" applyAlignment="1" pivotButton="0" quotePrefix="0" xfId="0">
      <alignment horizontal="center" vertical="center"/>
    </xf>
    <xf numFmtId="0" fontId="3" fillId="0" borderId="1196" applyAlignment="1" pivotButton="0" quotePrefix="0" xfId="0">
      <alignment horizontal="center" vertical="center"/>
    </xf>
    <xf numFmtId="0" fontId="3" fillId="0" borderId="1240" applyAlignment="1" pivotButton="0" quotePrefix="0" xfId="0">
      <alignment horizontal="center" vertical="center"/>
    </xf>
    <xf numFmtId="0" fontId="3" fillId="0" borderId="1233" applyAlignment="1" pivotButton="0" quotePrefix="0" xfId="0">
      <alignment horizontal="center" vertical="center"/>
    </xf>
    <xf numFmtId="1" fontId="3" fillId="0" borderId="1242" applyAlignment="1" pivotButton="0" quotePrefix="0" xfId="34">
      <alignment horizontal="center" vertical="center" wrapText="1"/>
    </xf>
    <xf numFmtId="1" fontId="3" fillId="0" borderId="546" applyAlignment="1" pivotButton="0" quotePrefix="0" xfId="34">
      <alignment horizontal="center" vertical="center" wrapText="1"/>
    </xf>
    <xf numFmtId="1" fontId="3" fillId="0" borderId="1200" applyAlignment="1" pivotButton="0" quotePrefix="0" xfId="34">
      <alignment horizontal="center" vertical="center" wrapText="1"/>
    </xf>
    <xf numFmtId="1" fontId="3" fillId="0" borderId="1234" applyAlignment="1" pivotButton="0" quotePrefix="0" xfId="0">
      <alignment horizontal="center" vertical="center"/>
    </xf>
    <xf numFmtId="1" fontId="3" fillId="0" borderId="1233" applyAlignment="1" pivotButton="0" quotePrefix="0" xfId="0">
      <alignment horizontal="center" vertical="center"/>
    </xf>
    <xf numFmtId="1" fontId="3" fillId="0" borderId="1231" applyAlignment="1" pivotButton="0" quotePrefix="0" xfId="34">
      <alignment horizontal="center" vertical="center" wrapText="1"/>
    </xf>
    <xf numFmtId="1" fontId="3" fillId="0" borderId="281" applyAlignment="1" pivotButton="0" quotePrefix="0" xfId="34">
      <alignment horizontal="center" vertical="center" wrapText="1"/>
    </xf>
    <xf numFmtId="1" fontId="3" fillId="0" borderId="849" applyAlignment="1" pivotButton="0" quotePrefix="0" xfId="34">
      <alignment horizontal="center" vertical="center" wrapText="1"/>
    </xf>
    <xf numFmtId="1" fontId="3" fillId="0" borderId="1240" applyAlignment="1" pivotButton="0" quotePrefix="0" xfId="0">
      <alignment horizontal="center" vertical="center"/>
    </xf>
    <xf numFmtId="1" fontId="3" fillId="0" borderId="1253" applyAlignment="1" pivotButton="0" quotePrefix="0" xfId="0">
      <alignment horizontal="center" vertical="center" wrapText="1"/>
    </xf>
    <xf numFmtId="1" fontId="3" fillId="0" borderId="1255" applyAlignment="1" pivotButton="0" quotePrefix="0" xfId="0">
      <alignment horizontal="center" vertical="center"/>
    </xf>
    <xf numFmtId="1" fontId="3" fillId="0" borderId="788" applyAlignment="1" pivotButton="0" quotePrefix="0" xfId="0">
      <alignment horizontal="center" vertical="center"/>
    </xf>
    <xf numFmtId="1" fontId="3" fillId="0" borderId="1234" applyAlignment="1" pivotButton="0" quotePrefix="0" xfId="0">
      <alignment horizontal="center" vertical="center" wrapText="1"/>
    </xf>
    <xf numFmtId="1" fontId="3" fillId="0" borderId="1240" applyAlignment="1" pivotButton="0" quotePrefix="0" xfId="0">
      <alignment horizontal="center" vertical="center" wrapText="1"/>
    </xf>
    <xf numFmtId="1" fontId="3" fillId="0" borderId="1244" applyAlignment="1" pivotButton="0" quotePrefix="0" xfId="0">
      <alignment horizontal="center" vertical="center" wrapText="1"/>
    </xf>
    <xf numFmtId="1" fontId="3" fillId="0" borderId="1243" applyAlignment="1" pivotButton="0" quotePrefix="0" xfId="0">
      <alignment horizontal="center" vertical="center" wrapText="1"/>
    </xf>
    <xf numFmtId="1" fontId="3" fillId="0" borderId="1244" applyAlignment="1" pivotButton="0" quotePrefix="0" xfId="0">
      <alignment horizontal="center" vertical="center"/>
    </xf>
    <xf numFmtId="1" fontId="3" fillId="0" borderId="1243" applyAlignment="1" pivotButton="0" quotePrefix="0" xfId="0">
      <alignment horizontal="center" vertical="center"/>
    </xf>
    <xf numFmtId="1" fontId="3" fillId="0" borderId="1233" applyAlignment="1" pivotButton="0" quotePrefix="0" xfId="0">
      <alignment horizontal="center" vertical="center" wrapText="1"/>
    </xf>
    <xf numFmtId="1" fontId="3" fillId="0" borderId="1247" applyAlignment="1" pivotButton="0" quotePrefix="0" xfId="0">
      <alignment horizontal="center" vertical="center" wrapText="1"/>
    </xf>
    <xf numFmtId="1" fontId="3" fillId="0" borderId="1245" applyAlignment="1" pivotButton="0" quotePrefix="0" xfId="0">
      <alignment horizontal="center" vertical="center"/>
    </xf>
    <xf numFmtId="1" fontId="3" fillId="0" borderId="1252" applyAlignment="1" pivotButton="0" quotePrefix="0" xfId="0">
      <alignment horizontal="center" vertical="center"/>
    </xf>
    <xf numFmtId="1" fontId="3" fillId="0" borderId="1242" applyAlignment="1" pivotButton="0" quotePrefix="0" xfId="0">
      <alignment horizontal="center" vertical="center"/>
    </xf>
    <xf numFmtId="1" fontId="3" fillId="0" borderId="1200" applyAlignment="1" pivotButton="0" quotePrefix="0" xfId="0">
      <alignment horizontal="center" vertical="center"/>
    </xf>
    <xf numFmtId="1" fontId="3" fillId="0" borderId="1257" applyAlignment="1" pivotButton="0" quotePrefix="0" xfId="0">
      <alignment horizontal="center" vertical="center" wrapText="1"/>
    </xf>
    <xf numFmtId="1" fontId="3" fillId="0" borderId="1256" applyAlignment="1" pivotButton="0" quotePrefix="0" xfId="0">
      <alignment horizontal="center" vertical="center"/>
    </xf>
    <xf numFmtId="1" fontId="3" fillId="0" borderId="230" applyAlignment="1" pivotButton="0" quotePrefix="0" xfId="0">
      <alignment horizontal="center" vertical="center"/>
    </xf>
    <xf numFmtId="1" fontId="3" fillId="3" borderId="1233" applyAlignment="1" pivotButton="0" quotePrefix="0" xfId="0">
      <alignment horizontal="center" vertical="center" wrapText="1"/>
    </xf>
    <xf numFmtId="1" fontId="3" fillId="3" borderId="1232" applyAlignment="1" pivotButton="0" quotePrefix="0" xfId="0">
      <alignment horizontal="center" vertical="center" wrapText="1"/>
    </xf>
    <xf numFmtId="1" fontId="3" fillId="0" borderId="1245" applyAlignment="1" pivotButton="0" quotePrefix="0" xfId="0">
      <alignment horizontal="center" vertical="center" wrapText="1"/>
    </xf>
    <xf numFmtId="1" fontId="3" fillId="0" borderId="1252" applyAlignment="1" pivotButton="0" quotePrefix="0" xfId="0">
      <alignment horizontal="center" vertical="center" wrapText="1"/>
    </xf>
    <xf numFmtId="1" fontId="3" fillId="0" borderId="1246" applyAlignment="1" pivotButton="0" quotePrefix="0" xfId="0">
      <alignment horizontal="center" vertical="center" wrapText="1"/>
    </xf>
    <xf numFmtId="1" fontId="3" fillId="0" borderId="1239" applyAlignment="1" pivotButton="0" quotePrefix="0" xfId="0">
      <alignment horizontal="center" vertical="center"/>
    </xf>
    <xf numFmtId="1" fontId="3" fillId="0" borderId="1196" applyAlignment="1" pivotButton="0" quotePrefix="0" xfId="0">
      <alignment horizontal="center" vertical="center"/>
    </xf>
    <xf numFmtId="1" fontId="3" fillId="0" borderId="1237" applyAlignment="1" pivotButton="0" quotePrefix="0" xfId="0">
      <alignment horizontal="center" vertical="center"/>
    </xf>
    <xf numFmtId="1" fontId="3" fillId="0" borderId="1238" applyAlignment="1" pivotButton="0" quotePrefix="0" xfId="0">
      <alignment horizontal="center" vertical="center"/>
    </xf>
    <xf numFmtId="1" fontId="3" fillId="0" borderId="1195" applyAlignment="1" pivotButton="0" quotePrefix="0" xfId="0">
      <alignment horizontal="center" vertical="center"/>
    </xf>
    <xf numFmtId="1" fontId="3" fillId="0" borderId="1238" applyAlignment="1" pivotButton="0" quotePrefix="0" xfId="0">
      <alignment horizontal="center" vertical="center" wrapText="1"/>
    </xf>
    <xf numFmtId="1" fontId="3" fillId="0" borderId="1242" applyAlignment="1" pivotButton="0" quotePrefix="0" xfId="0">
      <alignment horizontal="center" vertical="center" wrapText="1"/>
    </xf>
    <xf numFmtId="1" fontId="3" fillId="0" borderId="1195" applyAlignment="1" pivotButton="0" quotePrefix="0" xfId="0">
      <alignment horizontal="center" vertical="center" wrapText="1"/>
    </xf>
    <xf numFmtId="1" fontId="3" fillId="0" borderId="1200" applyAlignment="1" pivotButton="0" quotePrefix="0" xfId="0">
      <alignment horizontal="center" vertical="center" wrapText="1"/>
    </xf>
    <xf numFmtId="0" fontId="3" fillId="0" borderId="850" applyAlignment="1" pivotButton="0" quotePrefix="0" xfId="0">
      <alignment horizontal="center" vertical="center" wrapText="1"/>
    </xf>
    <xf numFmtId="0" fontId="3" fillId="0" borderId="1200" applyAlignment="1" pivotButton="0" quotePrefix="0" xfId="0">
      <alignment horizontal="center" vertical="center" wrapText="1"/>
    </xf>
    <xf numFmtId="1" fontId="3" fillId="3" borderId="1233" applyAlignment="1" pivotButton="0" quotePrefix="0" xfId="0">
      <alignment horizontal="center" wrapText="1"/>
    </xf>
    <xf numFmtId="1" fontId="3" fillId="0" borderId="1258" applyAlignment="1" pivotButton="0" quotePrefix="0" xfId="0">
      <alignment horizontal="center" vertical="center" wrapText="1"/>
    </xf>
    <xf numFmtId="1" fontId="3" fillId="3" borderId="1232" applyAlignment="1" pivotButton="0" quotePrefix="0" xfId="0">
      <alignment horizontal="center" wrapText="1"/>
    </xf>
    <xf numFmtId="1" fontId="6" fillId="0" borderId="1232" applyAlignment="1" pivotButton="0" quotePrefix="0" xfId="34">
      <alignment horizontal="center" vertical="center" wrapText="1"/>
    </xf>
    <xf numFmtId="1" fontId="6" fillId="0" borderId="1231" applyAlignment="1" pivotButton="0" quotePrefix="0" xfId="34">
      <alignment horizontal="center" vertical="center" wrapText="1"/>
    </xf>
    <xf numFmtId="1" fontId="6" fillId="0" borderId="281" applyAlignment="1" pivotButton="0" quotePrefix="0" xfId="34">
      <alignment horizontal="center" vertical="center" wrapText="1"/>
    </xf>
    <xf numFmtId="1" fontId="6" fillId="0" borderId="849" applyAlignment="1" pivotButton="0" quotePrefix="0" xfId="34">
      <alignment horizontal="center" vertical="center" wrapText="1"/>
    </xf>
    <xf numFmtId="1" fontId="3" fillId="0" borderId="1161" applyAlignment="1" pivotButton="0" quotePrefix="0" xfId="0">
      <alignment horizontal="center" vertical="center" wrapText="1"/>
    </xf>
    <xf numFmtId="1" fontId="3" fillId="0" borderId="380" applyAlignment="1" pivotButton="0" quotePrefix="0" xfId="0">
      <alignment horizontal="center" vertical="center" wrapText="1"/>
    </xf>
    <xf numFmtId="1" fontId="3" fillId="0" borderId="403" applyAlignment="1" pivotButton="0" quotePrefix="0" xfId="0">
      <alignment horizontal="center" vertical="center" wrapText="1"/>
    </xf>
    <xf numFmtId="1" fontId="3" fillId="0" borderId="1232" applyAlignment="1" pivotButton="0" quotePrefix="0" xfId="34">
      <alignment horizontal="center" vertical="center" wrapText="1"/>
    </xf>
    <xf numFmtId="1" fontId="57" fillId="3" borderId="0" applyAlignment="1" pivotButton="0" quotePrefix="0" xfId="0">
      <alignment horizontal="center" vertical="center"/>
    </xf>
    <xf numFmtId="1" fontId="2" fillId="3" borderId="1234" applyAlignment="1" pivotButton="0" quotePrefix="0" xfId="0">
      <alignment horizontal="left"/>
    </xf>
    <xf numFmtId="1" fontId="2" fillId="3" borderId="1240" applyAlignment="1" pivotButton="0" quotePrefix="0" xfId="0">
      <alignment horizontal="left"/>
    </xf>
    <xf numFmtId="0" fontId="2" fillId="0" borderId="1240" applyAlignment="1" pivotButton="0" quotePrefix="0" xfId="0">
      <alignment horizontal="left"/>
    </xf>
    <xf numFmtId="1" fontId="3" fillId="0" borderId="1231" applyAlignment="1" applyProtection="1" pivotButton="0" quotePrefix="0" xfId="0">
      <alignment horizontal="center" vertical="center" wrapText="1"/>
      <protection locked="1" hidden="1"/>
    </xf>
    <xf numFmtId="0" fontId="3" fillId="0" borderId="1385" applyAlignment="1" pivotButton="0" quotePrefix="0" xfId="0">
      <alignment horizontal="center" vertical="center" wrapText="1"/>
    </xf>
    <xf numFmtId="0" fontId="3" fillId="0" borderId="281" applyAlignment="1" pivotButton="0" quotePrefix="0" xfId="0">
      <alignment horizontal="center" vertical="center" wrapText="1"/>
    </xf>
    <xf numFmtId="0" fontId="3" fillId="0" borderId="1415" applyAlignment="1" pivotButton="0" quotePrefix="0" xfId="0">
      <alignment horizontal="center" vertical="center" wrapText="1"/>
    </xf>
    <xf numFmtId="0" fontId="3" fillId="0" borderId="1393" applyAlignment="1" pivotButton="0" quotePrefix="0" xfId="0">
      <alignment horizontal="center" vertical="center" wrapText="1"/>
    </xf>
    <xf numFmtId="0" fontId="3" fillId="0" borderId="1262" applyAlignment="1" pivotButton="0" quotePrefix="0" xfId="0">
      <alignment horizontal="center" vertical="center" wrapText="1"/>
    </xf>
    <xf numFmtId="0" fontId="3" fillId="0" borderId="289" applyAlignment="1" pivotButton="0" quotePrefix="0" xfId="0">
      <alignment horizontal="center" vertical="center" wrapText="1"/>
    </xf>
    <xf numFmtId="0" fontId="3" fillId="0" borderId="847" applyAlignment="1" pivotButton="0" quotePrefix="0" xfId="0">
      <alignment horizontal="center" vertical="center" wrapText="1"/>
    </xf>
    <xf numFmtId="0" fontId="3" fillId="0" borderId="1238" applyAlignment="1" pivotButton="0" quotePrefix="0" xfId="0">
      <alignment horizontal="center" vertical="center" wrapText="1"/>
    </xf>
    <xf numFmtId="0" fontId="3" fillId="0" borderId="1234" applyAlignment="1" pivotButton="0" quotePrefix="0" xfId="0">
      <alignment horizontal="center" vertical="center" wrapText="1"/>
    </xf>
    <xf numFmtId="0" fontId="3" fillId="0" borderId="1240" applyAlignment="1" pivotButton="0" quotePrefix="0" xfId="0">
      <alignment horizontal="center" vertical="center" wrapText="1"/>
    </xf>
    <xf numFmtId="0" fontId="3" fillId="0" borderId="1243" applyAlignment="1" pivotButton="0" quotePrefix="0" xfId="0">
      <alignment horizontal="center" vertical="center" wrapText="1"/>
    </xf>
    <xf numFmtId="0" fontId="3" fillId="0" borderId="7" applyAlignment="1" pivotButton="0" quotePrefix="0" xfId="0">
      <alignment horizontal="center" vertical="center" wrapText="1"/>
    </xf>
    <xf numFmtId="0" fontId="3" fillId="0" borderId="1233" applyAlignment="1" pivotButton="0" quotePrefix="0" xfId="0">
      <alignment horizontal="center" vertical="center" wrapText="1"/>
    </xf>
    <xf numFmtId="0" fontId="3" fillId="0" borderId="1255" applyAlignment="1" pivotButton="0" quotePrefix="0" xfId="0">
      <alignment horizontal="center" vertical="center" wrapText="1"/>
    </xf>
    <xf numFmtId="0" fontId="3" fillId="0" borderId="788" applyAlignment="1" pivotButton="0" quotePrefix="0" xfId="0">
      <alignment horizontal="center" vertical="center" wrapText="1"/>
    </xf>
    <xf numFmtId="0" fontId="3" fillId="0" borderId="1261" applyAlignment="1" pivotButton="0" quotePrefix="0" xfId="0">
      <alignment horizontal="center" vertical="center" wrapText="1"/>
    </xf>
    <xf numFmtId="0" fontId="3" fillId="0" borderId="1259" applyAlignment="1" pivotButton="0" quotePrefix="0" xfId="0">
      <alignment horizontal="center" vertical="center" wrapText="1"/>
    </xf>
    <xf numFmtId="0" fontId="3" fillId="0" borderId="227" applyAlignment="1" pivotButton="0" quotePrefix="0" xfId="0">
      <alignment horizontal="center" vertical="center" wrapText="1"/>
    </xf>
    <xf numFmtId="0" fontId="3" fillId="0" borderId="1242" applyAlignment="1" pivotButton="0" quotePrefix="0" xfId="0">
      <alignment horizontal="left" vertical="center"/>
    </xf>
    <xf numFmtId="0" fontId="3" fillId="0" borderId="546" applyAlignment="1" pivotButton="0" quotePrefix="0" xfId="0">
      <alignment horizontal="left" vertical="center"/>
    </xf>
    <xf numFmtId="0" fontId="3" fillId="0" borderId="1200" applyAlignment="1" pivotButton="0" quotePrefix="0" xfId="0">
      <alignment horizontal="left" vertical="center"/>
    </xf>
    <xf numFmtId="0" fontId="3" fillId="0" borderId="1200" applyAlignment="1" pivotButton="0" quotePrefix="0" xfId="0">
      <alignment horizontal="left" vertical="center" wrapText="1"/>
    </xf>
    <xf numFmtId="0" fontId="3" fillId="5" borderId="1415" applyAlignment="1" pivotButton="0" quotePrefix="0" xfId="0">
      <alignment horizontal="center" vertical="center" wrapText="1"/>
    </xf>
    <xf numFmtId="0" fontId="3" fillId="5" borderId="0" applyAlignment="1" pivotButton="0" quotePrefix="0" xfId="0">
      <alignment horizontal="center" vertical="center" wrapText="1"/>
    </xf>
    <xf numFmtId="0" fontId="3" fillId="5" borderId="1393" applyAlignment="1" pivotButton="0" quotePrefix="0" xfId="0">
      <alignment horizontal="center" vertical="center" wrapText="1"/>
    </xf>
    <xf numFmtId="0" fontId="3" fillId="5" borderId="1385" applyAlignment="1" pivotButton="0" quotePrefix="0" xfId="0">
      <alignment horizontal="center" vertical="center" wrapText="1"/>
    </xf>
    <xf numFmtId="0" fontId="3" fillId="5" borderId="281" applyAlignment="1" pivotButton="0" quotePrefix="0" xfId="0">
      <alignment horizontal="center" vertical="center" wrapText="1"/>
    </xf>
    <xf numFmtId="0" fontId="3" fillId="5" borderId="1392" applyAlignment="1" pivotButton="0" quotePrefix="0" xfId="0">
      <alignment horizontal="center" vertical="center" wrapText="1"/>
    </xf>
    <xf numFmtId="0" fontId="3" fillId="5" borderId="1242" applyAlignment="1" pivotButton="0" quotePrefix="0" xfId="0">
      <alignment horizontal="center" vertical="center" wrapText="1"/>
    </xf>
    <xf numFmtId="0" fontId="3" fillId="5" borderId="546" applyAlignment="1" pivotButton="0" quotePrefix="0" xfId="0">
      <alignment horizontal="center" vertical="center" wrapText="1"/>
    </xf>
    <xf numFmtId="0" fontId="3" fillId="5" borderId="1200" applyAlignment="1" pivotButton="0" quotePrefix="0" xfId="0">
      <alignment horizontal="center" vertical="center" wrapText="1"/>
    </xf>
    <xf numFmtId="0" fontId="3" fillId="0" borderId="1234" applyAlignment="1" pivotButton="0" quotePrefix="0" xfId="0">
      <alignment horizontal="center" vertical="center"/>
    </xf>
    <xf numFmtId="0" fontId="3" fillId="5" borderId="1261" applyAlignment="1" pivotButton="0" quotePrefix="0" xfId="0">
      <alignment horizontal="center" vertical="center" wrapText="1"/>
    </xf>
    <xf numFmtId="0" fontId="3" fillId="5" borderId="2" applyAlignment="1" pivotButton="0" quotePrefix="0" xfId="0">
      <alignment horizontal="center" vertical="center" wrapText="1"/>
    </xf>
    <xf numFmtId="0" fontId="3" fillId="5" borderId="226" applyAlignment="1" pivotButton="0" quotePrefix="0" xfId="0">
      <alignment horizontal="center" vertical="center" wrapText="1"/>
    </xf>
    <xf numFmtId="1" fontId="3" fillId="0" borderId="1262" applyAlignment="1" pivotButton="0" quotePrefix="0" xfId="0">
      <alignment horizontal="center" vertical="center" wrapText="1"/>
    </xf>
    <xf numFmtId="0" fontId="3" fillId="5" borderId="1426" applyAlignment="1" pivotButton="0" quotePrefix="0" xfId="0">
      <alignment horizontal="center" vertical="center" wrapText="1"/>
    </xf>
    <xf numFmtId="0" fontId="3" fillId="5" borderId="7" applyAlignment="1" pivotButton="0" quotePrefix="0" xfId="0">
      <alignment horizontal="center" vertical="center" wrapText="1"/>
    </xf>
    <xf numFmtId="0" fontId="3" fillId="5" borderId="1389" applyAlignment="1" pivotButton="0" quotePrefix="0" xfId="0">
      <alignment horizontal="center" vertical="center" wrapText="1"/>
    </xf>
    <xf numFmtId="0" fontId="2" fillId="0" borderId="1195" applyAlignment="1" pivotButton="0" quotePrefix="0" xfId="0">
      <alignment horizontal="left"/>
    </xf>
    <xf numFmtId="0" fontId="3" fillId="0" borderId="1195" applyAlignment="1" pivotButton="0" quotePrefix="0" xfId="0">
      <alignment horizontal="center" vertical="center" wrapText="1"/>
    </xf>
    <xf numFmtId="0" fontId="3" fillId="0" borderId="1260" applyAlignment="1" pivotButton="0" quotePrefix="0" xfId="0">
      <alignment horizontal="center" vertical="center" wrapText="1"/>
    </xf>
    <xf numFmtId="0" fontId="3" fillId="5" borderId="1245" applyAlignment="1" pivotButton="0" quotePrefix="0" xfId="0">
      <alignment horizontal="center" vertical="center" wrapText="1"/>
    </xf>
    <xf numFmtId="0" fontId="3" fillId="5" borderId="247" applyAlignment="1" pivotButton="0" quotePrefix="0" xfId="0">
      <alignment horizontal="center" vertical="center" wrapText="1"/>
    </xf>
    <xf numFmtId="0" fontId="3" fillId="5" borderId="1252" applyAlignment="1" pivotButton="0" quotePrefix="0" xfId="0">
      <alignment horizontal="center" vertical="center" wrapText="1"/>
    </xf>
    <xf numFmtId="0" fontId="3" fillId="0" borderId="1260" applyAlignment="1" pivotButton="0" quotePrefix="0" xfId="0">
      <alignment horizontal="center" vertical="center"/>
    </xf>
    <xf numFmtId="1" fontId="3" fillId="0" borderId="1215" applyAlignment="1" applyProtection="1" pivotButton="0" quotePrefix="0" xfId="0">
      <alignment horizontal="center" vertical="center" wrapText="1"/>
      <protection locked="1" hidden="1"/>
    </xf>
    <xf numFmtId="0" fontId="3" fillId="5" borderId="1290" applyAlignment="1" pivotButton="0" quotePrefix="0" xfId="0">
      <alignment horizontal="center" vertical="center" wrapText="1"/>
    </xf>
    <xf numFmtId="0" fontId="3" fillId="5" borderId="1288" applyAlignment="1" pivotButton="0" quotePrefix="0" xfId="0">
      <alignment horizontal="center" vertical="center" wrapText="1"/>
    </xf>
    <xf numFmtId="0" fontId="3" fillId="5" borderId="1291" applyAlignment="1" pivotButton="0" quotePrefix="0" xfId="0">
      <alignment horizontal="center" vertical="center" wrapText="1"/>
    </xf>
    <xf numFmtId="0" fontId="3" fillId="5" borderId="1189" applyAlignment="1" pivotButton="0" quotePrefix="0" xfId="0">
      <alignment horizontal="center" vertical="center" wrapText="1"/>
    </xf>
    <xf numFmtId="0" fontId="3" fillId="5" borderId="1174" applyAlignment="1" pivotButton="0" quotePrefix="0" xfId="0">
      <alignment horizontal="center" vertical="center" wrapText="1"/>
    </xf>
    <xf numFmtId="0" fontId="3" fillId="0" borderId="1223" applyAlignment="1" pivotButton="0" quotePrefix="0" xfId="0">
      <alignment horizontal="center" vertical="center" wrapText="1"/>
    </xf>
    <xf numFmtId="0" fontId="3" fillId="0" borderId="1290" applyAlignment="1" pivotButton="0" quotePrefix="0" xfId="0">
      <alignment horizontal="center" vertical="center" wrapText="1"/>
    </xf>
    <xf numFmtId="0" fontId="3" fillId="0" borderId="1288" applyAlignment="1" pivotButton="0" quotePrefix="0" xfId="0">
      <alignment horizontal="center" vertical="center" wrapText="1"/>
    </xf>
    <xf numFmtId="0" fontId="3" fillId="0" borderId="1294" applyAlignment="1" pivotButton="0" quotePrefix="0" xfId="0">
      <alignment horizontal="center" vertical="center" wrapText="1"/>
    </xf>
    <xf numFmtId="0" fontId="3" fillId="0" borderId="1295" applyAlignment="1" pivotButton="0" quotePrefix="0" xfId="0">
      <alignment horizontal="center" vertical="center" wrapText="1"/>
    </xf>
    <xf numFmtId="0" fontId="3" fillId="0" borderId="296" applyAlignment="1" pivotButton="0" quotePrefix="0" xfId="0">
      <alignment horizontal="center" vertical="center" wrapText="1"/>
    </xf>
    <xf numFmtId="0" fontId="3" fillId="0" borderId="1296" applyAlignment="1" pivotButton="0" quotePrefix="0" xfId="0">
      <alignment horizontal="center" vertical="center" wrapText="1"/>
    </xf>
    <xf numFmtId="0" fontId="3" fillId="0" borderId="787" applyAlignment="1" pivotButton="0" quotePrefix="0" xfId="0">
      <alignment horizontal="center" vertical="center" wrapText="1"/>
    </xf>
    <xf numFmtId="0" fontId="3" fillId="5" borderId="1223" applyAlignment="1" pivotButton="0" quotePrefix="0" xfId="0">
      <alignment horizontal="center" vertical="center" wrapText="1"/>
    </xf>
    <xf numFmtId="0" fontId="3" fillId="5" borderId="1215" applyAlignment="1" pivotButton="0" quotePrefix="0" xfId="0">
      <alignment horizontal="center" vertical="center" wrapText="1"/>
    </xf>
    <xf numFmtId="0" fontId="3" fillId="5" borderId="849" applyAlignment="1" pivotButton="0" quotePrefix="0" xfId="0">
      <alignment horizontal="center" vertical="center" wrapText="1"/>
    </xf>
    <xf numFmtId="0" fontId="3" fillId="5" borderId="1289" applyAlignment="1" pivotButton="0" quotePrefix="0" xfId="0">
      <alignment horizontal="center" vertical="center" wrapText="1"/>
    </xf>
    <xf numFmtId="0" fontId="2" fillId="5" borderId="1288" applyAlignment="1" pivotButton="0" quotePrefix="0" xfId="0">
      <alignment horizontal="left" vertical="center"/>
    </xf>
    <xf numFmtId="0" fontId="2" fillId="0" borderId="1288" applyAlignment="1" pivotButton="0" quotePrefix="0" xfId="0">
      <alignment horizontal="left" vertical="center"/>
    </xf>
    <xf numFmtId="1" fontId="3" fillId="0" borderId="1231" applyAlignment="1" pivotButton="0" quotePrefix="0" xfId="0">
      <alignment horizontal="left" vertical="center" wrapText="1"/>
    </xf>
    <xf numFmtId="1" fontId="3" fillId="0" borderId="1241" applyAlignment="1" pivotButton="0" quotePrefix="0" xfId="0">
      <alignment horizontal="center" vertical="center" wrapText="1"/>
    </xf>
    <xf numFmtId="0" fontId="2" fillId="0" borderId="1238" applyAlignment="1" pivotButton="0" quotePrefix="0" xfId="22">
      <alignment horizontal="left" vertical="center"/>
    </xf>
    <xf numFmtId="0" fontId="3" fillId="0" borderId="1280" applyAlignment="1" pivotButton="0" quotePrefix="0" xfId="0">
      <alignment horizontal="center" vertical="center" wrapText="1"/>
    </xf>
    <xf numFmtId="0" fontId="3" fillId="0" borderId="871" applyAlignment="1" pivotButton="0" quotePrefix="0" xfId="0">
      <alignment horizontal="center" vertical="center" wrapText="1"/>
    </xf>
    <xf numFmtId="0" fontId="3" fillId="0" borderId="1266" applyAlignment="1" pivotButton="0" quotePrefix="0" xfId="0">
      <alignment horizontal="center" vertical="center" wrapText="1"/>
    </xf>
    <xf numFmtId="1" fontId="3" fillId="0" borderId="1265" applyAlignment="1" pivotButton="0" quotePrefix="0" xfId="0">
      <alignment horizontal="center" vertical="center" wrapText="1"/>
    </xf>
    <xf numFmtId="1" fontId="3" fillId="0" borderId="1269" applyAlignment="1" pivotButton="0" quotePrefix="0" xfId="0">
      <alignment horizontal="center" vertical="center" wrapText="1"/>
    </xf>
    <xf numFmtId="1" fontId="3" fillId="0" borderId="1266" applyAlignment="1" pivotButton="0" quotePrefix="0" xfId="0">
      <alignment horizontal="center" vertical="center" wrapText="1"/>
    </xf>
    <xf numFmtId="0" fontId="2" fillId="0" borderId="1195" applyAlignment="1" pivotButton="0" quotePrefix="0" xfId="20">
      <alignment horizontal="left" vertical="center" wrapText="1"/>
    </xf>
    <xf numFmtId="0" fontId="3" fillId="0" borderId="1437" applyAlignment="1" pivotButton="0" quotePrefix="0" xfId="0">
      <alignment horizontal="center" vertical="center" wrapText="1"/>
    </xf>
    <xf numFmtId="0" fontId="3" fillId="0" borderId="1424" applyAlignment="1" pivotButton="0" quotePrefix="0" xfId="0">
      <alignment horizontal="center" vertical="center" wrapText="1"/>
    </xf>
    <xf numFmtId="165" fontId="3" fillId="0" borderId="1234" applyAlignment="1" pivotButton="0" quotePrefix="0" xfId="18">
      <alignment horizontal="center" vertical="center" wrapText="1"/>
    </xf>
    <xf numFmtId="165" fontId="3" fillId="0" borderId="1240" applyAlignment="1" pivotButton="0" quotePrefix="0" xfId="18">
      <alignment horizontal="center" vertical="center" wrapText="1"/>
    </xf>
    <xf numFmtId="165" fontId="3" fillId="0" borderId="1233" applyAlignment="1" pivotButton="0" quotePrefix="0" xfId="18">
      <alignment horizontal="center" vertical="center" wrapText="1"/>
    </xf>
    <xf numFmtId="165" fontId="3" fillId="0" borderId="1233" applyAlignment="1" pivotButton="0" quotePrefix="0" xfId="17">
      <alignment horizontal="center" vertical="center"/>
    </xf>
    <xf numFmtId="165" fontId="3" fillId="0" borderId="1232" applyAlignment="1" pivotButton="0" quotePrefix="0" xfId="17">
      <alignment horizontal="center" vertical="center"/>
    </xf>
    <xf numFmtId="1" fontId="3" fillId="0" borderId="1260" applyAlignment="1" pivotButton="0" quotePrefix="0" xfId="0">
      <alignment horizontal="center" vertical="center"/>
    </xf>
    <xf numFmtId="0" fontId="2" fillId="0" borderId="1240" applyAlignment="1" pivotButton="0" quotePrefix="0" xfId="20">
      <alignment horizontal="left" vertical="center" wrapText="1"/>
    </xf>
    <xf numFmtId="1" fontId="3" fillId="0" borderId="1239" applyAlignment="1" pivotButton="0" quotePrefix="0" xfId="0">
      <alignment horizontal="center" vertical="center" wrapText="1"/>
    </xf>
    <xf numFmtId="1" fontId="3" fillId="0" borderId="1196" applyAlignment="1" pivotButton="0" quotePrefix="0" xfId="0">
      <alignment horizontal="center" vertical="center" wrapText="1"/>
    </xf>
    <xf numFmtId="1" fontId="3" fillId="5" borderId="1290" applyAlignment="1" pivotButton="0" quotePrefix="0" xfId="0">
      <alignment horizontal="center" vertical="center" wrapText="1"/>
    </xf>
    <xf numFmtId="1" fontId="3" fillId="5" borderId="1288" applyAlignment="1" pivotButton="0" quotePrefix="0" xfId="0">
      <alignment horizontal="center" vertical="center" wrapText="1"/>
    </xf>
    <xf numFmtId="1" fontId="3" fillId="5" borderId="1289" applyAlignment="1" pivotButton="0" quotePrefix="0" xfId="0">
      <alignment horizontal="center" vertical="center" wrapText="1"/>
    </xf>
    <xf numFmtId="1" fontId="3" fillId="0" borderId="1260" applyAlignment="1" pivotButton="0" quotePrefix="0" xfId="0">
      <alignment horizontal="center" vertical="center" wrapText="1"/>
    </xf>
    <xf numFmtId="0" fontId="3" fillId="0" borderId="1288" applyAlignment="1" pivotButton="0" quotePrefix="0" xfId="0">
      <alignment horizontal="center" vertical="center"/>
    </xf>
    <xf numFmtId="0" fontId="3" fillId="0" borderId="1289" applyAlignment="1" pivotButton="0" quotePrefix="0" xfId="0">
      <alignment horizontal="center" vertical="center"/>
    </xf>
    <xf numFmtId="0" fontId="3" fillId="0" borderId="1174" applyAlignment="1" pivotButton="0" quotePrefix="0" xfId="0">
      <alignment horizontal="center" vertical="center"/>
    </xf>
    <xf numFmtId="0" fontId="3" fillId="0" borderId="1200" applyAlignment="1" pivotButton="0" quotePrefix="0" xfId="0">
      <alignment horizontal="center" vertical="center"/>
    </xf>
    <xf numFmtId="1" fontId="3" fillId="5" borderId="1215" applyAlignment="1" applyProtection="1" pivotButton="0" quotePrefix="0" xfId="0">
      <alignment horizontal="center" vertical="center" wrapText="1"/>
      <protection locked="1" hidden="1"/>
    </xf>
    <xf numFmtId="1" fontId="3" fillId="5" borderId="849" applyAlignment="1" applyProtection="1" pivotButton="0" quotePrefix="0" xfId="0">
      <alignment horizontal="center" vertical="center" wrapText="1"/>
      <protection locked="1" hidden="1"/>
    </xf>
    <xf numFmtId="1" fontId="3" fillId="5" borderId="1180" applyAlignment="1" pivotButton="0" quotePrefix="0" xfId="0">
      <alignment horizontal="center" vertical="center" wrapText="1"/>
    </xf>
    <xf numFmtId="1" fontId="3" fillId="5" borderId="1174" applyAlignment="1" pivotButton="0" quotePrefix="0" xfId="0">
      <alignment horizontal="center" vertical="center" wrapText="1"/>
    </xf>
    <xf numFmtId="0" fontId="3" fillId="0" borderId="1180" applyAlignment="1" pivotButton="0" quotePrefix="0" xfId="0">
      <alignment horizontal="center" vertical="center"/>
    </xf>
    <xf numFmtId="0" fontId="3" fillId="0" borderId="1181" applyAlignment="1" pivotButton="0" quotePrefix="0" xfId="0">
      <alignment horizontal="center" vertical="center"/>
    </xf>
    <xf numFmtId="1" fontId="3" fillId="0" borderId="1216" applyAlignment="1" pivotButton="0" quotePrefix="0" xfId="0">
      <alignment horizontal="center" vertical="center" wrapText="1"/>
    </xf>
    <xf numFmtId="1" fontId="3" fillId="0" borderId="1235" applyAlignment="1" pivotButton="0" quotePrefix="0" xfId="0">
      <alignment horizontal="center" vertical="center" wrapText="1"/>
    </xf>
    <xf numFmtId="1" fontId="3" fillId="0" borderId="1261" applyAlignment="1" pivotButton="0" quotePrefix="0" xfId="0">
      <alignment horizontal="center" vertical="center" wrapText="1"/>
    </xf>
    <xf numFmtId="1" fontId="3" fillId="0" borderId="1259" applyAlignment="1" pivotButton="0" quotePrefix="0" xfId="0">
      <alignment horizontal="center" vertical="center" wrapText="1"/>
    </xf>
    <xf numFmtId="0" fontId="2" fillId="0" borderId="0" applyAlignment="1" pivotButton="0" quotePrefix="0" xfId="20">
      <alignment horizontal="left" vertical="center" wrapText="1"/>
    </xf>
    <xf numFmtId="165" fontId="3" fillId="0" borderId="1234" applyAlignment="1" pivotButton="0" quotePrefix="0" xfId="17">
      <alignment horizontal="center" vertical="center"/>
    </xf>
    <xf numFmtId="165" fontId="3" fillId="0" borderId="1243" applyAlignment="1" pivotButton="0" quotePrefix="0" xfId="17">
      <alignment horizontal="center" vertical="center"/>
    </xf>
    <xf numFmtId="1" fontId="3" fillId="0" borderId="1279" applyAlignment="1" pivotButton="0" quotePrefix="0" xfId="0">
      <alignment horizontal="center" vertical="center" wrapText="1"/>
    </xf>
    <xf numFmtId="1" fontId="3" fillId="0" borderId="296" applyAlignment="1" pivotButton="0" quotePrefix="0" xfId="0">
      <alignment horizontal="center" vertical="center" wrapText="1"/>
    </xf>
    <xf numFmtId="0" fontId="2" fillId="0" borderId="1238" applyAlignment="1" pivotButton="0" quotePrefix="0" xfId="20">
      <alignment horizontal="left" vertical="center" wrapText="1"/>
    </xf>
    <xf numFmtId="1" fontId="3" fillId="0" borderId="1232" applyAlignment="1" applyProtection="1" pivotButton="0" quotePrefix="0" xfId="0">
      <alignment horizontal="center" vertical="center" wrapText="1"/>
      <protection locked="1" hidden="1"/>
    </xf>
    <xf numFmtId="165" fontId="3" fillId="0" borderId="1253" applyAlignment="1" pivotButton="0" quotePrefix="0" xfId="17">
      <alignment horizontal="center" vertical="center"/>
    </xf>
    <xf numFmtId="165" fontId="3" fillId="0" borderId="1257" applyAlignment="1" pivotButton="0" quotePrefix="0" xfId="17">
      <alignment horizontal="center" vertical="center"/>
    </xf>
    <xf numFmtId="0" fontId="3" fillId="0" borderId="1265" applyAlignment="1" pivotButton="0" quotePrefix="0" xfId="0">
      <alignment horizontal="center" vertical="center" wrapText="1"/>
    </xf>
    <xf numFmtId="0" fontId="3" fillId="0" borderId="1269" applyAlignment="1" pivotButton="0" quotePrefix="0" xfId="0">
      <alignment horizontal="center" vertical="center" wrapText="1"/>
    </xf>
    <xf numFmtId="1" fontId="3" fillId="0" borderId="1280" applyAlignment="1" pivotButton="0" quotePrefix="0" xfId="0">
      <alignment horizontal="center" vertical="center" wrapText="1"/>
    </xf>
    <xf numFmtId="1" fontId="3" fillId="0" borderId="871" applyAlignment="1" pivotButton="0" quotePrefix="0" xfId="0">
      <alignment horizontal="center" vertical="center" wrapText="1"/>
    </xf>
    <xf numFmtId="165" fontId="3" fillId="0" borderId="1231" applyAlignment="1" pivotButton="0" quotePrefix="0" xfId="18">
      <alignment horizontal="center" vertical="center"/>
    </xf>
    <xf numFmtId="165" fontId="3" fillId="0" borderId="281" applyAlignment="1" pivotButton="0" quotePrefix="0" xfId="18">
      <alignment horizontal="center" vertical="center"/>
    </xf>
    <xf numFmtId="165" fontId="3" fillId="0" borderId="849" applyAlignment="1" pivotButton="0" quotePrefix="0" xfId="18">
      <alignment horizontal="center" vertical="center"/>
    </xf>
    <xf numFmtId="165" fontId="3" fillId="0" borderId="1234" applyAlignment="1" pivotButton="0" quotePrefix="0" xfId="18">
      <alignment horizontal="center" vertical="center"/>
    </xf>
    <xf numFmtId="165" fontId="3" fillId="0" borderId="1240" applyAlignment="1" pivotButton="0" quotePrefix="0" xfId="18">
      <alignment horizontal="center" vertical="center"/>
    </xf>
    <xf numFmtId="165" fontId="3" fillId="0" borderId="1233" applyAlignment="1" pivotButton="0" quotePrefix="0" xfId="18">
      <alignment horizontal="center" vertical="center"/>
    </xf>
    <xf numFmtId="165" fontId="3" fillId="0" borderId="1237" applyAlignment="1" pivotButton="0" quotePrefix="0" xfId="18">
      <alignment horizontal="center" vertical="center"/>
    </xf>
    <xf numFmtId="165" fontId="3" fillId="0" borderId="1242" applyAlignment="1" pivotButton="0" quotePrefix="0" xfId="18">
      <alignment horizontal="center" vertical="center"/>
    </xf>
    <xf numFmtId="165" fontId="3" fillId="0" borderId="850" applyAlignment="1" pivotButton="0" quotePrefix="0" xfId="18">
      <alignment horizontal="center" vertical="center"/>
    </xf>
    <xf numFmtId="165" fontId="3" fillId="0" borderId="1200" applyAlignment="1" pivotButton="0" quotePrefix="0" xfId="18">
      <alignment horizontal="center" vertical="center"/>
    </xf>
    <xf numFmtId="0" fontId="2" fillId="0" borderId="850" applyAlignment="1" pivotButton="0" quotePrefix="0" xfId="20">
      <alignment horizontal="left" vertical="center" wrapText="1"/>
    </xf>
    <xf numFmtId="165" fontId="3" fillId="0" borderId="1232" applyAlignment="1" pivotButton="0" quotePrefix="0" xfId="18">
      <alignment horizontal="center" vertical="center"/>
    </xf>
    <xf numFmtId="165" fontId="3" fillId="0" borderId="1237" applyAlignment="1" pivotButton="0" quotePrefix="0" xfId="18">
      <alignment horizontal="center" vertical="center" wrapText="1"/>
    </xf>
    <xf numFmtId="165" fontId="3" fillId="0" borderId="1238" applyAlignment="1" pivotButton="0" quotePrefix="0" xfId="18">
      <alignment horizontal="center" vertical="center" wrapText="1"/>
    </xf>
    <xf numFmtId="165" fontId="3" fillId="0" borderId="1242" applyAlignment="1" pivotButton="0" quotePrefix="0" xfId="18">
      <alignment horizontal="center" vertical="center" wrapText="1"/>
    </xf>
    <xf numFmtId="0" fontId="2" fillId="0" borderId="1234" applyAlignment="1" pivotButton="0" quotePrefix="0" xfId="20">
      <alignment horizontal="left" vertical="center" wrapText="1"/>
    </xf>
    <xf numFmtId="0" fontId="0" fillId="0" borderId="0" applyAlignment="1" pivotButton="0" quotePrefix="0" xfId="0">
      <alignment horizontal="center" vertical="center" wrapText="1"/>
    </xf>
    <xf numFmtId="0" fontId="3" fillId="0" borderId="1223" applyAlignment="1" pivotButton="0" quotePrefix="0" xfId="0">
      <alignment horizontal="center" vertical="center"/>
    </xf>
    <xf numFmtId="1" fontId="3" fillId="0" borderId="1300" applyAlignment="1" pivotButton="0" quotePrefix="0" xfId="0">
      <alignment horizontal="center" vertical="center"/>
    </xf>
    <xf numFmtId="1" fontId="3" fillId="0" borderId="1288" applyAlignment="1" pivotButton="0" quotePrefix="0" xfId="0">
      <alignment horizontal="center" vertical="center"/>
    </xf>
    <xf numFmtId="1" fontId="3" fillId="0" borderId="1302" applyAlignment="1" pivotButton="0" quotePrefix="0" xfId="0">
      <alignment horizontal="center" vertical="center"/>
    </xf>
    <xf numFmtId="0" fontId="3" fillId="0" borderId="1215" applyAlignment="1" pivotButton="0" quotePrefix="0" xfId="0">
      <alignment horizontal="center" vertical="center"/>
    </xf>
    <xf numFmtId="0" fontId="3" fillId="0" borderId="18" applyAlignment="1" pivotButton="0" quotePrefix="0" xfId="0">
      <alignment horizontal="center" vertical="center"/>
    </xf>
    <xf numFmtId="0" fontId="3" fillId="0" borderId="1141" applyAlignment="1" pivotButton="0" quotePrefix="0" xfId="0">
      <alignment horizontal="center" vertical="center"/>
    </xf>
    <xf numFmtId="0" fontId="3" fillId="0" borderId="19" applyAlignment="1" pivotButton="0" quotePrefix="0" xfId="0">
      <alignment horizontal="center" vertical="center"/>
    </xf>
    <xf numFmtId="0" fontId="3" fillId="0" borderId="25" applyAlignment="1" pivotButton="0" quotePrefix="0" xfId="0">
      <alignment horizontal="center" vertical="center"/>
    </xf>
    <xf numFmtId="1" fontId="3" fillId="0" borderId="24" applyAlignment="1" pivotButton="0" quotePrefix="0" xfId="0">
      <alignment horizontal="center" vertical="center" wrapText="1"/>
    </xf>
    <xf numFmtId="0" fontId="3" fillId="0" borderId="1180" applyAlignment="1" pivotButton="0" quotePrefix="0" xfId="0">
      <alignment horizontal="center" wrapText="1"/>
    </xf>
    <xf numFmtId="0" fontId="3" fillId="0" borderId="1174" applyAlignment="1" pivotButton="0" quotePrefix="0" xfId="0">
      <alignment horizontal="center" wrapText="1"/>
    </xf>
    <xf numFmtId="0" fontId="3" fillId="0" borderId="850" applyAlignment="1" pivotButton="0" quotePrefix="0" xfId="0">
      <alignment horizontal="center" wrapText="1"/>
    </xf>
    <xf numFmtId="0" fontId="3" fillId="0" borderId="1200" applyAlignment="1" pivotButton="0" quotePrefix="0" xfId="0">
      <alignment horizontal="center" wrapText="1"/>
    </xf>
    <xf numFmtId="1" fontId="3" fillId="0" borderId="1300" applyAlignment="1" pivotButton="0" quotePrefix="0" xfId="0">
      <alignment horizontal="center" vertical="center" wrapText="1"/>
    </xf>
    <xf numFmtId="1" fontId="3" fillId="0" borderId="1289" applyAlignment="1" pivotButton="0" quotePrefix="0" xfId="0">
      <alignment horizontal="center" vertical="center" wrapText="1"/>
    </xf>
    <xf numFmtId="1" fontId="3" fillId="0" borderId="1290" applyAlignment="1" pivotButton="0" quotePrefix="0" xfId="0">
      <alignment horizontal="center" vertical="center" wrapText="1"/>
    </xf>
    <xf numFmtId="1" fontId="3" fillId="0" borderId="130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wrapText="1"/>
    </xf>
    <xf numFmtId="0" fontId="2" fillId="0" borderId="24" applyAlignment="1" pivotButton="0" quotePrefix="0" xfId="0">
      <alignment horizontal="left"/>
    </xf>
    <xf numFmtId="1" fontId="4" fillId="0" borderId="18" applyAlignment="1" pivotButton="0" quotePrefix="0" xfId="0">
      <alignment horizontal="center" vertical="center" wrapText="1"/>
    </xf>
    <xf numFmtId="1" fontId="4" fillId="0" borderId="20" applyAlignment="1" pivotButton="0" quotePrefix="0" xfId="0">
      <alignment horizontal="center" vertical="center" wrapText="1"/>
    </xf>
    <xf numFmtId="1" fontId="4" fillId="0" borderId="19" applyAlignment="1" pivotButton="0" quotePrefix="0" xfId="0">
      <alignment horizontal="center" vertical="center" wrapText="1"/>
    </xf>
    <xf numFmtId="1" fontId="4" fillId="0" borderId="21" applyAlignment="1" pivotButton="0" quotePrefix="0" xfId="0">
      <alignment horizontal="center" vertical="center" wrapText="1"/>
    </xf>
    <xf numFmtId="1" fontId="4" fillId="0" borderId="0" applyAlignment="1" pivotButton="0" quotePrefix="0" xfId="0">
      <alignment horizontal="center" vertical="center" wrapText="1"/>
    </xf>
    <xf numFmtId="1" fontId="4" fillId="0" borderId="22" applyAlignment="1" pivotButton="0" quotePrefix="0" xfId="0">
      <alignment horizontal="center" vertical="center" wrapText="1"/>
    </xf>
    <xf numFmtId="1" fontId="3" fillId="0" borderId="1291" applyAlignment="1" pivotButton="0" quotePrefix="0" xfId="0">
      <alignment horizontal="center" vertical="center"/>
    </xf>
    <xf numFmtId="1" fontId="3" fillId="0" borderId="1290" applyAlignment="1" pivotButton="0" quotePrefix="0" xfId="0">
      <alignment horizontal="center" vertical="center"/>
    </xf>
    <xf numFmtId="0" fontId="3" fillId="0" borderId="93" applyAlignment="1" pivotButton="0" quotePrefix="0" xfId="0">
      <alignment horizontal="center" vertical="center" wrapText="1"/>
    </xf>
    <xf numFmtId="0" fontId="3" fillId="0" borderId="136" applyAlignment="1" pivotButton="0" quotePrefix="0" xfId="0">
      <alignment horizontal="center" vertical="center" wrapText="1"/>
    </xf>
    <xf numFmtId="0" fontId="3" fillId="0" borderId="1222" applyAlignment="1" pivotButton="0" quotePrefix="0" xfId="0">
      <alignment horizontal="center" vertical="center" wrapText="1"/>
    </xf>
    <xf numFmtId="0" fontId="7" fillId="0" borderId="1215" applyAlignment="1" pivotButton="0" quotePrefix="0" xfId="0">
      <alignment horizontal="center" vertical="center"/>
    </xf>
    <xf numFmtId="0" fontId="7" fillId="0" borderId="849" applyAlignment="1" pivotButton="0" quotePrefix="0" xfId="0">
      <alignment horizontal="center" vertical="center"/>
    </xf>
    <xf numFmtId="0" fontId="7" fillId="0" borderId="281" applyAlignment="1" pivotButton="0" quotePrefix="0" xfId="0">
      <alignment horizontal="center" vertical="center"/>
    </xf>
    <xf numFmtId="0" fontId="3" fillId="0" borderId="21" applyAlignment="1" pivotButton="0" quotePrefix="0" xfId="0">
      <alignment horizontal="center" vertical="center"/>
    </xf>
    <xf numFmtId="0" fontId="3" fillId="0" borderId="73" applyAlignment="1" pivotButton="0" quotePrefix="0" xfId="0">
      <alignment horizontal="center" vertical="center" wrapText="1"/>
    </xf>
    <xf numFmtId="0" fontId="3" fillId="0" borderId="48" applyAlignment="1" pivotButton="0" quotePrefix="0" xfId="0">
      <alignment horizontal="center" vertical="center" wrapText="1"/>
    </xf>
    <xf numFmtId="0" fontId="3" fillId="0" borderId="148" applyAlignment="1" pivotButton="0" quotePrefix="0" xfId="0">
      <alignment horizontal="center" vertical="center" wrapText="1"/>
    </xf>
    <xf numFmtId="0" fontId="3" fillId="0" borderId="1290" applyAlignment="1" pivotButton="0" quotePrefix="0" xfId="0">
      <alignment horizontal="center" vertical="center"/>
    </xf>
    <xf numFmtId="0" fontId="3" fillId="0" borderId="28" applyAlignment="1" pivotButton="0" quotePrefix="0" xfId="0">
      <alignment horizontal="center" vertical="center"/>
    </xf>
    <xf numFmtId="0" fontId="3" fillId="0" borderId="73" applyAlignment="1" pivotButton="0" quotePrefix="0" xfId="0">
      <alignment horizontal="center" wrapText="1"/>
    </xf>
    <xf numFmtId="0" fontId="3" fillId="0" borderId="28" applyAlignment="1" pivotButton="0" quotePrefix="0" xfId="0">
      <alignment horizontal="center" wrapText="1"/>
    </xf>
    <xf numFmtId="0" fontId="3" fillId="0" borderId="1306" applyAlignment="1" pivotButton="0" quotePrefix="0" xfId="0">
      <alignment horizontal="center" vertical="center"/>
    </xf>
    <xf numFmtId="0" fontId="3" fillId="0" borderId="1307" applyAlignment="1" pivotButton="0" quotePrefix="0" xfId="0">
      <alignment horizontal="center" vertical="center"/>
    </xf>
    <xf numFmtId="1" fontId="1" fillId="5" borderId="0" applyAlignment="1" pivotButton="0" quotePrefix="0" xfId="0">
      <alignment horizontal="center" vertical="center" wrapText="1"/>
    </xf>
    <xf numFmtId="0" fontId="3" fillId="5" borderId="1215" applyAlignment="1" pivotButton="0" quotePrefix="0" xfId="0">
      <alignment horizontal="center" vertical="center"/>
    </xf>
    <xf numFmtId="0" fontId="3" fillId="5" borderId="1180" applyAlignment="1" pivotButton="0" quotePrefix="0" xfId="0">
      <alignment horizontal="center" wrapText="1"/>
    </xf>
    <xf numFmtId="0" fontId="3" fillId="5" borderId="1290" applyAlignment="1" pivotButton="0" quotePrefix="0" xfId="0">
      <alignment horizontal="center" wrapText="1"/>
    </xf>
    <xf numFmtId="0" fontId="3" fillId="5" borderId="1257" applyAlignment="1" pivotButton="0" quotePrefix="0" xfId="0">
      <alignment horizontal="center" wrapText="1"/>
    </xf>
    <xf numFmtId="0" fontId="3" fillId="5" borderId="1223" applyAlignment="1" pivotButton="0" quotePrefix="0" xfId="0">
      <alignment horizontal="center" wrapText="1"/>
    </xf>
    <xf numFmtId="0" fontId="3" fillId="20" borderId="1215" applyAlignment="1" pivotButton="0" quotePrefix="0" xfId="0">
      <alignment vertical="center" wrapText="1"/>
    </xf>
    <xf numFmtId="0" fontId="3" fillId="0" borderId="1215" applyAlignment="1" pivotButton="0" quotePrefix="0" xfId="0">
      <alignment horizontal="center" vertical="center" wrapText="1"/>
    </xf>
    <xf numFmtId="1" fontId="3" fillId="0" borderId="1288" applyAlignment="1" pivotButton="0" quotePrefix="0" xfId="0">
      <alignment horizontal="center" vertical="center" wrapText="1"/>
    </xf>
    <xf numFmtId="1" fontId="3" fillId="0" borderId="1223" applyAlignment="1" pivotButton="0" quotePrefix="0" xfId="0">
      <alignment horizontal="center" vertical="center"/>
    </xf>
    <xf numFmtId="1" fontId="3" fillId="0" borderId="1250" applyAlignment="1" pivotButton="0" quotePrefix="0" xfId="0">
      <alignment horizontal="center" vertical="center" wrapText="1"/>
    </xf>
    <xf numFmtId="1" fontId="3" fillId="0" borderId="1236" applyAlignment="1" pivotButton="0" quotePrefix="0" xfId="0">
      <alignment horizontal="center" vertical="center" wrapText="1"/>
    </xf>
    <xf numFmtId="1" fontId="3" fillId="5" borderId="1200" applyAlignment="1" pivotButton="0" quotePrefix="0" xfId="0">
      <alignment horizontal="center" vertical="center" wrapText="1"/>
    </xf>
    <xf numFmtId="0" fontId="3" fillId="0" borderId="1290" applyAlignment="1" pivotButton="0" quotePrefix="0" xfId="0">
      <alignment horizontal="center" wrapText="1"/>
    </xf>
    <xf numFmtId="0" fontId="3" fillId="0" borderId="1288" applyAlignment="1" pivotButton="0" quotePrefix="0" xfId="0">
      <alignment horizontal="center" wrapText="1"/>
    </xf>
    <xf numFmtId="0" fontId="3" fillId="0" borderId="1289" applyAlignment="1" pivotButton="0" quotePrefix="0" xfId="0">
      <alignment horizontal="center" wrapText="1"/>
    </xf>
    <xf numFmtId="1" fontId="3" fillId="0" borderId="1223" applyAlignment="1" pivotButton="0" quotePrefix="0" xfId="0">
      <alignment horizontal="center" vertical="center" wrapText="1"/>
    </xf>
    <xf numFmtId="1" fontId="3" fillId="0" borderId="1215" applyAlignment="1" pivotButton="0" quotePrefix="0" xfId="0">
      <alignment horizontal="center" vertical="center"/>
    </xf>
    <xf numFmtId="1" fontId="3" fillId="3" borderId="1180" applyAlignment="1" pivotButton="0" quotePrefix="0" xfId="0">
      <alignment horizontal="center" vertical="center"/>
    </xf>
    <xf numFmtId="0" fontId="3" fillId="5" borderId="1223" applyAlignment="1" pivotButton="0" quotePrefix="0" xfId="0">
      <alignment horizontal="center" vertical="center"/>
    </xf>
    <xf numFmtId="0" fontId="3" fillId="20" borderId="1223" applyAlignment="1" pivotButton="0" quotePrefix="0" xfId="0">
      <alignment horizontal="center" vertical="center" wrapText="1"/>
    </xf>
    <xf numFmtId="0" fontId="3" fillId="0" borderId="1223" applyAlignment="1" pivotButton="0" quotePrefix="0" xfId="0">
      <alignment horizontal="center" wrapText="1"/>
    </xf>
    <xf numFmtId="0" fontId="3" fillId="0" borderId="1257" applyAlignment="1" pivotButton="0" quotePrefix="0" xfId="0">
      <alignment horizontal="center" wrapText="1"/>
    </xf>
    <xf numFmtId="1" fontId="3" fillId="3" borderId="1290" applyAlignment="1" pivotButton="0" quotePrefix="0" xfId="0">
      <alignment horizontal="center"/>
    </xf>
    <xf numFmtId="1" fontId="3" fillId="3" borderId="1288" applyAlignment="1" pivotButton="0" quotePrefix="0" xfId="0">
      <alignment horizontal="center"/>
    </xf>
    <xf numFmtId="1" fontId="3" fillId="3" borderId="1294" applyAlignment="1" pivotButton="0" quotePrefix="0" xfId="0">
      <alignment horizontal="center"/>
    </xf>
    <xf numFmtId="0" fontId="3" fillId="0" borderId="1289" applyAlignment="1" pivotButton="0" quotePrefix="0" xfId="0">
      <alignment horizontal="center"/>
    </xf>
    <xf numFmtId="0" fontId="3" fillId="0" borderId="1223" applyAlignment="1" pivotButton="0" quotePrefix="0" xfId="0">
      <alignment horizontal="center"/>
    </xf>
    <xf numFmtId="0" fontId="3" fillId="0" borderId="1257" applyAlignment="1" pivotButton="0" quotePrefix="0" xfId="0">
      <alignment horizontal="center"/>
    </xf>
    <xf numFmtId="1" fontId="3" fillId="5" borderId="283" applyAlignment="1" pivotButton="0" quotePrefix="0" xfId="0">
      <alignment horizontal="center" vertical="center" wrapText="1"/>
    </xf>
    <xf numFmtId="1" fontId="3" fillId="3" borderId="1290" applyAlignment="1" pivotButton="0" quotePrefix="0" xfId="0">
      <alignment horizontal="center" vertical="center"/>
    </xf>
    <xf numFmtId="1" fontId="3" fillId="3" borderId="1288" applyAlignment="1" pivotButton="0" quotePrefix="0" xfId="0">
      <alignment horizontal="center" vertical="center"/>
    </xf>
    <xf numFmtId="1" fontId="3" fillId="3" borderId="1294" applyAlignment="1" pivotButton="0" quotePrefix="0" xfId="0">
      <alignment horizontal="center" vertical="center"/>
    </xf>
    <xf numFmtId="1" fontId="3" fillId="0" borderId="1174" applyAlignment="1" pivotButton="0" quotePrefix="0" xfId="0">
      <alignment horizontal="center" vertical="center" wrapText="1"/>
    </xf>
    <xf numFmtId="0" fontId="3" fillId="0" borderId="1180" applyAlignment="1" pivotButton="0" quotePrefix="0" xfId="0">
      <alignment horizontal="center" vertical="center" wrapText="1"/>
    </xf>
    <xf numFmtId="0" fontId="3" fillId="0" borderId="1174" applyAlignment="1" pivotButton="0" quotePrefix="0" xfId="0">
      <alignment horizontal="center" vertical="center" wrapText="1"/>
    </xf>
    <xf numFmtId="0" fontId="3" fillId="5" borderId="1180" applyAlignment="1" pivotButton="0" quotePrefix="0" xfId="0">
      <alignment horizontal="center" vertical="center"/>
    </xf>
    <xf numFmtId="0" fontId="3" fillId="5" borderId="1181" applyAlignment="1" pivotButton="0" quotePrefix="0" xfId="0">
      <alignment horizontal="center" vertical="center"/>
    </xf>
    <xf numFmtId="0" fontId="3" fillId="5" borderId="1174" applyAlignment="1" pivotButton="0" quotePrefix="0" xfId="0">
      <alignment horizontal="center" vertical="center"/>
    </xf>
    <xf numFmtId="0" fontId="3" fillId="5" borderId="850" applyAlignment="1" pivotButton="0" quotePrefix="0" xfId="0">
      <alignment horizontal="center" vertical="center"/>
    </xf>
    <xf numFmtId="0" fontId="3" fillId="5" borderId="1195" applyAlignment="1" pivotButton="0" quotePrefix="0" xfId="0">
      <alignment horizontal="center" vertical="center"/>
    </xf>
    <xf numFmtId="0" fontId="3" fillId="5" borderId="1200" applyAlignment="1" pivotButton="0" quotePrefix="0" xfId="0">
      <alignment horizontal="center" vertical="center"/>
    </xf>
    <xf numFmtId="0" fontId="3" fillId="5" borderId="1194" applyAlignment="1" pivotButton="0" quotePrefix="0" xfId="0">
      <alignment horizontal="center" wrapText="1"/>
    </xf>
    <xf numFmtId="0" fontId="3" fillId="5" borderId="850" applyAlignment="1" pivotButton="0" quotePrefix="0" xfId="0">
      <alignment horizontal="center" wrapText="1"/>
    </xf>
    <xf numFmtId="0" fontId="3" fillId="5" borderId="1195" applyAlignment="1" pivotButton="0" quotePrefix="0" xfId="0">
      <alignment horizontal="center" wrapText="1"/>
    </xf>
    <xf numFmtId="0" fontId="3" fillId="5" borderId="1196" applyAlignment="1" pivotButton="0" quotePrefix="0" xfId="0">
      <alignment horizontal="center" wrapText="1"/>
    </xf>
    <xf numFmtId="1" fontId="3" fillId="0" borderId="1215" applyAlignment="1" pivotButton="0" quotePrefix="0" xfId="0">
      <alignment horizontal="center" vertical="center" wrapText="1"/>
    </xf>
    <xf numFmtId="1" fontId="3" fillId="3" borderId="1215" applyAlignment="1" pivotButton="0" quotePrefix="0" xfId="0">
      <alignment horizontal="center" vertical="center" wrapText="1"/>
    </xf>
    <xf numFmtId="1" fontId="3" fillId="3" borderId="1310" applyAlignment="1" pivotButton="0" quotePrefix="0" xfId="0">
      <alignment horizontal="center" vertical="center" wrapText="1"/>
    </xf>
    <xf numFmtId="1" fontId="3" fillId="3" borderId="847" applyAlignment="1" pivotButton="0" quotePrefix="0" xfId="0">
      <alignment horizontal="center" vertical="center" wrapText="1"/>
    </xf>
    <xf numFmtId="0" fontId="3" fillId="0" borderId="1288" applyAlignment="1" pivotButton="0" quotePrefix="0" xfId="0">
      <alignment horizontal="center"/>
    </xf>
    <xf numFmtId="1" fontId="3" fillId="3" borderId="39" applyAlignment="1" pivotButton="0" quotePrefix="0" xfId="0">
      <alignment horizontal="center" vertical="center" wrapText="1"/>
    </xf>
    <xf numFmtId="1" fontId="3" fillId="3" borderId="26" applyAlignment="1" pivotButton="0" quotePrefix="0" xfId="0">
      <alignment horizontal="center" vertical="center" wrapText="1"/>
    </xf>
    <xf numFmtId="1" fontId="3" fillId="3" borderId="1174" applyAlignment="1" pivotButton="0" quotePrefix="0" xfId="0">
      <alignment horizontal="center" vertical="center" wrapText="1"/>
    </xf>
    <xf numFmtId="1" fontId="3" fillId="3" borderId="1181" applyAlignment="1" pivotButton="0" quotePrefix="0" xfId="0">
      <alignment horizontal="center" vertical="center"/>
    </xf>
    <xf numFmtId="1" fontId="3" fillId="0" borderId="1180" applyAlignment="1" pivotButton="0" quotePrefix="0" xfId="0">
      <alignment horizontal="center" vertical="center" wrapText="1"/>
    </xf>
    <xf numFmtId="1" fontId="3" fillId="0" borderId="1257" applyAlignment="1" pivotButton="0" quotePrefix="0" xfId="0">
      <alignment horizontal="center" vertical="center"/>
    </xf>
    <xf numFmtId="1" fontId="3" fillId="3" borderId="403" applyAlignment="1" pivotButton="0" quotePrefix="0" xfId="0">
      <alignment horizontal="center" vertical="center" wrapText="1"/>
    </xf>
    <xf numFmtId="0" fontId="2" fillId="5" borderId="1288" pivotButton="0" quotePrefix="0" xfId="0"/>
    <xf numFmtId="0" fontId="2" fillId="5" borderId="1181" pivotButton="0" quotePrefix="0" xfId="0"/>
    <xf numFmtId="0" fontId="2" fillId="5" borderId="1195" pivotButton="0" quotePrefix="0" xfId="0"/>
    <xf numFmtId="0" fontId="2" fillId="5" borderId="0" pivotButton="0" quotePrefix="0" xfId="0"/>
    <xf numFmtId="1" fontId="3" fillId="3" borderId="1195" applyAlignment="1" pivotButton="0" quotePrefix="0" xfId="0">
      <alignment horizontal="center" vertical="center" wrapText="1"/>
    </xf>
    <xf numFmtId="1" fontId="3" fillId="3" borderId="151" applyAlignment="1" pivotButton="0" quotePrefix="0" xfId="0">
      <alignment horizontal="center" vertical="center" wrapText="1"/>
    </xf>
    <xf numFmtId="0" fontId="3" fillId="0" borderId="1314" applyAlignment="1" pivotButton="0" quotePrefix="0" xfId="0">
      <alignment horizontal="center"/>
    </xf>
    <xf numFmtId="0" fontId="3" fillId="0" borderId="1181" applyAlignment="1" pivotButton="0" quotePrefix="0" xfId="0">
      <alignment horizontal="center"/>
    </xf>
    <xf numFmtId="0" fontId="3" fillId="0" borderId="1194" applyAlignment="1" pivotButton="0" quotePrefix="0" xfId="0">
      <alignment horizontal="center"/>
    </xf>
    <xf numFmtId="1" fontId="3" fillId="3" borderId="1316" applyAlignment="1" pivotButton="0" quotePrefix="0" xfId="0">
      <alignment horizontal="center" vertical="center" wrapText="1"/>
    </xf>
    <xf numFmtId="1" fontId="3" fillId="3" borderId="210" applyAlignment="1" pivotButton="0" quotePrefix="0" xfId="0">
      <alignment horizontal="center" vertical="center" wrapText="1"/>
    </xf>
    <xf numFmtId="1" fontId="3" fillId="3" borderId="1317" applyAlignment="1" pivotButton="0" quotePrefix="0" xfId="0">
      <alignment horizontal="center" vertical="center" wrapText="1"/>
    </xf>
    <xf numFmtId="1" fontId="3" fillId="3" borderId="155" applyAlignment="1" pivotButton="0" quotePrefix="0" xfId="0">
      <alignment horizontal="center" vertical="center" wrapText="1"/>
    </xf>
    <xf numFmtId="0" fontId="3" fillId="0" borderId="1289" applyAlignment="1" pivotButton="0" quotePrefix="0" xfId="0">
      <alignment horizontal="center" vertical="center" wrapText="1"/>
    </xf>
    <xf numFmtId="0" fontId="3" fillId="0" borderId="1257" applyAlignment="1" pivotButton="0" quotePrefix="0" xfId="0">
      <alignment horizontal="center" vertical="center" wrapText="1"/>
    </xf>
    <xf numFmtId="1" fontId="3" fillId="3" borderId="1315" applyAlignment="1" pivotButton="0" quotePrefix="0" xfId="0">
      <alignment horizontal="center" vertical="center" wrapText="1"/>
    </xf>
    <xf numFmtId="1" fontId="3" fillId="3" borderId="223" applyAlignment="1" pivotButton="0" quotePrefix="0" xfId="0">
      <alignment horizontal="center" vertical="center" wrapText="1"/>
    </xf>
    <xf numFmtId="0" fontId="2" fillId="0" borderId="1195" pivotButton="0" quotePrefix="0" xfId="0"/>
    <xf numFmtId="0" fontId="3" fillId="0" borderId="152" applyAlignment="1" pivotButton="0" quotePrefix="0" xfId="0">
      <alignment horizontal="center" vertical="center" wrapText="1"/>
    </xf>
    <xf numFmtId="1" fontId="3" fillId="3" borderId="1218" applyAlignment="1" pivotButton="0" quotePrefix="0" xfId="0">
      <alignment horizontal="center" vertical="center" wrapText="1"/>
    </xf>
    <xf numFmtId="1" fontId="3" fillId="3" borderId="228" applyAlignment="1" pivotButton="0" quotePrefix="0" xfId="0">
      <alignment horizontal="center" vertical="center" wrapText="1"/>
    </xf>
    <xf numFmtId="1" fontId="3" fillId="3" borderId="1217" applyAlignment="1" pivotButton="0" quotePrefix="0" xfId="0">
      <alignment horizontal="center" vertical="center" wrapText="1"/>
    </xf>
    <xf numFmtId="1" fontId="3" fillId="3" borderId="1200" applyAlignment="1" pivotButton="0" quotePrefix="0" xfId="0">
      <alignment horizontal="center" vertical="center" wrapText="1"/>
    </xf>
    <xf numFmtId="0" fontId="15" fillId="0" borderId="1290" applyAlignment="1" applyProtection="1" pivotButton="0" quotePrefix="0" xfId="0">
      <alignment horizontal="center" vertical="center"/>
      <protection locked="1" hidden="1"/>
    </xf>
    <xf numFmtId="0" fontId="15" fillId="0" borderId="1288" applyAlignment="1" applyProtection="1" pivotButton="0" quotePrefix="0" xfId="0">
      <alignment horizontal="center" vertical="center"/>
      <protection locked="1" hidden="1"/>
    </xf>
    <xf numFmtId="0" fontId="15" fillId="0" borderId="1289" applyAlignment="1" applyProtection="1" pivotButton="0" quotePrefix="0" xfId="0">
      <alignment horizontal="center" vertical="center"/>
      <protection locked="1" hidden="1"/>
    </xf>
    <xf numFmtId="0" fontId="38" fillId="38" borderId="1290" applyAlignment="1" pivotButton="0" quotePrefix="0" xfId="0">
      <alignment horizontal="center" vertical="center" wrapText="1"/>
    </xf>
    <xf numFmtId="0" fontId="38" fillId="38" borderId="1288" applyAlignment="1" pivotButton="0" quotePrefix="0" xfId="0">
      <alignment horizontal="center" vertical="center" wrapText="1"/>
    </xf>
    <xf numFmtId="0" fontId="38" fillId="38" borderId="1289" applyAlignment="1" pivotButton="0" quotePrefix="0" xfId="0">
      <alignment horizontal="center" vertical="center" wrapText="1"/>
    </xf>
    <xf numFmtId="0" fontId="40" fillId="38" borderId="1180" applyAlignment="1" applyProtection="1" pivotButton="0" quotePrefix="0" xfId="0">
      <alignment horizontal="center" vertical="center" wrapText="1"/>
      <protection locked="1" hidden="1"/>
    </xf>
    <xf numFmtId="0" fontId="40" fillId="38" borderId="1181" applyAlignment="1" applyProtection="1" pivotButton="0" quotePrefix="0" xfId="0">
      <alignment horizontal="center" vertical="center" wrapText="1"/>
      <protection locked="1" hidden="1"/>
    </xf>
    <xf numFmtId="0" fontId="40" fillId="38" borderId="1174" applyAlignment="1" applyProtection="1" pivotButton="0" quotePrefix="0" xfId="0">
      <alignment horizontal="center" vertical="center" wrapText="1"/>
      <protection locked="1" hidden="1"/>
    </xf>
    <xf numFmtId="0" fontId="40" fillId="38" borderId="850" applyAlignment="1" applyProtection="1" pivotButton="0" quotePrefix="0" xfId="0">
      <alignment horizontal="center" vertical="center" wrapText="1"/>
      <protection locked="1" hidden="1"/>
    </xf>
    <xf numFmtId="0" fontId="40" fillId="38" borderId="1195" applyAlignment="1" applyProtection="1" pivotButton="0" quotePrefix="0" xfId="0">
      <alignment horizontal="center" vertical="center" wrapText="1"/>
      <protection locked="1" hidden="1"/>
    </xf>
    <xf numFmtId="0" fontId="40" fillId="38" borderId="1200" applyAlignment="1" applyProtection="1" pivotButton="0" quotePrefix="0" xfId="0">
      <alignment horizontal="center" vertical="center" wrapText="1"/>
      <protection locked="1" hidden="1"/>
    </xf>
    <xf numFmtId="0" fontId="17" fillId="39" borderId="1354" applyAlignment="1" pivotButton="0" quotePrefix="0" xfId="0">
      <alignment horizontal="center" vertical="center" wrapText="1"/>
    </xf>
    <xf numFmtId="0" fontId="0" fillId="0" borderId="1425" pivotButton="0" quotePrefix="0" xfId="0"/>
    <xf numFmtId="0" fontId="14" fillId="39" borderId="1354" applyAlignment="1" pivotButton="0" quotePrefix="0" xfId="0">
      <alignment horizontal="center" vertical="center" wrapText="1"/>
    </xf>
    <xf numFmtId="0" fontId="0" fillId="0" borderId="1398" pivotButton="0" quotePrefix="0" xfId="0"/>
    <xf numFmtId="0" fontId="28" fillId="40" borderId="1354" applyAlignment="1" pivotButton="0" quotePrefix="0" xfId="7">
      <alignment horizontal="center" vertical="center"/>
    </xf>
    <xf numFmtId="0" fontId="28" fillId="39" borderId="1354" applyAlignment="1" pivotButton="0" quotePrefix="0" xfId="0">
      <alignment horizontal="center" vertical="center"/>
    </xf>
    <xf numFmtId="0" fontId="34" fillId="40" borderId="1444" applyAlignment="1" pivotButton="0" quotePrefix="0" xfId="0">
      <alignment horizontal="center" vertical="center" wrapText="1"/>
    </xf>
    <xf numFmtId="0" fontId="0" fillId="0" borderId="246" pivotButton="0" quotePrefix="0" xfId="0"/>
    <xf numFmtId="0" fontId="0" fillId="0" borderId="1445" pivotButton="0" quotePrefix="0" xfId="0"/>
    <xf numFmtId="1" fontId="14" fillId="3" borderId="1393" applyAlignment="1" pivotButton="0" quotePrefix="0" xfId="0">
      <alignment horizontal="left"/>
    </xf>
    <xf numFmtId="0" fontId="0" fillId="0" borderId="1393" pivotButton="0" quotePrefix="0" xfId="0"/>
    <xf numFmtId="1" fontId="5" fillId="0" borderId="1444" applyAlignment="1" pivotButton="0" quotePrefix="0" xfId="0">
      <alignment horizontal="center" vertical="center"/>
    </xf>
    <xf numFmtId="1" fontId="5" fillId="0" borderId="1444" applyAlignment="1" pivotButton="0" quotePrefix="0" xfId="0">
      <alignment horizontal="center" vertical="center" wrapText="1"/>
    </xf>
    <xf numFmtId="1" fontId="5" fillId="0" borderId="1448" applyAlignment="1" pivotButton="0" quotePrefix="0" xfId="0">
      <alignment horizontal="center" vertical="center" wrapText="1"/>
    </xf>
    <xf numFmtId="0" fontId="0" fillId="0" borderId="1294" pivotButton="0" quotePrefix="0" xfId="0"/>
    <xf numFmtId="1" fontId="5" fillId="0" borderId="1457" applyAlignment="1" pivotButton="0" quotePrefix="0" xfId="0">
      <alignment horizontal="center" vertical="center" wrapText="1"/>
    </xf>
    <xf numFmtId="0" fontId="0" fillId="0" borderId="1457" pivotButton="0" quotePrefix="0" xfId="0"/>
    <xf numFmtId="1" fontId="5" fillId="0" borderId="1450" applyAlignment="1" pivotButton="0" quotePrefix="0" xfId="0">
      <alignment horizontal="center" vertical="center" wrapText="1"/>
    </xf>
    <xf numFmtId="1" fontId="5" fillId="0" borderId="1454" applyAlignment="1" pivotButton="0" quotePrefix="0" xfId="0">
      <alignment horizontal="center" vertical="center" wrapText="1"/>
    </xf>
    <xf numFmtId="1" fontId="5" fillId="0" borderId="709" applyAlignment="1" pivotButton="0" quotePrefix="0" xfId="0">
      <alignment horizontal="center" vertical="center" wrapText="1"/>
    </xf>
    <xf numFmtId="1" fontId="5" fillId="0" borderId="1344" applyAlignment="1" pivotButton="0" quotePrefix="0" xfId="0">
      <alignment horizontal="center" vertical="center" wrapText="1"/>
    </xf>
    <xf numFmtId="0" fontId="0" fillId="0" borderId="1415" pivotButton="0" quotePrefix="0" xfId="0"/>
    <xf numFmtId="0" fontId="0" fillId="0" borderId="1408" pivotButton="0" quotePrefix="0" xfId="0"/>
    <xf numFmtId="0" fontId="0" fillId="0" borderId="228" pivotButton="0" quotePrefix="0" xfId="0"/>
    <xf numFmtId="0" fontId="0" fillId="0" borderId="1453" pivotButton="0" quotePrefix="0" xfId="0"/>
    <xf numFmtId="0" fontId="0" fillId="0" borderId="231" pivotButton="0" quotePrefix="0" xfId="0"/>
    <xf numFmtId="0" fontId="0" fillId="0" borderId="1456" pivotButton="0" quotePrefix="0" xfId="0"/>
    <xf numFmtId="0" fontId="0" fillId="0" borderId="1449" pivotButton="0" quotePrefix="0" xfId="0"/>
    <xf numFmtId="0" fontId="0" fillId="0" borderId="1419" pivotButton="0" quotePrefix="0" xfId="0"/>
    <xf numFmtId="0" fontId="0" fillId="0" borderId="1392" pivotButton="0" quotePrefix="0" xfId="0"/>
    <xf numFmtId="0" fontId="0" fillId="0" borderId="1397" pivotButton="0" quotePrefix="0" xfId="0"/>
    <xf numFmtId="1" fontId="5" fillId="0" borderId="1444" applyAlignment="1" pivotButton="0" quotePrefix="0" xfId="0">
      <alignment horizontal="left" vertical="center" wrapText="1"/>
    </xf>
    <xf numFmtId="1" fontId="5" fillId="0" borderId="1175" applyAlignment="1" pivotButton="0" quotePrefix="0" xfId="0">
      <alignment horizontal="left" vertical="center" wrapText="1"/>
    </xf>
    <xf numFmtId="0" fontId="0" fillId="0" borderId="281" pivotButton="0" quotePrefix="0" xfId="0"/>
    <xf numFmtId="1" fontId="5" fillId="0" borderId="1392" applyAlignment="1" pivotButton="0" quotePrefix="0" xfId="0">
      <alignment horizontal="left" vertical="center" wrapText="1"/>
    </xf>
    <xf numFmtId="1" fontId="14" fillId="3" borderId="1288" applyAlignment="1" pivotButton="0" quotePrefix="0" xfId="0">
      <alignment horizontal="left"/>
    </xf>
    <xf numFmtId="0" fontId="0" fillId="0" borderId="1288" pivotButton="0" quotePrefix="0" xfId="0"/>
    <xf numFmtId="1" fontId="5" fillId="0" borderId="1354" applyAlignment="1" pivotButton="0" quotePrefix="0" xfId="0">
      <alignment horizontal="center" vertical="center"/>
    </xf>
    <xf numFmtId="1" fontId="5" fillId="3" borderId="1354" applyAlignment="1" pivotButton="0" quotePrefix="0" xfId="0">
      <alignment horizontal="center" vertical="center" wrapText="1"/>
    </xf>
    <xf numFmtId="1" fontId="5" fillId="3" borderId="1232" applyAlignment="1" pivotButton="0" quotePrefix="0" xfId="0">
      <alignment horizontal="center" vertical="center" wrapText="1"/>
    </xf>
    <xf numFmtId="0" fontId="0" fillId="0" borderId="849" pivotButton="0" quotePrefix="0" xfId="0"/>
    <xf numFmtId="1" fontId="14" fillId="0" borderId="1478" applyAlignment="1" pivotButton="0" quotePrefix="0" xfId="0">
      <alignment horizontal="left"/>
    </xf>
    <xf numFmtId="0" fontId="0" fillId="0" borderId="1478" pivotButton="0" quotePrefix="0" xfId="0"/>
    <xf numFmtId="1" fontId="5" fillId="0" borderId="1232" applyAlignment="1" pivotButton="0" quotePrefix="0" xfId="0">
      <alignment horizontal="center" vertical="center" wrapText="1"/>
    </xf>
    <xf numFmtId="0" fontId="0" fillId="0" borderId="262" pivotButton="0" quotePrefix="0" xfId="0"/>
    <xf numFmtId="1" fontId="5" fillId="0" borderId="1437" applyAlignment="1" pivotButton="0" quotePrefix="0" xfId="0">
      <alignment horizontal="center" vertical="center"/>
    </xf>
    <xf numFmtId="0" fontId="0" fillId="0" borderId="1459" pivotButton="0" quotePrefix="0" xfId="0"/>
    <xf numFmtId="0" fontId="0" fillId="0" borderId="513" pivotButton="0" quotePrefix="0" xfId="0"/>
    <xf numFmtId="1" fontId="5" fillId="0" borderId="1460" applyAlignment="1" pivotButton="0" quotePrefix="0" xfId="0">
      <alignment horizontal="center" vertical="center" wrapText="1"/>
    </xf>
    <xf numFmtId="0" fontId="0" fillId="0" borderId="1461" pivotButton="0" quotePrefix="0" xfId="0"/>
    <xf numFmtId="1" fontId="5" fillId="0" borderId="943" applyAlignment="1" pivotButton="0" quotePrefix="0" xfId="0">
      <alignment horizontal="center" vertical="center" wrapText="1"/>
    </xf>
    <xf numFmtId="0" fontId="0" fillId="0" borderId="874" pivotButton="0" quotePrefix="0" xfId="0"/>
    <xf numFmtId="1" fontId="5" fillId="0" borderId="1467" applyAlignment="1" pivotButton="0" quotePrefix="0" xfId="0">
      <alignment horizontal="center" vertical="center" wrapText="1"/>
    </xf>
    <xf numFmtId="0" fontId="0" fillId="0" borderId="1467" pivotButton="0" quotePrefix="0" xfId="0"/>
    <xf numFmtId="1" fontId="5" fillId="0" borderId="1364" applyAlignment="1" pivotButton="0" quotePrefix="0" xfId="0">
      <alignment horizontal="center" vertical="center" wrapText="1"/>
    </xf>
    <xf numFmtId="1" fontId="5" fillId="3" borderId="1444" applyAlignment="1" pivotButton="0" quotePrefix="0" xfId="0">
      <alignment horizontal="center" vertical="center" wrapText="1"/>
    </xf>
    <xf numFmtId="1" fontId="5" fillId="3" borderId="1446" applyAlignment="1" pivotButton="0" quotePrefix="0" xfId="0">
      <alignment horizontal="center" vertical="center" wrapText="1"/>
    </xf>
    <xf numFmtId="0" fontId="0" fillId="0" borderId="1462" pivotButton="0" quotePrefix="0" xfId="0"/>
    <xf numFmtId="0" fontId="0" fillId="0" borderId="1200" pivotButton="0" quotePrefix="0" xfId="0"/>
    <xf numFmtId="0" fontId="0" fillId="0" borderId="793" pivotButton="0" quotePrefix="0" xfId="0"/>
    <xf numFmtId="0" fontId="0" fillId="0" borderId="1447" pivotButton="0" quotePrefix="0" xfId="0"/>
    <xf numFmtId="1" fontId="5" fillId="0" borderId="1361" applyAlignment="1" pivotButton="0" quotePrefix="0" xfId="0">
      <alignment horizontal="left" vertical="center" wrapText="1"/>
    </xf>
    <xf numFmtId="0" fontId="0" fillId="0" borderId="1348" pivotButton="0" quotePrefix="0" xfId="0"/>
    <xf numFmtId="0" fontId="0" fillId="0" borderId="1081" pivotButton="0" quotePrefix="0" xfId="0"/>
    <xf numFmtId="1" fontId="5" fillId="0" borderId="1066" applyAlignment="1" pivotButton="0" quotePrefix="0" xfId="0">
      <alignment horizontal="left" vertical="center" wrapText="1"/>
    </xf>
    <xf numFmtId="0" fontId="0" fillId="0" borderId="1068" pivotButton="0" quotePrefix="0" xfId="0"/>
    <xf numFmtId="0" fontId="0" fillId="0" borderId="1399" pivotButton="0" quotePrefix="0" xfId="0"/>
    <xf numFmtId="0" fontId="0" fillId="0" borderId="1470" pivotButton="0" quotePrefix="0" xfId="0"/>
    <xf numFmtId="1" fontId="5" fillId="0" borderId="1427" applyAlignment="1" pivotButton="0" quotePrefix="0" xfId="0">
      <alignment horizontal="center" vertical="center" wrapText="1"/>
    </xf>
    <xf numFmtId="0" fontId="0" fillId="0" borderId="1465" pivotButton="0" quotePrefix="0" xfId="0"/>
    <xf numFmtId="1" fontId="5" fillId="0" borderId="1471" applyAlignment="1" pivotButton="0" quotePrefix="0" xfId="0">
      <alignment horizontal="center" vertical="center" wrapText="1"/>
    </xf>
    <xf numFmtId="0" fontId="0" fillId="0" borderId="1473" pivotButton="0" quotePrefix="0" xfId="0"/>
    <xf numFmtId="1" fontId="5" fillId="0" borderId="1470" applyAlignment="1" pivotButton="0" quotePrefix="0" xfId="0">
      <alignment horizontal="center" vertical="center"/>
    </xf>
    <xf numFmtId="1" fontId="5" fillId="0" borderId="1477" applyAlignment="1" pivotButton="0" quotePrefix="0" xfId="0">
      <alignment horizontal="center" vertical="center"/>
    </xf>
    <xf numFmtId="1" fontId="5" fillId="0" borderId="1473" applyAlignment="1" pivotButton="0" quotePrefix="0" xfId="0">
      <alignment horizontal="center" vertical="center"/>
    </xf>
    <xf numFmtId="0" fontId="0" fillId="0" borderId="7" pivotButton="0" quotePrefix="0" xfId="0"/>
    <xf numFmtId="1" fontId="14" fillId="0" borderId="1415" applyAlignment="1" pivotButton="0" quotePrefix="0" xfId="39">
      <alignment horizontal="left" wrapText="1"/>
    </xf>
    <xf numFmtId="1" fontId="5" fillId="0" borderId="1474" applyAlignment="1" applyProtection="1" pivotButton="0" quotePrefix="0" xfId="39">
      <alignment horizontal="center" vertical="center" wrapText="1"/>
      <protection locked="1" hidden="1"/>
    </xf>
    <xf numFmtId="0" fontId="0" fillId="0" borderId="49" applyProtection="1" pivotButton="0" quotePrefix="0" xfId="0">
      <protection locked="1" hidden="1"/>
    </xf>
    <xf numFmtId="0" fontId="0" fillId="0" borderId="50" applyProtection="1" pivotButton="0" quotePrefix="0" xfId="0">
      <protection locked="1" hidden="1"/>
    </xf>
    <xf numFmtId="0" fontId="5" fillId="0" borderId="28" applyAlignment="1" pivotButton="0" quotePrefix="0" xfId="39">
      <alignment horizontal="center" vertical="center" wrapText="1"/>
    </xf>
    <xf numFmtId="1" fontId="5" fillId="0" borderId="1475" applyAlignment="1" pivotButton="0" quotePrefix="0" xfId="39">
      <alignment horizontal="center" vertical="center" wrapText="1"/>
    </xf>
    <xf numFmtId="1" fontId="5" fillId="0" borderId="1307" applyAlignment="1" pivotButton="0" quotePrefix="0" xfId="39">
      <alignment horizontal="center" vertical="center" wrapText="1"/>
    </xf>
    <xf numFmtId="1" fontId="5" fillId="0" borderId="1354" applyAlignment="1" pivotButton="0" quotePrefix="0" xfId="39">
      <alignment horizontal="center" vertical="center" wrapText="1"/>
    </xf>
    <xf numFmtId="1" fontId="5" fillId="0" borderId="1476" applyAlignment="1" applyProtection="1" pivotButton="0" quotePrefix="0" xfId="39">
      <alignment horizontal="center" vertical="center" wrapText="1"/>
      <protection locked="1" hidden="1"/>
    </xf>
    <xf numFmtId="0" fontId="0" fillId="0" borderId="1288" applyProtection="1" pivotButton="0" quotePrefix="0" xfId="0">
      <protection locked="1" hidden="1"/>
    </xf>
    <xf numFmtId="0" fontId="0" fillId="0" borderId="900" applyProtection="1" pivotButton="0" quotePrefix="0" xfId="0">
      <protection locked="1" hidden="1"/>
    </xf>
    <xf numFmtId="0" fontId="0" fillId="0" borderId="22" pivotButton="0" quotePrefix="0" xfId="0"/>
    <xf numFmtId="0" fontId="0" fillId="0" borderId="705" pivotButton="0" quotePrefix="0" xfId="0"/>
    <xf numFmtId="0" fontId="0" fillId="0" borderId="94" pivotButton="0" quotePrefix="0" xfId="0"/>
    <xf numFmtId="0" fontId="0" fillId="0" borderId="224" pivotButton="0" quotePrefix="0" xfId="0"/>
    <xf numFmtId="0" fontId="0" fillId="0" borderId="25" pivotButton="0" quotePrefix="0" xfId="0"/>
    <xf numFmtId="1" fontId="14" fillId="0" borderId="1393" applyAlignment="1" pivotButton="0" quotePrefix="0" xfId="39">
      <alignment horizontal="left" wrapText="1"/>
    </xf>
    <xf numFmtId="0" fontId="5" fillId="0" borderId="1446" applyAlignment="1" pivotButton="0" quotePrefix="0" xfId="39">
      <alignment horizontal="center" vertical="center" wrapText="1"/>
    </xf>
    <xf numFmtId="1" fontId="5" fillId="0" borderId="1444" applyAlignment="1" pivotButton="0" quotePrefix="0" xfId="39">
      <alignment horizontal="center" vertical="center" wrapText="1"/>
    </xf>
    <xf numFmtId="1" fontId="5" fillId="0" borderId="1446" applyAlignment="1" pivotButton="0" quotePrefix="0" xfId="39">
      <alignment horizontal="center" vertical="center" wrapText="1"/>
    </xf>
    <xf numFmtId="1" fontId="5" fillId="0" borderId="1398" applyAlignment="1" applyProtection="1" pivotButton="0" quotePrefix="0" xfId="39">
      <alignment horizontal="center" vertical="center" wrapText="1"/>
      <protection locked="1" hidden="1"/>
    </xf>
    <xf numFmtId="0" fontId="0" fillId="0" borderId="1398" applyProtection="1" pivotButton="0" quotePrefix="0" xfId="0">
      <protection locked="1" hidden="1"/>
    </xf>
    <xf numFmtId="0" fontId="5" fillId="0" borderId="1450" applyAlignment="1" pivotButton="0" quotePrefix="0" xfId="39">
      <alignment horizontal="center" vertical="center" wrapText="1"/>
    </xf>
    <xf numFmtId="0" fontId="5" fillId="0" borderId="1446" applyAlignment="1" pivotButton="0" quotePrefix="0" xfId="39">
      <alignment horizontal="center" wrapText="1"/>
    </xf>
    <xf numFmtId="1" fontId="5" fillId="0" borderId="1471" applyAlignment="1" applyProtection="1" pivotButton="0" quotePrefix="0" xfId="39">
      <alignment horizontal="center" vertical="center" wrapText="1"/>
      <protection locked="1" hidden="1"/>
    </xf>
    <xf numFmtId="0" fontId="0" fillId="0" borderId="1473" applyProtection="1" pivotButton="0" quotePrefix="0" xfId="0">
      <protection locked="1" hidden="1"/>
    </xf>
    <xf numFmtId="0" fontId="0" fillId="0" borderId="1452" pivotButton="0" quotePrefix="0" xfId="0"/>
    <xf numFmtId="1" fontId="5" fillId="0" borderId="1291" applyAlignment="1" applyProtection="1" pivotButton="0" quotePrefix="0" xfId="39">
      <alignment horizontal="center" vertical="center" wrapText="1"/>
      <protection locked="1" hidden="1"/>
    </xf>
    <xf numFmtId="0" fontId="0" fillId="0" borderId="1291" applyProtection="1" pivotButton="0" quotePrefix="0" xfId="0">
      <protection locked="1" hidden="1"/>
    </xf>
    <xf numFmtId="0" fontId="5" fillId="0" borderId="1480" applyAlignment="1" pivotButton="0" quotePrefix="0" xfId="39">
      <alignment horizontal="center" vertical="center" wrapText="1"/>
    </xf>
    <xf numFmtId="0" fontId="0" fillId="0" borderId="1481" pivotButton="0" quotePrefix="0" xfId="0"/>
    <xf numFmtId="0" fontId="0" fillId="0" borderId="1391" pivotButton="0" quotePrefix="0" xfId="0"/>
    <xf numFmtId="1" fontId="2" fillId="3" borderId="1393" applyAlignment="1" pivotButton="0" quotePrefix="0" xfId="0">
      <alignment horizontal="left"/>
    </xf>
    <xf numFmtId="1" fontId="3" fillId="0" borderId="1444" applyAlignment="1" pivotButton="0" quotePrefix="0" xfId="0">
      <alignment horizontal="center" vertical="center" wrapText="1"/>
    </xf>
    <xf numFmtId="1" fontId="3" fillId="0" borderId="943" applyAlignment="1" pivotButton="0" quotePrefix="0" xfId="0">
      <alignment horizontal="center" vertical="center"/>
    </xf>
    <xf numFmtId="1" fontId="3" fillId="0" borderId="943" applyAlignment="1" pivotButton="0" quotePrefix="0" xfId="0">
      <alignment horizontal="center" vertical="center" wrapText="1"/>
    </xf>
    <xf numFmtId="1" fontId="3" fillId="0" borderId="1471" applyAlignment="1" pivotButton="0" quotePrefix="0" xfId="0">
      <alignment horizontal="center" vertical="center" wrapText="1"/>
    </xf>
    <xf numFmtId="1" fontId="3" fillId="3" borderId="1444" applyAlignment="1" pivotButton="0" quotePrefix="0" xfId="0">
      <alignment horizontal="center" vertical="center" wrapText="1"/>
    </xf>
    <xf numFmtId="1" fontId="2" fillId="3" borderId="1398" applyAlignment="1" pivotButton="0" quotePrefix="0" xfId="0">
      <alignment horizontal="left"/>
    </xf>
    <xf numFmtId="0" fontId="0" fillId="0" borderId="541" pivotButton="0" quotePrefix="0" xfId="0"/>
    <xf numFmtId="0" fontId="0" fillId="0" borderId="1483" pivotButton="0" quotePrefix="0" xfId="0"/>
    <xf numFmtId="0" fontId="0" fillId="0" borderId="1403" pivotButton="0" quotePrefix="0" xfId="0"/>
    <xf numFmtId="1" fontId="5" fillId="0" borderId="1354" applyAlignment="1" pivotButton="0" quotePrefix="0" xfId="0">
      <alignment horizontal="left" vertical="center" wrapText="1"/>
    </xf>
    <xf numFmtId="1" fontId="5" fillId="0" borderId="1446" applyAlignment="1" pivotButton="0" quotePrefix="0" xfId="0">
      <alignment horizontal="left" vertical="center" wrapText="1"/>
    </xf>
    <xf numFmtId="1" fontId="5" fillId="0" borderId="532" applyAlignment="1" pivotButton="0" quotePrefix="0" xfId="0">
      <alignment horizontal="center" vertical="center" wrapText="1"/>
    </xf>
    <xf numFmtId="1" fontId="5" fillId="0" borderId="943" applyAlignment="1" pivotButton="0" quotePrefix="0" xfId="0">
      <alignment horizontal="left" vertical="center" wrapText="1"/>
    </xf>
    <xf numFmtId="1" fontId="5" fillId="0" borderId="1485" applyAlignment="1" pivotButton="0" quotePrefix="0" xfId="0">
      <alignment horizontal="center" vertical="center" wrapText="1"/>
    </xf>
    <xf numFmtId="0" fontId="0" fillId="0" borderId="908" pivotButton="0" quotePrefix="0" xfId="0"/>
    <xf numFmtId="0" fontId="0" fillId="0" borderId="1486" pivotButton="0" quotePrefix="0" xfId="0"/>
    <xf numFmtId="1" fontId="5" fillId="0" borderId="1415" applyAlignment="1" pivotButton="0" quotePrefix="0" xfId="0">
      <alignment horizontal="center" vertical="center" wrapText="1"/>
    </xf>
    <xf numFmtId="1" fontId="5" fillId="0" borderId="1385" applyAlignment="1" pivotButton="0" quotePrefix="0" xfId="0">
      <alignment horizontal="left" wrapText="1"/>
    </xf>
    <xf numFmtId="1" fontId="5" fillId="0" borderId="1066" applyAlignment="1" pivotButton="0" quotePrefix="0" xfId="0">
      <alignment horizontal="left" wrapText="1"/>
    </xf>
    <xf numFmtId="1" fontId="5" fillId="0" borderId="1074" applyAlignment="1" pivotButton="0" quotePrefix="0" xfId="0">
      <alignment horizontal="left" wrapText="1"/>
    </xf>
    <xf numFmtId="0" fontId="0" fillId="0" borderId="378" pivotButton="0" quotePrefix="0" xfId="0"/>
    <xf numFmtId="1" fontId="5" fillId="0" borderId="1354" applyAlignment="1" pivotButton="0" quotePrefix="0" xfId="0">
      <alignment horizontal="left" wrapText="1"/>
    </xf>
    <xf numFmtId="1" fontId="5" fillId="0" borderId="1446" applyAlignment="1" pivotButton="0" quotePrefix="0" xfId="0">
      <alignment horizontal="center" vertical="center" wrapText="1"/>
    </xf>
    <xf numFmtId="1" fontId="5" fillId="0" borderId="1484" applyAlignment="1" pivotButton="0" quotePrefix="0" xfId="0">
      <alignment horizontal="center" vertical="center" wrapText="1"/>
    </xf>
    <xf numFmtId="0" fontId="0" fillId="0" borderId="1484" pivotButton="0" quotePrefix="0" xfId="0"/>
    <xf numFmtId="1" fontId="5" fillId="0" borderId="1488" applyAlignment="1" pivotButton="0" quotePrefix="0" xfId="0">
      <alignment horizontal="center" vertical="center" wrapText="1"/>
    </xf>
    <xf numFmtId="1" fontId="5" fillId="0" borderId="1348" applyAlignment="1" pivotButton="0" quotePrefix="0" xfId="0">
      <alignment horizontal="left"/>
    </xf>
    <xf numFmtId="1" fontId="5" fillId="0" borderId="1081" applyAlignment="1" pivotButton="0" quotePrefix="0" xfId="0">
      <alignment horizontal="left"/>
    </xf>
    <xf numFmtId="0" fontId="0" fillId="0" borderId="546" pivotButton="0" quotePrefix="0" xfId="0"/>
    <xf numFmtId="1" fontId="5" fillId="0" borderId="1489" applyAlignment="1" pivotButton="0" quotePrefix="0" xfId="0">
      <alignment horizontal="left"/>
    </xf>
    <xf numFmtId="0" fontId="0" fillId="0" borderId="1489" pivotButton="0" quotePrefix="0" xfId="0"/>
    <xf numFmtId="1" fontId="5" fillId="0" borderId="1490" applyAlignment="1" pivotButton="0" quotePrefix="0" xfId="0">
      <alignment horizontal="center" vertical="center"/>
    </xf>
    <xf numFmtId="0" fontId="0" fillId="0" borderId="1491" pivotButton="0" quotePrefix="0" xfId="0"/>
    <xf numFmtId="1" fontId="5" fillId="0" borderId="1493" applyAlignment="1" pivotButton="0" quotePrefix="0" xfId="0">
      <alignment horizontal="center" vertical="center" wrapText="1"/>
    </xf>
    <xf numFmtId="0" fontId="0" fillId="0" borderId="20" pivotButton="0" quotePrefix="0" xfId="0"/>
    <xf numFmtId="0" fontId="0" fillId="0" borderId="48" pivotButton="0" quotePrefix="0" xfId="0"/>
    <xf numFmtId="0" fontId="0" fillId="0" borderId="28" pivotButton="0" quotePrefix="0" xfId="0"/>
    <xf numFmtId="0" fontId="0" fillId="0" borderId="21" pivotButton="0" quotePrefix="0" xfId="0"/>
    <xf numFmtId="0" fontId="0" fillId="0" borderId="1503" pivotButton="0" quotePrefix="0" xfId="0"/>
    <xf numFmtId="0" fontId="0" fillId="0" borderId="1492" pivotButton="0" quotePrefix="0" xfId="0"/>
    <xf numFmtId="0" fontId="0" fillId="0" borderId="1504" pivotButton="0" quotePrefix="0" xfId="0"/>
    <xf numFmtId="0" fontId="0" fillId="0" borderId="335" pivotButton="0" quotePrefix="0" xfId="0"/>
    <xf numFmtId="0" fontId="0" fillId="0" borderId="498" pivotButton="0" quotePrefix="0" xfId="0"/>
    <xf numFmtId="1" fontId="5" fillId="0" borderId="1221" applyAlignment="1" pivotButton="0" quotePrefix="0" xfId="0">
      <alignment horizontal="left" vertical="center"/>
    </xf>
    <xf numFmtId="1" fontId="5" fillId="0" borderId="1475" applyAlignment="1" pivotButton="0" quotePrefix="0" xfId="0">
      <alignment horizontal="left" vertical="center" wrapText="1"/>
    </xf>
    <xf numFmtId="0" fontId="0" fillId="0" borderId="136" pivotButton="0" quotePrefix="0" xfId="0"/>
    <xf numFmtId="1" fontId="5" fillId="0" borderId="1494" applyAlignment="1" pivotButton="0" quotePrefix="0" xfId="0">
      <alignment horizontal="center" vertical="center" wrapText="1"/>
    </xf>
    <xf numFmtId="1" fontId="5" fillId="0" borderId="1471" applyAlignment="1" pivotButton="0" quotePrefix="0" xfId="0">
      <alignment horizontal="center" vertical="center"/>
    </xf>
    <xf numFmtId="1" fontId="5" fillId="5" borderId="1364" applyAlignment="1" pivotButton="0" quotePrefix="0" xfId="0">
      <alignment horizontal="center" vertical="center" wrapText="1"/>
    </xf>
    <xf numFmtId="1" fontId="5" fillId="5" borderId="1354" applyAlignment="1" pivotButton="0" quotePrefix="0" xfId="0">
      <alignment horizontal="center" vertical="center" wrapText="1"/>
    </xf>
    <xf numFmtId="1" fontId="5" fillId="5" borderId="1471" applyAlignment="1" pivotButton="0" quotePrefix="0" xfId="0">
      <alignment horizontal="center" vertical="center" wrapText="1"/>
    </xf>
    <xf numFmtId="0" fontId="0" fillId="0" borderId="1495" pivotButton="0" quotePrefix="0" xfId="0"/>
    <xf numFmtId="1" fontId="5" fillId="6" borderId="943" applyAlignment="1" pivotButton="0" quotePrefix="0" xfId="0">
      <alignment horizontal="center" vertical="center" wrapText="1"/>
    </xf>
    <xf numFmtId="0" fontId="0" fillId="0" borderId="877" pivotButton="0" quotePrefix="0" xfId="0"/>
    <xf numFmtId="1" fontId="5" fillId="0" borderId="1236" applyAlignment="1" pivotButton="0" quotePrefix="0" xfId="0">
      <alignment horizontal="center" vertical="center" wrapText="1"/>
    </xf>
    <xf numFmtId="0" fontId="0" fillId="0" borderId="1496" pivotButton="0" quotePrefix="0" xfId="0"/>
    <xf numFmtId="1" fontId="5" fillId="5" borderId="943" applyAlignment="1" pivotButton="0" quotePrefix="0" xfId="0">
      <alignment horizontal="center" vertical="center" wrapText="1"/>
    </xf>
    <xf numFmtId="1" fontId="5" fillId="5" borderId="1399" applyAlignment="1" pivotButton="0" quotePrefix="0" xfId="0">
      <alignment horizontal="center" vertical="center" wrapText="1"/>
    </xf>
    <xf numFmtId="1" fontId="5" fillId="0" borderId="1446" applyAlignment="1" pivotButton="0" quotePrefix="0" xfId="0">
      <alignment horizontal="left" vertical="center"/>
    </xf>
    <xf numFmtId="1" fontId="14" fillId="3" borderId="1415" applyAlignment="1" pivotButton="0" quotePrefix="0" xfId="0">
      <alignment wrapText="1"/>
    </xf>
    <xf numFmtId="1" fontId="5" fillId="0" borderId="1161" applyAlignment="1" pivotButton="0" quotePrefix="0" xfId="0">
      <alignment horizontal="left" vertical="center" wrapText="1"/>
    </xf>
    <xf numFmtId="1" fontId="5" fillId="0" borderId="1085" applyAlignment="1" pivotButton="0" quotePrefix="0" xfId="0">
      <alignment horizontal="left"/>
    </xf>
    <xf numFmtId="1" fontId="5" fillId="0" borderId="1085" applyAlignment="1" pivotButton="0" quotePrefix="0" xfId="0">
      <alignment horizontal="left" wrapText="1"/>
    </xf>
    <xf numFmtId="1" fontId="5" fillId="0" borderId="1147" applyAlignment="1" pivotButton="0" quotePrefix="0" xfId="0">
      <alignment horizontal="center" vertical="center" wrapText="1"/>
    </xf>
    <xf numFmtId="0" fontId="0" fillId="0" borderId="1458" pivotButton="0" quotePrefix="0" xfId="0"/>
    <xf numFmtId="0" fontId="0" fillId="0" borderId="1245" pivotButton="0" quotePrefix="0" xfId="0"/>
    <xf numFmtId="1" fontId="5" fillId="0" borderId="943" applyAlignment="1" pivotButton="0" quotePrefix="0" xfId="0">
      <alignment horizontal="center" vertical="center"/>
    </xf>
    <xf numFmtId="0" fontId="0" fillId="0" borderId="550" pivotButton="0" quotePrefix="0" xfId="0"/>
    <xf numFmtId="0" fontId="0" fillId="0" borderId="5" pivotButton="0" quotePrefix="0" xfId="0"/>
    <xf numFmtId="0" fontId="0" fillId="0" borderId="1359" pivotButton="0" quotePrefix="0" xfId="0"/>
    <xf numFmtId="0" fontId="0" fillId="0" borderId="247" pivotButton="0" quotePrefix="0" xfId="0"/>
    <xf numFmtId="1" fontId="5" fillId="0" borderId="1161" applyAlignment="1" pivotButton="0" quotePrefix="0" xfId="0">
      <alignment horizontal="left" vertical="center"/>
    </xf>
    <xf numFmtId="1" fontId="5" fillId="0" borderId="1459" applyAlignment="1" pivotButton="0" quotePrefix="0" xfId="0">
      <alignment horizontal="left" vertical="center"/>
    </xf>
    <xf numFmtId="1" fontId="5" fillId="0" borderId="943" applyAlignment="1" pivotButton="0" quotePrefix="0" xfId="0">
      <alignment horizontal="left" wrapText="1"/>
    </xf>
    <xf numFmtId="0" fontId="0" fillId="0" borderId="1505" pivotButton="0" quotePrefix="0" xfId="0"/>
    <xf numFmtId="0" fontId="0" fillId="0" borderId="1506" pivotButton="0" quotePrefix="0" xfId="0"/>
    <xf numFmtId="1" fontId="5" fillId="0" borderId="943" applyAlignment="1" pivotButton="0" quotePrefix="0" xfId="0">
      <alignment horizontal="center" wrapText="1"/>
    </xf>
    <xf numFmtId="1" fontId="5" fillId="0" borderId="1460" applyAlignment="1" pivotButton="0" quotePrefix="0" xfId="15">
      <alignment horizontal="center" vertical="center" wrapText="1"/>
    </xf>
    <xf numFmtId="1" fontId="5" fillId="0" borderId="1460" applyAlignment="1" pivotButton="0" quotePrefix="0" xfId="14">
      <alignment horizontal="center" vertical="center"/>
    </xf>
    <xf numFmtId="1" fontId="5" fillId="0" borderId="1354" applyAlignment="1" pivotButton="0" quotePrefix="1" xfId="15">
      <alignment horizontal="center" vertical="center" wrapText="1"/>
    </xf>
    <xf numFmtId="1" fontId="5" fillId="0" borderId="1497" applyAlignment="1" applyProtection="1" pivotButton="0" quotePrefix="0" xfId="15">
      <alignment horizontal="center" vertical="center" wrapText="1"/>
      <protection locked="0" hidden="0"/>
    </xf>
    <xf numFmtId="0" fontId="0" fillId="0" borderId="1461" applyProtection="1" pivotButton="0" quotePrefix="0" xfId="0">
      <protection locked="0" hidden="0"/>
    </xf>
    <xf numFmtId="1" fontId="5" fillId="0" borderId="1488" applyAlignment="1" applyProtection="1" pivotButton="0" quotePrefix="0" xfId="15">
      <alignment horizontal="center" vertical="center" wrapText="1"/>
      <protection locked="0" hidden="0"/>
    </xf>
    <xf numFmtId="1" fontId="5" fillId="0" borderId="1437" applyAlignment="1" applyProtection="1" pivotButton="0" quotePrefix="0" xfId="15">
      <alignment horizontal="center" vertical="center" wrapText="1"/>
      <protection locked="0" hidden="0"/>
    </xf>
    <xf numFmtId="1" fontId="5" fillId="0" borderId="1354" applyAlignment="1" applyProtection="1" pivotButton="0" quotePrefix="0" xfId="15">
      <alignment horizontal="center" vertical="center" wrapText="1"/>
      <protection locked="0" hidden="0"/>
    </xf>
    <xf numFmtId="1" fontId="5" fillId="0" borderId="849" applyAlignment="1" pivotButton="0" quotePrefix="0" xfId="15">
      <alignment horizontal="center" vertical="center" wrapText="1"/>
    </xf>
    <xf numFmtId="0" fontId="0" fillId="0" borderId="1498" pivotButton="0" quotePrefix="0" xfId="0"/>
    <xf numFmtId="1" fontId="5" fillId="0" borderId="1354" applyAlignment="1" pivotButton="0" quotePrefix="0" xfId="15">
      <alignment horizontal="center" vertical="center" wrapText="1"/>
    </xf>
    <xf numFmtId="0" fontId="0" fillId="0" borderId="1465" applyProtection="1" pivotButton="0" quotePrefix="0" xfId="0">
      <protection locked="0" hidden="0"/>
    </xf>
    <xf numFmtId="0" fontId="0" fillId="0" borderId="1200" applyProtection="1" pivotButton="0" quotePrefix="0" xfId="0">
      <protection locked="0" hidden="0"/>
    </xf>
    <xf numFmtId="0" fontId="0" fillId="0" borderId="1483" applyProtection="1" pivotButton="0" quotePrefix="0" xfId="0">
      <protection locked="0" hidden="0"/>
    </xf>
    <xf numFmtId="0" fontId="0" fillId="0" borderId="283" applyProtection="1" pivotButton="0" quotePrefix="0" xfId="0">
      <protection locked="0" hidden="0"/>
    </xf>
    <xf numFmtId="0" fontId="0" fillId="0" borderId="281" applyProtection="1" pivotButton="0" quotePrefix="0" xfId="0">
      <protection locked="0" hidden="0"/>
    </xf>
    <xf numFmtId="0" fontId="0" fillId="0" borderId="1403" applyProtection="1" pivotButton="0" quotePrefix="0" xfId="0">
      <protection locked="0" hidden="0"/>
    </xf>
    <xf numFmtId="0" fontId="0" fillId="0" borderId="1392" applyProtection="1" pivotButton="0" quotePrefix="0" xfId="0">
      <protection locked="0" hidden="0"/>
    </xf>
    <xf numFmtId="1" fontId="5" fillId="0" borderId="1444" applyAlignment="1" pivotButton="0" quotePrefix="0" xfId="15">
      <alignment horizontal="left" vertical="center" wrapText="1"/>
    </xf>
    <xf numFmtId="1" fontId="5" fillId="0" borderId="849" applyAlignment="1" pivotButton="0" quotePrefix="0" xfId="15">
      <alignment horizontal="center"/>
    </xf>
    <xf numFmtId="1" fontId="5" fillId="0" borderId="1488" applyAlignment="1" pivotButton="0" quotePrefix="0" xfId="14">
      <alignment horizontal="center" vertical="center"/>
    </xf>
    <xf numFmtId="1" fontId="5" fillId="0" borderId="532" applyAlignment="1" pivotButton="0" quotePrefix="1" xfId="15">
      <alignment horizontal="center" vertical="center" wrapText="1"/>
    </xf>
    <xf numFmtId="1" fontId="5" fillId="0" borderId="1471" applyAlignment="1" pivotButton="0" quotePrefix="1" xfId="15">
      <alignment horizontal="center" vertical="center" wrapText="1"/>
    </xf>
    <xf numFmtId="1" fontId="5" fillId="0" borderId="1450" applyAlignment="1" applyProtection="1" pivotButton="0" quotePrefix="0" xfId="15">
      <alignment horizontal="center" vertical="center" wrapText="1"/>
      <protection locked="0" hidden="0"/>
    </xf>
    <xf numFmtId="1" fontId="5" fillId="0" borderId="1352" applyAlignment="1" applyProtection="1" pivotButton="0" quotePrefix="0" xfId="15">
      <alignment horizontal="center" vertical="center" wrapText="1"/>
      <protection locked="0" hidden="0"/>
    </xf>
    <xf numFmtId="0" fontId="0" fillId="0" borderId="1415" applyProtection="1" pivotButton="0" quotePrefix="0" xfId="0">
      <protection locked="0" hidden="0"/>
    </xf>
    <xf numFmtId="1" fontId="5" fillId="0" borderId="1460" applyAlignment="1" applyProtection="1" pivotButton="0" quotePrefix="0" xfId="15">
      <alignment horizontal="center" vertical="center" wrapText="1"/>
      <protection locked="0" hidden="0"/>
    </xf>
    <xf numFmtId="1" fontId="5" fillId="0" borderId="1508" applyAlignment="1" pivotButton="0" quotePrefix="0" xfId="15">
      <alignment horizontal="center" vertical="center" wrapText="1"/>
    </xf>
    <xf numFmtId="1" fontId="5" fillId="0" borderId="1326" applyAlignment="1" pivotButton="0" quotePrefix="0" xfId="15">
      <alignment horizontal="center" vertical="center" wrapText="1"/>
    </xf>
    <xf numFmtId="1" fontId="5" fillId="0" borderId="1398" applyAlignment="1" pivotButton="0" quotePrefix="0" xfId="15">
      <alignment horizontal="center" vertical="center" wrapText="1"/>
    </xf>
    <xf numFmtId="0" fontId="0" fillId="0" borderId="1452" applyProtection="1" pivotButton="0" quotePrefix="0" xfId="0">
      <protection locked="0" hidden="0"/>
    </xf>
    <xf numFmtId="0" fontId="0" fillId="0" borderId="1507" applyProtection="1" pivotButton="0" quotePrefix="0" xfId="0">
      <protection locked="0" hidden="0"/>
    </xf>
    <xf numFmtId="0" fontId="0" fillId="0" borderId="1462" applyProtection="1" pivotButton="0" quotePrefix="0" xfId="0">
      <protection locked="0" hidden="0"/>
    </xf>
    <xf numFmtId="0" fontId="0" fillId="0" borderId="788" pivotButton="0" quotePrefix="0" xfId="0"/>
    <xf numFmtId="0" fontId="0" fillId="0" borderId="228" applyProtection="1" pivotButton="0" quotePrefix="0" xfId="0">
      <protection locked="0" hidden="0"/>
    </xf>
    <xf numFmtId="0" fontId="0" fillId="0" borderId="1196" applyProtection="1" pivotButton="0" quotePrefix="0" xfId="0">
      <protection locked="0" hidden="0"/>
    </xf>
    <xf numFmtId="1" fontId="5" fillId="0" borderId="1255" applyAlignment="1" pivotButton="0" quotePrefix="0" xfId="15">
      <alignment horizontal="left" vertical="center" wrapText="1"/>
    </xf>
    <xf numFmtId="0" fontId="0" fillId="0" borderId="1509" pivotButton="0" quotePrefix="0" xfId="0"/>
    <xf numFmtId="1" fontId="5" fillId="0" borderId="1147" applyAlignment="1" pivotButton="0" quotePrefix="0" xfId="15">
      <alignment horizontal="left" vertical="center" wrapText="1"/>
    </xf>
    <xf numFmtId="0" fontId="0" fillId="0" borderId="480" pivotButton="0" quotePrefix="0" xfId="0"/>
    <xf numFmtId="1" fontId="5" fillId="0" borderId="1101" applyAlignment="1" pivotButton="0" quotePrefix="0" xfId="15">
      <alignment horizontal="left" vertical="center" wrapText="1"/>
    </xf>
    <xf numFmtId="0" fontId="0" fillId="0" borderId="1511" pivotButton="0" quotePrefix="0" xfId="0"/>
    <xf numFmtId="0" fontId="5" fillId="0" borderId="1460" applyAlignment="1" pivotButton="0" quotePrefix="0" xfId="0">
      <alignment horizontal="center" vertical="center" wrapText="1"/>
    </xf>
    <xf numFmtId="0" fontId="5" fillId="0" borderId="1437" applyAlignment="1" pivotButton="0" quotePrefix="0" xfId="0">
      <alignment horizontal="center" vertical="center" wrapText="1"/>
    </xf>
    <xf numFmtId="0" fontId="5" fillId="0" borderId="1485" applyAlignment="1" pivotButton="0" quotePrefix="0" xfId="0">
      <alignment horizontal="center" vertical="center" wrapText="1"/>
    </xf>
    <xf numFmtId="0" fontId="5" fillId="0" borderId="1471" applyAlignment="1" pivotButton="0" quotePrefix="0" xfId="0">
      <alignment horizontal="center" wrapText="1"/>
    </xf>
    <xf numFmtId="0" fontId="5" fillId="0" borderId="1161" applyAlignment="1" pivotButton="0" quotePrefix="0" xfId="0">
      <alignment horizontal="left" vertical="center" wrapText="1"/>
    </xf>
    <xf numFmtId="0" fontId="0" fillId="0" borderId="1192" pivotButton="0" quotePrefix="0" xfId="0"/>
    <xf numFmtId="0" fontId="5" fillId="0" borderId="1459" applyAlignment="1" pivotButton="0" quotePrefix="0" xfId="0">
      <alignment horizontal="left" vertical="center" wrapText="1"/>
    </xf>
    <xf numFmtId="0" fontId="5" fillId="0" borderId="1502" applyAlignment="1" pivotButton="0" quotePrefix="0" xfId="0">
      <alignment horizontal="left" vertical="center" wrapText="1"/>
    </xf>
    <xf numFmtId="0" fontId="0" fillId="0" borderId="401" pivotButton="0" quotePrefix="0" xfId="0"/>
    <xf numFmtId="0" fontId="5" fillId="0" borderId="943" applyAlignment="1" pivotButton="0" quotePrefix="0" xfId="0">
      <alignment horizontal="center" vertical="center" wrapText="1"/>
    </xf>
    <xf numFmtId="0" fontId="5" fillId="0" borderId="1085" applyAlignment="1" pivotButton="0" quotePrefix="0" xfId="0">
      <alignment horizontal="left" vertical="center" wrapText="1"/>
    </xf>
    <xf numFmtId="0" fontId="5" fillId="0" borderId="849" applyAlignment="1" pivotButton="0" quotePrefix="0" xfId="0">
      <alignment horizontal="left" vertical="center" wrapText="1"/>
    </xf>
    <xf numFmtId="0" fontId="5" fillId="0" borderId="1444" applyAlignment="1" pivotButton="0" quotePrefix="0" xfId="0">
      <alignment horizontal="left" vertical="center" wrapText="1"/>
    </xf>
    <xf numFmtId="1" fontId="5" fillId="0" borderId="1437" applyAlignment="1" pivotButton="0" quotePrefix="0" xfId="15">
      <alignment horizontal="center" vertical="center"/>
    </xf>
    <xf numFmtId="1" fontId="5" fillId="0" borderId="1161" applyAlignment="1" pivotButton="0" quotePrefix="0" xfId="15">
      <alignment horizontal="left" vertical="center" wrapText="1"/>
    </xf>
    <xf numFmtId="1" fontId="5" fillId="0" borderId="1085" applyAlignment="1" pivotButton="0" quotePrefix="0" xfId="15">
      <alignment horizontal="left" vertical="center" wrapText="1"/>
    </xf>
    <xf numFmtId="1" fontId="5" fillId="0" borderId="1502" applyAlignment="1" pivotButton="0" quotePrefix="0" xfId="15">
      <alignment horizontal="left" vertical="center" wrapText="1"/>
    </xf>
    <xf numFmtId="1" fontId="5" fillId="0" borderId="26" applyAlignment="1" pivotButton="0" quotePrefix="0" xfId="2">
      <alignment horizontal="center" vertical="center"/>
    </xf>
    <xf numFmtId="0" fontId="0" fillId="0" borderId="19" pivotButton="0" quotePrefix="0" xfId="0"/>
    <xf numFmtId="1" fontId="5" fillId="0" borderId="26" applyAlignment="1" pivotButton="0" quotePrefix="0" xfId="2">
      <alignment horizontal="center" vertical="center" wrapText="1"/>
    </xf>
    <xf numFmtId="1" fontId="5" fillId="0" borderId="1512" applyAlignment="1" pivotButton="0" quotePrefix="0" xfId="2">
      <alignment horizontal="center" vertical="center"/>
    </xf>
    <xf numFmtId="0" fontId="0" fillId="0" borderId="49" pivotButton="0" quotePrefix="0" xfId="0"/>
    <xf numFmtId="0" fontId="0" fillId="0" borderId="239" pivotButton="0" quotePrefix="0" xfId="0"/>
    <xf numFmtId="0" fontId="0" fillId="0" borderId="23" pivotButton="0" quotePrefix="0" xfId="0"/>
    <xf numFmtId="0" fontId="0" fillId="0" borderId="24" pivotButton="0" quotePrefix="0" xfId="0"/>
    <xf numFmtId="1" fontId="5" fillId="0" borderId="39" applyAlignment="1" pivotButton="0" quotePrefix="0" xfId="2">
      <alignment horizontal="center" vertical="center" wrapText="1"/>
    </xf>
    <xf numFmtId="1" fontId="5" fillId="0" borderId="1501" applyAlignment="1" pivotButton="0" quotePrefix="0" xfId="2">
      <alignment horizontal="left" vertical="center"/>
    </xf>
    <xf numFmtId="0" fontId="0" fillId="0" borderId="58" pivotButton="0" quotePrefix="0" xfId="0"/>
    <xf numFmtId="1" fontId="5" fillId="0" borderId="108" applyAlignment="1" pivotButton="0" quotePrefix="0" xfId="2">
      <alignment horizontal="left" vertical="center"/>
    </xf>
    <xf numFmtId="0" fontId="0" fillId="0" borderId="64" pivotButton="0" quotePrefix="0" xfId="0"/>
    <xf numFmtId="1" fontId="5" fillId="0" borderId="1499" applyAlignment="1" pivotButton="0" quotePrefix="0" xfId="2">
      <alignment horizontal="left" vertical="center"/>
    </xf>
    <xf numFmtId="0" fontId="0" fillId="0" borderId="177" pivotButton="0" quotePrefix="0" xfId="0"/>
    <xf numFmtId="1" fontId="5" fillId="0" borderId="26" applyAlignment="1" pivotButton="0" quotePrefix="0" xfId="2">
      <alignment horizontal="left" vertical="center" wrapText="1"/>
    </xf>
    <xf numFmtId="0" fontId="0" fillId="0" borderId="36" pivotButton="0" quotePrefix="0" xfId="0"/>
    <xf numFmtId="0" fontId="0" fillId="0" borderId="39" pivotButton="0" quotePrefix="0" xfId="0"/>
    <xf numFmtId="0" fontId="5" fillId="0" borderId="1460" applyAlignment="1" pivotButton="0" quotePrefix="0" xfId="0">
      <alignment horizontal="center" vertical="center"/>
    </xf>
    <xf numFmtId="1" fontId="5" fillId="0" borderId="1446" applyAlignment="1" pivotButton="0" quotePrefix="0" xfId="15">
      <alignment horizontal="center" vertical="center" wrapText="1"/>
    </xf>
    <xf numFmtId="1" fontId="5" fillId="0" borderId="1398" applyAlignment="1" pivotButton="0" quotePrefix="0" xfId="0">
      <alignment horizontal="center" vertical="center" wrapText="1"/>
    </xf>
    <xf numFmtId="1" fontId="5" fillId="0" borderId="1513" applyAlignment="1" pivotButton="0" quotePrefix="0" xfId="0">
      <alignment horizontal="center" vertical="center" wrapText="1"/>
    </xf>
    <xf numFmtId="1" fontId="5" fillId="0" borderId="1488" applyAlignment="1" pivotButton="0" quotePrefix="0" xfId="0">
      <alignment horizontal="center" vertical="center"/>
    </xf>
    <xf numFmtId="1" fontId="5" fillId="0" borderId="1508" applyAlignment="1" pivotButton="0" quotePrefix="0" xfId="0">
      <alignment horizontal="center" vertical="center" wrapText="1"/>
    </xf>
    <xf numFmtId="1" fontId="5" fillId="0" borderId="1077" applyAlignment="1" pivotButton="0" quotePrefix="0" xfId="0">
      <alignment horizontal="center" vertical="center" wrapText="1"/>
    </xf>
    <xf numFmtId="0" fontId="0" fillId="0" borderId="1514" pivotButton="0" quotePrefix="0" xfId="0"/>
    <xf numFmtId="0" fontId="0" fillId="0" borderId="282" pivotButton="0" quotePrefix="0" xfId="0"/>
    <xf numFmtId="0" fontId="0" fillId="0" borderId="1516" pivotButton="0" quotePrefix="0" xfId="0"/>
    <xf numFmtId="0" fontId="0" fillId="0" borderId="1515" pivotButton="0" quotePrefix="0" xfId="0"/>
    <xf numFmtId="0" fontId="0" fillId="0" borderId="1396" pivotButton="0" quotePrefix="0" xfId="0"/>
    <xf numFmtId="0" fontId="0" fillId="0" borderId="226" pivotButton="0" quotePrefix="0" xfId="0"/>
    <xf numFmtId="0" fontId="5" fillId="0" borderId="1508" applyAlignment="1" pivotButton="0" quotePrefix="0" xfId="0">
      <alignment horizontal="center" vertical="center" wrapText="1"/>
    </xf>
    <xf numFmtId="0" fontId="5" fillId="0" borderId="1480" applyAlignment="1" pivotButton="0" quotePrefix="0" xfId="0">
      <alignment horizontal="center" vertical="center" wrapText="1"/>
    </xf>
    <xf numFmtId="0" fontId="5" fillId="0" borderId="1446" applyAlignment="1" pivotButton="0" quotePrefix="0" xfId="0">
      <alignment horizontal="center" vertical="center" wrapText="1"/>
    </xf>
    <xf numFmtId="0" fontId="5" fillId="0" borderId="1232" applyAlignment="1" pivotButton="0" quotePrefix="0" xfId="0">
      <alignment horizontal="center" wrapText="1"/>
    </xf>
    <xf numFmtId="0" fontId="5" fillId="0" borderId="1398" applyAlignment="1" pivotButton="0" quotePrefix="0" xfId="0">
      <alignment horizontal="center" vertical="center" wrapText="1"/>
    </xf>
    <xf numFmtId="0" fontId="5" fillId="0" borderId="1520" applyAlignment="1" pivotButton="0" quotePrefix="0" xfId="0">
      <alignment horizontal="center" wrapText="1"/>
    </xf>
    <xf numFmtId="0" fontId="5" fillId="0" borderId="943" applyAlignment="1" pivotButton="0" quotePrefix="0" xfId="0">
      <alignment horizontal="center"/>
    </xf>
    <xf numFmtId="1" fontId="5" fillId="0" borderId="1294" applyAlignment="1" pivotButton="0" quotePrefix="0" xfId="0">
      <alignment horizontal="center" vertical="center" wrapText="1"/>
    </xf>
    <xf numFmtId="0" fontId="0" fillId="0" borderId="1196" pivotButton="0" quotePrefix="0" xfId="0"/>
    <xf numFmtId="1" fontId="5" fillId="0" borderId="1460" applyAlignment="1" pivotButton="0" quotePrefix="0" xfId="0">
      <alignment horizontal="center" vertical="center"/>
    </xf>
    <xf numFmtId="1" fontId="5" fillId="0" borderId="1521" applyAlignment="1" pivotButton="0" quotePrefix="0" xfId="0">
      <alignment horizontal="center" vertical="center" wrapText="1"/>
    </xf>
    <xf numFmtId="1" fontId="5" fillId="0" borderId="1252" applyAlignment="1" pivotButton="0" quotePrefix="0" xfId="0">
      <alignment horizontal="center" vertical="center"/>
    </xf>
    <xf numFmtId="1" fontId="5" fillId="0" borderId="1200" applyAlignment="1" pivotButton="0" quotePrefix="0" xfId="0">
      <alignment horizontal="center" vertical="center" wrapText="1"/>
    </xf>
    <xf numFmtId="0" fontId="0" fillId="0" borderId="1252" pivotButton="0" quotePrefix="0" xfId="0"/>
    <xf numFmtId="1" fontId="14" fillId="0" borderId="1398" applyAlignment="1" pivotButton="0" quotePrefix="0" xfId="0">
      <alignment horizontal="left"/>
    </xf>
    <xf numFmtId="1" fontId="5" fillId="0" borderId="1185" applyAlignment="1" pivotButton="0" quotePrefix="0" xfId="0">
      <alignment horizontal="center" vertical="center"/>
    </xf>
    <xf numFmtId="0" fontId="0" fillId="0" borderId="1291" pivotButton="0" quotePrefix="0" xfId="0"/>
    <xf numFmtId="1" fontId="5" fillId="0" borderId="1232" applyAlignment="1" pivotButton="0" quotePrefix="0" xfId="0">
      <alignment horizontal="center" vertical="center"/>
    </xf>
    <xf numFmtId="1" fontId="5" fillId="0" borderId="1185" applyAlignment="1" pivotButton="0" quotePrefix="0" xfId="0">
      <alignment horizontal="center" vertical="center" wrapText="1"/>
    </xf>
    <xf numFmtId="1" fontId="5" fillId="0" borderId="1354" applyAlignment="1" pivotButton="0" quotePrefix="0" xfId="0">
      <alignment horizontal="left" vertical="center"/>
    </xf>
    <xf numFmtId="1" fontId="5" fillId="6" borderId="1354" applyAlignment="1" pivotButton="0" quotePrefix="0" xfId="0">
      <alignment horizontal="center" vertical="center" wrapText="1"/>
    </xf>
    <xf numFmtId="1" fontId="5" fillId="0" borderId="1257" applyAlignment="1" pivotButton="0" quotePrefix="0" xfId="0">
      <alignment horizontal="center" vertical="center" wrapText="1"/>
    </xf>
    <xf numFmtId="0" fontId="0" fillId="0" borderId="1523" pivotButton="0" quotePrefix="0" xfId="0"/>
    <xf numFmtId="1" fontId="16" fillId="0" borderId="1232" applyAlignment="1" pivotButton="0" quotePrefix="0" xfId="0">
      <alignment horizontal="left" vertical="center"/>
    </xf>
    <xf numFmtId="1" fontId="14" fillId="5" borderId="1522" applyAlignment="1" pivotButton="0" quotePrefix="1" xfId="29">
      <alignment horizontal="left"/>
    </xf>
    <xf numFmtId="0" fontId="0" fillId="0" borderId="1522" pivotButton="0" quotePrefix="0" xfId="0"/>
    <xf numFmtId="1" fontId="5" fillId="0" borderId="1354" applyAlignment="1" pivotButton="0" quotePrefix="0" xfId="29">
      <alignment horizontal="center" vertical="center" wrapText="1"/>
    </xf>
    <xf numFmtId="1" fontId="5" fillId="0" borderId="1460" applyAlignment="1" pivotButton="0" quotePrefix="0" xfId="30">
      <alignment horizontal="center" vertical="center"/>
    </xf>
    <xf numFmtId="1" fontId="5" fillId="0" borderId="1448" applyAlignment="1" pivotButton="0" quotePrefix="0" xfId="30">
      <alignment horizontal="center" vertical="center"/>
    </xf>
    <xf numFmtId="0" fontId="0" fillId="0" borderId="588" pivotButton="0" quotePrefix="0" xfId="0"/>
    <xf numFmtId="1" fontId="5" fillId="0" borderId="1125" applyAlignment="1" pivotButton="0" quotePrefix="0" xfId="30">
      <alignment horizontal="center" vertical="center" wrapText="1"/>
    </xf>
    <xf numFmtId="1" fontId="5" fillId="0" borderId="1446" applyAlignment="1" pivotButton="0" quotePrefix="0" xfId="30">
      <alignment horizontal="center" vertical="center" wrapText="1"/>
    </xf>
    <xf numFmtId="1" fontId="5" fillId="0" borderId="1460" applyAlignment="1" pivotButton="0" quotePrefix="0" xfId="30">
      <alignment horizontal="center" vertical="center" wrapText="1"/>
    </xf>
    <xf numFmtId="0" fontId="0" fillId="0" borderId="1389" pivotButton="0" quotePrefix="0" xfId="0"/>
    <xf numFmtId="1" fontId="14" fillId="5" borderId="1478" applyAlignment="1" pivotButton="0" quotePrefix="1" xfId="29">
      <alignment horizontal="left"/>
    </xf>
    <xf numFmtId="1" fontId="5" fillId="0" borderId="1437" applyAlignment="1" pivotButton="0" quotePrefix="0" xfId="29">
      <alignment horizontal="center" vertical="center" wrapText="1"/>
    </xf>
    <xf numFmtId="1" fontId="5" fillId="0" borderId="1232" applyAlignment="1" pivotButton="0" quotePrefix="0" xfId="29">
      <alignment horizontal="center" vertical="center" wrapText="1"/>
    </xf>
    <xf numFmtId="1" fontId="5" fillId="0" borderId="1448" applyAlignment="1" pivotButton="0" quotePrefix="0" xfId="0">
      <alignment horizontal="center" vertical="center"/>
    </xf>
    <xf numFmtId="1" fontId="5" fillId="0" borderId="1398" applyAlignment="1" pivotButton="0" quotePrefix="0" xfId="0">
      <alignment horizontal="center" vertical="top" wrapText="1"/>
    </xf>
    <xf numFmtId="1" fontId="5" fillId="0" borderId="1354" applyAlignment="1" pivotButton="0" quotePrefix="0" xfId="0">
      <alignment horizontal="center" vertical="top" wrapText="1"/>
    </xf>
    <xf numFmtId="1" fontId="5" fillId="0" borderId="1425" applyAlignment="1" pivotButton="0" quotePrefix="0" xfId="0">
      <alignment horizontal="center" vertical="center"/>
    </xf>
    <xf numFmtId="1" fontId="5" fillId="0" borderId="1294" applyAlignment="1" pivotButton="0" quotePrefix="0" xfId="0">
      <alignment horizontal="center" vertical="center"/>
    </xf>
    <xf numFmtId="1" fontId="5" fillId="0" borderId="1398" applyAlignment="1" pivotButton="0" quotePrefix="0" xfId="0">
      <alignment horizontal="center" vertical="center"/>
    </xf>
    <xf numFmtId="0" fontId="5" fillId="0" borderId="1446" applyAlignment="1" pivotButton="0" quotePrefix="0" xfId="0">
      <alignment horizontal="center" vertical="center"/>
    </xf>
    <xf numFmtId="1" fontId="5" fillId="0" borderId="1480" applyAlignment="1" pivotButton="0" quotePrefix="0" xfId="0">
      <alignment horizontal="center" vertical="center" wrapText="1"/>
    </xf>
    <xf numFmtId="1" fontId="5" fillId="0" borderId="1446" applyAlignment="1" pivotButton="0" quotePrefix="0" xfId="0">
      <alignment horizontal="center" vertical="center"/>
    </xf>
    <xf numFmtId="0" fontId="5" fillId="0" borderId="1448" applyAlignment="1" pivotButton="0" quotePrefix="0" xfId="0">
      <alignment horizontal="center" vertical="center"/>
    </xf>
    <xf numFmtId="0" fontId="5" fillId="0" borderId="1354" applyAlignment="1" pivotButton="0" quotePrefix="0" xfId="0">
      <alignment horizontal="center" vertical="center"/>
    </xf>
    <xf numFmtId="0" fontId="5" fillId="0" borderId="1402" applyAlignment="1" pivotButton="0" quotePrefix="0" xfId="0">
      <alignment horizontal="center" vertical="center"/>
    </xf>
    <xf numFmtId="1" fontId="5" fillId="5" borderId="1385" applyAlignment="1" applyProtection="1" pivotButton="0" quotePrefix="0" xfId="0">
      <alignment horizontal="center" vertical="center" wrapText="1"/>
      <protection locked="1" hidden="1"/>
    </xf>
    <xf numFmtId="1" fontId="5" fillId="5" borderId="1354" applyAlignment="1" pivotButton="0" quotePrefix="0" xfId="0">
      <alignment horizontal="center" vertical="center"/>
    </xf>
    <xf numFmtId="0" fontId="0" fillId="0" borderId="281" applyProtection="1" pivotButton="0" quotePrefix="0" xfId="0">
      <protection locked="1" hidden="1"/>
    </xf>
    <xf numFmtId="1" fontId="5" fillId="5" borderId="1232" applyAlignment="1" pivotButton="0" quotePrefix="0" xfId="0">
      <alignment horizontal="center" vertical="center"/>
    </xf>
    <xf numFmtId="1" fontId="5" fillId="5" borderId="1232" applyAlignment="1" pivotButton="0" quotePrefix="0" xfId="0">
      <alignment horizontal="center" vertical="center" wrapText="1"/>
    </xf>
    <xf numFmtId="1" fontId="5" fillId="0" borderId="1517" applyAlignment="1" pivotButton="0" quotePrefix="0" xfId="0">
      <alignment horizontal="center" vertical="center" wrapText="1"/>
    </xf>
    <xf numFmtId="0" fontId="0" fillId="0" borderId="1519" pivotButton="0" quotePrefix="0" xfId="0"/>
    <xf numFmtId="1" fontId="5" fillId="0" borderId="1408" applyAlignment="1" pivotButton="0" quotePrefix="0" xfId="0">
      <alignment horizontal="center" vertical="center"/>
    </xf>
    <xf numFmtId="1" fontId="3" fillId="0" borderId="1541" applyAlignment="1" pivotButton="0" quotePrefix="0" xfId="0">
      <alignment horizontal="center" vertical="center" wrapText="1"/>
    </xf>
    <xf numFmtId="1" fontId="3" fillId="0" borderId="1448" applyAlignment="1" pivotButton="0" quotePrefix="0" xfId="0">
      <alignment horizontal="center" vertical="center"/>
    </xf>
    <xf numFmtId="1" fontId="3" fillId="0" borderId="1536" applyAlignment="1" pivotButton="0" quotePrefix="0" xfId="0">
      <alignment horizontal="center" vertical="center" wrapText="1"/>
    </xf>
    <xf numFmtId="0" fontId="3" fillId="0" borderId="1354" applyAlignment="1" pivotButton="0" quotePrefix="0" xfId="0">
      <alignment horizontal="center" wrapText="1"/>
    </xf>
    <xf numFmtId="0" fontId="0" fillId="0" borderId="302" pivotButton="0" quotePrefix="0" xfId="0"/>
    <xf numFmtId="1" fontId="3" fillId="0" borderId="708" applyAlignment="1" pivotButton="0" quotePrefix="0" xfId="0">
      <alignment horizontal="center" vertical="center" wrapText="1"/>
    </xf>
    <xf numFmtId="1" fontId="3" fillId="0" borderId="1446" applyAlignment="1" pivotButton="0" quotePrefix="0" xfId="0">
      <alignment horizontal="center" vertical="center" wrapText="1"/>
    </xf>
    <xf numFmtId="1" fontId="3" fillId="0" borderId="1385" pivotButton="0" quotePrefix="0" xfId="0"/>
    <xf numFmtId="1" fontId="3" fillId="0" borderId="1361" pivotButton="0" quotePrefix="0" xfId="0"/>
    <xf numFmtId="1" fontId="3" fillId="0" borderId="1502" applyAlignment="1" pivotButton="0" quotePrefix="0" xfId="0">
      <alignment wrapText="1"/>
    </xf>
    <xf numFmtId="1" fontId="3" fillId="0" borderId="1521" applyAlignment="1" pivotButton="0" quotePrefix="0" xfId="0">
      <alignment horizontal="center" vertical="center" wrapText="1"/>
    </xf>
    <xf numFmtId="1" fontId="3" fillId="0" borderId="1542" applyAlignment="1" pivotButton="0" quotePrefix="0" xfId="0">
      <alignment horizontal="center" vertical="center" wrapText="1"/>
    </xf>
    <xf numFmtId="0" fontId="0" fillId="0" borderId="230" pivotButton="0" quotePrefix="0" xfId="0"/>
    <xf numFmtId="1" fontId="3" fillId="0" borderId="1354" applyAlignment="1" pivotButton="0" quotePrefix="0" xfId="0">
      <alignment horizontal="left" wrapText="1"/>
    </xf>
    <xf numFmtId="1" fontId="3" fillId="0" borderId="1161" applyAlignment="1" pivotButton="0" quotePrefix="0" xfId="0">
      <alignment horizontal="left" wrapText="1"/>
    </xf>
    <xf numFmtId="1" fontId="3" fillId="0" borderId="1502" applyAlignment="1" pivotButton="0" quotePrefix="0" xfId="0">
      <alignment horizontal="left" wrapText="1"/>
    </xf>
    <xf numFmtId="0" fontId="3" fillId="0" borderId="1521" applyAlignment="1" pivotButton="0" quotePrefix="0" xfId="0">
      <alignment horizontal="center" wrapText="1"/>
    </xf>
    <xf numFmtId="1" fontId="3" fillId="0" borderId="1485" applyAlignment="1" pivotButton="0" quotePrefix="0" xfId="0">
      <alignment horizontal="center" vertical="center" wrapText="1"/>
    </xf>
    <xf numFmtId="1" fontId="3" fillId="0" borderId="1502" pivotButton="0" quotePrefix="0" xfId="0"/>
    <xf numFmtId="1" fontId="3" fillId="0" borderId="1354" applyAlignment="1" pivotButton="0" quotePrefix="0" xfId="0">
      <alignment horizontal="left" vertical="center" wrapText="1"/>
    </xf>
    <xf numFmtId="1" fontId="3" fillId="0" borderId="1537" applyAlignment="1" pivotButton="0" quotePrefix="0" xfId="0">
      <alignment horizontal="left"/>
    </xf>
    <xf numFmtId="0" fontId="0" fillId="0" borderId="1538" pivotButton="0" quotePrefix="0" xfId="0"/>
    <xf numFmtId="1" fontId="3" fillId="0" borderId="1120" applyAlignment="1" pivotButton="0" quotePrefix="0" xfId="0">
      <alignment horizontal="left"/>
    </xf>
    <xf numFmtId="1" fontId="3" fillId="0" borderId="1425" applyAlignment="1" applyProtection="1" pivotButton="0" quotePrefix="0" xfId="0">
      <alignment horizontal="left" wrapText="1"/>
      <protection locked="1" hidden="1"/>
    </xf>
    <xf numFmtId="0" fontId="0" fillId="0" borderId="1425" applyProtection="1" pivotButton="0" quotePrefix="0" xfId="0">
      <protection locked="1" hidden="1"/>
    </xf>
    <xf numFmtId="1" fontId="3" fillId="0" borderId="1460" applyAlignment="1" pivotButton="0" quotePrefix="0" xfId="0">
      <alignment horizontal="center" vertical="center" wrapText="1"/>
    </xf>
    <xf numFmtId="1" fontId="3" fillId="0" borderId="1549" applyAlignment="1" pivotButton="0" quotePrefix="0" xfId="0">
      <alignment horizontal="left" vertical="center" wrapText="1"/>
    </xf>
    <xf numFmtId="0" fontId="0" fillId="0" borderId="1550" pivotButton="0" quotePrefix="0" xfId="0"/>
    <xf numFmtId="1" fontId="3" fillId="0" borderId="1546" applyAlignment="1" pivotButton="0" quotePrefix="0" xfId="0">
      <alignment horizontal="left"/>
    </xf>
    <xf numFmtId="0" fontId="0" fillId="0" borderId="150" pivotButton="0" quotePrefix="0" xfId="0"/>
    <xf numFmtId="1" fontId="3" fillId="0" borderId="1502" applyAlignment="1" pivotButton="0" quotePrefix="0" xfId="0">
      <alignment horizontal="left"/>
    </xf>
    <xf numFmtId="1" fontId="3" fillId="0" borderId="1425" applyAlignment="1" applyProtection="1" pivotButton="0" quotePrefix="0" xfId="0">
      <alignment wrapText="1"/>
      <protection locked="1" hidden="1"/>
    </xf>
    <xf numFmtId="0" fontId="3" fillId="0" borderId="1460" applyAlignment="1" pivotButton="0" quotePrefix="0" xfId="0">
      <alignment horizontal="center" vertical="center" wrapText="1"/>
    </xf>
    <xf numFmtId="0" fontId="3" fillId="20" borderId="1528" applyAlignment="1" pivotButton="0" quotePrefix="0" xfId="0">
      <alignment horizontal="center"/>
    </xf>
    <xf numFmtId="0" fontId="0" fillId="0" borderId="160" pivotButton="0" quotePrefix="0" xfId="0"/>
    <xf numFmtId="0" fontId="0" fillId="0" borderId="88" pivotButton="0" quotePrefix="0" xfId="0"/>
    <xf numFmtId="0" fontId="3" fillId="45" borderId="1527" applyAlignment="1" pivotButton="0" quotePrefix="0" xfId="0">
      <alignment horizontal="center" vertical="center" wrapText="1"/>
    </xf>
    <xf numFmtId="0" fontId="3" fillId="45" borderId="1354" applyAlignment="1" pivotButton="0" quotePrefix="0" xfId="0">
      <alignment horizontal="center" vertical="center" wrapText="1"/>
    </xf>
    <xf numFmtId="0" fontId="3" fillId="45" borderId="1531" applyAlignment="1" pivotButton="0" quotePrefix="0" xfId="0">
      <alignment horizontal="center" vertical="center" wrapText="1"/>
    </xf>
    <xf numFmtId="0" fontId="3" fillId="45" borderId="1532" applyAlignment="1" pivotButton="0" quotePrefix="0" xfId="0">
      <alignment horizontal="center" wrapText="1"/>
    </xf>
    <xf numFmtId="0" fontId="0" fillId="0" borderId="1533" pivotButton="0" quotePrefix="0" xfId="0"/>
    <xf numFmtId="0" fontId="3" fillId="20" borderId="1532" applyAlignment="1" pivotButton="0" quotePrefix="0" xfId="0">
      <alignment horizontal="center" wrapText="1"/>
    </xf>
    <xf numFmtId="0" fontId="0" fillId="0" borderId="50" pivotButton="0" quotePrefix="0" xfId="0"/>
    <xf numFmtId="0" fontId="3" fillId="0" borderId="89" applyAlignment="1" pivotButton="0" quotePrefix="0" xfId="0">
      <alignment horizontal="center" vertical="center" wrapText="1"/>
    </xf>
    <xf numFmtId="0" fontId="3" fillId="0" borderId="96" applyAlignment="1" pivotButton="0" quotePrefix="0" xfId="0">
      <alignment horizontal="center" vertical="center" wrapText="1"/>
    </xf>
    <xf numFmtId="0" fontId="3" fillId="0" borderId="88" applyAlignment="1" pivotButton="0" quotePrefix="0" xfId="0">
      <alignment horizontal="center" vertical="center" wrapText="1"/>
    </xf>
    <xf numFmtId="0" fontId="3" fillId="0" borderId="1524" applyAlignment="1" pivotButton="0" quotePrefix="0" xfId="0">
      <alignment horizontal="center" vertical="center" wrapText="1"/>
    </xf>
    <xf numFmtId="0" fontId="0" fillId="0" borderId="708" pivotButton="0" quotePrefix="0" xfId="0"/>
    <xf numFmtId="0" fontId="3" fillId="0" borderId="1525" applyAlignment="1" pivotButton="0" quotePrefix="0" xfId="0">
      <alignment horizontal="center" vertical="center" wrapText="1"/>
    </xf>
    <xf numFmtId="0" fontId="3" fillId="0" borderId="1526" applyAlignment="1" pivotButton="0" quotePrefix="0" xfId="0">
      <alignment horizontal="center" vertical="center" wrapText="1"/>
    </xf>
    <xf numFmtId="0" fontId="3" fillId="0" borderId="1530" applyAlignment="1" pivotButton="0" quotePrefix="0" xfId="0">
      <alignment horizontal="center" vertical="center" wrapText="1"/>
    </xf>
    <xf numFmtId="0" fontId="0" fillId="0" borderId="157" pivotButton="0" quotePrefix="0" xfId="0"/>
    <xf numFmtId="0" fontId="0" fillId="0" borderId="158" pivotButton="0" quotePrefix="0" xfId="0"/>
    <xf numFmtId="0" fontId="0" fillId="0" borderId="165" pivotButton="0" quotePrefix="0" xfId="0"/>
    <xf numFmtId="0" fontId="0" fillId="0" borderId="54" pivotButton="0" quotePrefix="0" xfId="0"/>
    <xf numFmtId="0" fontId="0" fillId="0" borderId="103" pivotButton="0" quotePrefix="0" xfId="0"/>
    <xf numFmtId="0" fontId="0" fillId="0" borderId="104" pivotButton="0" quotePrefix="0" xfId="0"/>
    <xf numFmtId="0" fontId="3" fillId="0" borderId="1085" applyAlignment="1" pivotButton="0" quotePrefix="0" xfId="0">
      <alignment wrapText="1"/>
    </xf>
    <xf numFmtId="0" fontId="3" fillId="20" borderId="1502" applyAlignment="1" pivotButton="0" quotePrefix="0" xfId="0">
      <alignment wrapText="1"/>
    </xf>
    <xf numFmtId="1" fontId="3" fillId="5" borderId="1425" applyAlignment="1" pivotButton="0" quotePrefix="0" xfId="0">
      <alignment horizontal="center" vertical="center" wrapText="1"/>
    </xf>
    <xf numFmtId="1" fontId="3" fillId="3" borderId="1425" applyAlignment="1" pivotButton="0" quotePrefix="0" xfId="0">
      <alignment horizontal="center" vertical="center" wrapText="1"/>
    </xf>
    <xf numFmtId="1" fontId="3" fillId="0" borderId="1425" applyAlignment="1" pivotButton="0" quotePrefix="0" xfId="0">
      <alignment horizontal="center" vertical="center" wrapText="1"/>
    </xf>
    <xf numFmtId="1" fontId="3" fillId="0" borderId="1448" applyAlignment="1" pivotButton="0" quotePrefix="0" xfId="0">
      <alignment horizontal="center" vertical="center" wrapText="1"/>
    </xf>
    <xf numFmtId="1" fontId="3" fillId="0" borderId="1354" applyAlignment="1" pivotButton="0" quotePrefix="0" xfId="0">
      <alignment horizontal="center" vertical="center"/>
    </xf>
    <xf numFmtId="0" fontId="0" fillId="0" borderId="1451" pivotButton="0" quotePrefix="0" xfId="0"/>
    <xf numFmtId="1" fontId="3" fillId="0" borderId="1539" applyAlignment="1" pivotButton="0" quotePrefix="0" xfId="0">
      <alignment horizontal="center"/>
    </xf>
    <xf numFmtId="1" fontId="3" fillId="0" borderId="1450" applyAlignment="1" pivotButton="0" quotePrefix="0" xfId="0">
      <alignment horizontal="center" vertical="center" wrapText="1"/>
    </xf>
    <xf numFmtId="1" fontId="3" fillId="0" borderId="1517" applyAlignment="1" pivotButton="0" quotePrefix="0" xfId="0">
      <alignment horizontal="center" vertical="center" wrapText="1"/>
    </xf>
    <xf numFmtId="1" fontId="3" fillId="0" borderId="1352" applyAlignment="1" pivotButton="0" quotePrefix="0" xfId="0">
      <alignment horizontal="center" vertical="center" wrapText="1"/>
    </xf>
    <xf numFmtId="1" fontId="3" fillId="0" borderId="1253" applyAlignment="1" pivotButton="0" quotePrefix="0" xfId="0">
      <alignment horizontal="center"/>
    </xf>
    <xf numFmtId="1" fontId="3" fillId="0" borderId="1120" pivotButton="0" quotePrefix="0" xfId="0"/>
    <xf numFmtId="1" fontId="3" fillId="0" borderId="1385" applyAlignment="1" pivotButton="0" quotePrefix="0" xfId="0">
      <alignment horizontal="left" vertical="center" wrapText="1"/>
    </xf>
    <xf numFmtId="1" fontId="3" fillId="0" borderId="1232" applyAlignment="1" pivotButton="0" quotePrefix="0" xfId="0">
      <alignment horizontal="center"/>
    </xf>
    <xf numFmtId="1" fontId="3" fillId="0" borderId="849" applyAlignment="1" pivotButton="0" quotePrefix="0" xfId="0">
      <alignment horizontal="center"/>
    </xf>
    <xf numFmtId="1" fontId="3" fillId="0" borderId="1539" applyAlignment="1" pivotButton="0" quotePrefix="0" xfId="0">
      <alignment horizontal="center" vertical="center" wrapText="1"/>
    </xf>
    <xf numFmtId="1" fontId="3" fillId="0" borderId="1392" applyAlignment="1" pivotButton="0" quotePrefix="0" xfId="0">
      <alignment horizontal="left" vertical="center" wrapText="1"/>
    </xf>
    <xf numFmtId="0" fontId="0" fillId="0" borderId="1540" pivotButton="0" quotePrefix="0" xfId="0"/>
    <xf numFmtId="0" fontId="0" fillId="0" borderId="1435" pivotButton="0" quotePrefix="0" xfId="0"/>
    <xf numFmtId="1" fontId="2" fillId="0" borderId="1399" pivotButton="0" quotePrefix="0" xfId="0"/>
    <xf numFmtId="1" fontId="2" fillId="0" borderId="1232" applyAlignment="1" pivotButton="0" quotePrefix="0" xfId="0">
      <alignment wrapText="1"/>
    </xf>
    <xf numFmtId="1" fontId="3" fillId="6" borderId="1232" applyAlignment="1" pivotButton="0" quotePrefix="0" xfId="0">
      <alignment wrapText="1"/>
    </xf>
    <xf numFmtId="1" fontId="3" fillId="0" borderId="1537" applyAlignment="1" pivotButton="0" quotePrefix="0" xfId="0">
      <alignment wrapText="1"/>
    </xf>
    <xf numFmtId="1" fontId="2" fillId="0" borderId="1232" pivotButton="0" quotePrefix="0" xfId="0"/>
    <xf numFmtId="1" fontId="3" fillId="0" borderId="1354" applyAlignment="1" applyProtection="1" pivotButton="0" quotePrefix="0" xfId="0">
      <alignment horizontal="center" vertical="center"/>
      <protection locked="1" hidden="1"/>
    </xf>
    <xf numFmtId="1" fontId="3" fillId="0" borderId="1448" applyAlignment="1" applyProtection="1" pivotButton="0" quotePrefix="0" xfId="0">
      <alignment horizontal="center" vertical="center"/>
      <protection locked="1" hidden="1"/>
    </xf>
    <xf numFmtId="0" fontId="0" fillId="0" borderId="1294" applyProtection="1" pivotButton="0" quotePrefix="0" xfId="0">
      <protection locked="1" hidden="1"/>
    </xf>
    <xf numFmtId="0" fontId="0" fillId="0" borderId="1392" applyProtection="1" pivotButton="0" quotePrefix="0" xfId="0">
      <protection locked="1" hidden="1"/>
    </xf>
    <xf numFmtId="1" fontId="3" fillId="0" borderId="1354" applyAlignment="1" applyProtection="1" pivotButton="0" quotePrefix="0" xfId="0">
      <alignment horizontal="left" vertical="center" wrapText="1"/>
      <protection locked="1" hidden="1"/>
    </xf>
    <xf numFmtId="1" fontId="3" fillId="0" borderId="1480" applyAlignment="1" pivotButton="0" quotePrefix="0" xfId="0">
      <alignment horizontal="center" vertical="center" wrapText="1"/>
    </xf>
    <xf numFmtId="1" fontId="3" fillId="0" borderId="1446" applyAlignment="1" pivotButton="0" quotePrefix="0" xfId="0">
      <alignment horizontal="left" vertical="center"/>
    </xf>
    <xf numFmtId="1" fontId="3" fillId="0" borderId="1460" applyAlignment="1" pivotButton="0" quotePrefix="0" xfId="0">
      <alignment horizontal="center" vertical="center"/>
    </xf>
    <xf numFmtId="1" fontId="3" fillId="0" borderId="1488" applyAlignment="1" pivotButton="0" quotePrefix="0" xfId="0">
      <alignment horizontal="center" vertical="center" wrapText="1"/>
    </xf>
    <xf numFmtId="1" fontId="3" fillId="0" borderId="1437" applyAlignment="1" pivotButton="0" quotePrefix="0" xfId="0">
      <alignment horizontal="center" vertical="center" wrapText="1"/>
    </xf>
    <xf numFmtId="0" fontId="3" fillId="0" borderId="1399" applyAlignment="1" pivotButton="0" quotePrefix="0" xfId="0">
      <alignment wrapText="1"/>
    </xf>
    <xf numFmtId="1" fontId="3" fillId="0" borderId="1232" applyAlignment="1" pivotButton="0" quotePrefix="0" xfId="0">
      <alignment wrapText="1"/>
    </xf>
    <xf numFmtId="1" fontId="3" fillId="5" borderId="1502" applyAlignment="1" pivotButton="0" quotePrefix="0" xfId="0">
      <alignment wrapText="1"/>
    </xf>
    <xf numFmtId="1" fontId="3" fillId="0" borderId="1535" applyAlignment="1" pivotButton="0" quotePrefix="0" xfId="0">
      <alignment horizontal="center" vertical="center" wrapText="1"/>
    </xf>
    <xf numFmtId="0" fontId="0" fillId="0" borderId="84" pivotButton="0" quotePrefix="0" xfId="0"/>
    <xf numFmtId="0" fontId="0" fillId="0" borderId="85" pivotButton="0" quotePrefix="0" xfId="0"/>
    <xf numFmtId="0" fontId="0" fillId="0" borderId="87" pivotButton="0" quotePrefix="0" xfId="0"/>
    <xf numFmtId="1" fontId="3" fillId="0" borderId="1450" applyAlignment="1" pivotButton="0" quotePrefix="0" xfId="15">
      <alignment horizontal="center" vertical="center" wrapText="1"/>
    </xf>
    <xf numFmtId="1" fontId="3" fillId="0" borderId="1517" applyAlignment="1" pivotButton="0" quotePrefix="0" xfId="15">
      <alignment horizontal="center" vertical="center" wrapText="1"/>
    </xf>
    <xf numFmtId="1" fontId="3" fillId="0" borderId="1446" applyAlignment="1" pivotButton="0" quotePrefix="0" xfId="15">
      <alignment horizontal="center" vertical="center" wrapText="1"/>
    </xf>
    <xf numFmtId="0" fontId="0" fillId="0" borderId="1518" pivotButton="0" quotePrefix="0" xfId="0"/>
    <xf numFmtId="1" fontId="3" fillId="0" borderId="1544" applyAlignment="1" pivotButton="0" quotePrefix="0" xfId="0">
      <alignment horizontal="center" vertical="center" wrapText="1"/>
    </xf>
    <xf numFmtId="0" fontId="0" fillId="0" borderId="1545" pivotButton="0" quotePrefix="0" xfId="0"/>
    <xf numFmtId="0" fontId="0" fillId="0" borderId="1405" pivotButton="0" quotePrefix="0" xfId="0"/>
    <xf numFmtId="1" fontId="3" fillId="0" borderId="1446" applyAlignment="1" pivotButton="0" quotePrefix="0" xfId="0">
      <alignment horizontal="left" vertical="center" wrapText="1"/>
    </xf>
    <xf numFmtId="1" fontId="3" fillId="6" borderId="1399" applyAlignment="1" pivotButton="0" quotePrefix="0" xfId="0">
      <alignment horizontal="center" vertical="center"/>
    </xf>
    <xf numFmtId="1" fontId="3" fillId="6" borderId="1480" applyAlignment="1" pivotButton="0" quotePrefix="0" xfId="0">
      <alignment horizontal="center" vertical="center" wrapText="1"/>
    </xf>
    <xf numFmtId="1" fontId="3" fillId="6" borderId="1517" applyAlignment="1" pivotButton="0" quotePrefix="0" xfId="0">
      <alignment horizontal="center" vertical="center" wrapText="1"/>
    </xf>
    <xf numFmtId="1" fontId="3" fillId="6" borderId="1453" applyAlignment="1" pivotButton="0" quotePrefix="0" xfId="0">
      <alignment horizontal="center" vertical="center" wrapText="1"/>
    </xf>
    <xf numFmtId="1" fontId="3" fillId="6" borderId="1393" applyAlignment="1" pivotButton="0" quotePrefix="0" xfId="0">
      <alignment horizontal="center" vertical="center" wrapText="1"/>
    </xf>
    <xf numFmtId="0" fontId="0" fillId="0" borderId="1551" pivotButton="0" quotePrefix="0" xfId="0"/>
    <xf numFmtId="0" fontId="0" fillId="0" borderId="847" pivotButton="0" quotePrefix="0" xfId="0"/>
    <xf numFmtId="1" fontId="2" fillId="5" borderId="1142" applyAlignment="1" pivotButton="0" quotePrefix="0" xfId="0">
      <alignment horizontal="left"/>
    </xf>
    <xf numFmtId="1" fontId="3" fillId="0" borderId="1552" applyAlignment="1" pivotButton="0" quotePrefix="0" xfId="0">
      <alignment horizontal="center" vertical="center" wrapText="1"/>
    </xf>
    <xf numFmtId="0" fontId="0" fillId="0" borderId="148" pivotButton="0" quotePrefix="0" xfId="0"/>
    <xf numFmtId="1" fontId="3" fillId="0" borderId="1307" applyAlignment="1" pivotButton="0" quotePrefix="0" xfId="0">
      <alignment horizontal="center" vertical="center" wrapText="1"/>
    </xf>
    <xf numFmtId="0" fontId="0" fillId="0" borderId="1367" pivotButton="0" quotePrefix="0" xfId="0"/>
    <xf numFmtId="0" fontId="0" fillId="0" borderId="1307" pivotButton="0" quotePrefix="0" xfId="0"/>
    <xf numFmtId="1" fontId="3" fillId="0" borderId="1553" applyAlignment="1" pivotButton="0" quotePrefix="0" xfId="0">
      <alignment horizontal="center" vertical="center" wrapText="1"/>
    </xf>
    <xf numFmtId="1" fontId="3" fillId="0" borderId="1357" applyAlignment="1" pivotButton="0" quotePrefix="0" xfId="0">
      <alignment horizontal="center" vertical="center" wrapText="1"/>
    </xf>
    <xf numFmtId="1" fontId="3" fillId="0" borderId="1356" applyAlignment="1" pivotButton="0" quotePrefix="0" xfId="0">
      <alignment horizontal="center" vertical="center" wrapText="1"/>
    </xf>
    <xf numFmtId="1" fontId="3" fillId="0" borderId="163" applyAlignment="1" pivotButton="0" quotePrefix="0" xfId="0">
      <alignment horizontal="center" vertical="center" wrapText="1"/>
    </xf>
    <xf numFmtId="0" fontId="0" fillId="0" borderId="1414" pivotButton="0" quotePrefix="0" xfId="0"/>
    <xf numFmtId="0" fontId="0" fillId="0" borderId="227" pivotButton="0" quotePrefix="0" xfId="0"/>
    <xf numFmtId="1" fontId="3" fillId="5" borderId="1385" applyAlignment="1" pivotButton="0" quotePrefix="0" xfId="0">
      <alignment horizontal="center" vertical="center" wrapText="1"/>
    </xf>
    <xf numFmtId="1" fontId="3" fillId="0" borderId="1569" applyAlignment="1" pivotButton="0" quotePrefix="0" xfId="0">
      <alignment horizontal="center" vertical="center" wrapText="1"/>
    </xf>
    <xf numFmtId="1" fontId="3" fillId="0" borderId="1559" applyAlignment="1" pivotButton="0" quotePrefix="0" xfId="0">
      <alignment horizontal="center" vertical="center" wrapText="1"/>
    </xf>
    <xf numFmtId="1" fontId="3" fillId="0" borderId="777" applyAlignment="1" pivotButton="0" quotePrefix="0" xfId="0">
      <alignment horizontal="center" vertical="center" wrapText="1"/>
    </xf>
    <xf numFmtId="1" fontId="3" fillId="0" borderId="1568" applyAlignment="1" pivotButton="0" quotePrefix="0" xfId="0">
      <alignment horizontal="center" vertical="center" wrapText="1"/>
    </xf>
    <xf numFmtId="1" fontId="3" fillId="0" borderId="1385" applyAlignment="1" pivotButton="0" quotePrefix="0" xfId="0">
      <alignment horizontal="center" vertical="center"/>
    </xf>
    <xf numFmtId="0" fontId="0" fillId="0" borderId="1570" pivotButton="0" quotePrefix="0" xfId="0"/>
    <xf numFmtId="0" fontId="0" fillId="0" borderId="1560" pivotButton="0" quotePrefix="0" xfId="0"/>
    <xf numFmtId="0" fontId="0" fillId="0" borderId="303" pivotButton="0" quotePrefix="0" xfId="0"/>
    <xf numFmtId="0" fontId="0" fillId="0" borderId="307" pivotButton="0" quotePrefix="0" xfId="0"/>
    <xf numFmtId="0" fontId="0" fillId="0" borderId="305" pivotButton="0" quotePrefix="0" xfId="0"/>
    <xf numFmtId="0" fontId="0" fillId="0" borderId="298" pivotButton="0" quotePrefix="0" xfId="0"/>
    <xf numFmtId="0" fontId="0" fillId="0" borderId="1269" pivotButton="0" quotePrefix="0" xfId="0"/>
    <xf numFmtId="0" fontId="0" fillId="0" borderId="771" pivotButton="0" quotePrefix="0" xfId="0"/>
    <xf numFmtId="0" fontId="0" fillId="0" borderId="1566" pivotButton="0" quotePrefix="0" xfId="0"/>
    <xf numFmtId="0" fontId="0" fillId="0" borderId="1567" pivotButton="0" quotePrefix="0" xfId="0"/>
    <xf numFmtId="0" fontId="3" fillId="5" borderId="1232" applyAlignment="1" pivotButton="0" quotePrefix="0" xfId="0">
      <alignment horizontal="center" vertical="center"/>
    </xf>
    <xf numFmtId="1" fontId="3" fillId="0" borderId="1460" applyAlignment="1" applyProtection="1" pivotButton="0" quotePrefix="0" xfId="0">
      <alignment horizontal="center" vertical="center"/>
      <protection locked="1" hidden="1"/>
    </xf>
    <xf numFmtId="0" fontId="0" fillId="0" borderId="1461" applyProtection="1" pivotButton="0" quotePrefix="0" xfId="0">
      <protection locked="1" hidden="1"/>
    </xf>
    <xf numFmtId="1" fontId="3" fillId="0" borderId="1460" applyAlignment="1" applyProtection="1" pivotButton="0" quotePrefix="0" xfId="0">
      <alignment horizontal="center" vertical="center" wrapText="1"/>
      <protection locked="1" hidden="1"/>
    </xf>
    <xf numFmtId="0" fontId="0" fillId="0" borderId="1415" applyProtection="1" pivotButton="0" quotePrefix="0" xfId="0">
      <protection locked="1" hidden="1"/>
    </xf>
    <xf numFmtId="0" fontId="0" fillId="0" borderId="283" applyProtection="1" pivotButton="0" quotePrefix="0" xfId="0">
      <protection locked="1" hidden="1"/>
    </xf>
    <xf numFmtId="0" fontId="0" fillId="0" borderId="546" applyProtection="1" pivotButton="0" quotePrefix="0" xfId="0">
      <protection locked="1" hidden="1"/>
    </xf>
    <xf numFmtId="0" fontId="0" fillId="0" borderId="1462" applyProtection="1" pivotButton="0" quotePrefix="0" xfId="0">
      <protection locked="1" hidden="1"/>
    </xf>
    <xf numFmtId="0" fontId="0" fillId="0" borderId="1483" applyProtection="1" pivotButton="0" quotePrefix="0" xfId="0">
      <protection locked="1" hidden="1"/>
    </xf>
    <xf numFmtId="0" fontId="0" fillId="0" borderId="1200" applyProtection="1" pivotButton="0" quotePrefix="0" xfId="0">
      <protection locked="1" hidden="1"/>
    </xf>
    <xf numFmtId="1" fontId="2" fillId="0" borderId="1398" applyAlignment="1" applyProtection="1" pivotButton="0" quotePrefix="0" xfId="0">
      <alignment horizontal="left" wrapText="1"/>
      <protection locked="1" hidden="1"/>
    </xf>
    <xf numFmtId="1" fontId="3" fillId="0" borderId="1488" applyAlignment="1" applyProtection="1" pivotButton="0" quotePrefix="0" xfId="0">
      <alignment horizontal="center" vertical="center" wrapText="1"/>
      <protection locked="1" hidden="1"/>
    </xf>
    <xf numFmtId="1" fontId="3" fillId="0" borderId="1448" applyAlignment="1" applyProtection="1" pivotButton="0" quotePrefix="0" xfId="0">
      <alignment horizontal="center" vertical="center" wrapText="1"/>
      <protection locked="1" hidden="1"/>
    </xf>
    <xf numFmtId="0" fontId="0" fillId="0" borderId="1399" applyProtection="1" pivotButton="0" quotePrefix="0" xfId="0">
      <protection locked="1" hidden="1"/>
    </xf>
    <xf numFmtId="1" fontId="3" fillId="0" borderId="874" applyAlignment="1" applyProtection="1" pivotButton="0" quotePrefix="0" xfId="0">
      <alignment horizontal="center" vertical="center" wrapText="1"/>
      <protection locked="1" hidden="1"/>
    </xf>
    <xf numFmtId="0" fontId="0" fillId="0" borderId="874" applyProtection="1" pivotButton="0" quotePrefix="0" xfId="0">
      <protection locked="1" hidden="1"/>
    </xf>
    <xf numFmtId="1" fontId="3" fillId="0" borderId="1521" applyAlignment="1" applyProtection="1" pivotButton="0" quotePrefix="0" xfId="0">
      <alignment horizontal="center" vertical="center" wrapText="1"/>
      <protection locked="1" hidden="1"/>
    </xf>
    <xf numFmtId="1" fontId="3" fillId="0" borderId="1517" applyAlignment="1" applyProtection="1" pivotButton="0" quotePrefix="0" xfId="0">
      <alignment horizontal="center" vertical="center" wrapText="1"/>
      <protection locked="1" hidden="1"/>
    </xf>
    <xf numFmtId="1" fontId="3" fillId="0" borderId="1446" applyAlignment="1" applyProtection="1" pivotButton="0" quotePrefix="0" xfId="0">
      <alignment horizontal="center" vertical="center" wrapText="1"/>
      <protection locked="1" hidden="1"/>
    </xf>
    <xf numFmtId="0" fontId="0" fillId="0" borderId="788" applyProtection="1" pivotButton="0" quotePrefix="0" xfId="0">
      <protection locked="1" hidden="1"/>
    </xf>
    <xf numFmtId="0" fontId="0" fillId="0" borderId="1519" applyProtection="1" pivotButton="0" quotePrefix="0" xfId="0">
      <protection locked="1" hidden="1"/>
    </xf>
    <xf numFmtId="0" fontId="0" fillId="0" borderId="1447" applyProtection="1" pivotButton="0" quotePrefix="0" xfId="0">
      <protection locked="1" hidden="1"/>
    </xf>
    <xf numFmtId="1" fontId="3" fillId="0" borderId="1556" applyAlignment="1" applyProtection="1" pivotButton="0" quotePrefix="0" xfId="0">
      <alignment horizontal="center" vertical="center" wrapText="1"/>
      <protection locked="1" hidden="1"/>
    </xf>
    <xf numFmtId="1" fontId="3" fillId="0" borderId="1557" applyAlignment="1" applyProtection="1" pivotButton="0" quotePrefix="0" xfId="0">
      <alignment horizontal="center" vertical="center" wrapText="1"/>
      <protection locked="1" hidden="1"/>
    </xf>
    <xf numFmtId="1" fontId="3" fillId="0" borderId="1485" applyAlignment="1" applyProtection="1" pivotButton="0" quotePrefix="0" xfId="0">
      <alignment horizontal="center" vertical="center" wrapText="1"/>
      <protection locked="1" hidden="1"/>
    </xf>
    <xf numFmtId="0" fontId="0" fillId="0" borderId="1465" applyProtection="1" pivotButton="0" quotePrefix="0" xfId="0">
      <protection locked="1" hidden="1"/>
    </xf>
    <xf numFmtId="0" fontId="0" fillId="0" borderId="1486" applyProtection="1" pivotButton="0" quotePrefix="0" xfId="0">
      <protection locked="1" hidden="1"/>
    </xf>
    <xf numFmtId="1" fontId="3" fillId="0" borderId="1563" applyAlignment="1" pivotButton="0" quotePrefix="0" xfId="0">
      <alignment horizontal="center" vertical="center" wrapText="1"/>
    </xf>
    <xf numFmtId="0" fontId="0" fillId="0" borderId="300" pivotButton="0" quotePrefix="0" xfId="0"/>
    <xf numFmtId="0" fontId="0" fillId="0" borderId="1564" pivotButton="0" quotePrefix="0" xfId="0"/>
    <xf numFmtId="1" fontId="3" fillId="5" borderId="1561" applyAlignment="1" pivotButton="0" quotePrefix="0" xfId="0">
      <alignment horizontal="center" vertical="center" wrapText="1"/>
    </xf>
    <xf numFmtId="0" fontId="0" fillId="0" borderId="1562" pivotButton="0" quotePrefix="0" xfId="0"/>
    <xf numFmtId="1" fontId="3" fillId="0" borderId="1557" applyAlignment="1" pivotButton="0" quotePrefix="0" xfId="0">
      <alignment horizontal="center" vertical="center" wrapText="1"/>
    </xf>
    <xf numFmtId="1" fontId="3" fillId="0" borderId="1558" applyAlignment="1" pivotButton="0" quotePrefix="0" xfId="0">
      <alignment horizontal="center" vertical="center" wrapText="1"/>
    </xf>
    <xf numFmtId="0" fontId="0" fillId="0" borderId="221" pivotButton="0" quotePrefix="0" xfId="0"/>
    <xf numFmtId="0" fontId="0" fillId="0" borderId="794" pivotButton="0" quotePrefix="0" xfId="0"/>
    <xf numFmtId="0" fontId="3" fillId="5" borderId="1354" applyAlignment="1" pivotButton="0" quotePrefix="0" xfId="0">
      <alignment horizontal="left" vertical="center" wrapText="1"/>
    </xf>
    <xf numFmtId="1" fontId="3" fillId="0" borderId="1399" applyAlignment="1" pivotButton="0" quotePrefix="0" xfId="0">
      <alignment horizontal="center" vertical="center"/>
    </xf>
    <xf numFmtId="1" fontId="3" fillId="0" borderId="1437" applyAlignment="1" pivotButton="0" quotePrefix="0" xfId="0">
      <alignment horizontal="center" vertical="center"/>
    </xf>
    <xf numFmtId="1" fontId="2" fillId="0" borderId="1393" applyAlignment="1" pivotButton="0" quotePrefix="0" xfId="0">
      <alignment horizontal="left"/>
    </xf>
    <xf numFmtId="0" fontId="0" fillId="0" borderId="1507" pivotButton="0" quotePrefix="0" xfId="0"/>
    <xf numFmtId="1" fontId="3" fillId="0" borderId="1521" applyAlignment="1" pivotButton="0" quotePrefix="0" xfId="0">
      <alignment horizontal="center" wrapText="1"/>
    </xf>
    <xf numFmtId="1" fontId="3" fillId="0" borderId="1185" applyAlignment="1" pivotButton="0" quotePrefix="0" xfId="0">
      <alignment horizontal="center" vertical="center" wrapText="1"/>
    </xf>
    <xf numFmtId="1" fontId="3" fillId="5" borderId="1488" applyAlignment="1" pivotButton="0" quotePrefix="0" xfId="0">
      <alignment horizontal="center" vertical="center" wrapText="1"/>
    </xf>
    <xf numFmtId="1" fontId="3" fillId="0" borderId="1445" applyAlignment="1" pivotButton="0" quotePrefix="0" xfId="0">
      <alignment horizontal="center" vertical="center" wrapText="1"/>
    </xf>
    <xf numFmtId="1" fontId="3" fillId="0" borderId="1577" applyAlignment="1" pivotButton="0" quotePrefix="0" xfId="0">
      <alignment horizontal="center" vertical="center"/>
    </xf>
    <xf numFmtId="0" fontId="0" fillId="0" borderId="1302" pivotButton="0" quotePrefix="0" xfId="0"/>
    <xf numFmtId="1" fontId="3" fillId="5" borderId="1408" applyAlignment="1" pivotButton="0" quotePrefix="0" xfId="0">
      <alignment horizontal="center" vertical="center" wrapText="1"/>
    </xf>
    <xf numFmtId="1" fontId="3" fillId="5" borderId="1232" applyAlignment="1" pivotButton="0" quotePrefix="0" xfId="0">
      <alignment horizontal="center" vertical="center"/>
    </xf>
    <xf numFmtId="1" fontId="3" fillId="22" borderId="1385" applyAlignment="1" pivotButton="0" quotePrefix="0" xfId="0">
      <alignment horizontal="center" vertical="center" wrapText="1"/>
    </xf>
    <xf numFmtId="1" fontId="3" fillId="0" borderId="1147" applyAlignment="1" pivotButton="0" quotePrefix="0" xfId="0">
      <alignment horizontal="center" vertical="center" wrapText="1"/>
    </xf>
    <xf numFmtId="1" fontId="3" fillId="0" borderId="1361" applyAlignment="1" pivotButton="0" quotePrefix="0" xfId="0">
      <alignment horizontal="center" vertical="center" wrapText="1"/>
    </xf>
    <xf numFmtId="0" fontId="0" fillId="0" borderId="1572" pivotButton="0" quotePrefix="0" xfId="0"/>
    <xf numFmtId="0" fontId="0" fillId="0" borderId="1084" pivotButton="0" quotePrefix="0" xfId="0"/>
    <xf numFmtId="1" fontId="3" fillId="0" borderId="1385" applyAlignment="1" pivotButton="0" quotePrefix="0" xfId="0">
      <alignment horizontal="left" vertical="center"/>
    </xf>
    <xf numFmtId="1" fontId="3" fillId="0" borderId="1361" applyAlignment="1" pivotButton="0" quotePrefix="0" xfId="0">
      <alignment horizontal="left" vertical="center"/>
    </xf>
    <xf numFmtId="1" fontId="3" fillId="0" borderId="1085" applyAlignment="1" pivotButton="0" quotePrefix="0" xfId="0">
      <alignment horizontal="left" vertical="center" shrinkToFit="1"/>
    </xf>
    <xf numFmtId="1" fontId="3" fillId="0" borderId="1502" applyAlignment="1" pivotButton="0" quotePrefix="0" xfId="0">
      <alignment horizontal="left" vertical="center"/>
    </xf>
    <xf numFmtId="1" fontId="3" fillId="0" borderId="1267" applyAlignment="1" pivotButton="0" quotePrefix="0" xfId="0">
      <alignment horizontal="center" vertical="center" wrapText="1"/>
    </xf>
    <xf numFmtId="1" fontId="3" fillId="0" borderId="1573" applyAlignment="1" pivotButton="0" quotePrefix="0" xfId="0">
      <alignment horizontal="center" vertical="center" wrapText="1"/>
    </xf>
    <xf numFmtId="1" fontId="3" fillId="0" borderId="1579" applyAlignment="1" pivotButton="0" quotePrefix="0" xfId="0">
      <alignment horizontal="center" vertical="center" wrapText="1"/>
    </xf>
    <xf numFmtId="0" fontId="0" fillId="0" borderId="1571" pivotButton="0" quotePrefix="0" xfId="0"/>
    <xf numFmtId="0" fontId="0" fillId="0" borderId="321" pivotButton="0" quotePrefix="0" xfId="0"/>
    <xf numFmtId="0" fontId="0" fillId="0" borderId="322" pivotButton="0" quotePrefix="0" xfId="0"/>
    <xf numFmtId="0" fontId="0" fillId="0" borderId="871" pivotButton="0" quotePrefix="0" xfId="0"/>
    <xf numFmtId="0" fontId="0" fillId="0" borderId="810" pivotButton="0" quotePrefix="0" xfId="0"/>
    <xf numFmtId="0" fontId="0" fillId="0" borderId="811" pivotButton="0" quotePrefix="0" xfId="0"/>
    <xf numFmtId="0" fontId="0" fillId="0" borderId="1583" pivotButton="0" quotePrefix="0" xfId="0"/>
    <xf numFmtId="0" fontId="0" fillId="0" borderId="1582" pivotButton="0" quotePrefix="0" xfId="0"/>
    <xf numFmtId="1" fontId="3" fillId="0" borderId="1408" applyAlignment="1" pivotButton="0" quotePrefix="0" xfId="0">
      <alignment horizontal="left" vertical="center"/>
    </xf>
    <xf numFmtId="0" fontId="0" fillId="0" borderId="1584" pivotButton="0" quotePrefix="0" xfId="0"/>
    <xf numFmtId="1" fontId="3" fillId="0" borderId="26" applyAlignment="1" pivotButton="0" quotePrefix="0" xfId="0">
      <alignment horizontal="center" vertical="center"/>
    </xf>
    <xf numFmtId="1" fontId="3" fillId="0" borderId="26" applyAlignment="1" pivotButton="0" quotePrefix="0" xfId="0">
      <alignment horizontal="center" vertical="center" wrapText="1"/>
    </xf>
    <xf numFmtId="1" fontId="3" fillId="0" borderId="243" applyAlignment="1" pivotButton="0" quotePrefix="0" xfId="0">
      <alignment horizontal="center" vertical="center" wrapText="1"/>
    </xf>
    <xf numFmtId="1" fontId="3" fillId="0" borderId="1574" applyAlignment="1" pivotButton="0" quotePrefix="0" xfId="0">
      <alignment horizontal="center" vertical="center" wrapText="1"/>
    </xf>
    <xf numFmtId="1" fontId="3" fillId="0" borderId="107" applyAlignment="1" pivotButton="0" quotePrefix="0" xfId="0">
      <alignment horizontal="center" vertical="center" wrapText="1"/>
    </xf>
    <xf numFmtId="1" fontId="3" fillId="0" borderId="153" applyAlignment="1" pivotButton="0" quotePrefix="0" xfId="0">
      <alignment horizontal="center" vertical="center" wrapText="1"/>
    </xf>
    <xf numFmtId="0" fontId="0" fillId="0" borderId="194" pivotButton="0" quotePrefix="0" xfId="0"/>
    <xf numFmtId="1" fontId="3" fillId="0" borderId="27" applyAlignment="1" pivotButton="0" quotePrefix="0" xfId="0">
      <alignment horizontal="center" vertical="center"/>
    </xf>
    <xf numFmtId="1" fontId="3" fillId="0" borderId="96" applyAlignment="1" pivotButton="0" quotePrefix="0" xfId="0">
      <alignment horizontal="center" vertical="center" wrapText="1"/>
    </xf>
    <xf numFmtId="1" fontId="3" fillId="0" borderId="107" applyAlignment="1" pivotButton="0" quotePrefix="0" xfId="0">
      <alignment horizontal="center" vertical="center"/>
    </xf>
    <xf numFmtId="1" fontId="3" fillId="0" borderId="1575" applyAlignment="1" pivotButton="0" quotePrefix="0" xfId="0">
      <alignment horizontal="center" vertical="center" wrapText="1"/>
    </xf>
    <xf numFmtId="0" fontId="0" fillId="0" borderId="270" pivotButton="0" quotePrefix="0" xfId="0"/>
    <xf numFmtId="0" fontId="0" fillId="0" borderId="271" pivotButton="0" quotePrefix="0" xfId="0"/>
    <xf numFmtId="0" fontId="0" fillId="0" borderId="162" pivotButton="0" quotePrefix="0" xfId="0"/>
    <xf numFmtId="0" fontId="0" fillId="0" borderId="273" pivotButton="0" quotePrefix="0" xfId="0"/>
    <xf numFmtId="0" fontId="0" fillId="0" borderId="267" pivotButton="0" quotePrefix="0" xfId="0"/>
    <xf numFmtId="0" fontId="0" fillId="0" borderId="272" pivotButton="0" quotePrefix="0" xfId="0"/>
    <xf numFmtId="1" fontId="3" fillId="0" borderId="26" applyAlignment="1" pivotButton="0" quotePrefix="0" xfId="0">
      <alignment horizontal="left" vertical="center"/>
    </xf>
    <xf numFmtId="1" fontId="3" fillId="0" borderId="1552" applyAlignment="1" pivotButton="0" quotePrefix="0" xfId="0">
      <alignment horizontal="left" vertical="center"/>
    </xf>
    <xf numFmtId="1" fontId="3" fillId="24" borderId="26" applyAlignment="1" pivotButton="0" quotePrefix="0" xfId="0">
      <alignment horizontal="left" vertical="center"/>
    </xf>
    <xf numFmtId="1" fontId="3" fillId="0" borderId="1580" applyAlignment="1" pivotButton="0" quotePrefix="0" xfId="0">
      <alignment horizontal="left" vertical="center"/>
    </xf>
    <xf numFmtId="0" fontId="0" fillId="0" borderId="826" pivotButton="0" quotePrefix="0" xfId="0"/>
    <xf numFmtId="1" fontId="2" fillId="0" borderId="1418" applyAlignment="1" pivotButton="0" quotePrefix="0" xfId="0">
      <alignment horizontal="left"/>
    </xf>
    <xf numFmtId="0" fontId="3" fillId="0" borderId="1493" applyAlignment="1" pivotButton="0" quotePrefix="0" xfId="0">
      <alignment horizontal="center" vertical="center"/>
    </xf>
    <xf numFmtId="0" fontId="3" fillId="0" borderId="1399" applyAlignment="1" pivotButton="0" quotePrefix="0" xfId="0">
      <alignment horizontal="center" vertical="center"/>
    </xf>
    <xf numFmtId="0" fontId="3" fillId="0" borderId="1448" applyAlignment="1" pivotButton="0" quotePrefix="0" xfId="0">
      <alignment horizontal="center"/>
    </xf>
    <xf numFmtId="0" fontId="3" fillId="0" borderId="708" applyAlignment="1" pivotButton="0" quotePrefix="0" xfId="0">
      <alignment horizontal="center" vertical="center"/>
    </xf>
    <xf numFmtId="0" fontId="3" fillId="0" borderId="1480" applyAlignment="1" pivotButton="0" quotePrefix="0" xfId="0">
      <alignment horizontal="center" vertical="center"/>
    </xf>
    <xf numFmtId="0" fontId="3" fillId="0" borderId="1454" applyAlignment="1" pivotButton="0" quotePrefix="0" xfId="0">
      <alignment horizontal="center" vertical="center" wrapText="1"/>
    </xf>
    <xf numFmtId="0" fontId="3" fillId="20" borderId="1488" applyAlignment="1" pivotButton="0" quotePrefix="0" xfId="0">
      <alignment horizontal="center" vertical="center" wrapText="1"/>
    </xf>
    <xf numFmtId="0" fontId="0" fillId="0" borderId="1565" pivotButton="0" quotePrefix="0" xfId="0"/>
    <xf numFmtId="0" fontId="0" fillId="0" borderId="2" pivotButton="0" quotePrefix="0" xfId="0"/>
    <xf numFmtId="16" fontId="3" fillId="0" borderId="849" applyAlignment="1" pivotButton="0" quotePrefix="0" xfId="0">
      <alignment horizontal="center" vertical="center"/>
    </xf>
    <xf numFmtId="17" fontId="3" fillId="0" borderId="849" applyAlignment="1" pivotButton="0" quotePrefix="0" xfId="0">
      <alignment horizontal="center" vertical="center"/>
    </xf>
    <xf numFmtId="0" fontId="0" fillId="0" borderId="1455" pivotButton="0" quotePrefix="0" xfId="0"/>
    <xf numFmtId="0" fontId="3" fillId="0" borderId="1232" applyAlignment="1" pivotButton="0" quotePrefix="0" xfId="0">
      <alignment horizontal="center" wrapText="1"/>
    </xf>
    <xf numFmtId="0" fontId="3" fillId="0" borderId="1232" applyAlignment="1" pivotButton="0" quotePrefix="0" xfId="0">
      <alignment horizontal="center" vertical="center"/>
    </xf>
    <xf numFmtId="0" fontId="3" fillId="0" borderId="874" applyAlignment="1" pivotButton="0" quotePrefix="0" xfId="0">
      <alignment horizontal="center" vertical="center" wrapText="1"/>
    </xf>
    <xf numFmtId="1" fontId="3" fillId="3" borderId="1497" applyAlignment="1" pivotButton="0" quotePrefix="0" xfId="0">
      <alignment horizontal="center" vertical="center"/>
    </xf>
    <xf numFmtId="1" fontId="5" fillId="0" borderId="1524" applyAlignment="1" pivotButton="0" quotePrefix="0" xfId="0">
      <alignment horizontal="center" vertical="center" wrapText="1"/>
    </xf>
    <xf numFmtId="1" fontId="5" fillId="0" borderId="1592" applyAlignment="1" pivotButton="0" quotePrefix="0" xfId="0">
      <alignment horizontal="center" vertical="center" wrapText="1"/>
    </xf>
    <xf numFmtId="0" fontId="0" fillId="0" borderId="1593" pivotButton="0" quotePrefix="0" xfId="0"/>
    <xf numFmtId="0" fontId="0" fillId="0" borderId="1594" pivotButton="0" quotePrefix="0" xfId="0"/>
    <xf numFmtId="1" fontId="5" fillId="3" borderId="1460" applyAlignment="1" pivotButton="0" quotePrefix="0" xfId="0">
      <alignment horizontal="center" vertical="center"/>
    </xf>
    <xf numFmtId="1" fontId="5" fillId="3" borderId="1232" applyAlignment="1" pivotButton="0" quotePrefix="0" xfId="0">
      <alignment horizontal="center" vertical="center"/>
    </xf>
    <xf numFmtId="1" fontId="5" fillId="3" borderId="1488" applyAlignment="1" pivotButton="0" quotePrefix="0" xfId="0">
      <alignment horizontal="center" vertical="center" wrapText="1"/>
    </xf>
    <xf numFmtId="1" fontId="5" fillId="0" borderId="1232" applyAlignment="1" pivotButton="0" quotePrefix="0" xfId="0">
      <alignment horizontal="left" vertical="center" wrapText="1"/>
    </xf>
    <xf numFmtId="1" fontId="5" fillId="0" borderId="1424" applyAlignment="1" pivotButton="0" quotePrefix="0" xfId="0">
      <alignment horizontal="left" vertical="center" wrapText="1"/>
    </xf>
    <xf numFmtId="0" fontId="0" fillId="0" borderId="1585" pivotButton="0" quotePrefix="0" xfId="0"/>
    <xf numFmtId="1" fontId="5" fillId="0" borderId="1537" applyAlignment="1" pivotButton="0" quotePrefix="0" xfId="0">
      <alignment horizontal="left" vertical="center"/>
    </xf>
    <xf numFmtId="1" fontId="5" fillId="0" borderId="1502" applyAlignment="1" pivotButton="0" quotePrefix="0" xfId="0">
      <alignment horizontal="left" vertical="center"/>
    </xf>
    <xf numFmtId="1" fontId="5" fillId="0" borderId="1460" applyAlignment="1" pivotButton="0" quotePrefix="0" xfId="0">
      <alignment horizontal="left" vertical="center" wrapText="1"/>
    </xf>
    <xf numFmtId="1" fontId="14" fillId="0" borderId="1522" applyAlignment="1" pivotButton="0" quotePrefix="0" xfId="0">
      <alignment horizontal="left"/>
    </xf>
    <xf numFmtId="1" fontId="5" fillId="0" borderId="1502" applyAlignment="1" pivotButton="0" quotePrefix="0" xfId="0">
      <alignment horizontal="left" vertical="center" wrapText="1"/>
    </xf>
    <xf numFmtId="1" fontId="5" fillId="0" borderId="1232" applyAlignment="1" pivotButton="0" quotePrefix="1" xfId="0">
      <alignment horizontal="center" vertical="center" wrapText="1"/>
    </xf>
    <xf numFmtId="1" fontId="5" fillId="0" borderId="1253" applyAlignment="1" pivotButton="0" quotePrefix="0" xfId="0">
      <alignment horizontal="center" vertical="center"/>
    </xf>
    <xf numFmtId="0" fontId="0" fillId="0" borderId="1590" pivotButton="0" quotePrefix="0" xfId="0"/>
    <xf numFmtId="0" fontId="0" fillId="0" borderId="1591" pivotButton="0" quotePrefix="0" xfId="0"/>
    <xf numFmtId="1" fontId="5" fillId="0" borderId="1399" applyAlignment="1" pivotButton="0" quotePrefix="0" xfId="0">
      <alignment horizontal="center" vertical="center"/>
    </xf>
    <xf numFmtId="1" fontId="5" fillId="3" borderId="1232" applyAlignment="1" pivotButton="0" quotePrefix="0" xfId="0">
      <alignment horizontal="center"/>
    </xf>
    <xf numFmtId="1" fontId="5" fillId="0" borderId="1544" applyAlignment="1" pivotButton="0" quotePrefix="0" xfId="0">
      <alignment horizontal="center" vertical="center" wrapText="1"/>
    </xf>
    <xf numFmtId="1" fontId="5" fillId="0" borderId="1588" applyAlignment="1" pivotButton="0" quotePrefix="0" xfId="0">
      <alignment horizontal="center" vertical="center" wrapText="1"/>
    </xf>
    <xf numFmtId="0" fontId="0" fillId="0" borderId="1428" pivotButton="0" quotePrefix="0" xfId="0"/>
    <xf numFmtId="0" fontId="0" fillId="0" borderId="1588" pivotButton="0" quotePrefix="0" xfId="0"/>
    <xf numFmtId="0" fontId="0" fillId="0" borderId="1587" pivotButton="0" quotePrefix="0" xfId="0"/>
    <xf numFmtId="1" fontId="5" fillId="3" borderId="1448" applyAlignment="1" pivotButton="0" quotePrefix="0" xfId="0">
      <alignment horizontal="center"/>
    </xf>
    <xf numFmtId="1" fontId="5" fillId="0" borderId="1561" applyAlignment="1" pivotButton="0" quotePrefix="0" xfId="0">
      <alignment horizontal="center" vertical="center" wrapText="1"/>
    </xf>
    <xf numFmtId="1" fontId="5" fillId="0" borderId="1448" applyAlignment="1" pivotButton="0" quotePrefix="0" xfId="0">
      <alignment horizontal="center" wrapText="1"/>
    </xf>
    <xf numFmtId="1" fontId="5" fillId="0" borderId="1497" applyAlignment="1" pivotButton="0" quotePrefix="0" xfId="0">
      <alignment horizontal="center" vertical="center" wrapText="1"/>
    </xf>
    <xf numFmtId="1" fontId="5" fillId="3" borderId="1448" applyAlignment="1" pivotButton="0" quotePrefix="0" xfId="0">
      <alignment horizontal="center" vertical="center"/>
    </xf>
    <xf numFmtId="0" fontId="0" fillId="0" borderId="1400" pivotButton="0" quotePrefix="0" xfId="0"/>
    <xf numFmtId="1" fontId="3" fillId="0" borderId="1488" applyAlignment="1" pivotButton="0" quotePrefix="0" xfId="0">
      <alignment horizontal="center" vertical="center"/>
    </xf>
    <xf numFmtId="1" fontId="3" fillId="5" borderId="1517" applyAlignment="1" pivotButton="0" quotePrefix="0" xfId="0">
      <alignment horizontal="center" vertical="center" wrapText="1"/>
    </xf>
    <xf numFmtId="1" fontId="3" fillId="0" borderId="1513" applyAlignment="1" pivotButton="0" quotePrefix="0" xfId="0">
      <alignment horizontal="center" vertical="center" wrapText="1"/>
    </xf>
    <xf numFmtId="1" fontId="3" fillId="3" borderId="1232" applyAlignment="1" pivotButton="0" quotePrefix="0" xfId="0">
      <alignment horizontal="center" vertical="center"/>
    </xf>
    <xf numFmtId="1" fontId="3" fillId="0" borderId="1588" applyAlignment="1" pivotButton="0" quotePrefix="0" xfId="0">
      <alignment horizontal="center" vertical="center" wrapText="1"/>
    </xf>
    <xf numFmtId="1" fontId="3" fillId="0" borderId="947" pivotButton="0" quotePrefix="0" xfId="0"/>
    <xf numFmtId="0" fontId="0" fillId="0" borderId="1416" pivotButton="0" quotePrefix="0" xfId="0"/>
    <xf numFmtId="0" fontId="0" fillId="0" borderId="1600" pivotButton="0" quotePrefix="0" xfId="0"/>
    <xf numFmtId="1" fontId="3" fillId="0" borderId="1076" pivotButton="0" quotePrefix="0" xfId="0"/>
    <xf numFmtId="0" fontId="0" fillId="0" borderId="1087" pivotButton="0" quotePrefix="0" xfId="0"/>
    <xf numFmtId="1" fontId="3" fillId="0" borderId="1537" pivotButton="0" quotePrefix="0" xfId="0"/>
    <xf numFmtId="1" fontId="3" fillId="3" borderId="1385" applyAlignment="1" pivotButton="0" quotePrefix="0" xfId="0">
      <alignment horizontal="center" vertical="center"/>
    </xf>
    <xf numFmtId="0" fontId="0" fillId="0" borderId="1352" pivotButton="0" quotePrefix="0" xfId="0"/>
    <xf numFmtId="1" fontId="3" fillId="0" borderId="1598" applyAlignment="1" pivotButton="0" quotePrefix="0" xfId="0">
      <alignment horizontal="center" vertical="center" wrapText="1"/>
    </xf>
    <xf numFmtId="1" fontId="3" fillId="3" borderId="1454" applyAlignment="1" pivotButton="0" quotePrefix="0" xfId="0">
      <alignment horizontal="center" vertical="center" wrapText="1"/>
    </xf>
    <xf numFmtId="1" fontId="3" fillId="3" borderId="1513" applyAlignment="1" pivotButton="0" quotePrefix="0" xfId="0">
      <alignment horizontal="center" vertical="center" wrapText="1"/>
    </xf>
    <xf numFmtId="1" fontId="3" fillId="3" borderId="1446" applyAlignment="1" pivotButton="0" quotePrefix="0" xfId="0">
      <alignment horizontal="center" vertical="center" wrapText="1"/>
    </xf>
    <xf numFmtId="0" fontId="0" fillId="0" borderId="1599" pivotButton="0" quotePrefix="0" xfId="0"/>
    <xf numFmtId="1" fontId="3" fillId="0" borderId="1147" applyAlignment="1" pivotButton="0" quotePrefix="0" xfId="0">
      <alignment horizontal="left" vertical="center" wrapText="1"/>
    </xf>
    <xf numFmtId="1" fontId="3" fillId="0" borderId="1095" applyAlignment="1" pivotButton="0" quotePrefix="0" xfId="0">
      <alignment horizontal="left" vertical="center" wrapText="1"/>
    </xf>
    <xf numFmtId="0" fontId="0" fillId="0" borderId="915" pivotButton="0" quotePrefix="0" xfId="0"/>
    <xf numFmtId="1" fontId="3" fillId="0" borderId="1454" applyAlignment="1" pivotButton="0" quotePrefix="0" xfId="0">
      <alignment horizontal="center" vertical="center" wrapText="1"/>
    </xf>
    <xf numFmtId="1" fontId="3" fillId="3" borderId="1361" applyAlignment="1" pivotButton="0" quotePrefix="0" xfId="0">
      <alignment horizontal="left" vertical="center" wrapText="1"/>
    </xf>
    <xf numFmtId="1" fontId="3" fillId="3" borderId="1537" applyAlignment="1" pivotButton="0" quotePrefix="0" xfId="0">
      <alignment horizontal="left" vertical="center" wrapText="1"/>
    </xf>
    <xf numFmtId="1" fontId="3" fillId="0" borderId="1502" applyAlignment="1" pivotButton="0" quotePrefix="0" xfId="0">
      <alignment horizontal="left" vertical="center" wrapText="1"/>
    </xf>
    <xf numFmtId="1" fontId="3" fillId="3" borderId="1541" applyAlignment="1" pivotButton="0" quotePrefix="0" xfId="0">
      <alignment horizontal="left" vertical="center" wrapText="1"/>
    </xf>
    <xf numFmtId="1" fontId="3" fillId="3" borderId="1120" applyAlignment="1" pivotButton="0" quotePrefix="0" xfId="0">
      <alignment horizontal="left" vertical="center" wrapText="1"/>
    </xf>
    <xf numFmtId="1" fontId="3" fillId="0" borderId="1460" applyAlignment="1" pivotButton="0" quotePrefix="0" xfId="0">
      <alignment horizontal="left" vertical="center" wrapText="1"/>
    </xf>
    <xf numFmtId="1" fontId="3" fillId="28" borderId="1232" applyAlignment="1" pivotButton="0" quotePrefix="0" xfId="0">
      <alignment horizontal="center" vertical="center" wrapText="1"/>
    </xf>
    <xf numFmtId="1" fontId="3" fillId="5" borderId="1232" applyAlignment="1" pivotButton="0" quotePrefix="0" xfId="0">
      <alignment horizontal="center" vertical="center" wrapText="1"/>
    </xf>
    <xf numFmtId="1" fontId="3" fillId="5" borderId="1448" applyAlignment="1" pivotButton="0" quotePrefix="0" xfId="0">
      <alignment horizontal="center" vertical="center" wrapText="1"/>
    </xf>
    <xf numFmtId="1" fontId="3" fillId="5" borderId="1446" applyAlignment="1" pivotButton="0" quotePrefix="0" xfId="0">
      <alignment horizontal="center" vertical="center" wrapText="1"/>
    </xf>
    <xf numFmtId="1" fontId="3" fillId="0" borderId="1190" applyAlignment="1" pivotButton="0" quotePrefix="0" xfId="0">
      <alignment horizontal="left" vertical="center" wrapText="1"/>
    </xf>
    <xf numFmtId="1" fontId="3" fillId="0" borderId="1100" applyAlignment="1" pivotButton="0" quotePrefix="0" xfId="0">
      <alignment horizontal="left" vertical="center" wrapText="1"/>
    </xf>
    <xf numFmtId="1" fontId="3" fillId="0" borderId="1097" applyAlignment="1" pivotButton="0" quotePrefix="0" xfId="0">
      <alignment horizontal="left" vertical="center" wrapText="1"/>
    </xf>
    <xf numFmtId="0" fontId="0" fillId="0" borderId="326" pivotButton="0" quotePrefix="0" xfId="0"/>
    <xf numFmtId="1" fontId="3" fillId="0" borderId="1102" applyAlignment="1" pivotButton="0" quotePrefix="0" xfId="0">
      <alignment horizontal="left" vertical="center" wrapText="1"/>
    </xf>
    <xf numFmtId="1" fontId="3" fillId="0" borderId="1444" applyAlignment="1" pivotButton="0" quotePrefix="0" xfId="0">
      <alignment horizontal="left" vertical="center" wrapText="1"/>
    </xf>
    <xf numFmtId="1" fontId="3" fillId="0" borderId="1361" applyAlignment="1" pivotButton="0" quotePrefix="0" xfId="0">
      <alignment horizontal="left"/>
    </xf>
    <xf numFmtId="1" fontId="3" fillId="5" borderId="1105" applyAlignment="1" pivotButton="0" quotePrefix="0" xfId="0">
      <alignment horizontal="center" vertical="center" wrapText="1"/>
    </xf>
    <xf numFmtId="1" fontId="3" fillId="5" borderId="1480" applyAlignment="1" pivotButton="0" quotePrefix="0" xfId="0">
      <alignment horizontal="center" vertical="center" wrapText="1"/>
    </xf>
    <xf numFmtId="0" fontId="0" fillId="0" borderId="8" pivotButton="0" quotePrefix="0" xfId="0"/>
    <xf numFmtId="0" fontId="0" fillId="0" borderId="1346" pivotButton="0" quotePrefix="0" xfId="0"/>
    <xf numFmtId="0" fontId="0" fillId="0" borderId="1597" pivotButton="0" quotePrefix="0" xfId="0"/>
    <xf numFmtId="1" fontId="3" fillId="0" borderId="1361" applyAlignment="1" pivotButton="0" quotePrefix="0" xfId="0">
      <alignment horizontal="left" vertical="center" wrapText="1"/>
    </xf>
    <xf numFmtId="1" fontId="3" fillId="0" borderId="1537" applyAlignment="1" pivotButton="0" quotePrefix="0" xfId="0">
      <alignment horizontal="left" vertical="center" wrapText="1"/>
    </xf>
    <xf numFmtId="1" fontId="3" fillId="0" borderId="1066" applyAlignment="1" pivotButton="0" quotePrefix="0" xfId="0">
      <alignment horizontal="left" vertical="center" wrapText="1"/>
    </xf>
    <xf numFmtId="1" fontId="3" fillId="5" borderId="1085" applyAlignment="1" pivotButton="0" quotePrefix="0" xfId="0">
      <alignment horizontal="left" vertical="center" wrapText="1"/>
    </xf>
    <xf numFmtId="1" fontId="3" fillId="0" borderId="1444" applyAlignment="1" pivotButton="0" quotePrefix="0" xfId="0">
      <alignment horizontal="center" vertical="center"/>
    </xf>
    <xf numFmtId="1" fontId="3" fillId="0" borderId="1508" applyAlignment="1" pivotButton="0" quotePrefix="0" xfId="0">
      <alignment horizontal="center" vertical="center" wrapText="1"/>
    </xf>
    <xf numFmtId="1" fontId="3" fillId="0" borderId="1485" applyAlignment="1" pivotButton="0" quotePrefix="0" xfId="0">
      <alignment horizontal="center" vertical="center"/>
    </xf>
    <xf numFmtId="1" fontId="3" fillId="0" borderId="1446" applyAlignment="1" pivotButton="0" quotePrefix="0" xfId="0">
      <alignment horizontal="center" vertical="center"/>
    </xf>
    <xf numFmtId="0" fontId="0" fillId="0" borderId="979" pivotButton="0" quotePrefix="0" xfId="0"/>
    <xf numFmtId="0" fontId="0" fillId="0" borderId="1595" pivotButton="0" quotePrefix="0" xfId="0"/>
    <xf numFmtId="1" fontId="3" fillId="3" borderId="1460" applyAlignment="1" pivotButton="0" quotePrefix="0" xfId="0">
      <alignment horizontal="center" vertical="center" wrapText="1"/>
    </xf>
    <xf numFmtId="1" fontId="3" fillId="5" borderId="1428" applyAlignment="1" pivotButton="0" quotePrefix="0" xfId="0">
      <alignment horizontal="center" vertical="center" wrapText="1"/>
    </xf>
    <xf numFmtId="1" fontId="3" fillId="5" borderId="1430" applyAlignment="1" pivotButton="0" quotePrefix="0" xfId="0">
      <alignment horizontal="center" vertical="center" wrapText="1"/>
    </xf>
    <xf numFmtId="1" fontId="3" fillId="5" borderId="1361" applyAlignment="1" pivotButton="0" quotePrefix="0" xfId="0">
      <alignment horizontal="left" vertical="center" wrapText="1"/>
    </xf>
    <xf numFmtId="1" fontId="3" fillId="3" borderId="1094" applyAlignment="1" pivotButton="0" quotePrefix="0" xfId="0">
      <alignment horizontal="left" vertical="center" wrapText="1"/>
    </xf>
    <xf numFmtId="0" fontId="3" fillId="5" borderId="1081" applyAlignment="1" pivotButton="0" quotePrefix="0" xfId="0">
      <alignment horizontal="left" vertical="center"/>
    </xf>
    <xf numFmtId="1" fontId="3" fillId="5" borderId="1398" applyAlignment="1" pivotButton="0" quotePrefix="0" xfId="0">
      <alignment horizontal="center" vertical="center" wrapText="1"/>
    </xf>
    <xf numFmtId="1" fontId="3" fillId="5" borderId="1307" applyAlignment="1" pivotButton="0" quotePrefix="0" xfId="0">
      <alignment horizontal="center" vertical="center" wrapText="1"/>
    </xf>
    <xf numFmtId="1" fontId="3" fillId="0" borderId="1232" applyAlignment="1" pivotButton="0" quotePrefix="0" xfId="9">
      <alignment horizontal="center" vertical="center" wrapText="1"/>
    </xf>
    <xf numFmtId="1" fontId="3" fillId="6" borderId="1361" applyAlignment="1" pivotButton="0" quotePrefix="0" xfId="0">
      <alignment horizontal="left" vertical="center"/>
    </xf>
    <xf numFmtId="1" fontId="3" fillId="6" borderId="1085" applyAlignment="1" pivotButton="0" quotePrefix="0" xfId="0">
      <alignment horizontal="left" vertical="center" wrapText="1"/>
    </xf>
    <xf numFmtId="1" fontId="3" fillId="6" borderId="1085" applyAlignment="1" pivotButton="0" quotePrefix="0" xfId="0">
      <alignment horizontal="left" vertical="center"/>
    </xf>
    <xf numFmtId="1" fontId="3" fillId="0" borderId="1175" applyAlignment="1" pivotButton="0" quotePrefix="0" xfId="0">
      <alignment horizontal="center" vertical="center" wrapText="1"/>
    </xf>
    <xf numFmtId="1" fontId="3" fillId="3" borderId="1502" applyAlignment="1" pivotButton="0" quotePrefix="0" xfId="0">
      <alignment horizontal="left" vertical="center" wrapText="1"/>
    </xf>
    <xf numFmtId="1" fontId="3" fillId="20" borderId="1444" applyAlignment="1" pivotButton="0" quotePrefix="0" xfId="0">
      <alignment horizontal="left" vertical="center" wrapText="1"/>
    </xf>
    <xf numFmtId="1" fontId="3" fillId="5" borderId="1444" applyAlignment="1" pivotButton="0" quotePrefix="0" xfId="0">
      <alignment horizontal="left" vertical="center" wrapText="1"/>
    </xf>
    <xf numFmtId="1" fontId="3" fillId="0" borderId="1437" applyAlignment="1" pivotButton="0" quotePrefix="0" xfId="0">
      <alignment horizontal="left" vertical="center" wrapText="1"/>
    </xf>
    <xf numFmtId="1" fontId="3" fillId="20" borderId="1392" applyAlignment="1" pivotButton="0" quotePrefix="0" xfId="0">
      <alignment horizontal="left" vertical="center" wrapText="1"/>
    </xf>
    <xf numFmtId="1" fontId="3" fillId="5" borderId="1402" applyAlignment="1" pivotButton="0" quotePrefix="0" xfId="0">
      <alignment horizontal="left" vertical="center" wrapText="1"/>
    </xf>
    <xf numFmtId="1" fontId="3" fillId="20" borderId="1232" applyAlignment="1" pivotButton="0" quotePrefix="0" xfId="0">
      <alignment horizontal="center" vertical="center" wrapText="1"/>
    </xf>
    <xf numFmtId="1" fontId="3" fillId="3" borderId="1398" applyAlignment="1" pivotButton="0" quotePrefix="0" xfId="0">
      <alignment horizontal="center" vertical="center" wrapText="1"/>
    </xf>
    <xf numFmtId="1" fontId="3" fillId="3" borderId="1352" applyAlignment="1" pivotButton="0" quotePrefix="0" xfId="0">
      <alignment horizontal="center" vertical="center" wrapText="1"/>
    </xf>
    <xf numFmtId="1" fontId="3" fillId="3" borderId="1364" applyAlignment="1" pivotButton="0" quotePrefix="0" xfId="0">
      <alignment horizontal="center" vertical="center" wrapText="1"/>
    </xf>
    <xf numFmtId="1" fontId="3" fillId="3" borderId="1489" applyAlignment="1" pivotButton="0" quotePrefix="0" xfId="0">
      <alignment horizontal="left" vertical="center" wrapText="1"/>
    </xf>
    <xf numFmtId="0" fontId="3" fillId="0" borderId="1450" applyAlignment="1" pivotButton="0" quotePrefix="0" xfId="0">
      <alignment horizontal="center" vertical="center" wrapText="1"/>
    </xf>
    <xf numFmtId="1" fontId="3" fillId="3" borderId="1485" applyAlignment="1" pivotButton="0" quotePrefix="0" xfId="0">
      <alignment horizontal="center" vertical="center" wrapText="1"/>
    </xf>
    <xf numFmtId="1" fontId="3" fillId="5" borderId="1485" applyAlignment="1" pivotButton="0" quotePrefix="0" xfId="0">
      <alignment horizontal="center" vertical="center" wrapText="1"/>
    </xf>
    <xf numFmtId="1" fontId="3" fillId="0" borderId="1361" applyAlignment="1" pivotButton="0" quotePrefix="0" xfId="0">
      <alignment horizontal="left" wrapText="1"/>
    </xf>
    <xf numFmtId="0" fontId="0" fillId="0" borderId="1596" pivotButton="0" quotePrefix="0" xfId="0"/>
    <xf numFmtId="1" fontId="3" fillId="5" borderId="1074" applyAlignment="1" pivotButton="0" quotePrefix="0" xfId="0">
      <alignment horizontal="left" vertical="center" wrapText="1"/>
    </xf>
    <xf numFmtId="1" fontId="3" fillId="3" borderId="1161" applyAlignment="1" pivotButton="0" quotePrefix="0" xfId="0">
      <alignment horizontal="left" vertical="center" wrapText="1"/>
    </xf>
    <xf numFmtId="0" fontId="0" fillId="0" borderId="1120" pivotButton="0" quotePrefix="0" xfId="0"/>
    <xf numFmtId="1" fontId="3" fillId="3" borderId="1392" applyAlignment="1" pivotButton="0" quotePrefix="0" xfId="0">
      <alignment horizontal="left" vertical="center" wrapText="1"/>
    </xf>
    <xf numFmtId="1" fontId="3" fillId="5" borderId="1460" applyAlignment="1" pivotButton="0" quotePrefix="0" xfId="0">
      <alignment horizontal="center" vertical="center" wrapText="1"/>
    </xf>
    <xf numFmtId="1" fontId="3" fillId="3" borderId="1588" applyAlignment="1" pivotButton="0" quotePrefix="0" xfId="0">
      <alignment horizontal="center" vertical="center"/>
    </xf>
    <xf numFmtId="1" fontId="3" fillId="0" borderId="1361" applyAlignment="1" applyProtection="1" pivotButton="0" quotePrefix="0" xfId="0">
      <alignment horizontal="left" vertical="center" wrapText="1"/>
      <protection locked="1" hidden="1"/>
    </xf>
    <xf numFmtId="0" fontId="0" fillId="0" borderId="1348" applyProtection="1" pivotButton="0" quotePrefix="0" xfId="0">
      <protection locked="1" hidden="1"/>
    </xf>
    <xf numFmtId="1" fontId="3" fillId="0" borderId="1085" applyAlignment="1" applyProtection="1" pivotButton="0" quotePrefix="0" xfId="0">
      <alignment horizontal="left" vertical="center" wrapText="1"/>
      <protection locked="1" hidden="1"/>
    </xf>
    <xf numFmtId="0" fontId="0" fillId="0" borderId="1081" applyProtection="1" pivotButton="0" quotePrefix="0" xfId="0">
      <protection locked="1" hidden="1"/>
    </xf>
    <xf numFmtId="1" fontId="3" fillId="5" borderId="1085" applyAlignment="1" applyProtection="1" pivotButton="0" quotePrefix="0" xfId="0">
      <alignment horizontal="left" vertical="center" wrapText="1"/>
      <protection locked="1" hidden="1"/>
    </xf>
    <xf numFmtId="1" fontId="3" fillId="5" borderId="1502" applyAlignment="1" applyProtection="1" pivotButton="0" quotePrefix="0" xfId="0">
      <alignment horizontal="left" vertical="center" wrapText="1"/>
      <protection locked="1" hidden="1"/>
    </xf>
    <xf numFmtId="0" fontId="0" fillId="0" borderId="1489" applyProtection="1" pivotButton="0" quotePrefix="0" xfId="0">
      <protection locked="1" hidden="1"/>
    </xf>
    <xf numFmtId="1" fontId="3" fillId="5" borderId="1125" applyAlignment="1" pivotButton="0" quotePrefix="0" xfId="0">
      <alignment horizontal="center" vertical="center" wrapText="1"/>
    </xf>
    <xf numFmtId="1" fontId="3" fillId="0" borderId="1592" applyAlignment="1" pivotButton="0" quotePrefix="0" xfId="0">
      <alignment horizontal="center" vertical="center" wrapText="1"/>
    </xf>
    <xf numFmtId="1" fontId="2" fillId="3" borderId="1428" applyAlignment="1" pivotButton="0" quotePrefix="0" xfId="0">
      <alignment horizontal="left" vertical="center" wrapText="1"/>
    </xf>
    <xf numFmtId="1" fontId="3" fillId="0" borderId="1255" applyAlignment="1" pivotButton="0" quotePrefix="0" xfId="0">
      <alignment horizontal="left"/>
    </xf>
    <xf numFmtId="1" fontId="3" fillId="0" borderId="1255" pivotButton="0" quotePrefix="0" xfId="0"/>
    <xf numFmtId="1" fontId="3" fillId="5" borderId="1352" applyAlignment="1" pivotButton="0" quotePrefix="0" xfId="0">
      <alignment horizontal="center" vertical="center" wrapText="1"/>
    </xf>
    <xf numFmtId="1" fontId="3" fillId="5" borderId="1602" applyAlignment="1" pivotButton="0" quotePrefix="0" xfId="0">
      <alignment horizontal="center" vertical="center" wrapText="1"/>
    </xf>
    <xf numFmtId="0" fontId="3" fillId="0" borderId="1601" applyAlignment="1" pivotButton="0" quotePrefix="0" xfId="0">
      <alignment horizontal="center" vertical="center" wrapText="1"/>
    </xf>
    <xf numFmtId="0" fontId="3" fillId="0" borderId="1448" applyAlignment="1" pivotButton="0" quotePrefix="0" xfId="0">
      <alignment horizontal="center" vertical="center" wrapText="1"/>
    </xf>
    <xf numFmtId="0" fontId="3" fillId="0" borderId="1352" applyAlignment="1" pivotButton="0" quotePrefix="0" xfId="0">
      <alignment horizontal="center" vertical="center" wrapText="1"/>
    </xf>
    <xf numFmtId="0" fontId="3" fillId="0" borderId="1361" applyAlignment="1" pivotButton="0" quotePrefix="0" xfId="0">
      <alignment horizontal="left" vertical="center"/>
    </xf>
    <xf numFmtId="0" fontId="3" fillId="0" borderId="1085" applyAlignment="1" pivotButton="0" quotePrefix="0" xfId="0">
      <alignment horizontal="left" vertical="center"/>
    </xf>
    <xf numFmtId="0" fontId="3" fillId="0" borderId="1066" applyAlignment="1" pivotButton="0" quotePrefix="0" xfId="0">
      <alignment horizontal="left"/>
    </xf>
    <xf numFmtId="0" fontId="3" fillId="0" borderId="1537" applyAlignment="1" pivotButton="0" quotePrefix="0" xfId="0">
      <alignment horizontal="left" vertical="center"/>
    </xf>
    <xf numFmtId="0" fontId="3" fillId="0" borderId="1502" applyAlignment="1" pivotButton="0" quotePrefix="0" xfId="0">
      <alignment horizontal="left" vertical="center"/>
    </xf>
    <xf numFmtId="0" fontId="3" fillId="0" borderId="1444" applyAlignment="1" pivotButton="0" quotePrefix="0" xfId="0">
      <alignment horizontal="center" vertical="center"/>
    </xf>
    <xf numFmtId="0" fontId="3" fillId="0" borderId="1425" applyAlignment="1" pivotButton="0" quotePrefix="0" xfId="0">
      <alignment horizontal="center" vertical="center" wrapText="1"/>
    </xf>
    <xf numFmtId="1" fontId="3" fillId="0" borderId="1602" applyAlignment="1" pivotButton="0" quotePrefix="0" xfId="0">
      <alignment horizontal="center" vertical="center" wrapText="1"/>
    </xf>
    <xf numFmtId="1" fontId="3" fillId="0" borderId="1603" applyAlignment="1" pivotButton="0" quotePrefix="0" xfId="0">
      <alignment horizontal="center" vertical="center" wrapText="1"/>
    </xf>
    <xf numFmtId="0" fontId="0" fillId="0" borderId="1603" pivotButton="0" quotePrefix="0" xfId="0"/>
    <xf numFmtId="0" fontId="3" fillId="0" borderId="1460" applyAlignment="1" pivotButton="0" quotePrefix="0" xfId="0">
      <alignment horizontal="center" vertical="center"/>
    </xf>
    <xf numFmtId="0" fontId="3" fillId="0" borderId="1488" applyAlignment="1" pivotButton="0" quotePrefix="0" xfId="0">
      <alignment horizontal="center" vertical="center"/>
    </xf>
    <xf numFmtId="0" fontId="3" fillId="0" borderId="1448" applyAlignment="1" pivotButton="0" quotePrefix="0" xfId="0">
      <alignment horizontal="center" vertical="center"/>
    </xf>
    <xf numFmtId="1" fontId="3" fillId="5" borderId="1253" applyAlignment="1" pivotButton="0" quotePrefix="0" xfId="0">
      <alignment horizontal="center" vertical="center" wrapText="1"/>
    </xf>
    <xf numFmtId="0" fontId="0" fillId="0" borderId="1466" pivotButton="0" quotePrefix="0" xfId="0"/>
    <xf numFmtId="1" fontId="3" fillId="0" borderId="1351" applyAlignment="1" pivotButton="0" quotePrefix="0" xfId="0">
      <alignment horizontal="center" vertical="center"/>
    </xf>
    <xf numFmtId="0" fontId="0" fillId="0" borderId="1351" pivotButton="0" quotePrefix="0" xfId="0"/>
    <xf numFmtId="1" fontId="3" fillId="0" borderId="1352" applyAlignment="1" pivotButton="0" quotePrefix="0" xfId="0">
      <alignment horizontal="center" vertical="center"/>
    </xf>
    <xf numFmtId="1" fontId="2" fillId="3" borderId="1428" applyAlignment="1" pivotButton="0" quotePrefix="0" xfId="0">
      <alignment horizontal="left"/>
    </xf>
    <xf numFmtId="0" fontId="3" fillId="0" borderId="1541" applyAlignment="1" pivotButton="0" quotePrefix="0" xfId="0">
      <alignment horizontal="center" vertical="center" wrapText="1"/>
    </xf>
    <xf numFmtId="0" fontId="3" fillId="0" borderId="1592" applyAlignment="1" pivotButton="0" quotePrefix="0" xfId="0">
      <alignment horizontal="center" vertical="center" wrapText="1"/>
    </xf>
    <xf numFmtId="0" fontId="3" fillId="0" borderId="1354" applyAlignment="1" pivotButton="0" quotePrefix="0" xfId="0">
      <alignment horizontal="center" vertical="center" wrapText="1"/>
    </xf>
    <xf numFmtId="49" fontId="3" fillId="0" borderId="1354" applyAlignment="1" pivotButton="0" quotePrefix="0" xfId="0">
      <alignment horizontal="center"/>
    </xf>
    <xf numFmtId="0" fontId="2" fillId="5" borderId="1393" applyAlignment="1" pivotButton="0" quotePrefix="0" xfId="0">
      <alignment horizontal="left" wrapText="1"/>
    </xf>
    <xf numFmtId="0" fontId="3" fillId="0" borderId="1444" applyAlignment="1" pivotButton="0" quotePrefix="0" xfId="0">
      <alignment horizontal="center" vertical="center" wrapText="1"/>
    </xf>
    <xf numFmtId="0" fontId="3" fillId="0" borderId="1536" applyAlignment="1" pivotButton="0" quotePrefix="0" xfId="0">
      <alignment horizontal="center" vertical="center" wrapText="1"/>
    </xf>
    <xf numFmtId="0" fontId="2" fillId="0" borderId="1428" applyAlignment="1" pivotButton="0" quotePrefix="0" xfId="0">
      <alignment horizontal="left" wrapText="1"/>
    </xf>
    <xf numFmtId="0" fontId="2" fillId="0" borderId="1393" applyAlignment="1" pivotButton="0" quotePrefix="0" xfId="0">
      <alignment horizontal="left" wrapText="1"/>
    </xf>
    <xf numFmtId="0" fontId="0" fillId="0" borderId="1444" applyAlignment="1" pivotButton="0" quotePrefix="0" xfId="0">
      <alignment horizontal="center" vertical="center" wrapText="1"/>
    </xf>
    <xf numFmtId="0" fontId="3" fillId="0" borderId="1352" applyAlignment="1" pivotButton="0" quotePrefix="0" xfId="0">
      <alignment horizontal="center" vertical="center"/>
    </xf>
    <xf numFmtId="0" fontId="3" fillId="0" borderId="1446" applyAlignment="1" pivotButton="0" quotePrefix="0" xfId="0">
      <alignment horizontal="center" vertical="center" wrapText="1"/>
    </xf>
    <xf numFmtId="0" fontId="4" fillId="0" borderId="1444" applyAlignment="1" pivotButton="0" quotePrefix="0" xfId="0">
      <alignment horizontal="center" vertical="center" wrapText="1"/>
    </xf>
    <xf numFmtId="0" fontId="3" fillId="0" borderId="1446" applyAlignment="1" pivotButton="0" quotePrefix="0" xfId="0">
      <alignment horizontal="center"/>
    </xf>
    <xf numFmtId="0" fontId="3" fillId="0" borderId="1398" applyAlignment="1" pivotButton="0" quotePrefix="0" xfId="0">
      <alignment horizontal="center" vertical="center" wrapText="1"/>
    </xf>
    <xf numFmtId="0" fontId="3" fillId="0" borderId="1354" applyAlignment="1" pivotButton="0" quotePrefix="0" xfId="0">
      <alignment horizontal="center" vertical="center"/>
    </xf>
    <xf numFmtId="1" fontId="3" fillId="0" borderId="1604" applyAlignment="1" pivotButton="0" quotePrefix="0" xfId="0">
      <alignment horizontal="center" vertical="center"/>
    </xf>
    <xf numFmtId="1" fontId="3" fillId="0" borderId="1561" applyAlignment="1" pivotButton="0" quotePrefix="0" xfId="0">
      <alignment horizontal="center" vertical="center" wrapText="1"/>
    </xf>
    <xf numFmtId="0" fontId="0" fillId="0" borderId="3" pivotButton="0" quotePrefix="0" xfId="0"/>
    <xf numFmtId="1" fontId="3" fillId="5" borderId="1437" applyAlignment="1" pivotButton="0" quotePrefix="0" xfId="0">
      <alignment horizontal="center" vertical="center" wrapText="1"/>
    </xf>
    <xf numFmtId="1" fontId="3" fillId="0" borderId="1125" applyAlignment="1" pivotButton="0" quotePrefix="0" xfId="0">
      <alignment horizontal="center" vertical="center"/>
    </xf>
    <xf numFmtId="1" fontId="2" fillId="3" borderId="1415" applyAlignment="1" pivotButton="0" quotePrefix="0" xfId="0">
      <alignment horizontal="left"/>
    </xf>
    <xf numFmtId="1" fontId="3" fillId="0" borderId="1446" applyAlignment="1" pivotButton="0" quotePrefix="0" xfId="0">
      <alignment horizontal="center" wrapText="1"/>
    </xf>
    <xf numFmtId="1" fontId="3" fillId="0" borderId="1398" applyAlignment="1" pivotButton="0" quotePrefix="0" xfId="0">
      <alignment horizontal="center" vertical="center"/>
    </xf>
    <xf numFmtId="1" fontId="3" fillId="0" borderId="1605" applyAlignment="1" pivotButton="0" quotePrefix="0" xfId="0">
      <alignment horizontal="center" vertical="center" wrapText="1"/>
    </xf>
    <xf numFmtId="1" fontId="3" fillId="0" borderId="1351" applyAlignment="1" pivotButton="0" quotePrefix="0" xfId="0">
      <alignment horizontal="center" vertical="center" wrapText="1"/>
    </xf>
    <xf numFmtId="0" fontId="0" fillId="0" borderId="1605" pivotButton="0" quotePrefix="0" xfId="0"/>
    <xf numFmtId="0" fontId="3" fillId="0" borderId="1517" applyAlignment="1" pivotButton="0" quotePrefix="0" xfId="0">
      <alignment horizontal="center" vertical="center" wrapText="1"/>
    </xf>
    <xf numFmtId="1" fontId="3" fillId="3" borderId="1200" applyAlignment="1" pivotButton="0" quotePrefix="0" xfId="0">
      <alignment horizontal="center" vertical="center"/>
    </xf>
    <xf numFmtId="1" fontId="3" fillId="3" borderId="1480" applyAlignment="1" pivotButton="0" quotePrefix="0" xfId="0">
      <alignment horizontal="center" vertical="center" wrapText="1"/>
    </xf>
    <xf numFmtId="1" fontId="3" fillId="3" borderId="1517" applyAlignment="1" pivotButton="0" quotePrefix="0" xfId="0">
      <alignment horizontal="center" vertical="center" wrapText="1"/>
    </xf>
    <xf numFmtId="1" fontId="4" fillId="3" borderId="1604" applyAlignment="1" pivotButton="0" quotePrefix="0" xfId="0">
      <alignment horizontal="center" vertical="center"/>
    </xf>
    <xf numFmtId="1" fontId="4" fillId="3" borderId="1351" applyAlignment="1" pivotButton="0" quotePrefix="0" xfId="0">
      <alignment horizontal="center" vertical="center"/>
    </xf>
    <xf numFmtId="1" fontId="3" fillId="3" borderId="1448" applyAlignment="1" pivotButton="0" quotePrefix="0" xfId="0">
      <alignment horizontal="center" vertical="center" wrapText="1"/>
    </xf>
    <xf numFmtId="1" fontId="3" fillId="3" borderId="1488" applyAlignment="1" pivotButton="0" quotePrefix="0" xfId="0">
      <alignment horizontal="center" vertical="center" wrapText="1"/>
    </xf>
    <xf numFmtId="1" fontId="3" fillId="0" borderId="1488" applyAlignment="1" pivotButton="0" quotePrefix="0" xfId="6">
      <alignment horizontal="center" vertical="center" wrapText="1"/>
    </xf>
    <xf numFmtId="1" fontId="3" fillId="0" borderId="1354" applyAlignment="1" pivotButton="0" quotePrefix="0" xfId="6">
      <alignment horizontal="center" vertical="center" wrapText="1"/>
    </xf>
    <xf numFmtId="1" fontId="3" fillId="0" borderId="1448" applyAlignment="1" pivotButton="0" quotePrefix="0" xfId="6">
      <alignment horizontal="center" vertical="center" wrapText="1"/>
    </xf>
    <xf numFmtId="1" fontId="3" fillId="0" borderId="1601" applyAlignment="1" pivotButton="0" quotePrefix="0" xfId="6">
      <alignment horizontal="center" vertical="center"/>
    </xf>
    <xf numFmtId="0" fontId="0" fillId="0" borderId="1354" applyAlignment="1" pivotButton="0" quotePrefix="0" xfId="0">
      <alignment horizontal="center"/>
    </xf>
    <xf numFmtId="1" fontId="3" fillId="0" borderId="1361" applyAlignment="1" pivotButton="0" quotePrefix="0" xfId="6">
      <alignment horizontal="left"/>
    </xf>
    <xf numFmtId="1" fontId="3" fillId="0" borderId="1085" applyAlignment="1" pivotButton="0" quotePrefix="0" xfId="6">
      <alignment horizontal="left"/>
    </xf>
    <xf numFmtId="1" fontId="3" fillId="0" borderId="1502" applyAlignment="1" pivotButton="0" quotePrefix="0" xfId="6">
      <alignment horizontal="left"/>
    </xf>
    <xf numFmtId="1" fontId="3" fillId="0" borderId="1444" applyAlignment="1" pivotButton="0" quotePrefix="0" xfId="6">
      <alignment horizontal="left" vertical="center"/>
    </xf>
    <xf numFmtId="1" fontId="3" fillId="0" borderId="1354" applyAlignment="1" pivotButton="0" quotePrefix="0" xfId="6">
      <alignment horizontal="left"/>
    </xf>
    <xf numFmtId="0" fontId="7" fillId="5" borderId="1448" applyAlignment="1" pivotButton="0" quotePrefix="0" xfId="0">
      <alignment horizontal="center"/>
    </xf>
    <xf numFmtId="1" fontId="2" fillId="0" borderId="1607" pivotButton="0" quotePrefix="0" xfId="0"/>
    <xf numFmtId="0" fontId="0" fillId="0" borderId="1061" pivotButton="0" quotePrefix="0" xfId="0"/>
    <xf numFmtId="1" fontId="3" fillId="0" borderId="1398" applyAlignment="1" pivotButton="0" quotePrefix="0" xfId="6">
      <alignment horizontal="center" vertical="center" wrapText="1"/>
    </xf>
    <xf numFmtId="1" fontId="3" fillId="0" borderId="1232" applyAlignment="1" pivotButton="0" quotePrefix="0" xfId="6">
      <alignment horizontal="center" vertical="center" wrapText="1"/>
    </xf>
    <xf numFmtId="1" fontId="6" fillId="5" borderId="1354" applyAlignment="1" pivotButton="0" quotePrefix="0" xfId="0">
      <alignment horizontal="center"/>
    </xf>
    <xf numFmtId="1" fontId="3" fillId="0" borderId="1354" applyAlignment="1" pivotButton="0" quotePrefix="0" xfId="6">
      <alignment horizontal="left" wrapText="1"/>
    </xf>
    <xf numFmtId="1" fontId="3" fillId="0" borderId="1444" applyAlignment="1" pivotButton="0" quotePrefix="0" xfId="6">
      <alignment horizontal="left" vertical="center" wrapText="1"/>
    </xf>
    <xf numFmtId="1" fontId="3" fillId="0" borderId="1446" applyAlignment="1" pivotButton="0" quotePrefix="0" xfId="6">
      <alignment horizontal="center" vertical="center" wrapText="1"/>
    </xf>
    <xf numFmtId="1" fontId="3" fillId="0" borderId="1460" applyAlignment="1" pivotButton="0" quotePrefix="0" xfId="6">
      <alignment horizontal="center" vertical="center" wrapText="1"/>
    </xf>
    <xf numFmtId="1" fontId="2" fillId="0" borderId="1288" applyAlignment="1" pivotButton="0" quotePrefix="0" xfId="6">
      <alignment horizontal="left" wrapText="1"/>
    </xf>
    <xf numFmtId="1" fontId="3" fillId="0" borderId="1444" applyAlignment="1" pivotButton="0" quotePrefix="0" xfId="6">
      <alignment horizontal="center" vertical="center"/>
    </xf>
    <xf numFmtId="1" fontId="3" fillId="0" borderId="1601" applyAlignment="1" pivotButton="0" quotePrefix="0" xfId="0">
      <alignment horizontal="center" vertical="center"/>
    </xf>
    <xf numFmtId="1" fontId="3" fillId="0" borderId="1425" applyAlignment="1" pivotButton="0" quotePrefix="0" xfId="6">
      <alignment horizontal="center" vertical="center" wrapText="1"/>
    </xf>
    <xf numFmtId="1" fontId="3" fillId="0" borderId="1354" applyAlignment="1" pivotButton="0" quotePrefix="0" xfId="6">
      <alignment horizontal="center"/>
    </xf>
    <xf numFmtId="1" fontId="3" fillId="0" borderId="1232" applyAlignment="1" pivotButton="0" quotePrefix="0" xfId="6">
      <alignment horizontal="center"/>
    </xf>
    <xf numFmtId="1" fontId="3" fillId="5" borderId="1425" applyAlignment="1" applyProtection="1" pivotButton="0" quotePrefix="0" xfId="6">
      <alignment horizontal="center" vertical="center" wrapText="1"/>
      <protection locked="0" hidden="0"/>
    </xf>
    <xf numFmtId="1" fontId="3" fillId="0" borderId="1257" applyAlignment="1" pivotButton="0" quotePrefix="0" xfId="6">
      <alignment horizontal="center" vertical="center"/>
    </xf>
    <xf numFmtId="1" fontId="3" fillId="5" borderId="1253" applyAlignment="1" applyProtection="1" pivotButton="0" quotePrefix="0" xfId="6">
      <alignment horizontal="center" vertical="center" wrapText="1"/>
      <protection locked="0" hidden="0"/>
    </xf>
    <xf numFmtId="0" fontId="0" fillId="0" borderId="1397" applyProtection="1" pivotButton="0" quotePrefix="0" xfId="0">
      <protection locked="0" hidden="0"/>
    </xf>
    <xf numFmtId="0" fontId="0" fillId="0" borderId="1606" applyProtection="1" pivotButton="0" quotePrefix="0" xfId="0">
      <protection locked="0" hidden="0"/>
    </xf>
    <xf numFmtId="1" fontId="3" fillId="3" borderId="1437" applyAlignment="1" pivotButton="0" quotePrefix="0" xfId="0">
      <alignment horizontal="center" vertical="center"/>
    </xf>
    <xf numFmtId="1" fontId="3" fillId="3" borderId="1185" applyAlignment="1" pivotButton="0" quotePrefix="0" xfId="0">
      <alignment horizontal="center"/>
    </xf>
    <xf numFmtId="1" fontId="3" fillId="0" borderId="1415" applyAlignment="1" pivotButton="0" quotePrefix="0" xfId="0">
      <alignment horizontal="center" vertical="center"/>
    </xf>
    <xf numFmtId="1" fontId="3" fillId="0" borderId="1482" applyAlignment="1" pivotButton="0" quotePrefix="0" xfId="0">
      <alignment horizontal="center" vertical="center"/>
    </xf>
    <xf numFmtId="0" fontId="0" fillId="0" borderId="1482" pivotButton="0" quotePrefix="0" xfId="0"/>
    <xf numFmtId="1" fontId="3" fillId="3" borderId="1541" applyAlignment="1" pivotButton="0" quotePrefix="0" xfId="0">
      <alignment horizontal="center" vertical="center"/>
    </xf>
    <xf numFmtId="1" fontId="3" fillId="3" borderId="1448" applyAlignment="1" pivotButton="0" quotePrefix="0" xfId="0">
      <alignment horizontal="center" vertical="center"/>
    </xf>
    <xf numFmtId="1" fontId="3" fillId="0" borderId="588" applyAlignment="1" pivotButton="0" quotePrefix="0" xfId="0">
      <alignment horizontal="center" vertical="center"/>
    </xf>
    <xf numFmtId="1" fontId="3" fillId="0" borderId="1444" applyAlignment="1" pivotButton="0" quotePrefix="0" xfId="0">
      <alignment horizontal="left" vertical="center"/>
    </xf>
    <xf numFmtId="1" fontId="3" fillId="0" borderId="1446" applyAlignment="1" pivotButton="0" quotePrefix="0" xfId="14">
      <alignment horizontal="center" vertical="center" wrapText="1"/>
    </xf>
    <xf numFmtId="1" fontId="3" fillId="0" borderId="1460" applyAlignment="1" pivotButton="0" quotePrefix="0" xfId="14">
      <alignment horizontal="center" vertical="center" wrapText="1"/>
    </xf>
    <xf numFmtId="1" fontId="3" fillId="0" borderId="1185" applyAlignment="1" pivotButton="0" quotePrefix="0" xfId="0">
      <alignment horizontal="center"/>
    </xf>
    <xf numFmtId="1" fontId="3" fillId="0" borderId="1488" applyAlignment="1" applyProtection="1" pivotButton="0" quotePrefix="1" xfId="14">
      <alignment horizontal="center" vertical="center"/>
      <protection locked="1" hidden="1"/>
    </xf>
    <xf numFmtId="1" fontId="3" fillId="0" borderId="1541" applyAlignment="1" pivotButton="0" quotePrefix="0" xfId="0">
      <alignment horizontal="center" vertical="center"/>
    </xf>
    <xf numFmtId="1" fontId="3" fillId="0" borderId="1448" applyAlignment="1" pivotButton="0" quotePrefix="0" xfId="0">
      <alignment horizontal="center"/>
    </xf>
    <xf numFmtId="1" fontId="3" fillId="0" borderId="1408" applyAlignment="1" pivotButton="0" quotePrefix="0" xfId="0">
      <alignment horizontal="center" vertical="center"/>
    </xf>
    <xf numFmtId="1" fontId="3" fillId="0" borderId="1354" applyAlignment="1" pivotButton="0" quotePrefix="0" xfId="0">
      <alignment horizontal="center"/>
    </xf>
    <xf numFmtId="1" fontId="3" fillId="3" borderId="1460" applyAlignment="1" pivotButton="0" quotePrefix="0" xfId="0">
      <alignment horizontal="center" vertical="center"/>
    </xf>
    <xf numFmtId="1" fontId="3" fillId="3" borderId="1354" applyAlignment="1" pivotButton="0" quotePrefix="0" xfId="0">
      <alignment horizontal="center" vertical="center"/>
    </xf>
    <xf numFmtId="1" fontId="3" fillId="3" borderId="1488" applyAlignment="1" pivotButton="0" quotePrefix="0" xfId="0">
      <alignment horizontal="center" vertical="center"/>
    </xf>
    <xf numFmtId="1" fontId="3" fillId="3" borderId="1354" applyAlignment="1" pivotButton="0" quotePrefix="0" xfId="0">
      <alignment horizontal="center"/>
    </xf>
    <xf numFmtId="1" fontId="2" fillId="0" borderId="1288" applyAlignment="1" pivotButton="0" quotePrefix="0" xfId="0">
      <alignment horizontal="left"/>
    </xf>
    <xf numFmtId="1" fontId="3" fillId="3" borderId="1444" applyAlignment="1" pivotButton="0" quotePrefix="0" xfId="0">
      <alignment horizontal="left" vertical="center" wrapText="1"/>
    </xf>
    <xf numFmtId="1" fontId="3" fillId="0" borderId="1470" applyAlignment="1" pivotButton="0" quotePrefix="0" xfId="0">
      <alignment horizontal="center" vertical="center"/>
    </xf>
    <xf numFmtId="1" fontId="3" fillId="3" borderId="1470" applyAlignment="1" pivotButton="0" quotePrefix="0" xfId="0">
      <alignment horizontal="center" vertical="center"/>
    </xf>
    <xf numFmtId="0" fontId="0" fillId="0" borderId="1609" pivotButton="0" quotePrefix="0" xfId="0"/>
    <xf numFmtId="0" fontId="3" fillId="0" borderId="1161" applyAlignment="1" pivotButton="0" quotePrefix="0" xfId="0">
      <alignment horizontal="left" vertical="center"/>
    </xf>
    <xf numFmtId="0" fontId="3" fillId="0" borderId="1460" applyAlignment="1" pivotButton="0" quotePrefix="0" xfId="0">
      <alignment horizontal="left" vertical="center"/>
    </xf>
    <xf numFmtId="1" fontId="5" fillId="5" borderId="1602" applyAlignment="1" pivotButton="0" quotePrefix="0" xfId="0">
      <alignment horizontal="center" vertical="center" wrapText="1"/>
    </xf>
    <xf numFmtId="1" fontId="5" fillId="0" borderId="1536" applyAlignment="1" pivotButton="0" quotePrefix="0" xfId="0">
      <alignment horizontal="center" vertical="center" wrapText="1"/>
    </xf>
    <xf numFmtId="1" fontId="5" fillId="0" borderId="1352" applyAlignment="1" pivotButton="0" quotePrefix="0" xfId="0">
      <alignment horizontal="center" vertical="center" wrapText="1"/>
    </xf>
    <xf numFmtId="0" fontId="5" fillId="0" borderId="1497" applyAlignment="1" pivotButton="0" quotePrefix="0" xfId="0">
      <alignment horizontal="center" vertical="center"/>
    </xf>
    <xf numFmtId="1" fontId="5" fillId="3" borderId="1517" applyAlignment="1" pivotButton="0" quotePrefix="0" xfId="0">
      <alignment horizontal="center" vertical="center" wrapText="1"/>
    </xf>
    <xf numFmtId="1" fontId="5" fillId="3" borderId="1508" applyAlignment="1" pivotButton="0" quotePrefix="0" xfId="0">
      <alignment horizontal="center" vertical="center" wrapText="1"/>
    </xf>
    <xf numFmtId="1" fontId="5" fillId="0" borderId="1542" applyAlignment="1" pivotButton="0" quotePrefix="0" xfId="0">
      <alignment horizontal="center" vertical="center" wrapText="1"/>
    </xf>
    <xf numFmtId="1" fontId="5" fillId="5" borderId="1601" applyAlignment="1" pivotButton="0" quotePrefix="0" xfId="0">
      <alignment horizontal="center" vertical="center" wrapText="1"/>
    </xf>
    <xf numFmtId="1" fontId="5" fillId="5" borderId="1457" applyAlignment="1" pivotButton="0" quotePrefix="0" xfId="0">
      <alignment horizontal="center" vertical="center" wrapText="1"/>
    </xf>
    <xf numFmtId="1" fontId="5" fillId="0" borderId="1361" applyAlignment="1" pivotButton="0" quotePrefix="0" xfId="0">
      <alignment horizontal="left" vertical="center"/>
    </xf>
    <xf numFmtId="1" fontId="5" fillId="3" borderId="1354" applyAlignment="1" pivotButton="0" quotePrefix="0" xfId="0">
      <alignment horizontal="left" vertical="center"/>
    </xf>
    <xf numFmtId="1" fontId="5" fillId="0" borderId="1444" applyAlignment="1" pivotButton="0" quotePrefix="0" xfId="0">
      <alignment horizontal="left" vertical="center"/>
    </xf>
    <xf numFmtId="1" fontId="5" fillId="3" borderId="1354" applyAlignment="1" pivotButton="0" quotePrefix="0" xfId="0">
      <alignment horizontal="left" vertical="center" wrapText="1"/>
    </xf>
    <xf numFmtId="1" fontId="5" fillId="5" borderId="1354" applyAlignment="1" pivotButton="0" quotePrefix="0" xfId="0">
      <alignment horizontal="left" vertical="center" wrapText="1"/>
    </xf>
    <xf numFmtId="1" fontId="5" fillId="5" borderId="1444" applyAlignment="1" pivotButton="0" quotePrefix="0" xfId="0">
      <alignment horizontal="left" vertical="center" wrapText="1"/>
    </xf>
    <xf numFmtId="1" fontId="5" fillId="5" borderId="1437" applyAlignment="1" pivotButton="0" quotePrefix="0" xfId="0">
      <alignment horizontal="left" vertical="center" wrapText="1"/>
    </xf>
    <xf numFmtId="1" fontId="5" fillId="5" borderId="1460" applyAlignment="1" pivotButton="0" quotePrefix="0" xfId="0">
      <alignment horizontal="center" vertical="center"/>
    </xf>
    <xf numFmtId="1" fontId="5" fillId="5" borderId="1444" applyAlignment="1" pivotButton="0" quotePrefix="0" xfId="0">
      <alignment horizontal="center" vertical="center" wrapText="1"/>
    </xf>
    <xf numFmtId="1" fontId="5" fillId="0" borderId="1392" applyAlignment="1" pivotButton="0" quotePrefix="0" xfId="0">
      <alignment horizontal="left" vertical="center"/>
    </xf>
    <xf numFmtId="1" fontId="5" fillId="0" borderId="1610" applyAlignment="1" pivotButton="0" quotePrefix="0" xfId="0">
      <alignment horizontal="center" vertical="center" wrapText="1"/>
    </xf>
    <xf numFmtId="1" fontId="58" fillId="3" borderId="1403" applyAlignment="1" pivotButton="0" quotePrefix="0" xfId="0">
      <alignment horizontal="center" vertical="center"/>
    </xf>
    <xf numFmtId="1" fontId="58" fillId="3" borderId="1185" applyAlignment="1" pivotButton="0" quotePrefix="0" xfId="0">
      <alignment horizontal="center" vertical="center"/>
    </xf>
    <xf numFmtId="1" fontId="5" fillId="0" borderId="1612" applyAlignment="1" pivotButton="0" quotePrefix="0" xfId="0">
      <alignment horizontal="center" vertical="center" wrapText="1"/>
    </xf>
    <xf numFmtId="1" fontId="5" fillId="0" borderId="1613" applyAlignment="1" pivotButton="0" quotePrefix="0" xfId="0">
      <alignment horizontal="center" vertical="center"/>
    </xf>
    <xf numFmtId="1" fontId="5" fillId="0" borderId="1525" applyAlignment="1" pivotButton="0" quotePrefix="0" xfId="0">
      <alignment horizontal="center" vertical="center" wrapText="1"/>
    </xf>
    <xf numFmtId="0" fontId="0" fillId="0" borderId="333" pivotButton="0" quotePrefix="0" xfId="0"/>
    <xf numFmtId="0" fontId="0" fillId="0" borderId="1589" pivotButton="0" quotePrefix="0" xfId="0"/>
    <xf numFmtId="0" fontId="0" fillId="0" borderId="1610" pivotButton="0" quotePrefix="0" xfId="0"/>
    <xf numFmtId="1" fontId="5" fillId="5" borderId="1460" applyAlignment="1" pivotButton="0" quotePrefix="0" xfId="0">
      <alignment horizontal="center" vertical="center" wrapText="1"/>
    </xf>
    <xf numFmtId="1" fontId="5" fillId="5" borderId="1508" applyAlignment="1" pivotButton="0" quotePrefix="0" xfId="0">
      <alignment horizontal="center" vertical="center" wrapText="1"/>
    </xf>
    <xf numFmtId="1" fontId="5" fillId="5" borderId="1517" applyAlignment="1" pivotButton="0" quotePrefix="0" xfId="0">
      <alignment horizontal="center" vertical="center" wrapText="1"/>
    </xf>
    <xf numFmtId="1" fontId="5" fillId="5" borderId="1485" applyAlignment="1" pivotButton="0" quotePrefix="0" xfId="0">
      <alignment horizontal="center" vertical="center" wrapText="1"/>
    </xf>
    <xf numFmtId="1" fontId="5" fillId="5" borderId="1470" applyAlignment="1" pivotButton="0" quotePrefix="0" xfId="0">
      <alignment horizontal="center" vertical="center" wrapText="1"/>
    </xf>
    <xf numFmtId="1" fontId="5" fillId="5" borderId="1444" applyAlignment="1" pivotButton="0" quotePrefix="0" xfId="0">
      <alignment horizontal="left" vertical="center"/>
    </xf>
    <xf numFmtId="1" fontId="5" fillId="5" borderId="1502" applyAlignment="1" pivotButton="0" quotePrefix="0" xfId="0">
      <alignment horizontal="left" vertical="center"/>
    </xf>
    <xf numFmtId="1" fontId="5" fillId="5" borderId="1354" applyAlignment="1" pivotButton="0" quotePrefix="0" xfId="0">
      <alignment horizontal="left" vertical="center"/>
    </xf>
    <xf numFmtId="1" fontId="5" fillId="0" borderId="1614" applyAlignment="1" pivotButton="0" quotePrefix="0" xfId="0">
      <alignment horizontal="center" vertical="center"/>
    </xf>
    <xf numFmtId="1" fontId="5" fillId="3" borderId="1614" applyAlignment="1" pivotButton="0" quotePrefix="0" xfId="0">
      <alignment horizontal="center" vertical="center" wrapText="1"/>
    </xf>
    <xf numFmtId="1" fontId="5" fillId="0" borderId="1585" applyAlignment="1" pivotButton="0" quotePrefix="0" xfId="0">
      <alignment horizontal="center" vertical="center"/>
    </xf>
    <xf numFmtId="1" fontId="16" fillId="0" borderId="1415" applyAlignment="1" pivotButton="0" quotePrefix="0" xfId="0">
      <alignment horizontal="left" wrapText="1"/>
    </xf>
    <xf numFmtId="0" fontId="5" fillId="0" borderId="1444" applyAlignment="1" pivotButton="0" quotePrefix="0" xfId="0">
      <alignment horizontal="center" vertical="center"/>
    </xf>
    <xf numFmtId="0" fontId="5" fillId="0" borderId="1444" applyAlignment="1" pivotButton="0" quotePrefix="0" xfId="0">
      <alignment horizontal="center" vertical="center" wrapText="1"/>
    </xf>
    <xf numFmtId="1" fontId="5" fillId="5" borderId="1444" applyAlignment="1" pivotButton="0" quotePrefix="0" xfId="0">
      <alignment horizontal="center" vertical="center"/>
    </xf>
    <xf numFmtId="1" fontId="5" fillId="3" borderId="1425" applyAlignment="1" pivotButton="0" quotePrefix="0" xfId="0">
      <alignment horizontal="center" vertical="center" wrapText="1"/>
    </xf>
    <xf numFmtId="1" fontId="5" fillId="0" borderId="1615" applyAlignment="1" pivotButton="0" quotePrefix="0" xfId="0">
      <alignment horizontal="left" vertical="center"/>
    </xf>
    <xf numFmtId="0" fontId="0" fillId="0" borderId="1616" pivotButton="0" quotePrefix="0" xfId="0"/>
    <xf numFmtId="1" fontId="5" fillId="0" borderId="1354" applyAlignment="1" pivotButton="0" quotePrefix="0" xfId="0">
      <alignment horizontal="center"/>
    </xf>
    <xf numFmtId="1" fontId="5" fillId="0" borderId="1361" applyAlignment="1" pivotButton="0" quotePrefix="0" xfId="0">
      <alignment horizontal="left"/>
    </xf>
    <xf numFmtId="1" fontId="5" fillId="0" borderId="1502" applyAlignment="1" pivotButton="0" quotePrefix="0" xfId="0">
      <alignment horizontal="left"/>
    </xf>
    <xf numFmtId="1" fontId="14" fillId="0" borderId="1288" applyAlignment="1" pivotButton="0" quotePrefix="0" xfId="0">
      <alignment horizontal="left"/>
    </xf>
    <xf numFmtId="1" fontId="5" fillId="0" borderId="1494" applyAlignment="1" pivotButton="0" quotePrefix="0" xfId="0">
      <alignment horizontal="left" vertical="center" wrapText="1"/>
    </xf>
    <xf numFmtId="1" fontId="5" fillId="0" borderId="849" applyAlignment="1" pivotButton="0" quotePrefix="0" xfId="0">
      <alignment horizontal="center"/>
    </xf>
    <xf numFmtId="1" fontId="14" fillId="3" borderId="1288" applyAlignment="1" pivotButton="0" quotePrefix="0" xfId="14">
      <alignment horizontal="left" wrapText="1"/>
    </xf>
    <xf numFmtId="1" fontId="5" fillId="5" borderId="1354" applyAlignment="1" pivotButton="0" quotePrefix="0" xfId="14">
      <alignment horizontal="center" wrapText="1"/>
    </xf>
    <xf numFmtId="1" fontId="5" fillId="5" borderId="1232" applyAlignment="1" pivotButton="0" quotePrefix="0" xfId="0">
      <alignment horizontal="left" vertical="center" wrapText="1"/>
    </xf>
    <xf numFmtId="1" fontId="5" fillId="0" borderId="1361" applyAlignment="1" pivotButton="0" quotePrefix="0" xfId="14">
      <alignment horizontal="left" vertical="center" wrapText="1"/>
    </xf>
    <xf numFmtId="1" fontId="5" fillId="0" borderId="1085" applyAlignment="1" pivotButton="0" quotePrefix="0" xfId="14">
      <alignment horizontal="left" vertical="center" wrapText="1"/>
    </xf>
    <xf numFmtId="1" fontId="5" fillId="0" borderId="1502" applyAlignment="1" pivotButton="0" quotePrefix="0" xfId="14">
      <alignment horizontal="left" vertical="center" wrapText="1"/>
    </xf>
    <xf numFmtId="1" fontId="5" fillId="0" borderId="1537" applyAlignment="1" pivotButton="0" quotePrefix="0" xfId="14">
      <alignment horizontal="left" vertical="center" wrapText="1"/>
    </xf>
    <xf numFmtId="1" fontId="5" fillId="5" borderId="1444" applyAlignment="1" pivotButton="0" quotePrefix="0" xfId="0">
      <alignment vertical="center" wrapText="1"/>
    </xf>
    <xf numFmtId="1" fontId="5" fillId="5" borderId="1502" applyAlignment="1" pivotButton="0" quotePrefix="0" xfId="14">
      <alignment horizontal="left" vertical="center" wrapText="1"/>
    </xf>
    <xf numFmtId="1" fontId="5" fillId="5" borderId="1537" applyAlignment="1" pivotButton="0" quotePrefix="0" xfId="14">
      <alignment horizontal="left" vertical="center" wrapText="1"/>
    </xf>
    <xf numFmtId="1" fontId="5" fillId="5" borderId="1085" applyAlignment="1" pivotButton="0" quotePrefix="0" xfId="14">
      <alignment horizontal="left" vertical="center" wrapText="1"/>
    </xf>
    <xf numFmtId="1" fontId="5" fillId="5" borderId="1361" applyAlignment="1" pivotButton="0" quotePrefix="0" xfId="0">
      <alignment horizontal="left" vertical="center" wrapText="1"/>
    </xf>
    <xf numFmtId="1" fontId="5" fillId="5" borderId="1085" applyAlignment="1" pivotButton="0" quotePrefix="0" xfId="0">
      <alignment horizontal="left" vertical="center" wrapText="1"/>
    </xf>
    <xf numFmtId="1" fontId="5" fillId="5" borderId="1502" applyAlignment="1" pivotButton="0" quotePrefix="0" xfId="0">
      <alignment horizontal="left" vertical="center" wrapText="1"/>
    </xf>
    <xf numFmtId="1" fontId="5" fillId="5" borderId="1392" applyAlignment="1" pivotButton="0" quotePrefix="0" xfId="0">
      <alignment horizontal="left" vertical="center" wrapText="1"/>
    </xf>
    <xf numFmtId="1" fontId="5" fillId="5" borderId="1537" applyAlignment="1" pivotButton="0" quotePrefix="0" xfId="0">
      <alignment horizontal="left" vertical="center" wrapText="1"/>
    </xf>
    <xf numFmtId="1" fontId="14" fillId="3" borderId="1415" applyAlignment="1" pivotButton="0" quotePrefix="0" xfId="14">
      <alignment horizontal="left" wrapText="1"/>
    </xf>
    <xf numFmtId="1" fontId="5" fillId="0" borderId="1354" applyAlignment="1" pivotButton="0" quotePrefix="0" xfId="0">
      <alignment horizontal="left"/>
    </xf>
    <xf numFmtId="1" fontId="14" fillId="3" borderId="1393" applyAlignment="1" pivotButton="0" quotePrefix="0" xfId="14">
      <alignment horizontal="left" wrapText="1"/>
    </xf>
    <xf numFmtId="1" fontId="5" fillId="3" borderId="1508" applyAlignment="1" pivotButton="0" quotePrefix="0" xfId="14">
      <alignment horizontal="center" vertical="center" wrapText="1"/>
    </xf>
    <xf numFmtId="1" fontId="5" fillId="3" borderId="1446" applyAlignment="1" pivotButton="0" quotePrefix="0" xfId="14">
      <alignment horizontal="center" vertical="center" wrapText="1"/>
    </xf>
    <xf numFmtId="1" fontId="5" fillId="3" borderId="1425" applyAlignment="1" pivotButton="0" quotePrefix="0" xfId="14">
      <alignment horizontal="center" vertical="center" wrapText="1"/>
    </xf>
    <xf numFmtId="1" fontId="5" fillId="3" borderId="1232" applyAlignment="1" pivotButton="0" quotePrefix="0" xfId="14">
      <alignment horizontal="center" vertical="center" wrapText="1"/>
    </xf>
    <xf numFmtId="1" fontId="5" fillId="3" borderId="1361" applyAlignment="1" pivotButton="0" quotePrefix="0" xfId="0">
      <alignment horizontal="left" vertical="center" wrapText="1"/>
    </xf>
    <xf numFmtId="1" fontId="5" fillId="0" borderId="1232" applyAlignment="1" pivotButton="0" quotePrefix="0" xfId="0">
      <alignment horizontal="center"/>
    </xf>
    <xf numFmtId="1" fontId="5" fillId="3" borderId="1502" applyAlignment="1" pivotButton="0" quotePrefix="0" xfId="0">
      <alignment horizontal="left" vertical="center" wrapText="1"/>
    </xf>
    <xf numFmtId="1" fontId="5" fillId="3" borderId="1502" applyAlignment="1" pivotButton="0" quotePrefix="0" xfId="0">
      <alignment horizontal="left"/>
    </xf>
    <xf numFmtId="1" fontId="5" fillId="0" borderId="1437" applyAlignment="1" pivotButton="0" quotePrefix="0" xfId="0">
      <alignment horizontal="center"/>
    </xf>
    <xf numFmtId="1" fontId="14" fillId="0" borderId="1393" applyAlignment="1" pivotButton="0" quotePrefix="0" xfId="0">
      <alignment horizontal="left"/>
    </xf>
    <xf numFmtId="1" fontId="5" fillId="3" borderId="1385" applyAlignment="1" pivotButton="0" quotePrefix="0" xfId="0">
      <alignment horizontal="center" vertical="center"/>
    </xf>
    <xf numFmtId="1" fontId="5" fillId="3" borderId="1232" applyAlignment="1" pivotButton="0" quotePrefix="0" xfId="0">
      <alignment horizontal="left" vertical="center"/>
    </xf>
    <xf numFmtId="1" fontId="5" fillId="3" borderId="1361" pivotButton="0" quotePrefix="0" xfId="0"/>
    <xf numFmtId="1" fontId="5" fillId="3" borderId="849" pivotButton="0" quotePrefix="0" xfId="0"/>
    <xf numFmtId="1" fontId="5" fillId="3" borderId="1232" applyAlignment="1" pivotButton="0" quotePrefix="0" xfId="0">
      <alignment horizontal="left" vertical="center" wrapText="1"/>
    </xf>
    <xf numFmtId="1" fontId="5" fillId="3" borderId="1502" pivotButton="0" quotePrefix="0" xfId="0"/>
    <xf numFmtId="1" fontId="5" fillId="3" borderId="1537" pivotButton="0" quotePrefix="0" xfId="0"/>
    <xf numFmtId="1" fontId="5" fillId="3" borderId="1085" applyAlignment="1" pivotButton="0" quotePrefix="0" xfId="0">
      <alignment wrapText="1"/>
    </xf>
    <xf numFmtId="1" fontId="5" fillId="3" borderId="1502" applyAlignment="1" pivotButton="0" quotePrefix="0" xfId="0">
      <alignment wrapText="1"/>
    </xf>
    <xf numFmtId="0" fontId="14" fillId="0" borderId="1393" applyAlignment="1" pivotButton="0" quotePrefix="0" xfId="0">
      <alignment horizontal="left"/>
    </xf>
    <xf numFmtId="0" fontId="5" fillId="0" borderId="1444" applyAlignment="1" pivotButton="0" quotePrefix="0" xfId="0">
      <alignment horizontal="left" vertical="center"/>
    </xf>
    <xf numFmtId="0" fontId="5" fillId="0" borderId="1361" applyAlignment="1" pivotButton="0" quotePrefix="0" xfId="0">
      <alignment horizontal="left" vertical="center"/>
    </xf>
    <xf numFmtId="0" fontId="14" fillId="0" borderId="1288" applyAlignment="1" pivotButton="0" quotePrefix="0" xfId="0">
      <alignment horizontal="left"/>
    </xf>
    <xf numFmtId="0" fontId="5" fillId="0" borderId="1232" applyAlignment="1" pivotButton="0" quotePrefix="0" xfId="0">
      <alignment horizontal="center" vertical="center"/>
    </xf>
    <xf numFmtId="0" fontId="5" fillId="0" borderId="1161" pivotButton="0" quotePrefix="0" xfId="0"/>
    <xf numFmtId="0" fontId="5" fillId="0" borderId="1232" applyAlignment="1" pivotButton="0" quotePrefix="0" xfId="0">
      <alignment horizontal="center"/>
    </xf>
    <xf numFmtId="0" fontId="5" fillId="0" borderId="1354" applyAlignment="1" pivotButton="0" quotePrefix="0" xfId="0">
      <alignment horizontal="center"/>
    </xf>
    <xf numFmtId="1" fontId="3" fillId="5" borderId="1489" applyAlignment="1" pivotButton="0" quotePrefix="0" xfId="0">
      <alignment horizontal="left" vertical="center" wrapText="1"/>
    </xf>
    <xf numFmtId="1" fontId="3" fillId="5" borderId="1502" applyAlignment="1" pivotButton="0" quotePrefix="0" xfId="0">
      <alignment horizontal="left" vertical="center" wrapText="1"/>
    </xf>
    <xf numFmtId="1" fontId="3" fillId="0" borderId="1085" applyAlignment="1" pivotButton="0" quotePrefix="0" xfId="0">
      <alignment horizontal="left"/>
    </xf>
    <xf numFmtId="1" fontId="3" fillId="0" borderId="1085" applyAlignment="1" pivotButton="0" quotePrefix="1" xfId="0">
      <alignment horizontal="left"/>
    </xf>
    <xf numFmtId="1" fontId="3" fillId="0" borderId="1444" applyAlignment="1" applyProtection="1" pivotButton="0" quotePrefix="0" xfId="0">
      <alignment horizontal="center" vertical="center" wrapText="1"/>
      <protection locked="1" hidden="1"/>
    </xf>
    <xf numFmtId="0" fontId="0" fillId="0" borderId="1445" applyProtection="1" pivotButton="0" quotePrefix="0" xfId="0">
      <protection locked="1" hidden="1"/>
    </xf>
    <xf numFmtId="165" fontId="3" fillId="0" borderId="1232" applyAlignment="1" pivotButton="0" quotePrefix="0" xfId="18">
      <alignment horizontal="center" vertical="center"/>
    </xf>
    <xf numFmtId="165" fontId="3" fillId="0" borderId="1617" applyAlignment="1" pivotButton="0" quotePrefix="0" xfId="18">
      <alignment horizontal="center" vertical="center"/>
    </xf>
    <xf numFmtId="165" fontId="3" fillId="0" borderId="1488" applyAlignment="1" pivotButton="0" quotePrefix="0" xfId="17">
      <alignment horizontal="center" vertical="center"/>
    </xf>
    <xf numFmtId="165" fontId="3" fillId="0" borderId="1524" applyAlignment="1" pivotButton="0" quotePrefix="0" xfId="18">
      <alignment horizontal="center" vertical="center" wrapText="1"/>
    </xf>
    <xf numFmtId="165" fontId="3" fillId="0" borderId="1018" applyAlignment="1" pivotButton="0" quotePrefix="0" xfId="18">
      <alignment horizontal="center" vertical="center" wrapText="1"/>
    </xf>
    <xf numFmtId="165" fontId="3" fillId="0" borderId="1017" applyAlignment="1" pivotButton="0" quotePrefix="0" xfId="18">
      <alignment horizontal="center" vertical="center"/>
    </xf>
    <xf numFmtId="164" fontId="3" fillId="5" borderId="554" applyAlignment="1" pivotButton="0" quotePrefix="0" xfId="18">
      <alignment horizontal="right"/>
    </xf>
    <xf numFmtId="165" fontId="3" fillId="0" borderId="1013" applyAlignment="1" pivotButton="0" quotePrefix="0" xfId="18">
      <alignment horizontal="center" vertical="center" wrapText="1"/>
    </xf>
    <xf numFmtId="164" fontId="3" fillId="0" borderId="1021" applyAlignment="1" pivotButton="0" quotePrefix="0" xfId="19">
      <alignment horizontal="right"/>
    </xf>
    <xf numFmtId="164" fontId="3" fillId="0" borderId="1018" applyAlignment="1" pivotButton="0" quotePrefix="0" xfId="19">
      <alignment horizontal="right"/>
    </xf>
    <xf numFmtId="164" fontId="3" fillId="0" borderId="1019" applyAlignment="1" pivotButton="0" quotePrefix="0" xfId="19">
      <alignment horizontal="right"/>
    </xf>
    <xf numFmtId="164" fontId="3" fillId="0" borderId="1034" applyAlignment="1" pivotButton="0" quotePrefix="0" xfId="19">
      <alignment horizontal="right"/>
    </xf>
    <xf numFmtId="164" fontId="3" fillId="0" borderId="1017" applyAlignment="1" pivotButton="0" quotePrefix="0" xfId="19">
      <alignment horizontal="right"/>
    </xf>
    <xf numFmtId="1" fontId="3" fillId="0" borderId="1457" applyAlignment="1" pivotButton="0" quotePrefix="0" xfId="0">
      <alignment horizontal="center" vertical="center"/>
    </xf>
    <xf numFmtId="1" fontId="3" fillId="0" borderId="1470" applyAlignment="1" pivotButton="0" quotePrefix="0" xfId="0">
      <alignment horizontal="center" vertical="center" wrapText="1"/>
    </xf>
    <xf numFmtId="1" fontId="3" fillId="0" borderId="1385" applyAlignment="1" pivotButton="0" quotePrefix="0" xfId="0">
      <alignment horizontal="left" wrapText="1"/>
    </xf>
    <xf numFmtId="1" fontId="3" fillId="0" borderId="1537" applyAlignment="1" pivotButton="0" quotePrefix="0" xfId="0">
      <alignment horizontal="left" vertical="center"/>
    </xf>
    <xf numFmtId="1" fontId="3" fillId="0" borderId="1066" applyAlignment="1" pivotButton="0" quotePrefix="0" xfId="0">
      <alignment horizontal="left" vertical="center"/>
    </xf>
    <xf numFmtId="1" fontId="3" fillId="0" borderId="1459" applyAlignment="1" pivotButton="0" quotePrefix="0" xfId="0">
      <alignment horizontal="left" vertical="center" wrapText="1"/>
    </xf>
    <xf numFmtId="1" fontId="3" fillId="0" borderId="1459" applyAlignment="1" pivotButton="0" quotePrefix="0" xfId="0">
      <alignment horizontal="left" vertical="center"/>
    </xf>
    <xf numFmtId="1" fontId="3" fillId="0" borderId="1354" applyAlignment="1" pivotButton="0" quotePrefix="0" xfId="0">
      <alignment horizontal="left" vertical="center"/>
    </xf>
    <xf numFmtId="1" fontId="3" fillId="0" borderId="1615" applyAlignment="1" pivotButton="0" quotePrefix="0" xfId="0">
      <alignment horizontal="left" vertical="center" wrapText="1"/>
    </xf>
    <xf numFmtId="1" fontId="3" fillId="3" borderId="1537" applyAlignment="1" pivotButton="0" quotePrefix="0" xfId="0">
      <alignment horizontal="left" wrapText="1"/>
    </xf>
    <xf numFmtId="1" fontId="3" fillId="3" borderId="849" applyAlignment="1" pivotButton="0" quotePrefix="0" xfId="0">
      <alignment horizontal="left" wrapText="1"/>
    </xf>
    <xf numFmtId="1" fontId="3" fillId="3" borderId="1402" applyAlignment="1" pivotButton="0" quotePrefix="0" xfId="0">
      <alignment horizontal="center" vertical="center" wrapText="1"/>
    </xf>
    <xf numFmtId="1" fontId="3" fillId="3" borderId="1437" applyAlignment="1" pivotButton="0" quotePrefix="0" xfId="0">
      <alignment horizontal="center" vertical="center" wrapText="1"/>
    </xf>
    <xf numFmtId="1" fontId="3" fillId="3" borderId="1361" applyAlignment="1" pivotButton="0" quotePrefix="0" xfId="0">
      <alignment horizontal="left" wrapText="1"/>
    </xf>
    <xf numFmtId="1" fontId="3" fillId="3" borderId="1161" applyAlignment="1" pivotButton="0" quotePrefix="0" xfId="0">
      <alignment horizontal="center" vertical="center" wrapText="1"/>
    </xf>
    <xf numFmtId="1" fontId="3" fillId="0" borderId="1354" applyAlignment="1" pivotButton="0" quotePrefix="0" xfId="0">
      <alignment horizontal="center" wrapText="1"/>
    </xf>
    <xf numFmtId="1" fontId="3" fillId="0" borderId="1621" applyAlignment="1" pivotButton="0" quotePrefix="0" xfId="0">
      <alignment horizontal="center" vertical="center" wrapText="1"/>
    </xf>
    <xf numFmtId="1" fontId="3" fillId="3" borderId="1361" applyAlignment="1" pivotButton="0" quotePrefix="0" xfId="0">
      <alignment horizontal="left"/>
    </xf>
    <xf numFmtId="1" fontId="3" fillId="3" borderId="1502" applyAlignment="1" pivotButton="0" quotePrefix="0" xfId="0">
      <alignment horizontal="left"/>
    </xf>
    <xf numFmtId="1" fontId="3" fillId="0" borderId="1561" applyAlignment="1" pivotButton="0" quotePrefix="0" xfId="0">
      <alignment horizontal="center" vertical="center"/>
    </xf>
    <xf numFmtId="0" fontId="3" fillId="0" borderId="1602" applyAlignment="1" pivotButton="0" quotePrefix="0" xfId="0">
      <alignment horizontal="center" vertical="center"/>
    </xf>
    <xf numFmtId="1" fontId="3" fillId="0" borderId="28" applyAlignment="1" pivotButton="0" quotePrefix="0" xfId="2">
      <alignment horizontal="center" vertical="center"/>
    </xf>
    <xf numFmtId="1" fontId="3" fillId="0" borderId="26" applyAlignment="1" pivotButton="0" quotePrefix="0" xfId="2">
      <alignment horizontal="center" vertical="center" wrapText="1"/>
    </xf>
    <xf numFmtId="1" fontId="3" fillId="0" borderId="1448" applyAlignment="1" pivotButton="0" quotePrefix="0" xfId="2">
      <alignment horizontal="center" vertical="center"/>
    </xf>
    <xf numFmtId="1" fontId="3" fillId="0" borderId="1580" applyAlignment="1" pivotButton="0" quotePrefix="0" xfId="2">
      <alignment horizontal="left" vertical="center" wrapText="1"/>
    </xf>
    <xf numFmtId="1" fontId="3" fillId="0" borderId="1524" applyAlignment="1" pivotButton="0" quotePrefix="0" xfId="2">
      <alignment horizontal="left" vertical="center" wrapText="1"/>
    </xf>
    <xf numFmtId="1" fontId="3" fillId="0" borderId="1250" applyAlignment="1" pivotButton="0" quotePrefix="0" xfId="0">
      <alignment horizontal="center" wrapText="1"/>
    </xf>
    <xf numFmtId="0" fontId="0" fillId="0" borderId="1297" pivotButton="0" quotePrefix="0" xfId="0"/>
    <xf numFmtId="1" fontId="3" fillId="0" borderId="1618" applyAlignment="1" pivotButton="0" quotePrefix="0" xfId="0">
      <alignment horizontal="left" vertical="center" wrapText="1"/>
    </xf>
    <xf numFmtId="0" fontId="0" fillId="0" borderId="105" pivotButton="0" quotePrefix="0" xfId="0"/>
    <xf numFmtId="0" fontId="0" fillId="0" borderId="1146" pivotButton="0" quotePrefix="0" xfId="0"/>
    <xf numFmtId="1" fontId="3" fillId="0" borderId="1539" applyAlignment="1" pivotButton="0" quotePrefix="0" xfId="0">
      <alignment horizontal="center" vertical="center"/>
    </xf>
    <xf numFmtId="1" fontId="3" fillId="0" borderId="1453" applyAlignment="1" pivotButton="0" quotePrefix="0" xfId="0">
      <alignment horizontal="center" vertical="center" wrapText="1"/>
    </xf>
    <xf numFmtId="1" fontId="3" fillId="0" borderId="526" applyAlignment="1" pivotButton="0" quotePrefix="0" xfId="0">
      <alignment horizontal="center" vertical="center"/>
    </xf>
    <xf numFmtId="1" fontId="3" fillId="0" borderId="1562" applyAlignment="1" pivotButton="0" quotePrefix="0" xfId="0">
      <alignment horizontal="center" vertical="center" wrapText="1"/>
    </xf>
    <xf numFmtId="1" fontId="3" fillId="0" borderId="1486" applyAlignment="1" pivotButton="0" quotePrefix="0" xfId="0">
      <alignment horizontal="center" vertical="center" wrapText="1"/>
    </xf>
    <xf numFmtId="1" fontId="3" fillId="5" borderId="526" applyAlignment="1" pivotButton="0" quotePrefix="0" xfId="0">
      <alignment horizontal="center" vertical="center" wrapText="1"/>
    </xf>
    <xf numFmtId="1" fontId="3" fillId="5" borderId="1354" applyAlignment="1" pivotButton="0" quotePrefix="0" xfId="0">
      <alignment horizontal="center" vertical="center"/>
    </xf>
    <xf numFmtId="1" fontId="3" fillId="3" borderId="1444" applyAlignment="1" pivotButton="0" quotePrefix="0" xfId="0">
      <alignment horizontal="center" vertical="center"/>
    </xf>
    <xf numFmtId="1" fontId="3" fillId="5" borderId="1470" applyAlignment="1" pivotButton="0" quotePrefix="0" xfId="0">
      <alignment horizontal="center" vertical="center"/>
    </xf>
    <xf numFmtId="1" fontId="3" fillId="5" borderId="526" applyAlignment="1" pivotButton="0" quotePrefix="0" xfId="0">
      <alignment horizontal="center" vertical="center"/>
    </xf>
    <xf numFmtId="1" fontId="3" fillId="0" borderId="1622" applyAlignment="1" pivotButton="0" quotePrefix="0" xfId="0">
      <alignment horizontal="center" vertical="center"/>
    </xf>
    <xf numFmtId="1" fontId="3" fillId="3" borderId="526" applyAlignment="1" pivotButton="0" quotePrefix="0" xfId="0">
      <alignment horizontal="center" vertical="center" wrapText="1"/>
    </xf>
    <xf numFmtId="1" fontId="3" fillId="0" borderId="1232" applyAlignment="1" pivotButton="0" quotePrefix="1" xfId="0">
      <alignment horizontal="center" vertical="center" wrapText="1"/>
    </xf>
    <xf numFmtId="1" fontId="3" fillId="0" borderId="1425" applyAlignment="1" pivotButton="0" quotePrefix="0" xfId="0">
      <alignment horizontal="center" vertical="center"/>
    </xf>
    <xf numFmtId="0" fontId="0" fillId="0" borderId="1148" pivotButton="0" quotePrefix="0" xfId="0"/>
    <xf numFmtId="1" fontId="3" fillId="5" borderId="1444" applyAlignment="1" pivotButton="0" quotePrefix="0" xfId="0">
      <alignment horizontal="center" vertical="center"/>
    </xf>
    <xf numFmtId="1" fontId="3" fillId="5" borderId="1448" applyAlignment="1" pivotButton="0" quotePrefix="0" xfId="0">
      <alignment horizontal="center" vertical="center"/>
    </xf>
    <xf numFmtId="0" fontId="3" fillId="5" borderId="1241" applyAlignment="1" pivotButton="0" quotePrefix="0" xfId="0">
      <alignment horizontal="center" wrapText="1"/>
    </xf>
    <xf numFmtId="1" fontId="3" fillId="5" borderId="1470" applyAlignment="1" pivotButton="0" quotePrefix="0" xfId="0">
      <alignment horizontal="center" vertical="center" wrapText="1"/>
    </xf>
    <xf numFmtId="0" fontId="3" fillId="5" borderId="1408" applyAlignment="1" pivotButton="0" quotePrefix="0" xfId="0">
      <alignment horizontal="center" wrapText="1"/>
    </xf>
    <xf numFmtId="1" fontId="3" fillId="0" borderId="1457" applyAlignment="1" pivotButton="0" quotePrefix="0" xfId="0">
      <alignment horizontal="center" vertical="center" wrapText="1"/>
    </xf>
    <xf numFmtId="1" fontId="3" fillId="0" borderId="1367" applyAlignment="1" pivotButton="0" quotePrefix="0" xfId="0">
      <alignment horizontal="left" vertical="center"/>
    </xf>
    <xf numFmtId="165" fontId="3" fillId="0" borderId="849" applyAlignment="1" pivotButton="0" quotePrefix="0" xfId="25">
      <alignment horizontal="center" vertical="center" wrapText="1"/>
    </xf>
    <xf numFmtId="0" fontId="0" fillId="0" borderId="554" pivotButton="0" quotePrefix="0" xfId="0"/>
    <xf numFmtId="0" fontId="3" fillId="0" borderId="1425" applyAlignment="1" pivotButton="0" quotePrefix="0" xfId="0">
      <alignment horizontal="center"/>
    </xf>
    <xf numFmtId="0" fontId="3" fillId="0" borderId="1425" applyAlignment="1" pivotButton="0" quotePrefix="0" xfId="0">
      <alignment horizontal="center" vertical="center"/>
    </xf>
    <xf numFmtId="1" fontId="3" fillId="0" borderId="526" applyAlignment="1" pivotButton="0" quotePrefix="0" xfId="0">
      <alignment horizontal="center" vertical="center" wrapText="1"/>
    </xf>
    <xf numFmtId="1" fontId="3" fillId="0" borderId="1623" applyAlignment="1" pivotButton="0" quotePrefix="0" xfId="0">
      <alignment horizontal="center" vertical="center" wrapText="1"/>
    </xf>
    <xf numFmtId="1" fontId="3" fillId="0" borderId="1294" applyAlignment="1" pivotButton="0" quotePrefix="0" xfId="0">
      <alignment horizontal="center" vertical="center" wrapText="1"/>
    </xf>
    <xf numFmtId="1" fontId="3" fillId="0" borderId="1354" applyAlignment="1" pivotButton="0" quotePrefix="0" xfId="34">
      <alignment horizontal="center" vertical="center" wrapText="1"/>
    </xf>
    <xf numFmtId="1" fontId="3" fillId="0" borderId="1508" applyAlignment="1" pivotButton="0" quotePrefix="0" xfId="0">
      <alignment horizontal="center" vertical="center"/>
    </xf>
    <xf numFmtId="1" fontId="3" fillId="0" borderId="1480" applyAlignment="1" pivotButton="0" quotePrefix="0" xfId="0">
      <alignment horizontal="center" vertical="center"/>
    </xf>
    <xf numFmtId="1" fontId="3" fillId="0" borderId="1624" applyAlignment="1" pivotButton="0" quotePrefix="0" xfId="0">
      <alignment horizontal="center" vertical="center"/>
    </xf>
    <xf numFmtId="1" fontId="3" fillId="3" borderId="1425" applyAlignment="1" pivotButton="0" quotePrefix="0" xfId="0">
      <alignment horizontal="center" wrapText="1"/>
    </xf>
    <xf numFmtId="0" fontId="0" fillId="0" borderId="1626" pivotButton="0" quotePrefix="0" xfId="0"/>
    <xf numFmtId="0" fontId="0" fillId="0" borderId="1606" pivotButton="0" quotePrefix="0" xfId="0"/>
    <xf numFmtId="1" fontId="3" fillId="0" borderId="1446" applyAlignment="1" pivotButton="0" quotePrefix="0" xfId="34">
      <alignment horizontal="center" vertical="center" wrapText="1"/>
    </xf>
    <xf numFmtId="1" fontId="3" fillId="0" borderId="1497" applyAlignment="1" pivotButton="0" quotePrefix="0" xfId="0">
      <alignment horizontal="center" vertical="center" wrapText="1"/>
    </xf>
    <xf numFmtId="1" fontId="2" fillId="3" borderId="1437" applyAlignment="1" pivotButton="0" quotePrefix="0" xfId="0">
      <alignment horizontal="left"/>
    </xf>
    <xf numFmtId="1" fontId="6" fillId="0" borderId="1354" applyAlignment="1" pivotButton="0" quotePrefix="0" xfId="34">
      <alignment horizontal="center" vertical="center" wrapText="1"/>
    </xf>
    <xf numFmtId="0" fontId="2" fillId="0" borderId="1393" applyAlignment="1" pivotButton="0" quotePrefix="0" xfId="0">
      <alignment horizontal="left"/>
    </xf>
    <xf numFmtId="0" fontId="3" fillId="0" borderId="1488" applyAlignment="1" pivotButton="0" quotePrefix="0" xfId="0">
      <alignment horizontal="center" vertical="center" wrapText="1"/>
    </xf>
    <xf numFmtId="0" fontId="3" fillId="0" borderId="1185" applyAlignment="1" pivotButton="0" quotePrefix="0" xfId="0">
      <alignment horizontal="center" vertical="center" wrapText="1"/>
    </xf>
    <xf numFmtId="0" fontId="3" fillId="5" borderId="1480" applyAlignment="1" pivotButton="0" quotePrefix="0" xfId="0">
      <alignment horizontal="center" vertical="center" wrapText="1"/>
    </xf>
    <xf numFmtId="0" fontId="3" fillId="5" borderId="1326" applyAlignment="1" pivotButton="0" quotePrefix="0" xfId="0">
      <alignment horizontal="center" vertical="center" wrapText="1"/>
    </xf>
    <xf numFmtId="0" fontId="3" fillId="5" borderId="1536" applyAlignment="1" pivotButton="0" quotePrefix="0" xfId="0">
      <alignment horizontal="center" vertical="center" wrapText="1"/>
    </xf>
    <xf numFmtId="0" fontId="3" fillId="5" borderId="1354" applyAlignment="1" pivotButton="0" quotePrefix="0" xfId="0">
      <alignment horizontal="center" vertical="center" wrapText="1"/>
    </xf>
    <xf numFmtId="0" fontId="3" fillId="5" borderId="1398" applyAlignment="1" pivotButton="0" quotePrefix="0" xfId="0">
      <alignment horizontal="center" vertical="center" wrapText="1"/>
    </xf>
    <xf numFmtId="0" fontId="3" fillId="5" borderId="1446" applyAlignment="1" pivotButton="0" quotePrefix="0" xfId="0">
      <alignment horizontal="center" vertical="center" wrapText="1"/>
    </xf>
    <xf numFmtId="0" fontId="3" fillId="0" borderId="1185" applyAlignment="1" pivotButton="0" quotePrefix="0" xfId="0">
      <alignment horizontal="center" vertical="center"/>
    </xf>
    <xf numFmtId="0" fontId="3" fillId="0" borderId="1446" applyAlignment="1" pivotButton="0" quotePrefix="0" xfId="0">
      <alignment horizontal="left" vertical="center"/>
    </xf>
    <xf numFmtId="0" fontId="2" fillId="0" borderId="1398" applyAlignment="1" pivotButton="0" quotePrefix="0" xfId="0">
      <alignment horizontal="left"/>
    </xf>
    <xf numFmtId="0" fontId="3" fillId="0" borderId="1508" applyAlignment="1" pivotButton="0" quotePrefix="0" xfId="0">
      <alignment horizontal="center" vertical="center" wrapText="1"/>
    </xf>
    <xf numFmtId="0" fontId="3" fillId="0" borderId="1326" applyAlignment="1" pivotButton="0" quotePrefix="0" xfId="0">
      <alignment horizontal="center" vertical="center" wrapText="1"/>
    </xf>
    <xf numFmtId="0" fontId="3" fillId="0" borderId="1485" applyAlignment="1" pivotButton="0" quotePrefix="0" xfId="0">
      <alignment horizontal="center" vertical="center" wrapText="1"/>
    </xf>
    <xf numFmtId="0" fontId="3" fillId="0" borderId="1471" applyAlignment="1" pivotButton="0" quotePrefix="0" xfId="0">
      <alignment horizontal="center" vertical="center" wrapText="1"/>
    </xf>
    <xf numFmtId="0" fontId="3" fillId="0" borderId="1461" applyAlignment="1" pivotButton="0" quotePrefix="0" xfId="0">
      <alignment horizontal="center" vertical="center" wrapText="1"/>
    </xf>
    <xf numFmtId="0" fontId="2" fillId="0" borderId="1403" applyAlignment="1" pivotButton="0" quotePrefix="0" xfId="20">
      <alignment horizontal="left" vertical="center" wrapText="1"/>
    </xf>
    <xf numFmtId="165" fontId="3" fillId="0" borderId="1354" applyAlignment="1" pivotButton="0" quotePrefix="0" xfId="18">
      <alignment horizontal="center" vertical="center"/>
    </xf>
    <xf numFmtId="165" fontId="3" fillId="0" borderId="1385" applyAlignment="1" pivotButton="0" quotePrefix="0" xfId="18">
      <alignment horizontal="center" vertical="center" wrapText="1"/>
    </xf>
    <xf numFmtId="165" fontId="3" fillId="0" borderId="1448" applyAlignment="1" pivotButton="0" quotePrefix="0" xfId="17">
      <alignment horizontal="center" vertical="center"/>
    </xf>
    <xf numFmtId="165" fontId="3" fillId="0" borderId="1267" applyAlignment="1" pivotButton="0" quotePrefix="0" xfId="18">
      <alignment horizontal="center" vertical="center" wrapText="1"/>
    </xf>
    <xf numFmtId="165" fontId="3" fillId="0" borderId="1268" applyAlignment="1" pivotButton="0" quotePrefix="0" xfId="18">
      <alignment horizontal="center" vertical="center"/>
    </xf>
    <xf numFmtId="164" fontId="3" fillId="5" borderId="554" applyAlignment="1" pivotButton="0" quotePrefix="0" xfId="18">
      <alignment horizontal="right" vertical="center"/>
    </xf>
    <xf numFmtId="165" fontId="3" fillId="0" borderId="1234" applyAlignment="1" pivotButton="0" quotePrefix="0" xfId="18">
      <alignment horizontal="center" vertical="center"/>
    </xf>
    <xf numFmtId="164" fontId="3" fillId="0" borderId="1232" applyAlignment="1" pivotButton="0" quotePrefix="0" xfId="18">
      <alignment horizontal="right" vertical="center"/>
    </xf>
    <xf numFmtId="164" fontId="3" fillId="0" borderId="1250" applyAlignment="1" pivotButton="0" quotePrefix="0" xfId="18">
      <alignment horizontal="right" vertical="center"/>
    </xf>
    <xf numFmtId="164" fontId="3" fillId="0" borderId="1248" applyAlignment="1" pivotButton="0" quotePrefix="0" xfId="18">
      <alignment horizontal="right" vertical="center"/>
    </xf>
    <xf numFmtId="164" fontId="3" fillId="0" borderId="1236" applyAlignment="1" pivotButton="0" quotePrefix="0" xfId="18">
      <alignment horizontal="right" vertical="center"/>
    </xf>
    <xf numFmtId="164" fontId="3" fillId="0" borderId="1249" applyAlignment="1" pivotButton="0" quotePrefix="0" xfId="18">
      <alignment horizontal="right" vertical="center"/>
    </xf>
    <xf numFmtId="164" fontId="3" fillId="0" borderId="1267" applyAlignment="1" pivotButton="0" quotePrefix="0" xfId="18">
      <alignment horizontal="right" vertical="center"/>
    </xf>
    <xf numFmtId="164" fontId="3" fillId="0" borderId="1268" applyAlignment="1" pivotButton="0" quotePrefix="0" xfId="18">
      <alignment horizontal="right" vertical="center"/>
    </xf>
    <xf numFmtId="164" fontId="3" fillId="0" borderId="1393" applyAlignment="1" pivotButton="0" quotePrefix="0" xfId="18">
      <alignment horizontal="right" vertical="center"/>
    </xf>
    <xf numFmtId="164" fontId="3" fillId="0" borderId="1392" applyAlignment="1" pivotButton="0" quotePrefix="0" xfId="18">
      <alignment horizontal="right" vertical="center"/>
    </xf>
    <xf numFmtId="164" fontId="3" fillId="0" borderId="1428" applyAlignment="1" pivotButton="0" quotePrefix="0" xfId="18">
      <alignment horizontal="right" vertical="center"/>
    </xf>
    <xf numFmtId="164" fontId="3" fillId="0" borderId="1424" applyAlignment="1" pivotButton="0" quotePrefix="0" xfId="18">
      <alignment horizontal="right" vertical="center"/>
    </xf>
    <xf numFmtId="164" fontId="3" fillId="0" borderId="1425" applyAlignment="1" pivotButton="0" quotePrefix="0" xfId="18">
      <alignment horizontal="right" vertical="center"/>
    </xf>
    <xf numFmtId="0" fontId="2" fillId="0" borderId="1437" applyAlignment="1" pivotButton="0" quotePrefix="0" xfId="20">
      <alignment horizontal="left" vertical="center" wrapText="1"/>
    </xf>
    <xf numFmtId="165" fontId="3" fillId="5" borderId="1232" applyAlignment="1" pivotButton="0" quotePrefix="0" xfId="18">
      <alignment horizontal="center" vertical="center"/>
    </xf>
    <xf numFmtId="165" fontId="3" fillId="0" borderId="1354" applyAlignment="1" pivotButton="0" quotePrefix="0" xfId="18">
      <alignment horizontal="center" vertical="center" wrapText="1"/>
    </xf>
    <xf numFmtId="1" fontId="3" fillId="0" borderId="1627" applyAlignment="1" pivotButton="0" quotePrefix="0" xfId="0">
      <alignment horizontal="center" vertical="center" wrapText="1"/>
    </xf>
    <xf numFmtId="165" fontId="3" fillId="0" borderId="1250" applyAlignment="1" pivotButton="0" quotePrefix="0" xfId="18">
      <alignment horizontal="center" vertical="center" wrapText="1"/>
    </xf>
    <xf numFmtId="165" fontId="3" fillId="0" borderId="1243" applyAlignment="1" pivotButton="0" quotePrefix="0" xfId="18">
      <alignment horizontal="center" vertical="center"/>
    </xf>
    <xf numFmtId="0" fontId="0" fillId="0" borderId="296" pivotButton="0" quotePrefix="0" xfId="0"/>
    <xf numFmtId="165" fontId="3" fillId="0" borderId="1250" applyAlignment="1" pivotButton="0" quotePrefix="0" xfId="18">
      <alignment horizontal="center" vertical="center"/>
    </xf>
    <xf numFmtId="165" fontId="3" fillId="0" borderId="1233" applyAlignment="1" pivotButton="0" quotePrefix="0" xfId="18">
      <alignment horizontal="center" vertical="center" wrapText="1"/>
    </xf>
    <xf numFmtId="164" fontId="3" fillId="5" borderId="1161" applyAlignment="1" pivotButton="0" quotePrefix="0" xfId="18">
      <alignment vertical="center"/>
    </xf>
    <xf numFmtId="164" fontId="3" fillId="5" borderId="849" applyAlignment="1" pivotButton="0" quotePrefix="0" xfId="18">
      <alignment horizontal="right" vertical="center"/>
    </xf>
    <xf numFmtId="0" fontId="2" fillId="0" borderId="1415" applyAlignment="1" pivotButton="0" quotePrefix="0" xfId="20">
      <alignment horizontal="left" vertical="center" wrapText="1"/>
    </xf>
    <xf numFmtId="0" fontId="2" fillId="0" borderId="1393" applyAlignment="1" pivotButton="0" quotePrefix="0" xfId="20">
      <alignment horizontal="left" vertical="center" wrapText="1"/>
    </xf>
    <xf numFmtId="165" fontId="3" fillId="0" borderId="1460" applyAlignment="1" pivotButton="0" quotePrefix="0" xfId="18">
      <alignment horizontal="center" vertical="center"/>
    </xf>
    <xf numFmtId="1" fontId="3" fillId="0" borderId="1461" applyAlignment="1" pivotButton="0" quotePrefix="0" xfId="0">
      <alignment horizontal="center" vertical="center" wrapText="1"/>
    </xf>
    <xf numFmtId="165" fontId="3" fillId="0" borderId="1425" applyAlignment="1" pivotButton="0" quotePrefix="0" xfId="17">
      <alignment horizontal="center" vertical="center"/>
    </xf>
    <xf numFmtId="165" fontId="3" fillId="0" borderId="1233" applyAlignment="1" pivotButton="0" quotePrefix="0" xfId="18">
      <alignment horizontal="center" vertical="center"/>
    </xf>
    <xf numFmtId="165" fontId="3" fillId="0" borderId="1234" applyAlignment="1" pivotButton="0" quotePrefix="0" xfId="18">
      <alignment horizontal="center" vertical="center" wrapText="1"/>
    </xf>
    <xf numFmtId="164" fontId="3" fillId="0" borderId="1232" applyAlignment="1" pivotButton="0" quotePrefix="0" xfId="19">
      <alignment horizontal="right" vertical="center"/>
    </xf>
    <xf numFmtId="164" fontId="3" fillId="0" borderId="1250" applyAlignment="1" pivotButton="0" quotePrefix="0" xfId="19">
      <alignment horizontal="right" vertical="center"/>
    </xf>
    <xf numFmtId="164" fontId="3" fillId="0" borderId="1236" applyAlignment="1" pivotButton="0" quotePrefix="0" xfId="19">
      <alignment horizontal="right" vertical="center"/>
    </xf>
    <xf numFmtId="164" fontId="3" fillId="0" borderId="1248" applyAlignment="1" pivotButton="0" quotePrefix="0" xfId="19">
      <alignment horizontal="right" vertical="center"/>
    </xf>
    <xf numFmtId="164" fontId="3" fillId="0" borderId="1233" applyAlignment="1" pivotButton="0" quotePrefix="0" xfId="19">
      <alignment horizontal="right" vertical="center"/>
    </xf>
    <xf numFmtId="164" fontId="3" fillId="0" borderId="1243" applyAlignment="1" pivotButton="0" quotePrefix="0" xfId="19">
      <alignment horizontal="right" vertical="center"/>
    </xf>
    <xf numFmtId="164" fontId="3" fillId="0" borderId="1276" applyAlignment="1" pivotButton="0" quotePrefix="0" xfId="19">
      <alignment horizontal="right" vertical="center"/>
    </xf>
    <xf numFmtId="164" fontId="3" fillId="0" borderId="1277" applyAlignment="1" pivotButton="0" quotePrefix="0" xfId="19">
      <alignment horizontal="right" vertical="center"/>
    </xf>
    <xf numFmtId="164" fontId="3" fillId="0" borderId="1278" applyAlignment="1" pivotButton="0" quotePrefix="0" xfId="19">
      <alignment horizontal="right" vertical="center"/>
    </xf>
    <xf numFmtId="164" fontId="3" fillId="0" borderId="1428" applyAlignment="1" pivotButton="0" quotePrefix="0" xfId="19">
      <alignment horizontal="right" vertical="center"/>
    </xf>
    <xf numFmtId="164" fontId="3" fillId="0" borderId="1424" applyAlignment="1" pivotButton="0" quotePrefix="0" xfId="19">
      <alignment horizontal="right" vertical="center"/>
    </xf>
    <xf numFmtId="0" fontId="2" fillId="0" borderId="1398" applyAlignment="1" pivotButton="0" quotePrefix="0" xfId="20">
      <alignment horizontal="left" vertical="center" wrapText="1"/>
    </xf>
    <xf numFmtId="165" fontId="3" fillId="0" borderId="1235" applyAlignment="1" pivotButton="0" quotePrefix="0" xfId="18">
      <alignment horizontal="center" vertical="center" wrapText="1"/>
    </xf>
    <xf numFmtId="165" fontId="3" fillId="0" borderId="1239" applyAlignment="1" pivotButton="0" quotePrefix="0" xfId="18">
      <alignment horizontal="center" vertical="center" wrapText="1"/>
    </xf>
    <xf numFmtId="0" fontId="2" fillId="0" borderId="1415" applyAlignment="1" pivotButton="0" quotePrefix="0" xfId="22">
      <alignment horizontal="left" vertical="center"/>
    </xf>
    <xf numFmtId="0" fontId="3" fillId="0" borderId="1267" applyAlignment="1" pivotButton="0" quotePrefix="0" xfId="0">
      <alignment horizontal="center" vertical="center" wrapText="1"/>
    </xf>
    <xf numFmtId="0" fontId="3" fillId="0" borderId="1563" applyAlignment="1" pivotButton="0" quotePrefix="0" xfId="0">
      <alignment horizontal="center" vertical="center" wrapText="1"/>
    </xf>
    <xf numFmtId="165" fontId="3" fillId="0" borderId="1253" applyAlignment="1" pivotButton="0" quotePrefix="0" xfId="17">
      <alignment horizontal="center" vertical="center"/>
    </xf>
    <xf numFmtId="0" fontId="3" fillId="0" borderId="777" applyAlignment="1" pivotButton="0" quotePrefix="0" xfId="0">
      <alignment horizontal="center" vertical="center" wrapText="1"/>
    </xf>
    <xf numFmtId="0" fontId="0" fillId="0" borderId="849" applyProtection="1" pivotButton="0" quotePrefix="0" xfId="0">
      <protection locked="1" hidden="1"/>
    </xf>
    <xf numFmtId="1" fontId="3" fillId="0" borderId="1326" applyAlignment="1" pivotButton="0" quotePrefix="0" xfId="0">
      <alignment horizontal="center" vertical="center" wrapText="1"/>
    </xf>
    <xf numFmtId="0" fontId="0" fillId="0" borderId="1629" pivotButton="0" quotePrefix="0" xfId="0"/>
    <xf numFmtId="0" fontId="3" fillId="0" borderId="1437" applyAlignment="1" pivotButton="0" quotePrefix="0" xfId="0">
      <alignment horizontal="center" vertical="center"/>
    </xf>
    <xf numFmtId="0" fontId="3" fillId="0" borderId="1446" applyAlignment="1" pivotButton="0" quotePrefix="0" xfId="0">
      <alignment horizontal="center" vertical="center"/>
    </xf>
    <xf numFmtId="1" fontId="3" fillId="5" borderId="1354" applyAlignment="1" applyProtection="1" pivotButton="0" quotePrefix="0" xfId="0">
      <alignment horizontal="center" vertical="center" wrapText="1"/>
      <protection locked="1" hidden="1"/>
    </xf>
    <xf numFmtId="0" fontId="3" fillId="0" borderId="1385" applyAlignment="1" pivotButton="0" quotePrefix="0" xfId="0">
      <alignment horizontal="center" vertical="center"/>
    </xf>
    <xf numFmtId="0" fontId="3" fillId="5" borderId="1232" applyAlignment="1" pivotButton="0" quotePrefix="0" xfId="0">
      <alignment horizontal="center" vertical="center" wrapText="1"/>
    </xf>
    <xf numFmtId="0" fontId="3" fillId="5" borderId="1185" applyAlignment="1" pivotButton="0" quotePrefix="0" xfId="0">
      <alignment horizontal="center" vertical="center" wrapText="1"/>
    </xf>
    <xf numFmtId="0" fontId="3" fillId="0" borderId="1457" applyAlignment="1" pivotButton="0" quotePrefix="0" xfId="0">
      <alignment horizontal="center" vertical="center" wrapText="1"/>
    </xf>
    <xf numFmtId="0" fontId="3" fillId="0" borderId="1627" applyAlignment="1" pivotButton="0" quotePrefix="0" xfId="0">
      <alignment horizontal="center" vertical="center" wrapText="1"/>
    </xf>
    <xf numFmtId="164" fontId="3" fillId="37" borderId="0" applyAlignment="1" pivotButton="0" quotePrefix="0" xfId="0">
      <alignment vertical="center"/>
    </xf>
    <xf numFmtId="1" fontId="4" fillId="0" borderId="29" applyAlignment="1" pivotButton="0" quotePrefix="0" xfId="0">
      <alignment horizontal="center" vertical="center" wrapText="1"/>
    </xf>
    <xf numFmtId="1" fontId="3" fillId="0" borderId="1632" applyAlignment="1" pivotButton="0" quotePrefix="0" xfId="0">
      <alignment horizontal="center" vertical="center"/>
    </xf>
    <xf numFmtId="0" fontId="0" fillId="0" borderId="900" pivotButton="0" quotePrefix="0" xfId="0"/>
    <xf numFmtId="1" fontId="3" fillId="0" borderId="1633" applyAlignment="1" pivotButton="0" quotePrefix="0" xfId="0">
      <alignment horizontal="center" vertical="center" wrapText="1"/>
    </xf>
    <xf numFmtId="0" fontId="3" fillId="0" borderId="1631" applyAlignment="1" pivotButton="0" quotePrefix="0" xfId="0">
      <alignment horizontal="center" vertical="center" wrapText="1"/>
    </xf>
    <xf numFmtId="0" fontId="7" fillId="0" borderId="1354" applyAlignment="1" pivotButton="0" quotePrefix="0" xfId="0">
      <alignment horizontal="center" vertical="center"/>
    </xf>
    <xf numFmtId="0" fontId="0" fillId="0" borderId="1222" pivotButton="0" quotePrefix="0" xfId="0"/>
    <xf numFmtId="1" fontId="3" fillId="0" borderId="1634" applyAlignment="1" pivotButton="0" quotePrefix="0" xfId="0">
      <alignment horizontal="center" vertical="center"/>
    </xf>
    <xf numFmtId="0" fontId="3" fillId="0" borderId="1460" applyAlignment="1" pivotButton="0" quotePrefix="0" xfId="0">
      <alignment horizontal="center" wrapText="1"/>
    </xf>
    <xf numFmtId="1" fontId="3" fillId="0" borderId="1524" applyAlignment="1" pivotButton="0" quotePrefix="0" xfId="0">
      <alignment horizontal="center" vertical="center" wrapText="1"/>
    </xf>
    <xf numFmtId="0" fontId="3" fillId="0" borderId="1630" applyAlignment="1" pivotButton="0" quotePrefix="0" xfId="0">
      <alignment horizontal="center" vertical="center"/>
    </xf>
    <xf numFmtId="0" fontId="3" fillId="0" borderId="1552" applyAlignment="1" pivotButton="0" quotePrefix="0" xfId="0">
      <alignment horizontal="center" vertical="center" wrapText="1"/>
    </xf>
    <xf numFmtId="0" fontId="3" fillId="0" borderId="26" applyAlignment="1" pivotButton="0" quotePrefix="0" xfId="0">
      <alignment horizontal="center" vertical="center"/>
    </xf>
    <xf numFmtId="0" fontId="3" fillId="0" borderId="26" applyAlignment="1" pivotButton="0" quotePrefix="0" xfId="0">
      <alignment horizontal="center" wrapText="1"/>
    </xf>
    <xf numFmtId="0" fontId="3" fillId="0" borderId="1475" applyAlignment="1" pivotButton="0" quotePrefix="0" xfId="0">
      <alignment horizontal="center" vertical="center"/>
    </xf>
    <xf numFmtId="0" fontId="3" fillId="5" borderId="1385" applyAlignment="1" pivotButton="0" quotePrefix="0" xfId="0">
      <alignment horizontal="center" vertical="center"/>
    </xf>
    <xf numFmtId="0" fontId="3" fillId="5" borderId="1402" applyAlignment="1" pivotButton="0" quotePrefix="0" xfId="0">
      <alignment horizontal="center" wrapText="1"/>
    </xf>
    <xf numFmtId="0" fontId="3" fillId="5" borderId="1448" applyAlignment="1" pivotButton="0" quotePrefix="0" xfId="0">
      <alignment horizontal="center" wrapText="1"/>
    </xf>
    <xf numFmtId="0" fontId="3" fillId="5" borderId="1232" applyAlignment="1" pivotButton="0" quotePrefix="0" xfId="0">
      <alignment horizontal="center" wrapText="1"/>
    </xf>
    <xf numFmtId="0" fontId="3" fillId="20" borderId="1385" applyAlignment="1" pivotButton="0" quotePrefix="0" xfId="0">
      <alignment vertical="center" wrapText="1"/>
    </xf>
    <xf numFmtId="1" fontId="3" fillId="3" borderId="1402" applyAlignment="1" pivotButton="0" quotePrefix="0" xfId="0">
      <alignment horizontal="center" vertical="center"/>
    </xf>
    <xf numFmtId="1" fontId="3" fillId="3" borderId="1448" applyAlignment="1" pivotButton="0" quotePrefix="0" xfId="0">
      <alignment horizontal="center"/>
    </xf>
    <xf numFmtId="0" fontId="3" fillId="0" borderId="1437" applyAlignment="1" pivotButton="0" quotePrefix="0" xfId="0">
      <alignment horizontal="center" wrapText="1"/>
    </xf>
    <xf numFmtId="0" fontId="3" fillId="0" borderId="1470" applyAlignment="1" pivotButton="0" quotePrefix="0" xfId="0">
      <alignment horizontal="center" wrapText="1"/>
    </xf>
    <xf numFmtId="0" fontId="3" fillId="20" borderId="1232" applyAlignment="1" pivotButton="0" quotePrefix="0" xfId="0">
      <alignment horizontal="center" vertical="center" wrapText="1"/>
    </xf>
    <xf numFmtId="0" fontId="3" fillId="5" borderId="1460" applyAlignment="1" pivotButton="0" quotePrefix="0" xfId="0">
      <alignment horizontal="center" vertical="center"/>
    </xf>
    <xf numFmtId="1" fontId="3" fillId="0" borderId="1402" applyAlignment="1" pivotButton="0" quotePrefix="0" xfId="0">
      <alignment horizontal="center" vertical="center"/>
    </xf>
    <xf numFmtId="1" fontId="3" fillId="3" borderId="1471" applyAlignment="1" pivotButton="0" quotePrefix="0" xfId="0">
      <alignment horizontal="center" vertical="center" wrapText="1"/>
    </xf>
    <xf numFmtId="0" fontId="3" fillId="0" borderId="1470" applyAlignment="1" pivotButton="0" quotePrefix="0" xfId="0">
      <alignment horizontal="center"/>
    </xf>
    <xf numFmtId="1" fontId="3" fillId="3" borderId="1385" applyAlignment="1" pivotButton="0" quotePrefix="0" xfId="0">
      <alignment horizontal="center" vertical="center" wrapText="1"/>
    </xf>
    <xf numFmtId="1" fontId="3" fillId="3" borderId="1408" applyAlignment="1" pivotButton="0" quotePrefix="0" xfId="0">
      <alignment horizontal="center" vertical="center" wrapText="1"/>
    </xf>
    <xf numFmtId="1" fontId="3" fillId="3" borderId="1415" applyAlignment="1" pivotButton="0" quotePrefix="0" xfId="0">
      <alignment horizontal="center" vertical="center"/>
    </xf>
    <xf numFmtId="1" fontId="3" fillId="3" borderId="1392" applyAlignment="1" pivotButton="0" quotePrefix="0" xfId="0">
      <alignment horizontal="center" vertical="center" wrapText="1"/>
    </xf>
    <xf numFmtId="0" fontId="2" fillId="5" borderId="1393" pivotButton="0" quotePrefix="0" xfId="0"/>
    <xf numFmtId="1" fontId="3" fillId="3" borderId="1639" applyAlignment="1" pivotButton="0" quotePrefix="0" xfId="0">
      <alignment horizontal="center" vertical="center" wrapText="1"/>
    </xf>
    <xf numFmtId="0" fontId="3" fillId="0" borderId="1640" applyAlignment="1" pivotButton="0" quotePrefix="0" xfId="0">
      <alignment horizontal="center"/>
    </xf>
    <xf numFmtId="0" fontId="0" fillId="0" borderId="1239" pivotButton="0" quotePrefix="0" xfId="0"/>
    <xf numFmtId="0" fontId="3" fillId="0" borderId="1470" applyAlignment="1" pivotButton="0" quotePrefix="0" xfId="0">
      <alignment horizontal="center" vertical="center" wrapText="1"/>
    </xf>
    <xf numFmtId="0" fontId="0" fillId="0" borderId="1638" pivotButton="0" quotePrefix="0" xfId="0"/>
    <xf numFmtId="0" fontId="0" fillId="0" borderId="1641" pivotButton="0" quotePrefix="0" xfId="0"/>
    <xf numFmtId="0" fontId="0" fillId="0" borderId="1642" pivotButton="0" quotePrefix="0" xfId="0"/>
    <xf numFmtId="0" fontId="2" fillId="0" borderId="1393" pivotButton="0" quotePrefix="0" xfId="0"/>
    <xf numFmtId="0" fontId="3" fillId="0" borderId="1635" applyAlignment="1" pivotButton="0" quotePrefix="0" xfId="0">
      <alignment horizontal="center" vertical="center" wrapText="1"/>
    </xf>
    <xf numFmtId="0" fontId="0" fillId="0" borderId="289" pivotButton="0" quotePrefix="0" xfId="0"/>
    <xf numFmtId="1" fontId="3" fillId="3" borderId="1450" applyAlignment="1" pivotButton="0" quotePrefix="0" xfId="0">
      <alignment horizontal="center" vertical="center" wrapText="1"/>
    </xf>
    <xf numFmtId="1" fontId="3" fillId="3" borderId="1637" applyAlignment="1" pivotButton="0" quotePrefix="0" xfId="0">
      <alignment horizontal="center" vertical="center" wrapText="1"/>
    </xf>
    <xf numFmtId="0" fontId="0" fillId="0" borderId="1636" pivotButton="0" quotePrefix="0" xfId="0"/>
    <xf numFmtId="0" fontId="15" fillId="0" borderId="1354" applyAlignment="1" applyProtection="1" pivotButton="0" quotePrefix="0" xfId="0">
      <alignment horizontal="center" vertical="center"/>
      <protection locked="1" hidden="1"/>
    </xf>
    <xf numFmtId="0" fontId="38" fillId="38" borderId="1354" applyAlignment="1" pivotButton="0" quotePrefix="0" xfId="0">
      <alignment horizontal="center" vertical="center" wrapText="1"/>
    </xf>
    <xf numFmtId="0" fontId="40" fillId="38" borderId="1460" applyAlignment="1" applyProtection="1" pivotButton="0" quotePrefix="0" xfId="0">
      <alignment horizontal="center" vertical="center" wrapText="1"/>
      <protection locked="1" hidden="1"/>
    </xf>
  </cellXfs>
  <cellStyles count="154">
    <cellStyle name="Normal" xfId="0" builtinId="0"/>
    <cellStyle name="Notas 3" xfId="1"/>
    <cellStyle name="Normal 2" xfId="2"/>
    <cellStyle name="Notas 2 2" xfId="3"/>
    <cellStyle name="Porcentaje" xfId="4" builtinId="5"/>
    <cellStyle name="Notas 2" xfId="5"/>
    <cellStyle name="Normal_REM 21-2002" xfId="6"/>
    <cellStyle name="Normal 6" xfId="7"/>
    <cellStyle name="Millares [0] 2 2" xfId="8"/>
    <cellStyle name="Buena" xfId="9" builtinId="26"/>
    <cellStyle name="Celda de comprobación" xfId="10" builtinId="23"/>
    <cellStyle name="Notas 2 2 2 2" xfId="11"/>
    <cellStyle name="Notas 2 2 2 2 19" xfId="12"/>
    <cellStyle name="Notas 2 2 2 2 21" xfId="13"/>
    <cellStyle name="Normal_REM 04-2002" xfId="14"/>
    <cellStyle name="Normal_REM 02-2002" xfId="15"/>
    <cellStyle name="Normal_REM 05-2002" xfId="16"/>
    <cellStyle name="Normal 2 2" xfId="17"/>
    <cellStyle name="Normal_RMC-MUNI" xfId="18"/>
    <cellStyle name="Millares 2 2" xfId="19"/>
    <cellStyle name="Normal 3" xfId="20"/>
    <cellStyle name="Notas 2 3" xfId="21"/>
    <cellStyle name="Normal_REM 09-2002" xfId="22"/>
    <cellStyle name="Notas 3 2" xfId="23"/>
    <cellStyle name="Notas 2 2 2 2 2" xfId="24"/>
    <cellStyle name="Millares [0] 2" xfId="25"/>
    <cellStyle name="Notas 2 2 2 2 19 2" xfId="26"/>
    <cellStyle name="Notas 2 2 2 2 21 2" xfId="27"/>
    <cellStyle name="Notas 2 4" xfId="28"/>
    <cellStyle name="Normal_REM 17-2002" xfId="29"/>
    <cellStyle name="Millares 10 3" xfId="30"/>
    <cellStyle name="Notas 2 2 2" xfId="31"/>
    <cellStyle name="Notas 2 3 2" xfId="32"/>
    <cellStyle name="20% - Énfasis1" xfId="33" builtinId="30"/>
    <cellStyle name="Normal_REM 18A-2002" xfId="34"/>
    <cellStyle name="Normal_nombre" xfId="35"/>
    <cellStyle name="Escribir 2 2" xfId="36"/>
    <cellStyle name="Escribir 2" xfId="37"/>
    <cellStyle name="Notas 2 2 2 3" xfId="38"/>
    <cellStyle name="Normal_REM 12-2002" xfId="39"/>
    <cellStyle name="Escribir 2 11" xfId="40"/>
    <cellStyle name="Notas 2 2 3" xfId="41"/>
    <cellStyle name="Notas 2 5" xfId="42"/>
    <cellStyle name="Notas 2 2 2 2 3" xfId="43"/>
    <cellStyle name="Notas 2 2 2 2 19 3" xfId="44"/>
    <cellStyle name="Notas 2 2 2 2 21 3" xfId="45"/>
    <cellStyle name="Notas 2 3 3" xfId="46"/>
    <cellStyle name="Notas 3 2 2" xfId="47"/>
    <cellStyle name="Notas 2 2 2 2 2 2" xfId="48"/>
    <cellStyle name="Notas 2 2 2 2 19 2 2" xfId="49"/>
    <cellStyle name="Notas 2 2 2 2 21 2 2" xfId="50"/>
    <cellStyle name="Notas 2 4 2" xfId="51"/>
    <cellStyle name="Notas 2 2 2 4" xfId="52"/>
    <cellStyle name="Notas 2 3 2 3" xfId="53"/>
    <cellStyle name="Escribir 2 2 2" xfId="54"/>
    <cellStyle name="Escribir 2 5" xfId="55"/>
    <cellStyle name="Notas 2 2 2 3 2" xfId="56"/>
    <cellStyle name="Escribir 2 3" xfId="57"/>
    <cellStyle name="Escribir 2 11 2" xfId="58"/>
    <cellStyle name="Escribir_P12" xfId="59"/>
    <cellStyle name="Escribir 2 6" xfId="60"/>
    <cellStyle name="Escribir 2 6 2" xfId="61"/>
    <cellStyle name="Escribir 2 4" xfId="62"/>
    <cellStyle name="Notas 2 3 2 2" xfId="63"/>
    <cellStyle name="Notas 2 2 4" xfId="64"/>
    <cellStyle name="Notas 2 2 2 2 4" xfId="65"/>
    <cellStyle name="Notas 2 2 2 2 19 4" xfId="66"/>
    <cellStyle name="Notas 2 2 2 2 21 4" xfId="67"/>
    <cellStyle name="Notas 3 2 3" xfId="68"/>
    <cellStyle name="Notas 2 2 2 2 2 3" xfId="69"/>
    <cellStyle name="Notas 2 2 2 2 19 2 3" xfId="70"/>
    <cellStyle name="Notas 2 2 2 2 21 2 3" xfId="71"/>
    <cellStyle name="Notas 2 4 3" xfId="72"/>
    <cellStyle name="Notas 2 2 2 5" xfId="73"/>
    <cellStyle name="Notas 2 3 2 4" xfId="74"/>
    <cellStyle name="Escribir 2 2 3" xfId="75"/>
    <cellStyle name="Notas 2 2 2 3 3" xfId="76"/>
    <cellStyle name="Escribir 2 3 2" xfId="77"/>
    <cellStyle name="Escribir 2 11 3" xfId="78"/>
    <cellStyle name="Escribir 2 6 3" xfId="79"/>
    <cellStyle name="Escribir 2 6 2 2" xfId="80"/>
    <cellStyle name="Notas 2 3 2 2 2" xfId="81"/>
    <cellStyle name="Notas 2 2 5" xfId="82"/>
    <cellStyle name="Notas 2 6" xfId="83"/>
    <cellStyle name="Notas 2 2 2 2 5" xfId="84"/>
    <cellStyle name="Notas 2 2 2 2 19 5" xfId="85"/>
    <cellStyle name="Notas 2 2 2 2 21 5" xfId="86"/>
    <cellStyle name="Notas 2 3 4" xfId="87"/>
    <cellStyle name="Notas 3 2 4" xfId="88"/>
    <cellStyle name="Notas 2 2 2 2 2 4" xfId="89"/>
    <cellStyle name="Notas 2 2 2 2 19 2 4" xfId="90"/>
    <cellStyle name="Notas 2 2 2 2 21 2 4" xfId="91"/>
    <cellStyle name="Notas 2 4 4" xfId="92"/>
    <cellStyle name="Notas 2 2 2 6" xfId="93"/>
    <cellStyle name="Notas 2 3 2 5" xfId="94"/>
    <cellStyle name="Escribir 2 2 4" xfId="95"/>
    <cellStyle name="Escribir 2 7" xfId="96"/>
    <cellStyle name="Notas 2 2 2 3 4" xfId="97"/>
    <cellStyle name="Escribir 2 11 4" xfId="98"/>
    <cellStyle name="Notas 2 13" xfId="99"/>
    <cellStyle name="Notas 2 2 6" xfId="100"/>
    <cellStyle name="Notas 2 3 5" xfId="101"/>
    <cellStyle name="Notas 2 4 5" xfId="102"/>
    <cellStyle name="Notas 2 5 2" xfId="103"/>
    <cellStyle name="Notas 2 6 2" xfId="104"/>
    <cellStyle name="Notas 2 7" xfId="105"/>
    <cellStyle name="Notas 2 8" xfId="106"/>
    <cellStyle name="Notas 2 9" xfId="107"/>
    <cellStyle name="Notas 2 11" xfId="108"/>
    <cellStyle name="Notas 2 10" xfId="109"/>
    <cellStyle name="Notas 2 2 3 2" xfId="110"/>
    <cellStyle name="Notas 2 12" xfId="111"/>
    <cellStyle name="Notas 2 2 2 2 6" xfId="112"/>
    <cellStyle name="Notas 2 2 2 2 19 6" xfId="113"/>
    <cellStyle name="Notas 2 2 2 2 21 6" xfId="114"/>
    <cellStyle name="Notas 2 3 3 2" xfId="115"/>
    <cellStyle name="Notas 3 2 5" xfId="116"/>
    <cellStyle name="Notas 2 2 2 2 2 5" xfId="117"/>
    <cellStyle name="Notas 2 2 2 2 19 2 5" xfId="118"/>
    <cellStyle name="Notas 2 2 2 2 21 2 5" xfId="119"/>
    <cellStyle name="Notas 2 4 2 2" xfId="120"/>
    <cellStyle name="Notas 2 2 2 7" xfId="121"/>
    <cellStyle name="Notas 2 3 2 6" xfId="122"/>
    <cellStyle name="Escribir 2 2 5" xfId="123"/>
    <cellStyle name="Escribir 2 8" xfId="124"/>
    <cellStyle name="Notas 2 2 2 3 5" xfId="125"/>
    <cellStyle name="Notas 2 14" xfId="126"/>
    <cellStyle name="Notas 2 2 7" xfId="127"/>
    <cellStyle name="Notas 2 3 6" xfId="128"/>
    <cellStyle name="Notas 2 4 6" xfId="129"/>
    <cellStyle name="Notas 2 5 3" xfId="130"/>
    <cellStyle name="Notas 2 6 3" xfId="131"/>
    <cellStyle name="Notas 2 7 2" xfId="132"/>
    <cellStyle name="Notas 2 8 2" xfId="133"/>
    <cellStyle name="Notas 2 9 2" xfId="134"/>
    <cellStyle name="Notas 2 11 2" xfId="135"/>
    <cellStyle name="Notas 2 10 2" xfId="136"/>
    <cellStyle name="Notas 2 2 3 3" xfId="137"/>
    <cellStyle name="Notas 2 12 2" xfId="138"/>
    <cellStyle name="Notas 2 2 2 2 7" xfId="139"/>
    <cellStyle name="Notas 2 2 2 2 19 7" xfId="140"/>
    <cellStyle name="Notas 2 2 2 2 21 7" xfId="141"/>
    <cellStyle name="Notas 2 3 3 3" xfId="142"/>
    <cellStyle name="Notas 3 2 6" xfId="143"/>
    <cellStyle name="Notas 2 2 2 2 2 6" xfId="144"/>
    <cellStyle name="Notas 2 2 2 2 19 2 6" xfId="145"/>
    <cellStyle name="Notas 2 2 2 2 21 2 6" xfId="146"/>
    <cellStyle name="Notas 2 4 2 3" xfId="147"/>
    <cellStyle name="Notas 2 2 2 8" xfId="148"/>
    <cellStyle name="Notas 2 3 2 7" xfId="149"/>
    <cellStyle name="Escribir 2 2 6" xfId="150"/>
    <cellStyle name="Escribir 2 9" xfId="151"/>
    <cellStyle name="Notas 2 2 2 3 6" xfId="152"/>
    <cellStyle name="Hipervínculo" xfId="153" builtinId="8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styles" Target="styles.xml" Id="rId31"/><Relationship Type="http://schemas.openxmlformats.org/officeDocument/2006/relationships/theme" Target="theme/theme1.xml" Id="rId32"/><Relationship Type="http://schemas.microsoft.com/office/2006/relationships/vbaProject" Target="vbaProject.bin" Id="rId33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os.gob.cl/api/3/action/datastore_search?resource_id=2c44d782-3365-44e3-aefb-2c8b8363a1bc&amp;limit=1&amp;filters=" TargetMode="External" Id="rId1"/><Relationship Type="http://schemas.openxmlformats.org/officeDocument/2006/relationships/vmlDrawing" Target="/xl/drawings/vmlDrawing1.vml" Id="anysvml"/></Relationships>
</file>

<file path=xl/worksheets/_rels/sheet30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Z33"/>
  <sheetViews>
    <sheetView showGridLines="0" workbookViewId="0">
      <selection activeCell="B6" sqref="B6"/>
    </sheetView>
  </sheetViews>
  <sheetFormatPr baseColWidth="10" defaultColWidth="11.42578125" defaultRowHeight="10.5"/>
  <cols>
    <col width="49.42578125" customWidth="1" style="88" min="1" max="1"/>
    <col width="60.7109375" customWidth="1" style="65" min="2" max="2"/>
    <col width="5.7109375" customWidth="1" style="65" min="3" max="8"/>
    <col width="16.85546875" customWidth="1" style="73" min="9" max="9"/>
    <col width="11.85546875" customWidth="1" style="73" min="10" max="18"/>
    <col width="23.140625" customWidth="1" style="73" min="19" max="21"/>
    <col hidden="1" width="23.140625" customWidth="1" style="73" min="22" max="23"/>
    <col hidden="1" width="23.140625" customWidth="1" style="65" min="24" max="26"/>
    <col hidden="1" width="11.42578125" customWidth="1" style="65" min="27" max="27"/>
    <col hidden="1" width="54.28515625" customWidth="1" style="65" min="28" max="28"/>
    <col hidden="1" width="27.42578125" customWidth="1" style="65" min="29" max="29"/>
    <col hidden="1" width="8.7109375" customWidth="1" style="65" min="30" max="30"/>
    <col hidden="1" width="23.140625" customWidth="1" style="65" min="31" max="32"/>
    <col hidden="1" width="39.5703125" customWidth="1" style="65" min="33" max="33"/>
    <col hidden="1" width="23.140625" customWidth="1" style="65" min="34" max="37"/>
    <col hidden="1" width="23.140625" customWidth="1" style="73" min="38" max="39"/>
    <col hidden="1" width="23.140625" customWidth="1" style="65" min="40" max="43"/>
    <col width="23.140625" customWidth="1" style="65" min="44" max="50"/>
    <col width="11.42578125" customWidth="1" style="65" min="51" max="16384"/>
  </cols>
  <sheetData>
    <row r="1" ht="36" customHeight="1" s="8286">
      <c r="A1" s="9581" t="inlineStr">
        <is>
          <t>DATOS DEL ESTABLECIMIENTO</t>
        </is>
      </c>
      <c r="B1" s="9582" t="n"/>
      <c r="C1" s="9583" t="inlineStr">
        <is>
          <t>CÓDIGOS</t>
        </is>
      </c>
      <c r="D1" s="9584" t="n"/>
      <c r="E1" s="9584" t="n"/>
      <c r="F1" s="9584" t="n"/>
      <c r="G1" s="9584" t="n"/>
      <c r="H1" s="9582" t="n"/>
    </row>
    <row r="2" ht="21.75" customHeight="1" s="8286">
      <c r="A2" s="1435" t="inlineStr">
        <is>
          <t>NOMBRE DE COMUNA</t>
        </is>
      </c>
      <c r="B2" s="1436" t="n"/>
      <c r="C2" s="1437" t="n"/>
      <c r="D2" s="1438" t="n"/>
      <c r="E2" s="1438" t="n"/>
      <c r="F2" s="1438" t="n"/>
      <c r="G2" s="1439" t="n"/>
      <c r="H2" s="1440" t="n"/>
      <c r="I2" s="91">
        <f>IF(OR(C2="",D2="",E2="",F2="",G2=""),"Falta Cód. Com.","")</f>
        <v/>
      </c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92">
        <f>IF(OR(C2="",D2="",E2="",F2="",G2=""),1,0)</f>
        <v/>
      </c>
    </row>
    <row r="3" ht="21.75" customHeight="1" s="8286">
      <c r="A3" s="1441" t="inlineStr">
        <is>
          <t>NOMBRE ESTABLECIMIENTO/ESTRATEGIA</t>
        </is>
      </c>
      <c r="B3" s="1442" t="n"/>
      <c r="C3" s="1437" t="n"/>
      <c r="D3" s="1438" t="n"/>
      <c r="E3" s="1438" t="n"/>
      <c r="F3" s="1438" t="n"/>
      <c r="G3" s="1438" t="n"/>
      <c r="H3" s="1439" t="n"/>
      <c r="I3" s="744">
        <f>IF(OR(C3="",D3="",E3="",F3="",G3="",H3=""),"Falta Cód. Est.","")</f>
        <v/>
      </c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92">
        <f>IF(OR(C3="",D3="",E3="",F3="",G3="",H3=""),1,0)</f>
        <v/>
      </c>
    </row>
    <row r="4" ht="21.75" customHeight="1" s="8286">
      <c r="A4" s="99" t="n"/>
      <c r="B4" s="100" t="n"/>
      <c r="C4" s="98" t="n"/>
      <c r="D4" s="98" t="n"/>
      <c r="E4" s="98" t="n"/>
      <c r="F4" s="98" t="n"/>
      <c r="G4" s="98" t="n"/>
      <c r="H4" s="98" t="n"/>
      <c r="I4" s="91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</row>
    <row r="5" ht="9.75" customHeight="1" s="8286">
      <c r="A5" s="1443" t="n"/>
      <c r="B5" s="1444" t="n"/>
      <c r="C5" s="1445" t="n"/>
      <c r="D5" s="1445" t="n"/>
      <c r="E5" s="98" t="n"/>
      <c r="F5" s="98" t="n"/>
      <c r="G5" s="98" t="n"/>
      <c r="H5" s="98" t="n"/>
      <c r="I5" s="91" t="n"/>
      <c r="J5" s="74" t="n"/>
      <c r="K5" s="74" t="n"/>
      <c r="L5" s="74" t="n"/>
      <c r="M5" s="74" t="n"/>
      <c r="N5" s="74" t="n"/>
      <c r="O5" s="74" t="n"/>
      <c r="P5" s="74" t="n"/>
      <c r="Q5" s="74" t="n"/>
      <c r="R5" s="74" t="n"/>
      <c r="S5" s="74" t="n"/>
      <c r="T5" s="74" t="n"/>
      <c r="U5" s="74" t="n"/>
      <c r="V5" s="74" t="n"/>
      <c r="W5" s="74" t="n"/>
    </row>
    <row r="6" ht="21.75" customHeight="1" s="8286">
      <c r="A6" s="99" t="inlineStr">
        <is>
          <t>MES:</t>
        </is>
      </c>
      <c r="B6" s="1079" t="inlineStr">
        <is>
          <t>MARZO</t>
        </is>
      </c>
      <c r="C6" s="5530">
        <f>IF(X10&lt;&gt;"",IF(LEN(X10)&lt;2,"0",LEFT(X10,1)),"")</f>
        <v/>
      </c>
      <c r="D6" s="5531">
        <f>IF(X10&lt;&gt;"",RIGHT(X10,1),"")</f>
        <v/>
      </c>
      <c r="E6" s="75" t="n"/>
      <c r="F6" s="75" t="n"/>
      <c r="G6" s="75" t="n"/>
      <c r="H6" s="75" t="n"/>
      <c r="I6" s="76">
        <f>IF(OR(C6="",D6=""),"Falta Cód. Mes.","")</f>
        <v/>
      </c>
      <c r="J6" s="77" t="n"/>
      <c r="K6" s="77" t="n"/>
      <c r="L6" s="77" t="n"/>
      <c r="M6" s="78" t="n"/>
      <c r="N6" s="78" t="n"/>
      <c r="O6" s="78" t="n"/>
      <c r="P6" s="78" t="n"/>
      <c r="Q6" s="78" t="n"/>
      <c r="R6" s="78" t="n"/>
      <c r="S6" s="78" t="n"/>
      <c r="T6" s="78" t="n"/>
      <c r="U6" s="78" t="n"/>
      <c r="V6" s="78" t="n"/>
      <c r="W6" s="92">
        <f>IF(OR(C6="",D6=""),1,0)</f>
        <v/>
      </c>
    </row>
    <row r="7" ht="21.75" customHeight="1" s="8286">
      <c r="A7" s="1435" t="inlineStr">
        <is>
          <t>AÑO:</t>
        </is>
      </c>
      <c r="B7" s="1446" t="n">
        <v>2026</v>
      </c>
      <c r="C7" s="73" t="n"/>
      <c r="D7" s="73" t="n"/>
      <c r="E7" s="73" t="n"/>
      <c r="F7" s="73" t="n"/>
      <c r="G7" s="73" t="n"/>
      <c r="H7" s="73" t="n"/>
    </row>
    <row r="8" ht="12" customHeight="1" s="8286">
      <c r="A8" s="1447" t="n"/>
      <c r="B8" s="1448" t="n"/>
      <c r="C8" s="73" t="n"/>
      <c r="D8" s="73" t="n"/>
      <c r="E8" s="73" t="n"/>
      <c r="F8" s="73" t="n"/>
      <c r="G8" s="73" t="n"/>
      <c r="H8" s="73" t="n"/>
    </row>
    <row r="9" ht="28.5" customHeight="1" s="8286">
      <c r="A9" s="9585" t="inlineStr">
        <is>
          <t>Versión 1.2: Febrero 2026</t>
        </is>
      </c>
      <c r="B9" s="9582" t="n"/>
      <c r="C9" s="73" t="n"/>
      <c r="D9" s="73" t="n"/>
      <c r="E9" s="73" t="n"/>
      <c r="F9" s="73" t="n"/>
      <c r="G9" s="73" t="n"/>
      <c r="H9" s="73" t="n"/>
    </row>
    <row r="10" ht="12" customHeight="1" s="8286">
      <c r="A10" s="79" t="n"/>
      <c r="B10" s="80" t="n"/>
      <c r="C10" s="73" t="n"/>
      <c r="D10" s="73" t="n"/>
      <c r="E10" s="73" t="n"/>
      <c r="F10" s="73" t="n"/>
      <c r="G10" s="73" t="n"/>
      <c r="H10" s="73" t="n"/>
      <c r="W10" s="73">
        <f>B6</f>
        <v/>
      </c>
      <c r="X10" s="65">
        <f>IFERROR(VLOOKUP(W10,$W$11:$X$22,2,FALSE),"")</f>
        <v/>
      </c>
    </row>
    <row r="11" ht="27" customHeight="1" s="8286">
      <c r="A11" s="1449" t="inlineStr">
        <is>
          <t>Director/a Servicio de Salud o Director/a Establecimiento</t>
        </is>
      </c>
      <c r="B11" s="1450" t="n"/>
      <c r="C11" s="73" t="n"/>
      <c r="D11" s="73" t="n"/>
      <c r="E11" s="73" t="n"/>
      <c r="F11" s="73" t="n"/>
      <c r="G11" s="73" t="n"/>
      <c r="H11" s="81" t="n"/>
      <c r="I11" s="81" t="n"/>
      <c r="J11" s="82" t="n"/>
      <c r="K11" s="82" t="n"/>
      <c r="L11" s="82" t="n"/>
      <c r="M11" s="82" t="n"/>
      <c r="N11" s="82" t="n"/>
      <c r="O11" s="82" t="n"/>
      <c r="P11" s="82" t="n"/>
      <c r="Q11" s="82" t="n"/>
      <c r="R11" s="82" t="n"/>
      <c r="S11" s="82" t="n"/>
      <c r="T11" s="82" t="n"/>
      <c r="U11" s="82" t="n"/>
      <c r="V11" s="82" t="n"/>
      <c r="W11" s="83" t="inlineStr">
        <is>
          <t>ENERO</t>
        </is>
      </c>
      <c r="X11" s="65" t="n">
        <v>1</v>
      </c>
    </row>
    <row r="12" ht="23.25" customHeight="1" s="8286">
      <c r="A12" s="1080" t="inlineStr">
        <is>
          <t>Jefe/a de Estadísticas</t>
        </is>
      </c>
      <c r="B12" s="1450" t="n"/>
      <c r="C12" s="73" t="n"/>
      <c r="D12" s="73" t="n"/>
      <c r="E12" s="73" t="n"/>
      <c r="F12" s="73" t="n"/>
      <c r="G12" s="73" t="n"/>
      <c r="H12" s="81" t="n"/>
      <c r="I12" s="81" t="n"/>
      <c r="J12" s="82" t="n"/>
      <c r="K12" s="82" t="n"/>
      <c r="L12" s="82" t="n"/>
      <c r="M12" s="82" t="n"/>
      <c r="N12" s="82" t="n"/>
      <c r="O12" s="82" t="n"/>
      <c r="P12" s="82" t="n"/>
      <c r="Q12" s="82" t="n"/>
      <c r="R12" s="82" t="n"/>
      <c r="S12" s="82" t="n"/>
      <c r="T12" s="82" t="n"/>
      <c r="U12" s="82" t="n"/>
      <c r="V12" s="82" t="n"/>
      <c r="W12" s="83" t="inlineStr">
        <is>
          <t>FEBRERO</t>
        </is>
      </c>
      <c r="X12" s="65" t="n">
        <v>2</v>
      </c>
    </row>
    <row r="13" ht="23.25" customHeight="1" s="8286">
      <c r="A13" s="80" t="n"/>
      <c r="B13" s="1451" t="n"/>
      <c r="C13" s="73" t="n"/>
      <c r="D13" s="73" t="n"/>
      <c r="E13" s="73" t="n"/>
      <c r="F13" s="73" t="n"/>
      <c r="G13" s="73" t="n"/>
      <c r="H13" s="81" t="inlineStr">
        <is>
          <t xml:space="preserve"> </t>
        </is>
      </c>
      <c r="I13" s="81" t="n"/>
      <c r="J13" s="82" t="n"/>
      <c r="K13" s="82" t="n"/>
      <c r="L13" s="82" t="n"/>
      <c r="M13" s="82" t="n"/>
      <c r="N13" s="82" t="n"/>
      <c r="O13" s="82" t="n"/>
      <c r="P13" s="82" t="n"/>
      <c r="Q13" s="82" t="n"/>
      <c r="R13" s="82" t="n"/>
      <c r="S13" s="82" t="n"/>
      <c r="T13" s="82" t="n"/>
      <c r="U13" s="82" t="n"/>
      <c r="V13" s="82" t="n"/>
      <c r="W13" s="83" t="inlineStr">
        <is>
          <t>MARZO</t>
        </is>
      </c>
      <c r="X13" s="65" t="n">
        <v>3</v>
      </c>
    </row>
    <row r="14" ht="23.25" customHeight="1" s="8286">
      <c r="A14" s="84" t="n"/>
      <c r="B14" s="73" t="n"/>
      <c r="C14" s="73" t="n"/>
      <c r="D14" s="73" t="n"/>
      <c r="E14" s="73" t="n"/>
      <c r="F14" s="73" t="n"/>
      <c r="G14" s="73" t="n"/>
      <c r="H14" s="81" t="n"/>
      <c r="I14" s="81" t="n"/>
      <c r="J14" s="82" t="n"/>
      <c r="K14" s="82" t="n"/>
      <c r="L14" s="82" t="n"/>
      <c r="M14" s="82" t="n"/>
      <c r="N14" s="82" t="n"/>
      <c r="O14" s="82" t="n"/>
      <c r="P14" s="82" t="n"/>
      <c r="Q14" s="82" t="n"/>
      <c r="R14" s="82" t="n"/>
      <c r="S14" s="82" t="n"/>
      <c r="T14" s="82" t="n"/>
      <c r="U14" s="82" t="n"/>
      <c r="V14" s="82" t="n"/>
      <c r="W14" s="83" t="inlineStr">
        <is>
          <t>ABRIL</t>
        </is>
      </c>
      <c r="X14" s="65" t="n">
        <v>4</v>
      </c>
    </row>
    <row r="15" ht="21" customHeight="1" s="8286">
      <c r="A15" s="9586" t="inlineStr">
        <is>
          <t>MINSAL - DEIS</t>
        </is>
      </c>
      <c r="B15" s="9582" t="n"/>
      <c r="C15" s="73" t="n"/>
      <c r="D15" s="73" t="n"/>
      <c r="E15" s="73" t="n"/>
      <c r="F15" s="73" t="n"/>
      <c r="G15" s="73" t="n"/>
      <c r="H15" s="81" t="n"/>
      <c r="I15" s="81" t="n"/>
      <c r="J15" s="82" t="n"/>
      <c r="K15" s="82" t="n"/>
      <c r="L15" s="82" t="n"/>
      <c r="M15" s="82" t="n"/>
      <c r="N15" s="82" t="n"/>
      <c r="O15" s="82" t="n"/>
      <c r="P15" s="82" t="n"/>
      <c r="Q15" s="82" t="n"/>
      <c r="R15" s="82" t="n"/>
      <c r="S15" s="82" t="n"/>
      <c r="T15" s="82" t="n"/>
      <c r="U15" s="82" t="n"/>
      <c r="V15" s="82" t="n"/>
      <c r="W15" s="83" t="inlineStr">
        <is>
          <t>MAYO</t>
        </is>
      </c>
      <c r="X15" s="65" t="n">
        <v>5</v>
      </c>
    </row>
    <row r="16" ht="21.75" customHeight="1" s="8286">
      <c r="A16" s="84" t="n"/>
      <c r="B16" s="73" t="n"/>
      <c r="C16" s="73" t="n"/>
      <c r="D16" s="73" t="n"/>
      <c r="E16" s="73" t="n"/>
      <c r="F16" s="73" t="n"/>
      <c r="G16" s="73" t="n"/>
      <c r="H16" s="81" t="n"/>
      <c r="I16" s="81" t="n"/>
      <c r="J16" s="82" t="n"/>
      <c r="K16" s="82" t="n"/>
      <c r="L16" s="82" t="n"/>
      <c r="M16" s="82" t="n"/>
      <c r="N16" s="82" t="n"/>
      <c r="O16" s="82" t="n"/>
      <c r="P16" s="82" t="n"/>
      <c r="Q16" s="82" t="n"/>
      <c r="R16" s="82" t="n"/>
      <c r="S16" s="82" t="n"/>
      <c r="T16" s="82" t="n"/>
      <c r="U16" s="82" t="n"/>
      <c r="V16" s="82" t="n"/>
      <c r="W16" s="83" t="inlineStr">
        <is>
          <t>JUNIO</t>
        </is>
      </c>
      <c r="X16" s="65" t="n">
        <v>6</v>
      </c>
    </row>
    <row r="17" ht="21" customHeight="1" s="8286">
      <c r="A17" s="84" t="n"/>
      <c r="B17" s="9587" t="inlineStr">
        <is>
          <t>SERIE A</t>
        </is>
      </c>
      <c r="C17" s="73" t="n"/>
      <c r="D17" s="73" t="n"/>
      <c r="E17" s="73" t="n"/>
      <c r="F17" s="73" t="n"/>
      <c r="G17" s="73" t="n"/>
      <c r="H17" s="81" t="n"/>
      <c r="I17" s="81" t="n"/>
      <c r="J17" s="82" t="n"/>
      <c r="K17" s="82" t="n"/>
      <c r="L17" s="82" t="n"/>
      <c r="M17" s="82" t="n"/>
      <c r="N17" s="82" t="n"/>
      <c r="O17" s="82" t="n"/>
      <c r="P17" s="82" t="n"/>
      <c r="Q17" s="82" t="n"/>
      <c r="R17" s="82" t="n"/>
      <c r="S17" s="82" t="n"/>
      <c r="T17" s="82" t="n"/>
      <c r="U17" s="82" t="n"/>
      <c r="V17" s="82" t="n"/>
      <c r="W17" s="83" t="inlineStr">
        <is>
          <t>JULIO</t>
        </is>
      </c>
      <c r="X17" s="65" t="n">
        <v>7</v>
      </c>
    </row>
    <row r="18" ht="21" customHeight="1" s="8286">
      <c r="A18" s="84" t="n"/>
      <c r="B18" s="9588" t="n"/>
      <c r="C18" s="73" t="n"/>
      <c r="D18" s="73" t="n"/>
      <c r="E18" s="73" t="n"/>
      <c r="F18" s="73" t="n"/>
      <c r="G18" s="73" t="n"/>
      <c r="H18" s="81" t="n"/>
      <c r="I18" s="81" t="n"/>
      <c r="J18" s="82" t="n"/>
      <c r="K18" s="82" t="n"/>
      <c r="L18" s="82" t="n"/>
      <c r="M18" s="82" t="n"/>
      <c r="N18" s="82" t="n"/>
      <c r="O18" s="82" t="n"/>
      <c r="P18" s="82" t="n"/>
      <c r="Q18" s="82" t="n"/>
      <c r="R18" s="82" t="n"/>
      <c r="S18" s="82" t="n"/>
      <c r="T18" s="82" t="n"/>
      <c r="U18" s="82" t="n"/>
      <c r="V18" s="82" t="n"/>
      <c r="W18" s="83" t="inlineStr">
        <is>
          <t>AGOSTO</t>
        </is>
      </c>
      <c r="X18" s="65" t="n">
        <v>8</v>
      </c>
    </row>
    <row r="19" ht="21" customHeight="1" s="8286">
      <c r="A19" s="84" t="n"/>
      <c r="B19" s="9589" t="n"/>
      <c r="C19" s="73" t="n"/>
      <c r="D19" s="73" t="n"/>
      <c r="E19" s="73" t="n"/>
      <c r="F19" s="73" t="n"/>
      <c r="G19" s="73" t="n"/>
      <c r="H19" s="81" t="n"/>
      <c r="I19" s="81" t="n"/>
      <c r="J19" s="82" t="n"/>
      <c r="K19" s="82" t="n"/>
      <c r="L19" s="82" t="n"/>
      <c r="M19" s="82" t="n"/>
      <c r="N19" s="82" t="n"/>
      <c r="O19" s="82" t="n"/>
      <c r="P19" s="82" t="n"/>
      <c r="Q19" s="82" t="n"/>
      <c r="R19" s="82" t="n"/>
      <c r="S19" s="82" t="n"/>
      <c r="T19" s="82" t="n"/>
      <c r="U19" s="82" t="n"/>
      <c r="V19" s="82" t="n"/>
      <c r="W19" s="83" t="inlineStr">
        <is>
          <t>SEPTIEMBRE</t>
        </is>
      </c>
      <c r="X19" s="65" t="n">
        <v>9</v>
      </c>
    </row>
    <row r="20" ht="21" customHeight="1" s="8286">
      <c r="A20" s="84" t="n"/>
      <c r="B20" s="73" t="n"/>
      <c r="C20" s="73" t="n"/>
      <c r="D20" s="73" t="n"/>
      <c r="E20" s="73" t="n"/>
      <c r="F20" s="73" t="n"/>
      <c r="G20" s="73" t="n"/>
      <c r="H20" s="81" t="n"/>
      <c r="I20" s="81" t="n"/>
      <c r="J20" s="82" t="n"/>
      <c r="K20" s="82" t="n"/>
      <c r="L20" s="82" t="n"/>
      <c r="M20" s="82" t="n"/>
      <c r="N20" s="82" t="n"/>
      <c r="O20" s="82" t="n"/>
      <c r="P20" s="82" t="n"/>
      <c r="Q20" s="82" t="n"/>
      <c r="R20" s="82" t="n"/>
      <c r="S20" s="82" t="n"/>
      <c r="T20" s="82" t="n"/>
      <c r="U20" s="82" t="n"/>
      <c r="V20" s="82" t="n"/>
      <c r="W20" s="83" t="inlineStr">
        <is>
          <t>OCTUBRE</t>
        </is>
      </c>
      <c r="X20" s="65" t="n">
        <v>10</v>
      </c>
    </row>
    <row r="21" ht="21" customHeight="1" s="8286">
      <c r="A21" s="84" t="n"/>
      <c r="B21" s="73" t="n"/>
      <c r="C21" s="73" t="n"/>
      <c r="D21" s="73" t="n"/>
      <c r="E21" s="73" t="n"/>
      <c r="F21" s="73" t="n"/>
      <c r="G21" s="85" t="n"/>
      <c r="H21" s="85" t="n"/>
      <c r="I21" s="85" t="n"/>
      <c r="J21" s="85" t="n"/>
      <c r="N21" s="82" t="n"/>
      <c r="O21" s="82" t="n"/>
      <c r="P21" s="82" t="n"/>
      <c r="Q21" s="82" t="n"/>
      <c r="R21" s="82" t="n"/>
      <c r="S21" s="82" t="n"/>
      <c r="T21" s="82" t="n"/>
      <c r="U21" s="82" t="n"/>
      <c r="V21" s="82" t="n"/>
      <c r="W21" s="83" t="inlineStr">
        <is>
          <t>NOVIEMBRE</t>
        </is>
      </c>
      <c r="X21" s="65" t="n">
        <v>11</v>
      </c>
    </row>
    <row r="22" ht="21" customHeight="1" s="8286">
      <c r="A22" s="84" t="n"/>
      <c r="B22" s="73" t="n"/>
      <c r="C22" s="73" t="n"/>
      <c r="D22" s="73" t="n"/>
      <c r="E22" s="73" t="n"/>
      <c r="F22" s="73" t="n"/>
      <c r="G22" s="85" t="n"/>
      <c r="H22" s="85" t="n"/>
      <c r="I22" s="85" t="n"/>
      <c r="J22" s="85" t="n"/>
      <c r="N22" s="82" t="n"/>
      <c r="O22" s="82" t="n"/>
      <c r="P22" s="82" t="n"/>
      <c r="Q22" s="82" t="n"/>
      <c r="R22" s="82" t="n"/>
      <c r="S22" s="82" t="n"/>
      <c r="T22" s="82" t="n"/>
      <c r="U22" s="82" t="n"/>
      <c r="V22" s="82" t="n"/>
      <c r="W22" s="83" t="inlineStr">
        <is>
          <t>DICIEMBRE</t>
        </is>
      </c>
      <c r="X22" s="65" t="n">
        <v>12</v>
      </c>
    </row>
    <row r="23" ht="17.25" customHeight="1" s="8286">
      <c r="A23" s="84" t="n"/>
      <c r="B23" s="73" t="n"/>
      <c r="C23" s="73" t="n"/>
      <c r="D23" s="73" t="n"/>
      <c r="E23" s="73" t="n"/>
      <c r="F23" s="73" t="n"/>
      <c r="G23" s="73" t="n"/>
      <c r="H23" s="73" t="n"/>
      <c r="I23" s="86" t="n"/>
      <c r="J23" s="86" t="n"/>
      <c r="N23" s="82" t="n"/>
      <c r="O23" s="82" t="n"/>
      <c r="P23" s="82" t="n"/>
      <c r="Q23" s="82" t="n"/>
      <c r="R23" s="82" t="n"/>
      <c r="S23" s="82" t="n"/>
      <c r="T23" s="82" t="n"/>
      <c r="U23" s="82" t="n"/>
      <c r="V23" s="82" t="n"/>
      <c r="W23" s="82" t="n"/>
    </row>
    <row r="24" ht="18.75" customHeight="1" s="8286">
      <c r="A24" s="87" t="n"/>
      <c r="B24" s="87" t="n"/>
      <c r="C24" s="87" t="n"/>
      <c r="D24" s="87" t="n"/>
      <c r="E24" s="87" t="n"/>
      <c r="F24" s="87" t="n"/>
      <c r="G24" s="87" t="n"/>
      <c r="H24" s="87" t="n"/>
      <c r="I24" s="87" t="n"/>
      <c r="J24" s="87" t="n"/>
      <c r="K24" s="87" t="n"/>
      <c r="L24" s="87" t="n"/>
      <c r="M24" s="87" t="n"/>
      <c r="N24" s="87" t="n"/>
      <c r="O24" s="87" t="n"/>
      <c r="P24" s="87" t="n"/>
      <c r="Q24" s="87" t="n"/>
      <c r="R24" s="82" t="n"/>
      <c r="S24" s="82" t="n"/>
      <c r="T24" s="82" t="n"/>
      <c r="U24" s="82" t="n"/>
      <c r="V24" s="82" t="inlineStr">
        <is>
          <t>Filtro</t>
        </is>
      </c>
      <c r="W24" s="5533" t="n">
        <v>122100</v>
      </c>
      <c r="X24" s="65">
        <f>IF(W24&lt;&gt;"",CONCATENATE("{""EstablecimientoCodigo"":""",W24,"""}"),"")</f>
        <v/>
      </c>
    </row>
    <row r="25" ht="18" customHeight="1" s="8286">
      <c r="A25" s="87" t="n"/>
      <c r="B25" s="87" t="n"/>
      <c r="C25" s="87" t="n"/>
      <c r="D25" s="87" t="n"/>
      <c r="E25" s="87" t="n"/>
      <c r="F25" s="87" t="n"/>
      <c r="G25" s="87" t="n"/>
      <c r="H25" s="87" t="n"/>
      <c r="I25" s="87" t="n"/>
      <c r="J25" s="87" t="n"/>
      <c r="K25" s="87" t="n"/>
      <c r="L25" s="87" t="n"/>
      <c r="M25" s="87" t="n"/>
      <c r="N25" s="87" t="n"/>
      <c r="O25" s="87" t="n"/>
      <c r="P25" s="87" t="n"/>
      <c r="Q25" s="87" t="n"/>
      <c r="R25" s="82" t="n"/>
      <c r="S25" s="82" t="n"/>
      <c r="T25" s="82" t="n"/>
      <c r="U25" s="82" t="n"/>
      <c r="V25" s="82" t="inlineStr">
        <is>
          <t>URL + Encoding</t>
        </is>
      </c>
      <c r="W25" s="5532" t="inlineStr">
        <is>
          <t>https://datos.gob.cl/api/3/action/datastore_search?resource_id=2c44d782-3365-44e3-aefb-2c8b8363a1bc&amp;limit=1&amp;filters=</t>
        </is>
      </c>
      <c r="X25" s="65">
        <f>_xlfn.ENCODEURL(X24)</f>
        <v/>
      </c>
    </row>
    <row r="26" ht="19.5" customHeight="1" s="8286">
      <c r="A26" s="87" t="n"/>
      <c r="B26" s="87" t="n"/>
      <c r="C26" s="87" t="n"/>
      <c r="D26" s="87" t="n"/>
      <c r="E26" s="87" t="n"/>
      <c r="F26" s="87" t="n"/>
      <c r="G26" s="87" t="n"/>
      <c r="H26" s="87" t="n"/>
      <c r="I26" s="87" t="n"/>
      <c r="J26" s="87" t="n"/>
      <c r="K26" s="87" t="n"/>
      <c r="L26" s="87" t="n"/>
      <c r="M26" s="87" t="n"/>
      <c r="N26" s="87" t="n"/>
      <c r="O26" s="87" t="n"/>
      <c r="P26" s="87" t="n"/>
      <c r="Q26" s="87" t="n"/>
      <c r="R26" s="82" t="n"/>
      <c r="S26" s="82" t="n"/>
      <c r="T26" s="82" t="n"/>
      <c r="U26" s="82" t="n"/>
      <c r="V26" s="82" t="inlineStr">
        <is>
          <t>ServicioWeb</t>
        </is>
      </c>
      <c r="W26" s="86">
        <f>IF($W$24&lt;&gt;"",_xlfn.WEBSERVICE(CONCATENATE(W25,X25)),"")</f>
        <v/>
      </c>
    </row>
    <row r="27" ht="19.5" customHeight="1" s="8286">
      <c r="A27" s="87" t="n"/>
      <c r="B27" s="87" t="n"/>
      <c r="C27" s="87" t="n"/>
      <c r="D27" s="87" t="n"/>
      <c r="E27" s="87" t="n"/>
      <c r="F27" s="87" t="n"/>
      <c r="G27" s="87" t="n"/>
      <c r="H27" s="87" t="n"/>
      <c r="I27" s="87" t="n"/>
      <c r="J27" s="87" t="n"/>
      <c r="K27" s="87" t="n"/>
      <c r="L27" s="87" t="n"/>
      <c r="M27" s="87" t="n"/>
      <c r="N27" s="87" t="n"/>
      <c r="O27" s="87" t="n"/>
      <c r="P27" s="87" t="n"/>
      <c r="Q27" s="87" t="n"/>
      <c r="R27" s="82" t="n"/>
      <c r="S27" s="82" t="n"/>
      <c r="T27" s="82" t="n"/>
      <c r="U27" s="82" t="n"/>
      <c r="V27" s="82" t="inlineStr">
        <is>
          <t>Hay Registros</t>
        </is>
      </c>
      <c r="W27" s="86">
        <f>IFERROR(IF($W$26&lt;&gt;"",MID($W$26,FIND("""total"":",$W$26)+9,1),"0"),"0")</f>
        <v/>
      </c>
    </row>
    <row r="28" ht="18.75" customHeight="1" s="8286">
      <c r="A28" s="87" t="n"/>
      <c r="B28" s="87" t="n"/>
      <c r="C28" s="87" t="n"/>
      <c r="D28" s="87" t="n"/>
      <c r="E28" s="87" t="n"/>
      <c r="F28" s="87" t="n"/>
      <c r="G28" s="87" t="n"/>
      <c r="H28" s="87" t="n"/>
      <c r="I28" s="87" t="n"/>
      <c r="J28" s="87" t="n"/>
      <c r="K28" s="87" t="n"/>
      <c r="L28" s="87" t="n"/>
      <c r="M28" s="87" t="n"/>
      <c r="N28" s="87" t="n"/>
      <c r="O28" s="87" t="n"/>
      <c r="P28" s="87" t="n"/>
      <c r="Q28" s="87" t="n"/>
      <c r="R28" s="82" t="n"/>
      <c r="S28" s="82" t="n"/>
      <c r="T28" s="82" t="n"/>
      <c r="U28" s="82" t="n"/>
      <c r="V28" s="82" t="inlineStr">
        <is>
          <t>Establecimiento</t>
        </is>
      </c>
      <c r="W28" s="86">
        <f>IF(AND($W$26&lt;&gt;"",$W$27="1"),MID($W$26,FIND("EstablecimientoGlosa",$W$26)+23,(FIND("EstablecimientoCodigoAntiguo",$W$26)-3)-(FIND("EstablecimientoGlosa",$W$26)+23)),"")</f>
        <v/>
      </c>
    </row>
    <row r="29" ht="18.75" customHeight="1" s="8286">
      <c r="A29" s="87" t="n"/>
      <c r="B29" s="87" t="n"/>
      <c r="C29" s="87" t="n"/>
      <c r="D29" s="87" t="n"/>
      <c r="E29" s="87" t="n"/>
      <c r="F29" s="87" t="n"/>
      <c r="G29" s="87" t="n"/>
      <c r="H29" s="87" t="n"/>
      <c r="I29" s="87" t="n"/>
      <c r="J29" s="87" t="n"/>
      <c r="K29" s="87" t="n"/>
      <c r="L29" s="87" t="n"/>
      <c r="M29" s="87" t="n"/>
      <c r="N29" s="87" t="n"/>
      <c r="O29" s="87" t="n"/>
      <c r="P29" s="87" t="n"/>
      <c r="Q29" s="87" t="n"/>
      <c r="R29" s="82" t="n"/>
      <c r="S29" s="82" t="n"/>
      <c r="T29" s="82" t="n"/>
      <c r="U29" s="82" t="n"/>
      <c r="V29" s="82" t="inlineStr">
        <is>
          <t>Comuna</t>
        </is>
      </c>
      <c r="W29" s="86">
        <f>IF(AND($W$26&lt;&gt;"",$W$27="1"),MID($W$26,FIND("ComunaCodigo",$W$26)+15,(FIND("ComunaGlosa",$W$26)-3)-(FIND("ComunaCodigo",$W$26)+15)),"")</f>
        <v/>
      </c>
    </row>
    <row r="30" ht="18.75" customHeight="1" s="8286">
      <c r="A30" s="87" t="n"/>
      <c r="B30" s="87" t="n"/>
      <c r="C30" s="87" t="n"/>
      <c r="D30" s="87" t="n"/>
      <c r="E30" s="87" t="n"/>
      <c r="F30" s="87" t="n"/>
      <c r="G30" s="87" t="n"/>
      <c r="H30" s="87" t="n"/>
      <c r="I30" s="87" t="n"/>
      <c r="J30" s="87" t="n"/>
      <c r="K30" s="87" t="n"/>
      <c r="L30" s="87" t="n"/>
      <c r="M30" s="87" t="n"/>
      <c r="N30" s="87" t="n"/>
      <c r="O30" s="87" t="n"/>
      <c r="P30" s="87" t="n"/>
      <c r="Q30" s="87" t="n"/>
      <c r="R30" s="82" t="n"/>
      <c r="S30" s="82" t="n"/>
      <c r="T30" s="82" t="n"/>
      <c r="U30" s="82" t="n"/>
      <c r="V30" s="82" t="inlineStr">
        <is>
          <t>Comuna Glosa</t>
        </is>
      </c>
      <c r="W30" s="86">
        <f>IF(AND($W$26&lt;&gt;"",$W$27="1"),MID($W$26,FIND("ComunaGlosa",$W$26)+14,(FIND("TipoVia",$W$26)-3)-(FIND("ComunaGlosa",$W$26)+14)),"")</f>
        <v/>
      </c>
    </row>
    <row r="31" ht="17.25" customHeight="1" s="8286">
      <c r="A31" s="87" t="n"/>
      <c r="B31" s="87" t="n"/>
      <c r="C31" s="87" t="n"/>
      <c r="D31" s="87" t="n"/>
      <c r="E31" s="87" t="n"/>
      <c r="F31" s="87" t="n"/>
      <c r="G31" s="87" t="n"/>
      <c r="H31" s="87" t="n"/>
      <c r="I31" s="87" t="n"/>
      <c r="J31" s="87" t="n"/>
      <c r="K31" s="87" t="n"/>
      <c r="L31" s="87" t="n"/>
      <c r="M31" s="87" t="n"/>
      <c r="N31" s="87" t="n"/>
      <c r="O31" s="87" t="n"/>
      <c r="P31" s="87" t="n"/>
      <c r="Q31" s="87" t="n"/>
      <c r="R31" s="82" t="n"/>
      <c r="S31" s="82" t="n"/>
      <c r="T31" s="82" t="n"/>
      <c r="U31" s="82" t="n"/>
      <c r="V31" s="82" t="inlineStr">
        <is>
          <t>Comuna Dividida por Celdas en sgte linea:</t>
        </is>
      </c>
      <c r="W31" s="82" t="n"/>
    </row>
    <row r="32" hidden="1" ht="17.25" customHeight="1" s="8286">
      <c r="A32" s="93">
        <f>SUM(W2:W6)</f>
        <v/>
      </c>
      <c r="B32" s="87" t="n"/>
      <c r="C32" s="87" t="n"/>
      <c r="D32" s="87" t="n"/>
      <c r="E32" s="87" t="n"/>
      <c r="F32" s="87" t="n"/>
      <c r="G32" s="87" t="n"/>
      <c r="H32" s="87" t="n"/>
      <c r="I32" s="87" t="n"/>
      <c r="J32" s="87" t="n"/>
      <c r="K32" s="87" t="n"/>
      <c r="L32" s="87" t="n"/>
      <c r="M32" s="87" t="n"/>
      <c r="N32" s="87" t="n"/>
      <c r="O32" s="87" t="n"/>
      <c r="P32" s="87" t="n"/>
      <c r="Q32" s="87" t="n"/>
      <c r="R32" s="82" t="n"/>
      <c r="S32" s="82" t="n"/>
      <c r="T32" s="82" t="n"/>
      <c r="U32" s="82" t="n"/>
      <c r="V32" s="82" t="n"/>
      <c r="W32" s="82" t="n"/>
    </row>
    <row r="33">
      <c r="V33" s="73">
        <f>IF($W$29&lt;&gt; "",IF(LEN($W$29)&gt;4,LEFT($W$29,1),"0"),"")</f>
        <v/>
      </c>
      <c r="W33" s="73">
        <f>IF($W$29&lt;&gt;"",LEFT(RIGHT($W$29,4),1),"")</f>
        <v/>
      </c>
      <c r="X33" s="73">
        <f>IF($W$29&lt;&gt;"",LEFT(RIGHT($W$29,3),1),"")</f>
        <v/>
      </c>
      <c r="Y33" s="73">
        <f>IF($W$29&lt;&gt;"",LEFT(RIGHT($W$29,2),1),"")</f>
        <v/>
      </c>
      <c r="Z33" s="73">
        <f>IF($W$29&lt;&gt;"",RIGHT($W$29,1),"")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onLbfIcgCzompPeNb9k37g==" formatRows="1" sort="1" spinCount="100000" hashValue="tHD/Jkm5EzVoj26vY5eSeTFO+qESA0KOFzsNWXdyFXWoBdywZXEzoAbpXmNVUofZux0jzq1vNQ8hXRMXgzB7fA=="/>
  <mergeCells count="5">
    <mergeCell ref="B17:B19"/>
    <mergeCell ref="A15:B15"/>
    <mergeCell ref="A1:B1"/>
    <mergeCell ref="A9:B9"/>
    <mergeCell ref="C1:H1"/>
  </mergeCells>
  <dataValidations count="2">
    <dataValidation sqref="C2:G2 C3:H5" showDropDown="0" showInputMessage="1" showErrorMessage="1" allowBlank="0" errorTitle="Número Inválido" error="Sólo se permite ingresar un dígito entre 0 y 9." type="whole">
      <formula1>0</formula1>
      <formula2>9</formula2>
    </dataValidation>
    <dataValidation sqref="B6" showDropDown="0" showInputMessage="1" showErrorMessage="1" allowBlank="0" type="list">
      <formula1>$W$11:$W$22</formula1>
    </dataValidation>
  </dataValidations>
  <hyperlinks>
    <hyperlink xmlns:r="http://schemas.openxmlformats.org/officeDocument/2006/relationships" ref="W25" r:id="rId1"/>
  </hyperlink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DG258"/>
  <sheetViews>
    <sheetView showGridLines="0" topLeftCell="A88" zoomScaleNormal="100" workbookViewId="0">
      <selection activeCell="A19" sqref="A19:A20"/>
    </sheetView>
  </sheetViews>
  <sheetFormatPr baseColWidth="10" defaultColWidth="11.42578125" defaultRowHeight="15"/>
  <cols>
    <col width="53.7109375" customWidth="1" style="622" min="1" max="1"/>
    <col width="26" customWidth="1" style="622" min="2" max="2"/>
    <col width="12.42578125" customWidth="1" style="622" min="3" max="3"/>
    <col width="12.140625" customWidth="1" style="622" min="4" max="4"/>
    <col width="14.42578125" bestFit="1" customWidth="1" style="622" min="5" max="5"/>
    <col width="12.28515625" customWidth="1" style="622" min="6" max="6"/>
    <col width="11.42578125" customWidth="1" style="622" min="7" max="7"/>
    <col width="12.85546875" customWidth="1" style="622" min="8" max="8"/>
    <col width="14.28515625" customWidth="1" style="622" min="9" max="9"/>
    <col width="12.28515625" customWidth="1" style="622" min="10" max="10"/>
    <col width="16" customWidth="1" style="622" min="11" max="11"/>
    <col width="14.5703125" customWidth="1" style="622" min="12" max="12"/>
    <col width="13.85546875" customWidth="1" style="622" min="13" max="13"/>
    <col width="11.42578125" customWidth="1" style="622" min="14" max="22"/>
    <col width="12.7109375" customWidth="1" style="622" min="23" max="34"/>
    <col width="11.42578125" customWidth="1" style="622" min="35" max="35"/>
    <col width="13.5703125" customWidth="1" style="622" min="36" max="36"/>
    <col width="15.7109375" customWidth="1" style="622" min="37" max="38"/>
    <col width="12.42578125" customWidth="1" style="622" min="39" max="39"/>
    <col width="11.42578125" customWidth="1" style="622" min="40" max="41"/>
    <col width="12.7109375" customWidth="1" style="622" min="42" max="42"/>
    <col width="11.42578125" customWidth="1" style="622" min="43" max="46"/>
    <col width="9.42578125" customWidth="1" style="622" min="47" max="47"/>
    <col width="11.42578125" customWidth="1" style="622" min="48" max="77"/>
    <col hidden="1" width="11.42578125" customWidth="1" style="622" min="78" max="81"/>
    <col hidden="1" width="24" customWidth="1" style="622" min="82" max="82"/>
    <col hidden="1" width="11.42578125" customWidth="1" style="622" min="83" max="114"/>
    <col width="11.42578125" customWidth="1" style="622" min="115" max="130"/>
    <col width="11.42578125" customWidth="1" style="622" min="131" max="16384"/>
  </cols>
  <sheetData>
    <row r="1">
      <c r="A1" s="5551" t="inlineStr">
        <is>
          <t>SERVICIO DE SALUD</t>
        </is>
      </c>
    </row>
    <row r="2">
      <c r="A2" s="5551">
        <f>CONCATENATE("COMUNA: ",NOMBRE!B2, " (",NOMBRE!C2,NOMBRE!D2,NOMBRE!E2,NOMBRE!F2,NOMBRE!G2,")")</f>
        <v/>
      </c>
    </row>
    <row r="3">
      <c r="A3" s="5551">
        <f>CONCATENATE("ESTABLECIMIENTO/ESTRATEGIA: ", NOMBRE!B3, " (",NOMBRE!C3,NOMBRE!D3,NOMBRE!E3,NOMBRE!F3,NOMBRE!G3,NOMBRE!H3,")")</f>
        <v/>
      </c>
    </row>
    <row r="4">
      <c r="A4" s="5551">
        <f>CONCATENATE("MES: ",NOMBRE!B6, " (",NOMBRE!C6,NOMBRE!D6,")")</f>
        <v/>
      </c>
    </row>
    <row r="5">
      <c r="A5" s="5551">
        <f>CONCATENATE("AÑO: ",NOMBRE!B7)</f>
        <v/>
      </c>
    </row>
    <row r="6" ht="18" customFormat="1" customHeight="1" s="5554">
      <c r="A6" s="7230" t="inlineStr">
        <is>
          <t>REM-A01.   CONTROLES DE SALUD</t>
        </is>
      </c>
      <c r="Q6" s="5552" t="n"/>
      <c r="R6" s="5552" t="n"/>
      <c r="S6" s="5552" t="n"/>
      <c r="T6" s="5552" t="n"/>
      <c r="U6" s="5552" t="n"/>
      <c r="V6" s="5552" t="n"/>
      <c r="W6" s="5552" t="n"/>
      <c r="X6" s="5552" t="n"/>
      <c r="Y6" s="5552" t="n"/>
      <c r="Z6" s="5552" t="n"/>
      <c r="AA6" s="5552" t="n"/>
      <c r="AB6" s="5552" t="n"/>
      <c r="AC6" s="5552" t="n"/>
      <c r="AD6" s="5552" t="n"/>
      <c r="AE6" s="5552" t="n"/>
      <c r="AF6" s="5552" t="n"/>
      <c r="AG6" s="5552" t="n"/>
      <c r="AH6" s="5552" t="n"/>
      <c r="AI6" s="5552" t="n"/>
      <c r="AJ6" s="5552" t="n"/>
      <c r="AK6" s="5552" t="n"/>
      <c r="AL6" s="5553" t="n"/>
      <c r="AM6" s="5553" t="n"/>
      <c r="AN6" s="5553" t="n"/>
      <c r="AO6" s="5553" t="n"/>
      <c r="AP6" s="5553" t="n"/>
      <c r="AQ6" s="5553" t="n"/>
      <c r="AR6" s="5553" t="n"/>
      <c r="AS6" s="5553" t="n"/>
      <c r="BA6" s="5555" t="n"/>
      <c r="BB6" s="5555" t="n"/>
      <c r="BC6" s="5555" t="n"/>
      <c r="BD6" s="5555" t="n"/>
      <c r="BE6" s="5555" t="n"/>
      <c r="BF6" s="5555" t="n"/>
      <c r="BG6" s="5555" t="n"/>
      <c r="BH6" s="5555" t="n"/>
      <c r="BI6" s="5555" t="n"/>
      <c r="BJ6" s="5555" t="n"/>
      <c r="BK6" s="5555" t="n"/>
      <c r="BL6" s="5555" t="n"/>
      <c r="BM6" s="5555" t="n"/>
      <c r="BN6" s="5555" t="n"/>
      <c r="BO6" s="5555" t="n"/>
      <c r="BP6" s="5555" t="n"/>
      <c r="BQ6" s="5555" t="n"/>
      <c r="BR6" s="5555" t="n"/>
      <c r="BS6" s="5555" t="n"/>
      <c r="BT6" s="5555" t="n"/>
      <c r="BU6" s="5555" t="n"/>
      <c r="BV6" s="5555" t="n"/>
      <c r="BW6" s="5555" t="n"/>
      <c r="BX6" s="5555" t="n"/>
      <c r="BY6" s="5555" t="n"/>
      <c r="BZ6" s="5555" t="n"/>
      <c r="CA6" s="5556" t="n"/>
      <c r="CB6" s="5556" t="n"/>
      <c r="CC6" s="5556" t="n"/>
      <c r="CD6" s="5556" t="n"/>
      <c r="CE6" s="5556" t="n"/>
      <c r="CF6" s="5556" t="n"/>
      <c r="CG6" s="5556" t="n"/>
      <c r="CH6" s="5556" t="n"/>
      <c r="CI6" s="5556" t="n"/>
      <c r="CJ6" s="5556" t="n"/>
      <c r="CK6" s="5556" t="n"/>
      <c r="CL6" s="5556" t="n"/>
      <c r="CM6" s="5556" t="n"/>
      <c r="CN6" s="5556" t="n"/>
      <c r="CO6" s="5556" t="n"/>
      <c r="CP6" s="5556" t="n"/>
      <c r="CQ6" s="5556" t="n"/>
      <c r="CR6" s="5556" t="n"/>
      <c r="CS6" s="5556" t="n"/>
      <c r="CT6" s="5556" t="n"/>
      <c r="CU6" s="5556" t="n"/>
      <c r="CV6" s="5556" t="n"/>
      <c r="CW6" s="5556" t="n"/>
      <c r="CX6" s="5556" t="n"/>
      <c r="CY6" s="5556" t="n"/>
      <c r="CZ6" s="5556" t="n"/>
      <c r="DA6" s="5556" t="n"/>
      <c r="DB6" s="5556" t="n"/>
      <c r="DC6" s="5556" t="n"/>
      <c r="DD6" s="5556" t="n"/>
      <c r="DE6" s="5556" t="n"/>
      <c r="DF6" s="5556" t="n"/>
      <c r="DG6" s="5556" t="n"/>
    </row>
    <row r="8" ht="18" customHeight="1" s="8286">
      <c r="A8" s="9590" t="inlineStr">
        <is>
          <t>SECCIÓN A: CONTROLES DE SALUD SEXUAL Y REPRODUCTIVA</t>
        </is>
      </c>
      <c r="B8" s="9591" t="n"/>
      <c r="C8" s="9591" t="n"/>
      <c r="D8" s="9591" t="n"/>
      <c r="E8" s="9591" t="n"/>
      <c r="F8" s="9591" t="n"/>
      <c r="G8" s="9591" t="n"/>
      <c r="H8" s="9591" t="n"/>
      <c r="I8" s="9591" t="n"/>
      <c r="J8" s="9591" t="n"/>
      <c r="K8" s="9591" t="n"/>
      <c r="L8" s="9591" t="n"/>
      <c r="M8" s="9591" t="n"/>
      <c r="N8" s="9591" t="n"/>
      <c r="O8" s="9591" t="n"/>
      <c r="P8" s="9591" t="n"/>
      <c r="Q8" s="9591" t="n"/>
      <c r="R8" s="9591" t="n"/>
      <c r="S8" s="9591" t="n"/>
      <c r="T8" s="9591" t="n"/>
      <c r="U8" s="9591" t="n"/>
      <c r="V8" s="9591" t="n"/>
      <c r="W8" s="9591" t="n"/>
      <c r="X8" s="9591" t="n"/>
      <c r="Y8" s="9591" t="n"/>
      <c r="Z8" s="9591" t="n"/>
      <c r="AA8" s="9591" t="n"/>
      <c r="AB8" s="9591" t="n"/>
      <c r="AC8" s="9591" t="n"/>
      <c r="AD8" s="9591" t="n"/>
      <c r="AE8" s="9591" t="n"/>
      <c r="AF8" s="9591" t="n"/>
      <c r="AG8" s="9591" t="n"/>
      <c r="AH8" s="9591" t="n"/>
    </row>
    <row r="9" ht="15" customHeight="1" s="8286">
      <c r="A9" s="9592" t="inlineStr">
        <is>
          <t>TIPO DE CONTROL</t>
        </is>
      </c>
      <c r="B9" s="9592" t="inlineStr">
        <is>
          <t>PROFESIONAL</t>
        </is>
      </c>
      <c r="C9" s="9593" t="inlineStr">
        <is>
          <t xml:space="preserve">TOTAL      </t>
        </is>
      </c>
      <c r="D9" s="9594" t="inlineStr">
        <is>
          <t>RANGO ETARIO</t>
        </is>
      </c>
      <c r="E9" s="9584" t="n"/>
      <c r="F9" s="9584" t="n"/>
      <c r="G9" s="9584" t="n"/>
      <c r="H9" s="9584" t="n"/>
      <c r="I9" s="9584" t="n"/>
      <c r="J9" s="9584" t="n"/>
      <c r="K9" s="9584" t="n"/>
      <c r="L9" s="9584" t="n"/>
      <c r="M9" s="9584" t="n"/>
      <c r="N9" s="9584" t="n"/>
      <c r="O9" s="9584" t="n"/>
      <c r="P9" s="9584" t="n"/>
      <c r="Q9" s="9584" t="n"/>
      <c r="R9" s="9584" t="n"/>
      <c r="S9" s="9584" t="n"/>
      <c r="T9" s="9595" t="n"/>
      <c r="U9" s="9596" t="inlineStr">
        <is>
          <t>Sexo</t>
        </is>
      </c>
      <c r="V9" s="9597" t="n"/>
      <c r="W9" s="9598" t="inlineStr">
        <is>
          <t>Control con pareja, familiar u otro</t>
        </is>
      </c>
      <c r="X9" s="6800" t="inlineStr">
        <is>
          <t>Control de diada con presencia del padre</t>
        </is>
      </c>
      <c r="Y9" s="9599" t="inlineStr">
        <is>
          <t>Espacios Amigables/ Adolescentes</t>
        </is>
      </c>
      <c r="Z9" s="7226" t="inlineStr">
        <is>
          <t xml:space="preserve">SENAME/ Servicio Nacional de Reinserción social Juvenil </t>
        </is>
      </c>
      <c r="AA9" s="7237" t="inlineStr">
        <is>
          <t>Servicio Nacional Protección Especializada a la Niñez y Adolescencia</t>
        </is>
      </c>
      <c r="AB9" s="9600" t="inlineStr">
        <is>
          <t>Pueblos Originarios</t>
        </is>
      </c>
      <c r="AC9" s="7632" t="inlineStr">
        <is>
          <t>Migrantes</t>
        </is>
      </c>
      <c r="AD9" s="8251" t="inlineStr">
        <is>
          <t>Personas con discapacidad</t>
        </is>
      </c>
      <c r="AE9" s="9601" t="inlineStr">
        <is>
          <t>Identificación de género</t>
        </is>
      </c>
      <c r="AF9" s="9602" t="n"/>
      <c r="AG9" s="9603" t="n"/>
      <c r="AH9" s="9593" t="inlineStr">
        <is>
          <t>Adolescente acude a control MAC con pareja</t>
        </is>
      </c>
    </row>
    <row r="10" ht="57.75" customHeight="1" s="8286">
      <c r="A10" s="9589" t="n"/>
      <c r="B10" s="9589" t="n"/>
      <c r="C10" s="9589" t="n"/>
      <c r="D10" s="5558" t="inlineStr">
        <is>
          <t>Menos de 4 años</t>
        </is>
      </c>
      <c r="E10" s="5559" t="inlineStr">
        <is>
          <t xml:space="preserve"> 5  -  9 años</t>
        </is>
      </c>
      <c r="F10" s="5559" t="inlineStr">
        <is>
          <t xml:space="preserve"> 10 - 14 años</t>
        </is>
      </c>
      <c r="G10" s="7383" t="inlineStr">
        <is>
          <t>15 - 19 años</t>
        </is>
      </c>
      <c r="H10" s="7377" t="inlineStr">
        <is>
          <t>20 - 24 años</t>
        </is>
      </c>
      <c r="I10" s="7377" t="inlineStr">
        <is>
          <t>25 - 29 años</t>
        </is>
      </c>
      <c r="J10" s="7377" t="inlineStr">
        <is>
          <t>30 - 34 años</t>
        </is>
      </c>
      <c r="K10" s="7377" t="inlineStr">
        <is>
          <t>35 - 39 años</t>
        </is>
      </c>
      <c r="L10" s="7377" t="inlineStr">
        <is>
          <t>40 - 44 años</t>
        </is>
      </c>
      <c r="M10" s="7377" t="inlineStr">
        <is>
          <t>45 - 49 años</t>
        </is>
      </c>
      <c r="N10" s="7377" t="inlineStr">
        <is>
          <t>50 - 54 años</t>
        </is>
      </c>
      <c r="O10" s="7377" t="inlineStr">
        <is>
          <t>55 - 59 años</t>
        </is>
      </c>
      <c r="P10" s="7377" t="inlineStr">
        <is>
          <t>60 - 64 años</t>
        </is>
      </c>
      <c r="Q10" s="7377" t="inlineStr">
        <is>
          <t>65 - 69 años</t>
        </is>
      </c>
      <c r="R10" s="7377" t="inlineStr">
        <is>
          <t>70 - 74 años</t>
        </is>
      </c>
      <c r="S10" s="7377" t="inlineStr">
        <is>
          <t>75 - 79 años</t>
        </is>
      </c>
      <c r="T10" s="7439" t="inlineStr">
        <is>
          <t>80 y más años</t>
        </is>
      </c>
      <c r="U10" s="5560" t="inlineStr">
        <is>
          <t>Hombres</t>
        </is>
      </c>
      <c r="V10" s="7378" t="inlineStr">
        <is>
          <t>Mujeres</t>
        </is>
      </c>
      <c r="W10" s="9604" t="n"/>
      <c r="X10" s="9605" t="n"/>
      <c r="Y10" s="9606" t="n"/>
      <c r="Z10" s="9607" t="n"/>
      <c r="AA10" s="9608" t="n"/>
      <c r="AB10" s="9609" t="n"/>
      <c r="AC10" s="9610" t="n"/>
      <c r="AD10" s="9611" t="n"/>
      <c r="AE10" s="5561" t="inlineStr">
        <is>
          <t>Trans masculino</t>
        </is>
      </c>
      <c r="AF10" s="7383" t="inlineStr">
        <is>
          <t>Trans femenina</t>
        </is>
      </c>
      <c r="AG10" s="5562" t="inlineStr">
        <is>
          <t>No binarie</t>
        </is>
      </c>
      <c r="AH10" s="9589" t="n"/>
    </row>
    <row r="11" ht="15" customHeight="1" s="8286">
      <c r="A11" s="9612" t="inlineStr">
        <is>
          <t>Preconcepcional</t>
        </is>
      </c>
      <c r="B11" s="1721" t="inlineStr">
        <is>
          <t>Médico/a</t>
        </is>
      </c>
      <c r="C11" s="5563">
        <f>SUM(F11:N11)</f>
        <v/>
      </c>
      <c r="D11" s="1912" t="n"/>
      <c r="E11" s="1910" t="n"/>
      <c r="F11" s="954" t="n"/>
      <c r="G11" s="954" t="n"/>
      <c r="H11" s="954" t="n"/>
      <c r="I11" s="954" t="n"/>
      <c r="J11" s="954" t="n"/>
      <c r="K11" s="954" t="n"/>
      <c r="L11" s="954" t="n"/>
      <c r="M11" s="954" t="n"/>
      <c r="N11" s="954" t="n"/>
      <c r="O11" s="5564" t="n"/>
      <c r="P11" s="5565" t="n"/>
      <c r="Q11" s="5346" t="n"/>
      <c r="R11" s="5346" t="n"/>
      <c r="S11" s="5346" t="n"/>
      <c r="T11" s="5566" t="n"/>
      <c r="U11" s="1613" t="n"/>
      <c r="V11" s="1905" t="n"/>
      <c r="W11" s="5567" t="n"/>
      <c r="X11" s="5346" t="n"/>
      <c r="Y11" s="5568" t="n"/>
      <c r="Z11" s="5569" t="n"/>
      <c r="AA11" s="5570" t="n"/>
      <c r="AB11" s="1077" t="n"/>
      <c r="AC11" s="5571" t="n"/>
      <c r="AD11" s="5572" t="n"/>
      <c r="AE11" s="1511" t="n"/>
      <c r="AF11" s="5573" t="n"/>
      <c r="AG11" s="5574" t="n"/>
      <c r="AH11" s="5317" t="n"/>
      <c r="AI11" s="1006">
        <f>$CA11&amp;CB11&amp;CC11&amp;CD11&amp;CE11&amp;CF11&amp;CG11&amp;CH11&amp;CI11&amp;CJ11&amp;CK11&amp;CL11&amp;CM11</f>
        <v/>
      </c>
      <c r="CA11" s="5575">
        <f>IF((U11+V11)&lt;&gt;$C11," * La suma de la variable Sexo (Hombres + Mujeres) no puede ser distinto al Total","")</f>
        <v/>
      </c>
      <c r="CB11" s="5575">
        <f>IF(AND($C11&lt;&gt;0,W11=""),"* No olvide ingresar la variable "&amp;W$9&amp;""&amp;". Digite CERO si no tiene.  ",IF(W11&gt;$C11,"* La variable Control con pareja, familiar u otro no debe ser mayor al Total. ",""))</f>
        <v/>
      </c>
      <c r="CC11" s="5576" t="n"/>
      <c r="CD11" s="5575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>
        <f>IF(AND($C11&lt;&gt;0,Z11=""),"* No olvide ingresar la variable "&amp;Z$9&amp;""&amp;". Digite CERO si no tiene. ",IF(Z11&gt;$C11,"* La variable "&amp;Z$9&amp;""&amp;" no debe ser mayor al Total. ",""))</f>
        <v/>
      </c>
      <c r="CF11" s="5575">
        <f>IF(AND($C11&lt;&gt;0,AA11=""),"* No olvide ingresar la variable "&amp;AA$9&amp;""&amp;". Digite CERO si no tiene.  ",IF(AA11&gt;$C11,"* La variable "&amp;AA$9&amp;""&amp;" no debe ser mayor al Total. ",""))</f>
        <v/>
      </c>
      <c r="CG11" s="5575">
        <f>IF(AND($C11&lt;&gt;0,AB11=""),"* No olvide ingresar la variable "&amp;AB$9&amp;""&amp;". Digite CERO si no tiene. ",IF(AB11&gt;$C11,"* La variable de Pueblos Originarios no debe ser mayor al Total. ",""))</f>
        <v/>
      </c>
      <c r="CH11" s="5575">
        <f>IF(AND($C11&lt;&gt;0,AC11=""),"* No olvide ingresar la variable "&amp;AC$9&amp;""&amp;". Digite CERO si no tiene.  ",IF(AC11&gt;$C11,"* La variable Migrantes no debe ser mayor al Total. ",""))</f>
        <v/>
      </c>
      <c r="CI11" s="5575">
        <f>IF(AND($C11&lt;&gt;0,AD11=""),"* No olvide ingresar la variable "&amp;AD$9&amp;""&amp;". Digite CERO si no tiene.  ",IF(AD11&gt;$C11,"* La variable Personas con discapacidad no debe ser mayor al Total. ",""))</f>
        <v/>
      </c>
      <c r="CJ11" s="5575">
        <f>IF(AND($V11&lt;&gt;0,AE11=""),"* No olvide ingresar la variable "&amp;AE$10&amp;""&amp;". Digite CERO si no tiene.  ",IF(AE11&gt;$V11,"* La variable Trans masculino no debe ser mayor al Total Mujeres. ",""))</f>
        <v/>
      </c>
      <c r="CK11" s="5575">
        <f>IF(AND($U11&lt;&gt;0,AF11=""),"* No olvide ingresar la variable "&amp;AF$10&amp;""&amp;". Digite CERO si no tiene.  ",IF(AF11&gt;$U11,"* La variable Trans Femenino no debe ser mayor al Total Hombres ",""))</f>
        <v/>
      </c>
      <c r="CL11" s="5575">
        <f>IF(AND($C11&lt;&gt;0,AG11=""),"* No olvide ingresar la variable "&amp;AG$10&amp;""&amp;". Digite CERO si no tiene.  ",IF(AG11&gt;$C11,"* La variable No binarie no debe ser mayor al Total. ",""))</f>
        <v/>
      </c>
      <c r="CM11" s="5576" t="n"/>
      <c r="CU11" s="5577">
        <f>IF((U11+V11)&lt;&gt;$C11,1,0)</f>
        <v/>
      </c>
      <c r="CV11" s="5577">
        <f>IF(AND(C11&gt;0,W11=""),1,IF(W11&gt;C11,1,0))</f>
        <v/>
      </c>
      <c r="CW11" s="5578" t="n"/>
      <c r="CX11" s="5577">
        <f>IF(AND(($F11+$G11)&lt;&gt;0,Y11=""),1,IF(Y11&gt;($F11+$G11),1,0))</f>
        <v/>
      </c>
      <c r="CY11" s="5577">
        <f>IF(AND($C11&lt;&gt;0,Z11=""),1,IF(Z11&gt;C11,1,0))</f>
        <v/>
      </c>
      <c r="CZ11" s="5577">
        <f>IF(AND($C11&lt;&gt;0,AA11=""),1,IF(AA11&gt;C11,1,0))</f>
        <v/>
      </c>
      <c r="DA11" s="5577">
        <f>IF(AND($C11&lt;&gt;0,AB11=""),1,IF(AB11&gt;C11,1,0))</f>
        <v/>
      </c>
      <c r="DB11" s="5577">
        <f>IF(AND($C11&lt;&gt;0,AC11=""),1,IF(AC11&gt;C11,1,0))</f>
        <v/>
      </c>
      <c r="DC11" s="5577">
        <f>IF(AND($C11&lt;&gt;0,AD11=""),1,IF(AD11&gt;$C11,1,0))</f>
        <v/>
      </c>
      <c r="DD11" s="5577">
        <f>IF(AND($V11&lt;&gt;0,AE11=""),1,IF(AE11&gt;$V11,1,0))</f>
        <v/>
      </c>
      <c r="DE11" s="5577">
        <f>IF(AND($U11&lt;&gt;0,AF11=""),1,IF(AF11&gt;$U11,1,0))</f>
        <v/>
      </c>
      <c r="DF11" s="5577">
        <f>IF(AND($C11&lt;&gt;0,AG11=""),1,IF(AG11&gt;$C11,1,0))</f>
        <v/>
      </c>
      <c r="DG11" s="5579" t="n"/>
    </row>
    <row r="12" ht="15" customHeight="1" s="8286">
      <c r="A12" s="9589" t="n"/>
      <c r="B12" s="1648" t="inlineStr">
        <is>
          <t>Matrona/ón</t>
        </is>
      </c>
      <c r="C12" s="5580">
        <f>SUM(F12:N12)</f>
        <v/>
      </c>
      <c r="D12" s="1622" t="n"/>
      <c r="E12" s="5581" t="n"/>
      <c r="F12" s="1625" t="n"/>
      <c r="G12" s="1625" t="n"/>
      <c r="H12" s="1625" t="n"/>
      <c r="I12" s="1625" t="n">
        <v>1</v>
      </c>
      <c r="J12" s="1625" t="n">
        <v>1</v>
      </c>
      <c r="K12" s="1625" t="n">
        <v>2</v>
      </c>
      <c r="L12" s="1625" t="n"/>
      <c r="M12" s="1625" t="n"/>
      <c r="N12" s="1625" t="n"/>
      <c r="O12" s="5582" t="n"/>
      <c r="P12" s="1623" t="n"/>
      <c r="Q12" s="1623" t="n"/>
      <c r="R12" s="1623" t="n"/>
      <c r="S12" s="1623" t="n"/>
      <c r="T12" s="1660" t="n"/>
      <c r="U12" s="1627" t="n"/>
      <c r="V12" s="1642" t="n">
        <v>4</v>
      </c>
      <c r="W12" s="1553" t="n">
        <v>0</v>
      </c>
      <c r="X12" s="1623" t="n"/>
      <c r="Y12" s="1552" t="n">
        <v>0</v>
      </c>
      <c r="Z12" s="5583" t="n">
        <v>0</v>
      </c>
      <c r="AA12" s="5584" t="n">
        <v>0</v>
      </c>
      <c r="AB12" s="1733" t="n">
        <v>0</v>
      </c>
      <c r="AC12" s="5585" t="n">
        <v>0</v>
      </c>
      <c r="AD12" s="1520" t="n">
        <v>0</v>
      </c>
      <c r="AE12" s="1519" t="n">
        <v>0</v>
      </c>
      <c r="AF12" s="961" t="n">
        <v>0</v>
      </c>
      <c r="AG12" s="1520" t="n">
        <v>0</v>
      </c>
      <c r="AH12" s="5586" t="n"/>
      <c r="AI12" s="1006">
        <f>$CA12&amp;CB12&amp;CC12&amp;CD12&amp;CE12&amp;CF12&amp;CG12&amp;CH12&amp;CI12&amp;CJ12&amp;CK12&amp;CL12&amp;CM12</f>
        <v/>
      </c>
      <c r="CA12" s="5575">
        <f>IF((U12+V12)&lt;&gt;$C12," * La suma de la variable Sexo (Hombres + Mujeres) no puede ser distinto al Total","")</f>
        <v/>
      </c>
      <c r="CB12" s="5575">
        <f>IF(AND($C12&lt;&gt;0,W12=""),"* No olvide ingresar la variable "&amp;W$9&amp;""&amp;". Digite CERO si no tiene.  ",IF(W12&gt;$C12,"* La variable Control con pareja, familiar u otro no debe ser mayor al Total. ",""))</f>
        <v/>
      </c>
      <c r="CC12" s="5576" t="n"/>
      <c r="CD12" s="5575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>
        <f>IF(AND($C12&lt;&gt;0,Z12=""),"* No olvide ingresar la variable "&amp;Z$9&amp;""&amp;". Digite CERO si no tiene. ",IF(Z12&gt;$C12,"* La variable "&amp;Z$9&amp;""&amp;" no debe ser mayor al Total. ",""))</f>
        <v/>
      </c>
      <c r="CF12" s="5575">
        <f>IF(AND($C12&lt;&gt;0,AA12=""),"* No olvide ingresar la variable "&amp;AA$9&amp;""&amp;". Digite CERO si no tiene.  ",IF(AA12&gt;$C12,"* La variable "&amp;AA$9&amp;""&amp;" no debe ser mayor al Total. ",""))</f>
        <v/>
      </c>
      <c r="CG12" s="5575">
        <f>IF(AND($C12&lt;&gt;0,AB12=""),"* No olvide ingresar la variable "&amp;AB$9&amp;""&amp;". Digite CERO si no tiene. ",IF(AB12&gt;$C12,"* La variable de Pueblos Originarios no debe ser mayor al Total. ",""))</f>
        <v/>
      </c>
      <c r="CH12" s="5575">
        <f>IF(AND($C12&lt;&gt;0,AC12=""),"* No olvide ingresar la variable "&amp;AC$9&amp;""&amp;". Digite CERO si no tiene.  ",IF(AC12&gt;$C12,"* La variable Migrantes no debe ser mayor al Total. ",""))</f>
        <v/>
      </c>
      <c r="CI12" s="5575">
        <f>IF(AND($C12&lt;&gt;0,AD12=""),"* No olvide ingresar la variable "&amp;AD$9&amp;""&amp;". Digite CERO si no tiene.  ",IF(AD12&gt;$C12,"* La variable Personas con discapacidad no debe ser mayor al Total. ",""))</f>
        <v/>
      </c>
      <c r="CJ12" s="5575">
        <f>IF(AND($V12&lt;&gt;0,AE12=""),"* No olvide ingresar la variable "&amp;AE$10&amp;""&amp;". Digite CERO si no tiene.  ",IF(AE12&gt;$V12,"* La variable Trans masculino no debe ser mayor al Total Mujeres. ",""))</f>
        <v/>
      </c>
      <c r="CK12" s="5575">
        <f>IF(AND($U12&lt;&gt;0,AF12=""),"* No olvide ingresar la variable "&amp;AF$10&amp;""&amp;". Digite CERO si no tiene.  ",IF(AF12&gt;$U12,"* La variable Trans Femenino no debe ser mayor al Total Hombres ",""))</f>
        <v/>
      </c>
      <c r="CL12" s="5575">
        <f>IF(AND($C12&lt;&gt;0,AG12=""),"* No olvide ingresar la variable "&amp;AG$10&amp;""&amp;". Digite CERO si no tiene.  ",IF(AG12&gt;$C12,"* La variable No binarie no debe ser mayor al Total. ",""))</f>
        <v/>
      </c>
      <c r="CM12" s="5576" t="n"/>
      <c r="CU12" s="5577">
        <f>IF((U12+V12)&lt;&gt;$C12,1,0)</f>
        <v/>
      </c>
      <c r="CV12" s="5577">
        <f>IF(AND(C12&gt;0,W12=""),1,IF(W12&gt;C12,1,0))</f>
        <v/>
      </c>
      <c r="CW12" s="5578" t="n"/>
      <c r="CX12" s="5577">
        <f>IF(AND(($F12+$G12)&lt;&gt;0,Y12=""),1,IF(Y12&gt;($F12+$G12),1,0))</f>
        <v/>
      </c>
      <c r="CY12" s="5577">
        <f>IF(AND($C12&lt;&gt;0,Z12=""),1,IF(Z12&gt;C12,1,0))</f>
        <v/>
      </c>
      <c r="CZ12" s="5577">
        <f>IF(AND($C12&lt;&gt;0,AA12=""),1,IF(AA12&gt;C12,1,0))</f>
        <v/>
      </c>
      <c r="DA12" s="5577">
        <f>IF(AND($C12&lt;&gt;0,AB12=""),1,IF(AB12&gt;C12,1,0))</f>
        <v/>
      </c>
      <c r="DB12" s="5577">
        <f>IF(AND($C12&lt;&gt;0,AC12=""),1,IF(AC12&gt;C12,1,0))</f>
        <v/>
      </c>
      <c r="DC12" s="5577">
        <f>IF(AND($C12&lt;&gt;0,AD12=""),1,IF(AD12&gt;$C12,1,0))</f>
        <v/>
      </c>
      <c r="DD12" s="5577">
        <f>IF(AND($V12&lt;&gt;0,AE12=""),1,IF(AE12&gt;$V12,1,0))</f>
        <v/>
      </c>
      <c r="DE12" s="5577">
        <f>IF(AND($U12&lt;&gt;0,AF12=""),1,IF(AF12&gt;$U12,1,0))</f>
        <v/>
      </c>
      <c r="DF12" s="5577">
        <f>IF(AND($C12&lt;&gt;0,AG12=""),1,IF(AG12&gt;$C12,1,0))</f>
        <v/>
      </c>
      <c r="DG12" s="5579" t="n"/>
    </row>
    <row r="13" ht="15" customHeight="1" s="8286">
      <c r="A13" s="9613" t="inlineStr">
        <is>
          <t>Prenatal</t>
        </is>
      </c>
      <c r="B13" s="1721" t="inlineStr">
        <is>
          <t>Médico/a</t>
        </is>
      </c>
      <c r="C13" s="5587">
        <f>SUM(F13:N13)</f>
        <v/>
      </c>
      <c r="D13" s="5588" t="n"/>
      <c r="E13" s="5589" t="n"/>
      <c r="F13" s="954" t="n"/>
      <c r="G13" s="954" t="n"/>
      <c r="H13" s="954" t="n"/>
      <c r="I13" s="954" t="n"/>
      <c r="J13" s="954" t="n"/>
      <c r="K13" s="954" t="n"/>
      <c r="L13" s="954" t="n"/>
      <c r="M13" s="954" t="n"/>
      <c r="N13" s="5573" t="n"/>
      <c r="O13" s="5565" t="n"/>
      <c r="P13" s="5346" t="n"/>
      <c r="Q13" s="5346" t="n"/>
      <c r="R13" s="5346" t="n"/>
      <c r="S13" s="5346" t="n"/>
      <c r="T13" s="956" t="n"/>
      <c r="U13" s="5589" t="n"/>
      <c r="V13" s="1634" t="n"/>
      <c r="W13" s="5567" t="n"/>
      <c r="X13" s="955" t="n"/>
      <c r="Y13" s="5590" t="n"/>
      <c r="Z13" s="5569" t="n"/>
      <c r="AA13" s="5570" t="n"/>
      <c r="AB13" s="5591" t="n"/>
      <c r="AC13" s="5592" t="n"/>
      <c r="AD13" s="5593" t="n"/>
      <c r="AE13" s="998" t="n"/>
      <c r="AF13" s="5594" t="n"/>
      <c r="AG13" s="5574" t="n"/>
      <c r="AH13" s="5317" t="n"/>
      <c r="AI13" s="1006">
        <f>$CA13&amp;CB13&amp;CC13&amp;CD13&amp;CE13&amp;CF13&amp;CG13&amp;CH13&amp;CI13&amp;CJ13&amp;CK13&amp;CL13&amp;CM13</f>
        <v/>
      </c>
      <c r="CA13" s="5575">
        <f>IF((U13+V13)&lt;&gt;$C13," * La suma de la variable Sexo (Hombres + Mujeres) no puede ser distinto al Total","")</f>
        <v/>
      </c>
      <c r="CB13" s="5575">
        <f>IF(AND($C13&lt;&gt;0,W13=""),"* No olvide ingresar la variable "&amp;W$9&amp;""&amp;". Digite CERO si no tiene.  ",IF(W13&gt;$C13,"* La variable Control con pareja, familiar u otro no debe ser mayor al Total. ",""))</f>
        <v/>
      </c>
      <c r="CC13" s="5576" t="n"/>
      <c r="CD13" s="5576" t="n"/>
      <c r="CE13" s="5575">
        <f>IF(AND($C13&lt;&gt;0,Z13=""),"* No olvide ingresar la variable "&amp;Z$9&amp;""&amp;". Digite CERO si no tiene. ",IF(Z13&gt;$C13,"* La variable "&amp;Z$9&amp;""&amp;" no debe ser mayor al Total. ",""))</f>
        <v/>
      </c>
      <c r="CF13" s="5575">
        <f>IF(AND($C13&lt;&gt;0,AA13=""),"* No olvide ingresar la variable "&amp;AA$9&amp;""&amp;". Digite CERO si no tiene.  ",IF(AA13&gt;$C13,"* La variable "&amp;AA$9&amp;""&amp;" no debe ser mayor al Total. ",""))</f>
        <v/>
      </c>
      <c r="CG13" s="5575">
        <f>IF(AND($C13&lt;&gt;0,AB13=""),"* No olvide ingresar la variable "&amp;AB$9&amp;""&amp;". Digite CERO si no tiene. ",IF(AB13&gt;$C13,"* La variable de Pueblos Originarios no debe ser mayor al Total. ",""))</f>
        <v/>
      </c>
      <c r="CH13" s="5575">
        <f>IF(AND($C13&lt;&gt;0,AC13=""),"* No olvide ingresar la variable "&amp;AC$9&amp;""&amp;". Digite CERO si no tiene.  ",IF(AC13&gt;$C13,"* La variable Migrantes no debe ser mayor al Total. ",""))</f>
        <v/>
      </c>
      <c r="CI13" s="5575">
        <f>IF(AND($C13&lt;&gt;0,AD13=""),"* No olvide ingresar la variable "&amp;AD$9&amp;""&amp;". Digite CERO si no tiene.  ",IF(AD13&gt;$C13,"* La variable Personas con discapacidad no debe ser mayor al Total. ",""))</f>
        <v/>
      </c>
      <c r="CJ13" s="5575">
        <f>IF(AND($V13&lt;&gt;0,AE13=""),"* No olvide ingresar la variable "&amp;AE$10&amp;""&amp;". Digite CERO si no tiene.  ",IF(AE13&gt;$V13,"* La variable Trans masculino no debe ser mayor al Total Mujeres. ",""))</f>
        <v/>
      </c>
      <c r="CK13" s="5576" t="n"/>
      <c r="CL13" s="5575">
        <f>IF(AND($C13&lt;&gt;0,AG13=""),"* No olvide ingresar la variable "&amp;AG$10&amp;""&amp;". Digite CERO si no tiene.  ",IF(AG13&gt;$C13,"* La variable No binarie no debe ser mayor al Total. ",""))</f>
        <v/>
      </c>
      <c r="CM13" s="5576" t="n"/>
      <c r="CU13" s="5577">
        <f>IF((U13+V13)&lt;&gt;$C13,1,0)</f>
        <v/>
      </c>
      <c r="CV13" s="5577">
        <f>IF(AND(C13&gt;0,W13=""),1,IF(W13&gt;C13,1,0))</f>
        <v/>
      </c>
      <c r="CW13" s="5578" t="n"/>
      <c r="CX13" s="5578" t="n"/>
      <c r="CY13" s="5577">
        <f>IF(AND($C13&lt;&gt;0,Z13=""),1,IF(Z13&gt;C13,1,0))</f>
        <v/>
      </c>
      <c r="CZ13" s="5577">
        <f>IF(AND($C13&lt;&gt;0,AA13=""),1,IF(AA13&gt;C13,1,0))</f>
        <v/>
      </c>
      <c r="DA13" s="5577">
        <f>IF(AND($C13&lt;&gt;0,AB13=""),1,IF(AB13&gt;C13,1,0))</f>
        <v/>
      </c>
      <c r="DB13" s="5577">
        <f>IF(AND($C13&lt;&gt;0,AC13=""),1,IF(AC13&gt;C13,1,0))</f>
        <v/>
      </c>
      <c r="DC13" s="5577">
        <f>IF(AND($C13&lt;&gt;0,AD13=""),1,IF(AD13&gt;$C13,1,0))</f>
        <v/>
      </c>
      <c r="DD13" s="5577">
        <f>IF(AND($V13&lt;&gt;0,AE13=""),1,IF(AE13&gt;$V13,1,0))</f>
        <v/>
      </c>
      <c r="DE13" s="5578" t="n"/>
      <c r="DF13" s="5577">
        <f>IF(AND($C13&lt;&gt;0,AG13=""),1,IF(AG13&gt;$C13,1,0))</f>
        <v/>
      </c>
      <c r="DG13" s="5579" t="n"/>
    </row>
    <row r="14" ht="15" customHeight="1" s="8286">
      <c r="A14" s="9588" t="n"/>
      <c r="B14" s="1648" t="inlineStr">
        <is>
          <t>Matrona/ón</t>
        </is>
      </c>
      <c r="C14" s="5595">
        <f>SUM(F14:N14)</f>
        <v/>
      </c>
      <c r="D14" s="5596" t="n"/>
      <c r="E14" s="5597" t="n"/>
      <c r="F14" s="5598" t="n"/>
      <c r="G14" s="5598" t="n">
        <v>7</v>
      </c>
      <c r="H14" s="5598" t="n">
        <v>29</v>
      </c>
      <c r="I14" s="5598" t="n">
        <v>67</v>
      </c>
      <c r="J14" s="5598" t="n">
        <v>49</v>
      </c>
      <c r="K14" s="5598" t="n">
        <v>19</v>
      </c>
      <c r="L14" s="5598" t="n">
        <v>7</v>
      </c>
      <c r="M14" s="5598" t="n">
        <v>0</v>
      </c>
      <c r="N14" s="961" t="n"/>
      <c r="O14" s="5599" t="n"/>
      <c r="P14" s="1623" t="n"/>
      <c r="Q14" s="1623" t="n"/>
      <c r="R14" s="1623" t="n"/>
      <c r="S14" s="1623" t="n"/>
      <c r="T14" s="5600" t="n"/>
      <c r="U14" s="5601" t="n"/>
      <c r="V14" s="1642" t="n">
        <v>178</v>
      </c>
      <c r="W14" s="1553" t="n">
        <v>47</v>
      </c>
      <c r="X14" s="1623" t="n"/>
      <c r="Y14" s="5602" t="n"/>
      <c r="Z14" s="5583" t="n">
        <v>0</v>
      </c>
      <c r="AA14" s="5584" t="n">
        <v>0</v>
      </c>
      <c r="AB14" s="1733" t="n">
        <v>3</v>
      </c>
      <c r="AC14" s="5585" t="n">
        <v>23</v>
      </c>
      <c r="AD14" s="1520" t="n">
        <v>0</v>
      </c>
      <c r="AE14" s="1519" t="n">
        <v>0</v>
      </c>
      <c r="AF14" s="5603" t="n"/>
      <c r="AG14" s="1520" t="n">
        <v>0</v>
      </c>
      <c r="AH14" s="5586" t="n"/>
      <c r="AI14" s="1006">
        <f>$CA14&amp;CB14&amp;CC14&amp;CD14&amp;CE14&amp;CF14&amp;CG14&amp;CH14&amp;CI14&amp;CJ14&amp;CK14&amp;CL14&amp;CM14</f>
        <v/>
      </c>
      <c r="CA14" s="5575">
        <f>IF((U14+V14)&lt;&gt;$C14," * La suma de la variable Sexo (Hombres + Mujeres) no puede ser distinto al Total","")</f>
        <v/>
      </c>
      <c r="CB14" s="5575">
        <f>IF(AND($C14&lt;&gt;0,W14=""),"* No olvide ingresar la variable "&amp;W$9&amp;""&amp;". Digite CERO si no tiene.  ",IF(W14&gt;$C14,"* La variable Control con pareja, familiar u otro no debe ser mayor al Total. ",""))</f>
        <v/>
      </c>
      <c r="CC14" s="5576" t="n"/>
      <c r="CD14" s="5576" t="n"/>
      <c r="CE14" s="5575">
        <f>IF(AND($C14&lt;&gt;0,Z14=""),"* No olvide ingresar la variable "&amp;Z$9&amp;""&amp;". Digite CERO si no tiene. ",IF(Z14&gt;$C14,"* La variable "&amp;Z$9&amp;""&amp;" no debe ser mayor al Total. ",""))</f>
        <v/>
      </c>
      <c r="CF14" s="5575">
        <f>IF(AND($C14&lt;&gt;0,AA14=""),"* No olvide ingresar la variable "&amp;AA$9&amp;""&amp;". Digite CERO si no tiene.  ",IF(AA14&gt;$C14,"* La variable "&amp;AA$9&amp;""&amp;" no debe ser mayor al Total. ",""))</f>
        <v/>
      </c>
      <c r="CG14" s="5575">
        <f>IF(AND($C14&lt;&gt;0,AB14=""),"* No olvide ingresar la variable "&amp;AB$9&amp;""&amp;". Digite CERO si no tiene. ",IF(AB14&gt;$C14,"* La variable de Pueblos Originarios no debe ser mayor al Total. ",""))</f>
        <v/>
      </c>
      <c r="CH14" s="5575">
        <f>IF(AND($C14&lt;&gt;0,AC14=""),"* No olvide ingresar la variable "&amp;AC$9&amp;""&amp;". Digite CERO si no tiene.  ",IF(AC14&gt;$C14,"* La variable Migrantes no debe ser mayor al Total. ",""))</f>
        <v/>
      </c>
      <c r="CI14" s="5575">
        <f>IF(AND($C14&lt;&gt;0,AD14=""),"* No olvide ingresar la variable "&amp;AD$9&amp;""&amp;". Digite CERO si no tiene.  ",IF(AD14&gt;$C14,"* La variable Personas con discapacidad no debe ser mayor al Total. ",""))</f>
        <v/>
      </c>
      <c r="CJ14" s="5575">
        <f>IF(AND($V14&lt;&gt;0,AE14=""),"* No olvide ingresar la variable "&amp;AE$10&amp;""&amp;". Digite CERO si no tiene.  ",IF(AE14&gt;$V14,"* La variable Trans masculino no debe ser mayor al Total Mujeres. ",""))</f>
        <v/>
      </c>
      <c r="CK14" s="5576" t="n"/>
      <c r="CL14" s="5575">
        <f>IF(AND($C14&lt;&gt;0,AG14=""),"* No olvide ingresar la variable "&amp;AG$10&amp;""&amp;". Digite CERO si no tiene.  ",IF(AG14&gt;$C14,"* La variable No binarie no debe ser mayor al Total. ",""))</f>
        <v/>
      </c>
      <c r="CM14" s="5576" t="n"/>
      <c r="CU14" s="5577">
        <f>IF((U14+V14)&lt;&gt;$C14,1,0)</f>
        <v/>
      </c>
      <c r="CV14" s="5577">
        <f>IF(AND(C14&gt;0,W14=""),1,IF(W14&gt;SUM(C14),1,0))</f>
        <v/>
      </c>
      <c r="CW14" s="5578" t="n"/>
      <c r="CX14" s="5578" t="n"/>
      <c r="CY14" s="5577">
        <f>IF(AND($C14&lt;&gt;0,Z14=""),1,IF(Z14&gt;C14,1,0))</f>
        <v/>
      </c>
      <c r="CZ14" s="5577">
        <f>IF(AND($C14&lt;&gt;0,AA14=""),1,IF(AA14&gt;C14,1,0))</f>
        <v/>
      </c>
      <c r="DA14" s="5577">
        <f>IF(AND($C14&lt;&gt;0,AB14=""),1,IF(AB14&gt;C14,1,0))</f>
        <v/>
      </c>
      <c r="DB14" s="5577">
        <f>IF(AND($C14&lt;&gt;0,AC14=""),1,IF(AC14&gt;C14,1,0))</f>
        <v/>
      </c>
      <c r="DC14" s="5577">
        <f>IF(AND($C14&lt;&gt;0,AD14=""),1,IF(AD14&gt;$C14,1,0))</f>
        <v/>
      </c>
      <c r="DD14" s="5577">
        <f>IF(AND($V14&lt;&gt;0,AE14=""),1,IF(AE14&gt;$V14,1,0))</f>
        <v/>
      </c>
      <c r="DE14" s="5578" t="n"/>
      <c r="DF14" s="5577">
        <f>IF(AND($C14&lt;&gt;0,AG14=""),1,IF(AG14&gt;$C14,1,0))</f>
        <v/>
      </c>
      <c r="DG14" s="5579" t="n"/>
    </row>
    <row r="15" ht="15" customHeight="1" s="8286">
      <c r="A15" s="9612" t="inlineStr">
        <is>
          <t>Post Parto</t>
        </is>
      </c>
      <c r="B15" s="1721" t="inlineStr">
        <is>
          <t>Médico/a</t>
        </is>
      </c>
      <c r="C15" s="5563">
        <f>SUM(F15:N15)</f>
        <v/>
      </c>
      <c r="D15" s="1912" t="n"/>
      <c r="E15" s="1910" t="n"/>
      <c r="F15" s="5573" t="n"/>
      <c r="G15" s="5573" t="n"/>
      <c r="H15" s="5573" t="n"/>
      <c r="I15" s="5573" t="n"/>
      <c r="J15" s="5573" t="n"/>
      <c r="K15" s="5573" t="n"/>
      <c r="L15" s="5573" t="n"/>
      <c r="M15" s="5573" t="n"/>
      <c r="N15" s="5573" t="n"/>
      <c r="O15" s="5565" t="n"/>
      <c r="P15" s="5346" t="n"/>
      <c r="Q15" s="5346" t="n"/>
      <c r="R15" s="5346" t="n"/>
      <c r="S15" s="5346" t="n"/>
      <c r="T15" s="1658" t="n"/>
      <c r="U15" s="1910" t="n"/>
      <c r="V15" s="1634" t="n"/>
      <c r="W15" s="5567" t="n"/>
      <c r="X15" s="5346" t="n"/>
      <c r="Y15" s="5604" t="n"/>
      <c r="Z15" s="5569" t="n"/>
      <c r="AA15" s="5570" t="n"/>
      <c r="AB15" s="5591" t="n"/>
      <c r="AC15" s="5592" t="n"/>
      <c r="AD15" s="5593" t="n"/>
      <c r="AE15" s="998" t="n"/>
      <c r="AF15" s="5594" t="n"/>
      <c r="AG15" s="5574" t="n"/>
      <c r="AH15" s="5317" t="n"/>
      <c r="AI15" s="1006">
        <f>$CA15&amp;CB15&amp;CC15&amp;CD15&amp;CE15&amp;CF15&amp;CG15&amp;CH15&amp;CI15&amp;CJ15&amp;CK15&amp;CL15&amp;CM15</f>
        <v/>
      </c>
      <c r="CA15" s="5575">
        <f>IF((U15+V15)&lt;&gt;$C15," * La suma de la variable Sexo (Hombres + Mujeres) no puede ser distinto al Total","")</f>
        <v/>
      </c>
      <c r="CB15" s="5575">
        <f>IF(AND($C15&lt;&gt;0,W15=""),"* No olvide ingresar la variable "&amp;W$9&amp;""&amp;". Digite CERO si no tiene.  ",IF(W15&gt;$C15,"* La variable Control con pareja, familiar u otro no debe ser mayor al Total. ",""))</f>
        <v/>
      </c>
      <c r="CC15" s="5576" t="n"/>
      <c r="CD15" s="5576" t="n"/>
      <c r="CE15" s="5575">
        <f>IF(AND($C15&lt;&gt;0,Z15=""),"* No olvide ingresar la variable "&amp;Z$9&amp;""&amp;". Digite CERO si no tiene. ",IF(Z15&gt;$C15,"* La variable "&amp;Z$9&amp;""&amp;" no debe ser mayor al Total. ",""))</f>
        <v/>
      </c>
      <c r="CF15" s="5575">
        <f>IF(AND($C15&lt;&gt;0,AA15=""),"* No olvide ingresar la variable "&amp;AA$9&amp;""&amp;". Digite CERO si no tiene.  ",IF(AA15&gt;$C15,"* La variable "&amp;AA$9&amp;""&amp;" no debe ser mayor al Total. ",""))</f>
        <v/>
      </c>
      <c r="CG15" s="5575">
        <f>IF(AND($C15&lt;&gt;0,AB15=""),"* No olvide ingresar la variable "&amp;AB$9&amp;""&amp;". Digite CERO si no tiene. ",IF(AB15&gt;$C15,"* La variable de Pueblos Originarios no debe ser mayor al Total. ",""))</f>
        <v/>
      </c>
      <c r="CH15" s="5575">
        <f>IF(AND($C15&lt;&gt;0,AC15=""),"* No olvide ingresar la variable "&amp;AC$9&amp;""&amp;". Digite CERO si no tiene.  ",IF(AC15&gt;$C15,"* La variable Migrantes no debe ser mayor al Total. ",""))</f>
        <v/>
      </c>
      <c r="CI15" s="5575">
        <f>IF(AND($C15&lt;&gt;0,AD15=""),"* No olvide ingresar la variable "&amp;AD$9&amp;""&amp;". Digite CERO si no tiene.  ",IF(AD15&gt;$C15,"* La variable Personas con discapacidad no debe ser mayor al Total. ",""))</f>
        <v/>
      </c>
      <c r="CJ15" s="5575">
        <f>IF(AND($V15&lt;&gt;0,AE15=""),"* No olvide ingresar la variable "&amp;AE$10&amp;""&amp;". Digite CERO si no tiene.  ",IF(AE15&gt;$V15,"* La variable Trans masculino no debe ser mayor al Total Mujeres. ",""))</f>
        <v/>
      </c>
      <c r="CK15" s="5576" t="n"/>
      <c r="CL15" s="5575">
        <f>IF(AND($C15&lt;&gt;0,AG15=""),"* No olvide ingresar la variable "&amp;AG$10&amp;""&amp;". Digite CERO si no tiene.  ",IF(AG15&gt;$C15,"* La variable No binarie no debe ser mayor al Total. ",""))</f>
        <v/>
      </c>
      <c r="CM15" s="5576" t="n"/>
      <c r="CU15" s="5577">
        <f>IF((U15+V15)&lt;&gt;$C15,1,0)</f>
        <v/>
      </c>
      <c r="CV15" s="5577">
        <f>IF(AND(C15&gt;0,W15=""),1,IF(W15&gt;SUM(C15),1,0))</f>
        <v/>
      </c>
      <c r="CW15" s="5578" t="n"/>
      <c r="CX15" s="5578" t="n"/>
      <c r="CY15" s="5577">
        <f>IF(AND($C15&lt;&gt;0,Z15=""),1,IF(Z15&gt;C15,1,0))</f>
        <v/>
      </c>
      <c r="CZ15" s="5577">
        <f>IF(AND($C15&lt;&gt;0,AA15=""),1,IF(AA15&gt;C15,1,0))</f>
        <v/>
      </c>
      <c r="DA15" s="5577">
        <f>IF(AND($C15&lt;&gt;0,AB15=""),1,IF(AB15&gt;C15,1,0))</f>
        <v/>
      </c>
      <c r="DB15" s="5577">
        <f>IF(AND($C15&lt;&gt;0,AC15=""),1,IF(AC15&gt;C15,1,0))</f>
        <v/>
      </c>
      <c r="DC15" s="5577">
        <f>IF(AND($C15&lt;&gt;0,AD15=""),1,IF(AD15&gt;$C15,1,0))</f>
        <v/>
      </c>
      <c r="DD15" s="5577">
        <f>IF(AND($V15&lt;&gt;0,AE15=""),1,IF(AE15&gt;$V15,1,0))</f>
        <v/>
      </c>
      <c r="DE15" s="5578" t="n"/>
      <c r="DF15" s="5577">
        <f>IF(AND($C15&lt;&gt;0,AG15=""),1,IF(AG15&gt;$C15,1,0))</f>
        <v/>
      </c>
      <c r="DG15" s="5579" t="n"/>
    </row>
    <row r="16" ht="15" customHeight="1" s="8286">
      <c r="A16" s="9589" t="n"/>
      <c r="B16" s="1648" t="inlineStr">
        <is>
          <t>Matrona/ón</t>
        </is>
      </c>
      <c r="C16" s="5580">
        <f>SUM(F16:N16)</f>
        <v/>
      </c>
      <c r="D16" s="1622" t="n"/>
      <c r="E16" s="5581" t="n"/>
      <c r="F16" s="961" t="n"/>
      <c r="G16" s="961" t="n"/>
      <c r="H16" s="961" t="n"/>
      <c r="I16" s="961" t="n"/>
      <c r="J16" s="961" t="n">
        <v>2</v>
      </c>
      <c r="K16" s="961" t="n">
        <v>1</v>
      </c>
      <c r="L16" s="961" t="n"/>
      <c r="M16" s="961" t="n">
        <v>1</v>
      </c>
      <c r="N16" s="1625" t="n"/>
      <c r="O16" s="5582" t="n"/>
      <c r="P16" s="1623" t="n"/>
      <c r="Q16" s="1623" t="n"/>
      <c r="R16" s="1623" t="n"/>
      <c r="S16" s="1623" t="n"/>
      <c r="T16" s="1660" t="n"/>
      <c r="U16" s="5605" t="n"/>
      <c r="V16" s="1642" t="n">
        <v>4</v>
      </c>
      <c r="W16" s="1553" t="n">
        <v>0</v>
      </c>
      <c r="X16" s="1623" t="n"/>
      <c r="Y16" s="5602" t="n"/>
      <c r="Z16" s="5583" t="n">
        <v>0</v>
      </c>
      <c r="AA16" s="5584" t="n">
        <v>0</v>
      </c>
      <c r="AB16" s="1733" t="n">
        <v>0</v>
      </c>
      <c r="AC16" s="5585" t="n">
        <v>0</v>
      </c>
      <c r="AD16" s="1520" t="n">
        <v>0</v>
      </c>
      <c r="AE16" s="1519" t="n">
        <v>0</v>
      </c>
      <c r="AF16" s="5603" t="n"/>
      <c r="AG16" s="1520" t="n">
        <v>0</v>
      </c>
      <c r="AH16" s="5586" t="n"/>
      <c r="AI16" s="1006">
        <f>$CA16&amp;CB16&amp;CC16&amp;CD16&amp;CE16&amp;CF16&amp;CG16&amp;CH16&amp;CI16&amp;CJ16&amp;CK16&amp;CL16&amp;CM16</f>
        <v/>
      </c>
      <c r="CA16" s="5575">
        <f>IF((U16+V16)&lt;&gt;$C16," * La suma de la variable Sexo (Hombres + Mujeres) no puede ser distinto al Total","")</f>
        <v/>
      </c>
      <c r="CB16" s="5575">
        <f>IF(AND($C16&lt;&gt;0,W16=""),"* No olvide ingresar la variable "&amp;W$9&amp;""&amp;". Digite CERO si no tiene.  ",IF(W16&gt;$C16,"* La variable Control con pareja, familiar u otro no debe ser mayor al Total. ",""))</f>
        <v/>
      </c>
      <c r="CC16" s="5576" t="n"/>
      <c r="CD16" s="5576" t="n"/>
      <c r="CE16" s="5575">
        <f>IF(AND($C16&lt;&gt;0,Z16=""),"* No olvide ingresar la variable "&amp;Z$9&amp;""&amp;". Digite CERO si no tiene. ",IF(Z16&gt;$C16,"* La variable "&amp;Z$9&amp;""&amp;" no debe ser mayor al Total. ",""))</f>
        <v/>
      </c>
      <c r="CF16" s="5575">
        <f>IF(AND($C16&lt;&gt;0,AA16=""),"* No olvide ingresar la variable "&amp;AA$9&amp;""&amp;". Digite CERO si no tiene.  ",IF(AA16&gt;$C16,"* La variable "&amp;AA$9&amp;""&amp;" no debe ser mayor al Total. ",""))</f>
        <v/>
      </c>
      <c r="CG16" s="5575">
        <f>IF(AND($C16&lt;&gt;0,AB16=""),"* No olvide ingresar la variable "&amp;AB$9&amp;""&amp;". Digite CERO si no tiene. ",IF(AB16&gt;$C16,"* La variable de Pueblos Originarios no debe ser mayor al Total. ",""))</f>
        <v/>
      </c>
      <c r="CH16" s="5575">
        <f>IF(AND($C16&lt;&gt;0,AC16=""),"* No olvide ingresar la variable "&amp;AC$9&amp;""&amp;". Digite CERO si no tiene.  ",IF(AC16&gt;$C16,"* La variable Migrantes no debe ser mayor al Total. ",""))</f>
        <v/>
      </c>
      <c r="CI16" s="5575">
        <f>IF(AND($C16&lt;&gt;0,AD16=""),"* No olvide ingresar la variable "&amp;AD$9&amp;""&amp;". Digite CERO si no tiene.  ",IF(AD16&gt;$C16,"* La variable Personas con discapacidad no debe ser mayor al Total. ",""))</f>
        <v/>
      </c>
      <c r="CJ16" s="5575">
        <f>IF(AND($V16&lt;&gt;0,AE16=""),"* No olvide ingresar la variable "&amp;AE$10&amp;""&amp;". Digite CERO si no tiene.  ",IF(AE16&gt;$V16,"* La variable Trans masculino no debe ser mayor al Total Mujeres. ",""))</f>
        <v/>
      </c>
      <c r="CK16" s="5576" t="n"/>
      <c r="CL16" s="5575">
        <f>IF(AND($C16&lt;&gt;0,AG16=""),"* No olvide ingresar la variable "&amp;AG$10&amp;""&amp;". Digite CERO si no tiene.  ",IF(AG16&gt;$C16,"* La variable No binarie no debe ser mayor al Total. ",""))</f>
        <v/>
      </c>
      <c r="CM16" s="5576" t="n"/>
      <c r="CU16" s="5577">
        <f>IF((U16+V16)&lt;&gt;$C16,1,0)</f>
        <v/>
      </c>
      <c r="CV16" s="5577">
        <f>IF(AND(C16&gt;0,W16=""),1,IF(W16&gt;SUM(C16),1,0))</f>
        <v/>
      </c>
      <c r="CW16" s="5578" t="n"/>
      <c r="CX16" s="5578" t="n"/>
      <c r="CY16" s="5577">
        <f>IF(AND($C16&lt;&gt;0,Z16=""),1,IF(Z16&gt;C16,1,0))</f>
        <v/>
      </c>
      <c r="CZ16" s="5577">
        <f>IF(AND($C16&lt;&gt;0,AA16=""),1,IF(AA16&gt;C16,1,0))</f>
        <v/>
      </c>
      <c r="DA16" s="5577">
        <f>IF(AND($C16&lt;&gt;0,AB16=""),1,IF(AB16&gt;C16,1,0))</f>
        <v/>
      </c>
      <c r="DB16" s="5577">
        <f>IF(AND($C16&lt;&gt;0,AC16=""),1,IF(AC16&gt;C16,1,0))</f>
        <v/>
      </c>
      <c r="DC16" s="5577">
        <f>IF(AND($C16&lt;&gt;0,AD16=""),1,IF(AD16&gt;$C16,1,0))</f>
        <v/>
      </c>
      <c r="DD16" s="5577">
        <f>IF(AND($V16&lt;&gt;0,AE16=""),1,IF(AE16&gt;$V16,1,0))</f>
        <v/>
      </c>
      <c r="DE16" s="5578" t="n"/>
      <c r="DF16" s="5577">
        <f>IF(AND($C16&lt;&gt;0,AG16=""),1,IF(AG16&gt;$C16,1,0))</f>
        <v/>
      </c>
      <c r="DG16" s="5579" t="n"/>
    </row>
    <row r="17" ht="15" customHeight="1" s="8286">
      <c r="A17" s="9612" t="inlineStr">
        <is>
          <t>Post Aborto</t>
        </is>
      </c>
      <c r="B17" s="1721" t="inlineStr">
        <is>
          <t>Médico/a</t>
        </is>
      </c>
      <c r="C17" s="5563">
        <f>SUM(F17:N17)</f>
        <v/>
      </c>
      <c r="D17" s="1912" t="n"/>
      <c r="E17" s="1910" t="n"/>
      <c r="F17" s="954" t="n"/>
      <c r="G17" s="954" t="n"/>
      <c r="H17" s="5573" t="n"/>
      <c r="I17" s="5573" t="n"/>
      <c r="J17" s="5573" t="n"/>
      <c r="K17" s="5573" t="n"/>
      <c r="L17" s="5573" t="n"/>
      <c r="M17" s="5573" t="n"/>
      <c r="N17" s="5573" t="n"/>
      <c r="O17" s="5565" t="n"/>
      <c r="P17" s="5346" t="n"/>
      <c r="Q17" s="5346" t="n"/>
      <c r="R17" s="5346" t="n"/>
      <c r="S17" s="5346" t="n"/>
      <c r="T17" s="1658" t="n"/>
      <c r="U17" s="1910" t="n"/>
      <c r="V17" s="1905" t="n"/>
      <c r="W17" s="5567" t="n"/>
      <c r="X17" s="5346" t="n"/>
      <c r="Y17" s="5604" t="n"/>
      <c r="Z17" s="5569" t="n"/>
      <c r="AA17" s="5570" t="n"/>
      <c r="AB17" s="5591" t="n"/>
      <c r="AC17" s="5592" t="n"/>
      <c r="AD17" s="5593" t="n"/>
      <c r="AE17" s="998" t="n"/>
      <c r="AF17" s="5594" t="n"/>
      <c r="AG17" s="5574" t="n"/>
      <c r="AH17" s="5317" t="n"/>
      <c r="AI17" s="1006">
        <f>$CA17&amp;CB17&amp;CC17&amp;CD17&amp;CE17&amp;CF17&amp;CG17&amp;CH17&amp;CI17&amp;CJ17&amp;CK17&amp;CL17&amp;CM17</f>
        <v/>
      </c>
      <c r="CA17" s="5575">
        <f>IF((U17+V17)&lt;&gt;$C17," * La suma de la variable Sexo (Hombres + Mujeres) no puede ser distinto al Total","")</f>
        <v/>
      </c>
      <c r="CB17" s="5575">
        <f>IF(AND($C17&lt;&gt;0,W17=""),"* No olvide ingresar la variable "&amp;W$9&amp;""&amp;". Digite CERO si no tiene.  ",IF(W17&gt;$C17,"* La variable Control con pareja, familiar u otro no debe ser mayor al Total. ",""))</f>
        <v/>
      </c>
      <c r="CC17" s="5576" t="n"/>
      <c r="CD17" s="5576" t="n"/>
      <c r="CE17" s="5575">
        <f>IF(AND($C17&lt;&gt;0,Z17=""),"* No olvide ingresar la variable "&amp;Z$9&amp;""&amp;". Digite CERO si no tiene. ",IF(Z17&gt;$C17,"* La variable "&amp;Z$9&amp;""&amp;" no debe ser mayor al Total. ",""))</f>
        <v/>
      </c>
      <c r="CF17" s="5575">
        <f>IF(AND($C17&lt;&gt;0,AA17=""),"* No olvide ingresar la variable "&amp;AA$9&amp;""&amp;". Digite CERO si no tiene.  ",IF(AA17&gt;$C17,"* La variable "&amp;AA$9&amp;""&amp;" no debe ser mayor al Total. ",""))</f>
        <v/>
      </c>
      <c r="CG17" s="5575">
        <f>IF(AND($C17&lt;&gt;0,AB17=""),"* No olvide ingresar la variable "&amp;AB$9&amp;""&amp;". Digite CERO si no tiene. ",IF(AB17&gt;$C17,"* La variable de Pueblos Originarios no debe ser mayor al Total. ",""))</f>
        <v/>
      </c>
      <c r="CH17" s="5575">
        <f>IF(AND($C17&lt;&gt;0,AC17=""),"* No olvide ingresar la variable "&amp;AC$9&amp;""&amp;". Digite CERO si no tiene.  ",IF(AC17&gt;$C17,"* La variable Migrantes no debe ser mayor al Total. ",""))</f>
        <v/>
      </c>
      <c r="CI17" s="5575">
        <f>IF(AND($C17&lt;&gt;0,AD17=""),"* No olvide ingresar la variable "&amp;AD$9&amp;""&amp;". Digite CERO si no tiene.  ",IF(AD17&gt;$C17,"* La variable Personas con discapacidad no debe ser mayor al Total. ",""))</f>
        <v/>
      </c>
      <c r="CJ17" s="5575">
        <f>IF(AND($V17&lt;&gt;0,AE17=""),"* No olvide ingresar la variable "&amp;AE$10&amp;""&amp;". Digite CERO si no tiene.  ",IF(AE17&gt;$V17,"* La variable Trans masculino no debe ser mayor al Total Mujeres. ",""))</f>
        <v/>
      </c>
      <c r="CK17" s="5576" t="n"/>
      <c r="CL17" s="5575">
        <f>IF(AND($C17&lt;&gt;0,AG17=""),"* No olvide ingresar la variable "&amp;AG$10&amp;""&amp;". Digite CERO si no tiene.  ",IF(AG17&gt;$C17,"* La variable No binarie no debe ser mayor al Total. ",""))</f>
        <v/>
      </c>
      <c r="CM17" s="5576" t="n"/>
      <c r="CU17" s="5577">
        <f>IF((U17+V17)&lt;&gt;$C17,1,0)</f>
        <v/>
      </c>
      <c r="CV17" s="5577">
        <f>IF(AND(C17&gt;0,W17=""),1,IF(W17&gt;SUM(C17),1,0))</f>
        <v/>
      </c>
      <c r="CW17" s="5578" t="n"/>
      <c r="CX17" s="5578" t="n"/>
      <c r="CY17" s="5577">
        <f>IF(AND($C17&lt;&gt;0,Z17=""),1,IF(Z17&gt;C17,1,0))</f>
        <v/>
      </c>
      <c r="CZ17" s="5577">
        <f>IF(AND($C17&lt;&gt;0,AA17=""),1,IF(AA17&gt;C17,1,0))</f>
        <v/>
      </c>
      <c r="DA17" s="5577">
        <f>IF(AND($C17&lt;&gt;0,AB17=""),1,IF(AB17&gt;C17,1,0))</f>
        <v/>
      </c>
      <c r="DB17" s="5577">
        <f>IF(AND($C17&lt;&gt;0,AC17=""),1,IF(AC17&gt;C17,1,0))</f>
        <v/>
      </c>
      <c r="DC17" s="5577">
        <f>IF(AND($C17&lt;&gt;0,AD17=""),1,IF(AD17&gt;$C17,1,0))</f>
        <v/>
      </c>
      <c r="DD17" s="5577">
        <f>IF(AND($V17&lt;&gt;0,AE17=""),1,IF(AE17&gt;$V17,1,0))</f>
        <v/>
      </c>
      <c r="DE17" s="5578" t="n"/>
      <c r="DF17" s="5577">
        <f>IF(AND($C17&lt;&gt;0,AG17=""),1,IF(AG17&gt;$C17,1,0))</f>
        <v/>
      </c>
      <c r="DG17" s="5579" t="n"/>
    </row>
    <row r="18" ht="15" customHeight="1" s="8286">
      <c r="A18" s="9589" t="n"/>
      <c r="B18" s="1648" t="inlineStr">
        <is>
          <t>Matrona/ón</t>
        </is>
      </c>
      <c r="C18" s="5580">
        <f>SUM(F18:N18)</f>
        <v/>
      </c>
      <c r="D18" s="1622" t="n"/>
      <c r="E18" s="5581" t="n"/>
      <c r="F18" s="961" t="n"/>
      <c r="G18" s="961" t="n"/>
      <c r="H18" s="961" t="n"/>
      <c r="I18" s="961" t="n"/>
      <c r="J18" s="961" t="n"/>
      <c r="K18" s="961" t="n"/>
      <c r="L18" s="961" t="n"/>
      <c r="M18" s="961" t="n"/>
      <c r="N18" s="1625" t="n"/>
      <c r="O18" s="5582" t="n"/>
      <c r="P18" s="1623" t="n"/>
      <c r="Q18" s="1623" t="n"/>
      <c r="R18" s="1623" t="n"/>
      <c r="S18" s="1623" t="n"/>
      <c r="T18" s="1660" t="n"/>
      <c r="U18" s="5581" t="n"/>
      <c r="V18" s="1642" t="n"/>
      <c r="W18" s="1553" t="n"/>
      <c r="X18" s="1623" t="n"/>
      <c r="Y18" s="5602" t="n"/>
      <c r="Z18" s="5583" t="n"/>
      <c r="AA18" s="5584" t="n"/>
      <c r="AB18" s="1733" t="n"/>
      <c r="AC18" s="5585" t="n"/>
      <c r="AD18" s="1520" t="n"/>
      <c r="AE18" s="1519" t="n"/>
      <c r="AF18" s="5603" t="n"/>
      <c r="AG18" s="1520" t="n"/>
      <c r="AH18" s="5586" t="n"/>
      <c r="AI18" s="1006">
        <f>$CA18&amp;CB18&amp;CC18&amp;CD18&amp;CE18&amp;CF18&amp;CG18&amp;CH18&amp;CI18&amp;CJ18&amp;CK18&amp;CL18&amp;CM18</f>
        <v/>
      </c>
      <c r="AK18" s="5606" t="n"/>
      <c r="AL18" s="5606" t="n"/>
      <c r="CA18" s="5575">
        <f>IF((U18+V18)&lt;&gt;$C18," * La suma de la variable Sexo (Hombres + Mujeres) no puede ser distinto al Total","")</f>
        <v/>
      </c>
      <c r="CB18" s="5575">
        <f>IF(AND($C18&lt;&gt;0,W18=""),"* No olvide ingresar la variable "&amp;W$9&amp;""&amp;". Digite CERO si no tiene.  ",IF(W18&gt;$C18,"* La variable Control con pareja, familiar u otro no debe ser mayor al Total. ",""))</f>
        <v/>
      </c>
      <c r="CC18" s="5576" t="n"/>
      <c r="CD18" s="5576" t="n"/>
      <c r="CE18" s="5575">
        <f>IF(AND($C18&lt;&gt;0,Z18=""),"* No olvide ingresar la variable "&amp;Z$9&amp;""&amp;". Digite CERO si no tiene. ",IF(Z18&gt;$C18,"* La variable "&amp;Z$9&amp;""&amp;" no debe ser mayor al Total. ",""))</f>
        <v/>
      </c>
      <c r="CF18" s="5575">
        <f>IF(AND($C18&lt;&gt;0,AA18=""),"* No olvide ingresar la variable "&amp;AA$9&amp;""&amp;". Digite CERO si no tiene.  ",IF(AA18&gt;$C18,"* La variable "&amp;AA$9&amp;""&amp;" no debe ser mayor al Total. ",""))</f>
        <v/>
      </c>
      <c r="CG18" s="5575">
        <f>IF(AND($C18&lt;&gt;0,AB18=""),"* No olvide ingresar la variable "&amp;AB$9&amp;""&amp;". Digite CERO si no tiene. ",IF(AB18&gt;$C18,"* La variable de Pueblos Originarios no debe ser mayor al Total. ",""))</f>
        <v/>
      </c>
      <c r="CH18" s="5575">
        <f>IF(AND($C18&lt;&gt;0,AC18=""),"* No olvide ingresar la variable "&amp;AC$9&amp;""&amp;". Digite CERO si no tiene.  ",IF(AC18&gt;$C18,"* La variable Migrantes no debe ser mayor al Total. ",""))</f>
        <v/>
      </c>
      <c r="CI18" s="5575">
        <f>IF(AND($C18&lt;&gt;0,AD18=""),"* No olvide ingresar la variable "&amp;AD$9&amp;""&amp;". Digite CERO si no tiene.  ",IF(AD18&gt;$C18,"* La variable Personas con discapacidad no debe ser mayor al Total. ",""))</f>
        <v/>
      </c>
      <c r="CJ18" s="5575">
        <f>IF(AND($V18&lt;&gt;0,AE18=""),"* No olvide ingresar la variable "&amp;AE$10&amp;""&amp;". Digite CERO si no tiene.  ",IF(AE18&gt;$V18,"* La variable Trans masculino no debe ser mayor al Total Mujeres. ",""))</f>
        <v/>
      </c>
      <c r="CK18" s="5576" t="n"/>
      <c r="CL18" s="5575">
        <f>IF(AND($C18&lt;&gt;0,AG18=""),"* No olvide ingresar la variable "&amp;AG$10&amp;""&amp;". Digite CERO si no tiene.  ",IF(AG18&gt;$C18,"* La variable No binarie no debe ser mayor al Total. ",""))</f>
        <v/>
      </c>
      <c r="CM18" s="5576" t="n"/>
      <c r="CU18" s="5577">
        <f>IF((U18+V18)&lt;&gt;$C18,1,0)</f>
        <v/>
      </c>
      <c r="CV18" s="5577">
        <f>IF(AND(C18&gt;0,W18=""),1,IF(W18&gt;SUM(C18),1,0))</f>
        <v/>
      </c>
      <c r="CW18" s="5578" t="n"/>
      <c r="CX18" s="5578" t="n"/>
      <c r="CY18" s="5577">
        <f>IF(AND($C18&lt;&gt;0,Z18=""),1,IF(Z18&gt;C18,1,0))</f>
        <v/>
      </c>
      <c r="CZ18" s="5577">
        <f>IF(AND($C18&lt;&gt;0,AA18=""),1,IF(AA18&gt;C18,1,0))</f>
        <v/>
      </c>
      <c r="DA18" s="5577">
        <f>IF(AND($C18&lt;&gt;0,AB18=""),1,IF(AB18&gt;C18,1,0))</f>
        <v/>
      </c>
      <c r="DB18" s="5577">
        <f>IF(AND($C18&lt;&gt;0,AC18=""),1,IF(AC18&gt;C18,1,0))</f>
        <v/>
      </c>
      <c r="DC18" s="5577">
        <f>IF(AND($C18&lt;&gt;0,AD18=""),1,IF(AD18&gt;$C18,1,0))</f>
        <v/>
      </c>
      <c r="DD18" s="5577">
        <f>IF(AND($V18&lt;&gt;0,AE18=""),1,IF(AE18&gt;$V18,1,0))</f>
        <v/>
      </c>
      <c r="DE18" s="5578" t="n"/>
      <c r="DF18" s="5577">
        <f>IF(AND($C18&lt;&gt;0,AG18=""),1,IF(AG18&gt;$C18,1,0))</f>
        <v/>
      </c>
      <c r="DG18" s="5579" t="n"/>
    </row>
    <row r="19" ht="15" customHeight="1" s="8286">
      <c r="A19" s="7209" t="inlineStr">
        <is>
          <t xml:space="preserve">Puérpera con recién nacido hasta 10 días de vida </t>
        </is>
      </c>
      <c r="B19" s="1721" t="inlineStr">
        <is>
          <t>Médico/a</t>
        </is>
      </c>
      <c r="C19" s="5587">
        <f>SUM(F19:N19)</f>
        <v/>
      </c>
      <c r="D19" s="5588" t="n"/>
      <c r="E19" s="5589" t="n"/>
      <c r="F19" s="954" t="n"/>
      <c r="G19" s="954" t="n"/>
      <c r="H19" s="954" t="n"/>
      <c r="I19" s="954" t="n"/>
      <c r="J19" s="954" t="n"/>
      <c r="K19" s="954" t="n"/>
      <c r="L19" s="954" t="n"/>
      <c r="M19" s="954" t="n"/>
      <c r="N19" s="954" t="n"/>
      <c r="O19" s="5564" t="n"/>
      <c r="P19" s="955" t="n"/>
      <c r="Q19" s="955" t="n"/>
      <c r="R19" s="955" t="n"/>
      <c r="S19" s="955" t="n"/>
      <c r="T19" s="956" t="n"/>
      <c r="U19" s="5589" t="n"/>
      <c r="V19" s="1634" t="n"/>
      <c r="W19" s="5567" t="n"/>
      <c r="X19" s="954" t="n"/>
      <c r="Y19" s="5590" t="n"/>
      <c r="Z19" s="5569" t="n"/>
      <c r="AA19" s="5570" t="n"/>
      <c r="AB19" s="5591" t="n"/>
      <c r="AC19" s="5592" t="n"/>
      <c r="AD19" s="5593" t="n"/>
      <c r="AE19" s="998" t="n"/>
      <c r="AF19" s="5594" t="n"/>
      <c r="AG19" s="5574" t="n"/>
      <c r="AH19" s="5317" t="n"/>
      <c r="AI19" s="1006">
        <f>$CA19&amp;CB19&amp;CC19&amp;CD19&amp;CE19&amp;CF19&amp;CG19&amp;CH19&amp;CI19&amp;CJ19&amp;CK19&amp;CL19&amp;CM19</f>
        <v/>
      </c>
      <c r="AK19" s="5606" t="n"/>
      <c r="AL19" s="5606" t="n"/>
      <c r="CA19" s="5575">
        <f>IF((U19+V19)&lt;&gt;$C19," * La suma de la variable Sexo (Hombres + Mujeres) no puede ser distinto al Total","")</f>
        <v/>
      </c>
      <c r="CB19" s="5575">
        <f>IF(AND($C19&lt;&gt;0,W19=""),"* No olvide ingresar la variable "&amp;W$9&amp;""&amp;". Digite CERO si no tiene.  ",IF(W19&gt;$C19,"* La variable Control con pareja, familiar u otro no debe ser mayor al Total. ",""))</f>
        <v/>
      </c>
      <c r="CC19" s="5575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576" t="n"/>
      <c r="CE19" s="5575">
        <f>IF(AND($C19&lt;&gt;0,Z19=""),"* No olvide ingresar la variable "&amp;Z$9&amp;""&amp;". Digite CERO si no tiene. ",IF(Z19&gt;$C19,"* La variable "&amp;Z$9&amp;""&amp;" no debe ser mayor al Total. ",""))</f>
        <v/>
      </c>
      <c r="CF19" s="5575">
        <f>IF(AND($C19&lt;&gt;0,AA19=""),"* No olvide ingresar la variable "&amp;AA$9&amp;""&amp;". Digite CERO si no tiene.  ",IF(AA19&gt;$C19,"* La variable "&amp;AA$9&amp;""&amp;" no debe ser mayor al Total. ",""))</f>
        <v/>
      </c>
      <c r="CG19" s="5575">
        <f>IF(AND($C19&lt;&gt;0,AB19=""),"* No olvide ingresar la variable "&amp;AB$9&amp;""&amp;". Digite CERO si no tiene. ",IF(AB19&gt;$C19,"* La variable de Pueblos Originarios no debe ser mayor al Total. ",""))</f>
        <v/>
      </c>
      <c r="CH19" s="5575">
        <f>IF(AND($C19&lt;&gt;0,AC19=""),"* No olvide ingresar la variable "&amp;AC$9&amp;""&amp;". Digite CERO si no tiene.  ",IF(AC19&gt;$C19,"* La variable Migrantes no debe ser mayor al Total. ",""))</f>
        <v/>
      </c>
      <c r="CI19" s="5575">
        <f>IF(AND($C19&lt;&gt;0,AD19=""),"* No olvide ingresar la variable "&amp;AD$9&amp;""&amp;". Digite CERO si no tiene.  ",IF(AD19&gt;$C19,"* La variable Personas con discapacidad no debe ser mayor al Total. ",""))</f>
        <v/>
      </c>
      <c r="CJ19" s="5575">
        <f>IF(AND($V19&lt;&gt;0,AE19=""),"* No olvide ingresar la variable "&amp;AE$10&amp;""&amp;". Digite CERO si no tiene.  ",IF(AE19&gt;$V19,"* La variable Trans masculino no debe ser mayor al Total Mujeres. ",""))</f>
        <v/>
      </c>
      <c r="CK19" s="5576" t="n"/>
      <c r="CL19" s="5575">
        <f>IF(AND($C19&lt;&gt;0,AG19=""),"* No olvide ingresar la variable "&amp;AG$10&amp;""&amp;". Digite CERO si no tiene.  ",IF(AG19&gt;$C19,"* La variable No binarie no debe ser mayor al Total. ",""))</f>
        <v/>
      </c>
      <c r="CM19" s="5576" t="n"/>
      <c r="CU19" s="5577">
        <f>IF((U19+V19)&lt;&gt;$C19,1,0)</f>
        <v/>
      </c>
      <c r="CV19" s="5577">
        <f>IF(AND(C19&gt;0,W19=""),1,IF(W19&gt;SUM(C19),1,0))</f>
        <v/>
      </c>
      <c r="CW19" s="5577">
        <f>IF(AND(C19&lt;&gt;0,X19=""),1,IF(X19&gt;C19,1,0))</f>
        <v/>
      </c>
      <c r="CX19" s="5578" t="n"/>
      <c r="CY19" s="5577">
        <f>IF(AND($C19&lt;&gt;0,Z19=""),1,IF(Z19&gt;C19,1,0))</f>
        <v/>
      </c>
      <c r="CZ19" s="5577">
        <f>IF(AND($C19&lt;&gt;0,AA19=""),1,IF(AA19&gt;C19,1,0))</f>
        <v/>
      </c>
      <c r="DA19" s="5577">
        <f>IF(AND($C19&lt;&gt;0,AB19=""),1,IF(AB19&gt;C19,1,0))</f>
        <v/>
      </c>
      <c r="DB19" s="5577">
        <f>IF(AND($C19&lt;&gt;0,AC19=""),1,IF(AC19&gt;C19,1,0))</f>
        <v/>
      </c>
      <c r="DC19" s="5577">
        <f>IF(AND($C19&lt;&gt;0,AD19=""),1,IF(AD19&gt;$C19,1,0))</f>
        <v/>
      </c>
      <c r="DD19" s="5577">
        <f>IF(AND($V19&lt;&gt;0,AE19=""),1,IF(AE19&gt;$V19,1,0))</f>
        <v/>
      </c>
      <c r="DE19" s="5578" t="n"/>
      <c r="DF19" s="5577">
        <f>IF(AND($C19&lt;&gt;0,AG19=""),1,IF(AG19&gt;$C19,1,0))</f>
        <v/>
      </c>
      <c r="DG19" s="5579" t="n"/>
    </row>
    <row r="20" ht="15" customHeight="1" s="8286">
      <c r="A20" s="9614" t="n"/>
      <c r="B20" s="1648" t="inlineStr">
        <is>
          <t>Matrona/ón</t>
        </is>
      </c>
      <c r="C20" s="5595">
        <f>SUM(F20:N20)</f>
        <v/>
      </c>
      <c r="D20" s="5596" t="n"/>
      <c r="E20" s="5597" t="n"/>
      <c r="F20" s="5598" t="n"/>
      <c r="G20" s="5598" t="n"/>
      <c r="H20" s="5598" t="n">
        <v>1</v>
      </c>
      <c r="I20" s="5598" t="n">
        <v>5</v>
      </c>
      <c r="J20" s="5598" t="n">
        <v>3</v>
      </c>
      <c r="K20" s="5598" t="n">
        <v>5</v>
      </c>
      <c r="L20" s="5598" t="n">
        <v>4</v>
      </c>
      <c r="M20" s="5598" t="n"/>
      <c r="N20" s="1625" t="n"/>
      <c r="O20" s="5599" t="n"/>
      <c r="P20" s="1623" t="n"/>
      <c r="Q20" s="1623" t="n"/>
      <c r="R20" s="1623" t="n"/>
      <c r="S20" s="1623" t="n"/>
      <c r="T20" s="5600" t="n"/>
      <c r="U20" s="5601" t="n"/>
      <c r="V20" s="1642" t="n">
        <v>18</v>
      </c>
      <c r="W20" s="5607" t="n">
        <v>3</v>
      </c>
      <c r="X20" s="5608" t="n">
        <v>12</v>
      </c>
      <c r="Y20" s="5602" t="n"/>
      <c r="Z20" s="5583" t="n">
        <v>0</v>
      </c>
      <c r="AA20" s="5584" t="n">
        <v>0</v>
      </c>
      <c r="AB20" s="1733" t="n">
        <v>1</v>
      </c>
      <c r="AC20" s="5585" t="n">
        <v>3</v>
      </c>
      <c r="AD20" s="1520" t="n">
        <v>0</v>
      </c>
      <c r="AE20" s="1519" t="n">
        <v>0</v>
      </c>
      <c r="AF20" s="5603" t="n"/>
      <c r="AG20" s="1520" t="n">
        <v>0</v>
      </c>
      <c r="AH20" s="5586" t="n"/>
      <c r="AI20" s="1006">
        <f>$CA20&amp;CB20&amp;CC20&amp;CD20&amp;CE20&amp;CF20&amp;CG20&amp;CH20&amp;CI20&amp;CJ20&amp;CK20&amp;CL20&amp;CM20</f>
        <v/>
      </c>
      <c r="CA20" s="5575">
        <f>IF((U20+V20)&lt;&gt;$C20," * La suma de la variable Sexo (Hombres + Mujeres) no puede ser distinto al Total","")</f>
        <v/>
      </c>
      <c r="CB20" s="5575">
        <f>IF(AND($C20&lt;&gt;0,W20=""),"* No olvide ingresar la variable "&amp;W$9&amp;""&amp;". Digite CERO si no tiene.  ",IF(W20&gt;$C20,"* La variable Control con pareja, familiar u otro no debe ser mayor al Total. ",""))</f>
        <v/>
      </c>
      <c r="CC20" s="5575">
        <f>IF(AND($C20&lt;&gt;0,X20=""),"* No olvide ingresar la columna "&amp;X$9&amp;""&amp;" (Digite CERO si no tiene).  ",IF(X20&gt;$C20,"* El Número de Control de diada con presencia del padre no puede superar el Total. ",""))</f>
        <v/>
      </c>
      <c r="CD20" s="5576" t="n"/>
      <c r="CE20" s="5575">
        <f>IF(AND($C20&lt;&gt;0,Z20=""),"* No olvide ingresar la variable "&amp;Z$9&amp;""&amp;". Digite CERO si no tiene. ",IF(Z20&gt;$C20,"* La variable "&amp;Z$9&amp;""&amp;" no debe ser mayor al Total. ",""))</f>
        <v/>
      </c>
      <c r="CF20" s="5575">
        <f>IF(AND($C20&lt;&gt;0,AA20=""),"* No olvide ingresar la variable "&amp;AA$9&amp;""&amp;". Digite CERO si no tiene.  ",IF(AA20&gt;$C20,"* La variable "&amp;AA$9&amp;""&amp;" no debe ser mayor al Total. ",""))</f>
        <v/>
      </c>
      <c r="CG20" s="5575">
        <f>IF(AND($C20&lt;&gt;0,AB20=""),"* No olvide ingresar la variable "&amp;AB$9&amp;""&amp;". Digite CERO si no tiene. ",IF(AB20&gt;$C20,"* La variable de Pueblos Originarios no debe ser mayor al Total. ",""))</f>
        <v/>
      </c>
      <c r="CH20" s="5575">
        <f>IF(AND($C20&lt;&gt;0,AC20=""),"* No olvide ingresar la variable "&amp;AC$9&amp;""&amp;". Digite CERO si no tiene.  ",IF(AC20&gt;$C20,"* La variable Migrantes no debe ser mayor al Total. ",""))</f>
        <v/>
      </c>
      <c r="CI20" s="5575">
        <f>IF(AND($C20&lt;&gt;0,AD20=""),"* No olvide ingresar la variable "&amp;AD$9&amp;""&amp;". Digite CERO si no tiene.  ",IF(AD20&gt;$C20,"* La variable Personas con discapacidad no debe ser mayor al Total. ",""))</f>
        <v/>
      </c>
      <c r="CJ20" s="5575">
        <f>IF(AND($V20&lt;&gt;0,AE20=""),"* No olvide ingresar la variable "&amp;AE$10&amp;""&amp;". Digite CERO si no tiene.  ",IF(AE20&gt;$V20,"* La variable Trans masculino no debe ser mayor al Total Mujeres. ",""))</f>
        <v/>
      </c>
      <c r="CK20" s="5576" t="n"/>
      <c r="CL20" s="5575">
        <f>IF(AND($C20&lt;&gt;0,AG20=""),"* No olvide ingresar la variable "&amp;AG$10&amp;""&amp;". Digite CERO si no tiene.  ",IF(AG20&gt;$C20,"* La variable No binarie no debe ser mayor al Total. ",""))</f>
        <v/>
      </c>
      <c r="CM20" s="5576" t="n"/>
      <c r="CU20" s="5577">
        <f>IF((U20+V20)&lt;&gt;$C20,1,0)</f>
        <v/>
      </c>
      <c r="CV20" s="5577">
        <f>IF(AND(C20&gt;0,W20=""),1,IF(W20&gt;SUM(C20),1,0))</f>
        <v/>
      </c>
      <c r="CW20" s="5577">
        <f>IF(AND(C20&lt;&gt;0,X20=""),1,IF(X20&gt;C20,1,0))</f>
        <v/>
      </c>
      <c r="CX20" s="5578" t="n"/>
      <c r="CY20" s="5577">
        <f>IF(AND($C20&lt;&gt;0,Z20=""),1,IF(Z20&gt;C20,1,0))</f>
        <v/>
      </c>
      <c r="CZ20" s="5577">
        <f>IF(AND($C20&lt;&gt;0,AA20=""),1,IF(AA20&gt;C20,1,0))</f>
        <v/>
      </c>
      <c r="DA20" s="5577">
        <f>IF(AND($C20&lt;&gt;0,AB20=""),1,IF(AB20&gt;C20,1,0))</f>
        <v/>
      </c>
      <c r="DB20" s="5577">
        <f>IF(AND($C20&lt;&gt;0,AC20=""),1,IF(AC20&gt;C20,1,0))</f>
        <v/>
      </c>
      <c r="DC20" s="5577">
        <f>IF(AND($C20&lt;&gt;0,AD20=""),1,IF(AD20&gt;$C20,1,0))</f>
        <v/>
      </c>
      <c r="DD20" s="5577">
        <f>IF(AND($V20&lt;&gt;0,AE20=""),1,IF(AE20&gt;$V20,1,0))</f>
        <v/>
      </c>
      <c r="DE20" s="5578" t="n"/>
      <c r="DF20" s="5577">
        <f>IF(AND($C20&lt;&gt;0,AG20=""),1,IF(AG20&gt;$C20,1,0))</f>
        <v/>
      </c>
      <c r="DG20" s="5579" t="n"/>
    </row>
    <row r="21" ht="15" customHeight="1" s="8286">
      <c r="A21" s="9612" t="inlineStr">
        <is>
          <t xml:space="preserve">Puérpera con recién nacido entre 11 y 28 días </t>
        </is>
      </c>
      <c r="B21" s="1721" t="inlineStr">
        <is>
          <t>Médico/a</t>
        </is>
      </c>
      <c r="C21" s="5563">
        <f>SUM(F21:N21)</f>
        <v/>
      </c>
      <c r="D21" s="1912" t="n"/>
      <c r="E21" s="1910" t="n"/>
      <c r="F21" s="5573" t="n"/>
      <c r="G21" s="5573" t="n"/>
      <c r="H21" s="5573" t="n"/>
      <c r="I21" s="5573" t="n"/>
      <c r="J21" s="5573" t="n"/>
      <c r="K21" s="5573" t="n"/>
      <c r="L21" s="5573" t="n"/>
      <c r="M21" s="5573" t="n"/>
      <c r="N21" s="5573" t="n"/>
      <c r="O21" s="5565" t="n"/>
      <c r="P21" s="5346" t="n"/>
      <c r="Q21" s="5346" t="n"/>
      <c r="R21" s="5346" t="n"/>
      <c r="S21" s="5346" t="n"/>
      <c r="T21" s="1658" t="n"/>
      <c r="U21" s="1910" t="n"/>
      <c r="V21" s="1634" t="n"/>
      <c r="W21" s="1792" t="n"/>
      <c r="X21" s="5609" t="n"/>
      <c r="Y21" s="5590" t="n"/>
      <c r="Z21" s="5569" t="n"/>
      <c r="AA21" s="5570" t="n"/>
      <c r="AB21" s="5591" t="n"/>
      <c r="AC21" s="5592" t="n"/>
      <c r="AD21" s="5593" t="n"/>
      <c r="AE21" s="998" t="n"/>
      <c r="AF21" s="5594" t="n"/>
      <c r="AG21" s="5574" t="n"/>
      <c r="AH21" s="5317" t="n"/>
      <c r="AI21" s="1006">
        <f>$CA21&amp;CB21&amp;CC21&amp;CD21&amp;CE21&amp;CF21&amp;CG21&amp;CH21&amp;CI21&amp;CJ21&amp;CK21&amp;CL21&amp;CM21</f>
        <v/>
      </c>
      <c r="CA21" s="5575">
        <f>IF((U21+V21)&lt;&gt;$C21," * La suma de la variable Sexo (Hombres + Mujeres) no puede ser distinto al Total","")</f>
        <v/>
      </c>
      <c r="CB21" s="5575">
        <f>IF(AND($C21&lt;&gt;0,W21=""),"* No olvide ingresar la variable "&amp;W$9&amp;""&amp;". Digite CERO si no tiene.  ",IF(W21&gt;$C21,"* La variable Control con pareja, familiar u otro no debe ser mayor al Total. ",""))</f>
        <v/>
      </c>
      <c r="CC21" s="5575">
        <f>IF(AND($C21&lt;&gt;0,X21=""),"* No olvide ingresar la columna "&amp;X$9&amp;""&amp;" (Digite CERO si no tiene).  ",IF(X21&gt;$C21,"* El Número de Control de diada con presencia del padre no puede superar el Total. ",""))</f>
        <v/>
      </c>
      <c r="CD21" s="5576" t="n"/>
      <c r="CE21" s="5575">
        <f>IF(AND($C21&lt;&gt;0,Z21=""),"* No olvide ingresar la variable "&amp;Z$9&amp;""&amp;". Digite CERO si no tiene. ",IF(Z21&gt;$C21,"* La variable "&amp;Z$9&amp;""&amp;" no debe ser mayor al Total. ",""))</f>
        <v/>
      </c>
      <c r="CF21" s="5575">
        <f>IF(AND($C21&lt;&gt;0,AA21=""),"* No olvide ingresar la variable "&amp;AA$9&amp;""&amp;". Digite CERO si no tiene.  ",IF(AA21&gt;$C21,"* La variable "&amp;AA$9&amp;""&amp;" no debe ser mayor al Total. ",""))</f>
        <v/>
      </c>
      <c r="CG21" s="5575">
        <f>IF(AND($C21&lt;&gt;0,AB21=""),"* No olvide ingresar la variable "&amp;AB$9&amp;""&amp;". Digite CERO si no tiene. ",IF(AB21&gt;$C21,"* La variable de Pueblos Originarios no debe ser mayor al Total. ",""))</f>
        <v/>
      </c>
      <c r="CH21" s="5575">
        <f>IF(AND($C21&lt;&gt;0,AC21=""),"* No olvide ingresar la variable "&amp;AC$9&amp;""&amp;". Digite CERO si no tiene.  ",IF(AC21&gt;$C21,"* La variable Migrantes no debe ser mayor al Total. ",""))</f>
        <v/>
      </c>
      <c r="CI21" s="5575">
        <f>IF(AND($C21&lt;&gt;0,AD21=""),"* No olvide ingresar la variable "&amp;AD$9&amp;""&amp;". Digite CERO si no tiene.  ",IF(AD21&gt;$C21,"* La variable Personas con discapacidad no debe ser mayor al Total. ",""))</f>
        <v/>
      </c>
      <c r="CJ21" s="5575">
        <f>IF(AND($V21&lt;&gt;0,AE21=""),"* No olvide ingresar la variable "&amp;AE$10&amp;""&amp;". Digite CERO si no tiene.  ",IF(AE21&gt;$V21,"* La variable Trans masculino no debe ser mayor al Total Mujeres. ",""))</f>
        <v/>
      </c>
      <c r="CK21" s="5576" t="n"/>
      <c r="CL21" s="5575">
        <f>IF(AND($C21&lt;&gt;0,AG21=""),"* No olvide ingresar la variable "&amp;AG$10&amp;""&amp;". Digite CERO si no tiene.  ",IF(AG21&gt;$C21,"* La variable No binarie no debe ser mayor al Total. ",""))</f>
        <v/>
      </c>
      <c r="CM21" s="5576" t="n"/>
      <c r="CU21" s="5577">
        <f>IF((U21+V21)&lt;&gt;$C21,1,0)</f>
        <v/>
      </c>
      <c r="CV21" s="5577">
        <f>IF(AND(C21&gt;0,W21=""),1,IF(W21&gt;SUM(C21),1,0))</f>
        <v/>
      </c>
      <c r="CW21" s="5577">
        <f>IF(AND(C21&lt;&gt;0,X21=""),1,IF(X21&gt;C21,1,0))</f>
        <v/>
      </c>
      <c r="CX21" s="5578" t="n"/>
      <c r="CY21" s="5577">
        <f>IF(AND($C21&lt;&gt;0,Z21=""),1,IF(Z21&gt;C21,1,0))</f>
        <v/>
      </c>
      <c r="CZ21" s="5577">
        <f>IF(AND($C21&lt;&gt;0,AA21=""),1,IF(AA21&gt;C21,1,0))</f>
        <v/>
      </c>
      <c r="DA21" s="5577">
        <f>IF(AND($C21&lt;&gt;0,AB21=""),1,IF(AB21&gt;C21,1,0))</f>
        <v/>
      </c>
      <c r="DB21" s="5577">
        <f>IF(AND($C21&lt;&gt;0,AC21=""),1,IF(AC21&gt;C21,1,0))</f>
        <v/>
      </c>
      <c r="DC21" s="5577">
        <f>IF(AND($C21&lt;&gt;0,AD21=""),1,IF(AD21&gt;$C21,1,0))</f>
        <v/>
      </c>
      <c r="DD21" s="5577">
        <f>IF(AND($V21&lt;&gt;0,AE21=""),1,IF(AE21&gt;$V21,1,0))</f>
        <v/>
      </c>
      <c r="DE21" s="5578" t="n"/>
      <c r="DF21" s="5577">
        <f>IF(AND($C21&lt;&gt;0,AG21=""),1,IF(AG21&gt;$C21,1,0))</f>
        <v/>
      </c>
      <c r="DG21" s="5579" t="n"/>
    </row>
    <row r="22" ht="15" customHeight="1" s="8286">
      <c r="A22" s="9589" t="n"/>
      <c r="B22" s="1648" t="inlineStr">
        <is>
          <t>Matrona/ón</t>
        </is>
      </c>
      <c r="C22" s="5580">
        <f>SUM(F22:N22)</f>
        <v/>
      </c>
      <c r="D22" s="1622" t="n"/>
      <c r="E22" s="5581" t="n"/>
      <c r="F22" s="961" t="n"/>
      <c r="G22" s="961" t="n"/>
      <c r="H22" s="961" t="n"/>
      <c r="I22" s="961" t="n">
        <v>1</v>
      </c>
      <c r="J22" s="961" t="n"/>
      <c r="K22" s="961" t="n"/>
      <c r="L22" s="961" t="n">
        <v>1</v>
      </c>
      <c r="M22" s="961" t="n"/>
      <c r="N22" s="961" t="n"/>
      <c r="O22" s="5599" t="n"/>
      <c r="P22" s="1623" t="n"/>
      <c r="Q22" s="1623" t="n"/>
      <c r="R22" s="1623" t="n"/>
      <c r="S22" s="1623" t="n"/>
      <c r="T22" s="1660" t="n"/>
      <c r="U22" s="5605" t="n"/>
      <c r="V22" s="1642" t="n">
        <v>2</v>
      </c>
      <c r="W22" s="1553" t="n">
        <v>0</v>
      </c>
      <c r="X22" s="1625" t="n">
        <v>2</v>
      </c>
      <c r="Y22" s="5602" t="n"/>
      <c r="Z22" s="5583" t="n">
        <v>0</v>
      </c>
      <c r="AA22" s="5584" t="n">
        <v>0</v>
      </c>
      <c r="AB22" s="1733" t="n">
        <v>0</v>
      </c>
      <c r="AC22" s="5585" t="n">
        <v>1</v>
      </c>
      <c r="AD22" s="1520" t="n">
        <v>0</v>
      </c>
      <c r="AE22" s="1519" t="n">
        <v>0</v>
      </c>
      <c r="AF22" s="5603" t="n"/>
      <c r="AG22" s="1520" t="n">
        <v>0</v>
      </c>
      <c r="AH22" s="5586" t="n"/>
      <c r="AI22" s="1006">
        <f>$CA22&amp;CB22&amp;CC22&amp;CD22&amp;CE22&amp;CF22&amp;CG22&amp;CH22&amp;CI22&amp;CJ22&amp;CK22&amp;CL22&amp;CM22</f>
        <v/>
      </c>
      <c r="CA22" s="5575">
        <f>IF((U22+V22)&lt;&gt;$C22," * La suma de la variable Sexo (Hombres + Mujeres) no puede ser distinto al Total","")</f>
        <v/>
      </c>
      <c r="CB22" s="5575">
        <f>IF(AND($C22&lt;&gt;0,W22=""),"* No olvide ingresar la variable "&amp;W$9&amp;""&amp;". Digite CERO si no tiene.  ",IF(W22&gt;$C22,"* La variable Control con pareja, familiar u otro no debe ser mayor al Total. ",""))</f>
        <v/>
      </c>
      <c r="CC22" s="5575">
        <f>IF(AND($C22&lt;&gt;0,X22=""),"* No olvide ingresar la columna "&amp;X$9&amp;""&amp;" (Digite CERO si no tiene).  ",IF(X22&gt;$C22,"* El Número de Control de diada con presencia del padre no puede superar el Total. ",""))</f>
        <v/>
      </c>
      <c r="CD22" s="5576" t="n"/>
      <c r="CE22" s="5575">
        <f>IF(AND($C22&lt;&gt;0,Z22=""),"* No olvide ingresar la variable "&amp;Z$9&amp;""&amp;". Digite CERO si no tiene. ",IF(Z22&gt;$C22,"* La variable "&amp;Z$9&amp;""&amp;" no debe ser mayor al Total. ",""))</f>
        <v/>
      </c>
      <c r="CF22" s="5575">
        <f>IF(AND($C22&lt;&gt;0,AA22=""),"* No olvide ingresar la variable "&amp;AA$9&amp;""&amp;". Digite CERO si no tiene.  ",IF(AA22&gt;$C22,"* La variable "&amp;AA$9&amp;""&amp;" no debe ser mayor al Total. ",""))</f>
        <v/>
      </c>
      <c r="CG22" s="5575">
        <f>IF(AND($C22&lt;&gt;0,AB22=""),"* No olvide ingresar la variable "&amp;AB$9&amp;""&amp;". Digite CERO si no tiene. ",IF(AB22&gt;$C22,"* La variable de Pueblos Originarios no debe ser mayor al Total. ",""))</f>
        <v/>
      </c>
      <c r="CH22" s="5575">
        <f>IF(AND($C22&lt;&gt;0,AC22=""),"* No olvide ingresar la variable "&amp;AC$9&amp;""&amp;". Digite CERO si no tiene.  ",IF(AC22&gt;$C22,"* La variable Migrantes no debe ser mayor al Total. ",""))</f>
        <v/>
      </c>
      <c r="CI22" s="5575">
        <f>IF(AND($C22&lt;&gt;0,AD22=""),"* No olvide ingresar la variable "&amp;AD$9&amp;""&amp;". Digite CERO si no tiene.  ",IF(AD22&gt;$C22,"* La variable Personas con discapacidad no debe ser mayor al Total. ",""))</f>
        <v/>
      </c>
      <c r="CJ22" s="5575">
        <f>IF(AND($V22&lt;&gt;0,AE22=""),"* No olvide ingresar la variable "&amp;AE$10&amp;""&amp;". Digite CERO si no tiene.  ",IF(AE22&gt;$V22,"* La variable Trans masculino no debe ser mayor al Total Mujeres. ",""))</f>
        <v/>
      </c>
      <c r="CK22" s="5576" t="n"/>
      <c r="CL22" s="5575">
        <f>IF(AND($C22&lt;&gt;0,AG22=""),"* No olvide ingresar la variable "&amp;AG$10&amp;""&amp;". Digite CERO si no tiene.  ",IF(AG22&gt;$C22,"* La variable No binarie no debe ser mayor al Total. ",""))</f>
        <v/>
      </c>
      <c r="CM22" s="5576" t="n"/>
      <c r="CU22" s="5577">
        <f>IF((U22+V22)&lt;&gt;$C22,1,0)</f>
        <v/>
      </c>
      <c r="CV22" s="5577">
        <f>IF(AND(C22&gt;0,W22=""),1,IF(W22&gt;SUM(C22),1,0))</f>
        <v/>
      </c>
      <c r="CW22" s="5577">
        <f>IF(AND(C22&lt;&gt;0,X22=""),1,IF(X22&gt;C22,1,0))</f>
        <v/>
      </c>
      <c r="CX22" s="5578" t="n"/>
      <c r="CY22" s="5577">
        <f>IF(AND($C22&lt;&gt;0,Z22=""),1,IF(Z22&gt;C22,1,0))</f>
        <v/>
      </c>
      <c r="CZ22" s="5577">
        <f>IF(AND($C22&lt;&gt;0,AA22=""),1,IF(AA22&gt;C22,1,0))</f>
        <v/>
      </c>
      <c r="DA22" s="5577">
        <f>IF(AND($C22&lt;&gt;0,AB22=""),1,IF(AB22&gt;C22,1,0))</f>
        <v/>
      </c>
      <c r="DB22" s="5577">
        <f>IF(AND($C22&lt;&gt;0,AC22=""),1,IF(AC22&gt;C22,1,0))</f>
        <v/>
      </c>
      <c r="DC22" s="5577">
        <f>IF(AND($C22&lt;&gt;0,AD22=""),1,IF(AD22&gt;$C22,1,0))</f>
        <v/>
      </c>
      <c r="DD22" s="5577">
        <f>IF(AND($V22&lt;&gt;0,AE22=""),1,IF(AE22&gt;$V22,1,0))</f>
        <v/>
      </c>
      <c r="DE22" s="5578" t="n"/>
      <c r="DF22" s="5577">
        <f>IF(AND($C22&lt;&gt;0,AG22=""),1,IF(AG22&gt;$C22,1,0))</f>
        <v/>
      </c>
      <c r="DG22" s="5579" t="n"/>
    </row>
    <row r="23" ht="15" customHeight="1" s="8286">
      <c r="A23" s="7209" t="inlineStr">
        <is>
          <t xml:space="preserve">Recién nacido hasta 10 días de vida </t>
        </is>
      </c>
      <c r="B23" s="1721" t="inlineStr">
        <is>
          <t>Médico/a</t>
        </is>
      </c>
      <c r="C23" s="5587">
        <f>SUM(D23)</f>
        <v/>
      </c>
      <c r="D23" s="1511" t="n"/>
      <c r="E23" s="1910" t="n"/>
      <c r="F23" s="5346" t="n"/>
      <c r="G23" s="5346" t="n"/>
      <c r="H23" s="5346" t="n"/>
      <c r="I23" s="5346" t="n"/>
      <c r="J23" s="5346" t="n"/>
      <c r="K23" s="5346" t="n"/>
      <c r="L23" s="5346" t="n"/>
      <c r="M23" s="5346" t="n"/>
      <c r="N23" s="5346" t="n"/>
      <c r="O23" s="5346" t="n"/>
      <c r="P23" s="5346" t="n"/>
      <c r="Q23" s="5346" t="n"/>
      <c r="R23" s="5346" t="n"/>
      <c r="S23" s="5346" t="n"/>
      <c r="T23" s="1658" t="n"/>
      <c r="U23" s="1613" t="n"/>
      <c r="V23" s="1634" t="n"/>
      <c r="W23" s="5610" t="n"/>
      <c r="X23" s="5598" t="n"/>
      <c r="Y23" s="5590" t="n"/>
      <c r="Z23" s="5569" t="n"/>
      <c r="AA23" s="5611" t="n"/>
      <c r="AB23" s="5591" t="n"/>
      <c r="AC23" s="5592" t="n"/>
      <c r="AD23" s="5593" t="n"/>
      <c r="AE23" s="980" t="n"/>
      <c r="AF23" s="5594" t="n"/>
      <c r="AG23" s="5612" t="n"/>
      <c r="AH23" s="5317" t="n"/>
      <c r="AI23" s="1006">
        <f>$CA23&amp;CB23&amp;CC23&amp;CD23&amp;CE23&amp;CF23&amp;CG23&amp;CH23&amp;CI23&amp;CJ23&amp;CK23&amp;CL23&amp;CM23</f>
        <v/>
      </c>
      <c r="CA23" s="5575">
        <f>IF((U23+V23)&lt;&gt;$C23," * La suma de la variable Sexo (Hombres + Mujeres) no puede ser distinto al Total","")</f>
        <v/>
      </c>
      <c r="CB23" s="5576" t="n"/>
      <c r="CC23" s="5575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5576" t="n"/>
      <c r="CE23" s="5575">
        <f>IF(AND($C23&lt;&gt;0,Z23=""),"* No olvide ingresar la variable "&amp;Z$9&amp;""&amp;". Digite CERO si no tiene. ",IF(Z23&gt;$C23,"* La variable "&amp;Z$9&amp;""&amp;" no debe ser mayor al Total. ",""))</f>
        <v/>
      </c>
      <c r="CF23" s="5575">
        <f>IF(AND($C23&lt;&gt;0,AA23=""),"* No olvide ingresar la variable "&amp;AA$9&amp;""&amp;". Digite CERO si no tiene.  ",IF(AA23&gt;$C23,"* La variable "&amp;AA$9&amp;""&amp;" no debe ser mayor al Total. ",""))</f>
        <v/>
      </c>
      <c r="CG23" s="5575">
        <f>IF(AND($C23&lt;&gt;0,AB23=""),"* No olvide ingresar la variable "&amp;AB$9&amp;""&amp;". Digite CERO si no tiene. ",IF(AB23&gt;$C23,"* La variable de Pueblos Originarios no debe ser mayor al Total. ",""))</f>
        <v/>
      </c>
      <c r="CH23" s="5575">
        <f>IF(AND($C23&lt;&gt;0,AC23=""),"* No olvide ingresar la variable "&amp;AC$9&amp;""&amp;". Digite CERO si no tiene.  ",IF(AC23&gt;$C23,"* La variable Migrantes no debe ser mayor al Total. ",""))</f>
        <v/>
      </c>
      <c r="CI23" s="5575">
        <f>IF(AND($C23&lt;&gt;0,AD23=""),"* No olvide ingresar la variable "&amp;AD$9&amp;""&amp;". Digite CERO si no tiene.  ",IF(AD23&gt;$C23,"* La variable Personas con discapacidad no debe ser mayor al Total. ",""))</f>
        <v/>
      </c>
      <c r="CJ23" s="5576" t="n"/>
      <c r="CK23" s="5576" t="n"/>
      <c r="CL23" s="5576" t="n"/>
      <c r="CM23" s="5576" t="n"/>
      <c r="CU23" s="5577">
        <f>IF((U23+V23)&lt;&gt;$C23,1,0)</f>
        <v/>
      </c>
      <c r="CV23" s="5578" t="n"/>
      <c r="CW23" s="5577">
        <f>IF(AND(C23&lt;&gt;0,X23=""),1,IF(X23&gt;C23,1,0))</f>
        <v/>
      </c>
      <c r="CX23" s="5578" t="n"/>
      <c r="CY23" s="5577">
        <f>IF(AND($C23&lt;&gt;0,Z23=""),1,IF(Z23&gt;C23,1,0))</f>
        <v/>
      </c>
      <c r="CZ23" s="5577">
        <f>IF(AND($C23&lt;&gt;0,AA23=""),1,IF(AA23&gt;C23,1,0))</f>
        <v/>
      </c>
      <c r="DA23" s="5577">
        <f>IF(AND($C23&lt;&gt;0,AB23=""),1,IF(AB23&gt;C23,1,0))</f>
        <v/>
      </c>
      <c r="DB23" s="5577">
        <f>IF(AND($C23&lt;&gt;0,AC23=""),1,IF(AC23&gt;C23,1,0))</f>
        <v/>
      </c>
      <c r="DC23" s="5577">
        <f>IF(AND($C23&lt;&gt;0,AD23=""),1,IF(AD23&gt;$C23,1,0))</f>
        <v/>
      </c>
      <c r="DD23" s="5578" t="n"/>
      <c r="DE23" s="5578" t="n"/>
      <c r="DF23" s="5578" t="n"/>
      <c r="DG23" s="5579" t="n"/>
    </row>
    <row r="24" ht="15" customHeight="1" s="8286">
      <c r="A24" s="9614" t="n"/>
      <c r="B24" s="1648" t="inlineStr">
        <is>
          <t>Matrona/ón</t>
        </is>
      </c>
      <c r="C24" s="5587">
        <f>SUM(D24)</f>
        <v/>
      </c>
      <c r="D24" s="1083" t="n">
        <v>1</v>
      </c>
      <c r="E24" s="5581" t="n"/>
      <c r="F24" s="1623" t="n"/>
      <c r="G24" s="1623" t="n"/>
      <c r="H24" s="1623" t="n"/>
      <c r="I24" s="1623" t="n"/>
      <c r="J24" s="1623" t="n"/>
      <c r="K24" s="1623" t="n"/>
      <c r="L24" s="1623" t="n"/>
      <c r="M24" s="1623" t="n"/>
      <c r="N24" s="1623" t="n"/>
      <c r="O24" s="1623" t="n"/>
      <c r="P24" s="1623" t="n"/>
      <c r="Q24" s="1623" t="n"/>
      <c r="R24" s="1623" t="n"/>
      <c r="S24" s="1623" t="n"/>
      <c r="T24" s="1660" t="n"/>
      <c r="U24" s="1627" t="n"/>
      <c r="V24" s="1642" t="n">
        <v>1</v>
      </c>
      <c r="W24" s="5613" t="n"/>
      <c r="X24" s="1625" t="n">
        <v>0</v>
      </c>
      <c r="Y24" s="5602" t="n"/>
      <c r="Z24" s="5614" t="n">
        <v>0</v>
      </c>
      <c r="AA24" s="5615" t="n">
        <v>0</v>
      </c>
      <c r="AB24" s="1733" t="n">
        <v>0</v>
      </c>
      <c r="AC24" s="5585" t="n">
        <v>0</v>
      </c>
      <c r="AD24" s="1520" t="n">
        <v>0</v>
      </c>
      <c r="AE24" s="1875" t="n"/>
      <c r="AF24" s="1656" t="n"/>
      <c r="AG24" s="1899" t="n"/>
      <c r="AH24" s="5586" t="n"/>
      <c r="AI24" s="1006">
        <f>$CA24&amp;CB24&amp;CC24&amp;CD24&amp;CE24&amp;CF24&amp;CG24&amp;CH24&amp;CI24&amp;CJ24&amp;CK24&amp;CL24&amp;CM24</f>
        <v/>
      </c>
      <c r="CA24" s="5575">
        <f>IF((U24+V24)&lt;&gt;$C24," * La suma de la variable Sexo (Hombres + Mujeres) no puede ser distinto al Total","")</f>
        <v/>
      </c>
      <c r="CB24" s="5576" t="n"/>
      <c r="CC24" s="5575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5576" t="n"/>
      <c r="CE24" s="5575">
        <f>IF(AND($C24&lt;&gt;0,Z24=""),"* No olvide ingresar la variable "&amp;Z$9&amp;""&amp;". Digite CERO si no tiene. ",IF(Z24&gt;$C24,"* La variable "&amp;Z$9&amp;""&amp;" no debe ser mayor al Total. ",""))</f>
        <v/>
      </c>
      <c r="CF24" s="5575">
        <f>IF(AND($C24&lt;&gt;0,AA24=""),"* No olvide ingresar la variable "&amp;AA$9&amp;""&amp;". Digite CERO si no tiene.  ",IF(AA24&gt;$C24,"* La variable "&amp;AA$9&amp;""&amp;" no debe ser mayor al Total. ",""))</f>
        <v/>
      </c>
      <c r="CG24" s="5575">
        <f>IF(AND($C24&lt;&gt;0,AB24=""),"* No olvide ingresar la variable "&amp;AB$9&amp;""&amp;". Digite CERO si no tiene. ",IF(AB24&gt;$C24,"* La variable de Pueblos Originarios no debe ser mayor al Total. ",""))</f>
        <v/>
      </c>
      <c r="CH24" s="5575">
        <f>IF(AND($C24&lt;&gt;0,AC24=""),"* No olvide ingresar la variable "&amp;AC$9&amp;""&amp;". Digite CERO si no tiene.  ",IF(AC24&gt;$C24,"* La variable Migrantes no debe ser mayor al Total. ",""))</f>
        <v/>
      </c>
      <c r="CI24" s="5575">
        <f>IF(AND($C24&lt;&gt;0,AD24=""),"* No olvide ingresar la variable "&amp;AD$9&amp;""&amp;". Digite CERO si no tiene.  ",IF(AD24&gt;$C24,"* La variable Personas con discapacidad no debe ser mayor al Total. ",""))</f>
        <v/>
      </c>
      <c r="CJ24" s="5576" t="n"/>
      <c r="CK24" s="5576" t="n"/>
      <c r="CL24" s="5576" t="n"/>
      <c r="CM24" s="5576" t="n"/>
      <c r="CU24" s="5577">
        <f>IF((U24+V24)&lt;&gt;$C24,1,0)</f>
        <v/>
      </c>
      <c r="CV24" s="5578" t="n"/>
      <c r="CW24" s="5577">
        <f>IF(AND(C24&lt;&gt;0,X24=""),1,IF(X24&gt;C24,1,0))</f>
        <v/>
      </c>
      <c r="CX24" s="5578" t="n"/>
      <c r="CY24" s="5577">
        <f>IF(AND($C24&lt;&gt;0,Z24=""),1,IF(Z24&gt;C24,1,0))</f>
        <v/>
      </c>
      <c r="CZ24" s="5577">
        <f>IF(AND($C24&lt;&gt;0,AA24=""),1,IF(AA24&gt;C24,1,0))</f>
        <v/>
      </c>
      <c r="DA24" s="5577">
        <f>IF(AND($C24&lt;&gt;0,AB24=""),1,IF(AB24&gt;C24,1,0))</f>
        <v/>
      </c>
      <c r="DB24" s="5577">
        <f>IF(AND($C24&lt;&gt;0,AC24=""),1,IF(AC24&gt;C24,1,0))</f>
        <v/>
      </c>
      <c r="DC24" s="5577">
        <f>IF(AND($C24&lt;&gt;0,AD24=""),1,IF(AD24&gt;$C24,1,0))</f>
        <v/>
      </c>
      <c r="DD24" s="5578" t="n"/>
      <c r="DE24" s="5578" t="n"/>
      <c r="DF24" s="5578" t="n"/>
      <c r="DG24" s="5579" t="n"/>
    </row>
    <row r="25" ht="15" customHeight="1" s="8286">
      <c r="A25" s="9612" t="inlineStr">
        <is>
          <t xml:space="preserve">Recién nacido entre 11 y 28 días </t>
        </is>
      </c>
      <c r="B25" s="1721" t="inlineStr">
        <is>
          <t>Médico/a</t>
        </is>
      </c>
      <c r="C25" s="5563">
        <f>SUM(D25)</f>
        <v/>
      </c>
      <c r="D25" s="942" t="n"/>
      <c r="E25" s="5589" t="n"/>
      <c r="F25" s="955" t="n"/>
      <c r="G25" s="955" t="n"/>
      <c r="H25" s="955" t="n"/>
      <c r="I25" s="955" t="n"/>
      <c r="J25" s="955" t="n"/>
      <c r="K25" s="955" t="n"/>
      <c r="L25" s="955" t="n"/>
      <c r="M25" s="955" t="n"/>
      <c r="N25" s="955" t="n"/>
      <c r="O25" s="955" t="n"/>
      <c r="P25" s="5346" t="n"/>
      <c r="Q25" s="5346" t="n"/>
      <c r="R25" s="5346" t="n"/>
      <c r="S25" s="5346" t="n"/>
      <c r="T25" s="1658" t="n"/>
      <c r="U25" s="1613" t="n"/>
      <c r="V25" s="1634" t="n"/>
      <c r="W25" s="5610" t="n"/>
      <c r="X25" s="5598" t="n"/>
      <c r="Y25" s="5590" t="n"/>
      <c r="Z25" s="5616" t="n"/>
      <c r="AA25" s="5617" t="n"/>
      <c r="AB25" s="5591" t="n"/>
      <c r="AC25" s="5592" t="n"/>
      <c r="AD25" s="5593" t="n"/>
      <c r="AE25" s="980" t="n"/>
      <c r="AF25" s="5618" t="n"/>
      <c r="AG25" s="5612" t="n"/>
      <c r="AH25" s="5317" t="n"/>
      <c r="AI25" s="1006">
        <f>$CA25&amp;CB25&amp;CC25&amp;CD25&amp;CE25&amp;CF25&amp;CG25&amp;CH25&amp;CI25&amp;CJ25&amp;CK25&amp;CL25&amp;CM25</f>
        <v/>
      </c>
      <c r="CA25" s="5575">
        <f>IF((U25+V25)&lt;&gt;$C25," * La suma de la variable Sexo (Hombres + Mujeres) no puede ser distinto al Total","")</f>
        <v/>
      </c>
      <c r="CB25" s="5576" t="n"/>
      <c r="CC25" s="5575">
        <f>IF(AND($C25&lt;&gt;0,X25=""),"* No olvide ingresar la columna "&amp;X$9&amp;""&amp;" (Digite CERO si no tiene).  ",IF(X25&gt;$C25,"* El Número de Control de diada con presencia del padre no puede superar el Total. ",""))</f>
        <v/>
      </c>
      <c r="CD25" s="5576" t="n"/>
      <c r="CE25" s="5575">
        <f>IF(AND($C25&lt;&gt;0,Z25=""),"* No olvide ingresar la variable "&amp;Z$9&amp;""&amp;". Digite CERO si no tiene. ",IF(Z25&gt;$C25,"* La variable "&amp;Z$9&amp;""&amp;" no debe ser mayor al Total. ",""))</f>
        <v/>
      </c>
      <c r="CF25" s="5575">
        <f>IF(AND($C25&lt;&gt;0,AA25=""),"* No olvide ingresar la variable "&amp;AA$9&amp;""&amp;". Digite CERO si no tiene.  ",IF(AA25&gt;$C25,"* La variable "&amp;AA$9&amp;""&amp;" no debe ser mayor al Total. ",""))</f>
        <v/>
      </c>
      <c r="CG25" s="5575">
        <f>IF(AND($C25&lt;&gt;0,AB25=""),"* No olvide ingresar la variable "&amp;AB$9&amp;""&amp;". Digite CERO si no tiene. ",IF(AB25&gt;$C25,"* La variable de Pueblos Originarios no debe ser mayor al Total. ",""))</f>
        <v/>
      </c>
      <c r="CH25" s="5575">
        <f>IF(AND($C25&lt;&gt;0,AC25=""),"* No olvide ingresar la variable "&amp;AC$9&amp;""&amp;". Digite CERO si no tiene.  ",IF(AC25&gt;$C25,"* La variable Migrantes no debe ser mayor al Total. ",""))</f>
        <v/>
      </c>
      <c r="CI25" s="5575">
        <f>IF(AND($C25&lt;&gt;0,AD25=""),"* No olvide ingresar la variable "&amp;AD$9&amp;""&amp;". Digite CERO si no tiene.  ",IF(AD25&gt;$C25,"* La variable Personas con discapacidad no debe ser mayor al Total. ",""))</f>
        <v/>
      </c>
      <c r="CJ25" s="5576" t="n"/>
      <c r="CK25" s="5576" t="n"/>
      <c r="CL25" s="5576" t="n"/>
      <c r="CM25" s="5576" t="n"/>
      <c r="CU25" s="5577">
        <f>IF((U25+V25)&lt;&gt;$C25,1,0)</f>
        <v/>
      </c>
      <c r="CV25" s="5578" t="n"/>
      <c r="CW25" s="5577">
        <f>IF(AND(C25&lt;&gt;0,X25=""),1,IF(X25&gt;C25,1,0))</f>
        <v/>
      </c>
      <c r="CX25" s="5578" t="n"/>
      <c r="CY25" s="5577">
        <f>IF(AND($C25&lt;&gt;0,Z25=""),1,IF(Z25&gt;C25,1,0))</f>
        <v/>
      </c>
      <c r="CZ25" s="5577">
        <f>IF(AND($C25&lt;&gt;0,AA25=""),1,IF(AA25&gt;C25,1,0))</f>
        <v/>
      </c>
      <c r="DA25" s="5577">
        <f>IF(AND($C25&lt;&gt;0,AB25=""),1,IF(AB25&gt;C25,1,0))</f>
        <v/>
      </c>
      <c r="DB25" s="5577">
        <f>IF(AND($C25&lt;&gt;0,AC25=""),1,IF(AC25&gt;C25,1,0))</f>
        <v/>
      </c>
      <c r="DC25" s="5577">
        <f>IF(AND($C25&lt;&gt;0,AD25=""),1,IF(AD25&gt;$C25,1,0))</f>
        <v/>
      </c>
      <c r="DD25" s="5578" t="n"/>
      <c r="DE25" s="5578" t="n"/>
      <c r="DF25" s="5578" t="n"/>
      <c r="DG25" s="5579" t="n"/>
    </row>
    <row r="26" ht="15" customHeight="1" s="8286">
      <c r="A26" s="9589" t="n"/>
      <c r="B26" s="1648" t="inlineStr">
        <is>
          <t>Matrona/ón</t>
        </is>
      </c>
      <c r="C26" s="5580">
        <f>SUM(D26)</f>
        <v/>
      </c>
      <c r="D26" s="998" t="n">
        <v>4</v>
      </c>
      <c r="E26" s="5581" t="n"/>
      <c r="F26" s="1623" t="n"/>
      <c r="G26" s="1623" t="n"/>
      <c r="H26" s="1623" t="n"/>
      <c r="I26" s="1623" t="n"/>
      <c r="J26" s="1623" t="n"/>
      <c r="K26" s="1623" t="n"/>
      <c r="L26" s="1623" t="n"/>
      <c r="M26" s="1623" t="n"/>
      <c r="N26" s="1623" t="n"/>
      <c r="O26" s="1623" t="n"/>
      <c r="P26" s="1623" t="n"/>
      <c r="Q26" s="1623" t="n"/>
      <c r="R26" s="1623" t="n"/>
      <c r="S26" s="1623" t="n"/>
      <c r="T26" s="1660" t="n"/>
      <c r="U26" s="1627" t="n"/>
      <c r="V26" s="1642" t="n">
        <v>4</v>
      </c>
      <c r="W26" s="5613" t="n"/>
      <c r="X26" s="1625" t="n">
        <v>3</v>
      </c>
      <c r="Y26" s="5602" t="n"/>
      <c r="Z26" s="5619" t="n">
        <v>0</v>
      </c>
      <c r="AA26" s="5615" t="n">
        <v>0</v>
      </c>
      <c r="AB26" s="1733" t="n">
        <v>0</v>
      </c>
      <c r="AC26" s="5585" t="n">
        <v>0</v>
      </c>
      <c r="AD26" s="1520" t="n">
        <v>0</v>
      </c>
      <c r="AE26" s="1875" t="n"/>
      <c r="AF26" s="1656" t="n"/>
      <c r="AG26" s="1899" t="n"/>
      <c r="AH26" s="5586" t="n"/>
      <c r="AI26" s="1006">
        <f>$CA26&amp;CB26&amp;CC26&amp;CD26&amp;CE26&amp;CF26&amp;CG26&amp;CH26&amp;CI26&amp;CJ26&amp;CK26&amp;CL26&amp;CM26</f>
        <v/>
      </c>
      <c r="CA26" s="5575">
        <f>IF((U26+V26)&lt;&gt;$C26," * La suma de la variable Sexo (Hombres + Mujeres) no puede ser distinto al Total","")</f>
        <v/>
      </c>
      <c r="CB26" s="5576" t="n"/>
      <c r="CC26" s="5575">
        <f>IF(AND($C26&lt;&gt;0,X26=""),"* No olvide ingresar la columna "&amp;X$9&amp;""&amp;" (Digite CERO si no tiene).  ",IF(X26&gt;$C26,"* El Número de Control de diada con presencia del padre no puede superar el Total. ",""))</f>
        <v/>
      </c>
      <c r="CD26" s="5576" t="n"/>
      <c r="CE26" s="5575">
        <f>IF(AND($C26&lt;&gt;0,Z26=""),"* No olvide ingresar la variable "&amp;Z$9&amp;""&amp;". Digite CERO si no tiene. ",IF(Z26&gt;$C26,"* La variable "&amp;Z$9&amp;""&amp;" no debe ser mayor al Total. ",""))</f>
        <v/>
      </c>
      <c r="CF26" s="5575">
        <f>IF(AND($C26&lt;&gt;0,AA26=""),"* No olvide ingresar la variable "&amp;AA$9&amp;""&amp;". Digite CERO si no tiene.  ",IF(AA26&gt;$C26,"* La variable "&amp;AA$9&amp;""&amp;" no debe ser mayor al Total. ",""))</f>
        <v/>
      </c>
      <c r="CG26" s="5575">
        <f>IF(AND($C26&lt;&gt;0,AB26=""),"* No olvide ingresar la variable "&amp;AB$9&amp;""&amp;". Digite CERO si no tiene. ",IF(AB26&gt;$C26,"* La variable de Pueblos Originarios no debe ser mayor al Total. ",""))</f>
        <v/>
      </c>
      <c r="CH26" s="5575">
        <f>IF(AND($C26&lt;&gt;0,AC26=""),"* No olvide ingresar la variable "&amp;AC$9&amp;""&amp;". Digite CERO si no tiene.  ",IF(AC26&gt;$C26,"* La variable Migrantes no debe ser mayor al Total. ",""))</f>
        <v/>
      </c>
      <c r="CI26" s="5575">
        <f>IF(AND($C26&lt;&gt;0,AD26=""),"* No olvide ingresar la variable "&amp;AD$9&amp;""&amp;". Digite CERO si no tiene.  ",IF(AD26&gt;$C26,"* La variable Personas con discapacidad no debe ser mayor al Total. ",""))</f>
        <v/>
      </c>
      <c r="CJ26" s="5576" t="n"/>
      <c r="CK26" s="5576" t="n"/>
      <c r="CL26" s="5576" t="n"/>
      <c r="CM26" s="5576" t="n"/>
      <c r="CU26" s="5577">
        <f>IF((U26+V26)&lt;&gt;$C26,1,0)</f>
        <v/>
      </c>
      <c r="CV26" s="5578" t="n"/>
      <c r="CW26" s="5577">
        <f>IF(AND(C26&lt;&gt;0,X26=""),1,IF(X26&gt;C26,1,0))</f>
        <v/>
      </c>
      <c r="CX26" s="5578" t="n"/>
      <c r="CY26" s="5577">
        <f>IF(AND($C26&lt;&gt;0,Z26=""),1,IF(Z26&gt;C26,1,0))</f>
        <v/>
      </c>
      <c r="CZ26" s="5577">
        <f>IF(AND($C26&lt;&gt;0,AA26=""),1,IF(AA26&gt;C26,1,0))</f>
        <v/>
      </c>
      <c r="DA26" s="5577">
        <f>IF(AND($C26&lt;&gt;0,AB26=""),1,IF(AB26&gt;C26,1,0))</f>
        <v/>
      </c>
      <c r="DB26" s="5577">
        <f>IF(AND($C26&lt;&gt;0,AC26=""),1,IF(AC26&gt;C26,1,0))</f>
        <v/>
      </c>
      <c r="DC26" s="5577">
        <f>IF(AND($C26&lt;&gt;0,AD26=""),1,IF(AD26&gt;$C26,1,0))</f>
        <v/>
      </c>
      <c r="DD26" s="5578" t="n"/>
      <c r="DE26" s="5578" t="n"/>
      <c r="DF26" s="5578" t="n"/>
      <c r="DG26" s="5579" t="n"/>
    </row>
    <row r="27" ht="15" customHeight="1" s="8286">
      <c r="A27" s="7231" t="inlineStr">
        <is>
          <t>Ginecológico</t>
        </is>
      </c>
      <c r="B27" s="1721" t="inlineStr">
        <is>
          <t>Médico/a</t>
        </is>
      </c>
      <c r="C27" s="1721">
        <f>SUM(F27:T27)</f>
        <v/>
      </c>
      <c r="D27" s="1912" t="n"/>
      <c r="E27" s="1910" t="n"/>
      <c r="F27" s="5573" t="n"/>
      <c r="G27" s="5573" t="n"/>
      <c r="H27" s="5573" t="n">
        <v>1</v>
      </c>
      <c r="I27" s="5573" t="n"/>
      <c r="J27" s="5573" t="n">
        <v>1</v>
      </c>
      <c r="K27" s="5573" t="n"/>
      <c r="L27" s="5573" t="n"/>
      <c r="M27" s="5573" t="n">
        <v>1</v>
      </c>
      <c r="N27" s="5573" t="n">
        <v>2</v>
      </c>
      <c r="O27" s="5573" t="n">
        <v>1</v>
      </c>
      <c r="P27" s="5573" t="n"/>
      <c r="Q27" s="5573" t="n"/>
      <c r="R27" s="5573" t="n"/>
      <c r="S27" s="5573" t="n"/>
      <c r="T27" s="1654" t="n"/>
      <c r="U27" s="5589" t="n"/>
      <c r="V27" s="1634" t="n">
        <v>6</v>
      </c>
      <c r="W27" s="5610" t="n"/>
      <c r="X27" s="955" t="n"/>
      <c r="Y27" s="1777" t="n">
        <v>0</v>
      </c>
      <c r="Z27" s="5569" t="n">
        <v>0</v>
      </c>
      <c r="AA27" s="5570" t="n">
        <v>0</v>
      </c>
      <c r="AB27" s="5591" t="n">
        <v>1</v>
      </c>
      <c r="AC27" s="5592" t="n">
        <v>0</v>
      </c>
      <c r="AD27" s="5593" t="n">
        <v>0</v>
      </c>
      <c r="AE27" s="998" t="n">
        <v>0</v>
      </c>
      <c r="AF27" s="5594" t="n"/>
      <c r="AG27" s="5574" t="n">
        <v>0</v>
      </c>
      <c r="AH27" s="5317" t="n"/>
      <c r="AI27" s="1006">
        <f>$CA27&amp;CB27&amp;CC27&amp;CD27&amp;CE27&amp;CF27&amp;CG27&amp;CH27&amp;CI27&amp;CJ27&amp;CK27&amp;CL27&amp;CM27</f>
        <v/>
      </c>
      <c r="CA27" s="5575">
        <f>IF((U27+V27)&lt;&gt;$C27," * La suma de la variable Sexo (Hombres + Mujeres) no puede ser distinto al Total","")</f>
        <v/>
      </c>
      <c r="CB27" s="5576" t="n"/>
      <c r="CC27" s="5576" t="n"/>
      <c r="CD27" s="5575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>
        <f>IF(AND($C27&lt;&gt;0,Z27=""),"* No olvide ingresar la variable "&amp;Z$9&amp;""&amp;". Digite CERO si no tiene. ",IF(Z27&gt;$C27,"* La variable "&amp;Z$9&amp;""&amp;" no debe ser mayor al Total. ",""))</f>
        <v/>
      </c>
      <c r="CF27" s="5575">
        <f>IF(AND($C27&lt;&gt;0,AA27=""),"* No olvide ingresar la variable "&amp;AA$9&amp;""&amp;". Digite CERO si no tiene.  ",IF(AA27&gt;$C27,"* La variable "&amp;AA$9&amp;""&amp;" no debe ser mayor al Total. ",""))</f>
        <v/>
      </c>
      <c r="CG27" s="5575">
        <f>IF(AND($C27&lt;&gt;0,AB27=""),"* No olvide ingresar la variable "&amp;AB$9&amp;""&amp;". Digite CERO si no tiene. ",IF(AB27&gt;$C27,"* La variable de Pueblos Originarios no debe ser mayor al Total. ",""))</f>
        <v/>
      </c>
      <c r="CH27" s="5575">
        <f>IF(AND($C27&lt;&gt;0,AC27=""),"* No olvide ingresar la variable "&amp;AC$9&amp;""&amp;". Digite CERO si no tiene.  ",IF(AC27&gt;$C27,"* La variable Migrantes no debe ser mayor al Total. ",""))</f>
        <v/>
      </c>
      <c r="CI27" s="5575">
        <f>IF(AND($C27&lt;&gt;0,AD27=""),"* No olvide ingresar la variable "&amp;AD$9&amp;""&amp;". Digite CERO si no tiene.  ",IF(AD27&gt;$C27,"* La variable Personas con discapacidad no debe ser mayor al Total. ",""))</f>
        <v/>
      </c>
      <c r="CJ27" s="5575">
        <f>IF(AND($V27&lt;&gt;0,AE27=""),"* No olvide ingresar la variable "&amp;AE$10&amp;""&amp;". Digite CERO si no tiene.  ",IF(AE27&gt;$V27,"* La variable Trans masculino no debe ser mayor al Total Mujeres. ",""))</f>
        <v/>
      </c>
      <c r="CK27" s="5576" t="n"/>
      <c r="CL27" s="5575">
        <f>IF(AND($C27&lt;&gt;0,AG27=""),"* No olvide ingresar la variable "&amp;AG$10&amp;""&amp;". Digite CERO si no tiene.  ",IF(AG27&gt;$C27,"* La variable No binarie no debe ser mayor al Total. ",""))</f>
        <v/>
      </c>
      <c r="CM27" s="5576" t="n"/>
      <c r="CU27" s="5577">
        <f>IF((U27+V27)&lt;&gt;$C27,1,0)</f>
        <v/>
      </c>
      <c r="CV27" s="5578" t="n"/>
      <c r="CW27" s="5578" t="n"/>
      <c r="CX27" s="5577">
        <f>IF(AND(($F27+$G27)&lt;&gt;0,Y27=""),1,IF(Y27&gt;($F27+$G27),1,0))</f>
        <v/>
      </c>
      <c r="CY27" s="5577">
        <f>IF(AND($C27&lt;&gt;0,Z27=""),1,IF(Z27&gt;C27,1,0))</f>
        <v/>
      </c>
      <c r="CZ27" s="5577">
        <f>IF(AND($C27&lt;&gt;0,AA27=""),1,IF(AA27&gt;C27,1,0))</f>
        <v/>
      </c>
      <c r="DA27" s="5577">
        <f>IF(AND($C27&lt;&gt;0,AB27=""),1,IF(AB27&gt;C27,1,0))</f>
        <v/>
      </c>
      <c r="DB27" s="5577">
        <f>IF(AND($C27&lt;&gt;0,AC27=""),1,IF(AC27&gt;C27,1,0))</f>
        <v/>
      </c>
      <c r="DC27" s="5577">
        <f>IF(AND($C27&lt;&gt;0,AD27=""),1,IF(AD27&gt;$C27,1,0))</f>
        <v/>
      </c>
      <c r="DD27" s="5577">
        <f>IF(AND($V27&lt;&gt;0,AE27=""),1,IF(AE27&gt;$V27,1,0))</f>
        <v/>
      </c>
      <c r="DE27" s="5578" t="n"/>
      <c r="DF27" s="5577">
        <f>IF(AND($C27&lt;&gt;0,AG27=""),1,IF(AG27&gt;$C27,1,0))</f>
        <v/>
      </c>
      <c r="DG27" s="5579" t="n"/>
    </row>
    <row r="28" ht="15" customHeight="1" s="8286">
      <c r="A28" s="9614" t="n"/>
      <c r="B28" s="1648" t="inlineStr">
        <is>
          <t>Matrona/ón</t>
        </is>
      </c>
      <c r="C28" s="1737">
        <f>SUM(F28:T28)</f>
        <v/>
      </c>
      <c r="D28" s="1622" t="n"/>
      <c r="E28" s="5581" t="n"/>
      <c r="F28" s="5598" t="n">
        <v>1</v>
      </c>
      <c r="G28" s="5598" t="n">
        <v>9</v>
      </c>
      <c r="H28" s="5598" t="n">
        <v>21</v>
      </c>
      <c r="I28" s="5598" t="n">
        <v>33</v>
      </c>
      <c r="J28" s="5598" t="n">
        <v>28</v>
      </c>
      <c r="K28" s="5598" t="n">
        <v>31</v>
      </c>
      <c r="L28" s="5598" t="n">
        <v>30</v>
      </c>
      <c r="M28" s="5598" t="n">
        <v>34</v>
      </c>
      <c r="N28" s="1625" t="n">
        <v>27</v>
      </c>
      <c r="O28" s="961" t="n">
        <v>34</v>
      </c>
      <c r="P28" s="961" t="n">
        <v>67</v>
      </c>
      <c r="Q28" s="5598" t="n">
        <v>21</v>
      </c>
      <c r="R28" s="5598" t="n">
        <v>4</v>
      </c>
      <c r="S28" s="5598" t="n">
        <v>3</v>
      </c>
      <c r="T28" s="5621" t="n">
        <v>4</v>
      </c>
      <c r="U28" s="5601" t="n"/>
      <c r="V28" s="1642" t="n">
        <v>347</v>
      </c>
      <c r="W28" s="5613" t="n"/>
      <c r="X28" s="1623" t="n"/>
      <c r="Y28" s="1552" t="n">
        <v>0</v>
      </c>
      <c r="Z28" s="5622" t="n">
        <v>0</v>
      </c>
      <c r="AA28" s="5615" t="n">
        <v>0</v>
      </c>
      <c r="AB28" s="1733" t="n">
        <v>11</v>
      </c>
      <c r="AC28" s="5585" t="n">
        <v>13</v>
      </c>
      <c r="AD28" s="1520" t="n">
        <v>1</v>
      </c>
      <c r="AE28" s="1519" t="n">
        <v>0</v>
      </c>
      <c r="AF28" s="5603" t="n"/>
      <c r="AG28" s="1520" t="n">
        <v>0</v>
      </c>
      <c r="AH28" s="5586" t="n"/>
      <c r="AI28" s="1006">
        <f>$CA28&amp;CB28&amp;CC28&amp;CD28&amp;CE28&amp;CF28&amp;CG28&amp;CH28&amp;CI28&amp;CJ28&amp;CK28&amp;CL28&amp;CM28</f>
        <v/>
      </c>
      <c r="CA28" s="5575">
        <f>IF((U28+V28)&lt;&gt;$C28," * La suma de la variable Sexo (Hombres + Mujeres) no puede ser distinto al Total","")</f>
        <v/>
      </c>
      <c r="CB28" s="5576" t="n"/>
      <c r="CC28" s="5576" t="n"/>
      <c r="CD28" s="5575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>
        <f>IF(AND($C28&lt;&gt;0,Z28=""),"* No olvide ingresar la variable "&amp;Z$9&amp;""&amp;". Digite CERO si no tiene. ",IF(Z28&gt;$C28,"* La variable "&amp;Z$9&amp;""&amp;" no debe ser mayor al Total. ",""))</f>
        <v/>
      </c>
      <c r="CF28" s="5575">
        <f>IF(AND($C28&lt;&gt;0,AA28=""),"* No olvide ingresar la variable "&amp;AA$9&amp;""&amp;". Digite CERO si no tiene.  ",IF(AA28&gt;$C28,"* La variable "&amp;AA$9&amp;""&amp;" no debe ser mayor al Total. ",""))</f>
        <v/>
      </c>
      <c r="CG28" s="5575">
        <f>IF(AND($C28&lt;&gt;0,AB28=""),"* No olvide ingresar la variable "&amp;AB$9&amp;""&amp;". Digite CERO si no tiene. ",IF(AB28&gt;$C28,"* La variable de Pueblos Originarios no debe ser mayor al Total. ",""))</f>
        <v/>
      </c>
      <c r="CH28" s="5575">
        <f>IF(AND($C28&lt;&gt;0,AC28=""),"* No olvide ingresar la variable "&amp;AC$9&amp;""&amp;". Digite CERO si no tiene.  ",IF(AC28&gt;$C28,"* La variable Migrantes no debe ser mayor al Total. ",""))</f>
        <v/>
      </c>
      <c r="CI28" s="5575">
        <f>IF(AND($C28&lt;&gt;0,AD28=""),"* No olvide ingresar la variable "&amp;AD$9&amp;""&amp;". Digite CERO si no tiene.  ",IF(AD28&gt;$C28,"* La variable Personas con discapacidad no debe ser mayor al Total. ",""))</f>
        <v/>
      </c>
      <c r="CJ28" s="5575">
        <f>IF(AND($V28&lt;&gt;0,AE28=""),"* No olvide ingresar la variable "&amp;AE$10&amp;""&amp;". Digite CERO si no tiene.  ",IF(AE28&gt;$V28,"* La variable Trans masculino no debe ser mayor al Total Mujeres. ",""))</f>
        <v/>
      </c>
      <c r="CK28" s="5576" t="n"/>
      <c r="CL28" s="5575">
        <f>IF(AND($C28&lt;&gt;0,AG28=""),"* No olvide ingresar la variable "&amp;AG$10&amp;""&amp;". Digite CERO si no tiene.  ",IF(AG28&gt;$C28,"* La variable No binarie no debe ser mayor al Total. ",""))</f>
        <v/>
      </c>
      <c r="CM28" s="5576" t="n"/>
      <c r="CU28" s="5577">
        <f>IF((U28+V28)&lt;&gt;$C28,1,0)</f>
        <v/>
      </c>
      <c r="CV28" s="5578" t="n"/>
      <c r="CW28" s="5578" t="n"/>
      <c r="CX28" s="5577">
        <f>IF(AND(($F28+$G28)&lt;&gt;0,Y28=""),1,IF(Y28&gt;($F28+$G28),1,0))</f>
        <v/>
      </c>
      <c r="CY28" s="5577">
        <f>IF(AND($C28&lt;&gt;0,Z28=""),1,IF(Z28&gt;C28,1,0))</f>
        <v/>
      </c>
      <c r="CZ28" s="5577">
        <f>IF(AND($C28&lt;&gt;0,AA28=""),1,IF(AA28&gt;C28,1,0))</f>
        <v/>
      </c>
      <c r="DA28" s="5577">
        <f>IF(AND($C28&lt;&gt;0,AB28=""),1,IF(AB28&gt;C28,1,0))</f>
        <v/>
      </c>
      <c r="DB28" s="5577">
        <f>IF(AND($C28&lt;&gt;0,AC28=""),1,IF(AC28&gt;C28,1,0))</f>
        <v/>
      </c>
      <c r="DC28" s="5577">
        <f>IF(AND($C28&lt;&gt;0,AD28=""),1,IF(AD28&gt;$C28,1,0))</f>
        <v/>
      </c>
      <c r="DD28" s="5577">
        <f>IF(AND($V28&lt;&gt;0,AE28=""),1,IF(AE28&gt;$V28,1,0))</f>
        <v/>
      </c>
      <c r="DE28" s="5578" t="n"/>
      <c r="DF28" s="5577">
        <f>IF(AND($C28&lt;&gt;0,AG28=""),1,IF(AG28&gt;$C28,1,0))</f>
        <v/>
      </c>
      <c r="DG28" s="5579" t="n"/>
    </row>
    <row r="29" ht="15" customHeight="1" s="8286">
      <c r="A29" s="9612" t="inlineStr">
        <is>
          <t>Climaterio</t>
        </is>
      </c>
      <c r="B29" s="1721" t="inlineStr">
        <is>
          <t>Médico/a</t>
        </is>
      </c>
      <c r="C29" s="1766">
        <f>SUM(L29:P29)</f>
        <v/>
      </c>
      <c r="D29" s="1676" t="n"/>
      <c r="E29" s="5623" t="n"/>
      <c r="F29" s="5346" t="n"/>
      <c r="G29" s="5346" t="n"/>
      <c r="H29" s="5346" t="n"/>
      <c r="I29" s="5346" t="n"/>
      <c r="J29" s="5346" t="n"/>
      <c r="K29" s="5346" t="n"/>
      <c r="L29" s="5573" t="n"/>
      <c r="M29" s="5573" t="n">
        <v>2</v>
      </c>
      <c r="N29" s="5573" t="n">
        <v>3</v>
      </c>
      <c r="O29" s="5573" t="n"/>
      <c r="P29" s="5573" t="n"/>
      <c r="Q29" s="5346" t="n"/>
      <c r="R29" s="5346" t="n"/>
      <c r="S29" s="5346" t="n"/>
      <c r="T29" s="1658" t="n"/>
      <c r="U29" s="1910" t="n"/>
      <c r="V29" s="1634" t="n">
        <v>5</v>
      </c>
      <c r="W29" s="5610" t="n"/>
      <c r="X29" s="955" t="n"/>
      <c r="Y29" s="5590" t="n"/>
      <c r="Z29" s="5624" t="n"/>
      <c r="AA29" s="5625" t="n"/>
      <c r="AB29" s="5591" t="n">
        <v>0</v>
      </c>
      <c r="AC29" s="5592" t="n">
        <v>0</v>
      </c>
      <c r="AD29" s="5593" t="n">
        <v>0</v>
      </c>
      <c r="AE29" s="998" t="n">
        <v>0</v>
      </c>
      <c r="AF29" s="5594" t="n"/>
      <c r="AG29" s="5574" t="n">
        <v>0</v>
      </c>
      <c r="AH29" s="5317" t="n"/>
      <c r="AI29" s="1006">
        <f>$CA29&amp;CB29&amp;CC29&amp;CD29&amp;CE29&amp;CF29&amp;CG29&amp;CH29&amp;CI29&amp;CJ29&amp;CK29&amp;CL29&amp;CM29</f>
        <v/>
      </c>
      <c r="CA29" s="5575">
        <f>IF((U29+V29)&lt;&gt;$C29," * La suma de la variable Sexo (Hombres + Mujeres) no puede ser distinto al Total","")</f>
        <v/>
      </c>
      <c r="CB29" s="5576" t="n"/>
      <c r="CC29" s="5576" t="n"/>
      <c r="CD29" s="5576" t="n"/>
      <c r="CE29" s="5576" t="n"/>
      <c r="CF29" s="5576" t="n"/>
      <c r="CG29" s="5575">
        <f>IF(AND($C29&lt;&gt;0,AB29=""),"* No olvide ingresar la variable "&amp;AB$9&amp;""&amp;". Digite CERO si no tiene. ",IF(AB29&gt;$C29,"* La variable de Pueblos Originarios no debe ser mayor al Total. ",""))</f>
        <v/>
      </c>
      <c r="CH29" s="5575">
        <f>IF(AND($C29&lt;&gt;0,AC29=""),"* No olvide ingresar la variable "&amp;AC$9&amp;""&amp;". Digite CERO si no tiene.  ",IF(AC29&gt;$C29,"* La variable Migrantes no debe ser mayor al Total. ",""))</f>
        <v/>
      </c>
      <c r="CI29" s="5575">
        <f>IF(AND($C29&lt;&gt;0,AD29=""),"* No olvide ingresar la variable "&amp;AD$9&amp;""&amp;". Digite CERO si no tiene.  ",IF(AD29&gt;$C29,"* La variable Personas con discapacidad no debe ser mayor al Total. ",""))</f>
        <v/>
      </c>
      <c r="CJ29" s="5575">
        <f>IF(AND($V29&lt;&gt;0,AE29=""),"* No olvide ingresar la variable "&amp;AE$10&amp;""&amp;". Digite CERO si no tiene.  ",IF(AE29&gt;$V29,"* La variable Trans masculino no debe ser mayor al Total Mujeres. ",""))</f>
        <v/>
      </c>
      <c r="CK29" s="5576" t="n"/>
      <c r="CL29" s="5575">
        <f>IF(AND($C29&lt;&gt;0,AG29=""),"* No olvide ingresar la variable "&amp;AG$10&amp;""&amp;". Digite CERO si no tiene.  ",IF(AG29&gt;$C29,"* La variable No binarie no debe ser mayor al Total. ",""))</f>
        <v/>
      </c>
      <c r="CM29" s="5576" t="n"/>
      <c r="CU29" s="5577">
        <f>IF((U29+V29)&lt;&gt;$C29,1,0)</f>
        <v/>
      </c>
      <c r="CV29" s="5578" t="n"/>
      <c r="CW29" s="5578" t="n"/>
      <c r="CX29" s="5578" t="n"/>
      <c r="CY29" s="5578" t="n"/>
      <c r="CZ29" s="5578" t="n"/>
      <c r="DA29" s="5577">
        <f>IF(AND($C29&lt;&gt;0,AB29=""),1,IF(AB29&gt;C29,1,0))</f>
        <v/>
      </c>
      <c r="DB29" s="5577">
        <f>IF(AND($C29&lt;&gt;0,AC29=""),1,IF(AC29&gt;C29,1,0))</f>
        <v/>
      </c>
      <c r="DC29" s="5577">
        <f>IF(AND($C29&lt;&gt;0,AD29=""),1,IF(AD29&gt;$C29,1,0))</f>
        <v/>
      </c>
      <c r="DD29" s="5577">
        <f>IF(AND($V29&lt;&gt;0,AE29=""),1,IF(AE29&gt;$V29,1,0))</f>
        <v/>
      </c>
      <c r="DE29" s="5578" t="n"/>
      <c r="DF29" s="5577">
        <f>IF(AND($C29&lt;&gt;0,AG29=""),1,IF(AG29&gt;$C29,1,0))</f>
        <v/>
      </c>
      <c r="DG29" s="5579" t="n"/>
    </row>
    <row r="30" ht="15" customHeight="1" s="8286">
      <c r="A30" s="9589" t="n"/>
      <c r="B30" s="1648" t="inlineStr">
        <is>
          <t>Matrona/ón</t>
        </is>
      </c>
      <c r="C30" s="5626">
        <f>SUM(L30:P30)</f>
        <v/>
      </c>
      <c r="D30" s="1622" t="n"/>
      <c r="E30" s="5581" t="n"/>
      <c r="F30" s="5627" t="n"/>
      <c r="G30" s="5627" t="n"/>
      <c r="H30" s="5627" t="n"/>
      <c r="I30" s="5627" t="n"/>
      <c r="J30" s="5627" t="n"/>
      <c r="K30" s="5627" t="n"/>
      <c r="L30" s="961" t="n"/>
      <c r="M30" s="1625" t="n"/>
      <c r="N30" s="1625" t="n"/>
      <c r="O30" s="961" t="n"/>
      <c r="P30" s="961" t="n"/>
      <c r="Q30" s="5627" t="n"/>
      <c r="R30" s="5627" t="n"/>
      <c r="S30" s="5627" t="n"/>
      <c r="T30" s="5628" t="n"/>
      <c r="U30" s="5581" t="n"/>
      <c r="V30" s="1642" t="n"/>
      <c r="W30" s="5613" t="n"/>
      <c r="X30" s="1623" t="n"/>
      <c r="Y30" s="5602" t="n"/>
      <c r="Z30" s="5629" t="n"/>
      <c r="AA30" s="5630" t="n"/>
      <c r="AB30" s="1733" t="n"/>
      <c r="AC30" s="5585" t="n"/>
      <c r="AD30" s="1520" t="n"/>
      <c r="AE30" s="1519" t="n"/>
      <c r="AF30" s="5603" t="n"/>
      <c r="AG30" s="1520" t="n"/>
      <c r="AH30" s="5586" t="n"/>
      <c r="AI30" s="1006">
        <f>$CA30&amp;CB30&amp;CC30&amp;CD30&amp;CE30&amp;CF30&amp;CG30&amp;CH30&amp;CI30&amp;CJ30&amp;CK30&amp;CL30&amp;CM30</f>
        <v/>
      </c>
      <c r="CA30" s="5575">
        <f>IF((U30+V30)&lt;&gt;$C30," * La suma de la variable Sexo (Hombres + Mujeres) no puede ser distinto al Total","")</f>
        <v/>
      </c>
      <c r="CB30" s="5576" t="n"/>
      <c r="CC30" s="5576" t="n"/>
      <c r="CD30" s="5576" t="n"/>
      <c r="CE30" s="5576" t="n"/>
      <c r="CF30" s="5576" t="n"/>
      <c r="CG30" s="5575">
        <f>IF(AND($C30&lt;&gt;0,AB30=""),"* No olvide ingresar la variable "&amp;AB$9&amp;""&amp;". Digite CERO si no tiene. ",IF(AB30&gt;$C30,"* La variable de Pueblos Originarios no debe ser mayor al Total. ",""))</f>
        <v/>
      </c>
      <c r="CH30" s="5575">
        <f>IF(AND($C30&lt;&gt;0,AC30=""),"* No olvide ingresar la variable "&amp;AC$9&amp;""&amp;". Digite CERO si no tiene.  ",IF(AC30&gt;$C30,"* La variable Migrantes no debe ser mayor al Total. ",""))</f>
        <v/>
      </c>
      <c r="CI30" s="5575">
        <f>IF(AND($C30&lt;&gt;0,AD30=""),"* No olvide ingresar la variable "&amp;AD$9&amp;""&amp;". Digite CERO si no tiene.  ",IF(AD30&gt;$C30,"* La variable Personas con discapacidad no debe ser mayor al Total. ",""))</f>
        <v/>
      </c>
      <c r="CJ30" s="5575">
        <f>IF(AND($V30&lt;&gt;0,AE30=""),"* No olvide ingresar la variable "&amp;AE$10&amp;""&amp;". Digite CERO si no tiene.  ",IF(AE30&gt;$V30,"* La variable Trans masculino no debe ser mayor al Total Mujeres. ",""))</f>
        <v/>
      </c>
      <c r="CK30" s="5576" t="n"/>
      <c r="CL30" s="5575">
        <f>IF(AND($C30&lt;&gt;0,AG30=""),"* No olvide ingresar la variable "&amp;AG$10&amp;""&amp;". Digite CERO si no tiene.  ",IF(AG30&gt;$C30,"* La variable No binarie no debe ser mayor al Total. ",""))</f>
        <v/>
      </c>
      <c r="CM30" s="5576" t="n"/>
      <c r="CU30" s="5577">
        <f>IF((U30+V30)&lt;&gt;$C30,1,0)</f>
        <v/>
      </c>
      <c r="CV30" s="5578" t="n"/>
      <c r="CW30" s="5578" t="n"/>
      <c r="CX30" s="5578" t="n"/>
      <c r="CY30" s="5578" t="n"/>
      <c r="CZ30" s="5578" t="n"/>
      <c r="DA30" s="5577">
        <f>IF(AND($C30&lt;&gt;0,AB30=""),1,IF(AB30&gt;C30,1,0))</f>
        <v/>
      </c>
      <c r="DB30" s="5577">
        <f>IF(AND($C30&lt;&gt;0,AC30=""),1,IF(AC30&gt;C30,1,0))</f>
        <v/>
      </c>
      <c r="DC30" s="5577">
        <f>IF(AND($C30&lt;&gt;0,AD30=""),1,IF(AD30&gt;$C30,1,0))</f>
        <v/>
      </c>
      <c r="DD30" s="5577">
        <f>IF(AND($V30&lt;&gt;0,AE30=""),1,IF(AE30&gt;$V30,1,0))</f>
        <v/>
      </c>
      <c r="DE30" s="5578" t="n"/>
      <c r="DF30" s="5577">
        <f>IF(AND($C30&lt;&gt;0,AG30=""),1,IF(AG30&gt;$C30,1,0))</f>
        <v/>
      </c>
      <c r="DG30" s="5579" t="n"/>
    </row>
    <row r="31" ht="15" customHeight="1" s="8286">
      <c r="A31" s="9615" t="inlineStr">
        <is>
          <t>Regulación de Fecundidad</t>
        </is>
      </c>
      <c r="B31" s="1721" t="inlineStr">
        <is>
          <t>Médico/a</t>
        </is>
      </c>
      <c r="C31" s="1721">
        <f>SUM(F31:T31)</f>
        <v/>
      </c>
      <c r="D31" s="1912" t="n"/>
      <c r="E31" s="1910" t="n"/>
      <c r="F31" s="954" t="n"/>
      <c r="G31" s="954" t="n"/>
      <c r="H31" s="954" t="n"/>
      <c r="I31" s="954" t="n"/>
      <c r="J31" s="954" t="n"/>
      <c r="K31" s="954" t="n"/>
      <c r="L31" s="954" t="n"/>
      <c r="M31" s="5573" t="n"/>
      <c r="N31" s="5573" t="n"/>
      <c r="O31" s="5573" t="n"/>
      <c r="P31" s="5573" t="n"/>
      <c r="Q31" s="954" t="n"/>
      <c r="R31" s="954" t="n"/>
      <c r="S31" s="954" t="n"/>
      <c r="T31" s="1654" t="n"/>
      <c r="U31" s="1635" t="n"/>
      <c r="V31" s="1634" t="n"/>
      <c r="W31" s="1792" t="n"/>
      <c r="X31" s="955" t="n"/>
      <c r="Y31" s="1777" t="n"/>
      <c r="Z31" s="5631" t="n"/>
      <c r="AA31" s="5570" t="n"/>
      <c r="AB31" s="5591" t="n"/>
      <c r="AC31" s="5592" t="n"/>
      <c r="AD31" s="5593" t="n"/>
      <c r="AE31" s="998" t="n"/>
      <c r="AF31" s="5598" t="n"/>
      <c r="AG31" s="5574" t="n"/>
      <c r="AH31" s="5592" t="n"/>
      <c r="AI31" s="1006">
        <f>$CA31&amp;CB31&amp;CC31&amp;CD31&amp;CE31&amp;CF31&amp;CG31&amp;CH31&amp;CI31&amp;CJ31&amp;CK31&amp;CL31&amp;CM31</f>
        <v/>
      </c>
      <c r="CA31" s="5575">
        <f>IF((U31+V31)&lt;&gt;$C31," * La suma de la variable Sexo (Hombres + Mujeres) no puede ser distinto al Total","")</f>
        <v/>
      </c>
      <c r="CB31" s="5575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 t="n"/>
      <c r="CD31" s="5575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>
        <f>IF(AND($C31&lt;&gt;0,Z31=""),"* No olvide ingresar la variable "&amp;Z$9&amp;""&amp;". Digite CERO si no tiene. ",IF(Z31&gt;$C31,"* La variable "&amp;Z$9&amp;""&amp;" no debe ser mayor al Total. ",""))</f>
        <v/>
      </c>
      <c r="CF31" s="5575">
        <f>IF(AND($C31&lt;&gt;0,AA31=""),"* No olvide ingresar la variable "&amp;AA$9&amp;""&amp;". Digite CERO si no tiene.  ",IF(AA31&gt;$C31,"* La variable "&amp;AA$9&amp;""&amp;" no debe ser mayor al Total. ",""))</f>
        <v/>
      </c>
      <c r="CG31" s="5575">
        <f>IF(AND($C31&lt;&gt;0,AB31=""),"* No olvide ingresar la variable "&amp;AB$9&amp;""&amp;". Digite CERO si no tiene. ",IF(AB31&gt;$C31,"* La variable de Pueblos Originarios no debe ser mayor al Total. ",""))</f>
        <v/>
      </c>
      <c r="CH31" s="5575">
        <f>IF(AND($C31&lt;&gt;0,AC31=""),"* No olvide ingresar la variable "&amp;AC$9&amp;""&amp;". Digite CERO si no tiene.  ",IF(AC31&gt;$C31,"* La variable Migrantes no debe ser mayor al Total. ",""))</f>
        <v/>
      </c>
      <c r="CI31" s="5575">
        <f>IF(AND($C31&lt;&gt;0,AD31=""),"* No olvide ingresar la variable "&amp;AD$9&amp;""&amp;". Digite CERO si no tiene.  ",IF(AD31&gt;$C31,"* La variable Personas con discapacidad no debe ser mayor al Total. ",""))</f>
        <v/>
      </c>
      <c r="CJ31" s="5575">
        <f>IF(AND($V31&lt;&gt;0,AE31=""),"* No olvide ingresar la variable "&amp;AE$10&amp;""&amp;". Digite CERO si no tiene.  ",IF(AE31&gt;$V31,"* La variable Trans masculino no debe ser mayor al Total Mujeres. ",""))</f>
        <v/>
      </c>
      <c r="CK31" s="5575">
        <f>IF(AND($U31&lt;&gt;0,AF31=""),"* No olvide ingresar la variable "&amp;AF$10&amp;""&amp;". Digite CERO si no tiene.  ",IF(AF31&gt;$U31,"* La variable Trans Femenino no debe ser mayor al Total Hombres ",""))</f>
        <v/>
      </c>
      <c r="CL31" s="5575">
        <f>IF(AND($C31&lt;&gt;0,AG31=""),"* No olvide ingresar la variable "&amp;AG$10&amp;""&amp;". Digite CERO si no tiene.  ",IF(AG31&gt;$C31,"* La variable No binarie no debe ser mayor al Total. ",""))</f>
        <v/>
      </c>
      <c r="CM31" s="5575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>IF((U31+V31)&lt;&gt;$C31,1,0)</f>
        <v/>
      </c>
      <c r="CV31" s="5577">
        <f>IF(AND(C31&gt;0,W31=""),1,IF(W31&gt;SUM(C31),1,0))</f>
        <v/>
      </c>
      <c r="CW31" s="5578" t="n"/>
      <c r="CX31" s="5577">
        <f>IF(AND(($F31+$G31)&lt;&gt;0,Y31=""),1,IF(Y31&gt;($F31+$G31),1,0))</f>
        <v/>
      </c>
      <c r="CY31" s="5577">
        <f>IF(AND($C31&lt;&gt;0,Z31=""),1,IF(Z31&gt;C31,1,0))</f>
        <v/>
      </c>
      <c r="CZ31" s="5577">
        <f>IF(AND($C31&lt;&gt;0,AA31=""),1,IF(AA31&gt;C31,1,0))</f>
        <v/>
      </c>
      <c r="DA31" s="5577">
        <f>IF(AND($C31&lt;&gt;0,AB31=""),1,IF(AB31&gt;C31,1,0))</f>
        <v/>
      </c>
      <c r="DB31" s="5577">
        <f>IF(AND($C31&lt;&gt;0,AC31=""),1,IF(AC31&gt;C31,1,0))</f>
        <v/>
      </c>
      <c r="DC31" s="5577">
        <f>IF(AND($C31&lt;&gt;0,AD31=""),1,IF(AD31&gt;$C31,1,0))</f>
        <v/>
      </c>
      <c r="DD31" s="5577">
        <f>IF(AND($V31&lt;&gt;0,AE31=""),1,IF(AE31&gt;$V31,1,0))</f>
        <v/>
      </c>
      <c r="DE31" s="5577">
        <f>IF(AND($U31&lt;&gt;0,AF31=""),1,IF(AF31&gt;$U31,1,0))</f>
        <v/>
      </c>
      <c r="DF31" s="5577">
        <f>IF(AND($C31&lt;&gt;0,AG31=""),1,IF(AG31&gt;$C31,1,0))</f>
        <v/>
      </c>
      <c r="DG31" s="5577">
        <f>IF(AND($C31&lt;&gt;0,AH31=""),1,IF(AH31&gt;$C31,1,0))</f>
        <v/>
      </c>
    </row>
    <row r="32" ht="15" customHeight="1" s="8286">
      <c r="A32" s="9610" t="n"/>
      <c r="B32" s="1648" t="inlineStr">
        <is>
          <t>Matrona/ón</t>
        </is>
      </c>
      <c r="C32" s="1648">
        <f>SUM(F32:T32)</f>
        <v/>
      </c>
      <c r="D32" s="1622" t="n"/>
      <c r="E32" s="5581" t="n"/>
      <c r="F32" s="1625" t="n">
        <v>3</v>
      </c>
      <c r="G32" s="1625" t="n">
        <v>59</v>
      </c>
      <c r="H32" s="1625" t="n">
        <v>52</v>
      </c>
      <c r="I32" s="1625" t="n">
        <v>51</v>
      </c>
      <c r="J32" s="1625" t="n">
        <v>43</v>
      </c>
      <c r="K32" s="1625" t="n">
        <v>40</v>
      </c>
      <c r="L32" s="1625" t="n">
        <v>23</v>
      </c>
      <c r="M32" s="1625" t="n">
        <v>20</v>
      </c>
      <c r="N32" s="961" t="n">
        <v>7</v>
      </c>
      <c r="O32" s="961" t="n">
        <v>1</v>
      </c>
      <c r="P32" s="961" t="n">
        <v>0</v>
      </c>
      <c r="Q32" s="1625" t="n">
        <v>0</v>
      </c>
      <c r="R32" s="1625" t="n">
        <v>0</v>
      </c>
      <c r="S32" s="1625" t="n">
        <v>0</v>
      </c>
      <c r="T32" s="1626" t="n">
        <v>0</v>
      </c>
      <c r="U32" s="1627" t="n">
        <v>1</v>
      </c>
      <c r="V32" s="1642" t="n">
        <v>298</v>
      </c>
      <c r="W32" s="1553" t="n">
        <v>0</v>
      </c>
      <c r="X32" s="1623" t="n"/>
      <c r="Y32" s="1552" t="n">
        <v>0</v>
      </c>
      <c r="Z32" s="5632" t="n">
        <v>1</v>
      </c>
      <c r="AA32" s="5584" t="n">
        <v>2</v>
      </c>
      <c r="AB32" s="1733" t="n">
        <v>17</v>
      </c>
      <c r="AC32" s="5585" t="n">
        <v>15</v>
      </c>
      <c r="AD32" s="1520" t="n">
        <v>0</v>
      </c>
      <c r="AE32" s="1519" t="n">
        <v>0</v>
      </c>
      <c r="AF32" s="1625" t="n">
        <v>0</v>
      </c>
      <c r="AG32" s="1520" t="n">
        <v>0</v>
      </c>
      <c r="AH32" s="1649" t="n">
        <v>0</v>
      </c>
      <c r="AI32" s="1006">
        <f>$CA32&amp;CB32&amp;CC32&amp;CD32&amp;CE32&amp;CF32&amp;CG32&amp;CH32&amp;CI32&amp;CJ32&amp;CK32&amp;CL32&amp;CM32</f>
        <v/>
      </c>
      <c r="CA32" s="5575">
        <f>IF((U32+V32)&lt;&gt;$C32," * La suma de la variable Sexo (Hombres + Mujeres) no puede ser distinto al Total","")</f>
        <v/>
      </c>
      <c r="CB32" s="5575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 t="n"/>
      <c r="CD32" s="5575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>
        <f>IF(AND($C32&lt;&gt;0,Z32=""),"* No olvide ingresar la variable "&amp;Z$9&amp;""&amp;". Digite CERO si no tiene. ",IF(Z32&gt;$C32,"* La variable "&amp;Z$9&amp;""&amp;" no debe ser mayor al Total. ",""))</f>
        <v/>
      </c>
      <c r="CF32" s="5575">
        <f>IF(AND($C32&lt;&gt;0,AA32=""),"* No olvide ingresar la variable "&amp;AA$9&amp;""&amp;". Digite CERO si no tiene.  ",IF(AA32&gt;$C32,"* La variable "&amp;AA$9&amp;""&amp;" no debe ser mayor al Total. ",""))</f>
        <v/>
      </c>
      <c r="CG32" s="5575">
        <f>IF(AND($C32&lt;&gt;0,AB32=""),"* No olvide ingresar la variable "&amp;AB$9&amp;""&amp;". Digite CERO si no tiene. ",IF(AB32&gt;$C32,"* La variable de Pueblos Originarios no debe ser mayor al Total. ",""))</f>
        <v/>
      </c>
      <c r="CH32" s="5575">
        <f>IF(AND($C32&lt;&gt;0,AC32=""),"* No olvide ingresar la variable "&amp;AC$9&amp;""&amp;". Digite CERO si no tiene.  ",IF(AC32&gt;$C32,"* La variable Migrantes no debe ser mayor al Total. ",""))</f>
        <v/>
      </c>
      <c r="CI32" s="5575">
        <f>IF(AND($C32&lt;&gt;0,AD32=""),"* No olvide ingresar la variable "&amp;AD$9&amp;""&amp;". Digite CERO si no tiene.  ",IF(AD32&gt;$C32,"* La variable Personas con discapacidad no debe ser mayor al Total. ",""))</f>
        <v/>
      </c>
      <c r="CJ32" s="5575">
        <f>IF(AND($V32&lt;&gt;0,AE32=""),"* No olvide ingresar la variable "&amp;AE$10&amp;""&amp;". Digite CERO si no tiene.  ",IF(AE32&gt;$V32,"* La variable Trans masculino no debe ser mayor al Total Mujeres. ",""))</f>
        <v/>
      </c>
      <c r="CK32" s="5575">
        <f>IF(AND($U32&lt;&gt;0,AF32=""),"* No olvide ingresar la variable "&amp;AF$10&amp;""&amp;". Digite CERO si no tiene.  ",IF(AF32&gt;$U32,"* La variable Trans Femenino no debe ser mayor al Total Hombres ",""))</f>
        <v/>
      </c>
      <c r="CL32" s="5575">
        <f>IF(AND($C32&lt;&gt;0,AG32=""),"* No olvide ingresar la variable "&amp;AG$10&amp;""&amp;". Digite CERO si no tiene.  ",IF(AG32&gt;$C32,"* La variable No binarie no debe ser mayor al Total. ",""))</f>
        <v/>
      </c>
      <c r="CM32" s="5575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>IF((U32+V32)&lt;&gt;$C32,1,0)</f>
        <v/>
      </c>
      <c r="CV32" s="5577">
        <f>IF(AND(C32&gt;0,W32=""),1,IF(W32&gt;SUM(C32),1,0))</f>
        <v/>
      </c>
      <c r="CW32" s="5578" t="n"/>
      <c r="CX32" s="5577">
        <f>IF(AND(($F32+$G32)&lt;&gt;0,Y32=""),1,IF(Y32&gt;($F32+$G32),1,0))</f>
        <v/>
      </c>
      <c r="CY32" s="5577">
        <f>IF(AND($C32&lt;&gt;0,Z32=""),1,IF(Z32&gt;C32,1,0))</f>
        <v/>
      </c>
      <c r="CZ32" s="5577">
        <f>IF(AND($C32&lt;&gt;0,AA32=""),1,IF(AA32&gt;C32,1,0))</f>
        <v/>
      </c>
      <c r="DA32" s="5577">
        <f>IF(AND($C32&lt;&gt;0,AB32=""),1,IF(AB32&gt;C32,1,0))</f>
        <v/>
      </c>
      <c r="DB32" s="5577">
        <f>IF(AND($C32&lt;&gt;0,AC32=""),1,IF(AC32&gt;C32,1,0))</f>
        <v/>
      </c>
      <c r="DC32" s="5577">
        <f>IF(AND($C32&lt;&gt;0,AD32=""),1,IF(AD32&gt;$C32,1,0))</f>
        <v/>
      </c>
      <c r="DD32" s="5577">
        <f>IF(AND($V32&lt;&gt;0,AE32=""),1,IF(AE32&gt;$V32,1,0))</f>
        <v/>
      </c>
      <c r="DE32" s="5577">
        <f>IF(AND($U32&lt;&gt;0,AF32=""),1,IF(AF32&gt;$U32,1,0))</f>
        <v/>
      </c>
      <c r="DF32" s="5577">
        <f>IF(AND($C32&lt;&gt;0,AG32=""),1,IF(AG32&gt;$C32,1,0))</f>
        <v/>
      </c>
      <c r="DG32" s="5577">
        <f>IF(AND($C32&lt;&gt;0,AH32=""),1,IF(AH32&gt;$C32,1,0))</f>
        <v/>
      </c>
    </row>
    <row r="33" ht="18" customHeight="1" s="8286">
      <c r="A33" s="9616" t="inlineStr">
        <is>
          <t>SECCIÓN B: CONTROLES DE SALUD SEGÚN CICLO VITAL</t>
        </is>
      </c>
      <c r="B33" s="9617" t="n"/>
      <c r="C33" s="9617" t="n"/>
      <c r="D33" s="9617" t="n"/>
      <c r="E33" s="9617" t="n"/>
      <c r="F33" s="9617" t="n"/>
      <c r="G33" s="9617" t="n"/>
      <c r="H33" s="9617" t="n"/>
      <c r="I33" s="9617" t="n"/>
      <c r="J33" s="9617" t="n"/>
      <c r="K33" s="9617" t="n"/>
      <c r="L33" s="9617" t="n"/>
      <c r="M33" s="9617" t="n"/>
      <c r="N33" s="9617" t="n"/>
      <c r="O33" s="9617" t="n"/>
      <c r="P33" s="9617" t="n"/>
      <c r="Q33" s="9617" t="n"/>
      <c r="R33" s="9617" t="n"/>
      <c r="S33" s="9617" t="n"/>
      <c r="T33" s="9617" t="n"/>
      <c r="U33" s="9617" t="n"/>
      <c r="V33" s="9617" t="n"/>
      <c r="W33" s="9617" t="n"/>
      <c r="X33" s="9617" t="n"/>
      <c r="Y33" s="9617" t="n"/>
      <c r="Z33" s="9617" t="n"/>
      <c r="AA33" s="9617" t="n"/>
      <c r="AB33" s="9617" t="n"/>
      <c r="AC33" s="9617" t="n"/>
      <c r="AD33" s="9617" t="n"/>
      <c r="AE33" s="9617" t="n"/>
      <c r="AF33" s="9617" t="n"/>
      <c r="AG33" s="9617" t="n"/>
      <c r="AH33" s="9617" t="n"/>
      <c r="AI33" s="5633" t="n"/>
      <c r="AJ33" s="5633" t="n"/>
      <c r="AK33" s="5633" t="n"/>
      <c r="AL33" s="5633" t="n"/>
      <c r="AM33" s="5633" t="n"/>
      <c r="AN33" s="5633" t="n"/>
    </row>
    <row r="34" ht="26.45" customHeight="1" s="8286">
      <c r="A34" s="9592" t="inlineStr">
        <is>
          <t>TIPO DE CONTROL</t>
        </is>
      </c>
      <c r="B34" s="9592" t="inlineStr">
        <is>
          <t>PROFESIONAL</t>
        </is>
      </c>
      <c r="C34" s="9618" t="inlineStr">
        <is>
          <t>TOTAL</t>
        </is>
      </c>
      <c r="D34" s="9584" t="n"/>
      <c r="E34" s="9582" t="n"/>
      <c r="F34" s="9594" t="inlineStr">
        <is>
          <t>RANGO ETARIO</t>
        </is>
      </c>
      <c r="G34" s="9584" t="n"/>
      <c r="H34" s="9584" t="n"/>
      <c r="I34" s="9584" t="n"/>
      <c r="J34" s="9584" t="n"/>
      <c r="K34" s="9584" t="n"/>
      <c r="L34" s="9584" t="n"/>
      <c r="M34" s="9584" t="n"/>
      <c r="N34" s="9584" t="n"/>
      <c r="O34" s="9584" t="n"/>
      <c r="P34" s="9584" t="n"/>
      <c r="Q34" s="9584" t="n"/>
      <c r="R34" s="9584" t="n"/>
      <c r="S34" s="9584" t="n"/>
      <c r="T34" s="9584" t="n"/>
      <c r="U34" s="9584" t="n"/>
      <c r="V34" s="9584" t="n"/>
      <c r="W34" s="9584" t="n"/>
      <c r="X34" s="9584" t="n"/>
      <c r="Y34" s="9584" t="n"/>
      <c r="Z34" s="9584" t="n"/>
      <c r="AA34" s="9584" t="n"/>
      <c r="AB34" s="9584" t="n"/>
      <c r="AC34" s="9584" t="n"/>
      <c r="AD34" s="9584" t="n"/>
      <c r="AE34" s="9584" t="n"/>
      <c r="AF34" s="9584" t="n"/>
      <c r="AG34" s="9584" t="n"/>
      <c r="AH34" s="9595" t="n"/>
      <c r="AI34" s="9619" t="inlineStr">
        <is>
          <t>Control con Presencia del Padre</t>
        </is>
      </c>
      <c r="AJ34" s="9582" t="n"/>
      <c r="AK34" s="9620" t="inlineStr">
        <is>
          <t xml:space="preserve">SENAME/ Servicio Nacional de Reinserción social Juvenil </t>
        </is>
      </c>
      <c r="AL34" s="9620" t="inlineStr">
        <is>
          <t>Servicio Nacional Protección Especializada a la Niñez y Adolescencia</t>
        </is>
      </c>
      <c r="AM34" s="9620" t="inlineStr">
        <is>
          <t>Pueblos Originarios</t>
        </is>
      </c>
      <c r="AN34" s="9620" t="inlineStr">
        <is>
          <t>Migrantes</t>
        </is>
      </c>
    </row>
    <row r="35" ht="31.5" customHeight="1" s="8286">
      <c r="A35" s="9589" t="n"/>
      <c r="B35" s="9589" t="n"/>
      <c r="C35" s="7189" t="inlineStr">
        <is>
          <t>Ambos Sexos</t>
        </is>
      </c>
      <c r="D35" s="5634" t="inlineStr">
        <is>
          <t>Hombres</t>
        </is>
      </c>
      <c r="E35" s="5562" t="inlineStr">
        <is>
          <t>Mujeres</t>
        </is>
      </c>
      <c r="F35" s="7212" t="inlineStr">
        <is>
          <t>Menos de 1 mes</t>
        </is>
      </c>
      <c r="G35" s="7383" t="inlineStr">
        <is>
          <t>1 mes</t>
        </is>
      </c>
      <c r="H35" s="7383" t="inlineStr">
        <is>
          <t>2 meses</t>
        </is>
      </c>
      <c r="I35" s="7383" t="inlineStr">
        <is>
          <t>3 meses</t>
        </is>
      </c>
      <c r="J35" s="5635" t="inlineStr">
        <is>
          <t>4 meses</t>
        </is>
      </c>
      <c r="K35" s="7383" t="inlineStr">
        <is>
          <t xml:space="preserve"> 5 meses</t>
        </is>
      </c>
      <c r="L35" s="7383" t="inlineStr">
        <is>
          <t>6 meses</t>
        </is>
      </c>
      <c r="M35" s="7383" t="inlineStr">
        <is>
          <t xml:space="preserve"> 7  -  11 meses</t>
        </is>
      </c>
      <c r="N35" s="7383" t="inlineStr">
        <is>
          <t>12 - 17 meses</t>
        </is>
      </c>
      <c r="O35" s="7383" t="inlineStr">
        <is>
          <t>18  - 23  meses</t>
        </is>
      </c>
      <c r="P35" s="7383" t="inlineStr">
        <is>
          <t>24  - 47  meses</t>
        </is>
      </c>
      <c r="Q35" s="7383" t="inlineStr">
        <is>
          <t>48  - 59  meses</t>
        </is>
      </c>
      <c r="R35" s="7383" t="inlineStr">
        <is>
          <t>60  - 71  meses</t>
        </is>
      </c>
      <c r="S35" s="7383" t="inlineStr">
        <is>
          <t>6 - 9 años</t>
        </is>
      </c>
      <c r="T35" s="7377" t="inlineStr">
        <is>
          <t>10 - 14 años</t>
        </is>
      </c>
      <c r="U35" s="7377" t="inlineStr">
        <is>
          <t>15 - 19 años</t>
        </is>
      </c>
      <c r="V35" s="7377" t="inlineStr">
        <is>
          <t>20 - 24 años</t>
        </is>
      </c>
      <c r="W35" s="7377" t="inlineStr">
        <is>
          <t>25 - 29 años</t>
        </is>
      </c>
      <c r="X35" s="7377" t="inlineStr">
        <is>
          <t>30 - 34 años</t>
        </is>
      </c>
      <c r="Y35" s="7377" t="inlineStr">
        <is>
          <t>35 - 39 años</t>
        </is>
      </c>
      <c r="Z35" s="7377" t="inlineStr">
        <is>
          <t>40 - 44 años</t>
        </is>
      </c>
      <c r="AA35" s="7377" t="inlineStr">
        <is>
          <t>45 - 49 años</t>
        </is>
      </c>
      <c r="AB35" s="7377" t="inlineStr">
        <is>
          <t>50 - 54 años</t>
        </is>
      </c>
      <c r="AC35" s="7377" t="inlineStr">
        <is>
          <t>55 - 59 años</t>
        </is>
      </c>
      <c r="AD35" s="7377" t="inlineStr">
        <is>
          <t>60 - 64 años</t>
        </is>
      </c>
      <c r="AE35" s="7377" t="inlineStr">
        <is>
          <t>65 - 69 años</t>
        </is>
      </c>
      <c r="AF35" s="7377" t="inlineStr">
        <is>
          <t>70 - 74 años</t>
        </is>
      </c>
      <c r="AG35" s="7377" t="inlineStr">
        <is>
          <t>75 - 79 años</t>
        </is>
      </c>
      <c r="AH35" s="7439" t="inlineStr">
        <is>
          <t>80 y más años</t>
        </is>
      </c>
      <c r="AI35" s="5636" t="inlineStr">
        <is>
          <t>Menor 1 año</t>
        </is>
      </c>
      <c r="AJ35" s="5637" t="inlineStr">
        <is>
          <t>1 año a 3 años 11 meses 29 días</t>
        </is>
      </c>
      <c r="AK35" s="9621" t="n"/>
      <c r="AL35" s="9621" t="n"/>
      <c r="AM35" s="9621" t="n"/>
      <c r="AN35" s="9621" t="n"/>
    </row>
    <row r="36" ht="15" customHeight="1" s="8286">
      <c r="A36" s="9612" t="inlineStr">
        <is>
          <t xml:space="preserve">De salud </t>
        </is>
      </c>
      <c r="B36" s="1721" t="inlineStr">
        <is>
          <t>Médico/a</t>
        </is>
      </c>
      <c r="C36" s="1721">
        <f>SUM(D36:E36)</f>
        <v/>
      </c>
      <c r="D36" s="5638" t="n">
        <v>29</v>
      </c>
      <c r="E36" s="5639" t="n">
        <v>24</v>
      </c>
      <c r="F36" s="5640" t="n">
        <v>0</v>
      </c>
      <c r="G36" s="5573" t="n">
        <v>22</v>
      </c>
      <c r="H36" s="5573" t="n">
        <v>4</v>
      </c>
      <c r="I36" s="5573" t="n">
        <v>20</v>
      </c>
      <c r="J36" s="5641" t="n">
        <v>3</v>
      </c>
      <c r="K36" s="5641" t="n">
        <v>1</v>
      </c>
      <c r="L36" s="5573" t="n">
        <v>1</v>
      </c>
      <c r="M36" s="5573" t="n">
        <v>0</v>
      </c>
      <c r="N36" s="5642" t="n">
        <v>0</v>
      </c>
      <c r="O36" s="5642" t="n">
        <v>1</v>
      </c>
      <c r="P36" s="5643" t="n">
        <v>0</v>
      </c>
      <c r="Q36" s="5573" t="n">
        <v>0</v>
      </c>
      <c r="R36" s="5573" t="n">
        <v>0</v>
      </c>
      <c r="S36" s="5573" t="n">
        <v>0</v>
      </c>
      <c r="T36" s="5641" t="n">
        <v>0</v>
      </c>
      <c r="U36" s="5641" t="n">
        <v>0</v>
      </c>
      <c r="V36" s="5573" t="n">
        <v>0</v>
      </c>
      <c r="W36" s="5573" t="n">
        <v>0</v>
      </c>
      <c r="X36" s="5641" t="n">
        <v>0</v>
      </c>
      <c r="Y36" s="5641" t="n">
        <v>0</v>
      </c>
      <c r="Z36" s="5643" t="n">
        <v>0</v>
      </c>
      <c r="AA36" s="5573" t="n">
        <v>0</v>
      </c>
      <c r="AB36" s="5573" t="n">
        <v>0</v>
      </c>
      <c r="AC36" s="5573" t="n">
        <v>1</v>
      </c>
      <c r="AD36" s="5641" t="n">
        <v>0</v>
      </c>
      <c r="AE36" s="5641" t="n">
        <v>0</v>
      </c>
      <c r="AF36" s="5573" t="n">
        <v>0</v>
      </c>
      <c r="AG36" s="5573" t="n">
        <v>0</v>
      </c>
      <c r="AH36" s="5644" t="n">
        <v>0</v>
      </c>
      <c r="AI36" s="5640" t="n">
        <v>4</v>
      </c>
      <c r="AJ36" s="5645" t="n">
        <v>0</v>
      </c>
      <c r="AK36" s="5646" t="n">
        <v>0</v>
      </c>
      <c r="AL36" s="5646" t="n">
        <v>0</v>
      </c>
      <c r="AM36" s="5646" t="n">
        <v>1</v>
      </c>
      <c r="AN36" s="5645" t="n">
        <v>0</v>
      </c>
      <c r="AO36" s="1006">
        <f>CA36&amp;CB36&amp;CC36&amp;CD36&amp;CE36&amp;CF36&amp;CG36&amp;CH36</f>
        <v/>
      </c>
      <c r="CA36" s="5575">
        <f>IF((D36+E36)&lt;&gt;$C36," * La suma de la variable Sexo (Hombres + Mujeres) no puede ser distinto al Total","")</f>
        <v/>
      </c>
      <c r="CB36" s="5575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>
        <f>IF(AND($C36&lt;&gt;0,AN36=""),"* No olvide ingresar la variable "&amp;AN$34&amp;""&amp;". Digite CERO si no tiene.  ",IF(AN36&gt;$C36,"* La variable Migrantes no debe ser mayor al Total Ambos Sexos. ",""))</f>
        <v/>
      </c>
      <c r="CH36" s="5575">
        <f>IF(SUM(F36:AH36)&lt;&gt;$C36," * La suma total del rango etario no puede ser distinto al Total","")</f>
        <v/>
      </c>
      <c r="CI36" s="5647" t="n"/>
      <c r="CU36" s="5577">
        <f>IF(C36&lt;&gt;SUM(D36+E36),1,0)</f>
        <v/>
      </c>
      <c r="CV36" s="5577">
        <f>IF(AND(SUM(F36:M36)&gt;0,AI36=""),1,IF(AI36&gt;SUM(F36:M36),1,0))</f>
        <v/>
      </c>
      <c r="CW36" s="5577">
        <f>IF(AND(SUM(N36:P36)&gt;0,AJ36=""),1,IF(AJ36&gt;SUM(N36:P36),1,0))</f>
        <v/>
      </c>
      <c r="CX36" s="5577">
        <f>IF(AND($C36&lt;&gt;0,AK36=""),1,IF(AK36&gt;$C36,1,0))</f>
        <v/>
      </c>
      <c r="CY36" s="5577">
        <f>IF(AND($C36&lt;&gt;0,AL36=""),1,IF(AL36&gt;$C36,1,0))</f>
        <v/>
      </c>
      <c r="CZ36" s="5577">
        <f>IF(AND($C36&lt;&gt;0,AM36=""),1,IF(AM36&gt;$C36,1,0))</f>
        <v/>
      </c>
      <c r="DA36" s="5577">
        <f>IF(AND($C36&lt;&gt;0,AN36=""),1,IF(AN36&gt;$C36,1,0))</f>
        <v/>
      </c>
      <c r="DB36" s="5577">
        <f>IF(C36&lt;&gt;SUM(F36:AH36),1,0)</f>
        <v/>
      </c>
    </row>
    <row r="37" ht="15" customHeight="1" s="8286">
      <c r="A37" s="9588" t="n"/>
      <c r="B37" s="1646" t="inlineStr">
        <is>
          <t>Enfermera/o</t>
        </is>
      </c>
      <c r="C37" s="1646">
        <f>SUM(D37:E37)</f>
        <v/>
      </c>
      <c r="D37" s="5638" t="n">
        <v>226</v>
      </c>
      <c r="E37" s="5639" t="n">
        <v>246</v>
      </c>
      <c r="F37" s="1539" t="n">
        <v>0</v>
      </c>
      <c r="G37" s="5648" t="n">
        <v>2</v>
      </c>
      <c r="H37" s="5648" t="n">
        <v>25</v>
      </c>
      <c r="I37" s="1616" t="n">
        <v>2</v>
      </c>
      <c r="J37" s="5648" t="n">
        <v>23</v>
      </c>
      <c r="K37" s="5648" t="n">
        <v>2</v>
      </c>
      <c r="L37" s="1616" t="n">
        <v>29</v>
      </c>
      <c r="M37" s="5648" t="n">
        <v>18</v>
      </c>
      <c r="N37" s="5648" t="n">
        <v>40</v>
      </c>
      <c r="O37" s="1616" t="n">
        <v>16</v>
      </c>
      <c r="P37" s="5648" t="n">
        <v>65</v>
      </c>
      <c r="Q37" s="5648" t="n">
        <v>25</v>
      </c>
      <c r="R37" s="1616" t="n">
        <v>27</v>
      </c>
      <c r="S37" s="5648" t="n">
        <v>63</v>
      </c>
      <c r="T37" s="5648" t="n">
        <v>51</v>
      </c>
      <c r="U37" s="1616" t="n">
        <v>34</v>
      </c>
      <c r="V37" s="5648" t="n">
        <v>0</v>
      </c>
      <c r="W37" s="5648" t="n">
        <v>0</v>
      </c>
      <c r="X37" s="1616" t="n">
        <v>0</v>
      </c>
      <c r="Y37" s="5648" t="n">
        <v>0</v>
      </c>
      <c r="Z37" s="5648" t="n">
        <v>0</v>
      </c>
      <c r="AA37" s="1616" t="n">
        <v>1</v>
      </c>
      <c r="AB37" s="5648" t="n">
        <v>0</v>
      </c>
      <c r="AC37" s="5648" t="n">
        <v>0</v>
      </c>
      <c r="AD37" s="1616" t="n">
        <v>0</v>
      </c>
      <c r="AE37" s="5648" t="n">
        <v>11</v>
      </c>
      <c r="AF37" s="5648" t="n">
        <v>13</v>
      </c>
      <c r="AG37" s="1616" t="n">
        <v>13</v>
      </c>
      <c r="AH37" s="5649" t="n">
        <v>12</v>
      </c>
      <c r="AI37" s="1539" t="n">
        <v>21</v>
      </c>
      <c r="AJ37" s="5650" t="n">
        <v>19</v>
      </c>
      <c r="AK37" s="5651" t="n">
        <v>4</v>
      </c>
      <c r="AL37" s="5651" t="n">
        <v>6</v>
      </c>
      <c r="AM37" s="5651" t="n">
        <v>23</v>
      </c>
      <c r="AN37" s="5650" t="n">
        <v>15</v>
      </c>
      <c r="AO37" s="1006">
        <f>CA37&amp;CB37&amp;CC37&amp;CD37&amp;CE37&amp;CF37&amp;CG37&amp;CH37</f>
        <v/>
      </c>
      <c r="CA37" s="5575">
        <f>IF((D37+E37)&lt;&gt;$C37," * La suma de la variable Sexo (Hombres + Mujeres) no puede ser distinto al Total","")</f>
        <v/>
      </c>
      <c r="CB37" s="5575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>
        <f>IF(AND($C37&lt;&gt;0,AM37=""),"* No olvide ingresar la variable "&amp;AM$34&amp;""&amp;". Digite CERO si no tiene.  ",IF(AM37&gt;$C37,"* La variable Pueblos Originarios no debe ser mayor al Total Ambos Sexos. ",""))</f>
        <v/>
      </c>
      <c r="CG37" s="5575">
        <f>IF(AND($C37&lt;&gt;0,AN37=""),"* No olvide ingresar la variable "&amp;AN$34&amp;""&amp;". Digite CERO si no tiene.  ",IF(AN37&gt;$C37,"* La variable Migrantes no debe ser mayor al Total Ambos Sexos. ",""))</f>
        <v/>
      </c>
      <c r="CH37" s="5575">
        <f>IF(SUM(F37:AH37)&lt;&gt;$C37," * La suma total del rango etario no puede ser distinto al Total","")</f>
        <v/>
      </c>
      <c r="CU37" s="5577">
        <f>IF(C37&lt;&gt;SUM(D37+E37),1,0)</f>
        <v/>
      </c>
      <c r="CV37" s="5577">
        <f>IF(AND(SUM(F37:M37)&gt;0,AI37=""),1,IF(AI37&gt;SUM(F37:M37),1,0))</f>
        <v/>
      </c>
      <c r="CW37" s="5577">
        <f>IF(AND(SUM(N37:P37)&gt;0,AJ37=""),1,IF(AJ37&gt;SUM(N37:P37),1,0))</f>
        <v/>
      </c>
      <c r="CX37" s="5577">
        <f>IF(AND($C37&lt;&gt;0,AK37=""),1,IF(AK37&gt;$C37,1,0))</f>
        <v/>
      </c>
      <c r="CY37" s="5577">
        <f>IF(AND($C37&lt;&gt;0,AL37=""),1,IF(AL37&gt;$C37,1,0))</f>
        <v/>
      </c>
      <c r="CZ37" s="5577">
        <f>IF(AND($C37&lt;&gt;0,AM37=""),1,IF(AM37&gt;$C37,1,0))</f>
        <v/>
      </c>
      <c r="DA37" s="5577">
        <f>IF(AND($C37&lt;&gt;0,AN37=""),1,IF(AN37&gt;$C37,1,0))</f>
        <v/>
      </c>
      <c r="DB37" s="5577">
        <f>IF(C37&lt;&gt;SUM(F37:AH37),1,0)</f>
        <v/>
      </c>
    </row>
    <row r="38" ht="15" customHeight="1" s="8286">
      <c r="A38" s="9588" t="n"/>
      <c r="B38" s="1646" t="inlineStr">
        <is>
          <t>Matrona/ón</t>
        </is>
      </c>
      <c r="C38" s="1737">
        <f>SUM(D38:E38)</f>
        <v/>
      </c>
      <c r="D38" s="5638" t="n">
        <v>29</v>
      </c>
      <c r="E38" s="5639" t="n">
        <v>28</v>
      </c>
      <c r="F38" s="1539" t="n">
        <v>25</v>
      </c>
      <c r="G38" s="1617" t="n"/>
      <c r="H38" s="1617" t="n"/>
      <c r="I38" s="1617" t="n"/>
      <c r="J38" s="1617" t="n"/>
      <c r="K38" s="1617" t="n"/>
      <c r="L38" s="1617" t="n"/>
      <c r="M38" s="1617" t="n"/>
      <c r="N38" s="1617" t="n"/>
      <c r="O38" s="1617" t="n"/>
      <c r="P38" s="1617" t="n"/>
      <c r="Q38" s="1617" t="n"/>
      <c r="R38" s="1617" t="n"/>
      <c r="S38" s="1617" t="n"/>
      <c r="T38" s="1616" t="n">
        <v>10</v>
      </c>
      <c r="U38" s="1616" t="n">
        <v>22</v>
      </c>
      <c r="V38" s="1616" t="n"/>
      <c r="W38" s="1616" t="n"/>
      <c r="X38" s="1616" t="n"/>
      <c r="Y38" s="1616" t="n"/>
      <c r="Z38" s="1616" t="n"/>
      <c r="AA38" s="1616" t="n"/>
      <c r="AB38" s="1616" t="n"/>
      <c r="AC38" s="1616" t="n"/>
      <c r="AD38" s="1616" t="n"/>
      <c r="AE38" s="1616" t="n"/>
      <c r="AF38" s="1616" t="n"/>
      <c r="AG38" s="1616" t="n"/>
      <c r="AH38" s="1620" t="n"/>
      <c r="AI38" s="1539" t="n">
        <v>17</v>
      </c>
      <c r="AJ38" s="5652" t="n"/>
      <c r="AK38" s="5651" t="n">
        <v>0</v>
      </c>
      <c r="AL38" s="5651" t="n">
        <v>7</v>
      </c>
      <c r="AM38" s="5651" t="n">
        <v>0</v>
      </c>
      <c r="AN38" s="5650" t="n">
        <v>0</v>
      </c>
      <c r="AO38" s="1006">
        <f>CA38&amp;CB38&amp;CD38&amp;CE38&amp;CF38&amp;CG38&amp;CH38</f>
        <v/>
      </c>
      <c r="CA38" s="5575">
        <f>IF((D38+E38)&lt;&gt;$C38," * La suma de la variable Sexo (Hombres + Mujeres) no puede ser distinto al Total","")</f>
        <v/>
      </c>
      <c r="CB38" s="5575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 t="n"/>
      <c r="CD38" s="5575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>
        <f>IF(AND($C38&lt;&gt;0,AM38=""),"* No olvide ingresar la variable "&amp;AM$34&amp;""&amp;". Digite CERO si no tiene.  ",IF(AM38&gt;$C38,"* La variable Pueblos Originarios no debe ser mayor al Total Ambos Sexos. ",""))</f>
        <v/>
      </c>
      <c r="CG38" s="5575">
        <f>IF(AND($C38&lt;&gt;0,AN38=""),"* No olvide ingresar la variable "&amp;AN$34&amp;""&amp;". Digite CERO si no tiene.  ",IF(AN38&gt;$C38,"* La variable Migrantes no debe ser mayor al Total Ambos Sexos. ",""))</f>
        <v/>
      </c>
      <c r="CH38" s="5575">
        <f>IF(SUM(F38:AH38)&lt;&gt;$C38," * La suma total del rango etario no puede ser distinto al Total","")</f>
        <v/>
      </c>
      <c r="CU38" s="5577">
        <f>IF(C38&lt;&gt;SUM(D38+E38),1,0)</f>
        <v/>
      </c>
      <c r="CV38" s="5577">
        <f>IF(AND(SUM(F38)&gt;0,AI38=""),1,IF(AI38&gt;SUM(F38),1,0))</f>
        <v/>
      </c>
      <c r="CW38" s="5579" t="n"/>
      <c r="CX38" s="5577">
        <f>IF(AND($C38&lt;&gt;0,AK38=""),1,IF(AK38&gt;$C38,1,0))</f>
        <v/>
      </c>
      <c r="CY38" s="5577">
        <f>IF(AND($C38&lt;&gt;0,AL38=""),1,IF(AL38&gt;$C38,1,0))</f>
        <v/>
      </c>
      <c r="CZ38" s="5577">
        <f>IF(AND($C38&lt;&gt;0,AM38=""),1,IF(AM38&gt;$C38,1,0))</f>
        <v/>
      </c>
      <c r="DA38" s="5577">
        <f>IF(AND($C38&lt;&gt;0,AN38=""),1,IF(AN38&gt;$C38,1,0))</f>
        <v/>
      </c>
      <c r="DB38" s="5577">
        <f>IF(C38&lt;&gt;SUM(F38:AH38),1,0)</f>
        <v/>
      </c>
    </row>
    <row r="39" ht="15" customHeight="1" s="8286">
      <c r="A39" s="9589" t="n"/>
      <c r="B39" s="1089" t="inlineStr">
        <is>
          <t>Técnico en Enfermería</t>
        </is>
      </c>
      <c r="C39" s="1648">
        <f>SUM(D39:E39)</f>
        <v/>
      </c>
      <c r="D39" s="5654" t="n"/>
      <c r="E39" s="5655" t="n"/>
      <c r="F39" s="5656" t="n"/>
      <c r="G39" s="5605" t="n"/>
      <c r="H39" s="5605" t="n"/>
      <c r="I39" s="5605" t="n"/>
      <c r="J39" s="5605" t="n"/>
      <c r="K39" s="5627" t="n"/>
      <c r="L39" s="5627" t="n"/>
      <c r="M39" s="5627" t="n"/>
      <c r="N39" s="5657" t="n"/>
      <c r="O39" s="1625" t="n"/>
      <c r="P39" s="5657" t="n"/>
      <c r="Q39" s="5657" t="n"/>
      <c r="R39" s="1625" t="n"/>
      <c r="S39" s="5657" t="n"/>
      <c r="T39" s="5627" t="n"/>
      <c r="U39" s="5627" t="n"/>
      <c r="V39" s="5627" t="n"/>
      <c r="W39" s="5627" t="n"/>
      <c r="X39" s="5627" t="n"/>
      <c r="Y39" s="5627" t="n"/>
      <c r="Z39" s="5627" t="n"/>
      <c r="AA39" s="5627" t="n"/>
      <c r="AB39" s="5627" t="n"/>
      <c r="AC39" s="5627" t="n"/>
      <c r="AD39" s="5627" t="n"/>
      <c r="AE39" s="5627" t="n"/>
      <c r="AF39" s="5627" t="n"/>
      <c r="AG39" s="5658" t="n"/>
      <c r="AH39" s="5628" t="n"/>
      <c r="AI39" s="5659" t="n"/>
      <c r="AJ39" s="5660" t="n"/>
      <c r="AK39" s="5661" t="n"/>
      <c r="AL39" s="5661" t="n"/>
      <c r="AM39" s="5661" t="n"/>
      <c r="AN39" s="5660" t="n"/>
      <c r="AO39" s="1006">
        <f>CA39&amp;CC39&amp;CD39&amp;CE39&amp;CF39&amp;CG39&amp;CH39</f>
        <v/>
      </c>
      <c r="CA39" s="5575">
        <f>IF((D39+E39)&lt;&gt;$C39," * La suma de la variable Sexo (Hombres + Mujeres) no puede ser distinto al Total","")</f>
        <v/>
      </c>
      <c r="CB39" s="5653" t="n"/>
      <c r="CC39" s="5575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>
        <f>IF(AND($C39&lt;&gt;0,AM39=""),"* No olvide ingresar la variable "&amp;AM$34&amp;""&amp;". Digite CERO si no tiene.  ",IF(AM39&gt;$C39,"* La variable Pueblos Originarios no debe ser mayor al Total Ambos Sexos. ",""))</f>
        <v/>
      </c>
      <c r="CG39" s="5575">
        <f>IF(AND($C39&lt;&gt;0,AN39=""),"* No olvide ingresar la variable "&amp;AN$34&amp;""&amp;". Digite CERO si no tiene.  ",IF(AN39&gt;$C39,"* La variable Migrantes no debe ser mayor al Total Ambos Sexos. ",""))</f>
        <v/>
      </c>
      <c r="CH39" s="5575">
        <f>IF(SUM(F39:AH39)&lt;&gt;$C39," * La suma total del rango etario no puede ser distinto al Total","")</f>
        <v/>
      </c>
      <c r="CU39" s="5577">
        <f>IF(C39&lt;&gt;SUM(D39+E39),1,0)</f>
        <v/>
      </c>
      <c r="CV39" s="5579" t="n"/>
      <c r="CW39" s="5577">
        <f>IF(AND(SUM(N39:P39)&gt;0,AJ39=""),1,IF(AJ39&gt;SUM(N39:P39),1,0))</f>
        <v/>
      </c>
      <c r="CX39" s="5577">
        <f>IF(AND($C39&lt;&gt;0,AK39=""),1,IF(AK39&gt;$C39,1,0))</f>
        <v/>
      </c>
      <c r="CY39" s="5577">
        <f>IF(AND($C39&lt;&gt;0,AL39=""),1,IF(AL39&gt;$C39,1,0))</f>
        <v/>
      </c>
      <c r="CZ39" s="5577">
        <f>IF(AND($C39&lt;&gt;0,AM39=""),1,IF(AM39&gt;$C39,1,0))</f>
        <v/>
      </c>
      <c r="DA39" s="5577">
        <f>IF(AND($C39&lt;&gt;0,AN39=""),1,IF(AN39&gt;$C39,1,0))</f>
        <v/>
      </c>
      <c r="DB39" s="5577">
        <f>IF(C39&lt;&gt;SUM(F39:AH39),1,0)</f>
        <v/>
      </c>
    </row>
    <row r="40" ht="18" customHeight="1" s="8286">
      <c r="A40" s="9622" t="inlineStr">
        <is>
          <t>SECCIÓN C: CONTROLES SEGÚN PROBLEMA DE SALUD</t>
        </is>
      </c>
      <c r="B40" s="9584" t="n"/>
      <c r="C40" s="9584" t="n"/>
      <c r="D40" s="9584" t="n"/>
      <c r="E40" s="9584" t="n"/>
      <c r="F40" s="9584" t="n"/>
      <c r="G40" s="9584" t="n"/>
      <c r="H40" s="9584" t="n"/>
      <c r="I40" s="9584" t="n"/>
      <c r="J40" s="9584" t="n"/>
      <c r="K40" s="9584" t="n"/>
      <c r="L40" s="9584" t="n"/>
      <c r="M40" s="9584" t="n"/>
      <c r="N40" s="9584" t="n"/>
      <c r="O40" s="9584" t="n"/>
      <c r="P40" s="9584" t="n"/>
      <c r="Q40" s="9584" t="n"/>
      <c r="R40" s="9584" t="n"/>
      <c r="S40" s="9584" t="n"/>
      <c r="T40" s="9584" t="n"/>
      <c r="U40" s="9584" t="n"/>
      <c r="V40" s="9584" t="n"/>
      <c r="W40" s="9584" t="n"/>
      <c r="X40" s="9584" t="n"/>
      <c r="Y40" s="9584" t="n"/>
      <c r="Z40" s="9584" t="n"/>
      <c r="AA40" s="9584" t="n"/>
      <c r="AB40" s="9584" t="n"/>
      <c r="AC40" s="9584" t="n"/>
      <c r="AD40" s="9584" t="n"/>
      <c r="AE40" s="9584" t="n"/>
      <c r="AF40" s="9584" t="n"/>
      <c r="AG40" s="9584" t="n"/>
      <c r="AH40" s="9584" t="n"/>
      <c r="AI40" s="9584" t="n"/>
      <c r="AJ40" s="9584" t="n"/>
      <c r="AK40" s="9584" t="n"/>
      <c r="AL40" s="9584" t="n"/>
      <c r="AM40" s="9623" t="n"/>
      <c r="AN40" s="5662" t="n"/>
      <c r="AO40" s="5663" t="n"/>
    </row>
    <row r="41" ht="15" customHeight="1" s="8286">
      <c r="A41" s="9592" t="inlineStr">
        <is>
          <t>TIPO DE CONTROL</t>
        </is>
      </c>
      <c r="B41" s="9592" t="inlineStr">
        <is>
          <t>PROFESIONAL</t>
        </is>
      </c>
      <c r="C41" s="8173" t="inlineStr">
        <is>
          <t>TOTAL</t>
        </is>
      </c>
      <c r="D41" s="9602" t="n"/>
      <c r="E41" s="9603" t="n"/>
      <c r="F41" s="8250" t="inlineStr">
        <is>
          <t>RANGO ETARIO Y SEXO</t>
        </is>
      </c>
      <c r="G41" s="9584" t="n"/>
      <c r="H41" s="9584" t="n"/>
      <c r="I41" s="9584" t="n"/>
      <c r="J41" s="9584" t="n"/>
      <c r="K41" s="9584" t="n"/>
      <c r="L41" s="9584" t="n"/>
      <c r="M41" s="9584" t="n"/>
      <c r="N41" s="9584" t="n"/>
      <c r="O41" s="9584" t="n"/>
      <c r="P41" s="9584" t="n"/>
      <c r="Q41" s="9584" t="n"/>
      <c r="R41" s="9584" t="n"/>
      <c r="S41" s="9584" t="n"/>
      <c r="T41" s="9584" t="n"/>
      <c r="U41" s="9584" t="n"/>
      <c r="V41" s="9584" t="n"/>
      <c r="W41" s="9584" t="n"/>
      <c r="X41" s="9584" t="n"/>
      <c r="Y41" s="9584" t="n"/>
      <c r="Z41" s="9584" t="n"/>
      <c r="AA41" s="9584" t="n"/>
      <c r="AB41" s="9584" t="n"/>
      <c r="AC41" s="9584" t="n"/>
      <c r="AD41" s="9584" t="n"/>
      <c r="AE41" s="9584" t="n"/>
      <c r="AF41" s="9584" t="n"/>
      <c r="AG41" s="9584" t="n"/>
      <c r="AH41" s="9584" t="n"/>
      <c r="AI41" s="9584" t="n"/>
      <c r="AJ41" s="9584" t="n"/>
      <c r="AK41" s="9584" t="n"/>
      <c r="AL41" s="9584" t="n"/>
      <c r="AM41" s="9584" t="n"/>
      <c r="AN41" s="9624" t="inlineStr">
        <is>
          <t>Pueblos Originarios</t>
        </is>
      </c>
      <c r="AO41" s="9624" t="inlineStr">
        <is>
          <t>Migrantes</t>
        </is>
      </c>
      <c r="AP41" s="9593" t="inlineStr">
        <is>
          <t>Extensión Horaria (PRAPS)</t>
        </is>
      </c>
    </row>
    <row r="42" ht="15" customHeight="1" s="8286">
      <c r="A42" s="9588" t="n"/>
      <c r="B42" s="9588" t="n"/>
      <c r="C42" s="642" t="n"/>
      <c r="E42" s="9625" t="n"/>
      <c r="F42" s="7632" t="inlineStr">
        <is>
          <t xml:space="preserve"> 0  -  4 años</t>
        </is>
      </c>
      <c r="G42" s="9582" t="n"/>
      <c r="H42" s="7632" t="inlineStr">
        <is>
          <t xml:space="preserve"> 5  -  9 años</t>
        </is>
      </c>
      <c r="I42" s="9582" t="n"/>
      <c r="J42" s="7632" t="inlineStr">
        <is>
          <t xml:space="preserve"> 10 - 14 años</t>
        </is>
      </c>
      <c r="K42" s="9582" t="n"/>
      <c r="L42" s="7632" t="inlineStr">
        <is>
          <t>15 - 19 años</t>
        </is>
      </c>
      <c r="M42" s="9582" t="n"/>
      <c r="N42" s="9618" t="inlineStr">
        <is>
          <t>20 - 24 años</t>
        </is>
      </c>
      <c r="O42" s="9582" t="n"/>
      <c r="P42" s="9618" t="inlineStr">
        <is>
          <t>25 - 29 años</t>
        </is>
      </c>
      <c r="Q42" s="9582" t="n"/>
      <c r="R42" s="9618" t="inlineStr">
        <is>
          <t>30 - 34 años</t>
        </is>
      </c>
      <c r="S42" s="9582" t="n"/>
      <c r="T42" s="9618" t="inlineStr">
        <is>
          <t>35 - 39 años</t>
        </is>
      </c>
      <c r="U42" s="9582" t="n"/>
      <c r="V42" s="9618" t="inlineStr">
        <is>
          <t>40 - 44 años</t>
        </is>
      </c>
      <c r="W42" s="9582" t="n"/>
      <c r="X42" s="9618" t="inlineStr">
        <is>
          <t>45 - 49 años</t>
        </is>
      </c>
      <c r="Y42" s="9582" t="n"/>
      <c r="Z42" s="9618" t="inlineStr">
        <is>
          <t>50 - 54 años</t>
        </is>
      </c>
      <c r="AA42" s="9582" t="n"/>
      <c r="AB42" s="9618" t="inlineStr">
        <is>
          <t>55 - 59 años</t>
        </is>
      </c>
      <c r="AC42" s="9582" t="n"/>
      <c r="AD42" s="9618" t="inlineStr">
        <is>
          <t>60 - 64 años</t>
        </is>
      </c>
      <c r="AE42" s="9582" t="n"/>
      <c r="AF42" s="9618" t="inlineStr">
        <is>
          <t>65 - 69 años</t>
        </is>
      </c>
      <c r="AG42" s="9582" t="n"/>
      <c r="AH42" s="9618" t="inlineStr">
        <is>
          <t>70 - 74 años</t>
        </is>
      </c>
      <c r="AI42" s="9582" t="n"/>
      <c r="AJ42" s="9618" t="inlineStr">
        <is>
          <t>75 - 79 años</t>
        </is>
      </c>
      <c r="AK42" s="9582" t="n"/>
      <c r="AL42" s="9626" t="inlineStr">
        <is>
          <t>80 y más años</t>
        </is>
      </c>
      <c r="AM42" s="9584" t="n"/>
      <c r="AN42" s="9627" t="n"/>
      <c r="AO42" s="9627" t="n"/>
      <c r="AP42" s="9588" t="n"/>
    </row>
    <row r="43" ht="15" customHeight="1" s="8286">
      <c r="A43" s="9589" t="n"/>
      <c r="B43" s="9589" t="n"/>
      <c r="C43" s="5634" t="inlineStr">
        <is>
          <t>Ambos Sexos</t>
        </is>
      </c>
      <c r="D43" s="7275" t="inlineStr">
        <is>
          <t>Hombres</t>
        </is>
      </c>
      <c r="E43" s="5664" t="inlineStr">
        <is>
          <t>Mujeres</t>
        </is>
      </c>
      <c r="F43" s="5561" t="inlineStr">
        <is>
          <t>Hombres</t>
        </is>
      </c>
      <c r="G43" s="5562" t="inlineStr">
        <is>
          <t>Mujeres</t>
        </is>
      </c>
      <c r="H43" s="5561" t="inlineStr">
        <is>
          <t>Hombres</t>
        </is>
      </c>
      <c r="I43" s="5562" t="inlineStr">
        <is>
          <t>Mujeres</t>
        </is>
      </c>
      <c r="J43" s="5561" t="inlineStr">
        <is>
          <t>Hombres</t>
        </is>
      </c>
      <c r="K43" s="5562" t="inlineStr">
        <is>
          <t>Mujeres</t>
        </is>
      </c>
      <c r="L43" s="5561" t="inlineStr">
        <is>
          <t>Hombres</t>
        </is>
      </c>
      <c r="M43" s="5562" t="inlineStr">
        <is>
          <t>Mujeres</t>
        </is>
      </c>
      <c r="N43" s="5561" t="inlineStr">
        <is>
          <t>Hombres</t>
        </is>
      </c>
      <c r="O43" s="5562" t="inlineStr">
        <is>
          <t>Mujeres</t>
        </is>
      </c>
      <c r="P43" s="5561" t="inlineStr">
        <is>
          <t>Hombres</t>
        </is>
      </c>
      <c r="Q43" s="5562" t="inlineStr">
        <is>
          <t>Mujeres</t>
        </is>
      </c>
      <c r="R43" s="5561" t="inlineStr">
        <is>
          <t>Hombres</t>
        </is>
      </c>
      <c r="S43" s="5562" t="inlineStr">
        <is>
          <t>Mujeres</t>
        </is>
      </c>
      <c r="T43" s="5561" t="inlineStr">
        <is>
          <t>Hombres</t>
        </is>
      </c>
      <c r="U43" s="5562" t="inlineStr">
        <is>
          <t>Mujeres</t>
        </is>
      </c>
      <c r="V43" s="5561" t="inlineStr">
        <is>
          <t>Hombres</t>
        </is>
      </c>
      <c r="W43" s="5562" t="inlineStr">
        <is>
          <t>Mujeres</t>
        </is>
      </c>
      <c r="X43" s="5561" t="inlineStr">
        <is>
          <t>Hombres</t>
        </is>
      </c>
      <c r="Y43" s="5562" t="inlineStr">
        <is>
          <t>Mujeres</t>
        </is>
      </c>
      <c r="Z43" s="5561" t="inlineStr">
        <is>
          <t>Hombres</t>
        </is>
      </c>
      <c r="AA43" s="5562" t="inlineStr">
        <is>
          <t>Mujeres</t>
        </is>
      </c>
      <c r="AB43" s="5561" t="inlineStr">
        <is>
          <t>Hombres</t>
        </is>
      </c>
      <c r="AC43" s="5562" t="inlineStr">
        <is>
          <t>Mujeres</t>
        </is>
      </c>
      <c r="AD43" s="5561" t="inlineStr">
        <is>
          <t>Hombres</t>
        </is>
      </c>
      <c r="AE43" s="5562" t="inlineStr">
        <is>
          <t>Mujeres</t>
        </is>
      </c>
      <c r="AF43" s="5561" t="inlineStr">
        <is>
          <t>Hombres</t>
        </is>
      </c>
      <c r="AG43" s="5562" t="inlineStr">
        <is>
          <t>Mujeres</t>
        </is>
      </c>
      <c r="AH43" s="5561" t="inlineStr">
        <is>
          <t>Hombres</t>
        </is>
      </c>
      <c r="AI43" s="5562" t="inlineStr">
        <is>
          <t>Mujeres</t>
        </is>
      </c>
      <c r="AJ43" s="5561" t="inlineStr">
        <is>
          <t>Hombres</t>
        </is>
      </c>
      <c r="AK43" s="5562" t="inlineStr">
        <is>
          <t>Mujeres</t>
        </is>
      </c>
      <c r="AL43" s="5561" t="inlineStr">
        <is>
          <t>Hombres</t>
        </is>
      </c>
      <c r="AM43" s="7275" t="inlineStr">
        <is>
          <t>Mujeres</t>
        </is>
      </c>
      <c r="AN43" s="9621" t="n"/>
      <c r="AO43" s="9621" t="n"/>
      <c r="AP43" s="9589" t="n"/>
    </row>
    <row r="44" ht="15" customHeight="1" s="8286">
      <c r="A44" s="9612" t="inlineStr">
        <is>
          <t>De Salud Cardiovascular</t>
        </is>
      </c>
      <c r="B44" s="1721" t="inlineStr">
        <is>
          <t>Médico/a</t>
        </is>
      </c>
      <c r="C44" s="5665">
        <f>SUM(D44:E44)</f>
        <v/>
      </c>
      <c r="D44" s="5666">
        <f>SUM(L44+N44+P44+R44+T44+V44+X44+Z44+AB44+AD44+AF44+AH44+AJ44+AL44)</f>
        <v/>
      </c>
      <c r="E44" s="5667">
        <f>SUM(M44+O44+Q44+S44+U44+W44+Y44+AA44+AC44+AE44+AG44+AI44+AK44+AM44)</f>
        <v/>
      </c>
      <c r="F44" s="1912" t="n"/>
      <c r="G44" s="5668" t="n"/>
      <c r="H44" s="1912" t="n"/>
      <c r="I44" s="5668" t="n"/>
      <c r="J44" s="1912" t="n"/>
      <c r="K44" s="5668" t="n"/>
      <c r="L44" s="1511" t="n">
        <v>0</v>
      </c>
      <c r="M44" s="5669" t="n">
        <v>0</v>
      </c>
      <c r="N44" s="1511" t="n">
        <v>1</v>
      </c>
      <c r="O44" s="5669" t="n">
        <v>0</v>
      </c>
      <c r="P44" s="1511" t="n">
        <v>0</v>
      </c>
      <c r="Q44" s="5669" t="n">
        <v>1</v>
      </c>
      <c r="R44" s="1511" t="n">
        <v>2</v>
      </c>
      <c r="S44" s="5669" t="n">
        <v>3</v>
      </c>
      <c r="T44" s="1511" t="n">
        <v>3</v>
      </c>
      <c r="U44" s="5669" t="n">
        <v>6</v>
      </c>
      <c r="V44" s="1511" t="n">
        <v>4</v>
      </c>
      <c r="W44" s="5669" t="n">
        <v>7</v>
      </c>
      <c r="X44" s="1511" t="n">
        <v>4</v>
      </c>
      <c r="Y44" s="5669" t="n">
        <v>9</v>
      </c>
      <c r="Z44" s="1511" t="n">
        <v>13</v>
      </c>
      <c r="AA44" s="5669" t="n">
        <v>13</v>
      </c>
      <c r="AB44" s="1511" t="n">
        <v>21</v>
      </c>
      <c r="AC44" s="5669" t="n">
        <v>32</v>
      </c>
      <c r="AD44" s="1511" t="n">
        <v>21</v>
      </c>
      <c r="AE44" s="5669" t="n">
        <v>58</v>
      </c>
      <c r="AF44" s="1511" t="n">
        <v>30</v>
      </c>
      <c r="AG44" s="5669" t="n">
        <v>38</v>
      </c>
      <c r="AH44" s="1511" t="n">
        <v>20</v>
      </c>
      <c r="AI44" s="5669" t="n">
        <v>34</v>
      </c>
      <c r="AJ44" s="1511" t="n">
        <v>13</v>
      </c>
      <c r="AK44" s="5669" t="n">
        <v>16</v>
      </c>
      <c r="AL44" s="1511" t="n">
        <v>9</v>
      </c>
      <c r="AM44" s="1654" t="n">
        <v>29</v>
      </c>
      <c r="AN44" s="5670" t="n">
        <v>9</v>
      </c>
      <c r="AO44" s="5669" t="n">
        <v>11</v>
      </c>
      <c r="AP44" s="5671" t="n"/>
      <c r="AQ44" s="1006">
        <f>CA44&amp;CB44&amp;CC44</f>
        <v/>
      </c>
      <c r="BU44" s="932" t="n"/>
      <c r="BV44" s="932" t="n"/>
      <c r="BW44" s="932" t="n"/>
      <c r="BX44" s="932" t="n"/>
      <c r="BY44" s="932" t="n"/>
      <c r="BZ44" s="932" t="n"/>
      <c r="CA44" s="5575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>
        <f>IF(AND($C44&lt;&gt;0,AO44=""),"* No olvide ingresar la variable "&amp;AO$41&amp;""&amp;" (Digite CERO si no tiene). ",IF(AO44&gt;$C44,"* La variable Migrantes no debe ser mayor al Total Ambos Sexos. ",""))</f>
        <v/>
      </c>
      <c r="CC44" s="5653" t="n"/>
      <c r="CD44" s="932" t="n"/>
      <c r="CU44" s="5577">
        <f>IF(AND($C44&lt;&gt;0,AN44=""),1,IF(AN44&gt;$C44,1,0))</f>
        <v/>
      </c>
      <c r="CV44" s="5577">
        <f>IF(AND($C44&lt;&gt;0,AO44=""),1,IF(AO44&gt;$C44,1,0))</f>
        <v/>
      </c>
      <c r="CW44" s="5672" t="n"/>
    </row>
    <row r="45" ht="15" customHeight="1" s="8286">
      <c r="A45" s="9588" t="n"/>
      <c r="B45" s="1646" t="inlineStr">
        <is>
          <t>Enfermera/o</t>
        </is>
      </c>
      <c r="C45" s="5673">
        <f>SUM(D45:E45)</f>
        <v/>
      </c>
      <c r="D45" s="5674">
        <f>SUM(L45+N45+P45+R45+T45+V45+X45+Z45+AB45+AD45+AF45+AH45+AJ45+AL45)</f>
        <v/>
      </c>
      <c r="E45" s="5675">
        <f>SUM(M45+O45+Q45+S45+U45+W45+Y45+AA45+AC45+AE45+AG45+AI45+AK45+AM45)</f>
        <v/>
      </c>
      <c r="F45" s="5676" t="n"/>
      <c r="G45" s="5677" t="n"/>
      <c r="H45" s="1617" t="n"/>
      <c r="I45" s="5677" t="n"/>
      <c r="J45" s="1617" t="n"/>
      <c r="K45" s="5677" t="n"/>
      <c r="L45" s="1539" t="n">
        <v>0</v>
      </c>
      <c r="M45" s="1540" t="n">
        <v>0</v>
      </c>
      <c r="N45" s="1539" t="n">
        <v>0</v>
      </c>
      <c r="O45" s="1540" t="n">
        <v>0</v>
      </c>
      <c r="P45" s="1539" t="n">
        <v>1</v>
      </c>
      <c r="Q45" s="1540" t="n">
        <v>0</v>
      </c>
      <c r="R45" s="1539" t="n">
        <v>0</v>
      </c>
      <c r="S45" s="1540" t="n">
        <v>0</v>
      </c>
      <c r="T45" s="1539" t="n">
        <v>0</v>
      </c>
      <c r="U45" s="1540" t="n">
        <v>3</v>
      </c>
      <c r="V45" s="1539" t="n">
        <v>2</v>
      </c>
      <c r="W45" s="1540" t="n">
        <v>4</v>
      </c>
      <c r="X45" s="1539" t="n">
        <v>6</v>
      </c>
      <c r="Y45" s="1540" t="n">
        <v>5</v>
      </c>
      <c r="Z45" s="1539" t="n">
        <v>17</v>
      </c>
      <c r="AA45" s="1540" t="n">
        <v>17</v>
      </c>
      <c r="AB45" s="1539" t="n">
        <v>4</v>
      </c>
      <c r="AC45" s="1540" t="n">
        <v>26</v>
      </c>
      <c r="AD45" s="1539" t="n">
        <v>33</v>
      </c>
      <c r="AE45" s="1540" t="n">
        <v>41</v>
      </c>
      <c r="AF45" s="1539" t="n">
        <v>21</v>
      </c>
      <c r="AG45" s="1540" t="n">
        <v>32</v>
      </c>
      <c r="AH45" s="1539" t="n">
        <v>19</v>
      </c>
      <c r="AI45" s="1540" t="n">
        <v>28</v>
      </c>
      <c r="AJ45" s="1539" t="n">
        <v>9</v>
      </c>
      <c r="AK45" s="1540" t="n">
        <v>20</v>
      </c>
      <c r="AL45" s="1539" t="n">
        <v>12</v>
      </c>
      <c r="AM45" s="1620" t="n">
        <v>17</v>
      </c>
      <c r="AN45" s="1543" t="n">
        <v>9</v>
      </c>
      <c r="AO45" s="1540" t="n">
        <v>6</v>
      </c>
      <c r="AP45" s="5678" t="n"/>
      <c r="AQ45" s="1006">
        <f>CA45&amp;CB45&amp;CC45</f>
        <v/>
      </c>
      <c r="BU45" s="932" t="n"/>
      <c r="BV45" s="932" t="n"/>
      <c r="BW45" s="932" t="n"/>
      <c r="BX45" s="932" t="n"/>
      <c r="BY45" s="932" t="n"/>
      <c r="BZ45" s="932" t="n"/>
      <c r="CA45" s="5575">
        <f>IF(AND($C45&lt;&gt;0,AN45=""),"* No olvide ingresar la variable "&amp;AN$41&amp;""&amp;". Digite CERO si no tiene. ",IF(AN45&gt;$C45,"* La variable Pueblos Originarios no debe ser mayor al Total Ambos Sexos. ",""))</f>
        <v/>
      </c>
      <c r="CB45" s="5575">
        <f>IF(AND($C45&lt;&gt;0,AO45=""),"* No olvide ingresar la variable "&amp;AO$41&amp;""&amp;" (Digite CERO si no tiene). ",IF(AO45&gt;$C45,"* La variable Migrantes no debe ser mayor al Total Ambos Sexos. ",""))</f>
        <v/>
      </c>
      <c r="CC45" s="5653" t="n"/>
      <c r="CD45" s="932" t="n"/>
      <c r="CU45" s="5577">
        <f>IF(AND($C45&lt;&gt;0,AN45=""),1,IF(AN45&gt;$C45,1,0))</f>
        <v/>
      </c>
      <c r="CV45" s="5577">
        <f>IF(AND($C45&lt;&gt;0,AO45=""),1,IF(AO45&gt;$C45,1,0))</f>
        <v/>
      </c>
      <c r="CW45" s="5672" t="n"/>
    </row>
    <row r="46" ht="13.5" customHeight="1" s="8286">
      <c r="A46" s="9588" t="n"/>
      <c r="B46" s="1646" t="inlineStr">
        <is>
          <t>Nutricionista</t>
        </is>
      </c>
      <c r="C46" s="5673">
        <f>SUM(D46:E46)</f>
        <v/>
      </c>
      <c r="D46" s="5674">
        <f>SUM(L46+N46+P46+R46+T46+V46+X46+Z46+AB46+AD46+AF46+AH46+AJ46+AL46)</f>
        <v/>
      </c>
      <c r="E46" s="5675">
        <f>SUM(M46+O46+Q46+S46+U46+W46+Y46+AA46+AC46+AE46+AG46+AI46+AK46+AM46)</f>
        <v/>
      </c>
      <c r="F46" s="5588" t="n"/>
      <c r="G46" s="5679" t="n"/>
      <c r="H46" s="955" t="n"/>
      <c r="I46" s="5679" t="n"/>
      <c r="J46" s="955" t="n"/>
      <c r="K46" s="5679" t="n"/>
      <c r="L46" s="1539" t="n">
        <v>0</v>
      </c>
      <c r="M46" s="1540" t="n">
        <v>0</v>
      </c>
      <c r="N46" s="1539" t="n">
        <v>1</v>
      </c>
      <c r="O46" s="1540" t="n">
        <v>0</v>
      </c>
      <c r="P46" s="1539" t="n">
        <v>2</v>
      </c>
      <c r="Q46" s="1540" t="n">
        <v>1</v>
      </c>
      <c r="R46" s="1539" t="n">
        <v>0</v>
      </c>
      <c r="S46" s="1540" t="n">
        <v>3</v>
      </c>
      <c r="T46" s="1539" t="n">
        <v>1</v>
      </c>
      <c r="U46" s="1540" t="n">
        <v>5</v>
      </c>
      <c r="V46" s="1539" t="n">
        <v>3</v>
      </c>
      <c r="W46" s="1540" t="n">
        <v>4</v>
      </c>
      <c r="X46" s="1539" t="n">
        <v>6</v>
      </c>
      <c r="Y46" s="1540" t="n">
        <v>6</v>
      </c>
      <c r="Z46" s="1539" t="n">
        <v>4</v>
      </c>
      <c r="AA46" s="1540" t="n">
        <v>16</v>
      </c>
      <c r="AB46" s="1539" t="n">
        <v>6</v>
      </c>
      <c r="AC46" s="1540" t="n">
        <v>19</v>
      </c>
      <c r="AD46" s="1539" t="n">
        <v>14</v>
      </c>
      <c r="AE46" s="1540" t="n">
        <v>38</v>
      </c>
      <c r="AF46" s="1539" t="n">
        <v>27</v>
      </c>
      <c r="AG46" s="1540" t="n">
        <v>28</v>
      </c>
      <c r="AH46" s="1539" t="n">
        <v>17</v>
      </c>
      <c r="AI46" s="1540" t="n">
        <v>20</v>
      </c>
      <c r="AJ46" s="1539" t="n">
        <v>10</v>
      </c>
      <c r="AK46" s="1540" t="n">
        <v>15</v>
      </c>
      <c r="AL46" s="1539" t="n">
        <v>4</v>
      </c>
      <c r="AM46" s="1620" t="n">
        <v>19</v>
      </c>
      <c r="AN46" s="1543" t="n">
        <v>4</v>
      </c>
      <c r="AO46" s="1540" t="n">
        <v>0</v>
      </c>
      <c r="AP46" s="5678" t="n"/>
      <c r="AQ46" s="1006">
        <f>CA46&amp;CB46&amp;CC46</f>
        <v/>
      </c>
      <c r="BU46" s="932" t="n"/>
      <c r="BV46" s="932" t="n"/>
      <c r="BW46" s="932" t="n"/>
      <c r="BX46" s="932" t="n"/>
      <c r="BY46" s="932" t="n"/>
      <c r="BZ46" s="932" t="n"/>
      <c r="CA46" s="5575">
        <f>IF(AND($C46&lt;&gt;0,AN46=""),"* No olvide ingresar la variable "&amp;AN$41&amp;""&amp;". Digite CERO si no tiene. ",IF(AN46&gt;$C46,"* La variable Pueblos Originarios no debe ser mayor al Total Ambos Sexos. ",""))</f>
        <v/>
      </c>
      <c r="CB46" s="5575">
        <f>IF(AND($C46&lt;&gt;0,AO46=""),"* No olvide ingresar la variable "&amp;AO$41&amp;""&amp;" (Digite CERO si no tiene). ",IF(AO46&gt;$C46,"* La variable Migrantes no debe ser mayor al Total Ambos Sexos. ",""))</f>
        <v/>
      </c>
      <c r="CC46" s="5653" t="n"/>
      <c r="CD46" s="932" t="n"/>
      <c r="CU46" s="5577">
        <f>IF(AND($C46&lt;&gt;0,AN46=""),1,IF(AN46&gt;$C46,1,0))</f>
        <v/>
      </c>
      <c r="CV46" s="5577">
        <f>IF(AND($C46&lt;&gt;0,AO46=""),1,IF(AO46&gt;$C46,1,0))</f>
        <v/>
      </c>
      <c r="CW46" s="5672" t="n"/>
    </row>
    <row r="47" ht="13.5" customHeight="1" s="8286">
      <c r="A47" s="9589" t="n"/>
      <c r="B47" s="1089" t="inlineStr">
        <is>
          <t>Técnico en Enfermería</t>
        </is>
      </c>
      <c r="C47" s="5680">
        <f>SUM(D47:E47)</f>
        <v/>
      </c>
      <c r="D47" s="5681">
        <f>SUM(L47+N47+P47+R47+T47+V47+X47+Z47+AB47+AD47+AF47+AH47+AJ47+AL47)</f>
        <v/>
      </c>
      <c r="E47" s="5682">
        <f>SUM(M47+O47+Q47+S47+U47+W47+Y47+AA47+AC47+AE47+AG47+AI47+AK47+AM47)</f>
        <v/>
      </c>
      <c r="F47" s="5588" t="n"/>
      <c r="G47" s="5683" t="n"/>
      <c r="H47" s="5588" t="n"/>
      <c r="I47" s="5683" t="n"/>
      <c r="J47" s="5588" t="n"/>
      <c r="K47" s="5683" t="n"/>
      <c r="L47" s="1519" t="n"/>
      <c r="M47" s="1550" t="n"/>
      <c r="N47" s="1519" t="n"/>
      <c r="O47" s="1550" t="n"/>
      <c r="P47" s="1519" t="n"/>
      <c r="Q47" s="1550" t="n"/>
      <c r="R47" s="1519" t="n"/>
      <c r="S47" s="1550" t="n"/>
      <c r="T47" s="1519" t="n"/>
      <c r="U47" s="1550" t="n"/>
      <c r="V47" s="1519" t="n"/>
      <c r="W47" s="1550" t="n"/>
      <c r="X47" s="1519" t="n"/>
      <c r="Y47" s="1550" t="n"/>
      <c r="Z47" s="1519" t="n"/>
      <c r="AA47" s="1550" t="n"/>
      <c r="AB47" s="1519" t="n"/>
      <c r="AC47" s="1550" t="n"/>
      <c r="AD47" s="1519" t="n"/>
      <c r="AE47" s="1550" t="n"/>
      <c r="AF47" s="1519" t="n"/>
      <c r="AG47" s="1550" t="n"/>
      <c r="AH47" s="1519" t="n"/>
      <c r="AI47" s="1550" t="n"/>
      <c r="AJ47" s="1519" t="n"/>
      <c r="AK47" s="1550" t="n"/>
      <c r="AL47" s="1519" t="n"/>
      <c r="AM47" s="1626" t="n"/>
      <c r="AN47" s="1553" t="n"/>
      <c r="AO47" s="1550" t="n"/>
      <c r="AP47" s="5678" t="n"/>
      <c r="AQ47" s="1006">
        <f>CA47&amp;CB47&amp;CC47</f>
        <v/>
      </c>
      <c r="BU47" s="932" t="n"/>
      <c r="BV47" s="932" t="n"/>
      <c r="BW47" s="932" t="n"/>
      <c r="BX47" s="932" t="n"/>
      <c r="BY47" s="932" t="n"/>
      <c r="BZ47" s="932" t="n"/>
      <c r="CA47" s="5575">
        <f>IF(AND($C47&lt;&gt;0,AN47=""),"* No olvide ingresar la variable "&amp;AN$41&amp;""&amp;". Digite CERO si no tiene. ",IF(AN47&gt;$C47,"* La variable Pueblos Originarios no debe ser mayor al Total Ambos Sexos. ",""))</f>
        <v/>
      </c>
      <c r="CB47" s="5575">
        <f>IF(AND($C47&lt;&gt;0,AO47=""),"* No olvide ingresar la variable "&amp;AO$41&amp;""&amp;" (Digite CERO si no tiene). ",IF(AO47&gt;$C47,"* La variable Migrantes no debe ser mayor al Total Ambos Sexos. ",""))</f>
        <v/>
      </c>
      <c r="CC47" s="5653" t="n"/>
      <c r="CD47" s="932" t="n"/>
      <c r="CU47" s="5577">
        <f>IF(AND($C47&lt;&gt;0,AN47=""),1,IF(AN47&gt;$C47,1,0))</f>
        <v/>
      </c>
      <c r="CV47" s="5577">
        <f>IF(AND($C47&lt;&gt;0,AO47=""),1,IF(AO47&gt;$C47,1,0))</f>
        <v/>
      </c>
      <c r="CW47" s="5672" t="n"/>
    </row>
    <row r="48" ht="13.5" customHeight="1" s="8286">
      <c r="A48" s="9615" t="inlineStr">
        <is>
          <t xml:space="preserve">Seguimiento Autovalente con riesgo </t>
        </is>
      </c>
      <c r="B48" s="1721" t="inlineStr">
        <is>
          <t>Médico/a</t>
        </is>
      </c>
      <c r="C48" s="5665">
        <f>SUM(D48:E48)</f>
        <v/>
      </c>
      <c r="D48" s="5666">
        <f>SUM(AF48+AH48+AJ48+AL48)</f>
        <v/>
      </c>
      <c r="E48" s="5667">
        <f>SUM(AG48+AI48+AK48+AM48)</f>
        <v/>
      </c>
      <c r="F48" s="1912" t="n"/>
      <c r="G48" s="5684" t="n"/>
      <c r="H48" s="1912" t="n"/>
      <c r="I48" s="5684" t="n"/>
      <c r="J48" s="1912" t="n"/>
      <c r="K48" s="5668" t="n"/>
      <c r="L48" s="1912" t="n"/>
      <c r="M48" s="5668" t="n"/>
      <c r="N48" s="1912" t="n"/>
      <c r="O48" s="5668" t="n"/>
      <c r="P48" s="1912" t="n"/>
      <c r="Q48" s="5668" t="n"/>
      <c r="R48" s="1912" t="n"/>
      <c r="S48" s="5668" t="n"/>
      <c r="T48" s="1912" t="n"/>
      <c r="U48" s="5668" t="n"/>
      <c r="V48" s="1912" t="n"/>
      <c r="W48" s="5668" t="n"/>
      <c r="X48" s="1912" t="n"/>
      <c r="Y48" s="5668" t="n"/>
      <c r="Z48" s="1912" t="n"/>
      <c r="AA48" s="5668" t="n"/>
      <c r="AB48" s="1912" t="n"/>
      <c r="AC48" s="5668" t="n"/>
      <c r="AD48" s="1912" t="n"/>
      <c r="AE48" s="5668" t="n"/>
      <c r="AF48" s="1511" t="n"/>
      <c r="AG48" s="5669" t="n"/>
      <c r="AH48" s="1511" t="n"/>
      <c r="AI48" s="5669" t="n"/>
      <c r="AJ48" s="1511" t="n"/>
      <c r="AK48" s="5669" t="n"/>
      <c r="AL48" s="1511" t="n"/>
      <c r="AM48" s="1654" t="n"/>
      <c r="AN48" s="5670" t="n"/>
      <c r="AO48" s="5669" t="n"/>
      <c r="AP48" s="5671" t="n"/>
      <c r="AQ48" s="1006">
        <f>CA48&amp;CB48&amp;CC48</f>
        <v/>
      </c>
      <c r="BU48" s="932" t="n"/>
      <c r="BV48" s="932" t="n"/>
      <c r="BW48" s="932" t="n"/>
      <c r="BX48" s="932" t="n"/>
      <c r="BY48" s="932" t="n"/>
      <c r="BZ48" s="932" t="n"/>
      <c r="CA48" s="5575">
        <f>IF(AND($C48&lt;&gt;0,AN48=""),"* No olvide ingresar la variable "&amp;AN$41&amp;""&amp;". Digite CERO si no tiene. ",IF(AN48&gt;$C48,"* La variable Pueblos Originarios no debe ser mayor al Total Ambos Sexos. ",""))</f>
        <v/>
      </c>
      <c r="CB48" s="5575">
        <f>IF(AND($C48&lt;&gt;0,AO48=""),"* No olvide ingresar la variable "&amp;AO$41&amp;""&amp;" (Digite CERO si no tiene). ",IF(AO48&gt;$C48,"* La variable Migrantes no debe ser mayor al Total Ambos Sexos. ",""))</f>
        <v/>
      </c>
      <c r="CC48" s="5653" t="n"/>
      <c r="CD48" s="932" t="n"/>
      <c r="CU48" s="5577">
        <f>IF(AND($C48&lt;&gt;0,AN48=""),1,IF(AN48&gt;$C48,1,0))</f>
        <v/>
      </c>
      <c r="CV48" s="5577">
        <f>IF(AND($C48&lt;&gt;0,AO48=""),1,IF(AO48&gt;$C48,1,0))</f>
        <v/>
      </c>
    </row>
    <row r="49" ht="13.5" customHeight="1" s="8286">
      <c r="A49" s="9614" t="n"/>
      <c r="B49" s="1646" t="inlineStr">
        <is>
          <t>Enfermera/o</t>
        </is>
      </c>
      <c r="C49" s="5685">
        <f>SUM(D49:E49)</f>
        <v/>
      </c>
      <c r="D49" s="5686">
        <f>SUM(AF49+AH49+AJ49+AL49)</f>
        <v/>
      </c>
      <c r="E49" s="5687">
        <f>SUM(AG49+AI49+AK49+AM49)</f>
        <v/>
      </c>
      <c r="F49" s="5688" t="n"/>
      <c r="G49" s="5689" t="n"/>
      <c r="H49" s="5688" t="n"/>
      <c r="I49" s="5689" t="n"/>
      <c r="J49" s="5688" t="n"/>
      <c r="K49" s="5690" t="n"/>
      <c r="L49" s="5688" t="n"/>
      <c r="M49" s="5690" t="n"/>
      <c r="N49" s="5688" t="n"/>
      <c r="O49" s="5690" t="n"/>
      <c r="P49" s="5688" t="n"/>
      <c r="Q49" s="5690" t="n"/>
      <c r="R49" s="5688" t="n"/>
      <c r="S49" s="5690" t="n"/>
      <c r="T49" s="5688" t="n"/>
      <c r="U49" s="5690" t="n"/>
      <c r="V49" s="5688" t="n"/>
      <c r="W49" s="5690" t="n"/>
      <c r="X49" s="5688" t="n"/>
      <c r="Y49" s="5690" t="n"/>
      <c r="Z49" s="5688" t="n"/>
      <c r="AA49" s="5690" t="n"/>
      <c r="AB49" s="5688" t="n"/>
      <c r="AC49" s="5690" t="n"/>
      <c r="AD49" s="5688" t="n"/>
      <c r="AE49" s="5690" t="n"/>
      <c r="AF49" s="998" t="n"/>
      <c r="AG49" s="1778" t="n"/>
      <c r="AH49" s="998" t="n"/>
      <c r="AI49" s="1778" t="n"/>
      <c r="AJ49" s="998" t="n"/>
      <c r="AK49" s="1778" t="n"/>
      <c r="AL49" s="998" t="n"/>
      <c r="AM49" s="5621" t="n"/>
      <c r="AN49" s="5691" t="n"/>
      <c r="AO49" s="1778" t="n"/>
      <c r="AP49" s="5692" t="n"/>
      <c r="AQ49" s="1006">
        <f>CA49&amp;CB49&amp;CC49</f>
        <v/>
      </c>
      <c r="BU49" s="932" t="n"/>
      <c r="BV49" s="932" t="n"/>
      <c r="BW49" s="932" t="n"/>
      <c r="BX49" s="932" t="n"/>
      <c r="BY49" s="932" t="n"/>
      <c r="BZ49" s="932" t="n"/>
      <c r="CA49" s="5575">
        <f>IF(AND($C49&lt;&gt;0,AN49=""),"* No olvide ingresar la variable "&amp;AN$41&amp;""&amp;". Digite CERO si no tiene. ",IF(AN49&gt;$C49,"* La variable Pueblos Originarios no debe ser mayor al Total Ambos Sexos. ",""))</f>
        <v/>
      </c>
      <c r="CB49" s="5575">
        <f>IF(AND($C49&lt;&gt;0,AO49=""),"* No olvide ingresar la variable "&amp;AO$41&amp;""&amp;" (Digite CERO si no tiene). ",IF(AO49&gt;$C49,"* La variable Migrantes no debe ser mayor al Total Ambos Sexos. ",""))</f>
        <v/>
      </c>
      <c r="CC49" s="5653" t="n"/>
      <c r="CD49" s="932" t="n"/>
      <c r="CU49" s="5577">
        <f>IF(AND($C49&lt;&gt;0,AN49=""),1,IF(AN49&gt;$C49,1,0))</f>
        <v/>
      </c>
      <c r="CV49" s="5577">
        <f>IF(AND($C49&lt;&gt;0,AO49=""),1,IF(AO49&gt;$C49,1,0))</f>
        <v/>
      </c>
    </row>
    <row r="50" ht="22.5" customHeight="1" s="8286">
      <c r="A50" s="9610" t="n"/>
      <c r="B50" s="7497" t="inlineStr">
        <is>
          <t xml:space="preserve">Otros Profesionales debidamente capacitados </t>
        </is>
      </c>
      <c r="C50" s="5680">
        <f>SUM(D50:E50)</f>
        <v/>
      </c>
      <c r="D50" s="5681">
        <f>SUM(AF50+AH50+AJ50+AL50)</f>
        <v/>
      </c>
      <c r="E50" s="5682">
        <f>SUM(AG50+AI50+AK50+AM50)</f>
        <v/>
      </c>
      <c r="F50" s="1622" t="n"/>
      <c r="G50" s="5693" t="n"/>
      <c r="H50" s="1622" t="n"/>
      <c r="I50" s="5693" t="n"/>
      <c r="J50" s="1622" t="n"/>
      <c r="K50" s="5694" t="n"/>
      <c r="L50" s="1622" t="n"/>
      <c r="M50" s="5694" t="n"/>
      <c r="N50" s="1622" t="n"/>
      <c r="O50" s="5694" t="n"/>
      <c r="P50" s="1622" t="n"/>
      <c r="Q50" s="5694" t="n"/>
      <c r="R50" s="1622" t="n"/>
      <c r="S50" s="5694" t="n"/>
      <c r="T50" s="1622" t="n"/>
      <c r="U50" s="5694" t="n"/>
      <c r="V50" s="1622" t="n"/>
      <c r="W50" s="5694" t="n"/>
      <c r="X50" s="1622" t="n"/>
      <c r="Y50" s="5694" t="n"/>
      <c r="Z50" s="1622" t="n"/>
      <c r="AA50" s="5694" t="n"/>
      <c r="AB50" s="1622" t="n"/>
      <c r="AC50" s="5694" t="n"/>
      <c r="AD50" s="1622" t="n"/>
      <c r="AE50" s="5694" t="n"/>
      <c r="AF50" s="1519" t="n"/>
      <c r="AG50" s="1550" t="n"/>
      <c r="AH50" s="1519" t="n"/>
      <c r="AI50" s="1550" t="n"/>
      <c r="AJ50" s="1519" t="n"/>
      <c r="AK50" s="1550" t="n"/>
      <c r="AL50" s="1519" t="n"/>
      <c r="AM50" s="1626" t="n"/>
      <c r="AN50" s="1553" t="n"/>
      <c r="AO50" s="1550" t="n"/>
      <c r="AP50" s="5695" t="n"/>
      <c r="AQ50" s="1006">
        <f>CA50&amp;CB50&amp;CC50</f>
        <v/>
      </c>
      <c r="BU50" s="932" t="n"/>
      <c r="BV50" s="932" t="n"/>
      <c r="BW50" s="932" t="n"/>
      <c r="BX50" s="932" t="n"/>
      <c r="BY50" s="932" t="n"/>
      <c r="BZ50" s="932" t="n"/>
      <c r="CA50" s="5575">
        <f>IF(AND($C50&lt;&gt;0,AN50=""),"* No olvide ingresar la variable "&amp;AN$41&amp;""&amp;". Digite CERO si no tiene. ",IF(AN50&gt;$C50,"* La variable Pueblos Originarios no debe ser mayor al Total Ambos Sexos. ",""))</f>
        <v/>
      </c>
      <c r="CB50" s="5575">
        <f>IF(AND($C50&lt;&gt;0,AO50=""),"* No olvide ingresar la variable "&amp;AO$41&amp;""&amp;" (Digite CERO si no tiene). ",IF(AO50&gt;$C50,"* La variable Migrantes no debe ser mayor al Total Ambos Sexos. ",""))</f>
        <v/>
      </c>
      <c r="CC50" s="5653" t="n"/>
      <c r="CD50" s="932" t="n"/>
      <c r="CU50" s="5577">
        <f>IF(AND($C50&lt;&gt;0,AN50=""),1,IF(AN50&gt;$C50,1,0))</f>
        <v/>
      </c>
      <c r="CV50" s="5577">
        <f>IF(AND($C50&lt;&gt;0,AO50=""),1,IF(AO50&gt;$C50,1,0))</f>
        <v/>
      </c>
    </row>
    <row r="51" ht="13.5" customHeight="1" s="8286">
      <c r="A51" s="9612" t="inlineStr">
        <is>
          <t xml:space="preserve">Seguimiento riesgo dependencia </t>
        </is>
      </c>
      <c r="B51" s="1721" t="inlineStr">
        <is>
          <t>Médico/a</t>
        </is>
      </c>
      <c r="C51" s="5665">
        <f>SUM(D51:E51)</f>
        <v/>
      </c>
      <c r="D51" s="5666">
        <f>SUM(AF51+AH51+AJ51+AL51)</f>
        <v/>
      </c>
      <c r="E51" s="5667">
        <f>SUM(AG51+AI51+AK51+AM51)</f>
        <v/>
      </c>
      <c r="F51" s="1912" t="n"/>
      <c r="G51" s="5684" t="n"/>
      <c r="H51" s="1912" t="n"/>
      <c r="I51" s="5684" t="n"/>
      <c r="J51" s="1912" t="n"/>
      <c r="K51" s="5668" t="n"/>
      <c r="L51" s="1912" t="n"/>
      <c r="M51" s="5668" t="n"/>
      <c r="N51" s="1912" t="n"/>
      <c r="O51" s="5668" t="n"/>
      <c r="P51" s="1912" t="n"/>
      <c r="Q51" s="5668" t="n"/>
      <c r="R51" s="1912" t="n"/>
      <c r="S51" s="5668" t="n"/>
      <c r="T51" s="1912" t="n"/>
      <c r="U51" s="5668" t="n"/>
      <c r="V51" s="1912" t="n"/>
      <c r="W51" s="5668" t="n"/>
      <c r="X51" s="1912" t="n"/>
      <c r="Y51" s="5668" t="n"/>
      <c r="Z51" s="1912" t="n"/>
      <c r="AA51" s="5668" t="n"/>
      <c r="AB51" s="1912" t="n"/>
      <c r="AC51" s="5668" t="n"/>
      <c r="AD51" s="1912" t="n"/>
      <c r="AE51" s="5668" t="n"/>
      <c r="AF51" s="1511" t="n"/>
      <c r="AG51" s="5669" t="n"/>
      <c r="AH51" s="1511" t="n"/>
      <c r="AI51" s="5669" t="n"/>
      <c r="AJ51" s="1511" t="n"/>
      <c r="AK51" s="5669" t="n"/>
      <c r="AL51" s="1511" t="n"/>
      <c r="AM51" s="1654" t="n"/>
      <c r="AN51" s="5670" t="n"/>
      <c r="AO51" s="5669" t="n"/>
      <c r="AP51" s="5671" t="n"/>
      <c r="AQ51" s="1006">
        <f>CA51&amp;CB51&amp;CC51</f>
        <v/>
      </c>
      <c r="BU51" s="932" t="n"/>
      <c r="BV51" s="932" t="n"/>
      <c r="BW51" s="932" t="n"/>
      <c r="BX51" s="932" t="n"/>
      <c r="BY51" s="932" t="n"/>
      <c r="BZ51" s="932" t="n"/>
      <c r="CA51" s="5575">
        <f>IF(AND($C51&lt;&gt;0,AN51=""),"* No olvide ingresar la variable "&amp;AN$41&amp;""&amp;". Digite CERO si no tiene. ",IF(AN51&gt;$C51,"* La variable Pueblos Originarios no debe ser mayor al Total Ambos Sexos. ",""))</f>
        <v/>
      </c>
      <c r="CB51" s="5575">
        <f>IF(AND($C51&lt;&gt;0,AO51=""),"* No olvide ingresar la variable "&amp;AO$41&amp;""&amp;" (Digite CERO si no tiene). ",IF(AO51&gt;$C51,"* La variable Migrantes no debe ser mayor al Total Ambos Sexos. ",""))</f>
        <v/>
      </c>
      <c r="CC51" s="5653" t="n"/>
      <c r="CD51" s="932" t="n"/>
      <c r="CU51" s="5577">
        <f>IF(AND($C51&lt;&gt;0,AN51=""),1,IF(AN51&gt;$C51,1,0))</f>
        <v/>
      </c>
      <c r="CV51" s="5577">
        <f>IF(AND($C51&lt;&gt;0,AO51=""),1,IF(AO51&gt;$C51,1,0))</f>
        <v/>
      </c>
    </row>
    <row r="52" ht="15" customHeight="1" s="8286">
      <c r="A52" s="9588" t="n"/>
      <c r="B52" s="1646" t="inlineStr">
        <is>
          <t>Enfermera/o</t>
        </is>
      </c>
      <c r="C52" s="5685">
        <f>SUM(D52:E52)</f>
        <v/>
      </c>
      <c r="D52" s="5686">
        <f>SUM(AF52+AH52+AJ52+AL52)</f>
        <v/>
      </c>
      <c r="E52" s="5687">
        <f>SUM(AG52+AI52+AK52+AM52)</f>
        <v/>
      </c>
      <c r="F52" s="5688" t="n"/>
      <c r="G52" s="5689" t="n"/>
      <c r="H52" s="5688" t="n"/>
      <c r="I52" s="5689" t="n"/>
      <c r="J52" s="5688" t="n"/>
      <c r="K52" s="5690" t="n"/>
      <c r="L52" s="5688" t="n"/>
      <c r="M52" s="5690" t="n"/>
      <c r="N52" s="5688" t="n"/>
      <c r="O52" s="5690" t="n"/>
      <c r="P52" s="5688" t="n"/>
      <c r="Q52" s="5690" t="n"/>
      <c r="R52" s="5688" t="n"/>
      <c r="S52" s="5690" t="n"/>
      <c r="T52" s="5688" t="n"/>
      <c r="U52" s="5690" t="n"/>
      <c r="V52" s="5688" t="n"/>
      <c r="W52" s="5690" t="n"/>
      <c r="X52" s="5688" t="n"/>
      <c r="Y52" s="5690" t="n"/>
      <c r="Z52" s="5688" t="n"/>
      <c r="AA52" s="5690" t="n"/>
      <c r="AB52" s="5688" t="n"/>
      <c r="AC52" s="5690" t="n"/>
      <c r="AD52" s="5688" t="n"/>
      <c r="AE52" s="5690" t="n"/>
      <c r="AF52" s="998" t="n"/>
      <c r="AG52" s="1778" t="n"/>
      <c r="AH52" s="998" t="n"/>
      <c r="AI52" s="1778" t="n"/>
      <c r="AJ52" s="998" t="n"/>
      <c r="AK52" s="1778" t="n"/>
      <c r="AL52" s="998" t="n"/>
      <c r="AM52" s="5621" t="n"/>
      <c r="AN52" s="5691" t="n"/>
      <c r="AO52" s="1778" t="n"/>
      <c r="AP52" s="5692" t="n"/>
      <c r="AQ52" s="1006">
        <f>CA52&amp;CB52&amp;CC52</f>
        <v/>
      </c>
      <c r="BU52" s="932" t="n"/>
      <c r="BV52" s="932" t="n"/>
      <c r="BW52" s="932" t="n"/>
      <c r="BX52" s="932" t="n"/>
      <c r="BY52" s="932" t="n"/>
      <c r="BZ52" s="932" t="n"/>
      <c r="CA52" s="5575">
        <f>IF(AND($C52&lt;&gt;0,AN52=""),"* No olvide ingresar la variable "&amp;AN$41&amp;""&amp;". Digite CERO si no tiene. ",IF(AN52&gt;$C52,"* La variable Pueblos Originarios no debe ser mayor al Total Ambos Sexos. ",""))</f>
        <v/>
      </c>
      <c r="CB52" s="5575">
        <f>IF(AND($C52&lt;&gt;0,AO52=""),"* No olvide ingresar la variable "&amp;AO$41&amp;""&amp;" (Digite CERO si no tiene). ",IF(AO52&gt;$C52,"* La variable Migrantes no debe ser mayor al Total Ambos Sexos. ",""))</f>
        <v/>
      </c>
      <c r="CC52" s="5653" t="n"/>
      <c r="CD52" s="932" t="n"/>
      <c r="CU52" s="5577">
        <f>IF(AND($C52&lt;&gt;0,AN52=""),1,IF(AN52&gt;$C52,1,0))</f>
        <v/>
      </c>
      <c r="CV52" s="5577">
        <f>IF(AND($C52&lt;&gt;0,AO52=""),1,IF(AO52&gt;$C52,1,0))</f>
        <v/>
      </c>
    </row>
    <row r="53" ht="24.6" customHeight="1" s="8286">
      <c r="A53" s="9589" t="n"/>
      <c r="B53" s="7497" t="inlineStr">
        <is>
          <t xml:space="preserve">Otros Profesionales debidamente capacitados </t>
        </is>
      </c>
      <c r="C53" s="5680">
        <f>SUM(D53:E53)</f>
        <v/>
      </c>
      <c r="D53" s="5681">
        <f>SUM(AF53+AH53+AJ53+AL53)</f>
        <v/>
      </c>
      <c r="E53" s="5682">
        <f>SUM(AG53+AI53+AK53+AM53)</f>
        <v/>
      </c>
      <c r="F53" s="1622" t="n"/>
      <c r="G53" s="5693" t="n"/>
      <c r="H53" s="1622" t="n"/>
      <c r="I53" s="5693" t="n"/>
      <c r="J53" s="1622" t="n"/>
      <c r="K53" s="5694" t="n"/>
      <c r="L53" s="1622" t="n"/>
      <c r="M53" s="5694" t="n"/>
      <c r="N53" s="1622" t="n"/>
      <c r="O53" s="5694" t="n"/>
      <c r="P53" s="1622" t="n"/>
      <c r="Q53" s="5694" t="n"/>
      <c r="R53" s="1622" t="n"/>
      <c r="S53" s="5694" t="n"/>
      <c r="T53" s="1622" t="n"/>
      <c r="U53" s="5694" t="n"/>
      <c r="V53" s="1622" t="n"/>
      <c r="W53" s="5694" t="n"/>
      <c r="X53" s="1622" t="n"/>
      <c r="Y53" s="5694" t="n"/>
      <c r="Z53" s="1622" t="n"/>
      <c r="AA53" s="5694" t="n"/>
      <c r="AB53" s="1622" t="n"/>
      <c r="AC53" s="5694" t="n"/>
      <c r="AD53" s="1622" t="n"/>
      <c r="AE53" s="5694" t="n"/>
      <c r="AF53" s="1519" t="n"/>
      <c r="AG53" s="1550" t="n"/>
      <c r="AH53" s="1519" t="n"/>
      <c r="AI53" s="1550" t="n"/>
      <c r="AJ53" s="1519" t="n"/>
      <c r="AK53" s="1550" t="n"/>
      <c r="AL53" s="1519" t="n"/>
      <c r="AM53" s="1626" t="n"/>
      <c r="AN53" s="1553" t="n"/>
      <c r="AO53" s="1550" t="n"/>
      <c r="AP53" s="5695" t="n"/>
      <c r="AQ53" s="1006">
        <f>CA53&amp;CB53&amp;CC53</f>
        <v/>
      </c>
      <c r="BU53" s="932" t="n"/>
      <c r="BV53" s="932" t="n"/>
      <c r="BW53" s="932" t="n"/>
      <c r="BX53" s="932" t="n"/>
      <c r="BY53" s="932" t="n"/>
      <c r="BZ53" s="932" t="n"/>
      <c r="CA53" s="5575">
        <f>IF(AND($C53&lt;&gt;0,AN53=""),"* No olvide ingresar la variable "&amp;AN$41&amp;""&amp;". Digite CERO si no tiene. ",IF(AN53&gt;$C53,"* La variable Pueblos Originarios no debe ser mayor al Total Ambos Sexos. ",""))</f>
        <v/>
      </c>
      <c r="CB53" s="5575">
        <f>IF(AND($C53&lt;&gt;0,AO53=""),"* No olvide ingresar la variable "&amp;AO$41&amp;""&amp;" (Digite CERO si no tiene). ",IF(AO53&gt;$C53,"* La variable Migrantes no debe ser mayor al Total Ambos Sexos. ",""))</f>
        <v/>
      </c>
      <c r="CC53" s="5653" t="n"/>
      <c r="CD53" s="932" t="n"/>
      <c r="CU53" s="5577">
        <f>IF(AND($C53&lt;&gt;0,AN53=""),1,IF(AN53&gt;$C53,1,0))</f>
        <v/>
      </c>
      <c r="CV53" s="5577">
        <f>IF(AND($C53&lt;&gt;0,AO53=""),1,IF(AO53&gt;$C53,1,0))</f>
        <v/>
      </c>
    </row>
    <row r="54" ht="15" customHeight="1" s="8286">
      <c r="A54" s="9612" t="inlineStr">
        <is>
          <t xml:space="preserve">De Infección Transmisión Sexual </t>
        </is>
      </c>
      <c r="B54" s="1721" t="inlineStr">
        <is>
          <t>Médico/a</t>
        </is>
      </c>
      <c r="C54" s="5665">
        <f>SUM(D54:E54)</f>
        <v/>
      </c>
      <c r="D54" s="5666">
        <f>SUM(F54+H54+J54+L54+N54+P54+R54+T54+V54+X54+Z54+AB54+AD54+AF54+AH54+AJ54+AL54)</f>
        <v/>
      </c>
      <c r="E54" s="5667">
        <f>SUM(G54+I54+K54+M54+O54+Q54+S54+U54+W54+Y54+AA54+AC54+AE54+AG54+AI54+AK54+AM54)</f>
        <v/>
      </c>
      <c r="F54" s="1511" t="n"/>
      <c r="G54" s="5669" t="n"/>
      <c r="H54" s="1511" t="n"/>
      <c r="I54" s="5669" t="n"/>
      <c r="J54" s="1511" t="n"/>
      <c r="K54" s="5669" t="n"/>
      <c r="L54" s="1511" t="n"/>
      <c r="M54" s="5669" t="n"/>
      <c r="N54" s="1511" t="n"/>
      <c r="O54" s="5669" t="n"/>
      <c r="P54" s="1511" t="n"/>
      <c r="Q54" s="5669" t="n"/>
      <c r="R54" s="1511" t="n"/>
      <c r="S54" s="5669" t="n"/>
      <c r="T54" s="1511" t="n"/>
      <c r="U54" s="5669" t="n"/>
      <c r="V54" s="1511" t="n"/>
      <c r="W54" s="5669" t="n"/>
      <c r="X54" s="1511" t="n"/>
      <c r="Y54" s="5669" t="n"/>
      <c r="Z54" s="1511" t="n"/>
      <c r="AA54" s="5669" t="n"/>
      <c r="AB54" s="1511" t="n"/>
      <c r="AC54" s="5669" t="n"/>
      <c r="AD54" s="1511" t="n"/>
      <c r="AE54" s="5669" t="n"/>
      <c r="AF54" s="1511" t="n"/>
      <c r="AG54" s="5669" t="n"/>
      <c r="AH54" s="1511" t="n"/>
      <c r="AI54" s="5669" t="n"/>
      <c r="AJ54" s="1511" t="n"/>
      <c r="AK54" s="5669" t="n"/>
      <c r="AL54" s="1511" t="n"/>
      <c r="AM54" s="1654" t="n"/>
      <c r="AN54" s="5670" t="n"/>
      <c r="AO54" s="5669" t="n"/>
      <c r="AP54" s="5671" t="n"/>
      <c r="AQ54" s="1006">
        <f>CA54&amp;CB54&amp;CC54</f>
        <v/>
      </c>
      <c r="BU54" s="932" t="n"/>
      <c r="BV54" s="932" t="n"/>
      <c r="BW54" s="932" t="n"/>
      <c r="BX54" s="932" t="n"/>
      <c r="BY54" s="932" t="n"/>
      <c r="BZ54" s="932" t="n"/>
      <c r="CA54" s="5575">
        <f>IF(AND($C54&lt;&gt;0,AN54=""),"* No olvide ingresar la variable "&amp;AN$41&amp;""&amp;". Digite CERO si no tiene. ",IF(AN54&gt;$C54,"* La variable Pueblos Originarios no debe ser mayor al Total Ambos Sexos. ",""))</f>
        <v/>
      </c>
      <c r="CB54" s="5575">
        <f>IF(AND($C54&lt;&gt;0,AO54=""),"* No olvide ingresar la variable "&amp;AO$41&amp;""&amp;" (Digite CERO si no tiene). ",IF(AO54&gt;$C54,"* La variable Migrantes no debe ser mayor al Total Ambos Sexos. ",""))</f>
        <v/>
      </c>
      <c r="CC54" s="5653" t="n"/>
      <c r="CD54" s="932" t="n"/>
      <c r="CU54" s="5577">
        <f>IF(AND($C54&lt;&gt;0,AN54=""),1,IF(AN54&gt;$C54,1,0))</f>
        <v/>
      </c>
      <c r="CV54" s="5577">
        <f>IF(AND($C54&lt;&gt;0,AO54=""),1,IF(AO54&gt;$C54,1,0))</f>
        <v/>
      </c>
    </row>
    <row r="55" ht="15" customHeight="1" s="8286">
      <c r="A55" s="9588" t="n"/>
      <c r="B55" s="1646" t="inlineStr">
        <is>
          <t>Enfermera/o</t>
        </is>
      </c>
      <c r="C55" s="5673">
        <f>SUM(D55:E55)</f>
        <v/>
      </c>
      <c r="D55" s="5674">
        <f>SUM(F55+H55+J55+L55+N55+P55+R55+T55+V55+X55+Z55+AB55+AD55+AF55+AH55+AJ55+AL55)</f>
        <v/>
      </c>
      <c r="E55" s="5675">
        <f>SUM(G55+I55+K55+M55+O55+Q55+S55+U55+W55+Y55+AA55+AC55+AE55+AG55+AI55+AK55+AM55)</f>
        <v/>
      </c>
      <c r="F55" s="1539" t="n"/>
      <c r="G55" s="1540" t="n"/>
      <c r="H55" s="1539" t="n"/>
      <c r="I55" s="1540" t="n"/>
      <c r="J55" s="1539" t="n"/>
      <c r="K55" s="1540" t="n"/>
      <c r="L55" s="1539" t="n"/>
      <c r="M55" s="1540" t="n"/>
      <c r="N55" s="1539" t="n"/>
      <c r="O55" s="1540" t="n"/>
      <c r="P55" s="1539" t="n"/>
      <c r="Q55" s="1540" t="n"/>
      <c r="R55" s="1539" t="n"/>
      <c r="S55" s="1540" t="n"/>
      <c r="T55" s="1539" t="n"/>
      <c r="U55" s="1540" t="n"/>
      <c r="V55" s="1539" t="n"/>
      <c r="W55" s="1540" t="n"/>
      <c r="X55" s="1539" t="n"/>
      <c r="Y55" s="1540" t="n"/>
      <c r="Z55" s="1539" t="n"/>
      <c r="AA55" s="1540" t="n"/>
      <c r="AB55" s="1539" t="n"/>
      <c r="AC55" s="1540" t="n"/>
      <c r="AD55" s="1539" t="n"/>
      <c r="AE55" s="1540" t="n"/>
      <c r="AF55" s="1539" t="n"/>
      <c r="AG55" s="1540" t="n"/>
      <c r="AH55" s="1539" t="n"/>
      <c r="AI55" s="1540" t="n"/>
      <c r="AJ55" s="1539" t="n"/>
      <c r="AK55" s="1540" t="n"/>
      <c r="AL55" s="1539" t="n"/>
      <c r="AM55" s="1620" t="n"/>
      <c r="AN55" s="1543" t="n"/>
      <c r="AO55" s="1540" t="n"/>
      <c r="AP55" s="5678" t="n"/>
      <c r="AQ55" s="1006">
        <f>CA55&amp;CB55&amp;CC55</f>
        <v/>
      </c>
      <c r="BU55" s="932" t="n"/>
      <c r="BV55" s="932" t="n"/>
      <c r="BW55" s="932" t="n"/>
      <c r="BX55" s="932" t="n"/>
      <c r="BY55" s="932" t="n"/>
      <c r="BZ55" s="932" t="n"/>
      <c r="CA55" s="5575">
        <f>IF(AND($C55&lt;&gt;0,AN55=""),"* No olvide ingresar la variable "&amp;AN$41&amp;""&amp;". Digite CERO si no tiene. ",IF(AN55&gt;$C55,"* La variable Pueblos Originarios no debe ser mayor al Total Ambos Sexos. ",""))</f>
        <v/>
      </c>
      <c r="CB55" s="5575">
        <f>IF(AND($C55&lt;&gt;0,AO55=""),"* No olvide ingresar la variable "&amp;AO$41&amp;""&amp;" (Digite CERO si no tiene). ",IF(AO55&gt;$C55,"* La variable Migrantes no debe ser mayor al Total Ambos Sexos. ",""))</f>
        <v/>
      </c>
      <c r="CC55" s="5653" t="n"/>
      <c r="CD55" s="932" t="n"/>
      <c r="CU55" s="5577">
        <f>IF(AND($C55&lt;&gt;0,AN55=""),1,IF(AN55&gt;$C55,1,0))</f>
        <v/>
      </c>
      <c r="CV55" s="5577">
        <f>IF(AND($C55&lt;&gt;0,AO55=""),1,IF(AO55&gt;$C55,1,0))</f>
        <v/>
      </c>
    </row>
    <row r="56" ht="15" customHeight="1" s="8286">
      <c r="A56" s="9589" t="n"/>
      <c r="B56" s="1646" t="inlineStr">
        <is>
          <t>Matrona/ón</t>
        </is>
      </c>
      <c r="C56" s="5680">
        <f>SUM(D56:E56)</f>
        <v/>
      </c>
      <c r="D56" s="5681">
        <f>SUM(F56+H56+J56+L56+N56+P56+R56+T56+V56+X56+Z56+AB56+AD56+AF56+AH56+AJ56+AL56)</f>
        <v/>
      </c>
      <c r="E56" s="5682">
        <f>SUM(G56+I56+K56+M56+O56+Q56+S56+U56+W56+Y56+AA56+AC56+AE56+AG56+AI56+AK56+AM56)</f>
        <v/>
      </c>
      <c r="F56" s="1519" t="n"/>
      <c r="G56" s="1550" t="n"/>
      <c r="H56" s="1519" t="n"/>
      <c r="I56" s="1550" t="n"/>
      <c r="J56" s="1519" t="n"/>
      <c r="K56" s="1550" t="n"/>
      <c r="L56" s="1519" t="n"/>
      <c r="M56" s="1550" t="n"/>
      <c r="N56" s="1519" t="n"/>
      <c r="O56" s="1550" t="n"/>
      <c r="P56" s="1519" t="n"/>
      <c r="Q56" s="1550" t="n"/>
      <c r="R56" s="1519" t="n"/>
      <c r="S56" s="1550" t="n"/>
      <c r="T56" s="1519" t="n"/>
      <c r="U56" s="1550" t="n"/>
      <c r="V56" s="1519" t="n"/>
      <c r="W56" s="1550" t="n"/>
      <c r="X56" s="1519" t="n"/>
      <c r="Y56" s="1550" t="n"/>
      <c r="Z56" s="1519" t="n"/>
      <c r="AA56" s="1550" t="n"/>
      <c r="AB56" s="1519" t="n"/>
      <c r="AC56" s="1550" t="n"/>
      <c r="AD56" s="1519" t="n"/>
      <c r="AE56" s="1550" t="n"/>
      <c r="AF56" s="1519" t="n"/>
      <c r="AG56" s="1550" t="n"/>
      <c r="AH56" s="1519" t="n"/>
      <c r="AI56" s="1550" t="n"/>
      <c r="AJ56" s="1519" t="n"/>
      <c r="AK56" s="1550" t="n"/>
      <c r="AL56" s="1519" t="n"/>
      <c r="AM56" s="1626" t="n"/>
      <c r="AN56" s="1553" t="n"/>
      <c r="AO56" s="1550" t="n"/>
      <c r="AP56" s="5695" t="n"/>
      <c r="AQ56" s="1006">
        <f>CA56&amp;CB56&amp;CC56</f>
        <v/>
      </c>
      <c r="BU56" s="932" t="n"/>
      <c r="BV56" s="932" t="n"/>
      <c r="BW56" s="932" t="n"/>
      <c r="BX56" s="932" t="n"/>
      <c r="BY56" s="932" t="n"/>
      <c r="BZ56" s="932" t="n"/>
      <c r="CA56" s="5575">
        <f>IF(AND($C56&lt;&gt;0,AN56=""),"* No olvide ingresar la variable "&amp;AN$41&amp;""&amp;". Digite CERO si no tiene. ",IF(AN56&gt;$C56,"* La variable Pueblos Originarios no debe ser mayor al Total Ambos Sexos. ",""))</f>
        <v/>
      </c>
      <c r="CB56" s="5575">
        <f>IF(AND($C56&lt;&gt;0,AO56=""),"* No olvide ingresar la variable "&amp;AO$41&amp;""&amp;" (Digite CERO si no tiene). ",IF(AO56&gt;$C56,"* La variable Migrantes no debe ser mayor al Total Ambos Sexos. ",""))</f>
        <v/>
      </c>
      <c r="CC56" s="5653" t="n"/>
      <c r="CD56" s="932" t="n"/>
      <c r="CU56" s="5577">
        <f>IF(AND($C56&lt;&gt;0,AN56=""),1,IF(AN56&gt;$C56,1,0))</f>
        <v/>
      </c>
      <c r="CV56" s="5577">
        <f>IF(AND($C56&lt;&gt;0,AO56=""),1,IF(AO56&gt;$C56,1,0))</f>
        <v/>
      </c>
    </row>
    <row r="57" ht="15" customHeight="1" s="8286">
      <c r="A57" s="9612" t="inlineStr">
        <is>
          <t xml:space="preserve">Otros problemas de salud </t>
        </is>
      </c>
      <c r="B57" s="1721" t="inlineStr">
        <is>
          <t>Médico/a</t>
        </is>
      </c>
      <c r="C57" s="5665">
        <f>SUM(D57:E57)</f>
        <v/>
      </c>
      <c r="D57" s="5666">
        <f>SUM(F57+H57+J57+L57+N57+P57+R57+T57+V57+X57+Z57+AB57+AD57+AF57+AH57+AJ57+AL57)</f>
        <v/>
      </c>
      <c r="E57" s="5667">
        <f>SUM(G57+I57+K57+M57+O57+Q57+S57+U57+W57+Y57+AA57+AC57+AE57+AG57+AI57+AK57+AM57)</f>
        <v/>
      </c>
      <c r="F57" s="1511" t="n">
        <v>0</v>
      </c>
      <c r="G57" s="5669" t="n">
        <v>0</v>
      </c>
      <c r="H57" s="1511" t="n">
        <v>0</v>
      </c>
      <c r="I57" s="5669" t="n">
        <v>0</v>
      </c>
      <c r="J57" s="1511" t="n">
        <v>0</v>
      </c>
      <c r="K57" s="5669" t="n">
        <v>0</v>
      </c>
      <c r="L57" s="1511" t="n">
        <v>0</v>
      </c>
      <c r="M57" s="5669" t="n">
        <v>0</v>
      </c>
      <c r="N57" s="1511" t="n">
        <v>0</v>
      </c>
      <c r="O57" s="5669" t="n">
        <v>0</v>
      </c>
      <c r="P57" s="1511" t="n">
        <v>0</v>
      </c>
      <c r="Q57" s="5669" t="n">
        <v>0</v>
      </c>
      <c r="R57" s="1511" t="n">
        <v>0</v>
      </c>
      <c r="S57" s="5669" t="n">
        <v>0</v>
      </c>
      <c r="T57" s="1511" t="n">
        <v>0</v>
      </c>
      <c r="U57" s="5669" t="n">
        <v>0</v>
      </c>
      <c r="V57" s="1511" t="n">
        <v>0</v>
      </c>
      <c r="W57" s="5669" t="n">
        <v>0</v>
      </c>
      <c r="X57" s="1511" t="n">
        <v>0</v>
      </c>
      <c r="Y57" s="5669" t="n">
        <v>0</v>
      </c>
      <c r="Z57" s="1511" t="n">
        <v>0</v>
      </c>
      <c r="AA57" s="5669" t="n">
        <v>1</v>
      </c>
      <c r="AB57" s="1511" t="n">
        <v>0</v>
      </c>
      <c r="AC57" s="5669" t="n">
        <v>0</v>
      </c>
      <c r="AD57" s="1511" t="n">
        <v>0</v>
      </c>
      <c r="AE57" s="5669" t="n">
        <v>0</v>
      </c>
      <c r="AF57" s="1511" t="n">
        <v>0</v>
      </c>
      <c r="AG57" s="5669" t="n">
        <v>0</v>
      </c>
      <c r="AH57" s="1511" t="n">
        <v>0</v>
      </c>
      <c r="AI57" s="5669" t="n">
        <v>0</v>
      </c>
      <c r="AJ57" s="1511" t="n">
        <v>0</v>
      </c>
      <c r="AK57" s="5669" t="n">
        <v>0</v>
      </c>
      <c r="AL57" s="1511" t="n">
        <v>0</v>
      </c>
      <c r="AM57" s="1654" t="n">
        <v>0</v>
      </c>
      <c r="AN57" s="5670" t="n">
        <v>0</v>
      </c>
      <c r="AO57" s="5669" t="n">
        <v>0</v>
      </c>
      <c r="AP57" s="5671" t="n"/>
      <c r="AQ57" s="1006">
        <f>CA57&amp;CB57&amp;CC57</f>
        <v/>
      </c>
      <c r="BU57" s="932" t="n"/>
      <c r="BV57" s="932" t="n"/>
      <c r="BW57" s="932" t="n"/>
      <c r="BX57" s="932" t="n"/>
      <c r="BY57" s="932" t="n"/>
      <c r="BZ57" s="932" t="n"/>
      <c r="CA57" s="5575">
        <f>IF(AND($C57&lt;&gt;0,AN57=""),"* No olvide ingresar la variable "&amp;AN$41&amp;""&amp;". Digite CERO si no tiene. ",IF(AN57&gt;$C57,"* La variable Pueblos Originarios no debe ser mayor al Total Ambos Sexos. ",""))</f>
        <v/>
      </c>
      <c r="CB57" s="5575">
        <f>IF(AND($C57&lt;&gt;0,AO57=""),"* No olvide ingresar la variable "&amp;AO$41&amp;""&amp;" (Digite CERO si no tiene). ",IF(AO57&gt;$C57,"* La variable Migrantes no debe ser mayor al Total Ambos Sexos. ",""))</f>
        <v/>
      </c>
      <c r="CC57" s="5653" t="n"/>
      <c r="CD57" s="932" t="n"/>
      <c r="CU57" s="5577">
        <f>IF(AND($C57&lt;&gt;0,AN57=""),1,IF(AN57&gt;$C57,1,0))</f>
        <v/>
      </c>
      <c r="CV57" s="5577">
        <f>IF(AND($C57&lt;&gt;0,AO57=""),1,IF(AO57&gt;$C57,1,0))</f>
        <v/>
      </c>
    </row>
    <row r="58" ht="15" customHeight="1" s="8286">
      <c r="A58" s="9588" t="n"/>
      <c r="B58" s="1646" t="inlineStr">
        <is>
          <t>Enfermera/o</t>
        </is>
      </c>
      <c r="C58" s="5673">
        <f>SUM(D58:E58)</f>
        <v/>
      </c>
      <c r="D58" s="5674">
        <f>SUM(F58+H58+J58+L58+N58+P58+R58+T58+V58+X58+Z58+AB58+AD58+AF58+AH58+AJ58+AL58)</f>
        <v/>
      </c>
      <c r="E58" s="5675">
        <f>SUM(G58+I58+K58+M58+O58+Q58+S58+U58+W58+Y58+AA58+AC58+AE58+AG58+AI58+AK58+AM58)</f>
        <v/>
      </c>
      <c r="F58" s="1539" t="n"/>
      <c r="G58" s="1540" t="n"/>
      <c r="H58" s="1539" t="n"/>
      <c r="I58" s="1540" t="n"/>
      <c r="J58" s="1539" t="n"/>
      <c r="K58" s="1540" t="n"/>
      <c r="L58" s="1539" t="n"/>
      <c r="M58" s="1540" t="n"/>
      <c r="N58" s="1539" t="n"/>
      <c r="O58" s="1540" t="n"/>
      <c r="P58" s="1539" t="n"/>
      <c r="Q58" s="1540" t="n"/>
      <c r="R58" s="1539" t="n"/>
      <c r="S58" s="1540" t="n"/>
      <c r="T58" s="1539" t="n"/>
      <c r="U58" s="1540" t="n"/>
      <c r="V58" s="1539" t="n"/>
      <c r="W58" s="1540" t="n"/>
      <c r="X58" s="1539" t="n"/>
      <c r="Y58" s="1540" t="n"/>
      <c r="Z58" s="1539" t="n"/>
      <c r="AA58" s="1540" t="n"/>
      <c r="AB58" s="1539" t="n"/>
      <c r="AC58" s="1540" t="n"/>
      <c r="AD58" s="1539" t="n"/>
      <c r="AE58" s="1540" t="n"/>
      <c r="AF58" s="1539" t="n"/>
      <c r="AG58" s="1540" t="n"/>
      <c r="AH58" s="1539" t="n"/>
      <c r="AI58" s="1540" t="n"/>
      <c r="AJ58" s="1539" t="n"/>
      <c r="AK58" s="1540" t="n"/>
      <c r="AL58" s="1539" t="n"/>
      <c r="AM58" s="1620" t="n"/>
      <c r="AN58" s="1543" t="n"/>
      <c r="AO58" s="1540" t="n"/>
      <c r="AP58" s="5678" t="n"/>
      <c r="AQ58" s="1006">
        <f>CA58&amp;CB58&amp;CC58</f>
        <v/>
      </c>
      <c r="BU58" s="932" t="n"/>
      <c r="BV58" s="932" t="n"/>
      <c r="BW58" s="932" t="n"/>
      <c r="BX58" s="932" t="n"/>
      <c r="BY58" s="932" t="n"/>
      <c r="BZ58" s="932" t="n"/>
      <c r="CA58" s="5575">
        <f>IF(AND($C58&lt;&gt;0,AN58=""),"* No olvide ingresar la variable "&amp;AN$41&amp;""&amp;". Digite CERO si no tiene. ",IF(AN58&gt;$C58,"* La variable Pueblos Originarios no debe ser mayor al Total Ambos Sexos. ",""))</f>
        <v/>
      </c>
      <c r="CB58" s="5575">
        <f>IF(AND($C58&lt;&gt;0,AO58=""),"* No olvide ingresar la variable "&amp;AO$41&amp;""&amp;" (Digite CERO si no tiene). ",IF(AO58&gt;$C58,"* La variable Migrantes no debe ser mayor al Total Ambos Sexos. ",""))</f>
        <v/>
      </c>
      <c r="CC58" s="5653" t="n"/>
      <c r="CD58" s="932" t="n"/>
      <c r="CU58" s="5577">
        <f>IF(AND($C58&lt;&gt;0,AN58=""),1,IF(AN58&gt;$C58,1,0))</f>
        <v/>
      </c>
      <c r="CV58" s="5577">
        <f>IF(AND($C58&lt;&gt;0,AO58=""),1,IF(AO58&gt;$C58,1,0))</f>
        <v/>
      </c>
    </row>
    <row r="59" ht="15" customHeight="1" s="8286">
      <c r="A59" s="9588" t="n"/>
      <c r="B59" s="1646" t="inlineStr">
        <is>
          <t>Matrona/ón</t>
        </is>
      </c>
      <c r="C59" s="5673">
        <f>SUM(D59:E59)</f>
        <v/>
      </c>
      <c r="D59" s="5674">
        <f>SUM(F59+H59+J59+L59+N59+P59+R59+T59+V59+X59+Z59+AB59+AD59+AF59+AH59+AJ59+AL59)</f>
        <v/>
      </c>
      <c r="E59" s="5675">
        <f>SUM(G59+I59+K59+M59+O59+Q59+S59+U59+W59+Y59+AA59+AC59+AE59+AG59+AI59+AK59+AM59)</f>
        <v/>
      </c>
      <c r="F59" s="1539" t="n"/>
      <c r="G59" s="1540" t="n"/>
      <c r="H59" s="1539" t="n"/>
      <c r="I59" s="1540" t="n"/>
      <c r="J59" s="1539" t="n"/>
      <c r="K59" s="1540" t="n"/>
      <c r="L59" s="1539" t="n"/>
      <c r="M59" s="1540" t="n"/>
      <c r="N59" s="1539" t="n"/>
      <c r="O59" s="1540" t="n"/>
      <c r="P59" s="1539" t="n"/>
      <c r="Q59" s="1540" t="n"/>
      <c r="R59" s="1539" t="n"/>
      <c r="S59" s="1540" t="n"/>
      <c r="T59" s="1539" t="n"/>
      <c r="U59" s="1540" t="n"/>
      <c r="V59" s="1539" t="n"/>
      <c r="W59" s="1540" t="n"/>
      <c r="X59" s="1539" t="n"/>
      <c r="Y59" s="1540" t="n"/>
      <c r="Z59" s="1539" t="n"/>
      <c r="AA59" s="1540" t="n"/>
      <c r="AB59" s="1539" t="n"/>
      <c r="AC59" s="1540" t="n"/>
      <c r="AD59" s="1539" t="n"/>
      <c r="AE59" s="1540" t="n"/>
      <c r="AF59" s="1539" t="n"/>
      <c r="AG59" s="1540" t="n"/>
      <c r="AH59" s="1539" t="n"/>
      <c r="AI59" s="1540" t="n"/>
      <c r="AJ59" s="1539" t="n"/>
      <c r="AK59" s="1540" t="n"/>
      <c r="AL59" s="1539" t="n"/>
      <c r="AM59" s="1620" t="n"/>
      <c r="AN59" s="1543" t="n"/>
      <c r="AO59" s="1540" t="n"/>
      <c r="AP59" s="5678" t="n"/>
      <c r="AQ59" s="1006">
        <f>CA59&amp;CB59&amp;CC59</f>
        <v/>
      </c>
      <c r="BU59" s="932" t="n"/>
      <c r="BV59" s="932" t="n"/>
      <c r="BW59" s="932" t="n"/>
      <c r="BX59" s="932" t="n"/>
      <c r="BY59" s="932" t="n"/>
      <c r="BZ59" s="932" t="n"/>
      <c r="CA59" s="5575">
        <f>IF(AND($C59&lt;&gt;0,AN59=""),"* No olvide ingresar la variable "&amp;AN$41&amp;""&amp;". Digite CERO si no tiene. ",IF(AN59&gt;$C59,"* La variable Pueblos Originarios no debe ser mayor al Total Ambos Sexos. ",""))</f>
        <v/>
      </c>
      <c r="CB59" s="5575">
        <f>IF(AND($C59&lt;&gt;0,AO59=""),"* No olvide ingresar la variable "&amp;AO$41&amp;""&amp;" (Digite CERO si no tiene). ",IF(AO59&gt;$C59,"* La variable Migrantes no debe ser mayor al Total Ambos Sexos. ",""))</f>
        <v/>
      </c>
      <c r="CC59" s="5653" t="n"/>
      <c r="CD59" s="932" t="n"/>
      <c r="CU59" s="5577">
        <f>IF(AND($C59&lt;&gt;0,AN59=""),1,IF(AN59&gt;$C59,1,0))</f>
        <v/>
      </c>
      <c r="CV59" s="5577">
        <f>IF(AND($C59&lt;&gt;0,AO59=""),1,IF(AO59&gt;$C59,1,0))</f>
        <v/>
      </c>
    </row>
    <row r="60" ht="15" customHeight="1" s="8286">
      <c r="A60" s="9588" t="n"/>
      <c r="B60" s="1646" t="inlineStr">
        <is>
          <t>Nutricionista</t>
        </is>
      </c>
      <c r="C60" s="5673">
        <f>SUM(D60:E60)</f>
        <v/>
      </c>
      <c r="D60" s="5674">
        <f>SUM(F60+H60+J60+L60+N60+P60+R60+T60+V60+X60+Z60+AB60+AD60+AF60+AH60+AJ60+AL60)</f>
        <v/>
      </c>
      <c r="E60" s="5675">
        <f>SUM(G60+I60+K60+M60+O60+Q60+S60+U60+W60+Y60+AA60+AC60+AE60+AG60+AI60+AK60+AM60)</f>
        <v/>
      </c>
      <c r="F60" s="1539" t="n"/>
      <c r="G60" s="1540" t="n"/>
      <c r="H60" s="1539" t="n"/>
      <c r="I60" s="1540" t="n"/>
      <c r="J60" s="1539" t="n"/>
      <c r="K60" s="1540" t="n"/>
      <c r="L60" s="1539" t="n"/>
      <c r="M60" s="1540" t="n"/>
      <c r="N60" s="1539" t="n"/>
      <c r="O60" s="1540" t="n"/>
      <c r="P60" s="1539" t="n"/>
      <c r="Q60" s="1540" t="n"/>
      <c r="R60" s="1539" t="n"/>
      <c r="S60" s="1540" t="n"/>
      <c r="T60" s="1539" t="n"/>
      <c r="U60" s="1540" t="n"/>
      <c r="V60" s="1539" t="n"/>
      <c r="W60" s="1540" t="n"/>
      <c r="X60" s="1539" t="n"/>
      <c r="Y60" s="1540" t="n"/>
      <c r="Z60" s="1539" t="n"/>
      <c r="AA60" s="1540" t="n"/>
      <c r="AB60" s="1539" t="n"/>
      <c r="AC60" s="1540" t="n"/>
      <c r="AD60" s="1539" t="n"/>
      <c r="AE60" s="1540" t="n"/>
      <c r="AF60" s="1539" t="n"/>
      <c r="AG60" s="1540" t="n"/>
      <c r="AH60" s="1539" t="n"/>
      <c r="AI60" s="1540" t="n"/>
      <c r="AJ60" s="1539" t="n"/>
      <c r="AK60" s="1540" t="n"/>
      <c r="AL60" s="1539" t="n"/>
      <c r="AM60" s="1620" t="n"/>
      <c r="AN60" s="1543" t="n"/>
      <c r="AO60" s="1540" t="n"/>
      <c r="AP60" s="5678" t="n"/>
      <c r="AQ60" s="1006">
        <f>CA60&amp;CB60&amp;CC60</f>
        <v/>
      </c>
      <c r="BU60" s="932" t="n"/>
      <c r="BV60" s="932" t="n"/>
      <c r="BW60" s="932" t="n"/>
      <c r="BX60" s="932" t="n"/>
      <c r="BY60" s="932" t="n"/>
      <c r="BZ60" s="932" t="n"/>
      <c r="CA60" s="5575">
        <f>IF(AND($C60&lt;&gt;0,AN60=""),"* No olvide ingresar la variable "&amp;AN$41&amp;""&amp;". Digite CERO si no tiene. ",IF(AN60&gt;$C60,"* La variable Pueblos Originarios no debe ser mayor al Total Ambos Sexos. ",""))</f>
        <v/>
      </c>
      <c r="CB60" s="5575">
        <f>IF(AND($C60&lt;&gt;0,AO60=""),"* No olvide ingresar la variable "&amp;AO$41&amp;""&amp;" (Digite CERO si no tiene). ",IF(AO60&gt;$C60,"* La variable Migrantes no debe ser mayor al Total Ambos Sexos. ",""))</f>
        <v/>
      </c>
      <c r="CC60" s="5653" t="n"/>
      <c r="CD60" s="932" t="n"/>
      <c r="CU60" s="5577">
        <f>IF(AND($C60&lt;&gt;0,AN60=""),1,IF(AN60&gt;$C60,1,0))</f>
        <v/>
      </c>
      <c r="CV60" s="5577">
        <f>IF(AND($C60&lt;&gt;0,AO60=""),1,IF(AO60&gt;$C60,1,0))</f>
        <v/>
      </c>
    </row>
    <row r="61" ht="15" customHeight="1" s="8286">
      <c r="A61" s="9588" t="n"/>
      <c r="B61" s="1646" t="inlineStr">
        <is>
          <t>Técnico en Enfermería</t>
        </is>
      </c>
      <c r="C61" s="5696">
        <f>SUM(D61:E61)</f>
        <v/>
      </c>
      <c r="D61" s="5697">
        <f>SUM(F61+H61+J61+L61+N61+P61+R61+T61+V61+X61+Z61+AB61+AD61+AF61+AH61+AJ61+AL61)</f>
        <v/>
      </c>
      <c r="E61" s="5698">
        <f>SUM(G61+I61+K61+M61+O61+Q61+S61+U61+W61+Y61+AA61+AC61+AE61+AG61+AI61+AK61+AM61)</f>
        <v/>
      </c>
      <c r="F61" s="1539" t="n"/>
      <c r="G61" s="1540" t="n"/>
      <c r="H61" s="1539" t="n"/>
      <c r="I61" s="1540" t="n"/>
      <c r="J61" s="1539" t="n"/>
      <c r="K61" s="1540" t="n"/>
      <c r="L61" s="1539" t="n"/>
      <c r="M61" s="1540" t="n"/>
      <c r="N61" s="1539" t="n"/>
      <c r="O61" s="1540" t="n"/>
      <c r="P61" s="1539" t="n"/>
      <c r="Q61" s="1540" t="n"/>
      <c r="R61" s="1539" t="n"/>
      <c r="S61" s="1540" t="n"/>
      <c r="T61" s="1539" t="n"/>
      <c r="U61" s="1540" t="n"/>
      <c r="V61" s="1539" t="n"/>
      <c r="W61" s="1540" t="n"/>
      <c r="X61" s="1539" t="n"/>
      <c r="Y61" s="1540" t="n"/>
      <c r="Z61" s="1539" t="n"/>
      <c r="AA61" s="1540" t="n"/>
      <c r="AB61" s="1539" t="n"/>
      <c r="AC61" s="1540" t="n"/>
      <c r="AD61" s="1539" t="n"/>
      <c r="AE61" s="1540" t="n"/>
      <c r="AF61" s="1539" t="n"/>
      <c r="AG61" s="1540" t="n"/>
      <c r="AH61" s="1539" t="n"/>
      <c r="AI61" s="1540" t="n"/>
      <c r="AJ61" s="1539" t="n"/>
      <c r="AK61" s="1540" t="n"/>
      <c r="AL61" s="1539" t="n"/>
      <c r="AM61" s="1620" t="n"/>
      <c r="AN61" s="1543" t="n"/>
      <c r="AO61" s="1540" t="n"/>
      <c r="AP61" s="5678" t="n"/>
      <c r="AQ61" s="1006">
        <f>CA61&amp;CB61&amp;CC61</f>
        <v/>
      </c>
      <c r="BU61" s="932" t="n"/>
      <c r="BV61" s="932" t="n"/>
      <c r="BW61" s="932" t="n"/>
      <c r="BX61" s="932" t="n"/>
      <c r="BY61" s="932" t="n"/>
      <c r="BZ61" s="932" t="n"/>
      <c r="CA61" s="5575">
        <f>IF(AND($C61&lt;&gt;0,AN61=""),"* No olvide ingresar la variable "&amp;AN$41&amp;""&amp;". Digite CERO si no tiene. ",IF(AN61&gt;$C61,"* La variable Pueblos Originarios no debe ser mayor al Total Ambos Sexos. ",""))</f>
        <v/>
      </c>
      <c r="CB61" s="5575">
        <f>IF(AND($C61&lt;&gt;0,AO61=""),"* No olvide ingresar la variable "&amp;AO$41&amp;""&amp;" (Digite CERO si no tiene). ",IF(AO61&gt;$C61,"* La variable Migrantes no debe ser mayor al Total Ambos Sexos. ",""))</f>
        <v/>
      </c>
      <c r="CC61" s="5653" t="n"/>
      <c r="CD61" s="932" t="n"/>
      <c r="CU61" s="5577">
        <f>IF(AND($C61&lt;&gt;0,AN61=""),1,IF(AN61&gt;$C61,1,0))</f>
        <v/>
      </c>
      <c r="CV61" s="5577">
        <f>IF(AND($C61&lt;&gt;0,AO61=""),1,IF(AO61&gt;$C61,1,0))</f>
        <v/>
      </c>
    </row>
    <row r="62" ht="24" customHeight="1" s="8286">
      <c r="A62" s="9589" t="n"/>
      <c r="B62" s="7497" t="inlineStr">
        <is>
          <t xml:space="preserve">Otros Profesionales debidamente capacitados </t>
        </is>
      </c>
      <c r="C62" s="5685">
        <f>SUM(D62:E62)</f>
        <v/>
      </c>
      <c r="D62" s="5686">
        <f>SUM(F62+H62+J62+L62+N62+P62+R62+T62+V62+X62+Z62+AB62+AD62+AF62+AH62+AJ62+AL62)</f>
        <v/>
      </c>
      <c r="E62" s="5699">
        <f>SUM(G62+I62+K62+M62+O62+Q62+S62+U62+W62+Y62+AA62+AC62+AE62+AG62+AI62+AK62+AM62)</f>
        <v/>
      </c>
      <c r="F62" s="1519" t="n"/>
      <c r="G62" s="1550" t="n"/>
      <c r="H62" s="1519" t="n"/>
      <c r="I62" s="1550" t="n"/>
      <c r="J62" s="1519" t="n"/>
      <c r="K62" s="1550" t="n"/>
      <c r="L62" s="1519" t="n"/>
      <c r="M62" s="1550" t="n"/>
      <c r="N62" s="1519" t="n"/>
      <c r="O62" s="1520" t="n"/>
      <c r="P62" s="1519" t="n"/>
      <c r="Q62" s="1520" t="n"/>
      <c r="R62" s="1519" t="n"/>
      <c r="S62" s="1550" t="n"/>
      <c r="T62" s="1519" t="n"/>
      <c r="U62" s="1550" t="n"/>
      <c r="V62" s="1519" t="n"/>
      <c r="W62" s="1550" t="n"/>
      <c r="X62" s="1519" t="n"/>
      <c r="Y62" s="1550" t="n"/>
      <c r="Z62" s="1519" t="n"/>
      <c r="AA62" s="1550" t="n"/>
      <c r="AB62" s="1519" t="n"/>
      <c r="AC62" s="1550" t="n"/>
      <c r="AD62" s="1519" t="n"/>
      <c r="AE62" s="1550" t="n"/>
      <c r="AF62" s="1519" t="n"/>
      <c r="AG62" s="1550" t="n"/>
      <c r="AH62" s="1519" t="n"/>
      <c r="AI62" s="1550" t="n"/>
      <c r="AJ62" s="1519" t="n"/>
      <c r="AK62" s="1550" t="n"/>
      <c r="AL62" s="1551" t="n"/>
      <c r="AM62" s="1626" t="n"/>
      <c r="AN62" s="1553" t="n"/>
      <c r="AO62" s="1550" t="n"/>
      <c r="AP62" s="5695" t="n"/>
      <c r="AQ62" s="1006">
        <f>CA62&amp;CB62&amp;CC62</f>
        <v/>
      </c>
      <c r="BU62" s="932" t="n"/>
      <c r="BV62" s="932" t="n"/>
      <c r="BW62" s="932" t="n"/>
      <c r="BX62" s="932" t="n"/>
      <c r="BY62" s="932" t="n"/>
      <c r="BZ62" s="932" t="n"/>
      <c r="CA62" s="5575">
        <f>IF(AND($C62&lt;&gt;0,AN62=""),"* No olvide ingresar la variable "&amp;AN$41&amp;""&amp;". Digite CERO si no tiene. ",IF(AN62&gt;$C62,"* La variable Pueblos Originarios no debe ser mayor al Total Ambos Sexos. ",""))</f>
        <v/>
      </c>
      <c r="CB62" s="5575">
        <f>IF(AND($C62&lt;&gt;0,AO62=""),"* No olvide ingresar la variable "&amp;AO$41&amp;""&amp;" (Digite CERO si no tiene). ",IF(AO62&gt;$C62,"* La variable Migrantes no debe ser mayor al Total Ambos Sexos. ",""))</f>
        <v/>
      </c>
      <c r="CC62" s="5653" t="n"/>
      <c r="CD62" s="932" t="n"/>
      <c r="CU62" s="5577">
        <f>IF(AND($C62&lt;&gt;0,AN62=""),1,IF(AN62&gt;$C62,1,0))</f>
        <v/>
      </c>
      <c r="CV62" s="5577">
        <f>IF(AND($C62&lt;&gt;0,AO62=""),1,IF(AO62&gt;$C62,1,0))</f>
        <v/>
      </c>
    </row>
    <row r="63" ht="15" customHeight="1" s="8286">
      <c r="A63" s="9612" t="inlineStr">
        <is>
          <t xml:space="preserve">Niños/as con necesidades especiales </t>
        </is>
      </c>
      <c r="B63" s="1721" t="inlineStr">
        <is>
          <t>Médico/a</t>
        </is>
      </c>
      <c r="C63" s="5700">
        <f>SUM(D63:E63)</f>
        <v/>
      </c>
      <c r="D63" s="5701">
        <f>SUM(F63+H63+J63+L63)</f>
        <v/>
      </c>
      <c r="E63" s="5702">
        <f>SUM(G63+I63+K63+M63)</f>
        <v/>
      </c>
      <c r="F63" s="1511" t="n">
        <v>0</v>
      </c>
      <c r="G63" s="5669" t="n">
        <v>0</v>
      </c>
      <c r="H63" s="1511" t="n">
        <v>0</v>
      </c>
      <c r="I63" s="5669" t="n">
        <v>0</v>
      </c>
      <c r="J63" s="1511" t="n"/>
      <c r="K63" s="5669" t="n"/>
      <c r="L63" s="1511" t="n"/>
      <c r="M63" s="5669" t="n"/>
      <c r="N63" s="1912" t="n"/>
      <c r="O63" s="5684" t="n"/>
      <c r="P63" s="1912" t="n"/>
      <c r="Q63" s="5684" t="n"/>
      <c r="R63" s="1912" t="n"/>
      <c r="S63" s="5668" t="n"/>
      <c r="T63" s="1912" t="n"/>
      <c r="U63" s="5668" t="n"/>
      <c r="V63" s="1912" t="n"/>
      <c r="W63" s="5668" t="n"/>
      <c r="X63" s="1912" t="n"/>
      <c r="Y63" s="5668" t="n"/>
      <c r="Z63" s="1912" t="n"/>
      <c r="AA63" s="5668" t="n"/>
      <c r="AB63" s="1912" t="n"/>
      <c r="AC63" s="5668" t="n"/>
      <c r="AD63" s="1912" t="n"/>
      <c r="AE63" s="5668" t="n"/>
      <c r="AF63" s="1912" t="n"/>
      <c r="AG63" s="5668" t="n"/>
      <c r="AH63" s="1912" t="n"/>
      <c r="AI63" s="5668" t="n"/>
      <c r="AJ63" s="1912" t="n"/>
      <c r="AK63" s="5668" t="n"/>
      <c r="AL63" s="5703" t="n"/>
      <c r="AM63" s="1658" t="n"/>
      <c r="AN63" s="5670" t="n">
        <v>0</v>
      </c>
      <c r="AO63" s="5669" t="n">
        <v>0</v>
      </c>
      <c r="AP63" s="5671" t="n"/>
      <c r="AQ63" s="1006">
        <f>CA63&amp;CB63&amp;CC63</f>
        <v/>
      </c>
      <c r="BU63" s="932" t="n"/>
      <c r="BV63" s="932" t="n"/>
      <c r="BW63" s="932" t="n"/>
      <c r="BX63" s="932" t="n"/>
      <c r="BY63" s="932" t="n"/>
      <c r="BZ63" s="932" t="n"/>
      <c r="CA63" s="5575">
        <f>IF(AND($C63&lt;&gt;0,AN63=""),"* No olvide ingresar la variable "&amp;AN$41&amp;""&amp;". Digite CERO si no tiene. ",IF(AN63&gt;$C63,"* La variable Pueblos Originarios no debe ser mayor al Total Ambos Sexos. ",""))</f>
        <v/>
      </c>
      <c r="CB63" s="5575">
        <f>IF(AND($C63&lt;&gt;0,AO63=""),"* No olvide ingresar la variable "&amp;AO$41&amp;""&amp;" (Digite CERO si no tiene). ",IF(AO63&gt;$C63,"* La variable Migrantes no debe ser mayor al Total Ambos Sexos. ",""))</f>
        <v/>
      </c>
      <c r="CC63" s="5653" t="n"/>
      <c r="CD63" s="932" t="n"/>
      <c r="CU63" s="5577">
        <f>IF(AND($C63&lt;&gt;0,AN63=""),1,IF(AN63&gt;$C63,1,0))</f>
        <v/>
      </c>
      <c r="CV63" s="5577">
        <f>IF(AND($C63&lt;&gt;0,AO63=""),1,IF(AO63&gt;$C63,1,0))</f>
        <v/>
      </c>
    </row>
    <row r="64" ht="15" customHeight="1" s="8286">
      <c r="A64" s="9588" t="n"/>
      <c r="B64" s="1646" t="inlineStr">
        <is>
          <t>Enfermera/o</t>
        </is>
      </c>
      <c r="C64" s="5673">
        <f>SUM(D64:E64)</f>
        <v/>
      </c>
      <c r="D64" s="5674">
        <f>SUM(F64+H64+J64+L64)</f>
        <v/>
      </c>
      <c r="E64" s="5675">
        <f>SUM(G64+I64+K64+M64)</f>
        <v/>
      </c>
      <c r="F64" s="1539" t="n">
        <v>0</v>
      </c>
      <c r="G64" s="1540" t="n">
        <v>0</v>
      </c>
      <c r="H64" s="1539" t="n">
        <v>0</v>
      </c>
      <c r="I64" s="1540" t="n">
        <v>0</v>
      </c>
      <c r="J64" s="1539" t="n"/>
      <c r="K64" s="1540" t="n"/>
      <c r="L64" s="1539" t="n"/>
      <c r="M64" s="1540" t="n"/>
      <c r="N64" s="5676" t="n"/>
      <c r="O64" s="5652" t="n"/>
      <c r="P64" s="5676" t="n"/>
      <c r="Q64" s="5652" t="n"/>
      <c r="R64" s="5676" t="n"/>
      <c r="S64" s="5677" t="n"/>
      <c r="T64" s="5676" t="n"/>
      <c r="U64" s="5677" t="n"/>
      <c r="V64" s="5676" t="n"/>
      <c r="W64" s="5677" t="n"/>
      <c r="X64" s="5676" t="n"/>
      <c r="Y64" s="5677" t="n"/>
      <c r="Z64" s="5676" t="n"/>
      <c r="AA64" s="5677" t="n"/>
      <c r="AB64" s="5676" t="n"/>
      <c r="AC64" s="5677" t="n"/>
      <c r="AD64" s="5676" t="n"/>
      <c r="AE64" s="5677" t="n"/>
      <c r="AF64" s="5676" t="n"/>
      <c r="AG64" s="5677" t="n"/>
      <c r="AH64" s="5676" t="n"/>
      <c r="AI64" s="5677" t="n"/>
      <c r="AJ64" s="5676" t="n"/>
      <c r="AK64" s="5677" t="n"/>
      <c r="AL64" s="5704" t="n"/>
      <c r="AM64" s="1618" t="n"/>
      <c r="AN64" s="1543" t="n">
        <v>0</v>
      </c>
      <c r="AO64" s="1540" t="n">
        <v>0</v>
      </c>
      <c r="AP64" s="5678" t="n"/>
      <c r="AQ64" s="1006">
        <f>CA64&amp;CB64&amp;CC64</f>
        <v/>
      </c>
      <c r="BU64" s="932" t="n"/>
      <c r="BV64" s="932" t="n"/>
      <c r="BW64" s="932" t="n"/>
      <c r="BX64" s="932" t="n"/>
      <c r="BY64" s="932" t="n"/>
      <c r="BZ64" s="932" t="n"/>
      <c r="CA64" s="5575">
        <f>IF(AND($C64&lt;&gt;0,AN64=""),"* No olvide ingresar la variable "&amp;AN$41&amp;""&amp;". Digite CERO si no tiene. ",IF(AN64&gt;$C64,"* La variable Pueblos Originarios no debe ser mayor al Total Ambos Sexos. ",""))</f>
        <v/>
      </c>
      <c r="CB64" s="5575">
        <f>IF(AND($C64&lt;&gt;0,AO64=""),"* No olvide ingresar la variable "&amp;AO$41&amp;""&amp;" (Digite CERO si no tiene). ",IF(AO64&gt;$C64,"* La variable Migrantes no debe ser mayor al Total Ambos Sexos. ",""))</f>
        <v/>
      </c>
      <c r="CC64" s="5653" t="n"/>
      <c r="CD64" s="932" t="n"/>
      <c r="CU64" s="5577">
        <f>IF(AND($C64&lt;&gt;0,AN64=""),1,IF(AN64&gt;$C64,1,0))</f>
        <v/>
      </c>
      <c r="CV64" s="5577">
        <f>IF(AND($C64&lt;&gt;0,AO64=""),1,IF(AO64&gt;$C64,1,0))</f>
        <v/>
      </c>
    </row>
    <row r="65" ht="15" customHeight="1" s="8286">
      <c r="A65" s="9588" t="n"/>
      <c r="B65" s="1646" t="inlineStr">
        <is>
          <t>Matrona/ón</t>
        </is>
      </c>
      <c r="C65" s="5673">
        <f>SUM(D65:E65)</f>
        <v/>
      </c>
      <c r="D65" s="5674">
        <f>SUM(F65+H65+J65+L65)</f>
        <v/>
      </c>
      <c r="E65" s="5675">
        <f>SUM(G65+I65+K65+M65)</f>
        <v/>
      </c>
      <c r="F65" s="1539" t="n">
        <v>0</v>
      </c>
      <c r="G65" s="1540" t="n">
        <v>0</v>
      </c>
      <c r="H65" s="1539" t="n">
        <v>0</v>
      </c>
      <c r="I65" s="1540" t="n">
        <v>0</v>
      </c>
      <c r="J65" s="1539" t="n"/>
      <c r="K65" s="1540" t="n"/>
      <c r="L65" s="1539" t="n"/>
      <c r="M65" s="1540" t="n"/>
      <c r="N65" s="5676" t="n"/>
      <c r="O65" s="5652" t="n"/>
      <c r="P65" s="5676" t="n"/>
      <c r="Q65" s="5652" t="n"/>
      <c r="R65" s="5676" t="n"/>
      <c r="S65" s="5677" t="n"/>
      <c r="T65" s="5676" t="n"/>
      <c r="U65" s="5677" t="n"/>
      <c r="V65" s="5676" t="n"/>
      <c r="W65" s="5677" t="n"/>
      <c r="X65" s="5676" t="n"/>
      <c r="Y65" s="5677" t="n"/>
      <c r="Z65" s="5676" t="n"/>
      <c r="AA65" s="5677" t="n"/>
      <c r="AB65" s="5676" t="n"/>
      <c r="AC65" s="5677" t="n"/>
      <c r="AD65" s="5676" t="n"/>
      <c r="AE65" s="5677" t="n"/>
      <c r="AF65" s="5676" t="n"/>
      <c r="AG65" s="5677" t="n"/>
      <c r="AH65" s="5676" t="n"/>
      <c r="AI65" s="5677" t="n"/>
      <c r="AJ65" s="5676" t="n"/>
      <c r="AK65" s="5677" t="n"/>
      <c r="AL65" s="5704" t="n"/>
      <c r="AM65" s="1618" t="n"/>
      <c r="AN65" s="1543" t="n">
        <v>0</v>
      </c>
      <c r="AO65" s="1540" t="n">
        <v>0</v>
      </c>
      <c r="AP65" s="5678" t="n"/>
      <c r="AQ65" s="1006">
        <f>CA65&amp;CB65&amp;CC65</f>
        <v/>
      </c>
      <c r="BU65" s="932" t="n"/>
      <c r="BV65" s="932" t="n"/>
      <c r="BW65" s="932" t="n"/>
      <c r="BX65" s="932" t="n"/>
      <c r="BY65" s="932" t="n"/>
      <c r="BZ65" s="932" t="n"/>
      <c r="CA65" s="5575">
        <f>IF(AND($C65&lt;&gt;0,AN65=""),"* No olvide ingresar la variable "&amp;AN$41&amp;""&amp;". Digite CERO si no tiene. ",IF(AN65&gt;$C65,"* La variable Pueblos Originarios no debe ser mayor al Total Ambos Sexos. ",""))</f>
        <v/>
      </c>
      <c r="CB65" s="5575">
        <f>IF(AND($C65&lt;&gt;0,AO65=""),"* No olvide ingresar la variable "&amp;AO$41&amp;""&amp;" (Digite CERO si no tiene). ",IF(AO65&gt;$C65,"* La variable Migrantes no debe ser mayor al Total Ambos Sexos. ",""))</f>
        <v/>
      </c>
      <c r="CC65" s="5653" t="n"/>
      <c r="CD65" s="932" t="n"/>
      <c r="CU65" s="5577">
        <f>IF(AND($C65&lt;&gt;0,AN65=""),1,IF(AN65&gt;$C65,1,0))</f>
        <v/>
      </c>
      <c r="CV65" s="5577">
        <f>IF(AND($C65&lt;&gt;0,AO65=""),1,IF(AO65&gt;$C65,1,0))</f>
        <v/>
      </c>
    </row>
    <row r="66" ht="15" customHeight="1" s="8286">
      <c r="A66" s="9589" t="n"/>
      <c r="B66" s="1648" t="inlineStr">
        <is>
          <t>Nutricionista</t>
        </is>
      </c>
      <c r="C66" s="5680">
        <f>SUM(D66:E66)</f>
        <v/>
      </c>
      <c r="D66" s="5681">
        <f>SUM(F66+H66+J66+L66)</f>
        <v/>
      </c>
      <c r="E66" s="5682">
        <f>SUM(G66+I66+K66+M66)</f>
        <v/>
      </c>
      <c r="F66" s="1519" t="n">
        <v>0</v>
      </c>
      <c r="G66" s="1550" t="n">
        <v>0</v>
      </c>
      <c r="H66" s="1519" t="n">
        <v>0</v>
      </c>
      <c r="I66" s="1550" t="n">
        <v>0</v>
      </c>
      <c r="J66" s="1519" t="n"/>
      <c r="K66" s="1550" t="n"/>
      <c r="L66" s="1519" t="n"/>
      <c r="M66" s="1550" t="n"/>
      <c r="N66" s="1622" t="n"/>
      <c r="O66" s="5693" t="n"/>
      <c r="P66" s="1622" t="n"/>
      <c r="Q66" s="5693" t="n"/>
      <c r="R66" s="1622" t="n"/>
      <c r="S66" s="5694" t="n"/>
      <c r="T66" s="1622" t="n"/>
      <c r="U66" s="5694" t="n"/>
      <c r="V66" s="1622" t="n"/>
      <c r="W66" s="5694" t="n"/>
      <c r="X66" s="1622" t="n"/>
      <c r="Y66" s="5694" t="n"/>
      <c r="Z66" s="1622" t="n"/>
      <c r="AA66" s="5694" t="n"/>
      <c r="AB66" s="1622" t="n"/>
      <c r="AC66" s="5694" t="n"/>
      <c r="AD66" s="1622" t="n"/>
      <c r="AE66" s="5694" t="n"/>
      <c r="AF66" s="1622" t="n"/>
      <c r="AG66" s="5694" t="n"/>
      <c r="AH66" s="1622" t="n"/>
      <c r="AI66" s="5694" t="n"/>
      <c r="AJ66" s="1622" t="n"/>
      <c r="AK66" s="5694" t="n"/>
      <c r="AL66" s="5705" t="n"/>
      <c r="AM66" s="1660" t="n"/>
      <c r="AN66" s="1553" t="n">
        <v>0</v>
      </c>
      <c r="AO66" s="1550" t="n">
        <v>0</v>
      </c>
      <c r="AP66" s="5695" t="n"/>
      <c r="AQ66" s="1006">
        <f>CA66&amp;CB66&amp;CC66</f>
        <v/>
      </c>
      <c r="BU66" s="932" t="n"/>
      <c r="BV66" s="932" t="n"/>
      <c r="BW66" s="932" t="n"/>
      <c r="BX66" s="932" t="n"/>
      <c r="BY66" s="932" t="n"/>
      <c r="BZ66" s="932" t="n"/>
      <c r="CA66" s="5575">
        <f>IF(AND($C66&lt;&gt;0,AN66=""),"* No olvide ingresar la variable "&amp;AN$41&amp;""&amp;". Digite CERO si no tiene. ",IF(AN66&gt;$C66,"* La variable Pueblos Originarios no debe ser mayor al Total Ambos Sexos. ",""))</f>
        <v/>
      </c>
      <c r="CB66" s="5575">
        <f>IF(AND($C66&lt;&gt;0,AO66=""),"* No olvide ingresar la variable "&amp;AO$41&amp;""&amp;" (Digite CERO si no tiene). ",IF(AO66&gt;$C66,"* La variable Migrantes no debe ser mayor al Total Ambos Sexos. ",""))</f>
        <v/>
      </c>
      <c r="CC66" s="5653" t="n"/>
      <c r="CD66" s="932" t="n"/>
      <c r="CU66" s="5577">
        <f>IF(AND($C66&lt;&gt;0,AN66=""),1,IF(AN66&gt;$C66,1,0))</f>
        <v/>
      </c>
      <c r="CV66" s="5577">
        <f>IF(AND($C66&lt;&gt;0,AO66=""),1,IF(AO66&gt;$C66,1,0))</f>
        <v/>
      </c>
    </row>
    <row r="67" ht="18" customHeight="1" s="8286">
      <c r="A67" s="7159" t="inlineStr">
        <is>
          <t>SECCIÓN D: CONTROL DE SALUD INTEGRAL DE ADOLESCENTES (incluidos en sección B)</t>
        </is>
      </c>
      <c r="B67" s="9628" t="n"/>
      <c r="C67" s="9628" t="n"/>
      <c r="D67" s="9628" t="n"/>
      <c r="E67" s="9628" t="n"/>
      <c r="F67" s="9628" t="n"/>
      <c r="G67" s="9628" t="n"/>
      <c r="H67" s="9628" t="n"/>
      <c r="I67" s="9628" t="n"/>
      <c r="J67" s="9628" t="n"/>
      <c r="K67" s="9628" t="n"/>
      <c r="L67" s="9628" t="n"/>
      <c r="M67" s="5553" t="n"/>
      <c r="N67" s="5553" t="n"/>
    </row>
    <row r="68" ht="19.9" customHeight="1" s="8286">
      <c r="A68" s="9629" t="inlineStr">
        <is>
          <t>LUGAR DEL CONTROL, SEGÚN EDAD</t>
        </is>
      </c>
      <c r="B68" s="9630" t="n"/>
      <c r="C68" s="9631" t="inlineStr">
        <is>
          <t>10 - 14 años</t>
        </is>
      </c>
      <c r="D68" s="9617" t="n"/>
      <c r="E68" s="9632" t="n"/>
      <c r="F68" s="9633" t="inlineStr">
        <is>
          <t>15 - 19 años</t>
        </is>
      </c>
      <c r="G68" s="9628" t="n"/>
      <c r="H68" s="9634" t="n"/>
      <c r="I68" s="9635" t="inlineStr">
        <is>
          <t>Pueblos Originarios</t>
        </is>
      </c>
      <c r="J68" s="9593" t="inlineStr">
        <is>
          <t>Migrantes</t>
        </is>
      </c>
      <c r="K68" s="9636" t="inlineStr">
        <is>
          <t xml:space="preserve">SENAME/ Servicio Nacional de Reinserción social Juvenil </t>
        </is>
      </c>
      <c r="L68" s="9637" t="inlineStr">
        <is>
          <t>Servicio Nacional Protección Especializada a la Niñez y Adolescencia</t>
        </is>
      </c>
    </row>
    <row r="69" ht="33.75" customHeight="1" s="8286">
      <c r="A69" s="9638" t="n"/>
      <c r="B69" s="9639" t="n"/>
      <c r="C69" s="5708" t="inlineStr">
        <is>
          <t>Ambos Sexos</t>
        </is>
      </c>
      <c r="D69" s="5709" t="inlineStr">
        <is>
          <t>Hombres</t>
        </is>
      </c>
      <c r="E69" s="7177" t="inlineStr">
        <is>
          <t>Mujeres</t>
        </is>
      </c>
      <c r="F69" s="7196" t="inlineStr">
        <is>
          <t>Ambos Sexos</t>
        </is>
      </c>
      <c r="G69" s="7398" t="inlineStr">
        <is>
          <t>Hombres</t>
        </is>
      </c>
      <c r="H69" s="7439" t="inlineStr">
        <is>
          <t>Mujeres</t>
        </is>
      </c>
      <c r="I69" s="9640" t="n"/>
      <c r="J69" s="9589" t="n"/>
      <c r="K69" s="9589" t="n"/>
      <c r="L69" s="9641" t="n"/>
    </row>
    <row r="70" ht="15" customHeight="1" s="8286">
      <c r="A70" s="9642" t="inlineStr">
        <is>
          <t>En Espacio Amigable</t>
        </is>
      </c>
      <c r="B70" s="9643" t="n"/>
      <c r="C70" s="1721">
        <f>SUM(D70:E70)</f>
        <v/>
      </c>
      <c r="D70" s="1615" t="n">
        <v>0</v>
      </c>
      <c r="E70" s="1544" t="n">
        <v>0</v>
      </c>
      <c r="F70" s="1583">
        <f>SUM(G70:H70)</f>
        <v/>
      </c>
      <c r="G70" s="1635" t="n">
        <v>0</v>
      </c>
      <c r="H70" s="1620" t="n">
        <v>0</v>
      </c>
      <c r="I70" s="5710" t="n">
        <v>0</v>
      </c>
      <c r="J70" s="5711" t="n">
        <v>0</v>
      </c>
      <c r="K70" s="1544" t="n">
        <v>0</v>
      </c>
      <c r="L70" s="1647" t="n">
        <v>0</v>
      </c>
      <c r="M70" s="1006">
        <f>$CA70&amp;CB70&amp;CC70&amp;CD70</f>
        <v/>
      </c>
      <c r="AR70" s="932" t="n"/>
      <c r="AS70" s="932" t="n"/>
      <c r="AT70" s="932" t="n"/>
      <c r="AU70" s="932" t="n"/>
      <c r="AV70" s="932" t="n"/>
      <c r="AW70" s="932" t="n"/>
      <c r="AX70" s="932" t="n"/>
      <c r="AY70" s="932" t="n"/>
      <c r="AZ70" s="932" t="n"/>
      <c r="BA70" s="932" t="n"/>
      <c r="BB70" s="932" t="n"/>
      <c r="BC70" s="932" t="n"/>
      <c r="BD70" s="932" t="n"/>
      <c r="BE70" s="932" t="n"/>
      <c r="BF70" s="932" t="n"/>
      <c r="BG70" s="932" t="n"/>
      <c r="BH70" s="932" t="n"/>
      <c r="BI70" s="932" t="n"/>
      <c r="BJ70" s="932" t="n"/>
      <c r="BK70" s="932" t="n"/>
      <c r="BL70" s="932" t="n"/>
      <c r="BM70" s="932" t="n"/>
      <c r="BN70" s="932" t="n"/>
      <c r="BO70" s="932" t="n"/>
      <c r="BP70" s="932" t="n"/>
      <c r="BQ70" s="932" t="n"/>
      <c r="BR70" s="932" t="n"/>
      <c r="BS70" s="932" t="n"/>
      <c r="BT70" s="932" t="n"/>
      <c r="BU70" s="932" t="n"/>
      <c r="BV70" s="932" t="n"/>
      <c r="BW70" s="932" t="n"/>
      <c r="BX70" s="932" t="n"/>
      <c r="BY70" s="932" t="n"/>
      <c r="BZ70" s="932" t="n"/>
      <c r="CA70" s="5575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 t="n"/>
      <c r="CF70" s="5647" t="n"/>
      <c r="CI70" s="5647" t="n"/>
      <c r="CU70" s="5577">
        <f>IF(AND(($C70+F70)&lt;&gt;0,$I70=""),1,IF(I70&gt;($C70+$F70),1,0))</f>
        <v/>
      </c>
      <c r="CV70" s="5577">
        <f>IF(AND(($C70+F70)&lt;&gt;0,$J70=""),1,IF(J70&gt;($C70+$F70),1,0))</f>
        <v/>
      </c>
      <c r="CW70" s="5577">
        <f>IF(AND(($C70+F70)&lt;&gt;0,$K70=""),1,IF(K70&gt;($C70+$F70),1,0))</f>
        <v/>
      </c>
      <c r="CX70" s="5577">
        <f>IF(AND(($C70+F70)&lt;&gt;0,$L70=""),1,IF(L70&gt;($C70+$F70),1,0))</f>
        <v/>
      </c>
    </row>
    <row r="71" ht="15" customHeight="1" s="8286">
      <c r="A71" s="6925" t="inlineStr">
        <is>
          <t xml:space="preserve">En otros espacios del Establecimiento de Salud </t>
        </is>
      </c>
      <c r="B71" s="9644" t="n"/>
      <c r="C71" s="1646">
        <f>SUM(D71:E71)</f>
        <v/>
      </c>
      <c r="D71" s="1615" t="n">
        <v>14</v>
      </c>
      <c r="E71" s="1544" t="n">
        <v>16</v>
      </c>
      <c r="F71" s="1586">
        <f>SUM(G71:H71)</f>
        <v/>
      </c>
      <c r="G71" s="1615" t="n">
        <v>10</v>
      </c>
      <c r="H71" s="1620" t="n">
        <v>17</v>
      </c>
      <c r="I71" s="5710" t="n">
        <v>2</v>
      </c>
      <c r="J71" s="5711" t="n">
        <v>4</v>
      </c>
      <c r="K71" s="1544" t="n">
        <v>0</v>
      </c>
      <c r="L71" s="1647" t="n">
        <v>0</v>
      </c>
      <c r="M71" s="1006">
        <f>$CA71&amp;CB71&amp;CC71&amp;CD71</f>
        <v/>
      </c>
      <c r="AR71" s="932" t="n"/>
      <c r="AS71" s="932" t="n"/>
      <c r="AT71" s="932" t="n"/>
      <c r="AU71" s="932" t="n"/>
      <c r="AV71" s="932" t="n"/>
      <c r="AW71" s="932" t="n"/>
      <c r="AX71" s="932" t="n"/>
      <c r="AY71" s="932" t="n"/>
      <c r="AZ71" s="932" t="n"/>
      <c r="BA71" s="932" t="n"/>
      <c r="BB71" s="932" t="n"/>
      <c r="BC71" s="932" t="n"/>
      <c r="BD71" s="932" t="n"/>
      <c r="BE71" s="932" t="n"/>
      <c r="BF71" s="932" t="n"/>
      <c r="BG71" s="932" t="n"/>
      <c r="BH71" s="932" t="n"/>
      <c r="BI71" s="932" t="n"/>
      <c r="BJ71" s="932" t="n"/>
      <c r="BK71" s="932" t="n"/>
      <c r="BL71" s="932" t="n"/>
      <c r="BM71" s="932" t="n"/>
      <c r="BN71" s="932" t="n"/>
      <c r="BO71" s="932" t="n"/>
      <c r="BP71" s="932" t="n"/>
      <c r="BQ71" s="932" t="n"/>
      <c r="BR71" s="932" t="n"/>
      <c r="BS71" s="932" t="n"/>
      <c r="BT71" s="932" t="n"/>
      <c r="BU71" s="932" t="n"/>
      <c r="BV71" s="932" t="n"/>
      <c r="BW71" s="932" t="n"/>
      <c r="BX71" s="932" t="n"/>
      <c r="BY71" s="932" t="n"/>
      <c r="BZ71" s="932" t="n"/>
      <c r="CA71" s="5575">
        <f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>
        <f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 t="n"/>
      <c r="CF71" s="5647" t="n"/>
      <c r="CI71" s="5647" t="n"/>
      <c r="CU71" s="5577">
        <f>IF(AND(($C71+F71)&lt;&gt;0,$I71=""),1,IF(I71&gt;($C71+$F71),1,0))</f>
        <v/>
      </c>
      <c r="CV71" s="5577">
        <f>IF(AND(($C71+F71)&lt;&gt;0,$J71=""),1,IF(J71&gt;($C71+$F71),1,0))</f>
        <v/>
      </c>
      <c r="CW71" s="5577">
        <f>IF(AND(($C71+F71)&lt;&gt;0,$K71=""),1,IF(K71&gt;($C71+$F71),1,0))</f>
        <v/>
      </c>
      <c r="CX71" s="5577">
        <f>IF(AND(($C71+F71)&lt;&gt;0,$L71=""),1,IF(L71&gt;($C71+$F71),1,0))</f>
        <v/>
      </c>
    </row>
    <row r="72" ht="15" customHeight="1" s="8286">
      <c r="A72" s="6925" t="inlineStr">
        <is>
          <t xml:space="preserve">En Establecimientos Educacionales </t>
        </is>
      </c>
      <c r="B72" s="9644" t="n"/>
      <c r="C72" s="1646">
        <f>SUM(D72:E72)</f>
        <v/>
      </c>
      <c r="D72" s="1615" t="n">
        <v>0</v>
      </c>
      <c r="E72" s="1544" t="n">
        <v>1</v>
      </c>
      <c r="F72" s="1586">
        <f>SUM(G72:H72)</f>
        <v/>
      </c>
      <c r="G72" s="1615" t="n">
        <v>6</v>
      </c>
      <c r="H72" s="1620" t="n">
        <v>5</v>
      </c>
      <c r="I72" s="5710" t="n">
        <v>0</v>
      </c>
      <c r="J72" s="5711" t="n">
        <v>0</v>
      </c>
      <c r="K72" s="1544" t="n">
        <v>0</v>
      </c>
      <c r="L72" s="1647" t="n">
        <v>0</v>
      </c>
      <c r="M72" s="1006">
        <f>$CA72&amp;CB72&amp;CC72&amp;CD72</f>
        <v/>
      </c>
      <c r="AR72" s="932" t="n"/>
      <c r="AS72" s="932" t="n"/>
      <c r="AT72" s="932" t="n"/>
      <c r="AU72" s="932" t="n"/>
      <c r="AV72" s="932" t="n"/>
      <c r="AW72" s="932" t="n"/>
      <c r="AX72" s="932" t="n"/>
      <c r="AY72" s="932" t="n"/>
      <c r="AZ72" s="932" t="n"/>
      <c r="BA72" s="932" t="n"/>
      <c r="BB72" s="932" t="n"/>
      <c r="BC72" s="932" t="n"/>
      <c r="BD72" s="932" t="n"/>
      <c r="BE72" s="932" t="n"/>
      <c r="BF72" s="932" t="n"/>
      <c r="BG72" s="932" t="n"/>
      <c r="BH72" s="932" t="n"/>
      <c r="BI72" s="932" t="n"/>
      <c r="BJ72" s="932" t="n"/>
      <c r="BK72" s="932" t="n"/>
      <c r="BL72" s="932" t="n"/>
      <c r="BM72" s="932" t="n"/>
      <c r="BN72" s="932" t="n"/>
      <c r="BO72" s="932" t="n"/>
      <c r="BP72" s="932" t="n"/>
      <c r="BQ72" s="932" t="n"/>
      <c r="BR72" s="932" t="n"/>
      <c r="BS72" s="932" t="n"/>
      <c r="BT72" s="932" t="n"/>
      <c r="BU72" s="932" t="n"/>
      <c r="BV72" s="932" t="n"/>
      <c r="BW72" s="932" t="n"/>
      <c r="BX72" s="932" t="n"/>
      <c r="BY72" s="932" t="n"/>
      <c r="BZ72" s="932" t="n"/>
      <c r="CA72" s="5575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>
        <f>IF(AND(($C72+F72)&lt;&gt;0,$J72=""),"* No olvide ingresar la variable "&amp;$J$68&amp;""&amp;". Digite CERO si no tiene. ",IF(J72&gt;($C72+$F72),"* La variable Migrantes no debe ser mayor a la suma de los grupos etarios de Ambos Sexos. ",""))</f>
        <v/>
      </c>
      <c r="CC72" s="5575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 t="n"/>
      <c r="CF72" s="5647" t="n"/>
      <c r="CI72" s="5647" t="n"/>
      <c r="CU72" s="5577">
        <f>IF(AND(($C72+F72)&lt;&gt;0,$I72=""),1,IF(I72&gt;($C72+$F72),1,0))</f>
        <v/>
      </c>
      <c r="CV72" s="5577">
        <f>IF(AND(($C72+F72)&lt;&gt;0,$J72=""),1,IF(J72&gt;($C72+$F72),1,0))</f>
        <v/>
      </c>
      <c r="CW72" s="5577">
        <f>IF(AND(($C72+F72)&lt;&gt;0,$K72=""),1,IF(K72&gt;($C72+$F72),1,0))</f>
        <v/>
      </c>
      <c r="CX72" s="5577">
        <f>IF(AND(($C72+F72)&lt;&gt;0,$L72=""),1,IF(L72&gt;($C72+$F72),1,0))</f>
        <v/>
      </c>
    </row>
    <row r="73" ht="15" customHeight="1" s="8286">
      <c r="A73" s="9645" t="inlineStr">
        <is>
          <t xml:space="preserve">En otros lugares fuera del Establecimiento de Salud </t>
        </is>
      </c>
      <c r="B73" s="9646" t="n"/>
      <c r="C73" s="1737">
        <f>SUM(D73:E73)</f>
        <v/>
      </c>
      <c r="D73" s="1615" t="n">
        <v>1</v>
      </c>
      <c r="E73" s="1544" t="n">
        <v>3</v>
      </c>
      <c r="F73" s="1672">
        <f>SUM(G73:H73)</f>
        <v/>
      </c>
      <c r="G73" s="1615" t="n">
        <v>3</v>
      </c>
      <c r="H73" s="1620" t="n">
        <v>0</v>
      </c>
      <c r="I73" s="5710" t="n">
        <v>0</v>
      </c>
      <c r="J73" s="5711" t="n">
        <v>0</v>
      </c>
      <c r="K73" s="1544" t="n">
        <v>0</v>
      </c>
      <c r="L73" s="1647" t="n">
        <v>7</v>
      </c>
      <c r="M73" s="1006">
        <f>$CA73&amp;CB73&amp;CC73&amp;CD73</f>
        <v/>
      </c>
      <c r="AR73" s="932" t="n"/>
      <c r="AS73" s="932" t="n"/>
      <c r="AT73" s="932" t="n"/>
      <c r="AU73" s="932" t="n"/>
      <c r="AV73" s="932" t="n"/>
      <c r="AW73" s="932" t="n"/>
      <c r="AX73" s="932" t="n"/>
      <c r="AY73" s="932" t="n"/>
      <c r="AZ73" s="932" t="n"/>
      <c r="BA73" s="932" t="n"/>
      <c r="BB73" s="932" t="n"/>
      <c r="BC73" s="932" t="n"/>
      <c r="BD73" s="932" t="n"/>
      <c r="BE73" s="932" t="n"/>
      <c r="BF73" s="932" t="n"/>
      <c r="BG73" s="932" t="n"/>
      <c r="BH73" s="932" t="n"/>
      <c r="BI73" s="932" t="n"/>
      <c r="BJ73" s="932" t="n"/>
      <c r="BK73" s="932" t="n"/>
      <c r="BL73" s="932" t="n"/>
      <c r="BM73" s="932" t="n"/>
      <c r="BN73" s="932" t="n"/>
      <c r="BO73" s="932" t="n"/>
      <c r="BP73" s="932" t="n"/>
      <c r="BQ73" s="932" t="n"/>
      <c r="BR73" s="932" t="n"/>
      <c r="BS73" s="932" t="n"/>
      <c r="BT73" s="932" t="n"/>
      <c r="BU73" s="932" t="n"/>
      <c r="BV73" s="932" t="n"/>
      <c r="BW73" s="932" t="n"/>
      <c r="BX73" s="932" t="n"/>
      <c r="BY73" s="932" t="n"/>
      <c r="BZ73" s="932" t="n"/>
      <c r="CA73" s="5575">
        <f>IF(AND(($C73+F73)&lt;&gt;0,$I73=""),"* No olvide ingresar la variable "&amp;$I$68&amp;""&amp;". Digite CERO si no tiene. ",IF(I73&gt;($C73+$F73),"* La variable de Pueblos Originarios no debe ser mayor a la suma de los grupos etarios de Ambos Sexos. ",""))</f>
        <v/>
      </c>
      <c r="CB73" s="5575">
        <f>IF(AND(($C73+F73)&lt;&gt;0,$J73=""),"* No olvide ingresar la variable "&amp;$J$68&amp;""&amp;". Digite CERO si no tiene. ",IF(J73&gt;($C73+$F73),"* La variable Migrantes no debe ser mayor a la suma de los grupos etarios de Ambos Sexos. ",""))</f>
        <v/>
      </c>
      <c r="CC73" s="5575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 t="n"/>
      <c r="CF73" s="5647" t="n"/>
      <c r="CI73" s="5647" t="n"/>
      <c r="CU73" s="5577">
        <f>IF(AND(($C73+F73)&lt;&gt;0,$I73=""),1,IF(I73&gt;($C73+$F73),1,0))</f>
        <v/>
      </c>
      <c r="CV73" s="5577">
        <f>IF(AND(($C73+F73)&lt;&gt;0,$J73=""),1,IF(J73&gt;($C73+$F73),1,0))</f>
        <v/>
      </c>
      <c r="CW73" s="5577">
        <f>IF(AND(($C73+F73)&lt;&gt;0,$K73=""),1,IF(K73&gt;($C73+$F73),1,0))</f>
        <v/>
      </c>
      <c r="CX73" s="5577">
        <f>IF(AND(($C73+F73)&lt;&gt;0,$L73=""),1,IF(L73&gt;($C73+$F73),1,0))</f>
        <v/>
      </c>
    </row>
    <row r="74" ht="15" customHeight="1" s="8286">
      <c r="A74" s="9619" t="inlineStr">
        <is>
          <t>TOTAL</t>
        </is>
      </c>
      <c r="B74" s="9582" t="n"/>
      <c r="C74" s="1643">
        <f>SUM(C70:C73)</f>
        <v/>
      </c>
      <c r="D74" s="1662">
        <f>SUM(D70:D73)</f>
        <v/>
      </c>
      <c r="E74" s="1596">
        <f>SUM(E70:E73)</f>
        <v/>
      </c>
      <c r="F74" s="1596">
        <f>SUM(F70:F73)</f>
        <v/>
      </c>
      <c r="G74" s="1662">
        <f>SUM(G70:G73)</f>
        <v/>
      </c>
      <c r="H74" s="5712">
        <f>SUM(H70:H73)</f>
        <v/>
      </c>
      <c r="I74" s="5713">
        <f>SUM(I70:I73)</f>
        <v/>
      </c>
      <c r="J74" s="1643">
        <f>SUM(J70:J73)</f>
        <v/>
      </c>
      <c r="K74" s="1596">
        <f>SUM(K70:K73)</f>
        <v/>
      </c>
      <c r="L74" s="1643">
        <f>SUM(L70:L73)</f>
        <v/>
      </c>
    </row>
    <row r="75" ht="18" customHeight="1" s="8286">
      <c r="A75" s="9590" t="inlineStr">
        <is>
          <t>SECCIÓN E: CONTROLES INDIVIDUALES DE SALUD EN ESTABLECIMIENTOS EDUCACIONALES</t>
        </is>
      </c>
      <c r="B75" s="9591" t="n"/>
      <c r="C75" s="9591" t="n"/>
      <c r="D75" s="9591" t="n"/>
      <c r="E75" s="9591" t="n"/>
      <c r="F75" s="9591" t="n"/>
      <c r="G75" s="9591" t="n"/>
      <c r="H75" s="9591" t="n"/>
      <c r="I75" s="9591" t="n"/>
      <c r="J75" s="9591" t="n"/>
      <c r="K75" s="9591" t="n"/>
      <c r="L75" s="9591" t="n"/>
      <c r="M75" s="9591" t="n"/>
    </row>
    <row r="76" ht="18" customHeight="1" s="8286">
      <c r="A76" s="9624" t="inlineStr">
        <is>
          <t>CURSO</t>
        </is>
      </c>
      <c r="B76" s="9624" t="inlineStr">
        <is>
          <t>TOTAL</t>
        </is>
      </c>
      <c r="C76" s="9624" t="inlineStr">
        <is>
          <t>Sexo</t>
        </is>
      </c>
      <c r="D76" s="9647" t="n"/>
      <c r="E76" s="7185" t="inlineStr">
        <is>
          <t xml:space="preserve">Gestión de casos </t>
        </is>
      </c>
      <c r="F76" s="9648" t="n"/>
      <c r="G76" s="8274" t="inlineStr">
        <is>
          <t>Planificación Intervención educativa</t>
        </is>
      </c>
      <c r="H76" s="9617" t="n"/>
      <c r="I76" s="9632" t="n"/>
      <c r="J76" s="9649" t="inlineStr">
        <is>
          <t>Pueblos Originarios</t>
        </is>
      </c>
      <c r="K76" s="9624" t="inlineStr">
        <is>
          <t>Migrantes</t>
        </is>
      </c>
      <c r="L76" s="9620" t="inlineStr">
        <is>
          <t xml:space="preserve">SENAME/ Servicio Nacional de Reinserción social Juvenil </t>
        </is>
      </c>
      <c r="M76" s="9620" t="inlineStr">
        <is>
          <t>Servicio Nacional Protección Especializada a la Niñez y Adolescencia</t>
        </is>
      </c>
    </row>
    <row r="77" ht="45" customHeight="1" s="8286">
      <c r="A77" s="9621" t="n"/>
      <c r="B77" s="9621" t="n"/>
      <c r="C77" s="7398" t="inlineStr">
        <is>
          <t>Hombres</t>
        </is>
      </c>
      <c r="D77" s="7276" t="inlineStr">
        <is>
          <t>Mujeres</t>
        </is>
      </c>
      <c r="E77" s="5714" t="inlineStr">
        <is>
          <t>Total casos gestionados</t>
        </is>
      </c>
      <c r="F77" s="7177" t="inlineStr">
        <is>
          <t xml:space="preserve">Casos pesquisados con riesgo </t>
        </is>
      </c>
      <c r="G77" s="7398" t="inlineStr">
        <is>
          <t>Diagnóstico participativo</t>
        </is>
      </c>
      <c r="H77" s="5715" t="inlineStr">
        <is>
          <t>Número de problemáticas intervenidas</t>
        </is>
      </c>
      <c r="I77" s="7276" t="inlineStr">
        <is>
          <t>Intervenciones educativas finalizadas</t>
        </is>
      </c>
      <c r="J77" s="9650" t="n"/>
      <c r="K77" s="9621" t="n"/>
      <c r="L77" s="9621" t="n"/>
      <c r="M77" s="9621" t="n"/>
    </row>
    <row r="78" ht="15" customHeight="1" s="8286">
      <c r="A78" s="1721" t="inlineStr">
        <is>
          <t>Kínder</t>
        </is>
      </c>
      <c r="B78" s="5563">
        <f>SUM(C78:D78)</f>
        <v/>
      </c>
      <c r="C78" s="1613" t="n"/>
      <c r="D78" s="1654" t="n"/>
      <c r="E78" s="5670" t="n"/>
      <c r="F78" s="5669" t="n"/>
      <c r="G78" s="5716" t="n"/>
      <c r="H78" s="1613" t="n"/>
      <c r="I78" s="1654" t="n"/>
      <c r="J78" s="5717" t="n"/>
      <c r="K78" s="5646" t="n"/>
      <c r="L78" s="1723" t="n"/>
      <c r="M78" s="5646" t="n"/>
      <c r="N78" s="1006">
        <f>CA78&amp;CB78&amp;CC78&amp;CD78</f>
        <v/>
      </c>
      <c r="AS78" s="932" t="n"/>
      <c r="AT78" s="932" t="n"/>
      <c r="AU78" s="932" t="n"/>
      <c r="AV78" s="932" t="n"/>
      <c r="AW78" s="932" t="n"/>
      <c r="AX78" s="932" t="n"/>
      <c r="AY78" s="932" t="n"/>
      <c r="AZ78" s="932" t="n"/>
      <c r="BA78" s="932" t="n"/>
      <c r="BB78" s="932" t="n"/>
      <c r="BC78" s="932" t="n"/>
      <c r="BD78" s="932" t="n"/>
      <c r="BE78" s="932" t="n"/>
      <c r="BF78" s="932" t="n"/>
      <c r="BG78" s="932" t="n"/>
      <c r="BH78" s="932" t="n"/>
      <c r="BI78" s="932" t="n"/>
      <c r="BJ78" s="932" t="n"/>
      <c r="BK78" s="932" t="n"/>
      <c r="BL78" s="932" t="n"/>
      <c r="BM78" s="932" t="n"/>
      <c r="BN78" s="932" t="n"/>
      <c r="BO78" s="932" t="n"/>
      <c r="BP78" s="932" t="n"/>
      <c r="BQ78" s="932" t="n"/>
      <c r="BR78" s="932" t="n"/>
      <c r="BS78" s="932" t="n"/>
      <c r="BT78" s="932" t="n"/>
      <c r="BU78" s="932" t="n"/>
      <c r="BV78" s="932" t="n"/>
      <c r="BW78" s="932" t="n"/>
      <c r="BX78" s="932" t="n"/>
      <c r="BY78" s="932" t="n"/>
      <c r="BZ78" s="932" t="n"/>
      <c r="CA78" s="5575">
        <f>IF(AND($B78&lt;&gt;0,J78=""),"* No olvide ingresar la variable "&amp;J$76&amp;""&amp;". Digite CERO si no tiene. ",IF(J78&gt;$B78,"* La variable Pueblos Originarios no debe ser mayor al Total. ",""))</f>
        <v/>
      </c>
      <c r="CB78" s="5575">
        <f>IF(AND($B78&lt;&gt;0,K78=""),"* No olvide ingresar la variable "&amp;K$76&amp;""&amp;". Digite CERO si no tiene. ",IF(K78&gt;$B78,"* La variable Migrantes no debe ser mayor al Total. ",""))</f>
        <v/>
      </c>
      <c r="CC78" s="5575">
        <f>IF(AND($B78&lt;&gt;0,L78=""),"* No olvide ingresar la variable "&amp;L$76&amp;""&amp;". Digite CERO si no tiene.  ",IF(L78&gt;$B78,"* La variable "&amp;L$76&amp;""&amp;"no debe ser mayor al Total. ",""))</f>
        <v/>
      </c>
      <c r="CD78" s="5575">
        <f>IF(AND($B78&lt;&gt;0,M78=""),"* No olvide ingresar la variable "&amp;M$76&amp;""&amp;". Digite CERO si no tiene.  ",IF(M78&gt;$B78,"* La variable "&amp;M$76&amp;""&amp;" no debe ser mayor al Total. ",""))</f>
        <v/>
      </c>
      <c r="CF78" s="5647" t="n"/>
      <c r="CG78" s="5647" t="n"/>
      <c r="CH78" s="5647" t="n"/>
      <c r="CI78" s="5647" t="n"/>
      <c r="CU78" s="5577">
        <f>IF(AND($B78&lt;&gt;0,J78=""),1,IF(J78&gt;$B78,1,0))</f>
        <v/>
      </c>
      <c r="CV78" s="5577">
        <f>IF(AND($B78&lt;&gt;0,K78=""),1,IF(K78&gt;$B78,1,0))</f>
        <v/>
      </c>
      <c r="CW78" s="5577">
        <f>IF(AND($B78&lt;&gt;0,L78=""),1,IF(L78&gt;$B78,1,0))</f>
        <v/>
      </c>
      <c r="CX78" s="5577">
        <f>IF(AND($B78&lt;&gt;0,M78=""),1,IF(M78&gt;$B78,1,0))</f>
        <v/>
      </c>
    </row>
    <row r="79" ht="15" customHeight="1" s="8286">
      <c r="A79" s="1646" t="inlineStr">
        <is>
          <t xml:space="preserve">Primero básico </t>
        </is>
      </c>
      <c r="B79" s="5718">
        <f>SUM(C79:D79)</f>
        <v/>
      </c>
      <c r="C79" s="1615" t="n"/>
      <c r="D79" s="1620" t="n"/>
      <c r="E79" s="1543" t="n"/>
      <c r="F79" s="1540" t="n"/>
      <c r="G79" s="5719" t="n"/>
      <c r="H79" s="1616" t="n"/>
      <c r="I79" s="1620" t="n"/>
      <c r="J79" s="5720" t="n"/>
      <c r="K79" s="1647" t="n"/>
      <c r="L79" s="1726" t="n"/>
      <c r="M79" s="1647" t="n"/>
      <c r="N79" s="1006">
        <f>CA79&amp;CB79&amp;CC79&amp;CD79</f>
        <v/>
      </c>
      <c r="AS79" s="932" t="n"/>
      <c r="AT79" s="932" t="n"/>
      <c r="AU79" s="932" t="n"/>
      <c r="AV79" s="932" t="n"/>
      <c r="AW79" s="932" t="n"/>
      <c r="AX79" s="932" t="n"/>
      <c r="AY79" s="932" t="n"/>
      <c r="AZ79" s="932" t="n"/>
      <c r="BA79" s="932" t="n"/>
      <c r="BB79" s="932" t="n"/>
      <c r="BC79" s="932" t="n"/>
      <c r="BD79" s="932" t="n"/>
      <c r="BE79" s="932" t="n"/>
      <c r="BF79" s="932" t="n"/>
      <c r="BG79" s="932" t="n"/>
      <c r="BH79" s="932" t="n"/>
      <c r="BI79" s="932" t="n"/>
      <c r="BJ79" s="932" t="n"/>
      <c r="BK79" s="932" t="n"/>
      <c r="BL79" s="932" t="n"/>
      <c r="BM79" s="932" t="n"/>
      <c r="BN79" s="932" t="n"/>
      <c r="BO79" s="932" t="n"/>
      <c r="BP79" s="932" t="n"/>
      <c r="BQ79" s="932" t="n"/>
      <c r="BR79" s="932" t="n"/>
      <c r="BS79" s="932" t="n"/>
      <c r="BT79" s="932" t="n"/>
      <c r="BU79" s="932" t="n"/>
      <c r="BV79" s="932" t="n"/>
      <c r="BW79" s="932" t="n"/>
      <c r="BX79" s="932" t="n"/>
      <c r="BY79" s="932" t="n"/>
      <c r="BZ79" s="932" t="n"/>
      <c r="CA79" s="5575">
        <f>IF(AND($B79&lt;&gt;0,J79=""),"* No olvide ingresar la variable "&amp;J$76&amp;""&amp;". Digite CERO si no tiene. ",IF(J79&gt;$B79,"* La variable Pueblos Originarios no debe ser mayor al Total. ",""))</f>
        <v/>
      </c>
      <c r="CB79" s="5575">
        <f>IF(AND($B79&lt;&gt;0,K79=""),"* No olvide ingresar la variable "&amp;K$76&amp;""&amp;". Digite CERO si no tiene. ",IF(K79&gt;$B79,"* La variable Migrantes no debe ser mayor al Total. ",""))</f>
        <v/>
      </c>
      <c r="CC79" s="5575">
        <f>IF(AND($B79&lt;&gt;0,L79=""),"* No olvide ingresar la variable "&amp;L$76&amp;""&amp;". Digite CERO si no tiene.  ",IF(L79&gt;$B79,"* La variable "&amp;L$76&amp;""&amp;"no debe ser mayor al Total. ",""))</f>
        <v/>
      </c>
      <c r="CD79" s="5575">
        <f>IF(AND($B79&lt;&gt;0,M79=""),"* No olvide ingresar la variable "&amp;M$76&amp;""&amp;". Digite CERO si no tiene.  ",IF(M79&gt;$B79,"* La variable "&amp;M$76&amp;""&amp;" no debe ser mayor al Total. ",""))</f>
        <v/>
      </c>
      <c r="CF79" s="5647" t="n"/>
      <c r="CG79" s="5647" t="n"/>
      <c r="CH79" s="5647" t="n"/>
      <c r="CI79" s="5647" t="n"/>
      <c r="CU79" s="5577">
        <f>IF(AND($B79&lt;&gt;0,J79=""),1,IF(J79&gt;$B79,1,0))</f>
        <v/>
      </c>
      <c r="CV79" s="5577">
        <f>IF(AND($B79&lt;&gt;0,K79=""),1,IF(K79&gt;$B79,1,0))</f>
        <v/>
      </c>
      <c r="CW79" s="5577">
        <f>IF(AND($B79&lt;&gt;0,L79=""),1,IF(L79&gt;$B79,1,0))</f>
        <v/>
      </c>
      <c r="CX79" s="5577">
        <f>IF(AND($B79&lt;&gt;0,M79=""),1,IF(M79&gt;$B79,1,0))</f>
        <v/>
      </c>
    </row>
    <row r="80" ht="15" customHeight="1" s="8286">
      <c r="A80" s="1646" t="inlineStr">
        <is>
          <t>Segundo básico</t>
        </is>
      </c>
      <c r="B80" s="5718">
        <f>SUM(C80:D80)</f>
        <v/>
      </c>
      <c r="C80" s="1615" t="n"/>
      <c r="D80" s="1620" t="n"/>
      <c r="E80" s="1543" t="n"/>
      <c r="F80" s="1540" t="n"/>
      <c r="G80" s="5721" t="n"/>
      <c r="H80" s="1616" t="n"/>
      <c r="I80" s="1620" t="n"/>
      <c r="J80" s="5720" t="n"/>
      <c r="K80" s="1647" t="n"/>
      <c r="L80" s="1726" t="n"/>
      <c r="M80" s="1647" t="n"/>
      <c r="N80" s="1006">
        <f>CA80&amp;CB80&amp;CC80&amp;CD80</f>
        <v/>
      </c>
      <c r="AS80" s="932" t="n"/>
      <c r="AT80" s="932" t="n"/>
      <c r="AU80" s="932" t="n"/>
      <c r="AV80" s="932" t="n"/>
      <c r="AW80" s="932" t="n"/>
      <c r="AX80" s="932" t="n"/>
      <c r="AY80" s="932" t="n"/>
      <c r="AZ80" s="932" t="n"/>
      <c r="BA80" s="932" t="n"/>
      <c r="BB80" s="932" t="n"/>
      <c r="BC80" s="932" t="n"/>
      <c r="BD80" s="932" t="n"/>
      <c r="BE80" s="932" t="n"/>
      <c r="BF80" s="932" t="n"/>
      <c r="BG80" s="932" t="n"/>
      <c r="BH80" s="932" t="n"/>
      <c r="BI80" s="932" t="n"/>
      <c r="BJ80" s="932" t="n"/>
      <c r="BK80" s="932" t="n"/>
      <c r="BL80" s="932" t="n"/>
      <c r="BM80" s="932" t="n"/>
      <c r="BN80" s="932" t="n"/>
      <c r="BO80" s="932" t="n"/>
      <c r="BP80" s="932" t="n"/>
      <c r="BQ80" s="932" t="n"/>
      <c r="BR80" s="932" t="n"/>
      <c r="BS80" s="932" t="n"/>
      <c r="BT80" s="932" t="n"/>
      <c r="BU80" s="932" t="n"/>
      <c r="BV80" s="932" t="n"/>
      <c r="BW80" s="932" t="n"/>
      <c r="BX80" s="932" t="n"/>
      <c r="BY80" s="932" t="n"/>
      <c r="BZ80" s="932" t="n"/>
      <c r="CA80" s="5575">
        <f>IF(AND($B80&lt;&gt;0,J80=""),"* No olvide ingresar la variable "&amp;J$76&amp;""&amp;". Digite CERO si no tiene. ",IF(J80&gt;$B80,"* La variable Pueblos Originarios no debe ser mayor al Total. ",""))</f>
        <v/>
      </c>
      <c r="CB80" s="5575">
        <f>IF(AND($B80&lt;&gt;0,K80=""),"* No olvide ingresar la variable "&amp;K$76&amp;""&amp;". Digite CERO si no tiene. ",IF(K80&gt;$B80,"* La variable Migrantes no debe ser mayor al Total. ",""))</f>
        <v/>
      </c>
      <c r="CC80" s="5575">
        <f>IF(AND($B80&lt;&gt;0,L80=""),"* No olvide ingresar la variable "&amp;L$76&amp;""&amp;". Digite CERO si no tiene.  ",IF(L80&gt;$B80,"* La variable "&amp;L$76&amp;""&amp;"no debe ser mayor al Total. ",""))</f>
        <v/>
      </c>
      <c r="CD80" s="5575">
        <f>IF(AND($B80&lt;&gt;0,M80=""),"* No olvide ingresar la variable "&amp;M$76&amp;""&amp;". Digite CERO si no tiene.  ",IF(M80&gt;$B80,"* La variable "&amp;M$76&amp;""&amp;" no debe ser mayor al Total. ",""))</f>
        <v/>
      </c>
      <c r="CF80" s="5647" t="n"/>
      <c r="CG80" s="5647" t="n"/>
      <c r="CH80" s="5647" t="n"/>
      <c r="CI80" s="5647" t="n"/>
      <c r="CU80" s="5577">
        <f>IF(AND($B80&lt;&gt;0,J80=""),1,IF(J80&gt;$B80,1,0))</f>
        <v/>
      </c>
      <c r="CV80" s="5577">
        <f>IF(AND($B80&lt;&gt;0,K80=""),1,IF(K80&gt;$B80,1,0))</f>
        <v/>
      </c>
      <c r="CW80" s="5577">
        <f>IF(AND($B80&lt;&gt;0,L80=""),1,IF(L80&gt;$B80,1,0))</f>
        <v/>
      </c>
      <c r="CX80" s="5577">
        <f>IF(AND($B80&lt;&gt;0,M80=""),1,IF(M80&gt;$B80,1,0))</f>
        <v/>
      </c>
    </row>
    <row r="81" ht="15" customHeight="1" s="8286">
      <c r="A81" s="1646" t="inlineStr">
        <is>
          <t>Tercero básico</t>
        </is>
      </c>
      <c r="B81" s="5718">
        <f>SUM(C81:D81)</f>
        <v/>
      </c>
      <c r="C81" s="1615" t="n"/>
      <c r="D81" s="1620" t="n"/>
      <c r="E81" s="1543" t="n"/>
      <c r="F81" s="1540" t="n"/>
      <c r="G81" s="5721" t="n"/>
      <c r="H81" s="1616" t="n"/>
      <c r="I81" s="1620" t="n"/>
      <c r="J81" s="5720" t="n"/>
      <c r="K81" s="1647" t="n"/>
      <c r="L81" s="1726" t="n"/>
      <c r="M81" s="1647" t="n"/>
      <c r="N81" s="1006">
        <f>CA81&amp;CB81&amp;CC81&amp;CD81</f>
        <v/>
      </c>
      <c r="AS81" s="932" t="n"/>
      <c r="AT81" s="932" t="n"/>
      <c r="AU81" s="932" t="n"/>
      <c r="AV81" s="932" t="n"/>
      <c r="AW81" s="932" t="n"/>
      <c r="AX81" s="932" t="n"/>
      <c r="AY81" s="932" t="n"/>
      <c r="AZ81" s="932" t="n"/>
      <c r="BA81" s="932" t="n"/>
      <c r="BB81" s="932" t="n"/>
      <c r="BC81" s="932" t="n"/>
      <c r="BD81" s="932" t="n"/>
      <c r="BE81" s="932" t="n"/>
      <c r="BF81" s="932" t="n"/>
      <c r="BG81" s="932" t="n"/>
      <c r="BH81" s="932" t="n"/>
      <c r="BI81" s="932" t="n"/>
      <c r="BJ81" s="932" t="n"/>
      <c r="BK81" s="932" t="n"/>
      <c r="BL81" s="932" t="n"/>
      <c r="BM81" s="932" t="n"/>
      <c r="BN81" s="932" t="n"/>
      <c r="BO81" s="932" t="n"/>
      <c r="BP81" s="932" t="n"/>
      <c r="BQ81" s="932" t="n"/>
      <c r="BR81" s="932" t="n"/>
      <c r="BS81" s="932" t="n"/>
      <c r="BT81" s="932" t="n"/>
      <c r="BU81" s="932" t="n"/>
      <c r="BV81" s="932" t="n"/>
      <c r="BW81" s="932" t="n"/>
      <c r="BX81" s="932" t="n"/>
      <c r="BY81" s="932" t="n"/>
      <c r="BZ81" s="932" t="n"/>
      <c r="CA81" s="5575">
        <f>IF(AND($B81&lt;&gt;0,J81=""),"* No olvide ingresar la variable "&amp;J$76&amp;""&amp;". Digite CERO si no tiene. ",IF(J81&gt;$B81,"* La variable Pueblos Originarios no debe ser mayor al Total. ",""))</f>
        <v/>
      </c>
      <c r="CB81" s="5575">
        <f>IF(AND($B81&lt;&gt;0,K81=""),"* No olvide ingresar la variable "&amp;K$76&amp;""&amp;". Digite CERO si no tiene. ",IF(K81&gt;$B81,"* La variable Migrantes no debe ser mayor al Total. ",""))</f>
        <v/>
      </c>
      <c r="CC81" s="5575">
        <f>IF(AND($B81&lt;&gt;0,L81=""),"* No olvide ingresar la variable "&amp;L$76&amp;""&amp;". Digite CERO si no tiene.  ",IF(L81&gt;$B81,"* La variable "&amp;L$76&amp;""&amp;"no debe ser mayor al Total. ",""))</f>
        <v/>
      </c>
      <c r="CD81" s="5575">
        <f>IF(AND($B81&lt;&gt;0,M81=""),"* No olvide ingresar la variable "&amp;M$76&amp;""&amp;". Digite CERO si no tiene.  ",IF(M81&gt;$B81,"* La variable "&amp;M$76&amp;""&amp;" no debe ser mayor al Total. ",""))</f>
        <v/>
      </c>
      <c r="CF81" s="5647" t="n"/>
      <c r="CG81" s="5647" t="n"/>
      <c r="CH81" s="5647" t="n"/>
      <c r="CI81" s="5647" t="n"/>
      <c r="CU81" s="5577">
        <f>IF(AND($B81&lt;&gt;0,J81=""),1,IF(J81&gt;$B81,1,0))</f>
        <v/>
      </c>
      <c r="CV81" s="5577">
        <f>IF(AND($B81&lt;&gt;0,K81=""),1,IF(K81&gt;$B81,1,0))</f>
        <v/>
      </c>
      <c r="CW81" s="5577">
        <f>IF(AND($B81&lt;&gt;0,L81=""),1,IF(L81&gt;$B81,1,0))</f>
        <v/>
      </c>
      <c r="CX81" s="5577">
        <f>IF(AND($B81&lt;&gt;0,M81=""),1,IF(M81&gt;$B81,1,0))</f>
        <v/>
      </c>
    </row>
    <row r="82" ht="15" customHeight="1" s="8286">
      <c r="A82" s="1646" t="inlineStr">
        <is>
          <t>Cuarto básico</t>
        </is>
      </c>
      <c r="B82" s="5718">
        <f>SUM(C82:D82)</f>
        <v/>
      </c>
      <c r="C82" s="1615" t="n"/>
      <c r="D82" s="1620" t="n"/>
      <c r="E82" s="1543" t="n"/>
      <c r="F82" s="1540" t="n"/>
      <c r="G82" s="5721" t="n"/>
      <c r="H82" s="1616" t="n"/>
      <c r="I82" s="1620" t="n"/>
      <c r="J82" s="5720" t="n"/>
      <c r="K82" s="1647" t="n"/>
      <c r="L82" s="1726" t="n"/>
      <c r="M82" s="1647" t="n"/>
      <c r="N82" s="1006">
        <f>CA82&amp;CB82&amp;CC82&amp;CD82</f>
        <v/>
      </c>
      <c r="AS82" s="932" t="n"/>
      <c r="AT82" s="932" t="n"/>
      <c r="AU82" s="932" t="n"/>
      <c r="AV82" s="932" t="n"/>
      <c r="AW82" s="932" t="n"/>
      <c r="AX82" s="932" t="n"/>
      <c r="AY82" s="932" t="n"/>
      <c r="AZ82" s="932" t="n"/>
      <c r="BA82" s="932" t="n"/>
      <c r="BB82" s="932" t="n"/>
      <c r="BC82" s="932" t="n"/>
      <c r="BD82" s="932" t="n"/>
      <c r="BE82" s="932" t="n"/>
      <c r="BF82" s="932" t="n"/>
      <c r="BG82" s="932" t="n"/>
      <c r="BH82" s="932" t="n"/>
      <c r="BI82" s="932" t="n"/>
      <c r="BJ82" s="932" t="n"/>
      <c r="BK82" s="932" t="n"/>
      <c r="BL82" s="932" t="n"/>
      <c r="BM82" s="932" t="n"/>
      <c r="BN82" s="932" t="n"/>
      <c r="BO82" s="932" t="n"/>
      <c r="BP82" s="932" t="n"/>
      <c r="BQ82" s="932" t="n"/>
      <c r="BR82" s="932" t="n"/>
      <c r="BS82" s="932" t="n"/>
      <c r="BT82" s="932" t="n"/>
      <c r="BU82" s="932" t="n"/>
      <c r="BV82" s="932" t="n"/>
      <c r="BW82" s="932" t="n"/>
      <c r="BX82" s="932" t="n"/>
      <c r="BY82" s="932" t="n"/>
      <c r="BZ82" s="932" t="n"/>
      <c r="CA82" s="5575">
        <f>IF(AND($B82&lt;&gt;0,J82=""),"* No olvide ingresar la variable "&amp;J$76&amp;""&amp;". Digite CERO si no tiene. ",IF(J82&gt;$B82,"* La variable Pueblos Originarios no debe ser mayor al Total. ",""))</f>
        <v/>
      </c>
      <c r="CB82" s="5575">
        <f>IF(AND($B82&lt;&gt;0,K82=""),"* No olvide ingresar la variable "&amp;K$76&amp;""&amp;". Digite CERO si no tiene. ",IF(K82&gt;$B82,"* La variable Migrantes no debe ser mayor al Total. ",""))</f>
        <v/>
      </c>
      <c r="CC82" s="5575">
        <f>IF(AND($B82&lt;&gt;0,L82=""),"* No olvide ingresar la variable "&amp;L$76&amp;""&amp;". Digite CERO si no tiene.  ",IF(L82&gt;$B82,"* La variable "&amp;L$76&amp;""&amp;"no debe ser mayor al Total. ",""))</f>
        <v/>
      </c>
      <c r="CD82" s="5575">
        <f>IF(AND($B82&lt;&gt;0,M82=""),"* No olvide ingresar la variable "&amp;M$76&amp;""&amp;". Digite CERO si no tiene.  ",IF(M82&gt;$B82,"* La variable "&amp;M$76&amp;""&amp;" no debe ser mayor al Total. ",""))</f>
        <v/>
      </c>
      <c r="CF82" s="5647" t="n"/>
      <c r="CG82" s="5647" t="n"/>
      <c r="CH82" s="5647" t="n"/>
      <c r="CI82" s="5647" t="n"/>
      <c r="CU82" s="5577">
        <f>IF(AND($B82&lt;&gt;0,J82=""),1,IF(J82&gt;$B82,1,0))</f>
        <v/>
      </c>
      <c r="CV82" s="5577">
        <f>IF(AND($B82&lt;&gt;0,K82=""),1,IF(K82&gt;$B82,1,0))</f>
        <v/>
      </c>
      <c r="CW82" s="5577">
        <f>IF(AND($B82&lt;&gt;0,L82=""),1,IF(L82&gt;$B82,1,0))</f>
        <v/>
      </c>
      <c r="CX82" s="5577">
        <f>IF(AND($B82&lt;&gt;0,M82=""),1,IF(M82&gt;$B82,1,0))</f>
        <v/>
      </c>
    </row>
    <row r="83" ht="15" customHeight="1" s="8286">
      <c r="A83" s="5722" t="inlineStr">
        <is>
          <t>Total de Establecimientos Educacionales</t>
        </is>
      </c>
      <c r="B83" s="5711" t="n"/>
      <c r="C83" s="5723" t="n"/>
      <c r="D83" s="5724" t="n"/>
      <c r="E83" s="5725" t="n"/>
      <c r="F83" s="5726" t="n"/>
      <c r="G83" s="1628" t="n"/>
      <c r="H83" s="961" t="n"/>
      <c r="I83" s="962" t="n"/>
      <c r="J83" s="5727" t="n"/>
      <c r="K83" s="5728" t="n"/>
      <c r="L83" s="5729" t="n"/>
      <c r="M83" s="5728" t="n"/>
      <c r="N83" s="1006" t="n"/>
      <c r="AS83" s="932" t="n"/>
      <c r="AT83" s="932" t="n"/>
      <c r="AU83" s="932" t="n"/>
      <c r="AV83" s="932" t="n"/>
      <c r="AW83" s="932" t="n"/>
      <c r="AX83" s="932" t="n"/>
      <c r="AY83" s="932" t="n"/>
      <c r="AZ83" s="932" t="n"/>
      <c r="BA83" s="932" t="n"/>
      <c r="BB83" s="932" t="n"/>
      <c r="BC83" s="932" t="n"/>
      <c r="BD83" s="932" t="n"/>
      <c r="BE83" s="932" t="n"/>
      <c r="BF83" s="932" t="n"/>
      <c r="BG83" s="932" t="n"/>
      <c r="BH83" s="932" t="n"/>
      <c r="BI83" s="932" t="n"/>
      <c r="BJ83" s="932" t="n"/>
      <c r="BK83" s="932" t="n"/>
      <c r="BL83" s="932" t="n"/>
      <c r="BM83" s="932" t="n"/>
      <c r="BN83" s="932" t="n"/>
      <c r="BO83" s="932" t="n"/>
      <c r="BP83" s="932" t="n"/>
      <c r="BQ83" s="932" t="n"/>
      <c r="BR83" s="932" t="n"/>
      <c r="BS83" s="932" t="n"/>
      <c r="BT83" s="932" t="n"/>
      <c r="BU83" s="932" t="n"/>
      <c r="BV83" s="932" t="n"/>
      <c r="BW83" s="932" t="n"/>
      <c r="BX83" s="932" t="n"/>
      <c r="BY83" s="932" t="n"/>
      <c r="BZ83" s="932" t="n"/>
      <c r="CA83" s="932" t="n"/>
      <c r="CB83" s="932" t="n"/>
      <c r="CC83" s="932" t="n"/>
      <c r="CD83" s="932" t="n"/>
      <c r="CE83" s="932" t="n"/>
      <c r="CF83" s="5647" t="n"/>
      <c r="CG83" s="5647" t="n"/>
      <c r="CH83" s="5647" t="n"/>
      <c r="CI83" s="5647" t="n"/>
    </row>
    <row r="84" ht="18" customHeight="1" s="8286">
      <c r="A84" s="9590" t="inlineStr">
        <is>
          <t>SECCIÓN F: CONTROLES INTEGRALES DE PERSONAS CON CONDICIONES CRÓNICAS (incluidos en Secciones B y C)</t>
        </is>
      </c>
      <c r="B84" s="9591" t="n"/>
      <c r="C84" s="9591" t="n"/>
      <c r="D84" s="9591" t="n"/>
      <c r="E84" s="9591" t="n"/>
      <c r="F84" s="9591" t="n"/>
      <c r="G84" s="9591" t="n"/>
      <c r="H84" s="9591" t="n"/>
      <c r="I84" s="9591" t="n"/>
      <c r="J84" s="9591" t="n"/>
      <c r="K84" s="9591" t="n"/>
      <c r="L84" s="9591" t="n"/>
      <c r="M84" s="9591" t="n"/>
      <c r="N84" s="9591" t="n"/>
      <c r="O84" s="9591" t="n"/>
      <c r="P84" s="9591" t="n"/>
      <c r="Q84" s="9591" t="n"/>
      <c r="R84" s="9591" t="n"/>
      <c r="S84" s="9591" t="n"/>
      <c r="T84" s="9591" t="n"/>
      <c r="U84" s="9591" t="n"/>
      <c r="V84" s="9591" t="n"/>
      <c r="W84" s="9591" t="n"/>
      <c r="X84" s="9591" t="n"/>
      <c r="Y84" s="9591" t="n"/>
      <c r="Z84" s="9591" t="n"/>
      <c r="AA84" s="9591" t="n"/>
      <c r="AB84" s="9591" t="n"/>
      <c r="AC84" s="9591" t="n"/>
      <c r="AD84" s="9591" t="n"/>
      <c r="AE84" s="9591" t="n"/>
      <c r="AF84" s="9591" t="n"/>
      <c r="AG84" s="5553" t="n"/>
      <c r="AH84" s="5553" t="n"/>
    </row>
    <row r="85" ht="15" customHeight="1" s="8286">
      <c r="A85" s="9592" t="inlineStr">
        <is>
          <t>TIPO DE CONTROL</t>
        </is>
      </c>
      <c r="B85" s="8173" t="inlineStr">
        <is>
          <t>TOTAL</t>
        </is>
      </c>
      <c r="C85" s="9602" t="n"/>
      <c r="D85" s="9603" t="n"/>
      <c r="E85" s="9651" t="inlineStr">
        <is>
          <t>RANGO ETARIO Y SEXO</t>
        </is>
      </c>
      <c r="F85" s="9617" t="n"/>
      <c r="G85" s="9617" t="n"/>
      <c r="H85" s="9617" t="n"/>
      <c r="I85" s="9617" t="n"/>
      <c r="J85" s="9617" t="n"/>
      <c r="K85" s="9617" t="n"/>
      <c r="L85" s="9617" t="n"/>
      <c r="M85" s="9617" t="n"/>
      <c r="N85" s="9617" t="n"/>
      <c r="O85" s="9617" t="n"/>
      <c r="P85" s="9617" t="n"/>
      <c r="Q85" s="9617" t="n"/>
      <c r="R85" s="9617" t="n"/>
      <c r="S85" s="9617" t="n"/>
      <c r="T85" s="9617" t="n"/>
      <c r="U85" s="9617" t="n"/>
      <c r="V85" s="9617" t="n"/>
      <c r="W85" s="9617" t="n"/>
      <c r="X85" s="9617" t="n"/>
      <c r="Y85" s="9617" t="n"/>
      <c r="Z85" s="9617" t="n"/>
      <c r="AA85" s="9617" t="n"/>
      <c r="AB85" s="9617" t="n"/>
      <c r="AC85" s="9617" t="n"/>
      <c r="AD85" s="9617" t="n"/>
      <c r="AE85" s="9617" t="n"/>
      <c r="AF85" s="9652" t="n"/>
      <c r="AG85" s="9635" t="inlineStr">
        <is>
          <t>Migrantes</t>
        </is>
      </c>
      <c r="AH85" s="9593" t="inlineStr">
        <is>
          <t>Pueblos Originarios</t>
        </is>
      </c>
    </row>
    <row r="86" ht="15" customHeight="1" s="8286">
      <c r="A86" s="9588" t="n"/>
      <c r="B86" s="642" t="n"/>
      <c r="D86" s="9625" t="n"/>
      <c r="E86" s="9631" t="inlineStr">
        <is>
          <t>15 - 19 años</t>
        </is>
      </c>
      <c r="F86" s="9632" t="n"/>
      <c r="G86" s="9653" t="inlineStr">
        <is>
          <t>20 - 24 años</t>
        </is>
      </c>
      <c r="H86" s="9648" t="n"/>
      <c r="I86" s="9653" t="inlineStr">
        <is>
          <t>25 - 29 años</t>
        </is>
      </c>
      <c r="J86" s="9648" t="n"/>
      <c r="K86" s="9654" t="inlineStr">
        <is>
          <t>30 - 34 años</t>
        </is>
      </c>
      <c r="L86" s="9648" t="n"/>
      <c r="M86" s="9653" t="inlineStr">
        <is>
          <t>35 - 39 años</t>
        </is>
      </c>
      <c r="N86" s="9648" t="n"/>
      <c r="O86" s="9653" t="inlineStr">
        <is>
          <t>40 - 44 años</t>
        </is>
      </c>
      <c r="P86" s="9648" t="n"/>
      <c r="Q86" s="9653" t="inlineStr">
        <is>
          <t>45 - 49 años</t>
        </is>
      </c>
      <c r="R86" s="9648" t="n"/>
      <c r="S86" s="9653" t="inlineStr">
        <is>
          <t>50 - 54 años</t>
        </is>
      </c>
      <c r="T86" s="9648" t="n"/>
      <c r="U86" s="9653" t="inlineStr">
        <is>
          <t>55 - 59 años</t>
        </is>
      </c>
      <c r="V86" s="9648" t="n"/>
      <c r="W86" s="8901" t="inlineStr">
        <is>
          <t>60 - 64 años</t>
        </is>
      </c>
      <c r="X86" s="9617" t="n"/>
      <c r="Y86" s="9654" t="inlineStr">
        <is>
          <t>65 - 69 años</t>
        </is>
      </c>
      <c r="Z86" s="9648" t="n"/>
      <c r="AA86" s="9654" t="inlineStr">
        <is>
          <t>70 - 74 años</t>
        </is>
      </c>
      <c r="AB86" s="9648" t="n"/>
      <c r="AC86" s="9654" t="inlineStr">
        <is>
          <t>75 - 79 años</t>
        </is>
      </c>
      <c r="AD86" s="9648" t="n"/>
      <c r="AE86" s="9655" t="inlineStr">
        <is>
          <t>80 y más años</t>
        </is>
      </c>
      <c r="AF86" s="9652" t="n"/>
      <c r="AG86" s="9656" t="n"/>
      <c r="AH86" s="9588" t="n"/>
    </row>
    <row r="87" ht="15" customHeight="1" s="8286">
      <c r="A87" s="9589" t="n"/>
      <c r="B87" s="5730" t="inlineStr">
        <is>
          <t>Ambos Sexos</t>
        </is>
      </c>
      <c r="C87" s="5709" t="inlineStr">
        <is>
          <t>Hombres</t>
        </is>
      </c>
      <c r="D87" s="7177" t="inlineStr">
        <is>
          <t>Mujeres</t>
        </is>
      </c>
      <c r="E87" s="7398" t="inlineStr">
        <is>
          <t>Hombres</t>
        </is>
      </c>
      <c r="F87" s="7177" t="inlineStr">
        <is>
          <t>Mujeres</t>
        </is>
      </c>
      <c r="G87" s="5709" t="inlineStr">
        <is>
          <t>Hombres</t>
        </is>
      </c>
      <c r="H87" s="7177" t="inlineStr">
        <is>
          <t>Mujeres</t>
        </is>
      </c>
      <c r="I87" s="5709" t="inlineStr">
        <is>
          <t>Hombres</t>
        </is>
      </c>
      <c r="J87" s="7177" t="inlineStr">
        <is>
          <t>Mujeres</t>
        </is>
      </c>
      <c r="K87" s="7398" t="inlineStr">
        <is>
          <t>Hombres</t>
        </is>
      </c>
      <c r="L87" s="7177" t="inlineStr">
        <is>
          <t>Mujeres</t>
        </is>
      </c>
      <c r="M87" s="5709" t="inlineStr">
        <is>
          <t>Hombres</t>
        </is>
      </c>
      <c r="N87" s="7177" t="inlineStr">
        <is>
          <t>Mujeres</t>
        </is>
      </c>
      <c r="O87" s="5709" t="inlineStr">
        <is>
          <t>Hombres</t>
        </is>
      </c>
      <c r="P87" s="7177" t="inlineStr">
        <is>
          <t>Mujeres</t>
        </is>
      </c>
      <c r="Q87" s="5709" t="inlineStr">
        <is>
          <t>Hombres</t>
        </is>
      </c>
      <c r="R87" s="7177" t="inlineStr">
        <is>
          <t>Mujeres</t>
        </is>
      </c>
      <c r="S87" s="5709" t="inlineStr">
        <is>
          <t>Hombres</t>
        </is>
      </c>
      <c r="T87" s="7177" t="inlineStr">
        <is>
          <t>Mujeres</t>
        </is>
      </c>
      <c r="U87" s="5709" t="inlineStr">
        <is>
          <t>Hombres</t>
        </is>
      </c>
      <c r="V87" s="7177" t="inlineStr">
        <is>
          <t>Mujeres</t>
        </is>
      </c>
      <c r="W87" s="5709" t="inlineStr">
        <is>
          <t>Hombres</t>
        </is>
      </c>
      <c r="X87" s="7196" t="inlineStr">
        <is>
          <t>Mujeres</t>
        </is>
      </c>
      <c r="Y87" s="7398" t="inlineStr">
        <is>
          <t>Hombres</t>
        </is>
      </c>
      <c r="Z87" s="7177" t="inlineStr">
        <is>
          <t>Mujeres</t>
        </is>
      </c>
      <c r="AA87" s="7398" t="inlineStr">
        <is>
          <t>Hombres</t>
        </is>
      </c>
      <c r="AB87" s="7177" t="inlineStr">
        <is>
          <t>Mujeres</t>
        </is>
      </c>
      <c r="AC87" s="7398" t="inlineStr">
        <is>
          <t>Hombres</t>
        </is>
      </c>
      <c r="AD87" s="7177" t="inlineStr">
        <is>
          <t>Mujeres</t>
        </is>
      </c>
      <c r="AE87" s="5709" t="inlineStr">
        <is>
          <t>Hombres</t>
        </is>
      </c>
      <c r="AF87" s="7276" t="inlineStr">
        <is>
          <t>Mujeres</t>
        </is>
      </c>
      <c r="AG87" s="9640" t="n"/>
      <c r="AH87" s="9589" t="n"/>
    </row>
    <row r="88" ht="15" customHeight="1" s="8286">
      <c r="A88" s="1646" t="inlineStr">
        <is>
          <t>Control integral con riesgo leve (G1)</t>
        </is>
      </c>
      <c r="B88" s="5731">
        <f>SUM(C88:D88)</f>
        <v/>
      </c>
      <c r="C88" s="5732">
        <f>SUM(E88+G88+I88+K88+M88+O88+Q88+S88+U88+W88+Y88+AA88+AC88+AE88)</f>
        <v/>
      </c>
      <c r="D88" s="5733">
        <f>SUM(+F88+H88+J88+L88+N88+P88+R88+T88+V88+X88+Z88+AB88+AD88+AF88)</f>
        <v/>
      </c>
      <c r="E88" s="1539" t="n"/>
      <c r="F88" s="1540" t="n"/>
      <c r="G88" s="1615" t="n"/>
      <c r="H88" s="1540" t="n"/>
      <c r="I88" s="1771" t="n"/>
      <c r="J88" s="1729" t="n"/>
      <c r="K88" s="1770" t="n"/>
      <c r="L88" s="1729" t="n"/>
      <c r="M88" s="1771" t="n"/>
      <c r="N88" s="1729" t="n"/>
      <c r="O88" s="1771" t="n"/>
      <c r="P88" s="1729" t="n"/>
      <c r="Q88" s="1771" t="n"/>
      <c r="R88" s="1729" t="n"/>
      <c r="S88" s="1771" t="n"/>
      <c r="T88" s="1729" t="n"/>
      <c r="U88" s="1771" t="n"/>
      <c r="V88" s="1729" t="n"/>
      <c r="W88" s="1771" t="n"/>
      <c r="X88" s="5734" t="n"/>
      <c r="Y88" s="1770" t="n"/>
      <c r="Z88" s="1729" t="n"/>
      <c r="AA88" s="1770" t="n"/>
      <c r="AB88" s="1729" t="n"/>
      <c r="AC88" s="1770" t="n"/>
      <c r="AD88" s="1729" t="n"/>
      <c r="AE88" s="1771" t="n"/>
      <c r="AF88" s="1728" t="n"/>
      <c r="AG88" s="5717" t="n"/>
      <c r="AH88" s="5646" t="n"/>
      <c r="AI88" s="1006">
        <f>$CA88&amp;CB88</f>
        <v/>
      </c>
      <c r="BN88" s="932" t="n"/>
      <c r="BO88" s="932" t="n"/>
      <c r="BP88" s="932" t="n"/>
      <c r="BQ88" s="932" t="n"/>
      <c r="BR88" s="932" t="n"/>
      <c r="BS88" s="932" t="n"/>
      <c r="BT88" s="932" t="n"/>
      <c r="BU88" s="932" t="n"/>
      <c r="BV88" s="932" t="n"/>
      <c r="BW88" s="932" t="n"/>
      <c r="BX88" s="932" t="n"/>
      <c r="BY88" s="932" t="n"/>
      <c r="BZ88" s="932" t="n"/>
      <c r="CA88" s="5575">
        <f>IF(AND($B88&lt;&gt;0,AG88=""),"* No olvide ingresar la variable "&amp;AG$85&amp;""&amp;". Digite CERO si no tiene. ",IF(AG88&gt;$B88,"* La variable Migrantes no debe ser mayor al Total Ambos Sexos. ",""))</f>
        <v/>
      </c>
      <c r="CB88" s="5575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 t="n"/>
      <c r="CD88" s="932" t="n"/>
      <c r="CE88" s="5647" t="n"/>
      <c r="CF88" s="5647" t="n"/>
      <c r="CG88" s="5647" t="n"/>
      <c r="CH88" s="5647" t="n"/>
      <c r="CI88" s="5647" t="n"/>
      <c r="CU88" s="5577">
        <f>IF(AND($B88&lt;&gt;0,AG88=""),1,IF(AG88&gt;$B88,1,0))</f>
        <v/>
      </c>
      <c r="CV88" s="5577">
        <f>IF(AND($B88&lt;&gt;0,AH88=""),1,IF(AH88&gt;$B88,1,0))</f>
        <v/>
      </c>
    </row>
    <row r="89" ht="15" customHeight="1" s="8286">
      <c r="A89" s="1646" t="inlineStr">
        <is>
          <t>Control integral con riesgo moderado (G2)</t>
        </is>
      </c>
      <c r="B89" s="5731">
        <f>SUM(C89:D89)</f>
        <v/>
      </c>
      <c r="C89" s="5732">
        <f>SUM(E89+G89+I89+K89+M89+O89+Q89+S89+U89+W89+Y89+AA89+AC89+AE89)</f>
        <v/>
      </c>
      <c r="D89" s="5733">
        <f>SUM(+F89+H89+J89+L89+N89+P89+R89+T89+V89+X89+Z89+AB89+AD89+AF89)</f>
        <v/>
      </c>
      <c r="E89" s="1539" t="n"/>
      <c r="F89" s="1540" t="n"/>
      <c r="G89" s="1615" t="n"/>
      <c r="H89" s="1540" t="n"/>
      <c r="I89" s="1771" t="n"/>
      <c r="J89" s="1729" t="n"/>
      <c r="K89" s="1770" t="n"/>
      <c r="L89" s="1729" t="n"/>
      <c r="M89" s="1771" t="n"/>
      <c r="N89" s="1729" t="n"/>
      <c r="O89" s="1771" t="n"/>
      <c r="P89" s="1729" t="n"/>
      <c r="Q89" s="1771" t="n"/>
      <c r="R89" s="1729" t="n"/>
      <c r="S89" s="1771" t="n"/>
      <c r="T89" s="1729" t="n"/>
      <c r="U89" s="1771" t="n"/>
      <c r="V89" s="1729" t="n"/>
      <c r="W89" s="1771" t="n"/>
      <c r="X89" s="5734" t="n"/>
      <c r="Y89" s="1770" t="n"/>
      <c r="Z89" s="1729" t="n"/>
      <c r="AA89" s="1770" t="n"/>
      <c r="AB89" s="1729" t="n"/>
      <c r="AC89" s="1770" t="n"/>
      <c r="AD89" s="1729" t="n"/>
      <c r="AE89" s="1771" t="n"/>
      <c r="AF89" s="1728" t="n"/>
      <c r="AG89" s="5720" t="n"/>
      <c r="AH89" s="1647" t="n"/>
      <c r="AI89" s="1006">
        <f>$CA89&amp;CB89</f>
        <v/>
      </c>
      <c r="BN89" s="932" t="n"/>
      <c r="BO89" s="932" t="n"/>
      <c r="BP89" s="932" t="n"/>
      <c r="BQ89" s="932" t="n"/>
      <c r="BR89" s="932" t="n"/>
      <c r="BS89" s="932" t="n"/>
      <c r="BT89" s="932" t="n"/>
      <c r="BU89" s="932" t="n"/>
      <c r="BV89" s="932" t="n"/>
      <c r="BW89" s="932" t="n"/>
      <c r="BX89" s="932" t="n"/>
      <c r="BY89" s="932" t="n"/>
      <c r="BZ89" s="932" t="n"/>
      <c r="CA89" s="5575">
        <f>IF(AND($B89&lt;&gt;0,AG89=""),"* No olvide ingresar la variable "&amp;AG$85&amp;""&amp;". Digite CERO si no tiene. ",IF(AG89&gt;$B89,"* La variable Migrantes no debe ser mayor al Total Ambos Sexos. ",""))</f>
        <v/>
      </c>
      <c r="CB89" s="5575">
        <f>IF(AND($B89&lt;&gt;0,AH89=""),"* No olvide ingresar la variable "&amp;AH$85&amp;""&amp;". Digite CERO si no tiene. ",IF(AH89&gt;$B89,"* La variable Pueblos Originarios no debe ser mayor al Total Ambos Sexos. ",""))</f>
        <v/>
      </c>
      <c r="CC89" s="932" t="n"/>
      <c r="CD89" s="932" t="n"/>
      <c r="CE89" s="5647" t="n"/>
      <c r="CF89" s="5647" t="n"/>
      <c r="CG89" s="5647" t="n"/>
      <c r="CH89" s="5647" t="n"/>
      <c r="CI89" s="5647" t="n"/>
      <c r="CU89" s="5577">
        <f>IF(AND($B89&lt;&gt;0,AG89=""),1,IF(AG89&gt;$B89,1,0))</f>
        <v/>
      </c>
      <c r="CV89" s="5577">
        <f>IF(AND($B89&lt;&gt;0,AH89=""),1,IF(AH89&gt;$B89,1,0))</f>
        <v/>
      </c>
    </row>
    <row r="90" ht="15" customHeight="1" s="8286">
      <c r="A90" s="7210" t="inlineStr">
        <is>
          <t>Control integral con riesgo alto (G3)</t>
        </is>
      </c>
      <c r="B90" s="5735">
        <f>SUM(C90:D90)</f>
        <v/>
      </c>
      <c r="C90" s="5736">
        <f>SUM(E90+G90+I90+K90+M90+O90+Q90+S90+U90+W90+Y90+AA90+AC90+AE90)</f>
        <v/>
      </c>
      <c r="D90" s="5699">
        <f>SUM(+F90+H90+J90+L90+N90+P90+R90+T90+V90+X90+Z90+AB90+AD90+AF90)</f>
        <v/>
      </c>
      <c r="E90" s="1083" t="n">
        <v>0</v>
      </c>
      <c r="F90" s="949" t="n">
        <v>0</v>
      </c>
      <c r="G90" s="1628" t="n">
        <v>0</v>
      </c>
      <c r="H90" s="949" t="n">
        <v>0</v>
      </c>
      <c r="I90" s="5737" t="n">
        <v>0</v>
      </c>
      <c r="J90" s="5738" t="n">
        <v>0</v>
      </c>
      <c r="K90" s="5739" t="n">
        <v>0</v>
      </c>
      <c r="L90" s="5738" t="n">
        <v>0</v>
      </c>
      <c r="M90" s="5737" t="n">
        <v>0</v>
      </c>
      <c r="N90" s="5738" t="n">
        <v>0</v>
      </c>
      <c r="O90" s="5737" t="n">
        <v>0</v>
      </c>
      <c r="P90" s="5738" t="n">
        <v>0</v>
      </c>
      <c r="Q90" s="5737" t="n">
        <v>0</v>
      </c>
      <c r="R90" s="5738" t="n">
        <v>0</v>
      </c>
      <c r="S90" s="5737" t="n">
        <v>0</v>
      </c>
      <c r="T90" s="5738" t="n">
        <v>0</v>
      </c>
      <c r="U90" s="5737" t="n">
        <v>0</v>
      </c>
      <c r="V90" s="5738" t="n">
        <v>0</v>
      </c>
      <c r="W90" s="5737" t="n">
        <v>0</v>
      </c>
      <c r="X90" s="5740" t="n">
        <v>0</v>
      </c>
      <c r="Y90" s="5739" t="n">
        <v>0</v>
      </c>
      <c r="Z90" s="5738" t="n">
        <v>0</v>
      </c>
      <c r="AA90" s="5739" t="n">
        <v>1</v>
      </c>
      <c r="AB90" s="5738" t="n">
        <v>1</v>
      </c>
      <c r="AC90" s="5739" t="n">
        <v>2</v>
      </c>
      <c r="AD90" s="5738" t="n">
        <v>0</v>
      </c>
      <c r="AE90" s="5737" t="n">
        <v>0</v>
      </c>
      <c r="AF90" s="5741" t="n">
        <v>13</v>
      </c>
      <c r="AG90" s="5742" t="n">
        <v>0</v>
      </c>
      <c r="AH90" s="1649" t="n">
        <v>0</v>
      </c>
      <c r="AI90" s="1006">
        <f>$CA90&amp;CB90</f>
        <v/>
      </c>
      <c r="BN90" s="932" t="n"/>
      <c r="BO90" s="932" t="n"/>
      <c r="BP90" s="932" t="n"/>
      <c r="BQ90" s="932" t="n"/>
      <c r="BR90" s="932" t="n"/>
      <c r="BS90" s="932" t="n"/>
      <c r="BT90" s="932" t="n"/>
      <c r="BU90" s="932" t="n"/>
      <c r="BV90" s="932" t="n"/>
      <c r="BW90" s="932" t="n"/>
      <c r="BX90" s="932" t="n"/>
      <c r="BY90" s="932" t="n"/>
      <c r="BZ90" s="932" t="n"/>
      <c r="CA90" s="5575">
        <f>IF(AND($B90&lt;&gt;0,AG90=""),"* No olvide ingresar la variable "&amp;AG$85&amp;""&amp;". Digite CERO si no tiene. ",IF(AG90&gt;$B90,"* La variable Migrantes no debe ser mayor al Total Ambos Sexos. ",""))</f>
        <v/>
      </c>
      <c r="CB90" s="5575">
        <f>IF(AND($B90&lt;&gt;0,AH90=""),"* No olvide ingresar la variable "&amp;AH$85&amp;""&amp;". Digite CERO si no tiene. ",IF(AH90&gt;$B90,"* La variable Pueblos Originarios no debe ser mayor al Total Ambos Sexos. ",""))</f>
        <v/>
      </c>
      <c r="CC90" s="932" t="n"/>
      <c r="CD90" s="932" t="n"/>
      <c r="CE90" s="5647" t="n"/>
      <c r="CF90" s="5647" t="n"/>
      <c r="CG90" s="5647" t="n"/>
      <c r="CH90" s="5647" t="n"/>
      <c r="CI90" s="5647" t="n"/>
      <c r="CU90" s="5577">
        <f>IF(AND($B90&lt;&gt;0,AG90=""),1,IF(AG90&gt;$B90,1,0))</f>
        <v/>
      </c>
      <c r="CV90" s="5577">
        <f>IF(AND($B90&lt;&gt;0,AH90=""),1,IF(AH90&gt;$B90,1,0))</f>
        <v/>
      </c>
    </row>
    <row r="91" ht="15" customHeight="1" s="8286">
      <c r="A91" s="1646" t="inlineStr">
        <is>
          <t>Seguimiento a distancia con riesgo leve (G1)</t>
        </is>
      </c>
      <c r="B91" s="5743">
        <f>SUM(C91:D91)</f>
        <v/>
      </c>
      <c r="C91" s="5744">
        <f>SUM(E91+G91+I91+K91+M91+O91+Q91+S91+U91+W91+Y91+AA91+AC91+AE91)</f>
        <v/>
      </c>
      <c r="D91" s="5745">
        <f>SUM(+F91+H91+J91+L91+N91+P91+R91+T91+V91+X91+Z91+AB91+AD91+AF91)</f>
        <v/>
      </c>
      <c r="E91" s="1539" t="n"/>
      <c r="F91" s="1540" t="n"/>
      <c r="G91" s="1615" t="n"/>
      <c r="H91" s="1540" t="n"/>
      <c r="I91" s="1771" t="n"/>
      <c r="J91" s="1729" t="n"/>
      <c r="K91" s="1770" t="n"/>
      <c r="L91" s="1729" t="n"/>
      <c r="M91" s="1771" t="n"/>
      <c r="N91" s="1729" t="n"/>
      <c r="O91" s="1771" t="n"/>
      <c r="P91" s="1729" t="n"/>
      <c r="Q91" s="1771" t="n"/>
      <c r="R91" s="1729" t="n"/>
      <c r="S91" s="1771" t="n"/>
      <c r="T91" s="1729" t="n"/>
      <c r="U91" s="1771" t="n"/>
      <c r="V91" s="1729" t="n"/>
      <c r="W91" s="1771" t="n"/>
      <c r="X91" s="5734" t="n"/>
      <c r="Y91" s="1770" t="n"/>
      <c r="Z91" s="1729" t="n"/>
      <c r="AA91" s="1770" t="n"/>
      <c r="AB91" s="1729" t="n"/>
      <c r="AC91" s="1770" t="n"/>
      <c r="AD91" s="1729" t="n"/>
      <c r="AE91" s="1771" t="n"/>
      <c r="AF91" s="1728" t="n"/>
      <c r="AG91" s="5720" t="n"/>
      <c r="AH91" s="1647" t="n"/>
      <c r="AI91" s="1006">
        <f>$CA91&amp;CB91</f>
        <v/>
      </c>
      <c r="BN91" s="932" t="n"/>
      <c r="BO91" s="932" t="n"/>
      <c r="BP91" s="932" t="n"/>
      <c r="BQ91" s="932" t="n"/>
      <c r="BR91" s="932" t="n"/>
      <c r="BS91" s="932" t="n"/>
      <c r="BT91" s="932" t="n"/>
      <c r="BU91" s="932" t="n"/>
      <c r="BV91" s="932" t="n"/>
      <c r="BW91" s="932" t="n"/>
      <c r="BX91" s="932" t="n"/>
      <c r="BY91" s="932" t="n"/>
      <c r="BZ91" s="932" t="n"/>
      <c r="CA91" s="5575">
        <f>IF(AND($B91&lt;&gt;0,AG91=""),"* No olvide ingresar la variable "&amp;AG$85&amp;""&amp;". Digite CERO si no tiene. ",IF(AG91&gt;$B91,"* La variable Migrantes no debe ser mayor al Total Ambos Sexos. ",""))</f>
        <v/>
      </c>
      <c r="CB91" s="5575">
        <f>IF(AND($B91&lt;&gt;0,AH91=""),"* No olvide ingresar la variable "&amp;AH$85&amp;""&amp;". Digite CERO si no tiene. ",IF(AH91&gt;$B91,"* La variable Pueblos Originarios no debe ser mayor al Total Ambos Sexos. ",""))</f>
        <v/>
      </c>
      <c r="CC91" s="932" t="n"/>
      <c r="CD91" s="932" t="n"/>
      <c r="CE91" s="5647" t="n"/>
      <c r="CF91" s="5647" t="n"/>
      <c r="CG91" s="5647" t="n"/>
      <c r="CH91" s="5647" t="n"/>
      <c r="CI91" s="5647" t="n"/>
      <c r="CU91" s="5577">
        <f>IF(AND($B91&lt;&gt;0,AG91=""),1,IF(AG91&gt;$B91,1,0))</f>
        <v/>
      </c>
      <c r="CV91" s="5577">
        <f>IF(AND($B91&lt;&gt;0,AH91=""),1,IF(AH91&gt;$B91,1,0))</f>
        <v/>
      </c>
    </row>
    <row r="92" ht="15" customHeight="1" s="8286">
      <c r="A92" s="1646" t="inlineStr">
        <is>
          <t>Seguimiento a distancia con riesgo moderado (G2)</t>
        </is>
      </c>
      <c r="B92" s="5731">
        <f>SUM(C92:D92)</f>
        <v/>
      </c>
      <c r="C92" s="5732">
        <f>SUM(E92+G92+I92+K92+M92+O92+Q92+S92+U92+W92+Y92+AA92+AC92+AE92)</f>
        <v/>
      </c>
      <c r="D92" s="5733">
        <f>SUM(+F92+H92+J92+L92+N92+P92+R92+T92+V92+X92+Z92+AB92+AD92+AF92)</f>
        <v/>
      </c>
      <c r="E92" s="1539" t="n"/>
      <c r="F92" s="1540" t="n"/>
      <c r="G92" s="1615" t="n"/>
      <c r="H92" s="1540" t="n"/>
      <c r="I92" s="1771" t="n"/>
      <c r="J92" s="1729" t="n"/>
      <c r="K92" s="1770" t="n"/>
      <c r="L92" s="1729" t="n"/>
      <c r="M92" s="1771" t="n"/>
      <c r="N92" s="1729" t="n"/>
      <c r="O92" s="1771" t="n"/>
      <c r="P92" s="1729" t="n"/>
      <c r="Q92" s="1771" t="n"/>
      <c r="R92" s="1729" t="n"/>
      <c r="S92" s="1771" t="n"/>
      <c r="T92" s="1729" t="n"/>
      <c r="U92" s="1771" t="n"/>
      <c r="V92" s="1729" t="n"/>
      <c r="W92" s="1771" t="n"/>
      <c r="X92" s="5734" t="n"/>
      <c r="Y92" s="1770" t="n"/>
      <c r="Z92" s="1729" t="n"/>
      <c r="AA92" s="1770" t="n"/>
      <c r="AB92" s="1729" t="n"/>
      <c r="AC92" s="1770" t="n"/>
      <c r="AD92" s="1729" t="n"/>
      <c r="AE92" s="1771" t="n"/>
      <c r="AF92" s="1728" t="n"/>
      <c r="AG92" s="5720" t="n"/>
      <c r="AH92" s="1647" t="n"/>
      <c r="AI92" s="1006">
        <f>$CA92&amp;CB92</f>
        <v/>
      </c>
      <c r="BN92" s="932" t="n"/>
      <c r="BO92" s="932" t="n"/>
      <c r="BP92" s="932" t="n"/>
      <c r="BQ92" s="932" t="n"/>
      <c r="BR92" s="932" t="n"/>
      <c r="BS92" s="932" t="n"/>
      <c r="BT92" s="932" t="n"/>
      <c r="BU92" s="932" t="n"/>
      <c r="BV92" s="932" t="n"/>
      <c r="BW92" s="932" t="n"/>
      <c r="BX92" s="932" t="n"/>
      <c r="BY92" s="932" t="n"/>
      <c r="BZ92" s="932" t="n"/>
      <c r="CA92" s="5575">
        <f>IF(AND($B92&lt;&gt;0,AG92=""),"* No olvide ingresar la variable "&amp;AG$85&amp;""&amp;". Digite CERO si no tiene. ",IF(AG92&gt;$B92,"* La variable Migrantes no debe ser mayor al Total Ambos Sexos. ",""))</f>
        <v/>
      </c>
      <c r="CB92" s="5575">
        <f>IF(AND($B92&lt;&gt;0,AH92=""),"* No olvide ingresar la variable "&amp;AH$85&amp;""&amp;". Digite CERO si no tiene. ",IF(AH92&gt;$B92,"* La variable Pueblos Originarios no debe ser mayor al Total Ambos Sexos. ",""))</f>
        <v/>
      </c>
      <c r="CC92" s="932" t="n"/>
      <c r="CD92" s="932" t="n"/>
      <c r="CE92" s="5647" t="n"/>
      <c r="CF92" s="5647" t="n"/>
      <c r="CG92" s="5647" t="n"/>
      <c r="CH92" s="5647" t="n"/>
      <c r="CI92" s="5647" t="n"/>
      <c r="CU92" s="5577">
        <f>IF(AND($B92&lt;&gt;0,AG92=""),1,IF(AG92&gt;$B92,1,0))</f>
        <v/>
      </c>
      <c r="CV92" s="5577">
        <f>IF(AND($B92&lt;&gt;0,AH92=""),1,IF(AH92&gt;$B92,1,0))</f>
        <v/>
      </c>
    </row>
    <row r="93" ht="15" customHeight="1" s="8286">
      <c r="A93" s="7210" t="inlineStr">
        <is>
          <t>Seguimiento a distancia con riesgo alto (G3)</t>
        </is>
      </c>
      <c r="B93" s="5735">
        <f>SUM(C93:D93)</f>
        <v/>
      </c>
      <c r="C93" s="5736">
        <f>SUM(E93+G93+I93+K93+M93+O93+Q93+S93+U93+W93+Y93+AA93+AC93+AE93)</f>
        <v/>
      </c>
      <c r="D93" s="5699">
        <f>SUM(+F93+H93+J93+L93+N93+P93+R93+T93+V93+X93+Z93+AB93+AD93+AF93)</f>
        <v/>
      </c>
      <c r="E93" s="1083" t="n"/>
      <c r="F93" s="949" t="n"/>
      <c r="G93" s="1628" t="n"/>
      <c r="H93" s="949" t="n"/>
      <c r="I93" s="5737" t="n"/>
      <c r="J93" s="5738" t="n"/>
      <c r="K93" s="5739" t="n"/>
      <c r="L93" s="5738" t="n"/>
      <c r="M93" s="5737" t="n"/>
      <c r="N93" s="5738" t="n"/>
      <c r="O93" s="5737" t="n"/>
      <c r="P93" s="5738" t="n"/>
      <c r="Q93" s="5737" t="n"/>
      <c r="R93" s="5738" t="n"/>
      <c r="S93" s="5737" t="n"/>
      <c r="T93" s="5738" t="n"/>
      <c r="U93" s="5737" t="n"/>
      <c r="V93" s="5738" t="n"/>
      <c r="W93" s="5737" t="n"/>
      <c r="X93" s="5740" t="n"/>
      <c r="Y93" s="5739" t="n"/>
      <c r="Z93" s="5738" t="n"/>
      <c r="AA93" s="5739" t="n"/>
      <c r="AB93" s="5738" t="n"/>
      <c r="AC93" s="5739" t="n"/>
      <c r="AD93" s="5738" t="n"/>
      <c r="AE93" s="5737" t="n"/>
      <c r="AF93" s="5741" t="n"/>
      <c r="AG93" s="5746" t="n"/>
      <c r="AH93" s="1086" t="n"/>
      <c r="AI93" s="1006">
        <f>$CA93&amp;CB93</f>
        <v/>
      </c>
      <c r="BN93" s="932" t="n"/>
      <c r="BO93" s="932" t="n"/>
      <c r="BP93" s="932" t="n"/>
      <c r="BQ93" s="932" t="n"/>
      <c r="BR93" s="932" t="n"/>
      <c r="BS93" s="932" t="n"/>
      <c r="BT93" s="932" t="n"/>
      <c r="BU93" s="932" t="n"/>
      <c r="BV93" s="932" t="n"/>
      <c r="BW93" s="932" t="n"/>
      <c r="BX93" s="932" t="n"/>
      <c r="BY93" s="932" t="n"/>
      <c r="BZ93" s="932" t="n"/>
      <c r="CA93" s="5575">
        <f>IF(AND($B93&lt;&gt;0,AG93=""),"* No olvide ingresar la variable "&amp;AG$85&amp;""&amp;". Digite CERO si no tiene. ",IF(AG93&gt;$B93,"* La variable Migrantes no debe ser mayor al Total Ambos Sexos. ",""))</f>
        <v/>
      </c>
      <c r="CB93" s="5575">
        <f>IF(AND($B93&lt;&gt;0,AH93=""),"* No olvide ingresar la variable "&amp;AH$85&amp;""&amp;". Digite CERO si no tiene. ",IF(AH93&gt;$B93,"* La variable Pueblos Originarios no debe ser mayor al Total Ambos Sexos. ",""))</f>
        <v/>
      </c>
      <c r="CC93" s="932" t="n"/>
      <c r="CD93" s="932" t="n"/>
      <c r="CE93" s="5647" t="n"/>
      <c r="CF93" s="5647" t="n"/>
      <c r="CG93" s="5647" t="n"/>
      <c r="CH93" s="5647" t="n"/>
      <c r="CI93" s="5647" t="n"/>
      <c r="CU93" s="5577">
        <f>IF(AND($B93&lt;&gt;0,AG93=""),1,IF(AG93&gt;$B93,1,0))</f>
        <v/>
      </c>
      <c r="CV93" s="5577">
        <f>IF(AND($B93&lt;&gt;0,AH93=""),1,IF(AH93&gt;$B93,1,0))</f>
        <v/>
      </c>
    </row>
    <row r="94" ht="23.25" customHeight="1" s="8286">
      <c r="A94" s="9657" t="inlineStr">
        <is>
          <t>SECCIÓN G. PROGRAMA DE CANCER DE CUELLO UTERINO: PAP TOMADOS E INFORMADOS SEGÚN RESULTADOS Y GRUPOS DE EDAD (Exámenes tomados en establecimientos de atención primaria que realizan tamizaje, uso APS)</t>
        </is>
      </c>
      <c r="B94" s="9602" t="n"/>
      <c r="C94" s="9602" t="n"/>
      <c r="D94" s="9602" t="n"/>
      <c r="E94" s="9602" t="n"/>
      <c r="F94" s="9602" t="n"/>
      <c r="G94" s="9602" t="n"/>
      <c r="H94" s="9602" t="n"/>
      <c r="I94" s="9602" t="n"/>
      <c r="J94" s="9602" t="n"/>
      <c r="K94" s="9602" t="n"/>
      <c r="L94" s="9602" t="n"/>
      <c r="M94" s="9602" t="n"/>
      <c r="N94" s="9602" t="n"/>
    </row>
    <row r="95" ht="15" customHeight="1" s="8286">
      <c r="A95" s="7149" t="inlineStr">
        <is>
          <t>RANGO ETARIO 
(en años)</t>
        </is>
      </c>
      <c r="B95" s="9658" t="inlineStr">
        <is>
          <t>PAP TOMADOS E INFORMADOS SEGÚN RESULTADO</t>
        </is>
      </c>
      <c r="C95" s="9659" t="n"/>
      <c r="D95" s="9659" t="n"/>
      <c r="E95" s="9659" t="n"/>
      <c r="F95" s="9659" t="n"/>
      <c r="G95" s="9659" t="n"/>
      <c r="H95" s="9659" t="n"/>
      <c r="I95" s="9659" t="n"/>
      <c r="J95" s="9659" t="n"/>
      <c r="K95" s="9660" t="n"/>
      <c r="L95" s="9661" t="inlineStr">
        <is>
          <t xml:space="preserve">Total PAP informados en trans masculino </t>
        </is>
      </c>
    </row>
    <row r="96" ht="15" customHeight="1" s="8286">
      <c r="A96" s="407" t="n"/>
      <c r="B96" s="9662" t="inlineStr">
        <is>
          <t>TOTAL</t>
        </is>
      </c>
      <c r="C96" s="9663" t="inlineStr">
        <is>
          <t>Normales</t>
        </is>
      </c>
      <c r="D96" s="9664" t="inlineStr">
        <is>
          <t>Inadecuados y atípicos</t>
        </is>
      </c>
      <c r="E96" s="9582" t="n"/>
      <c r="F96" s="9665" t="inlineStr">
        <is>
          <t>Positivos</t>
        </is>
      </c>
      <c r="G96" s="9666" t="n"/>
      <c r="H96" s="9666" t="n"/>
      <c r="I96" s="9666" t="n"/>
      <c r="J96" s="9666" t="n"/>
      <c r="K96" s="9667" t="n"/>
      <c r="L96" s="9668" t="n"/>
    </row>
    <row r="97" ht="23.25" customHeight="1" s="8286">
      <c r="A97" s="9669" t="n"/>
      <c r="B97" s="9670" t="n"/>
      <c r="C97" s="9671" t="n"/>
      <c r="D97" s="5749" t="inlineStr">
        <is>
          <t>Inadecuados</t>
        </is>
      </c>
      <c r="E97" s="5750" t="inlineStr">
        <is>
          <t>Atípicos</t>
        </is>
      </c>
      <c r="F97" s="5751" t="inlineStr">
        <is>
          <t xml:space="preserve"> HPV</t>
        </is>
      </c>
      <c r="G97" s="5752" t="inlineStr">
        <is>
          <t>NIE I</t>
        </is>
      </c>
      <c r="H97" s="5752" t="inlineStr">
        <is>
          <t>NIE II</t>
        </is>
      </c>
      <c r="I97" s="5752" t="inlineStr">
        <is>
          <t xml:space="preserve"> NIE III</t>
        </is>
      </c>
      <c r="J97" s="5752" t="inlineStr">
        <is>
          <t>Ca. Inv. (Epidermoide)</t>
        </is>
      </c>
      <c r="K97" s="5753" t="inlineStr">
        <is>
          <t>Ca. Inv. (Adenocarcinoma)</t>
        </is>
      </c>
      <c r="L97" s="9672" t="n"/>
    </row>
    <row r="98">
      <c r="A98" s="5754" t="inlineStr">
        <is>
          <t>Menor de 25 años</t>
        </is>
      </c>
      <c r="B98" s="5755">
        <f>SUM(C98:K98)</f>
        <v/>
      </c>
      <c r="C98" s="5756" t="n"/>
      <c r="D98" s="5757" t="n"/>
      <c r="E98" s="5758" t="n"/>
      <c r="F98" s="5757" t="n"/>
      <c r="G98" s="5759" t="n"/>
      <c r="H98" s="5759" t="n"/>
      <c r="I98" s="5759" t="n"/>
      <c r="J98" s="5759" t="n"/>
      <c r="K98" s="5760" t="n"/>
      <c r="L98" s="5758" t="n"/>
      <c r="M98" s="1006">
        <f>$CA98</f>
        <v/>
      </c>
      <c r="CA98" s="5575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/>
      </c>
    </row>
    <row r="99">
      <c r="A99" s="5761" t="inlineStr">
        <is>
          <t xml:space="preserve">25 a 29 años </t>
        </is>
      </c>
      <c r="B99" s="5762">
        <f>SUM(C99:K99)</f>
        <v/>
      </c>
      <c r="C99" s="5756" t="n"/>
      <c r="D99" s="5757" t="n"/>
      <c r="E99" s="5758" t="n"/>
      <c r="F99" s="5757" t="n"/>
      <c r="G99" s="5759" t="n"/>
      <c r="H99" s="5759" t="n"/>
      <c r="I99" s="5759" t="n"/>
      <c r="J99" s="5759" t="n"/>
      <c r="K99" s="5760" t="n"/>
      <c r="L99" s="5758" t="n"/>
      <c r="M99" s="1006">
        <f>$CA99</f>
        <v/>
      </c>
      <c r="CA99" s="5575">
        <f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>IF(AND($B99&lt;&gt;0,L99=""),1,IF(L99&gt;$B99,1,0))</f>
        <v/>
      </c>
    </row>
    <row r="100">
      <c r="A100" s="5761" t="inlineStr">
        <is>
          <t>30 a 34 años</t>
        </is>
      </c>
      <c r="B100" s="5755">
        <f>SUM(C100:K100)</f>
        <v/>
      </c>
      <c r="C100" s="5756" t="n"/>
      <c r="D100" s="5757" t="n"/>
      <c r="E100" s="5758" t="n"/>
      <c r="F100" s="5757" t="n"/>
      <c r="G100" s="5759" t="n"/>
      <c r="H100" s="5759" t="n"/>
      <c r="I100" s="5759" t="n"/>
      <c r="J100" s="5759" t="n"/>
      <c r="K100" s="5760" t="n"/>
      <c r="L100" s="5758" t="n"/>
      <c r="M100" s="1006">
        <f>$CA100</f>
        <v/>
      </c>
      <c r="CA100" s="5575">
        <f>IF(AND($B100&lt;&gt;0,L100=""),"* No olvide ingresar la variable "&amp;L$95&amp;""&amp;". Digite CERO si no tiene. ",IF(L100&gt;$B100,"* La variable Total PAP informados en trans masculino no debe ser mayor al Total. ",""))</f>
        <v/>
      </c>
      <c r="CU100" s="5577">
        <f>IF(AND($B100&lt;&gt;0,L100=""),1,IF(L100&gt;$B100,1,0))</f>
        <v/>
      </c>
    </row>
    <row r="101">
      <c r="A101" s="5761" t="inlineStr">
        <is>
          <t>35 a 39 años</t>
        </is>
      </c>
      <c r="B101" s="5762">
        <f>SUM(C101:K101)</f>
        <v/>
      </c>
      <c r="C101" s="5756" t="n"/>
      <c r="D101" s="5757" t="n"/>
      <c r="E101" s="5758" t="n"/>
      <c r="F101" s="5757" t="n"/>
      <c r="G101" s="5759" t="n"/>
      <c r="H101" s="5759" t="n"/>
      <c r="I101" s="5759" t="n"/>
      <c r="J101" s="5759" t="n"/>
      <c r="K101" s="5760" t="n"/>
      <c r="L101" s="5758" t="n"/>
      <c r="M101" s="1006">
        <f>$CA101</f>
        <v/>
      </c>
      <c r="CA101" s="5575">
        <f>IF(AND($B101&lt;&gt;0,L101=""),"* No olvide ingresar la variable "&amp;L$95&amp;""&amp;". Digite CERO si no tiene. ",IF(L101&gt;$B101,"* La variable Total PAP informados en trans masculino no debe ser mayor al Total. ",""))</f>
        <v/>
      </c>
      <c r="CU101" s="5577">
        <f>IF(AND($B101&lt;&gt;0,L101=""),1,IF(L101&gt;$B101,1,0))</f>
        <v/>
      </c>
    </row>
    <row r="102">
      <c r="A102" s="5761" t="inlineStr">
        <is>
          <t>40 a 44 años</t>
        </is>
      </c>
      <c r="B102" s="5762">
        <f>SUM(C102:K102)</f>
        <v/>
      </c>
      <c r="C102" s="5756" t="n"/>
      <c r="D102" s="5757" t="n"/>
      <c r="E102" s="5758" t="n"/>
      <c r="F102" s="5757" t="n"/>
      <c r="G102" s="5759" t="n"/>
      <c r="H102" s="5759" t="n"/>
      <c r="I102" s="5759" t="n"/>
      <c r="J102" s="5759" t="n"/>
      <c r="K102" s="5760" t="n"/>
      <c r="L102" s="5758" t="n"/>
      <c r="M102" s="1006">
        <f>$CA102</f>
        <v/>
      </c>
      <c r="CA102" s="5575">
        <f>IF(AND($B102&lt;&gt;0,L102=""),"* No olvide ingresar la variable "&amp;L$95&amp;""&amp;". Digite CERO si no tiene. ",IF(L102&gt;$B102,"* La variable Total PAP informados en trans masculino no debe ser mayor al Total. ",""))</f>
        <v/>
      </c>
      <c r="CU102" s="5577">
        <f>IF(AND($B102&lt;&gt;0,L102=""),1,IF(L102&gt;$B102,1,0))</f>
        <v/>
      </c>
    </row>
    <row r="103">
      <c r="A103" s="5761" t="inlineStr">
        <is>
          <t>45 a 49 años</t>
        </is>
      </c>
      <c r="B103" s="5762">
        <f>SUM(C103:K103)</f>
        <v/>
      </c>
      <c r="C103" s="5756" t="n"/>
      <c r="D103" s="5757" t="n"/>
      <c r="E103" s="5758" t="n"/>
      <c r="F103" s="5757" t="n"/>
      <c r="G103" s="5759" t="n"/>
      <c r="H103" s="5759" t="n"/>
      <c r="I103" s="5759" t="n"/>
      <c r="J103" s="5759" t="n"/>
      <c r="K103" s="5760" t="n"/>
      <c r="L103" s="5758" t="n"/>
      <c r="M103" s="1006">
        <f>$CA103</f>
        <v/>
      </c>
      <c r="CA103" s="5575">
        <f>IF(AND($B103&lt;&gt;0,L103=""),"* No olvide ingresar la variable "&amp;L$95&amp;""&amp;". Digite CERO si no tiene. ",IF(L103&gt;$B103,"* La variable Total PAP informados en trans masculino no debe ser mayor al Total. ",""))</f>
        <v/>
      </c>
      <c r="CU103" s="5577">
        <f>IF(AND($B103&lt;&gt;0,L103=""),1,IF(L103&gt;$B103,1,0))</f>
        <v/>
      </c>
    </row>
    <row r="104">
      <c r="A104" s="5761" t="inlineStr">
        <is>
          <t>50 a 54 años</t>
        </is>
      </c>
      <c r="B104" s="5762">
        <f>SUM(C104:K104)</f>
        <v/>
      </c>
      <c r="C104" s="5756" t="n"/>
      <c r="D104" s="5757" t="n"/>
      <c r="E104" s="5758" t="n"/>
      <c r="F104" s="5757" t="n"/>
      <c r="G104" s="5759" t="n"/>
      <c r="H104" s="5759" t="n"/>
      <c r="I104" s="5759" t="n"/>
      <c r="J104" s="5759" t="n"/>
      <c r="K104" s="5760" t="n"/>
      <c r="L104" s="5758" t="n"/>
      <c r="M104" s="1006">
        <f>$CA104</f>
        <v/>
      </c>
      <c r="CA104" s="5575">
        <f>IF(AND($B104&lt;&gt;0,L104=""),"* No olvide ingresar la variable "&amp;L$95&amp;""&amp;". Digite CERO si no tiene. ",IF(L104&gt;$B104,"* La variable Total PAP informados en trans masculino no debe ser mayor al Total. ",""))</f>
        <v/>
      </c>
      <c r="CU104" s="5577">
        <f>IF(AND($B104&lt;&gt;0,L104=""),1,IF(L104&gt;$B104,1,0))</f>
        <v/>
      </c>
    </row>
    <row r="105">
      <c r="A105" s="5761" t="inlineStr">
        <is>
          <t>55 a 59 años</t>
        </is>
      </c>
      <c r="B105" s="5762">
        <f>SUM(C105:K105)</f>
        <v/>
      </c>
      <c r="C105" s="5756" t="n"/>
      <c r="D105" s="5757" t="n"/>
      <c r="E105" s="5758" t="n"/>
      <c r="F105" s="5757" t="n"/>
      <c r="G105" s="5759" t="n"/>
      <c r="H105" s="5759" t="n"/>
      <c r="I105" s="5759" t="n"/>
      <c r="J105" s="5759" t="n"/>
      <c r="K105" s="5760" t="n"/>
      <c r="L105" s="5758" t="n"/>
      <c r="M105" s="1006">
        <f>$CA105</f>
        <v/>
      </c>
      <c r="CA105" s="5575">
        <f>IF(AND($B105&lt;&gt;0,L105=""),"* No olvide ingresar la variable "&amp;L$95&amp;""&amp;". Digite CERO si no tiene. ",IF(L105&gt;$B105,"* La variable Total PAP informados en trans masculino no debe ser mayor al Total. ",""))</f>
        <v/>
      </c>
      <c r="CU105" s="5577">
        <f>IF(AND($B105&lt;&gt;0,L105=""),1,IF(L105&gt;$B105,1,0))</f>
        <v/>
      </c>
    </row>
    <row r="106">
      <c r="A106" s="5761" t="inlineStr">
        <is>
          <t>60 a 64 años</t>
        </is>
      </c>
      <c r="B106" s="5762">
        <f>SUM(C106:K106)</f>
        <v/>
      </c>
      <c r="C106" s="5756" t="n"/>
      <c r="D106" s="5757" t="n"/>
      <c r="E106" s="5758" t="n"/>
      <c r="F106" s="5757" t="n"/>
      <c r="G106" s="5759" t="n"/>
      <c r="H106" s="5759" t="n"/>
      <c r="I106" s="5759" t="n"/>
      <c r="J106" s="5759" t="n"/>
      <c r="K106" s="5760" t="n"/>
      <c r="L106" s="5758" t="n"/>
      <c r="M106" s="1006">
        <f>$CA106</f>
        <v/>
      </c>
      <c r="CA106" s="5575">
        <f>IF(AND($B106&lt;&gt;0,L106=""),"* No olvide ingresar la variable "&amp;L$95&amp;""&amp;". Digite CERO si no tiene. ",IF(L106&gt;$B106,"* La variable Total PAP informados en trans masculino no debe ser mayor al Total. ",""))</f>
        <v/>
      </c>
      <c r="CU106" s="5577">
        <f>IF(AND($B106&lt;&gt;0,L106=""),1,IF(L106&gt;$B106,1,0))</f>
        <v/>
      </c>
    </row>
    <row r="107">
      <c r="A107" s="5761" t="inlineStr">
        <is>
          <t>65 a 69 años</t>
        </is>
      </c>
      <c r="B107" s="5762">
        <f>SUM(C107:K107)</f>
        <v/>
      </c>
      <c r="C107" s="5756" t="n"/>
      <c r="D107" s="5757" t="n"/>
      <c r="E107" s="5758" t="n"/>
      <c r="F107" s="5757" t="n"/>
      <c r="G107" s="5759" t="n"/>
      <c r="H107" s="5759" t="n"/>
      <c r="I107" s="5759" t="n"/>
      <c r="J107" s="5759" t="n"/>
      <c r="K107" s="5760" t="n"/>
      <c r="L107" s="5758" t="n"/>
      <c r="M107" s="1006">
        <f>$CA107</f>
        <v/>
      </c>
      <c r="CA107" s="5575">
        <f>IF(AND($B107&lt;&gt;0,L107=""),"* No olvide ingresar la variable "&amp;L$95&amp;""&amp;". Digite CERO si no tiene. ",IF(L107&gt;$B107,"* La variable Total PAP informados en trans masculino no debe ser mayor al Total. ",""))</f>
        <v/>
      </c>
      <c r="CU107" s="5577">
        <f>IF(AND($B107&lt;&gt;0,L107=""),1,IF(L107&gt;$B107,1,0))</f>
        <v/>
      </c>
    </row>
    <row r="108">
      <c r="A108" s="5761" t="inlineStr">
        <is>
          <t>70 a 74 años</t>
        </is>
      </c>
      <c r="B108" s="5762">
        <f>SUM(C108:K108)</f>
        <v/>
      </c>
      <c r="C108" s="5756" t="n"/>
      <c r="D108" s="5757" t="n"/>
      <c r="E108" s="5758" t="n"/>
      <c r="F108" s="5757" t="n"/>
      <c r="G108" s="5759" t="n"/>
      <c r="H108" s="5759" t="n"/>
      <c r="I108" s="5759" t="n"/>
      <c r="J108" s="5759" t="n"/>
      <c r="K108" s="5760" t="n"/>
      <c r="L108" s="5758" t="n"/>
      <c r="M108" s="1006">
        <f>$CA108</f>
        <v/>
      </c>
      <c r="CA108" s="5575">
        <f>IF(AND($B108&lt;&gt;0,L108=""),"* No olvide ingresar la variable "&amp;L$95&amp;""&amp;". Digite CERO si no tiene. ",IF(L108&gt;$B108,"* La variable Total PAP informados en trans masculino no debe ser mayor al Total. ",""))</f>
        <v/>
      </c>
      <c r="CU108" s="5577">
        <f>IF(AND($B108&lt;&gt;0,L108=""),1,IF(L108&gt;$B108,1,0))</f>
        <v/>
      </c>
    </row>
    <row r="109">
      <c r="A109" s="5761" t="inlineStr">
        <is>
          <t>75 a 79 años</t>
        </is>
      </c>
      <c r="B109" s="5762">
        <f>SUM(C109:K109)</f>
        <v/>
      </c>
      <c r="C109" s="5756" t="n"/>
      <c r="D109" s="5757" t="n"/>
      <c r="E109" s="5758" t="n"/>
      <c r="F109" s="5757" t="n"/>
      <c r="G109" s="5759" t="n"/>
      <c r="H109" s="5759" t="n"/>
      <c r="I109" s="5759" t="n"/>
      <c r="J109" s="5759" t="n"/>
      <c r="K109" s="5760" t="n"/>
      <c r="L109" s="5758" t="n"/>
      <c r="M109" s="1006">
        <f>$CA109</f>
        <v/>
      </c>
      <c r="CA109" s="5575">
        <f>IF(AND($B109&lt;&gt;0,L109=""),"* No olvide ingresar la variable "&amp;L$95&amp;""&amp;". Digite CERO si no tiene. ",IF(L109&gt;$B109,"* La variable Total PAP informados en trans masculino no debe ser mayor al Total. ",""))</f>
        <v/>
      </c>
      <c r="CU109" s="5577">
        <f>IF(AND($B109&lt;&gt;0,L109=""),1,IF(L109&gt;$B109,1,0))</f>
        <v/>
      </c>
    </row>
    <row r="110">
      <c r="A110" s="5763" t="inlineStr">
        <is>
          <t>80 y más años</t>
        </is>
      </c>
      <c r="B110" s="5764">
        <f>SUM(C110:K110)</f>
        <v/>
      </c>
      <c r="C110" s="5765" t="n"/>
      <c r="D110" s="5766" t="n"/>
      <c r="E110" s="5767" t="n"/>
      <c r="F110" s="5766" t="n"/>
      <c r="G110" s="5768" t="n"/>
      <c r="H110" s="5768" t="n"/>
      <c r="I110" s="5768" t="n"/>
      <c r="J110" s="5768" t="n"/>
      <c r="K110" s="5769" t="n"/>
      <c r="L110" s="5767" t="n"/>
      <c r="M110" s="1006">
        <f>$CA110</f>
        <v/>
      </c>
      <c r="CA110" s="5575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>IF(AND($B110&lt;&gt;0,L110=""),1,IF(L110&gt;$B110,1,0))</f>
        <v/>
      </c>
    </row>
    <row r="111">
      <c r="A111" s="5770" t="inlineStr">
        <is>
          <t>TOTAL</t>
        </is>
      </c>
      <c r="B111" s="5771">
        <f>SUM(C111:K111)</f>
        <v/>
      </c>
      <c r="C111" s="5771">
        <f>SUM(C98:C110)</f>
        <v/>
      </c>
      <c r="D111" s="5772">
        <f>SUM(D98:D110)</f>
        <v/>
      </c>
      <c r="E111" s="5773">
        <f>SUM(E98:E110)</f>
        <v/>
      </c>
      <c r="F111" s="5772">
        <f>SUM(F98:F110)</f>
        <v/>
      </c>
      <c r="G111" s="5774">
        <f>SUM(G98:G110)</f>
        <v/>
      </c>
      <c r="H111" s="5774">
        <f>SUM(H98:H110)</f>
        <v/>
      </c>
      <c r="I111" s="5774">
        <f>SUM(I98:I110)</f>
        <v/>
      </c>
      <c r="J111" s="5774">
        <f>SUM(J98:J110)</f>
        <v/>
      </c>
      <c r="K111" s="5775">
        <f>SUM(K98:K110)</f>
        <v/>
      </c>
      <c r="L111" s="5773">
        <f>SUM(L98:L110)</f>
        <v/>
      </c>
    </row>
    <row r="112" ht="18" customHeight="1" s="8286">
      <c r="A112" s="5776" t="inlineStr">
        <is>
          <t>(*) Fuente de información: Citoweb u otro sistema de registro informático.</t>
        </is>
      </c>
      <c r="B112" s="5777" t="n"/>
      <c r="C112" s="5777" t="n"/>
      <c r="D112" s="5777" t="n"/>
      <c r="E112" s="5777" t="n"/>
      <c r="F112" s="5777" t="n"/>
      <c r="G112" s="5777" t="n"/>
      <c r="H112" s="5777" t="n"/>
      <c r="I112" s="5777" t="n"/>
      <c r="J112" s="5777" t="n"/>
      <c r="K112" s="5777" t="n"/>
      <c r="L112" s="5778" t="n"/>
    </row>
    <row r="113" ht="30.75" customHeight="1" s="8286">
      <c r="A113" s="9673" t="inlineStr">
        <is>
          <t>SECCIÓN G.1 PROGRAMA DE CANCER DE CUELLO UTERINO: RESULTADOS DE PAP INFORMADOS SEGÚN GRUPOS DE EDAD (Exámenes analizados en los laboratorios de la red pública, uso exclusivo laboratorios que procesan)</t>
        </is>
      </c>
      <c r="B113" s="9591" t="n"/>
      <c r="C113" s="9591" t="n"/>
      <c r="D113" s="9591" t="n"/>
      <c r="E113" s="9591" t="n"/>
      <c r="F113" s="9591" t="n"/>
      <c r="G113" s="9591" t="n"/>
      <c r="H113" s="9591" t="n"/>
      <c r="I113" s="9591" t="n"/>
      <c r="J113" s="9591" t="n"/>
      <c r="K113" s="9591" t="n"/>
      <c r="L113" s="9591" t="n"/>
      <c r="M113" s="5779" t="n"/>
      <c r="N113" s="5779" t="n"/>
    </row>
    <row r="114" ht="15" customHeight="1" s="8286">
      <c r="A114" s="9664" t="inlineStr">
        <is>
          <t>RANGO ETARIO 
(en años)</t>
        </is>
      </c>
      <c r="B114" s="9665" t="inlineStr">
        <is>
          <t>RESULTADOS DE PAP INFORMADOS</t>
        </is>
      </c>
      <c r="C114" s="9666" t="n"/>
      <c r="D114" s="9666" t="n"/>
      <c r="E114" s="9666" t="n"/>
      <c r="F114" s="9666" t="n"/>
      <c r="G114" s="9666" t="n"/>
      <c r="H114" s="9666" t="n"/>
      <c r="I114" s="9666" t="n"/>
      <c r="J114" s="9666" t="n"/>
      <c r="K114" s="9667" t="n"/>
      <c r="L114" s="9674" t="inlineStr">
        <is>
          <t xml:space="preserve">Total PAP informados en trans masculino </t>
        </is>
      </c>
    </row>
    <row r="115" ht="15" customHeight="1" s="8286">
      <c r="A115" s="9614" t="n"/>
      <c r="B115" s="9675" t="inlineStr">
        <is>
          <t>TOTAL</t>
        </is>
      </c>
      <c r="C115" s="9676" t="inlineStr">
        <is>
          <t>Normales</t>
        </is>
      </c>
      <c r="D115" s="9664" t="inlineStr">
        <is>
          <t>Inadecuados y atípicos</t>
        </is>
      </c>
      <c r="E115" s="9582" t="n"/>
      <c r="F115" s="9665" t="inlineStr">
        <is>
          <t>Positivos</t>
        </is>
      </c>
      <c r="G115" s="9666" t="n"/>
      <c r="H115" s="9666" t="n"/>
      <c r="I115" s="9666" t="n"/>
      <c r="J115" s="9666" t="n"/>
      <c r="K115" s="9667" t="n"/>
      <c r="L115" s="9625" t="n"/>
    </row>
    <row r="116" ht="27" customHeight="1" s="8286">
      <c r="A116" s="9610" t="n"/>
      <c r="B116" s="9589" t="n"/>
      <c r="C116" s="9641" t="n"/>
      <c r="D116" s="5780" t="inlineStr">
        <is>
          <t>Inadecuados</t>
        </is>
      </c>
      <c r="E116" s="5781" t="inlineStr">
        <is>
          <t>Atípicos</t>
        </is>
      </c>
      <c r="F116" s="5782" t="inlineStr">
        <is>
          <t xml:space="preserve"> HPV</t>
        </is>
      </c>
      <c r="G116" s="5783" t="inlineStr">
        <is>
          <t>NIE I</t>
        </is>
      </c>
      <c r="H116" s="5783" t="inlineStr">
        <is>
          <t>NIE II</t>
        </is>
      </c>
      <c r="I116" s="5783" t="inlineStr">
        <is>
          <t xml:space="preserve"> NIE III</t>
        </is>
      </c>
      <c r="J116" s="5783" t="inlineStr">
        <is>
          <t>Ca. Inv. (Epidermoide)</t>
        </is>
      </c>
      <c r="K116" s="7140" t="inlineStr">
        <is>
          <t>Ca. Inv. (Adenocarcinoma)</t>
        </is>
      </c>
      <c r="L116" s="9641" t="n"/>
    </row>
    <row r="117">
      <c r="A117" s="5754" t="inlineStr">
        <is>
          <t>Menor de 25 años</t>
        </is>
      </c>
      <c r="B117" s="5755">
        <f>SUM(C117:K117)</f>
        <v/>
      </c>
      <c r="C117" s="5758" t="n"/>
      <c r="D117" s="5757" t="n"/>
      <c r="E117" s="5758" t="n"/>
      <c r="F117" s="5757" t="n"/>
      <c r="G117" s="5759" t="n"/>
      <c r="H117" s="5759" t="n"/>
      <c r="I117" s="5759" t="n"/>
      <c r="J117" s="5759" t="n"/>
      <c r="K117" s="5760" t="n"/>
      <c r="L117" s="5784" t="n"/>
      <c r="M117" s="1006">
        <f>$CA117</f>
        <v/>
      </c>
      <c r="CA117" s="5575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/>
      </c>
    </row>
    <row r="118">
      <c r="A118" s="5761" t="inlineStr">
        <is>
          <t xml:space="preserve">25 a 29 años </t>
        </is>
      </c>
      <c r="B118" s="5755">
        <f>SUM(C118:K118)</f>
        <v/>
      </c>
      <c r="C118" s="5758" t="n"/>
      <c r="D118" s="5757" t="n"/>
      <c r="E118" s="5758" t="n"/>
      <c r="F118" s="5757" t="n"/>
      <c r="G118" s="5759" t="n"/>
      <c r="H118" s="5759" t="n"/>
      <c r="I118" s="5759" t="n"/>
      <c r="J118" s="5759" t="n"/>
      <c r="K118" s="5760" t="n"/>
      <c r="L118" s="5758" t="n"/>
      <c r="M118" s="1006">
        <f>$CA118</f>
        <v/>
      </c>
      <c r="CA118" s="5575">
        <f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>IF(AND($B118&lt;&gt;0,L118=""),1,IF(L118&gt;$B118,1,0))</f>
        <v/>
      </c>
    </row>
    <row r="119">
      <c r="A119" s="5761" t="inlineStr">
        <is>
          <t>30 a 34 años</t>
        </is>
      </c>
      <c r="B119" s="5755">
        <f>SUM(C119:K119)</f>
        <v/>
      </c>
      <c r="C119" s="5758" t="n"/>
      <c r="D119" s="5757" t="n"/>
      <c r="E119" s="5758" t="n"/>
      <c r="F119" s="5757" t="n"/>
      <c r="G119" s="5759" t="n"/>
      <c r="H119" s="5759" t="n"/>
      <c r="I119" s="5759" t="n"/>
      <c r="J119" s="5759" t="n"/>
      <c r="K119" s="5760" t="n"/>
      <c r="L119" s="5758" t="n"/>
      <c r="M119" s="1006">
        <f>$CA119</f>
        <v/>
      </c>
      <c r="CA119" s="5575">
        <f>IF(AND($B119&lt;&gt;0,L119=""),"* No olvide ingresar la variable "&amp;L$114&amp;""&amp;". Digite CERO si no tiene. ",IF(L119&gt;$B119,"* La variable Total PAP informados en trans masculino no debe ser mayor al Total. ",""))</f>
        <v/>
      </c>
      <c r="CU119" s="5577">
        <f>IF(AND($B119&lt;&gt;0,L119=""),1,IF(L119&gt;$B119,1,0))</f>
        <v/>
      </c>
    </row>
    <row r="120">
      <c r="A120" s="5761" t="inlineStr">
        <is>
          <t>35 a 39 años</t>
        </is>
      </c>
      <c r="B120" s="5755">
        <f>SUM(C120:K120)</f>
        <v/>
      </c>
      <c r="C120" s="5758" t="n"/>
      <c r="D120" s="5757" t="n"/>
      <c r="E120" s="5758" t="n"/>
      <c r="F120" s="5757" t="n"/>
      <c r="G120" s="5759" t="n"/>
      <c r="H120" s="5759" t="n"/>
      <c r="I120" s="5759" t="n"/>
      <c r="J120" s="5759" t="n"/>
      <c r="K120" s="5760" t="n"/>
      <c r="L120" s="5758" t="n"/>
      <c r="M120" s="1006">
        <f>$CA120</f>
        <v/>
      </c>
      <c r="CA120" s="5575">
        <f>IF(AND($B120&lt;&gt;0,L120=""),"* No olvide ingresar la variable "&amp;L$114&amp;""&amp;". Digite CERO si no tiene. ",IF(L120&gt;$B120,"* La variable Total PAP informados en trans masculino no debe ser mayor al Total. ",""))</f>
        <v/>
      </c>
      <c r="CU120" s="5577">
        <f>IF(AND($B120&lt;&gt;0,L120=""),1,IF(L120&gt;$B120,1,0))</f>
        <v/>
      </c>
    </row>
    <row r="121">
      <c r="A121" s="5761" t="inlineStr">
        <is>
          <t>40 a 44 años</t>
        </is>
      </c>
      <c r="B121" s="5755">
        <f>SUM(C121:K121)</f>
        <v/>
      </c>
      <c r="C121" s="5758" t="n"/>
      <c r="D121" s="5757" t="n"/>
      <c r="E121" s="5758" t="n"/>
      <c r="F121" s="5757" t="n"/>
      <c r="G121" s="5759" t="n"/>
      <c r="H121" s="5759" t="n"/>
      <c r="I121" s="5759" t="n"/>
      <c r="J121" s="5759" t="n"/>
      <c r="K121" s="5760" t="n"/>
      <c r="L121" s="5758" t="n"/>
      <c r="M121" s="1006">
        <f>$CA121</f>
        <v/>
      </c>
      <c r="CA121" s="5575">
        <f>IF(AND($B121&lt;&gt;0,L121=""),"* No olvide ingresar la variable "&amp;L$114&amp;""&amp;". Digite CERO si no tiene. ",IF(L121&gt;$B121,"* La variable Total PAP informados en trans masculino no debe ser mayor al Total. ",""))</f>
        <v/>
      </c>
      <c r="CU121" s="5577">
        <f>IF(AND($B121&lt;&gt;0,L121=""),1,IF(L121&gt;$B121,1,0))</f>
        <v/>
      </c>
    </row>
    <row r="122">
      <c r="A122" s="5761" t="inlineStr">
        <is>
          <t>45 a 49 años</t>
        </is>
      </c>
      <c r="B122" s="5755">
        <f>SUM(C122:K122)</f>
        <v/>
      </c>
      <c r="C122" s="5758" t="n"/>
      <c r="D122" s="5757" t="n"/>
      <c r="E122" s="5758" t="n"/>
      <c r="F122" s="5757" t="n"/>
      <c r="G122" s="5759" t="n"/>
      <c r="H122" s="5759" t="n"/>
      <c r="I122" s="5759" t="n"/>
      <c r="J122" s="5759" t="n"/>
      <c r="K122" s="5760" t="n"/>
      <c r="L122" s="5758" t="n"/>
      <c r="M122" s="1006">
        <f>$CA122</f>
        <v/>
      </c>
      <c r="CA122" s="5575">
        <f>IF(AND($B122&lt;&gt;0,L122=""),"* No olvide ingresar la variable "&amp;L$114&amp;""&amp;". Digite CERO si no tiene. ",IF(L122&gt;$B122,"* La variable Total PAP informados en trans masculino no debe ser mayor al Total. ",""))</f>
        <v/>
      </c>
      <c r="CU122" s="5577">
        <f>IF(AND($B122&lt;&gt;0,L122=""),1,IF(L122&gt;$B122,1,0))</f>
        <v/>
      </c>
    </row>
    <row r="123">
      <c r="A123" s="5761" t="inlineStr">
        <is>
          <t>50 a 54 años</t>
        </is>
      </c>
      <c r="B123" s="5755">
        <f>SUM(C123:K123)</f>
        <v/>
      </c>
      <c r="C123" s="5758" t="n"/>
      <c r="D123" s="5757" t="n"/>
      <c r="E123" s="5758" t="n"/>
      <c r="F123" s="5757" t="n"/>
      <c r="G123" s="5759" t="n"/>
      <c r="H123" s="5759" t="n"/>
      <c r="I123" s="5759" t="n"/>
      <c r="J123" s="5759" t="n"/>
      <c r="K123" s="5760" t="n"/>
      <c r="L123" s="5758" t="n"/>
      <c r="M123" s="1006">
        <f>$CA123</f>
        <v/>
      </c>
      <c r="CA123" s="5575">
        <f>IF(AND($B123&lt;&gt;0,L123=""),"* No olvide ingresar la variable "&amp;L$114&amp;""&amp;". Digite CERO si no tiene. ",IF(L123&gt;$B123,"* La variable Total PAP informados en trans masculino no debe ser mayor al Total. ",""))</f>
        <v/>
      </c>
      <c r="CU123" s="5577">
        <f>IF(AND($B123&lt;&gt;0,L123=""),1,IF(L123&gt;$B123,1,0))</f>
        <v/>
      </c>
    </row>
    <row r="124">
      <c r="A124" s="5761" t="inlineStr">
        <is>
          <t>55 a 59 años</t>
        </is>
      </c>
      <c r="B124" s="5755">
        <f>SUM(C124:K124)</f>
        <v/>
      </c>
      <c r="C124" s="5758" t="n"/>
      <c r="D124" s="5757" t="n"/>
      <c r="E124" s="5758" t="n"/>
      <c r="F124" s="5757" t="n"/>
      <c r="G124" s="5759" t="n"/>
      <c r="H124" s="5759" t="n"/>
      <c r="I124" s="5759" t="n"/>
      <c r="J124" s="5759" t="n"/>
      <c r="K124" s="5760" t="n"/>
      <c r="L124" s="5758" t="n"/>
      <c r="M124" s="1006">
        <f>$CA124</f>
        <v/>
      </c>
      <c r="CA124" s="5575">
        <f>IF(AND($B124&lt;&gt;0,L124=""),"* No olvide ingresar la variable "&amp;L$114&amp;""&amp;". Digite CERO si no tiene. ",IF(L124&gt;$B124,"* La variable Total PAP informados en trans masculino no debe ser mayor al Total. ",""))</f>
        <v/>
      </c>
      <c r="CU124" s="5577">
        <f>IF(AND($B124&lt;&gt;0,L124=""),1,IF(L124&gt;$B124,1,0))</f>
        <v/>
      </c>
    </row>
    <row r="125">
      <c r="A125" s="5761" t="inlineStr">
        <is>
          <t>60 a 64 años</t>
        </is>
      </c>
      <c r="B125" s="5755">
        <f>SUM(C125:K125)</f>
        <v/>
      </c>
      <c r="C125" s="5758" t="n"/>
      <c r="D125" s="5757" t="n"/>
      <c r="E125" s="5758" t="n"/>
      <c r="F125" s="5757" t="n"/>
      <c r="G125" s="5759" t="n"/>
      <c r="H125" s="5759" t="n"/>
      <c r="I125" s="5759" t="n"/>
      <c r="J125" s="5759" t="n"/>
      <c r="K125" s="5760" t="n"/>
      <c r="L125" s="5758" t="n"/>
      <c r="M125" s="1006">
        <f>$CA125</f>
        <v/>
      </c>
      <c r="CA125" s="5575">
        <f>IF(AND($B125&lt;&gt;0,L125=""),"* No olvide ingresar la variable "&amp;L$114&amp;""&amp;". Digite CERO si no tiene. ",IF(L125&gt;$B125,"* La variable Total PAP informados en trans masculino no debe ser mayor al Total. ",""))</f>
        <v/>
      </c>
      <c r="CU125" s="5577">
        <f>IF(AND($B125&lt;&gt;0,L125=""),1,IF(L125&gt;$B125,1,0))</f>
        <v/>
      </c>
    </row>
    <row r="126">
      <c r="A126" s="5761" t="inlineStr">
        <is>
          <t>65 a 69 años</t>
        </is>
      </c>
      <c r="B126" s="5755">
        <f>SUM(C126:K126)</f>
        <v/>
      </c>
      <c r="C126" s="5758" t="n"/>
      <c r="D126" s="5757" t="n"/>
      <c r="E126" s="5758" t="n"/>
      <c r="F126" s="5757" t="n"/>
      <c r="G126" s="5759" t="n"/>
      <c r="H126" s="5759" t="n"/>
      <c r="I126" s="5759" t="n"/>
      <c r="J126" s="5759" t="n"/>
      <c r="K126" s="5760" t="n"/>
      <c r="L126" s="5758" t="n"/>
      <c r="M126" s="1006">
        <f>$CA126</f>
        <v/>
      </c>
      <c r="CA126" s="5575">
        <f>IF(AND($B126&lt;&gt;0,L126=""),"* No olvide ingresar la variable "&amp;L$114&amp;""&amp;". Digite CERO si no tiene. ",IF(L126&gt;$B126,"* La variable Total PAP informados en trans masculino no debe ser mayor al Total. ",""))</f>
        <v/>
      </c>
      <c r="CU126" s="5577">
        <f>IF(AND($B126&lt;&gt;0,L126=""),1,IF(L126&gt;$B126,1,0))</f>
        <v/>
      </c>
    </row>
    <row r="127">
      <c r="A127" s="5761" t="inlineStr">
        <is>
          <t>70 a 74 años</t>
        </is>
      </c>
      <c r="B127" s="5755">
        <f>SUM(C127:K127)</f>
        <v/>
      </c>
      <c r="C127" s="5758" t="n"/>
      <c r="D127" s="5757" t="n"/>
      <c r="E127" s="5758" t="n"/>
      <c r="F127" s="5757" t="n"/>
      <c r="G127" s="5759" t="n"/>
      <c r="H127" s="5759" t="n"/>
      <c r="I127" s="5759" t="n"/>
      <c r="J127" s="5759" t="n"/>
      <c r="K127" s="5760" t="n"/>
      <c r="L127" s="5758" t="n"/>
      <c r="M127" s="1006">
        <f>$CA127</f>
        <v/>
      </c>
      <c r="CA127" s="5575">
        <f>IF(AND($B127&lt;&gt;0,L127=""),"* No olvide ingresar la variable "&amp;L$114&amp;""&amp;". Digite CERO si no tiene. ",IF(L127&gt;$B127,"* La variable Total PAP informados en trans masculino no debe ser mayor al Total. ",""))</f>
        <v/>
      </c>
      <c r="CU127" s="5577">
        <f>IF(AND($B127&lt;&gt;0,L127=""),1,IF(L127&gt;$B127,1,0))</f>
        <v/>
      </c>
    </row>
    <row r="128">
      <c r="A128" s="5761" t="inlineStr">
        <is>
          <t>75 a 79 años</t>
        </is>
      </c>
      <c r="B128" s="5755">
        <f>SUM(C128:K128)</f>
        <v/>
      </c>
      <c r="C128" s="5758" t="n"/>
      <c r="D128" s="5757" t="n"/>
      <c r="E128" s="5758" t="n"/>
      <c r="F128" s="5757" t="n"/>
      <c r="G128" s="5759" t="n"/>
      <c r="H128" s="5759" t="n"/>
      <c r="I128" s="5759" t="n"/>
      <c r="J128" s="5759" t="n"/>
      <c r="K128" s="5760" t="n"/>
      <c r="L128" s="5758" t="n"/>
      <c r="M128" s="1006">
        <f>$CA128</f>
        <v/>
      </c>
      <c r="CA128" s="5575">
        <f>IF(AND($B128&lt;&gt;0,L128=""),"* No olvide ingresar la variable "&amp;L$114&amp;""&amp;". Digite CERO si no tiene. ",IF(L128&gt;$B128,"* La variable Total PAP informados en trans masculino no debe ser mayor al Total. ",""))</f>
        <v/>
      </c>
      <c r="CU128" s="5577">
        <f>IF(AND($B128&lt;&gt;0,L128=""),1,IF(L128&gt;$B128,1,0))</f>
        <v/>
      </c>
    </row>
    <row r="129">
      <c r="A129" s="5763" t="inlineStr">
        <is>
          <t>80 y más años</t>
        </is>
      </c>
      <c r="B129" s="5764">
        <f>SUM(C129:K129)</f>
        <v/>
      </c>
      <c r="C129" s="5767" t="n"/>
      <c r="D129" s="5766" t="n"/>
      <c r="E129" s="5767" t="n"/>
      <c r="F129" s="5766" t="n"/>
      <c r="G129" s="5768" t="n"/>
      <c r="H129" s="5768" t="n"/>
      <c r="I129" s="5768" t="n"/>
      <c r="J129" s="5768" t="n"/>
      <c r="K129" s="5769" t="n"/>
      <c r="L129" s="5767" t="n"/>
      <c r="M129" s="1006">
        <f>$CA129</f>
        <v/>
      </c>
      <c r="CA129" s="5575">
        <f>IF(AND($B129&lt;&gt;0,L129=""),"* No olvide ingresar la variable "&amp;L$114&amp;""&amp;". Digite CERO si no tiene. ",IF(L129&gt;$B129,"* La variable Total PAP informados en trans masculino no debe ser mayor al Total. ",""))</f>
        <v/>
      </c>
      <c r="CU129" s="5577">
        <f>IF(AND($B129&lt;&gt;0,L129=""),1,IF(L129&gt;$B129,1,0))</f>
        <v/>
      </c>
    </row>
    <row r="130">
      <c r="A130" s="5770" t="inlineStr">
        <is>
          <t>TOTAL</t>
        </is>
      </c>
      <c r="B130" s="5771">
        <f>SUM(C130:K130)</f>
        <v/>
      </c>
      <c r="C130" s="5771">
        <f>SUM(C117:C129)</f>
        <v/>
      </c>
      <c r="D130" s="5772">
        <f>SUM(D117:D129)</f>
        <v/>
      </c>
      <c r="E130" s="5773">
        <f>SUM(E117:E129)</f>
        <v/>
      </c>
      <c r="F130" s="5772">
        <f>SUM(F117:F129)</f>
        <v/>
      </c>
      <c r="G130" s="5774">
        <f>SUM(G117:G129)</f>
        <v/>
      </c>
      <c r="H130" s="5774">
        <f>SUM(H117:H129)</f>
        <v/>
      </c>
      <c r="I130" s="5774">
        <f>SUM(I117:I129)</f>
        <v/>
      </c>
      <c r="J130" s="5774">
        <f>SUM(J117:J129)</f>
        <v/>
      </c>
      <c r="K130" s="5775">
        <f>SUM(K117:K129)</f>
        <v/>
      </c>
      <c r="L130" s="5773">
        <f>SUM(L117:L129)</f>
        <v/>
      </c>
    </row>
    <row r="131" ht="18" customHeight="1" s="8286">
      <c r="A131" s="5776" t="inlineStr">
        <is>
          <t>(*) Fuente de información: Citoweb u otro sistema de registro informático.</t>
        </is>
      </c>
      <c r="B131" s="5785" t="n"/>
      <c r="C131" s="5785" t="n"/>
      <c r="D131" s="5777" t="n"/>
      <c r="E131" s="5777" t="n"/>
      <c r="F131" s="5777" t="n"/>
      <c r="G131" s="5777" t="n"/>
      <c r="H131" s="5777" t="n"/>
      <c r="I131" s="5777" t="n"/>
      <c r="J131" s="5777" t="n"/>
      <c r="K131" s="5777" t="n"/>
      <c r="L131" s="5786" t="n"/>
    </row>
    <row r="132" ht="18" customHeight="1" s="8286">
      <c r="A132" s="7160" t="inlineStr">
        <is>
          <t>SECCIÓN G.2 PROGRAMA DE CANCER DE CUELLO UTERINO: RESULTADOS DE PAP INFORMADOS SEGÚN GRUPOS DE EDAD (Exámenes analizados en laboratorios de extrasistema, uso mandante)</t>
        </is>
      </c>
      <c r="L132" s="5787" t="n"/>
    </row>
    <row r="133" ht="15" customHeight="1" s="8286">
      <c r="A133" s="9664" t="inlineStr">
        <is>
          <t>RANGO ETARIO 
(en años)</t>
        </is>
      </c>
      <c r="B133" s="9665" t="inlineStr">
        <is>
          <t>RESULTADOS DE PAP INFORMADOS</t>
        </is>
      </c>
      <c r="C133" s="9666" t="n"/>
      <c r="D133" s="9666" t="n"/>
      <c r="E133" s="9666" t="n"/>
      <c r="F133" s="9666" t="n"/>
      <c r="G133" s="9666" t="n"/>
      <c r="H133" s="9666" t="n"/>
      <c r="I133" s="9666" t="n"/>
      <c r="J133" s="9666" t="n"/>
      <c r="K133" s="9667" t="n"/>
      <c r="L133" s="9674" t="inlineStr">
        <is>
          <t xml:space="preserve">Total PAP informados en trans masculino </t>
        </is>
      </c>
    </row>
    <row r="134" ht="15" customHeight="1" s="8286">
      <c r="A134" s="9614" t="n"/>
      <c r="B134" s="9675" t="inlineStr">
        <is>
          <t>TOTAL</t>
        </is>
      </c>
      <c r="C134" s="9676" t="inlineStr">
        <is>
          <t>Normales</t>
        </is>
      </c>
      <c r="D134" s="9664" t="inlineStr">
        <is>
          <t>Inadecuados y atípicos</t>
        </is>
      </c>
      <c r="E134" s="9582" t="n"/>
      <c r="F134" s="9665" t="inlineStr">
        <is>
          <t>Positivos</t>
        </is>
      </c>
      <c r="G134" s="9666" t="n"/>
      <c r="H134" s="9666" t="n"/>
      <c r="I134" s="9666" t="n"/>
      <c r="J134" s="9666" t="n"/>
      <c r="K134" s="9667" t="n"/>
      <c r="L134" s="9625" t="n"/>
    </row>
    <row r="135" ht="31.5" customHeight="1" s="8286">
      <c r="A135" s="9610" t="n"/>
      <c r="B135" s="9589" t="n"/>
      <c r="C135" s="9641" t="n"/>
      <c r="D135" s="5780" t="inlineStr">
        <is>
          <t>Inadecuados</t>
        </is>
      </c>
      <c r="E135" s="5781" t="inlineStr">
        <is>
          <t>Atípicos</t>
        </is>
      </c>
      <c r="F135" s="5782" t="inlineStr">
        <is>
          <t xml:space="preserve"> HPV</t>
        </is>
      </c>
      <c r="G135" s="5783" t="inlineStr">
        <is>
          <t>NIE I</t>
        </is>
      </c>
      <c r="H135" s="5783" t="inlineStr">
        <is>
          <t>NIE II</t>
        </is>
      </c>
      <c r="I135" s="5783" t="inlineStr">
        <is>
          <t xml:space="preserve"> NIE III</t>
        </is>
      </c>
      <c r="J135" s="5783" t="inlineStr">
        <is>
          <t>Ca. Inv. (Epidermoide)</t>
        </is>
      </c>
      <c r="K135" s="7140" t="inlineStr">
        <is>
          <t>Ca. Inv. (Adenocarcinoma)</t>
        </is>
      </c>
      <c r="L135" s="9641" t="n"/>
    </row>
    <row r="136">
      <c r="A136" s="5754" t="inlineStr">
        <is>
          <t>Menor de 25 años</t>
        </is>
      </c>
      <c r="B136" s="5755">
        <f>SUM(C136:K136)</f>
        <v/>
      </c>
      <c r="C136" s="5758" t="n"/>
      <c r="D136" s="5757" t="n"/>
      <c r="E136" s="5758" t="n"/>
      <c r="F136" s="5757" t="n"/>
      <c r="G136" s="5759" t="n"/>
      <c r="H136" s="5759" t="n"/>
      <c r="I136" s="5759" t="n"/>
      <c r="J136" s="5759" t="n"/>
      <c r="K136" s="5760" t="n"/>
      <c r="L136" s="5784" t="n"/>
      <c r="M136" s="1006">
        <f>$CA136</f>
        <v/>
      </c>
      <c r="CA136" s="5575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/>
      </c>
    </row>
    <row r="137">
      <c r="A137" s="5761" t="inlineStr">
        <is>
          <t xml:space="preserve">25 a 29 años </t>
        </is>
      </c>
      <c r="B137" s="5755">
        <f>SUM(C137:K137)</f>
        <v/>
      </c>
      <c r="C137" s="5758" t="n"/>
      <c r="D137" s="5757" t="n"/>
      <c r="E137" s="5758" t="n"/>
      <c r="F137" s="5757" t="n"/>
      <c r="G137" s="5759" t="n"/>
      <c r="H137" s="5759" t="n"/>
      <c r="I137" s="5759" t="n"/>
      <c r="J137" s="5759" t="n"/>
      <c r="K137" s="5760" t="n"/>
      <c r="L137" s="5758" t="n"/>
      <c r="M137" s="1006">
        <f>$CA137</f>
        <v/>
      </c>
      <c r="CA137" s="5575">
        <f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>IF(AND($B137&lt;&gt;0,L137=""),1,IF(L137&gt;$B137,1,0))</f>
        <v/>
      </c>
    </row>
    <row r="138">
      <c r="A138" s="5761" t="inlineStr">
        <is>
          <t>30 a 34 años</t>
        </is>
      </c>
      <c r="B138" s="5755">
        <f>SUM(C138:K138)</f>
        <v/>
      </c>
      <c r="C138" s="5758" t="n"/>
      <c r="D138" s="5757" t="n"/>
      <c r="E138" s="5758" t="n"/>
      <c r="F138" s="5757" t="n"/>
      <c r="G138" s="5759" t="n"/>
      <c r="H138" s="5759" t="n"/>
      <c r="I138" s="5759" t="n"/>
      <c r="J138" s="5759" t="n"/>
      <c r="K138" s="5760" t="n"/>
      <c r="L138" s="5758" t="n"/>
      <c r="M138" s="1006">
        <f>$CA138</f>
        <v/>
      </c>
      <c r="CA138" s="5575">
        <f>IF(AND($B138&lt;&gt;0,L138=""),"* No olvide ingresar la variable "&amp;L$133&amp;""&amp;". Digite CERO si no tiene. ",IF(L138&gt;$B138,"* La variable Total PAP informados en trans masculino no debe ser mayor al Total. ",""))</f>
        <v/>
      </c>
      <c r="CU138" s="5577">
        <f>IF(AND($B138&lt;&gt;0,L138=""),1,IF(L138&gt;$B138,1,0))</f>
        <v/>
      </c>
    </row>
    <row r="139">
      <c r="A139" s="5761" t="inlineStr">
        <is>
          <t>35 a 39 años</t>
        </is>
      </c>
      <c r="B139" s="5755">
        <f>SUM(C139:K139)</f>
        <v/>
      </c>
      <c r="C139" s="5758" t="n"/>
      <c r="D139" s="5757" t="n"/>
      <c r="E139" s="5758" t="n"/>
      <c r="F139" s="5757" t="n"/>
      <c r="G139" s="5759" t="n"/>
      <c r="H139" s="5759" t="n"/>
      <c r="I139" s="5759" t="n"/>
      <c r="J139" s="5759" t="n"/>
      <c r="K139" s="5760" t="n"/>
      <c r="L139" s="5758" t="n"/>
      <c r="M139" s="1006">
        <f>$CA139</f>
        <v/>
      </c>
      <c r="CA139" s="5575">
        <f>IF(AND($B139&lt;&gt;0,L139=""),"* No olvide ingresar la variable "&amp;L$133&amp;""&amp;". Digite CERO si no tiene. ",IF(L139&gt;$B139,"* La variable Total PAP informados en trans masculino no debe ser mayor al Total. ",""))</f>
        <v/>
      </c>
      <c r="CU139" s="5577">
        <f>IF(AND($B139&lt;&gt;0,L139=""),1,IF(L139&gt;$B139,1,0))</f>
        <v/>
      </c>
    </row>
    <row r="140">
      <c r="A140" s="5761" t="inlineStr">
        <is>
          <t>40 a 44 años</t>
        </is>
      </c>
      <c r="B140" s="5755">
        <f>SUM(C140:K140)</f>
        <v/>
      </c>
      <c r="C140" s="5758" t="n"/>
      <c r="D140" s="5757" t="n"/>
      <c r="E140" s="5758" t="n"/>
      <c r="F140" s="5757" t="n"/>
      <c r="G140" s="5759" t="n"/>
      <c r="H140" s="5759" t="n"/>
      <c r="I140" s="5759" t="n"/>
      <c r="J140" s="5759" t="n"/>
      <c r="K140" s="5760" t="n"/>
      <c r="L140" s="5758" t="n"/>
      <c r="M140" s="1006">
        <f>$CA140</f>
        <v/>
      </c>
      <c r="CA140" s="5575">
        <f>IF(AND($B140&lt;&gt;0,L140=""),"* No olvide ingresar la variable "&amp;L$133&amp;""&amp;". Digite CERO si no tiene. ",IF(L140&gt;$B140,"* La variable Total PAP informados en trans masculino no debe ser mayor al Total. ",""))</f>
        <v/>
      </c>
      <c r="CU140" s="5577">
        <f>IF(AND($B140&lt;&gt;0,L140=""),1,IF(L140&gt;$B140,1,0))</f>
        <v/>
      </c>
    </row>
    <row r="141">
      <c r="A141" s="5761" t="inlineStr">
        <is>
          <t>45 a 49 años</t>
        </is>
      </c>
      <c r="B141" s="5755">
        <f>SUM(C141:K141)</f>
        <v/>
      </c>
      <c r="C141" s="5758" t="n"/>
      <c r="D141" s="5757" t="n"/>
      <c r="E141" s="5758" t="n"/>
      <c r="F141" s="5757" t="n"/>
      <c r="G141" s="5759" t="n"/>
      <c r="H141" s="5759" t="n"/>
      <c r="I141" s="5759" t="n"/>
      <c r="J141" s="5759" t="n"/>
      <c r="K141" s="5760" t="n"/>
      <c r="L141" s="5758" t="n"/>
      <c r="M141" s="1006">
        <f>$CA141</f>
        <v/>
      </c>
      <c r="CA141" s="5575">
        <f>IF(AND($B141&lt;&gt;0,L141=""),"* No olvide ingresar la variable "&amp;L$133&amp;""&amp;". Digite CERO si no tiene. ",IF(L141&gt;$B141,"* La variable Total PAP informados en trans masculino no debe ser mayor al Total. ",""))</f>
        <v/>
      </c>
      <c r="CU141" s="5577">
        <f>IF(AND($B141&lt;&gt;0,L141=""),1,IF(L141&gt;$B141,1,0))</f>
        <v/>
      </c>
    </row>
    <row r="142">
      <c r="A142" s="5761" t="inlineStr">
        <is>
          <t>50 a 54 años</t>
        </is>
      </c>
      <c r="B142" s="5755">
        <f>SUM(C142:K142)</f>
        <v/>
      </c>
      <c r="C142" s="5758" t="n"/>
      <c r="D142" s="5757" t="n"/>
      <c r="E142" s="5758" t="n"/>
      <c r="F142" s="5757" t="n"/>
      <c r="G142" s="5759" t="n"/>
      <c r="H142" s="5759" t="n"/>
      <c r="I142" s="5759" t="n"/>
      <c r="J142" s="5759" t="n"/>
      <c r="K142" s="5760" t="n"/>
      <c r="L142" s="5758" t="n"/>
      <c r="M142" s="1006">
        <f>$CA142</f>
        <v/>
      </c>
      <c r="CA142" s="5575">
        <f>IF(AND($B142&lt;&gt;0,L142=""),"* No olvide ingresar la variable "&amp;L$133&amp;""&amp;". Digite CERO si no tiene. ",IF(L142&gt;$B142,"* La variable Total PAP informados en trans masculino no debe ser mayor al Total. ",""))</f>
        <v/>
      </c>
      <c r="CU142" s="5577">
        <f>IF(AND($B142&lt;&gt;0,L142=""),1,IF(L142&gt;$B142,1,0))</f>
        <v/>
      </c>
    </row>
    <row r="143">
      <c r="A143" s="5761" t="inlineStr">
        <is>
          <t>55 a 59 años</t>
        </is>
      </c>
      <c r="B143" s="5755">
        <f>SUM(C143:K143)</f>
        <v/>
      </c>
      <c r="C143" s="5758" t="n"/>
      <c r="D143" s="5757" t="n"/>
      <c r="E143" s="5758" t="n"/>
      <c r="F143" s="5757" t="n"/>
      <c r="G143" s="5759" t="n"/>
      <c r="H143" s="5759" t="n"/>
      <c r="I143" s="5759" t="n"/>
      <c r="J143" s="5759" t="n"/>
      <c r="K143" s="5760" t="n"/>
      <c r="L143" s="5758" t="n"/>
      <c r="M143" s="1006">
        <f>$CA143</f>
        <v/>
      </c>
      <c r="CA143" s="5575">
        <f>IF(AND($B143&lt;&gt;0,L143=""),"* No olvide ingresar la variable "&amp;L$133&amp;""&amp;". Digite CERO si no tiene. ",IF(L143&gt;$B143,"* La variable Total PAP informados en trans masculino no debe ser mayor al Total. ",""))</f>
        <v/>
      </c>
      <c r="CU143" s="5577">
        <f>IF(AND($B143&lt;&gt;0,L143=""),1,IF(L143&gt;$B143,1,0))</f>
        <v/>
      </c>
    </row>
    <row r="144">
      <c r="A144" s="5761" t="inlineStr">
        <is>
          <t>60 a 64 años</t>
        </is>
      </c>
      <c r="B144" s="5755">
        <f>SUM(C144:K144)</f>
        <v/>
      </c>
      <c r="C144" s="5758" t="n"/>
      <c r="D144" s="5757" t="n"/>
      <c r="E144" s="5758" t="n"/>
      <c r="F144" s="5757" t="n"/>
      <c r="G144" s="5759" t="n"/>
      <c r="H144" s="5759" t="n"/>
      <c r="I144" s="5759" t="n"/>
      <c r="J144" s="5759" t="n"/>
      <c r="K144" s="5760" t="n"/>
      <c r="L144" s="5758" t="n"/>
      <c r="M144" s="1006">
        <f>$CA144</f>
        <v/>
      </c>
      <c r="CA144" s="5575">
        <f>IF(AND($B144&lt;&gt;0,L144=""),"* No olvide ingresar la variable "&amp;L$133&amp;""&amp;". Digite CERO si no tiene. ",IF(L144&gt;$B144,"* La variable Total PAP informados en trans masculino no debe ser mayor al Total. ",""))</f>
        <v/>
      </c>
      <c r="CU144" s="5577">
        <f>IF(AND($B144&lt;&gt;0,L144=""),1,IF(L144&gt;$B144,1,0))</f>
        <v/>
      </c>
    </row>
    <row r="145">
      <c r="A145" s="5761" t="inlineStr">
        <is>
          <t>65 a 69 años</t>
        </is>
      </c>
      <c r="B145" s="5755">
        <f>SUM(C145:K145)</f>
        <v/>
      </c>
      <c r="C145" s="5758" t="n"/>
      <c r="D145" s="5757" t="n"/>
      <c r="E145" s="5758" t="n"/>
      <c r="F145" s="5757" t="n"/>
      <c r="G145" s="5759" t="n"/>
      <c r="H145" s="5759" t="n"/>
      <c r="I145" s="5759" t="n"/>
      <c r="J145" s="5759" t="n"/>
      <c r="K145" s="5760" t="n"/>
      <c r="L145" s="5758" t="n"/>
      <c r="M145" s="1006">
        <f>$CA145</f>
        <v/>
      </c>
      <c r="CA145" s="5575">
        <f>IF(AND($B145&lt;&gt;0,L145=""),"* No olvide ingresar la variable "&amp;L$133&amp;""&amp;". Digite CERO si no tiene. ",IF(L145&gt;$B145,"* La variable Total PAP informados en trans masculino no debe ser mayor al Total. ",""))</f>
        <v/>
      </c>
      <c r="CU145" s="5577">
        <f>IF(AND($B145&lt;&gt;0,L145=""),1,IF(L145&gt;$B145,1,0))</f>
        <v/>
      </c>
    </row>
    <row r="146">
      <c r="A146" s="5761" t="inlineStr">
        <is>
          <t>70 a 74 años</t>
        </is>
      </c>
      <c r="B146" s="5755">
        <f>SUM(C146:K146)</f>
        <v/>
      </c>
      <c r="C146" s="5758" t="n"/>
      <c r="D146" s="5757" t="n"/>
      <c r="E146" s="5758" t="n"/>
      <c r="F146" s="5757" t="n"/>
      <c r="G146" s="5759" t="n"/>
      <c r="H146" s="5759" t="n"/>
      <c r="I146" s="5759" t="n"/>
      <c r="J146" s="5759" t="n"/>
      <c r="K146" s="5760" t="n"/>
      <c r="L146" s="5758" t="n"/>
      <c r="M146" s="1006">
        <f>$CA146</f>
        <v/>
      </c>
      <c r="CA146" s="5575">
        <f>IF(AND($B146&lt;&gt;0,L146=""),"* No olvide ingresar la variable "&amp;L$133&amp;""&amp;". Digite CERO si no tiene. ",IF(L146&gt;$B146,"* La variable Total PAP informados en trans masculino no debe ser mayor al Total. ",""))</f>
        <v/>
      </c>
      <c r="CU146" s="5577">
        <f>IF(AND($B146&lt;&gt;0,L146=""),1,IF(L146&gt;$B146,1,0))</f>
        <v/>
      </c>
    </row>
    <row r="147">
      <c r="A147" s="5761" t="inlineStr">
        <is>
          <t>75 a 79 años</t>
        </is>
      </c>
      <c r="B147" s="5755">
        <f>SUM(C147:K147)</f>
        <v/>
      </c>
      <c r="C147" s="5758" t="n"/>
      <c r="D147" s="5757" t="n"/>
      <c r="E147" s="5758" t="n"/>
      <c r="F147" s="5757" t="n"/>
      <c r="G147" s="5759" t="n"/>
      <c r="H147" s="5759" t="n"/>
      <c r="I147" s="5759" t="n"/>
      <c r="J147" s="5759" t="n"/>
      <c r="K147" s="5760" t="n"/>
      <c r="L147" s="5758" t="n"/>
      <c r="M147" s="1006">
        <f>$CA147</f>
        <v/>
      </c>
      <c r="CA147" s="5575">
        <f>IF(AND($B147&lt;&gt;0,L147=""),"* No olvide ingresar la variable "&amp;L$133&amp;""&amp;". Digite CERO si no tiene. ",IF(L147&gt;$B147,"* La variable Total PAP informados en trans masculino no debe ser mayor al Total. ",""))</f>
        <v/>
      </c>
      <c r="CU147" s="5577">
        <f>IF(AND($B147&lt;&gt;0,L147=""),1,IF(L147&gt;$B147,1,0))</f>
        <v/>
      </c>
    </row>
    <row r="148">
      <c r="A148" s="5763" t="inlineStr">
        <is>
          <t>80 y más años</t>
        </is>
      </c>
      <c r="B148" s="5764">
        <f>SUM(C148:K148)</f>
        <v/>
      </c>
      <c r="C148" s="5767" t="n"/>
      <c r="D148" s="5766" t="n"/>
      <c r="E148" s="5767" t="n"/>
      <c r="F148" s="5766" t="n"/>
      <c r="G148" s="5768" t="n"/>
      <c r="H148" s="5768" t="n"/>
      <c r="I148" s="5768" t="n"/>
      <c r="J148" s="5768" t="n"/>
      <c r="K148" s="5769" t="n"/>
      <c r="L148" s="5767" t="n"/>
      <c r="M148" s="1006">
        <f>$CA148</f>
        <v/>
      </c>
      <c r="CA148" s="5575">
        <f>IF(AND($B148&lt;&gt;0,L148=""),"* No olvide ingresar la variable "&amp;L$133&amp;""&amp;". Digite CERO si no tiene. ",IF(L148&gt;$B148,"* La variable Total PAP informados en trans masculino no debe ser mayor al Total. ",""))</f>
        <v/>
      </c>
      <c r="CU148" s="5577">
        <f>IF(AND($B148&lt;&gt;0,L148=""),1,IF(L148&gt;$B148,1,0))</f>
        <v/>
      </c>
    </row>
    <row r="149">
      <c r="A149" s="5770" t="inlineStr">
        <is>
          <t>TOTAL</t>
        </is>
      </c>
      <c r="B149" s="5771">
        <f>SUM(C149:K149)</f>
        <v/>
      </c>
      <c r="C149" s="5771">
        <f>SUM(C136:C148)</f>
        <v/>
      </c>
      <c r="D149" s="5772">
        <f>SUM(D136:D148)</f>
        <v/>
      </c>
      <c r="E149" s="5773">
        <f>SUM(E136:E148)</f>
        <v/>
      </c>
      <c r="F149" s="5772">
        <f>SUM(F136:F148)</f>
        <v/>
      </c>
      <c r="G149" s="5774">
        <f>SUM(G136:G148)</f>
        <v/>
      </c>
      <c r="H149" s="5774">
        <f>SUM(H136:H148)</f>
        <v/>
      </c>
      <c r="I149" s="5774">
        <f>SUM(I136:I148)</f>
        <v/>
      </c>
      <c r="J149" s="5774">
        <f>SUM(J136:J148)</f>
        <v/>
      </c>
      <c r="K149" s="5775">
        <f>SUM(K136:K148)</f>
        <v/>
      </c>
      <c r="L149" s="5773">
        <f>SUM(L136:L148)</f>
        <v/>
      </c>
    </row>
    <row r="150">
      <c r="A150" s="5785" t="inlineStr">
        <is>
          <t>(*) FUENTE DE INFORMACIÓN: CITOWEB U OTRO SISTEMA DE REGISTRO INFORMÁTICO</t>
        </is>
      </c>
      <c r="B150" s="5785" t="n"/>
      <c r="C150" s="5785" t="n"/>
      <c r="D150" s="5777" t="n"/>
      <c r="E150" s="5777" t="n"/>
      <c r="F150" s="5777" t="n"/>
      <c r="G150" s="5777" t="n"/>
      <c r="H150" s="5777" t="n"/>
      <c r="I150" s="5777" t="n"/>
      <c r="J150" s="5777" t="n"/>
      <c r="K150" s="5777" t="n"/>
      <c r="L150" s="5786" t="n"/>
    </row>
    <row r="151" ht="27" customHeight="1" s="8286">
      <c r="A151" s="9673" t="inlineStr">
        <is>
          <t>SECCIÓN H. PROGRAMA DE CANCER DE CUELLO UTERINO: VPH TOMADOS E INFORMADOS SEGÚN RESULTADOS Y GRUPOS DE EDAD (Exámenes tomados en establecimientos de atención primaria que realizan tamizaje, uso APS)</t>
        </is>
      </c>
      <c r="B151" s="9591" t="n"/>
      <c r="C151" s="9591" t="n"/>
      <c r="D151" s="9591" t="n"/>
      <c r="E151" s="9591" t="n"/>
      <c r="F151" s="9591" t="n"/>
      <c r="G151" s="9591" t="n"/>
      <c r="H151" s="9591" t="n"/>
      <c r="I151" s="9591" t="n"/>
      <c r="J151" s="9591" t="n"/>
      <c r="K151" s="9591" t="n"/>
      <c r="L151" s="9591" t="n"/>
      <c r="M151" s="9591" t="n"/>
      <c r="N151" s="5779" t="n"/>
    </row>
    <row r="152" ht="18" customHeight="1" s="8286">
      <c r="A152" s="9664" t="inlineStr">
        <is>
          <t>RANGO ETARIO
(en años)</t>
        </is>
      </c>
      <c r="B152" s="9675" t="inlineStr">
        <is>
          <t>TOTAL EXAMEN VPH CONVENCIONAL</t>
        </is>
      </c>
      <c r="C152" s="9677" t="inlineStr">
        <is>
          <t>RESULTADOS DE VPH CONVENCIONAL INFORMADOS</t>
        </is>
      </c>
      <c r="D152" s="9678" t="n"/>
      <c r="E152" s="9678" t="n"/>
      <c r="F152" s="9678" t="n"/>
      <c r="G152" s="9679" t="inlineStr">
        <is>
          <t xml:space="preserve">Total VPH informados en trans masculino </t>
        </is>
      </c>
      <c r="H152" s="9680" t="inlineStr">
        <is>
          <t xml:space="preserve">Total Exámen Autotoma de VPH </t>
        </is>
      </c>
      <c r="I152" s="9681" t="inlineStr">
        <is>
          <t>RESULTADOS DE AUTOTOMA DE VPH INFORMADOS</t>
        </is>
      </c>
      <c r="J152" s="9666" t="n"/>
      <c r="K152" s="9666" t="n"/>
      <c r="L152" s="9682" t="n"/>
      <c r="M152" s="9674" t="inlineStr">
        <is>
          <t xml:space="preserve">Total VPH autotoma en trans masculino informados </t>
        </is>
      </c>
      <c r="N152" s="9674" t="inlineStr">
        <is>
          <t xml:space="preserve">Total de examenes tamizaje priorizado  </t>
        </is>
      </c>
    </row>
    <row r="153" ht="18" customHeight="1" s="8286">
      <c r="A153" s="9614" t="n"/>
      <c r="B153" s="9588" t="n"/>
      <c r="C153" s="9676" t="inlineStr">
        <is>
          <t>VPH (-)</t>
        </is>
      </c>
      <c r="D153" s="7138" t="inlineStr">
        <is>
          <t>Positivos</t>
        </is>
      </c>
      <c r="E153" s="9666" t="n"/>
      <c r="F153" s="9666" t="n"/>
      <c r="G153" s="9683" t="n"/>
      <c r="H153" s="9625" t="n"/>
      <c r="I153" s="9675" t="inlineStr">
        <is>
          <t>VPH (-)</t>
        </is>
      </c>
      <c r="J153" s="9681" t="inlineStr">
        <is>
          <t>Positivos</t>
        </is>
      </c>
      <c r="K153" s="9666" t="n"/>
      <c r="L153" s="9682" t="n"/>
      <c r="M153" s="9625" t="n"/>
      <c r="N153" s="9625" t="n"/>
    </row>
    <row r="154" ht="18" customHeight="1" s="8286">
      <c r="A154" s="9610" t="n"/>
      <c r="B154" s="9589" t="n"/>
      <c r="C154" s="9641" t="n"/>
      <c r="D154" s="5782" t="inlineStr">
        <is>
          <t>VPH 16 (+)</t>
        </is>
      </c>
      <c r="E154" s="5783" t="inlineStr">
        <is>
          <t>VPH 18 (+)</t>
        </is>
      </c>
      <c r="F154" s="7139" t="inlineStr">
        <is>
          <t xml:space="preserve">VPH AR* (+) </t>
        </is>
      </c>
      <c r="G154" s="9604" t="n"/>
      <c r="H154" s="9641" t="n"/>
      <c r="I154" s="9589" t="n"/>
      <c r="J154" s="5782" t="inlineStr">
        <is>
          <t>VPH 16 (+)</t>
        </is>
      </c>
      <c r="K154" s="5783" t="inlineStr">
        <is>
          <t>VPH 18 (+)</t>
        </is>
      </c>
      <c r="L154" s="7154" t="inlineStr">
        <is>
          <t xml:space="preserve">VPH AR* (+) </t>
        </is>
      </c>
      <c r="M154" s="9641" t="n"/>
      <c r="N154" s="9641" t="n"/>
    </row>
    <row r="155">
      <c r="A155" s="5761" t="inlineStr">
        <is>
          <t>30 a 34 años</t>
        </is>
      </c>
      <c r="B155" s="5789" t="n"/>
      <c r="C155" s="5789" t="n"/>
      <c r="D155" s="5790" t="n"/>
      <c r="E155" s="5791" t="n"/>
      <c r="F155" s="5792" t="n"/>
      <c r="G155" s="5793" t="n"/>
      <c r="H155" s="5789" t="n"/>
      <c r="I155" s="5789" t="n"/>
      <c r="J155" s="5790" t="n"/>
      <c r="K155" s="5791" t="n"/>
      <c r="L155" s="5792" t="n"/>
      <c r="M155" s="5789" t="n"/>
      <c r="N155" s="5789" t="n"/>
      <c r="O155" s="622">
        <f>$CA155</f>
        <v/>
      </c>
      <c r="CA155" s="5575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/>
      </c>
    </row>
    <row r="156">
      <c r="A156" s="5761" t="inlineStr">
        <is>
          <t>35 a 39 años</t>
        </is>
      </c>
      <c r="B156" s="5789" t="n"/>
      <c r="C156" s="5789" t="n"/>
      <c r="D156" s="5790" t="n"/>
      <c r="E156" s="5791" t="n"/>
      <c r="F156" s="5792" t="n"/>
      <c r="G156" s="5793" t="n"/>
      <c r="H156" s="5789" t="n"/>
      <c r="I156" s="5789" t="n"/>
      <c r="J156" s="5790" t="n"/>
      <c r="K156" s="5791" t="n"/>
      <c r="L156" s="5792" t="n"/>
      <c r="M156" s="5789" t="n"/>
      <c r="N156" s="5789" t="n"/>
      <c r="O156" s="622">
        <f>$CA156</f>
        <v/>
      </c>
      <c r="CA156" s="5575">
        <f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>IF(AND($B156&lt;&gt;0,M156=""),1,IF(M156&gt;$B156,1,0))</f>
        <v/>
      </c>
    </row>
    <row r="157">
      <c r="A157" s="5761" t="inlineStr">
        <is>
          <t>40 a 44 años</t>
        </is>
      </c>
      <c r="B157" s="5789" t="n"/>
      <c r="C157" s="5789" t="n"/>
      <c r="D157" s="5790" t="n"/>
      <c r="E157" s="5791" t="n"/>
      <c r="F157" s="5792" t="n"/>
      <c r="G157" s="5793" t="n"/>
      <c r="H157" s="5789" t="n"/>
      <c r="I157" s="5789" t="n"/>
      <c r="J157" s="5790" t="n"/>
      <c r="K157" s="5791" t="n"/>
      <c r="L157" s="5792" t="n"/>
      <c r="M157" s="5789" t="n"/>
      <c r="N157" s="5789" t="n"/>
      <c r="O157" s="622">
        <f>$CA157</f>
        <v/>
      </c>
      <c r="CA157" s="5575">
        <f>IF(AND($B157&lt;&gt;0,M157=""),"* No olvide ingresar la variable "&amp;M$152&amp;""&amp;". Digite CERO si no tiene. ",IF(M157&gt;$B157,"* La variable Total PAP informados en trans masculino no debe ser mayor al Total. ",""))</f>
        <v/>
      </c>
      <c r="CU157" s="5577">
        <f>IF(AND($B157&lt;&gt;0,M157=""),1,IF(M157&gt;$B157,1,0))</f>
        <v/>
      </c>
    </row>
    <row r="158">
      <c r="A158" s="5761" t="inlineStr">
        <is>
          <t>45 a 49 años</t>
        </is>
      </c>
      <c r="B158" s="5789" t="n"/>
      <c r="C158" s="5789" t="n"/>
      <c r="D158" s="5790" t="n"/>
      <c r="E158" s="5791" t="n"/>
      <c r="F158" s="5792" t="n"/>
      <c r="G158" s="5793" t="n"/>
      <c r="H158" s="5789" t="n"/>
      <c r="I158" s="5789" t="n"/>
      <c r="J158" s="5790" t="n"/>
      <c r="K158" s="5791" t="n"/>
      <c r="L158" s="5792" t="n"/>
      <c r="M158" s="5789" t="n"/>
      <c r="N158" s="5789" t="n"/>
      <c r="O158" s="622">
        <f>$CA158</f>
        <v/>
      </c>
      <c r="CA158" s="5575">
        <f>IF(AND($B158&lt;&gt;0,M158=""),"* No olvide ingresar la variable "&amp;M$152&amp;""&amp;". Digite CERO si no tiene. ",IF(M158&gt;$B158,"* La variable Total PAP informados en trans masculino no debe ser mayor al Total. ",""))</f>
        <v/>
      </c>
      <c r="CU158" s="5577">
        <f>IF(AND($B158&lt;&gt;0,M158=""),1,IF(M158&gt;$B158,1,0))</f>
        <v/>
      </c>
    </row>
    <row r="159">
      <c r="A159" s="5761" t="inlineStr">
        <is>
          <t>50 a 54 años</t>
        </is>
      </c>
      <c r="B159" s="5789" t="n"/>
      <c r="C159" s="5789" t="n"/>
      <c r="D159" s="5790" t="n"/>
      <c r="E159" s="5791" t="n"/>
      <c r="F159" s="5792" t="n"/>
      <c r="G159" s="5793" t="n"/>
      <c r="H159" s="5789" t="n"/>
      <c r="I159" s="5789" t="n"/>
      <c r="J159" s="5790" t="n"/>
      <c r="K159" s="5791" t="n"/>
      <c r="L159" s="5792" t="n"/>
      <c r="M159" s="5789" t="n"/>
      <c r="N159" s="5789" t="n"/>
      <c r="O159" s="622">
        <f>$CA159</f>
        <v/>
      </c>
      <c r="CA159" s="5575">
        <f>IF(AND($B159&lt;&gt;0,M159=""),"* No olvide ingresar la variable "&amp;M$152&amp;""&amp;". Digite CERO si no tiene. ",IF(M159&gt;$B159,"* La variable Total PAP informados en trans masculino no debe ser mayor al Total. ",""))</f>
        <v/>
      </c>
      <c r="CU159" s="5577">
        <f>IF(AND($B159&lt;&gt;0,M159=""),1,IF(M159&gt;$B159,1,0))</f>
        <v/>
      </c>
    </row>
    <row r="160">
      <c r="A160" s="5761" t="inlineStr">
        <is>
          <t>55 a 59 años</t>
        </is>
      </c>
      <c r="B160" s="5789" t="n"/>
      <c r="C160" s="5789" t="n"/>
      <c r="D160" s="5790" t="n"/>
      <c r="E160" s="5791" t="n"/>
      <c r="F160" s="5792" t="n"/>
      <c r="G160" s="5793" t="n"/>
      <c r="H160" s="5789" t="n"/>
      <c r="I160" s="5789" t="n"/>
      <c r="J160" s="5790" t="n"/>
      <c r="K160" s="5791" t="n"/>
      <c r="L160" s="5792" t="n"/>
      <c r="M160" s="5789" t="n"/>
      <c r="N160" s="5789" t="n"/>
      <c r="O160" s="622">
        <f>$CA160</f>
        <v/>
      </c>
      <c r="CA160" s="5575">
        <f>IF(AND($B160&lt;&gt;0,M160=""),"* No olvide ingresar la variable "&amp;M$152&amp;""&amp;". Digite CERO si no tiene. ",IF(M160&gt;$B160,"* La variable Total PAP informados en trans masculino no debe ser mayor al Total. ",""))</f>
        <v/>
      </c>
      <c r="CU160" s="5577">
        <f>IF(AND($B160&lt;&gt;0,M160=""),1,IF(M160&gt;$B160,1,0))</f>
        <v/>
      </c>
    </row>
    <row r="161">
      <c r="A161" s="5761" t="inlineStr">
        <is>
          <t>60 a 64 años</t>
        </is>
      </c>
      <c r="B161" s="5789" t="n"/>
      <c r="C161" s="5789" t="n"/>
      <c r="D161" s="5790" t="n"/>
      <c r="E161" s="5791" t="n"/>
      <c r="F161" s="5792" t="n"/>
      <c r="G161" s="5793" t="n"/>
      <c r="H161" s="5789" t="n"/>
      <c r="I161" s="5789" t="n"/>
      <c r="J161" s="5790" t="n"/>
      <c r="K161" s="5791" t="n"/>
      <c r="L161" s="5792" t="n"/>
      <c r="M161" s="5789" t="n"/>
      <c r="N161" s="5789" t="n"/>
      <c r="O161" s="622">
        <f>$CA161</f>
        <v/>
      </c>
      <c r="CA161" s="5575">
        <f>IF(AND($B161&lt;&gt;0,M161=""),"* No olvide ingresar la variable "&amp;M$152&amp;""&amp;". Digite CERO si no tiene. ",IF(M161&gt;$B161,"* La variable Total PAP informados en trans masculino no debe ser mayor al Total. ",""))</f>
        <v/>
      </c>
      <c r="CU161" s="5577">
        <f>IF(AND($B161&lt;&gt;0,M161=""),1,IF(M161&gt;$B161,1,0))</f>
        <v/>
      </c>
    </row>
    <row r="162">
      <c r="A162" s="5761" t="inlineStr">
        <is>
          <t>65 a 69 años</t>
        </is>
      </c>
      <c r="B162" s="5789" t="n"/>
      <c r="C162" s="5789" t="n"/>
      <c r="D162" s="5790" t="n"/>
      <c r="E162" s="5791" t="n"/>
      <c r="F162" s="5792" t="n"/>
      <c r="G162" s="5793" t="n"/>
      <c r="H162" s="5789" t="n"/>
      <c r="I162" s="5789" t="n"/>
      <c r="J162" s="5790" t="n"/>
      <c r="K162" s="5791" t="n"/>
      <c r="L162" s="5792" t="n"/>
      <c r="M162" s="5789" t="n"/>
      <c r="N162" s="5789" t="n"/>
      <c r="O162" s="622">
        <f>$CA162</f>
        <v/>
      </c>
      <c r="CA162" s="5575">
        <f>IF(AND($B162&lt;&gt;0,M162=""),"* No olvide ingresar la variable "&amp;M$152&amp;""&amp;". Digite CERO si no tiene. ",IF(M162&gt;$B162,"* La variable Total PAP informados en trans masculino no debe ser mayor al Total. ",""))</f>
        <v/>
      </c>
      <c r="CU162" s="5577">
        <f>IF(AND($B162&lt;&gt;0,M162=""),1,IF(M162&gt;$B162,1,0))</f>
        <v/>
      </c>
    </row>
    <row r="163">
      <c r="A163" s="5761" t="inlineStr">
        <is>
          <t>70 a 74 años</t>
        </is>
      </c>
      <c r="B163" s="5789" t="n"/>
      <c r="C163" s="5789" t="n"/>
      <c r="D163" s="5790" t="n"/>
      <c r="E163" s="5791" t="n"/>
      <c r="F163" s="5792" t="n"/>
      <c r="G163" s="5793" t="n"/>
      <c r="H163" s="5789" t="n"/>
      <c r="I163" s="5789" t="n"/>
      <c r="J163" s="5790" t="n"/>
      <c r="K163" s="5791" t="n"/>
      <c r="L163" s="5792" t="n"/>
      <c r="M163" s="5789" t="n"/>
      <c r="N163" s="5789" t="n"/>
      <c r="O163" s="622">
        <f>$CA163</f>
        <v/>
      </c>
      <c r="CA163" s="5575">
        <f>IF(AND($B163&lt;&gt;0,M163=""),"* No olvide ingresar la variable "&amp;M$152&amp;""&amp;". Digite CERO si no tiene. ",IF(M163&gt;$B163,"* La variable Total PAP informados en trans masculino no debe ser mayor al Total. ",""))</f>
        <v/>
      </c>
      <c r="CU163" s="5577">
        <f>IF(AND($B163&lt;&gt;0,M163=""),1,IF(M163&gt;$B163,1,0))</f>
        <v/>
      </c>
    </row>
    <row r="164">
      <c r="A164" s="5761" t="inlineStr">
        <is>
          <t>75 a 79 años</t>
        </is>
      </c>
      <c r="B164" s="5789" t="n"/>
      <c r="C164" s="5789" t="n"/>
      <c r="D164" s="5790" t="n"/>
      <c r="E164" s="5791" t="n"/>
      <c r="F164" s="5792" t="n"/>
      <c r="G164" s="5793" t="n"/>
      <c r="H164" s="5789" t="n"/>
      <c r="I164" s="5789" t="n"/>
      <c r="J164" s="5790" t="n"/>
      <c r="K164" s="5791" t="n"/>
      <c r="L164" s="5792" t="n"/>
      <c r="M164" s="5789" t="n"/>
      <c r="N164" s="5789" t="n"/>
      <c r="O164" s="622">
        <f>$CA164</f>
        <v/>
      </c>
      <c r="CA164" s="5575">
        <f>IF(AND($B164&lt;&gt;0,M164=""),"* No olvide ingresar la variable "&amp;M$152&amp;""&amp;". Digite CERO si no tiene. ",IF(M164&gt;$B164,"* La variable Total PAP informados en trans masculino no debe ser mayor al Total. ",""))</f>
        <v/>
      </c>
      <c r="CU164" s="5577">
        <f>IF(AND($B164&lt;&gt;0,M164=""),1,IF(M164&gt;$B164,1,0))</f>
        <v/>
      </c>
    </row>
    <row r="165">
      <c r="A165" s="5763" t="inlineStr">
        <is>
          <t>80 y más años</t>
        </is>
      </c>
      <c r="B165" s="5794" t="n"/>
      <c r="C165" s="5794" t="n"/>
      <c r="D165" s="5795" t="n"/>
      <c r="E165" s="5796" t="n"/>
      <c r="F165" s="5797" t="n"/>
      <c r="G165" s="5798" t="n"/>
      <c r="H165" s="5794" t="n"/>
      <c r="I165" s="5794" t="n"/>
      <c r="J165" s="5795" t="n"/>
      <c r="K165" s="5796" t="n"/>
      <c r="L165" s="5797" t="n"/>
      <c r="M165" s="5794" t="n"/>
      <c r="N165" s="5794" t="n"/>
      <c r="O165" s="622">
        <f>$CA165</f>
        <v/>
      </c>
      <c r="CA165" s="5575">
        <f>IF(AND($B165&lt;&gt;0,M165=""),"* No olvide ingresar la variable "&amp;M$152&amp;""&amp;". Digite CERO si no tiene. ",IF(M165&gt;$B165,"* La variable Total PAP informados en trans masculino no debe ser mayor al Total. ",""))</f>
        <v/>
      </c>
      <c r="CU165" s="5577">
        <f>IF(AND($B165&lt;&gt;0,M165=""),1,IF(M165&gt;$B165,1,0))</f>
        <v/>
      </c>
    </row>
    <row r="166">
      <c r="A166" s="5770" t="inlineStr">
        <is>
          <t>TOTAL</t>
        </is>
      </c>
      <c r="B166" s="5771">
        <f>SUM(B155:B165)</f>
        <v/>
      </c>
      <c r="C166" s="5771">
        <f>SUM(C155:C165)</f>
        <v/>
      </c>
      <c r="D166" s="5772">
        <f>SUM(D155:D165)</f>
        <v/>
      </c>
      <c r="E166" s="5774">
        <f>SUM(E155:E165)</f>
        <v/>
      </c>
      <c r="F166" s="5775">
        <f>SUM(F155:F165)</f>
        <v/>
      </c>
      <c r="G166" s="5799">
        <f>SUM(G155:G165)</f>
        <v/>
      </c>
      <c r="H166" s="5800">
        <f>SUM(H155:H165)</f>
        <v/>
      </c>
      <c r="I166" s="5771">
        <f>SUM(I155:I165)</f>
        <v/>
      </c>
      <c r="J166" s="5772">
        <f>SUM(J155:J165)</f>
        <v/>
      </c>
      <c r="K166" s="5774">
        <f>SUM(K155:K165)</f>
        <v/>
      </c>
      <c r="L166" s="5775">
        <f>SUM(L155:L165)</f>
        <v/>
      </c>
      <c r="M166" s="5773">
        <f>SUM(M155:M165)</f>
        <v/>
      </c>
      <c r="N166" s="5773">
        <f>SUM(N155:N165)</f>
        <v/>
      </c>
    </row>
    <row r="167" ht="18" customHeight="1" s="8286">
      <c r="A167" s="5776" t="inlineStr">
        <is>
          <t>(*) Fuente de información: Citoweb u otro sistema de registro informático.</t>
        </is>
      </c>
      <c r="B167" s="5777" t="n"/>
      <c r="C167" s="5777" t="n"/>
      <c r="D167" s="5777" t="n"/>
      <c r="E167" s="5777" t="n"/>
      <c r="F167" s="5777" t="n"/>
      <c r="G167" s="5777" t="n"/>
      <c r="H167" s="5777" t="n"/>
      <c r="I167" s="5777" t="n"/>
      <c r="J167" s="5777" t="n"/>
      <c r="K167" s="5777" t="n"/>
      <c r="L167" s="5778" t="n"/>
    </row>
    <row r="168" ht="37.5" customHeight="1" s="8286">
      <c r="A168" s="9673" t="inlineStr">
        <is>
          <t>SECCIÓN H.1 PROGRAMA DE CANCER DE CUELLO UTERINO:  VPH INFORMADOS, SEGÚN GRUPOS DE EDAD (Exámenes analizados en los laboratorios de la red pública, uso exclusivo laboratorios que procesan)</t>
        </is>
      </c>
      <c r="B168" s="9591" t="n"/>
      <c r="C168" s="9591" t="n"/>
      <c r="D168" s="9591" t="n"/>
      <c r="E168" s="9591" t="n"/>
      <c r="F168" s="9591" t="n"/>
      <c r="G168" s="9591" t="n"/>
      <c r="H168" s="9591" t="n"/>
      <c r="I168" s="5779" t="n"/>
      <c r="J168" s="5779" t="n"/>
      <c r="K168" s="5779" t="n"/>
      <c r="L168" s="5779" t="n"/>
      <c r="M168" s="5779" t="n"/>
      <c r="N168" s="5779" t="n"/>
    </row>
    <row r="169" ht="15" customHeight="1" s="8286">
      <c r="A169" s="7149" t="inlineStr">
        <is>
          <t>RANGO ETARIO
(en años)</t>
        </is>
      </c>
      <c r="B169" s="9675" t="inlineStr">
        <is>
          <t>TOTAL DE EXAMENES PROCESADOS</t>
        </is>
      </c>
      <c r="C169" s="9684" t="inlineStr">
        <is>
          <t>RESULTADOS DE VPH INFORMADOS</t>
        </is>
      </c>
      <c r="D169" s="9678" t="n"/>
      <c r="E169" s="9678" t="n"/>
      <c r="F169" s="9685" t="n"/>
      <c r="G169" s="9686" t="inlineStr">
        <is>
          <t xml:space="preserve">Total VPH informados en trans masculino </t>
        </is>
      </c>
      <c r="H169" s="9674" t="inlineStr">
        <is>
          <t>Total examen VPH autotoma informado</t>
        </is>
      </c>
      <c r="I169" s="9674" t="inlineStr">
        <is>
          <t>Total de examenes tamizaje priorizado</t>
        </is>
      </c>
    </row>
    <row r="170" ht="15" customHeight="1" s="8286">
      <c r="A170" s="407" t="n"/>
      <c r="B170" s="9588" t="n"/>
      <c r="C170" s="9676" t="inlineStr">
        <is>
          <t>VPH (-)</t>
        </is>
      </c>
      <c r="D170" s="9665" t="inlineStr">
        <is>
          <t>Positivos</t>
        </is>
      </c>
      <c r="E170" s="9666" t="n"/>
      <c r="F170" s="9667" t="n"/>
      <c r="G170" s="9687" t="n"/>
      <c r="H170" s="9625" t="n"/>
      <c r="I170" s="9625" t="n"/>
    </row>
    <row r="171">
      <c r="A171" s="9669" t="n"/>
      <c r="B171" s="9589" t="n"/>
      <c r="C171" s="9641" t="n"/>
      <c r="D171" s="5782" t="inlineStr">
        <is>
          <t>VPH 16 (+)</t>
        </is>
      </c>
      <c r="E171" s="5783" t="inlineStr">
        <is>
          <t>VPH 18 (+)</t>
        </is>
      </c>
      <c r="F171" s="7140" t="inlineStr">
        <is>
          <t xml:space="preserve">VPH AR* (+) </t>
        </is>
      </c>
      <c r="G171" s="9688" t="n"/>
      <c r="H171" s="9641" t="n"/>
      <c r="I171" s="9641" t="n"/>
    </row>
    <row r="172">
      <c r="A172" s="5761" t="inlineStr">
        <is>
          <t>30 a 34 años</t>
        </is>
      </c>
      <c r="B172" s="5789" t="n"/>
      <c r="C172" s="5789" t="n"/>
      <c r="D172" s="5790" t="n"/>
      <c r="E172" s="5791" t="n"/>
      <c r="F172" s="5792" t="n"/>
      <c r="G172" s="5793" t="n"/>
      <c r="H172" s="5789" t="n"/>
      <c r="I172" s="5789" t="n"/>
      <c r="J172" s="622">
        <f>$CA172&amp;CC172</f>
        <v/>
      </c>
      <c r="CA172" s="5575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/>
      </c>
      <c r="CV172" s="5577">
        <f>IF(AND($B172&lt;&gt;0,H172=""),1,IF(H172&gt;$B172,1,0))</f>
        <v/>
      </c>
    </row>
    <row r="173">
      <c r="A173" s="5761" t="inlineStr">
        <is>
          <t>35 a 39 años</t>
        </is>
      </c>
      <c r="B173" s="5789" t="n"/>
      <c r="C173" s="5789" t="n"/>
      <c r="D173" s="5790" t="n"/>
      <c r="E173" s="5791" t="n"/>
      <c r="F173" s="5792" t="n"/>
      <c r="G173" s="5793" t="n"/>
      <c r="H173" s="5789" t="n"/>
      <c r="I173" s="5789" t="n"/>
      <c r="J173" s="622">
        <f>$CA173&amp;CC173</f>
        <v/>
      </c>
      <c r="CA173" s="5575">
        <f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>
        <f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>IF(AND($B173&lt;&gt;0,G173=""),1,IF(G173&gt;$B173,1,0))</f>
        <v/>
      </c>
      <c r="CV173" s="5577">
        <f>IF(AND($B173&lt;&gt;0,H173=""),1,IF(H173&gt;$B173,1,0))</f>
        <v/>
      </c>
    </row>
    <row r="174">
      <c r="A174" s="5761" t="inlineStr">
        <is>
          <t>40 a 44 años</t>
        </is>
      </c>
      <c r="B174" s="5789" t="n"/>
      <c r="C174" s="5789" t="n"/>
      <c r="D174" s="5790" t="n"/>
      <c r="E174" s="5791" t="n"/>
      <c r="F174" s="5792" t="n"/>
      <c r="G174" s="5793" t="n"/>
      <c r="H174" s="5789" t="n"/>
      <c r="I174" s="5789" t="n"/>
      <c r="J174" s="622">
        <f>$CA174&amp;CC174</f>
        <v/>
      </c>
      <c r="CA174" s="5575">
        <f>IF(AND($B174&lt;&gt;0,G174=""),"* No olvide ingresar la variable "&amp;G$169&amp;""&amp;". Digite CERO si no tiene. ",IF(G174&gt;$B174,"* La variable Total VPH informados en trans masculino no debe ser mayor al Total. ",""))</f>
        <v/>
      </c>
      <c r="CB174" s="5575">
        <f>IF(AND($B174&lt;&gt;0,H174=""),"* No olvide ingresar la variable "&amp;H$169&amp;""&amp;". Digite CERO si no tiene. ",IF(H174&gt;$B174,"* La variable Total examen VPH autotoma informado no debe ser mayor al Total. ",""))</f>
        <v/>
      </c>
      <c r="CU174" s="5577">
        <f>IF(AND($B174&lt;&gt;0,G174=""),1,IF(G174&gt;$B174,1,0))</f>
        <v/>
      </c>
      <c r="CV174" s="5577">
        <f>IF(AND($B174&lt;&gt;0,H174=""),1,IF(H174&gt;$B174,1,0))</f>
        <v/>
      </c>
    </row>
    <row r="175">
      <c r="A175" s="5761" t="inlineStr">
        <is>
          <t>45 a 49 años</t>
        </is>
      </c>
      <c r="B175" s="5789" t="n"/>
      <c r="C175" s="5789" t="n"/>
      <c r="D175" s="5790" t="n"/>
      <c r="E175" s="5791" t="n"/>
      <c r="F175" s="5792" t="n"/>
      <c r="G175" s="5793" t="n"/>
      <c r="H175" s="5789" t="n"/>
      <c r="I175" s="5789" t="n"/>
      <c r="J175" s="622">
        <f>$CA175&amp;CC175</f>
        <v/>
      </c>
      <c r="CA175" s="5575">
        <f>IF(AND($B175&lt;&gt;0,G175=""),"* No olvide ingresar la variable "&amp;G$169&amp;""&amp;". Digite CERO si no tiene. ",IF(G175&gt;$B175,"* La variable Total VPH informados en trans masculino no debe ser mayor al Total. ",""))</f>
        <v/>
      </c>
      <c r="CB175" s="5575">
        <f>IF(AND($B175&lt;&gt;0,H175=""),"* No olvide ingresar la variable "&amp;H$169&amp;""&amp;". Digite CERO si no tiene. ",IF(H175&gt;$B175,"* La variable Total examen VPH autotoma informado no debe ser mayor al Total. ",""))</f>
        <v/>
      </c>
      <c r="CU175" s="5577">
        <f>IF(AND($B175&lt;&gt;0,G175=""),1,IF(G175&gt;$B175,1,0))</f>
        <v/>
      </c>
      <c r="CV175" s="5577">
        <f>IF(AND($B175&lt;&gt;0,H175=""),1,IF(H175&gt;$B175,1,0))</f>
        <v/>
      </c>
    </row>
    <row r="176">
      <c r="A176" s="5761" t="inlineStr">
        <is>
          <t>50 a 54 años</t>
        </is>
      </c>
      <c r="B176" s="5789" t="n"/>
      <c r="C176" s="5789" t="n"/>
      <c r="D176" s="5790" t="n"/>
      <c r="E176" s="5791" t="n"/>
      <c r="F176" s="5792" t="n"/>
      <c r="G176" s="5793" t="n"/>
      <c r="H176" s="5789" t="n"/>
      <c r="I176" s="5789" t="n"/>
      <c r="J176" s="622">
        <f>$CA176&amp;CC176</f>
        <v/>
      </c>
      <c r="CA176" s="5575">
        <f>IF(AND($B176&lt;&gt;0,G176=""),"* No olvide ingresar la variable "&amp;G$169&amp;""&amp;". Digite CERO si no tiene. ",IF(G176&gt;$B176,"* La variable Total VPH informados en trans masculino no debe ser mayor al Total. ",""))</f>
        <v/>
      </c>
      <c r="CB176" s="5575">
        <f>IF(AND($B176&lt;&gt;0,H176=""),"* No olvide ingresar la variable "&amp;H$169&amp;""&amp;". Digite CERO si no tiene. ",IF(H176&gt;$B176,"* La variable Total examen VPH autotoma informado no debe ser mayor al Total. ",""))</f>
        <v/>
      </c>
      <c r="CU176" s="5577">
        <f>IF(AND($B176&lt;&gt;0,G176=""),1,IF(G176&gt;$B176,1,0))</f>
        <v/>
      </c>
      <c r="CV176" s="5577">
        <f>IF(AND($B176&lt;&gt;0,H176=""),1,IF(H176&gt;$B176,1,0))</f>
        <v/>
      </c>
    </row>
    <row r="177">
      <c r="A177" s="5761" t="inlineStr">
        <is>
          <t>55 a 59 años</t>
        </is>
      </c>
      <c r="B177" s="5789" t="n"/>
      <c r="C177" s="5789" t="n"/>
      <c r="D177" s="5790" t="n"/>
      <c r="E177" s="5791" t="n"/>
      <c r="F177" s="5792" t="n"/>
      <c r="G177" s="5793" t="n"/>
      <c r="H177" s="5789" t="n"/>
      <c r="I177" s="5789" t="n"/>
      <c r="J177" s="622">
        <f>$CA177&amp;CC177</f>
        <v/>
      </c>
      <c r="CA177" s="5575">
        <f>IF(AND($B177&lt;&gt;0,G177=""),"* No olvide ingresar la variable "&amp;G$169&amp;""&amp;". Digite CERO si no tiene. ",IF(G177&gt;$B177,"* La variable Total VPH informados en trans masculino no debe ser mayor al Total. ",""))</f>
        <v/>
      </c>
      <c r="CB177" s="5575">
        <f>IF(AND($B177&lt;&gt;0,H177=""),"* No olvide ingresar la variable "&amp;H$169&amp;""&amp;". Digite CERO si no tiene. ",IF(H177&gt;$B177,"* La variable Total examen VPH autotoma informado no debe ser mayor al Total. ",""))</f>
        <v/>
      </c>
      <c r="CU177" s="5577">
        <f>IF(AND($B177&lt;&gt;0,G177=""),1,IF(G177&gt;$B177,1,0))</f>
        <v/>
      </c>
      <c r="CV177" s="5577">
        <f>IF(AND($B177&lt;&gt;0,H177=""),1,IF(H177&gt;$B177,1,0))</f>
        <v/>
      </c>
    </row>
    <row r="178">
      <c r="A178" s="5761" t="inlineStr">
        <is>
          <t>60 a 64 años</t>
        </is>
      </c>
      <c r="B178" s="5789" t="n"/>
      <c r="C178" s="5789" t="n"/>
      <c r="D178" s="5790" t="n"/>
      <c r="E178" s="5791" t="n"/>
      <c r="F178" s="5792" t="n"/>
      <c r="G178" s="5793" t="n"/>
      <c r="H178" s="5789" t="n"/>
      <c r="I178" s="5789" t="n"/>
      <c r="J178" s="622">
        <f>$CA178&amp;CC178</f>
        <v/>
      </c>
      <c r="CA178" s="5575">
        <f>IF(AND($B178&lt;&gt;0,G178=""),"* No olvide ingresar la variable "&amp;G$169&amp;""&amp;". Digite CERO si no tiene. ",IF(G178&gt;$B178,"* La variable Total VPH informados en trans masculino no debe ser mayor al Total. ",""))</f>
        <v/>
      </c>
      <c r="CB178" s="5575">
        <f>IF(AND($B178&lt;&gt;0,H178=""),"* No olvide ingresar la variable "&amp;H$169&amp;""&amp;". Digite CERO si no tiene. ",IF(H178&gt;$B178,"* La variable Total examen VPH autotoma informado no debe ser mayor al Total. ",""))</f>
        <v/>
      </c>
      <c r="CU178" s="5577">
        <f>IF(AND($B178&lt;&gt;0,G178=""),1,IF(G178&gt;$B178,1,0))</f>
        <v/>
      </c>
      <c r="CV178" s="5577">
        <f>IF(AND($B178&lt;&gt;0,H178=""),1,IF(H178&gt;$B178,1,0))</f>
        <v/>
      </c>
    </row>
    <row r="179">
      <c r="A179" s="5761" t="inlineStr">
        <is>
          <t>65 a 69 años</t>
        </is>
      </c>
      <c r="B179" s="5789" t="n"/>
      <c r="C179" s="5789" t="n"/>
      <c r="D179" s="5790" t="n"/>
      <c r="E179" s="5791" t="n"/>
      <c r="F179" s="5792" t="n"/>
      <c r="G179" s="5793" t="n"/>
      <c r="H179" s="5789" t="n"/>
      <c r="I179" s="5789" t="n"/>
      <c r="J179" s="622">
        <f>$CA179&amp;CC179</f>
        <v/>
      </c>
      <c r="CA179" s="5575">
        <f>IF(AND($B179&lt;&gt;0,G179=""),"* No olvide ingresar la variable "&amp;G$169&amp;""&amp;". Digite CERO si no tiene. ",IF(G179&gt;$B179,"* La variable Total VPH informados en trans masculino no debe ser mayor al Total. ",""))</f>
        <v/>
      </c>
      <c r="CB179" s="5575">
        <f>IF(AND($B179&lt;&gt;0,H179=""),"* No olvide ingresar la variable "&amp;H$169&amp;""&amp;". Digite CERO si no tiene. ",IF(H179&gt;$B179,"* La variable Total examen VPH autotoma informado no debe ser mayor al Total. ",""))</f>
        <v/>
      </c>
      <c r="CU179" s="5577">
        <f>IF(AND($B179&lt;&gt;0,G179=""),1,IF(G179&gt;$B179,1,0))</f>
        <v/>
      </c>
      <c r="CV179" s="5577">
        <f>IF(AND($B179&lt;&gt;0,H179=""),1,IF(H179&gt;$B179,1,0))</f>
        <v/>
      </c>
    </row>
    <row r="180">
      <c r="A180" s="5761" t="inlineStr">
        <is>
          <t>70 a 74 años</t>
        </is>
      </c>
      <c r="B180" s="5789" t="n"/>
      <c r="C180" s="5789" t="n"/>
      <c r="D180" s="5790" t="n"/>
      <c r="E180" s="5791" t="n"/>
      <c r="F180" s="5792" t="n"/>
      <c r="G180" s="5793" t="n"/>
      <c r="H180" s="5789" t="n"/>
      <c r="I180" s="5789" t="n"/>
      <c r="J180" s="622">
        <f>$CA180&amp;CC180</f>
        <v/>
      </c>
      <c r="CA180" s="5575">
        <f>IF(AND($B180&lt;&gt;0,G180=""),"* No olvide ingresar la variable "&amp;G$169&amp;""&amp;". Digite CERO si no tiene. ",IF(G180&gt;$B180,"* La variable Total VPH informados en trans masculino no debe ser mayor al Total. ",""))</f>
        <v/>
      </c>
      <c r="CB180" s="5575">
        <f>IF(AND($B180&lt;&gt;0,H180=""),"* No olvide ingresar la variable "&amp;H$169&amp;""&amp;". Digite CERO si no tiene. ",IF(H180&gt;$B180,"* La variable Total examen VPH autotoma informado no debe ser mayor al Total. ",""))</f>
        <v/>
      </c>
      <c r="CU180" s="5577">
        <f>IF(AND($B180&lt;&gt;0,G180=""),1,IF(G180&gt;$B180,1,0))</f>
        <v/>
      </c>
      <c r="CV180" s="5577">
        <f>IF(AND($B180&lt;&gt;0,H180=""),1,IF(H180&gt;$B180,1,0))</f>
        <v/>
      </c>
    </row>
    <row r="181">
      <c r="A181" s="5761" t="inlineStr">
        <is>
          <t>75 a 79 años</t>
        </is>
      </c>
      <c r="B181" s="5789" t="n"/>
      <c r="C181" s="5789" t="n"/>
      <c r="D181" s="5790" t="n"/>
      <c r="E181" s="5791" t="n"/>
      <c r="F181" s="5792" t="n"/>
      <c r="G181" s="5793" t="n"/>
      <c r="H181" s="5789" t="n"/>
      <c r="I181" s="5789" t="n"/>
      <c r="J181" s="622">
        <f>$CA181&amp;CC181</f>
        <v/>
      </c>
      <c r="CA181" s="5575">
        <f>IF(AND($B181&lt;&gt;0,G181=""),"* No olvide ingresar la variable "&amp;G$169&amp;""&amp;". Digite CERO si no tiene. ",IF(G181&gt;$B181,"* La variable Total VPH informados en trans masculino no debe ser mayor al Total. ",""))</f>
        <v/>
      </c>
      <c r="CB181" s="5575">
        <f>IF(AND($B181&lt;&gt;0,H181=""),"* No olvide ingresar la variable "&amp;H$169&amp;""&amp;". Digite CERO si no tiene. ",IF(H181&gt;$B181,"* La variable Total examen VPH autotoma informado no debe ser mayor al Total. ",""))</f>
        <v/>
      </c>
      <c r="CU181" s="5577">
        <f>IF(AND($B181&lt;&gt;0,G181=""),1,IF(G181&gt;$B181,1,0))</f>
        <v/>
      </c>
      <c r="CV181" s="5577">
        <f>IF(AND($B181&lt;&gt;0,H181=""),1,IF(H181&gt;$B181,1,0))</f>
        <v/>
      </c>
    </row>
    <row r="182">
      <c r="A182" s="5763" t="inlineStr">
        <is>
          <t>80 y más años</t>
        </is>
      </c>
      <c r="B182" s="5794" t="n"/>
      <c r="C182" s="5794" t="n"/>
      <c r="D182" s="5795" t="n"/>
      <c r="E182" s="5796" t="n"/>
      <c r="F182" s="5797" t="n"/>
      <c r="G182" s="5798" t="n"/>
      <c r="H182" s="5794" t="n"/>
      <c r="I182" s="5794" t="n"/>
      <c r="J182" s="622">
        <f>$CA182&amp;CC182</f>
        <v/>
      </c>
      <c r="CA182" s="5575">
        <f>IF(AND($B182&lt;&gt;0,G182=""),"* No olvide ingresar la variable "&amp;G$169&amp;""&amp;". Digite CERO si no tiene. ",IF(G182&gt;$B182,"* La variable Total VPH informados en trans masculino no debe ser mayor al Total. ",""))</f>
        <v/>
      </c>
      <c r="CB182" s="5575">
        <f>IF(AND($B182&lt;&gt;0,H182=""),"* No olvide ingresar la variable "&amp;H$169&amp;""&amp;". Digite CERO si no tiene. ",IF(H182&gt;$B182,"* La variable Total examen VPH autotoma informado no debe ser mayor al Total. ",""))</f>
        <v/>
      </c>
      <c r="CU182" s="5577">
        <f>IF(AND($B182&lt;&gt;0,G182=""),1,IF(G182&gt;$B182,1,0))</f>
        <v/>
      </c>
      <c r="CV182" s="5577">
        <f>IF(AND($B182&lt;&gt;0,H182=""),1,IF(H182&gt;$B182,1,0))</f>
        <v/>
      </c>
    </row>
    <row r="183">
      <c r="A183" s="5770" t="inlineStr">
        <is>
          <t>TOTAL</t>
        </is>
      </c>
      <c r="B183" s="5771">
        <f>SUM(B172:B182)</f>
        <v/>
      </c>
      <c r="C183" s="5771">
        <f>SUM(C172:C182)</f>
        <v/>
      </c>
      <c r="D183" s="5772">
        <f>SUM(D172:D182)</f>
        <v/>
      </c>
      <c r="E183" s="5774">
        <f>SUM(E172:E182)</f>
        <v/>
      </c>
      <c r="F183" s="5775">
        <f>SUM(F172:F182)</f>
        <v/>
      </c>
      <c r="G183" s="5799">
        <f>SUM(G172:G182)</f>
        <v/>
      </c>
      <c r="H183" s="5773">
        <f>SUM(H172:H182)</f>
        <v/>
      </c>
      <c r="I183" s="5773">
        <f>SUM(I172:I182)</f>
        <v/>
      </c>
    </row>
    <row r="184" ht="18" customHeight="1" s="8286">
      <c r="A184" s="65" t="inlineStr">
        <is>
          <t>* Agrupados Alto Riesgo</t>
        </is>
      </c>
    </row>
    <row r="185" ht="33" customHeight="1" s="8286">
      <c r="A185" s="9673" t="inlineStr">
        <is>
          <t>SECCIÓN H.2 PROGRAMA DE CANCER DE CUELLO UTERINO:  VPH INFORMADOS SEGÚN GRUPOS DE EDAD (Exámenes analizados  extrasistema, uso del mandante)</t>
        </is>
      </c>
      <c r="B185" s="9591" t="n"/>
      <c r="C185" s="9591" t="n"/>
      <c r="D185" s="9591" t="n"/>
      <c r="E185" s="9591" t="n"/>
      <c r="F185" s="9591" t="n"/>
      <c r="G185" s="9591" t="n"/>
      <c r="H185" s="9591" t="n"/>
      <c r="I185" s="5779" t="n"/>
      <c r="J185" s="5779" t="n"/>
      <c r="K185" s="5779" t="n"/>
      <c r="L185" s="5779" t="n"/>
      <c r="M185" s="5779" t="n"/>
    </row>
    <row r="186" ht="15" customHeight="1" s="8286">
      <c r="A186" s="9664" t="inlineStr">
        <is>
          <t>RANGO ETARIO
(en años)</t>
        </is>
      </c>
      <c r="B186" s="9675" t="inlineStr">
        <is>
          <t>TOTAL DE EXAMENES PROCESADOS</t>
        </is>
      </c>
      <c r="C186" s="9665" t="inlineStr">
        <is>
          <t>RESULTADOS DE VPH INFORMADOS</t>
        </is>
      </c>
      <c r="D186" s="9666" t="n"/>
      <c r="E186" s="9666" t="n"/>
      <c r="F186" s="9667" t="n"/>
      <c r="G186" s="9686" t="inlineStr">
        <is>
          <t xml:space="preserve">Total VPH informados en trans masculino </t>
        </is>
      </c>
      <c r="H186" s="9674" t="inlineStr">
        <is>
          <t>Total examen VPH autotoma informado</t>
        </is>
      </c>
      <c r="I186" s="9674" t="inlineStr">
        <is>
          <t>Total de examenes tamizaje priorizado</t>
        </is>
      </c>
      <c r="K186" s="5778" t="n"/>
    </row>
    <row r="187" ht="15" customHeight="1" s="8286">
      <c r="A187" s="9614" t="n"/>
      <c r="B187" s="9588" t="n"/>
      <c r="C187" s="9676" t="inlineStr">
        <is>
          <t>VPH (-)</t>
        </is>
      </c>
      <c r="D187" s="9665" t="inlineStr">
        <is>
          <t>Positivos</t>
        </is>
      </c>
      <c r="E187" s="9666" t="n"/>
      <c r="F187" s="9667" t="n"/>
      <c r="G187" s="9687" t="n"/>
      <c r="H187" s="9625" t="n"/>
      <c r="I187" s="9625" t="n"/>
      <c r="K187" s="5778" t="n"/>
    </row>
    <row r="188">
      <c r="A188" s="9610" t="n"/>
      <c r="B188" s="9589" t="n"/>
      <c r="C188" s="9641" t="n"/>
      <c r="D188" s="5782" t="inlineStr">
        <is>
          <t>VPH 16 (+)</t>
        </is>
      </c>
      <c r="E188" s="5783" t="inlineStr">
        <is>
          <t>VPH 18 (+)</t>
        </is>
      </c>
      <c r="F188" s="7140" t="inlineStr">
        <is>
          <t xml:space="preserve">VPH AR (+) </t>
        </is>
      </c>
      <c r="G188" s="9688" t="n"/>
      <c r="H188" s="9641" t="n"/>
      <c r="I188" s="9641" t="n"/>
      <c r="K188" s="5778" t="n"/>
    </row>
    <row r="189">
      <c r="A189" s="5761" t="inlineStr">
        <is>
          <t>30 a 34 años</t>
        </is>
      </c>
      <c r="B189" s="5789" t="n"/>
      <c r="C189" s="5789" t="n"/>
      <c r="D189" s="5790" t="n"/>
      <c r="E189" s="5791" t="n"/>
      <c r="F189" s="5792" t="n"/>
      <c r="G189" s="5793" t="n"/>
      <c r="H189" s="5789" t="n"/>
      <c r="I189" s="5789" t="n"/>
      <c r="J189" s="622">
        <f>$CA189&amp;CC189</f>
        <v/>
      </c>
      <c r="K189" s="5778" t="n"/>
      <c r="CA189" s="5575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/>
      </c>
      <c r="CV189" s="5577">
        <f>IF(AND($B189&lt;&gt;0,H189=""),1,IF(H189&gt;$B189,1,0))</f>
        <v/>
      </c>
    </row>
    <row r="190">
      <c r="A190" s="5761" t="inlineStr">
        <is>
          <t>35 a 39 años</t>
        </is>
      </c>
      <c r="B190" s="5789" t="n"/>
      <c r="C190" s="5789" t="n"/>
      <c r="D190" s="5790" t="n"/>
      <c r="E190" s="5791" t="n"/>
      <c r="F190" s="5792" t="n"/>
      <c r="G190" s="5793" t="n"/>
      <c r="H190" s="5789" t="n"/>
      <c r="I190" s="5789" t="n"/>
      <c r="J190" s="622">
        <f>$CA190&amp;CC190</f>
        <v/>
      </c>
      <c r="K190" s="5778" t="n"/>
      <c r="CA190" s="5575">
        <f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>
        <f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>IF(AND($B190&lt;&gt;0,G190=""),1,IF(G190&gt;$B190,1,0))</f>
        <v/>
      </c>
      <c r="CV190" s="5577">
        <f>IF(AND($B190&lt;&gt;0,H190=""),1,IF(H190&gt;$B190,1,0))</f>
        <v/>
      </c>
    </row>
    <row r="191">
      <c r="A191" s="5761" t="inlineStr">
        <is>
          <t>40 a 44 años</t>
        </is>
      </c>
      <c r="B191" s="5789" t="n"/>
      <c r="C191" s="5789" t="n"/>
      <c r="D191" s="5790" t="n"/>
      <c r="E191" s="5791" t="n"/>
      <c r="F191" s="5792" t="n"/>
      <c r="G191" s="5793" t="n"/>
      <c r="H191" s="5789" t="n"/>
      <c r="I191" s="5789" t="n"/>
      <c r="J191" s="622">
        <f>$CA191&amp;CC191</f>
        <v/>
      </c>
      <c r="K191" s="5778" t="n"/>
      <c r="CA191" s="5575">
        <f>IF(AND($B191&lt;&gt;0,G191=""),"*No olvide ingresar la variable "&amp;G$186&amp;""&amp;". Digite CERO si no tiene. ",IF(G191&gt;$B191,"* La variable Total VPH informados en trans masculino no debe ser mayor al Total. ",""))</f>
        <v/>
      </c>
      <c r="CB191" s="5575">
        <f>IF(AND($B191&lt;&gt;0,H191=""),"* No olvide ingresar la variable "&amp;H$186&amp;""&amp;". Digite CERO si no tiene. ",IF(H191&gt;$B191,"* La variable Total examen VPH autotoma informado no debe ser mayor al Total. ",""))</f>
        <v/>
      </c>
      <c r="CU191" s="5577">
        <f>IF(AND($B191&lt;&gt;0,G191=""),1,IF(G191&gt;$B191,1,0))</f>
        <v/>
      </c>
      <c r="CV191" s="5577">
        <f>IF(AND($B191&lt;&gt;0,H191=""),1,IF(H191&gt;$B191,1,0))</f>
        <v/>
      </c>
    </row>
    <row r="192">
      <c r="A192" s="5761" t="inlineStr">
        <is>
          <t>45 a 49 años</t>
        </is>
      </c>
      <c r="B192" s="5789" t="n"/>
      <c r="C192" s="5789" t="n"/>
      <c r="D192" s="5790" t="n"/>
      <c r="E192" s="5791" t="n"/>
      <c r="F192" s="5792" t="n"/>
      <c r="G192" s="5793" t="n"/>
      <c r="H192" s="5789" t="n"/>
      <c r="I192" s="5789" t="n"/>
      <c r="J192" s="622">
        <f>$CA192&amp;CC192</f>
        <v/>
      </c>
      <c r="K192" s="5778" t="n"/>
      <c r="CA192" s="5575">
        <f>IF(AND($B192&lt;&gt;0,G192=""),"*No olvide ingresar la variable "&amp;G$186&amp;""&amp;". Digite CERO si no tiene. ",IF(G192&gt;$B192,"* La variable Total VPH informados en trans masculino no debe ser mayor al Total. ",""))</f>
        <v/>
      </c>
      <c r="CB192" s="5575">
        <f>IF(AND($B192&lt;&gt;0,H192=""),"* No olvide ingresar la variable "&amp;H$186&amp;""&amp;". Digite CERO si no tiene. ",IF(H192&gt;$B192,"* La variable Total examen VPH autotoma informado no debe ser mayor al Total. ",""))</f>
        <v/>
      </c>
      <c r="CU192" s="5577">
        <f>IF(AND($B192&lt;&gt;0,G192=""),1,IF(G192&gt;$B192,1,0))</f>
        <v/>
      </c>
      <c r="CV192" s="5577">
        <f>IF(AND($B192&lt;&gt;0,H192=""),1,IF(H192&gt;$B192,1,0))</f>
        <v/>
      </c>
    </row>
    <row r="193">
      <c r="A193" s="5761" t="inlineStr">
        <is>
          <t>50 a 54 años</t>
        </is>
      </c>
      <c r="B193" s="5789" t="n"/>
      <c r="C193" s="5789" t="n"/>
      <c r="D193" s="5790" t="n"/>
      <c r="E193" s="5791" t="n"/>
      <c r="F193" s="5792" t="n"/>
      <c r="G193" s="5793" t="n"/>
      <c r="H193" s="5789" t="n"/>
      <c r="I193" s="5789" t="n"/>
      <c r="J193" s="622">
        <f>$CA193&amp;CC193</f>
        <v/>
      </c>
      <c r="K193" s="5778" t="n"/>
      <c r="CA193" s="5575">
        <f>IF(AND($B193&lt;&gt;0,G193=""),"*No olvide ingresar la variable "&amp;G$186&amp;""&amp;". Digite CERO si no tiene. ",IF(G193&gt;$B193,"* La variable Total VPH informados en trans masculino no debe ser mayor al Total. ",""))</f>
        <v/>
      </c>
      <c r="CB193" s="5575">
        <f>IF(AND($B193&lt;&gt;0,H193=""),"* No olvide ingresar la variable "&amp;H$186&amp;""&amp;". Digite CERO si no tiene. ",IF(H193&gt;$B193,"* La variable Total examen VPH autotoma informado no debe ser mayor al Total. ",""))</f>
        <v/>
      </c>
      <c r="CU193" s="5577">
        <f>IF(AND($B193&lt;&gt;0,G193=""),1,IF(G193&gt;$B193,1,0))</f>
        <v/>
      </c>
      <c r="CV193" s="5577">
        <f>IF(AND($B193&lt;&gt;0,H193=""),1,IF(H193&gt;$B193,1,0))</f>
        <v/>
      </c>
    </row>
    <row r="194">
      <c r="A194" s="5761" t="inlineStr">
        <is>
          <t>55 a 59 años</t>
        </is>
      </c>
      <c r="B194" s="5789" t="n"/>
      <c r="C194" s="5789" t="n"/>
      <c r="D194" s="5790" t="n"/>
      <c r="E194" s="5791" t="n"/>
      <c r="F194" s="5792" t="n"/>
      <c r="G194" s="5793" t="n"/>
      <c r="H194" s="5789" t="n"/>
      <c r="I194" s="5789" t="n"/>
      <c r="J194" s="622">
        <f>$CA194&amp;CC194</f>
        <v/>
      </c>
      <c r="K194" s="5778" t="n"/>
      <c r="CA194" s="5575">
        <f>IF(AND($B194&lt;&gt;0,G194=""),"*No olvide ingresar la variable "&amp;G$186&amp;""&amp;". Digite CERO si no tiene. ",IF(G194&gt;$B194,"* La variable Total VPH informados en trans masculino no debe ser mayor al Total. ",""))</f>
        <v/>
      </c>
      <c r="CB194" s="5575">
        <f>IF(AND($B194&lt;&gt;0,H194=""),"* No olvide ingresar la variable "&amp;H$186&amp;""&amp;". Digite CERO si no tiene. ",IF(H194&gt;$B194,"* La variable Total examen VPH autotoma informado no debe ser mayor al Total. ",""))</f>
        <v/>
      </c>
      <c r="CU194" s="5577">
        <f>IF(AND($B194&lt;&gt;0,G194=""),1,IF(G194&gt;$B194,1,0))</f>
        <v/>
      </c>
      <c r="CV194" s="5577">
        <f>IF(AND($B194&lt;&gt;0,H194=""),1,IF(H194&gt;$B194,1,0))</f>
        <v/>
      </c>
    </row>
    <row r="195">
      <c r="A195" s="5761" t="inlineStr">
        <is>
          <t>60 a 64 años</t>
        </is>
      </c>
      <c r="B195" s="5789" t="n"/>
      <c r="C195" s="5789" t="n"/>
      <c r="D195" s="5790" t="n"/>
      <c r="E195" s="5791" t="n"/>
      <c r="F195" s="5792" t="n"/>
      <c r="G195" s="5793" t="n"/>
      <c r="H195" s="5789" t="n"/>
      <c r="I195" s="5789" t="n"/>
      <c r="J195" s="622">
        <f>$CA195&amp;CC195</f>
        <v/>
      </c>
      <c r="K195" s="5778" t="n"/>
      <c r="CA195" s="5575">
        <f>IF(AND($B195&lt;&gt;0,G195=""),"*No olvide ingresar la variable "&amp;G$186&amp;""&amp;". Digite CERO si no tiene. ",IF(G195&gt;$B195,"* La variable Total VPH informados en trans masculino no debe ser mayor al Total. ",""))</f>
        <v/>
      </c>
      <c r="CB195" s="5575">
        <f>IF(AND($B195&lt;&gt;0,H195=""),"* No olvide ingresar la variable "&amp;H$186&amp;""&amp;". Digite CERO si no tiene. ",IF(H195&gt;$B195,"* La variable Total examen VPH autotoma informado no debe ser mayor al Total. ",""))</f>
        <v/>
      </c>
      <c r="CU195" s="5577">
        <f>IF(AND($B195&lt;&gt;0,G195=""),1,IF(G195&gt;$B195,1,0))</f>
        <v/>
      </c>
      <c r="CV195" s="5577">
        <f>IF(AND($B195&lt;&gt;0,H195=""),1,IF(H195&gt;$B195,1,0))</f>
        <v/>
      </c>
    </row>
    <row r="196">
      <c r="A196" s="5761" t="inlineStr">
        <is>
          <t>65 a 69 años</t>
        </is>
      </c>
      <c r="B196" s="5789" t="n"/>
      <c r="C196" s="5789" t="n"/>
      <c r="D196" s="5790" t="n"/>
      <c r="E196" s="5791" t="n"/>
      <c r="F196" s="5792" t="n"/>
      <c r="G196" s="5793" t="n"/>
      <c r="H196" s="5789" t="n"/>
      <c r="I196" s="5789" t="n"/>
      <c r="J196" s="622">
        <f>$CA196&amp;CC196</f>
        <v/>
      </c>
      <c r="K196" s="5778" t="n"/>
      <c r="CA196" s="5575">
        <f>IF(AND($B196&lt;&gt;0,G196=""),"*No olvide ingresar la variable "&amp;G$186&amp;""&amp;". Digite CERO si no tiene. ",IF(G196&gt;$B196,"* La variable Total VPH informados en trans masculino no debe ser mayor al Total. ",""))</f>
        <v/>
      </c>
      <c r="CB196" s="5575">
        <f>IF(AND($B196&lt;&gt;0,H196=""),"* No olvide ingresar la variable "&amp;H$186&amp;""&amp;". Digite CERO si no tiene. ",IF(H196&gt;$B196,"* La variable Total examen VPH autotoma informado no debe ser mayor al Total. ",""))</f>
        <v/>
      </c>
      <c r="CU196" s="5577">
        <f>IF(AND($B196&lt;&gt;0,G196=""),1,IF(G196&gt;$B196,1,0))</f>
        <v/>
      </c>
      <c r="CV196" s="5577">
        <f>IF(AND($B196&lt;&gt;0,H196=""),1,IF(H196&gt;$B196,1,0))</f>
        <v/>
      </c>
    </row>
    <row r="197">
      <c r="A197" s="5761" t="inlineStr">
        <is>
          <t>70 a 74 años</t>
        </is>
      </c>
      <c r="B197" s="5789" t="n"/>
      <c r="C197" s="5789" t="n"/>
      <c r="D197" s="5790" t="n"/>
      <c r="E197" s="5791" t="n"/>
      <c r="F197" s="5792" t="n"/>
      <c r="G197" s="5793" t="n"/>
      <c r="H197" s="5789" t="n"/>
      <c r="I197" s="5789" t="n"/>
      <c r="J197" s="622">
        <f>$CA197&amp;CC197</f>
        <v/>
      </c>
      <c r="K197" s="5778" t="n"/>
      <c r="CA197" s="5575">
        <f>IF(AND($B197&lt;&gt;0,G197=""),"*No olvide ingresar la variable "&amp;G$186&amp;""&amp;". Digite CERO si no tiene. ",IF(G197&gt;$B197,"* La variable Total VPH informados en trans masculino no debe ser mayor al Total. ",""))</f>
        <v/>
      </c>
      <c r="CB197" s="5575">
        <f>IF(AND($B197&lt;&gt;0,H197=""),"* No olvide ingresar la variable "&amp;H$186&amp;""&amp;". Digite CERO si no tiene. ",IF(H197&gt;$B197,"* La variable Total examen VPH autotoma informado no debe ser mayor al Total. ",""))</f>
        <v/>
      </c>
      <c r="CU197" s="5577">
        <f>IF(AND($B197&lt;&gt;0,G197=""),1,IF(G197&gt;$B197,1,0))</f>
        <v/>
      </c>
      <c r="CV197" s="5577">
        <f>IF(AND($B197&lt;&gt;0,H197=""),1,IF(H197&gt;$B197,1,0))</f>
        <v/>
      </c>
    </row>
    <row r="198">
      <c r="A198" s="5761" t="inlineStr">
        <is>
          <t>75 a 79 años</t>
        </is>
      </c>
      <c r="B198" s="5789" t="n"/>
      <c r="C198" s="5789" t="n"/>
      <c r="D198" s="5790" t="n"/>
      <c r="E198" s="5791" t="n"/>
      <c r="F198" s="5792" t="n"/>
      <c r="G198" s="5793" t="n"/>
      <c r="H198" s="5789" t="n"/>
      <c r="I198" s="5789" t="n"/>
      <c r="J198" s="622">
        <f>$CA198&amp;CC198</f>
        <v/>
      </c>
      <c r="K198" s="5778" t="n"/>
      <c r="CA198" s="5575">
        <f>IF(AND($B198&lt;&gt;0,G198=""),"*No olvide ingresar la variable "&amp;G$186&amp;""&amp;". Digite CERO si no tiene. ",IF(G198&gt;$B198,"* La variable Total VPH informados en trans masculino no debe ser mayor al Total. ",""))</f>
        <v/>
      </c>
      <c r="CB198" s="5575">
        <f>IF(AND($B198&lt;&gt;0,H198=""),"* No olvide ingresar la variable "&amp;H$186&amp;""&amp;". Digite CERO si no tiene. ",IF(H198&gt;$B198,"* La variable Total examen VPH autotoma informado no debe ser mayor al Total. ",""))</f>
        <v/>
      </c>
      <c r="CU198" s="5577">
        <f>IF(AND($B198&lt;&gt;0,G198=""),1,IF(G198&gt;$B198,1,0))</f>
        <v/>
      </c>
      <c r="CV198" s="5577">
        <f>IF(AND($B198&lt;&gt;0,H198=""),1,IF(H198&gt;$B198,1,0))</f>
        <v/>
      </c>
    </row>
    <row r="199">
      <c r="A199" s="5763" t="inlineStr">
        <is>
          <t>80 y más años</t>
        </is>
      </c>
      <c r="B199" s="5794" t="n"/>
      <c r="C199" s="5794" t="n"/>
      <c r="D199" s="5795" t="n"/>
      <c r="E199" s="5796" t="n"/>
      <c r="F199" s="5797" t="n"/>
      <c r="G199" s="5798" t="n"/>
      <c r="H199" s="5794" t="n"/>
      <c r="I199" s="5794" t="n"/>
      <c r="J199" s="622">
        <f>$CA199&amp;CC199</f>
        <v/>
      </c>
      <c r="K199" s="5778" t="n"/>
      <c r="CA199" s="5575">
        <f>IF(AND($B199&lt;&gt;0,G199=""),"*No olvide ingresar la variable "&amp;G$186&amp;""&amp;". Digite CERO si no tiene. ",IF(G199&gt;$B199,"* La variable Total VPH informados en trans masculino no debe ser mayor al Total. ",""))</f>
        <v/>
      </c>
      <c r="CB199" s="5575">
        <f>IF(AND($B199&lt;&gt;0,H199=""),"* No olvide ingresar la variable "&amp;H$186&amp;""&amp;". Digite CERO si no tiene. ",IF(H199&gt;$B199,"* La variable Total examen VPH autotoma informado no debe ser mayor al Total. ",""))</f>
        <v/>
      </c>
      <c r="CU199" s="5577">
        <f>IF(AND($B199&lt;&gt;0,G199=""),1,IF(G199&gt;$B199,1,0))</f>
        <v/>
      </c>
      <c r="CV199" s="5577">
        <f>IF(AND($B199&lt;&gt;0,H199=""),1,IF(H199&gt;$B199,1,0))</f>
        <v/>
      </c>
    </row>
    <row r="200">
      <c r="A200" s="5770" t="inlineStr">
        <is>
          <t>TOTAL</t>
        </is>
      </c>
      <c r="B200" s="5771">
        <f>SUM(B189:B199)</f>
        <v/>
      </c>
      <c r="C200" s="5771">
        <f>SUM(C189:C199)</f>
        <v/>
      </c>
      <c r="D200" s="5772">
        <f>SUM(D189:D199)</f>
        <v/>
      </c>
      <c r="E200" s="5774">
        <f>SUM(E189:E199)</f>
        <v/>
      </c>
      <c r="F200" s="5775">
        <f>SUM(F189:F199)</f>
        <v/>
      </c>
      <c r="G200" s="5799">
        <f>SUM(G189:G199)</f>
        <v/>
      </c>
      <c r="H200" s="5773">
        <f>SUM(H189:H199)</f>
        <v/>
      </c>
      <c r="I200" s="5773">
        <f>SUM(I189:I199)</f>
        <v/>
      </c>
      <c r="K200" s="5778" t="n"/>
    </row>
    <row r="256" ht="17.25" customHeight="1" s="8286"/>
    <row r="257" ht="12" customHeight="1" s="8286"/>
    <row r="258" hidden="1" ht="25.5" customHeight="1" s="8286">
      <c r="A258" s="5801">
        <f>SUM(C11:C32,C36:C39,C44:C66,C70:C73,F70:F73,B78:B83,B88:B93,B98:B110,B117:B129,B136:B148,B155:B165,B172:B182,B189:B199)</f>
        <v/>
      </c>
      <c r="B258" s="5801">
        <f>SUM(CU11:DG199)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S9oO8uRmtdIoTZyU1RSIfA==" formatRows="1" sort="1" spinCount="100000" hashValue="ujf7pCoO0LNQzkfiszm5NQiMCyJ5VnGb/XpEehnukNp6uydMHVHoQVZ97n41mMcP5uNkgvKd7fnVYKy8asx5sw=="/>
  <mergeCells count="168">
    <mergeCell ref="V42:W42"/>
    <mergeCell ref="A73:B73"/>
    <mergeCell ref="AJ42:AK42"/>
    <mergeCell ref="C134:C135"/>
    <mergeCell ref="I169:I171"/>
    <mergeCell ref="A70:B70"/>
    <mergeCell ref="B133:K133"/>
    <mergeCell ref="C186:F186"/>
    <mergeCell ref="T42:U42"/>
    <mergeCell ref="A113:L113"/>
    <mergeCell ref="A27:A28"/>
    <mergeCell ref="J68:J69"/>
    <mergeCell ref="I68:I69"/>
    <mergeCell ref="A74:B74"/>
    <mergeCell ref="AC9:AC10"/>
    <mergeCell ref="X42:Y42"/>
    <mergeCell ref="D134:E134"/>
    <mergeCell ref="C76:D76"/>
    <mergeCell ref="H152:H154"/>
    <mergeCell ref="AK34:AK35"/>
    <mergeCell ref="B152:B154"/>
    <mergeCell ref="A41:A43"/>
    <mergeCell ref="J153:L153"/>
    <mergeCell ref="C41:E42"/>
    <mergeCell ref="C34:E34"/>
    <mergeCell ref="A63:A66"/>
    <mergeCell ref="J76:J77"/>
    <mergeCell ref="W86:X86"/>
    <mergeCell ref="N152:N154"/>
    <mergeCell ref="Y86:Z86"/>
    <mergeCell ref="L114:L116"/>
    <mergeCell ref="A133:A135"/>
    <mergeCell ref="AN34:AN35"/>
    <mergeCell ref="D170:F170"/>
    <mergeCell ref="A36:A39"/>
    <mergeCell ref="A151:M151"/>
    <mergeCell ref="D115:E115"/>
    <mergeCell ref="G86:H86"/>
    <mergeCell ref="I86:J86"/>
    <mergeCell ref="A33:AH33"/>
    <mergeCell ref="AB9:AB10"/>
    <mergeCell ref="L68:L69"/>
    <mergeCell ref="A8:AH8"/>
    <mergeCell ref="F34:AH34"/>
    <mergeCell ref="A94:N94"/>
    <mergeCell ref="A186:A188"/>
    <mergeCell ref="F134:K134"/>
    <mergeCell ref="AH9:AH10"/>
    <mergeCell ref="L42:M42"/>
    <mergeCell ref="A114:A116"/>
    <mergeCell ref="N42:O42"/>
    <mergeCell ref="M152:M154"/>
    <mergeCell ref="F42:G42"/>
    <mergeCell ref="A76:A77"/>
    <mergeCell ref="A21:A22"/>
    <mergeCell ref="M76:M77"/>
    <mergeCell ref="A17:A18"/>
    <mergeCell ref="R42:S42"/>
    <mergeCell ref="A51:A53"/>
    <mergeCell ref="A71:B71"/>
    <mergeCell ref="C153:C154"/>
    <mergeCell ref="A57:A62"/>
    <mergeCell ref="A23:A24"/>
    <mergeCell ref="AF42:AG42"/>
    <mergeCell ref="A54:A56"/>
    <mergeCell ref="A67:L67"/>
    <mergeCell ref="A19:A20"/>
    <mergeCell ref="I153:I154"/>
    <mergeCell ref="E76:F76"/>
    <mergeCell ref="A9:A10"/>
    <mergeCell ref="L133:L135"/>
    <mergeCell ref="B134:B135"/>
    <mergeCell ref="H169:H171"/>
    <mergeCell ref="A11:A12"/>
    <mergeCell ref="U9:V9"/>
    <mergeCell ref="Y9:Y10"/>
    <mergeCell ref="AA9:AA10"/>
    <mergeCell ref="O86:P86"/>
    <mergeCell ref="AI34:AJ34"/>
    <mergeCell ref="D96:E96"/>
    <mergeCell ref="C115:C116"/>
    <mergeCell ref="B114:K114"/>
    <mergeCell ref="S86:T86"/>
    <mergeCell ref="AP41:AP43"/>
    <mergeCell ref="AC86:AD86"/>
    <mergeCell ref="U86:V86"/>
    <mergeCell ref="AM34:AM35"/>
    <mergeCell ref="A152:A154"/>
    <mergeCell ref="AE9:AG9"/>
    <mergeCell ref="B41:B43"/>
    <mergeCell ref="B34:B35"/>
    <mergeCell ref="F96:K96"/>
    <mergeCell ref="L76:L77"/>
    <mergeCell ref="AG85:AG87"/>
    <mergeCell ref="B9:B10"/>
    <mergeCell ref="A84:AF84"/>
    <mergeCell ref="A13:A14"/>
    <mergeCell ref="E86:F86"/>
    <mergeCell ref="Z42:AA42"/>
    <mergeCell ref="A6:P6"/>
    <mergeCell ref="X9:X10"/>
    <mergeCell ref="A169:A171"/>
    <mergeCell ref="AL42:AM42"/>
    <mergeCell ref="C152:F152"/>
    <mergeCell ref="AH85:AH87"/>
    <mergeCell ref="G186:G188"/>
    <mergeCell ref="D187:F187"/>
    <mergeCell ref="A44:A47"/>
    <mergeCell ref="F68:H68"/>
    <mergeCell ref="AD9:AD10"/>
    <mergeCell ref="H42:I42"/>
    <mergeCell ref="G152:G154"/>
    <mergeCell ref="A40:AM40"/>
    <mergeCell ref="J42:K42"/>
    <mergeCell ref="I152:L152"/>
    <mergeCell ref="C170:C171"/>
    <mergeCell ref="AL34:AL35"/>
    <mergeCell ref="A31:A32"/>
    <mergeCell ref="K68:K69"/>
    <mergeCell ref="F41:AM41"/>
    <mergeCell ref="B186:B188"/>
    <mergeCell ref="K76:K77"/>
    <mergeCell ref="B96:B97"/>
    <mergeCell ref="I186:I188"/>
    <mergeCell ref="C187:C188"/>
    <mergeCell ref="A85:A87"/>
    <mergeCell ref="B95:K95"/>
    <mergeCell ref="AO41:AO43"/>
    <mergeCell ref="A132:K132"/>
    <mergeCell ref="A168:H168"/>
    <mergeCell ref="B85:D86"/>
    <mergeCell ref="H186:H188"/>
    <mergeCell ref="C9:C10"/>
    <mergeCell ref="E85:AF85"/>
    <mergeCell ref="AH42:AI42"/>
    <mergeCell ref="AA86:AB86"/>
    <mergeCell ref="A25:A26"/>
    <mergeCell ref="F115:K115"/>
    <mergeCell ref="A68:B69"/>
    <mergeCell ref="B169:B171"/>
    <mergeCell ref="L95:L97"/>
    <mergeCell ref="G76:I76"/>
    <mergeCell ref="A48:A50"/>
    <mergeCell ref="W9:W10"/>
    <mergeCell ref="K86:L86"/>
    <mergeCell ref="AD42:AE42"/>
    <mergeCell ref="M86:N86"/>
    <mergeCell ref="A29:A30"/>
    <mergeCell ref="G169:G171"/>
    <mergeCell ref="A185:H185"/>
    <mergeCell ref="D153:F153"/>
    <mergeCell ref="C96:C97"/>
    <mergeCell ref="C68:E68"/>
    <mergeCell ref="B76:B77"/>
    <mergeCell ref="A72:B72"/>
    <mergeCell ref="Z9:Z10"/>
    <mergeCell ref="D9:T9"/>
    <mergeCell ref="AN41:AN43"/>
    <mergeCell ref="A34:A35"/>
    <mergeCell ref="Q86:R86"/>
    <mergeCell ref="A75:M75"/>
    <mergeCell ref="C169:F169"/>
    <mergeCell ref="A15:A16"/>
    <mergeCell ref="P42:Q42"/>
    <mergeCell ref="AE86:AF86"/>
    <mergeCell ref="A95:A97"/>
    <mergeCell ref="AB42:AC42"/>
    <mergeCell ref="B115:B116"/>
  </mergeCells>
  <dataValidations count="6">
    <dataValidation sqref="D36:AN39 D70:L73 E88:AH93" showDropDown="0" showInputMessage="1" showErrorMessage="1" allowBlank="0" errorTitle="Error" error="Favor ingresar sólo números." type="whole" operator="greaterThanOrEqual">
      <formula1>0</formula1>
    </dataValidation>
    <dataValidation sqref="A94:A135 A136:B150 A151:A200 B95:B112 B114:B131 B132:K132 B133:B135 B152 B166:H167 B169:C169 B183:I184 B186:C186 B200:I200 C96:K97 C111:L112 C115:K116 C130:K131 C134:K135 C149:L150 C153:F154 C170:F171 C187:F188 G152:H152 G169:I169 G186:I186 I153:L154 I166:N166 I167:L167 J169:K184 J186:K200 L95 L114 L130:L133 M152:N152" showDropDown="0" showInputMessage="1" showErrorMessage="1" allowBlank="0" errorTitle="Error de ingreso" error="Debe ingresar sólo números enteros positivos."/>
    <dataValidation sqref="C98:L110 C117:L129 C136:L148" showDropDown="0" showInputMessage="1" showErrorMessage="1" allowBlank="0" type="whole" operator="greaterThanOrEqual">
      <formula1>0</formula1>
    </dataValidation>
    <dataValidation sqref="B83 C78:M83" showDropDown="0" showInputMessage="1" showErrorMessage="1" allowBlank="0" type="whole">
      <formula1>0</formula1>
      <formula2>9.99999999999999E+36</formula2>
    </dataValidation>
    <dataValidation sqref="D11:AH32" showDropDown="0" showInputMessage="1" showErrorMessage="1" allowBlank="0" type="whole">
      <formula1>0</formula1>
      <formula2>9.99999999999999E+34</formula2>
    </dataValidation>
    <dataValidation sqref="B155:N165 B172:I182 B189:I199 F44:AP66" showDropDown="0" showInputMessage="1" showErrorMessage="1" allowBlank="0" type="whole">
      <formula1>0</formula1>
      <formula2>9.99999999999999E+39</formula2>
    </dataValidation>
  </dataValidation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Hoja3">
    <outlinePr summaryBelow="1" summaryRight="1"/>
    <pageSetUpPr/>
  </sheetPr>
  <dimension ref="A1:CH51"/>
  <sheetViews>
    <sheetView showGridLines="0" topLeftCell="G1" zoomScaleNormal="100" workbookViewId="0">
      <selection activeCell="Y1" sqref="Y1"/>
    </sheetView>
  </sheetViews>
  <sheetFormatPr baseColWidth="10" defaultColWidth="11.42578125" defaultRowHeight="15"/>
  <cols>
    <col width="44.140625" customWidth="1" style="8286" min="1" max="1"/>
    <col width="13.42578125" customWidth="1" style="8286" min="2" max="2"/>
    <col hidden="1" width="12" customWidth="1" style="8286" min="78" max="78"/>
    <col hidden="1" width="11.42578125" customWidth="1" style="8286" min="79" max="90"/>
    <col width="11.42578125" customWidth="1" style="8286" min="91" max="130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25">
        <f>CONCATENATE("AÑO: ",NOMBRE!B7)</f>
        <v/>
      </c>
    </row>
    <row r="6" ht="19.5" customFormat="1" customHeight="1" s="8337">
      <c r="A6" s="7256" t="inlineStr">
        <is>
          <t>REM-A02.   EXAMEN DE MEDICINA PREVENTIVA EN MAYORES DE 15 AÑOS</t>
        </is>
      </c>
      <c r="AE6" s="231" t="n"/>
      <c r="AF6" s="6" t="n"/>
      <c r="AG6" s="8" t="n"/>
      <c r="AH6" s="8" t="n"/>
      <c r="AI6" s="8" t="n"/>
      <c r="AJ6" s="8" t="n"/>
      <c r="AK6" s="8" t="n"/>
      <c r="AL6" s="8" t="n"/>
      <c r="AM6" s="8" t="n"/>
      <c r="AN6" s="8" t="n"/>
      <c r="AO6" s="8" t="n"/>
      <c r="AP6" s="8" t="n"/>
      <c r="AQ6" s="8" t="n"/>
      <c r="AR6" s="8" t="n"/>
      <c r="AS6" s="8" t="n"/>
      <c r="AT6" s="8" t="n"/>
      <c r="AU6" s="8" t="n"/>
      <c r="AV6" s="8" t="n"/>
      <c r="AW6" s="8" t="n"/>
      <c r="AX6" s="8" t="n"/>
      <c r="AY6" s="8" t="n"/>
      <c r="AZ6" s="8" t="n"/>
      <c r="BA6" s="8" t="n"/>
      <c r="BB6" s="8" t="n"/>
      <c r="BC6" s="8" t="n"/>
      <c r="BD6" s="8" t="n"/>
      <c r="BE6" s="8" t="n"/>
      <c r="BF6" s="8" t="n"/>
      <c r="BG6" s="8" t="n"/>
      <c r="BH6" s="8" t="n"/>
      <c r="BI6" s="8" t="n"/>
      <c r="BJ6" s="8" t="n"/>
      <c r="BK6" s="8" t="n"/>
      <c r="BL6" s="8" t="n"/>
      <c r="BM6" s="8" t="n"/>
      <c r="BN6" s="8" t="n"/>
      <c r="BO6" s="8" t="n"/>
      <c r="BP6" s="8" t="n"/>
      <c r="BQ6" s="8" t="n"/>
      <c r="BR6" s="8" t="n"/>
      <c r="BS6" s="8" t="n"/>
      <c r="BT6" s="8" t="n"/>
      <c r="BU6" s="8" t="n"/>
      <c r="BV6" s="8" t="n"/>
      <c r="BW6" s="8" t="n"/>
      <c r="BX6" s="8" t="n"/>
      <c r="BY6" s="8" t="n"/>
      <c r="BZ6" s="8" t="n"/>
      <c r="CA6" s="56" t="n"/>
      <c r="CB6" s="56" t="n"/>
      <c r="CC6" s="56" t="n"/>
      <c r="CD6" s="56" t="n"/>
      <c r="CE6" s="56" t="n"/>
      <c r="CF6" s="56" t="n"/>
      <c r="CG6" s="56" t="n"/>
    </row>
    <row r="8" ht="18" customFormat="1" customHeight="1" s="5">
      <c r="A8" s="9689" t="inlineStr">
        <is>
          <t>SECCIÓN A: EMP REALIZADO POR PROFESIONAL</t>
        </is>
      </c>
      <c r="B8" s="9591" t="n"/>
      <c r="C8" s="9591" t="n"/>
      <c r="D8" s="9591" t="n"/>
      <c r="E8" s="9591" t="n"/>
      <c r="F8" s="9591" t="n"/>
      <c r="G8" s="9591" t="n"/>
      <c r="H8" s="9591" t="n"/>
      <c r="I8" s="9591" t="n"/>
      <c r="J8" s="9591" t="n"/>
      <c r="K8" s="9591" t="n"/>
      <c r="L8" s="9591" t="n"/>
      <c r="M8" s="9591" t="n"/>
      <c r="N8" s="9591" t="n"/>
      <c r="O8" s="9591" t="n"/>
      <c r="P8" s="9591" t="n"/>
      <c r="Q8" s="9591" t="n"/>
      <c r="R8" s="9591" t="n"/>
      <c r="S8" s="9591" t="n"/>
      <c r="T8" s="9591" t="n"/>
      <c r="U8" s="9591" t="n"/>
      <c r="V8" s="9591" t="n"/>
      <c r="W8" s="9591" t="n"/>
      <c r="X8" s="9591" t="n"/>
      <c r="Y8" s="9591" t="n"/>
      <c r="Z8" s="9591" t="n"/>
      <c r="AA8" s="9591" t="n"/>
      <c r="AB8" s="9591" t="n"/>
      <c r="AC8" s="9591" t="n"/>
      <c r="AD8" s="9591" t="n"/>
      <c r="AE8" s="9591" t="n"/>
      <c r="AF8" s="9591" t="n"/>
    </row>
    <row r="9" ht="15" customHeight="1" s="8286">
      <c r="A9" s="9690" t="inlineStr">
        <is>
          <t>PROFESIONAL</t>
        </is>
      </c>
      <c r="B9" s="9691" t="inlineStr">
        <is>
          <t>TOTAL</t>
        </is>
      </c>
      <c r="C9" s="9617" t="n"/>
      <c r="D9" s="9632" t="n"/>
      <c r="E9" s="9692" t="inlineStr">
        <is>
          <t>15 - 19 años</t>
        </is>
      </c>
      <c r="F9" s="9632" t="n"/>
      <c r="G9" s="9692" t="inlineStr">
        <is>
          <t>20 - 24 años</t>
        </is>
      </c>
      <c r="H9" s="9632" t="n"/>
      <c r="I9" s="9692" t="inlineStr">
        <is>
          <t>25 - 29 años</t>
        </is>
      </c>
      <c r="J9" s="9632" t="n"/>
      <c r="K9" s="9692" t="inlineStr">
        <is>
          <t>30 - 34 años</t>
        </is>
      </c>
      <c r="L9" s="9632" t="n"/>
      <c r="M9" s="9692" t="inlineStr">
        <is>
          <t>35 - 39 años</t>
        </is>
      </c>
      <c r="N9" s="9632" t="n"/>
      <c r="O9" s="9692" t="inlineStr">
        <is>
          <t>40 - 44 años</t>
        </is>
      </c>
      <c r="P9" s="9632" t="n"/>
      <c r="Q9" s="9692" t="inlineStr">
        <is>
          <t>45 - 49 años</t>
        </is>
      </c>
      <c r="R9" s="9632" t="n"/>
      <c r="S9" s="9692" t="inlineStr">
        <is>
          <t>50 - 54 años</t>
        </is>
      </c>
      <c r="T9" s="9632" t="n"/>
      <c r="U9" s="9692" t="inlineStr">
        <is>
          <t>55 - 59 años</t>
        </is>
      </c>
      <c r="V9" s="9632" t="n"/>
      <c r="W9" s="9692" t="inlineStr">
        <is>
          <t>60 - 64 años</t>
        </is>
      </c>
      <c r="X9" s="9632" t="n"/>
      <c r="Y9" s="9692" t="inlineStr">
        <is>
          <t>65 - 69 años</t>
        </is>
      </c>
      <c r="Z9" s="9632" t="n"/>
      <c r="AA9" s="9692" t="inlineStr">
        <is>
          <t>70 - 74 años</t>
        </is>
      </c>
      <c r="AB9" s="9632" t="n"/>
      <c r="AC9" s="9692" t="inlineStr">
        <is>
          <t>75 - 79 años</t>
        </is>
      </c>
      <c r="AD9" s="9632" t="n"/>
      <c r="AE9" s="9693" t="inlineStr">
        <is>
          <t>80 y más años</t>
        </is>
      </c>
      <c r="AF9" s="9652" t="n"/>
      <c r="AG9" s="8404" t="inlineStr">
        <is>
          <t>Pueblos Originarios</t>
        </is>
      </c>
      <c r="AH9" s="8400" t="inlineStr">
        <is>
          <t>Migrantes</t>
        </is>
      </c>
    </row>
    <row r="10" ht="15" customHeight="1" s="8286">
      <c r="A10" s="9589" t="n"/>
      <c r="B10" s="1475" t="inlineStr">
        <is>
          <t>Ambos Sexos</t>
        </is>
      </c>
      <c r="C10" s="1478" t="inlineStr">
        <is>
          <t>Hombres</t>
        </is>
      </c>
      <c r="D10" s="7247" t="inlineStr">
        <is>
          <t>Mujeres</t>
        </is>
      </c>
      <c r="E10" s="1478" t="inlineStr">
        <is>
          <t>Hombres</t>
        </is>
      </c>
      <c r="F10" s="1479" t="inlineStr">
        <is>
          <t>Mujeres</t>
        </is>
      </c>
      <c r="G10" s="1475" t="inlineStr">
        <is>
          <t>Hombres</t>
        </is>
      </c>
      <c r="H10" s="1479" t="inlineStr">
        <is>
          <t>Mujeres</t>
        </is>
      </c>
      <c r="I10" s="1475" t="inlineStr">
        <is>
          <t>Hombres</t>
        </is>
      </c>
      <c r="J10" s="1479" t="inlineStr">
        <is>
          <t>Mujeres</t>
        </is>
      </c>
      <c r="K10" s="1475" t="inlineStr">
        <is>
          <t>Hombres</t>
        </is>
      </c>
      <c r="L10" s="1479" t="inlineStr">
        <is>
          <t>Mujeres</t>
        </is>
      </c>
      <c r="M10" s="1475" t="inlineStr">
        <is>
          <t>Hombres</t>
        </is>
      </c>
      <c r="N10" s="1479" t="inlineStr">
        <is>
          <t>Mujeres</t>
        </is>
      </c>
      <c r="O10" s="1475" t="inlineStr">
        <is>
          <t>Hombres</t>
        </is>
      </c>
      <c r="P10" s="1479" t="inlineStr">
        <is>
          <t>Mujeres</t>
        </is>
      </c>
      <c r="Q10" s="1475" t="inlineStr">
        <is>
          <t>Hombres</t>
        </is>
      </c>
      <c r="R10" s="1479" t="inlineStr">
        <is>
          <t>Mujeres</t>
        </is>
      </c>
      <c r="S10" s="1475" t="inlineStr">
        <is>
          <t>Hombres</t>
        </is>
      </c>
      <c r="T10" s="1479" t="inlineStr">
        <is>
          <t>Mujeres</t>
        </is>
      </c>
      <c r="U10" s="1475" t="inlineStr">
        <is>
          <t>Hombres</t>
        </is>
      </c>
      <c r="V10" s="1479" t="inlineStr">
        <is>
          <t>Mujeres</t>
        </is>
      </c>
      <c r="W10" s="1475" t="inlineStr">
        <is>
          <t>Hombres</t>
        </is>
      </c>
      <c r="X10" s="1479" t="inlineStr">
        <is>
          <t>Mujeres</t>
        </is>
      </c>
      <c r="Y10" s="1475" t="inlineStr">
        <is>
          <t>Hombres</t>
        </is>
      </c>
      <c r="Z10" s="1479" t="inlineStr">
        <is>
          <t>Mujeres</t>
        </is>
      </c>
      <c r="AA10" s="1475" t="inlineStr">
        <is>
          <t>Hombres</t>
        </is>
      </c>
      <c r="AB10" s="1479" t="inlineStr">
        <is>
          <t>Mujeres</t>
        </is>
      </c>
      <c r="AC10" s="1475" t="inlineStr">
        <is>
          <t>Hombres</t>
        </is>
      </c>
      <c r="AD10" s="1479" t="inlineStr">
        <is>
          <t>Mujeres</t>
        </is>
      </c>
      <c r="AE10" s="1475" t="inlineStr">
        <is>
          <t>Hombres</t>
        </is>
      </c>
      <c r="AF10" s="1480" t="inlineStr">
        <is>
          <t>Mujeres</t>
        </is>
      </c>
      <c r="AG10" s="9640" t="n"/>
      <c r="AH10" s="9610" t="n"/>
    </row>
    <row r="11" ht="15" customHeight="1" s="8286">
      <c r="A11" s="1481" t="inlineStr">
        <is>
          <t xml:space="preserve">TOTAL </t>
        </is>
      </c>
      <c r="B11" s="1482">
        <f>SUM(B12:B17)</f>
        <v/>
      </c>
      <c r="C11" s="1471">
        <f>SUM(C12:C17)</f>
        <v/>
      </c>
      <c r="D11" s="7250">
        <f>SUM(D12:D17)</f>
        <v/>
      </c>
      <c r="E11" s="1471">
        <f>SUM(E12:E17)</f>
        <v/>
      </c>
      <c r="F11" s="1483">
        <f>SUM(F12:F17)</f>
        <v/>
      </c>
      <c r="G11" s="1471">
        <f>SUM(G12:G17)</f>
        <v/>
      </c>
      <c r="H11" s="1484">
        <f>SUM(H12:H17)</f>
        <v/>
      </c>
      <c r="I11" s="1482">
        <f>SUM(I12:I17)</f>
        <v/>
      </c>
      <c r="J11" s="1484">
        <f>SUM(J12:J17)</f>
        <v/>
      </c>
      <c r="K11" s="1482">
        <f>SUM(K12:K17)</f>
        <v/>
      </c>
      <c r="L11" s="1484">
        <f>SUM(L12:L17)</f>
        <v/>
      </c>
      <c r="M11" s="1482">
        <f>SUM(M12:M17)</f>
        <v/>
      </c>
      <c r="N11" s="1484">
        <f>SUM(N12:N17)</f>
        <v/>
      </c>
      <c r="O11" s="1482">
        <f>SUM(O12:O17)</f>
        <v/>
      </c>
      <c r="P11" s="1484">
        <f>SUM(P12:P17)</f>
        <v/>
      </c>
      <c r="Q11" s="1482">
        <f>SUM(Q12:Q17)</f>
        <v/>
      </c>
      <c r="R11" s="1484">
        <f>SUM(R12:R17)</f>
        <v/>
      </c>
      <c r="S11" s="1482">
        <f>SUM(S12:S17)</f>
        <v/>
      </c>
      <c r="T11" s="1484">
        <f>SUM(T12:T17)</f>
        <v/>
      </c>
      <c r="U11" s="1482">
        <f>SUM(U12:U17)</f>
        <v/>
      </c>
      <c r="V11" s="1484">
        <f>SUM(V12:V17)</f>
        <v/>
      </c>
      <c r="W11" s="1482">
        <f>SUM(W12:W17)</f>
        <v/>
      </c>
      <c r="X11" s="1484">
        <f>SUM(X12:X17)</f>
        <v/>
      </c>
      <c r="Y11" s="1482">
        <f>SUM(Y12:Y17)</f>
        <v/>
      </c>
      <c r="Z11" s="1484">
        <f>SUM(Z12:Z17)</f>
        <v/>
      </c>
      <c r="AA11" s="1482">
        <f>SUM(AA12:AA17)</f>
        <v/>
      </c>
      <c r="AB11" s="1484">
        <f>SUM(AB12:AB17)</f>
        <v/>
      </c>
      <c r="AC11" s="1482">
        <f>SUM(AC12:AC17)</f>
        <v/>
      </c>
      <c r="AD11" s="1484">
        <f>SUM(AD12:AD17)</f>
        <v/>
      </c>
      <c r="AE11" s="1482">
        <f>SUM(AE12:AE17)</f>
        <v/>
      </c>
      <c r="AF11" s="1471">
        <f>SUM(AF12:AF17)</f>
        <v/>
      </c>
      <c r="AG11" s="5253">
        <f>SUM(AG12:AG17)</f>
        <v/>
      </c>
      <c r="AH11" s="5262">
        <f>SUM(AH12:AH17)</f>
        <v/>
      </c>
    </row>
    <row r="12" ht="15" customHeight="1" s="8286">
      <c r="A12" s="825" t="inlineStr">
        <is>
          <t>Médico/a</t>
        </is>
      </c>
      <c r="B12" s="1485">
        <f>SUM(C12:D12)</f>
        <v/>
      </c>
      <c r="C12" s="1380">
        <f>SUM(E12+G12+I12+K12+M12+O12+Q12+S12+U12+W12+Y12+AA12+AC12+AE12)</f>
        <v/>
      </c>
      <c r="D12" s="1399">
        <f>SUM(F12+H12+J12+L12+N12+P12+R12+T12+V12+X12+Z12+AB12+AD12+AF12)</f>
        <v/>
      </c>
      <c r="E12" s="1452" t="n"/>
      <c r="F12" s="750" t="n"/>
      <c r="G12" s="824" t="n"/>
      <c r="H12" s="750" t="n"/>
      <c r="I12" s="824" t="n"/>
      <c r="J12" s="750" t="n"/>
      <c r="K12" s="824" t="n"/>
      <c r="L12" s="750" t="n"/>
      <c r="M12" s="824" t="n"/>
      <c r="N12" s="750" t="n"/>
      <c r="O12" s="824" t="n"/>
      <c r="P12" s="750" t="n"/>
      <c r="Q12" s="824" t="n"/>
      <c r="R12" s="750" t="n"/>
      <c r="S12" s="824" t="n"/>
      <c r="T12" s="750" t="n"/>
      <c r="U12" s="824" t="n"/>
      <c r="V12" s="750" t="n"/>
      <c r="W12" s="824" t="n"/>
      <c r="X12" s="750" t="n"/>
      <c r="Y12" s="824" t="n"/>
      <c r="Z12" s="750" t="n"/>
      <c r="AA12" s="824" t="n"/>
      <c r="AB12" s="750" t="n"/>
      <c r="AC12" s="824" t="n"/>
      <c r="AD12" s="750" t="n"/>
      <c r="AE12" s="824" t="n"/>
      <c r="AF12" s="778" t="n"/>
      <c r="AG12" s="5283" t="n"/>
      <c r="AH12" s="3227" t="n"/>
      <c r="AI12" s="226">
        <f>CA12&amp;CB12</f>
        <v/>
      </c>
      <c r="CA12" s="219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/>
      </c>
      <c r="CG12" s="221">
        <f>IF(AND($B12&lt;&gt;0,AH12=""),1,IF(AH12&gt;$B12,1,0))</f>
        <v/>
      </c>
    </row>
    <row r="13" ht="15" customHeight="1" s="8286">
      <c r="A13" s="8053" t="inlineStr">
        <is>
          <t>Enfermera/o</t>
        </is>
      </c>
      <c r="B13" s="1485">
        <f>SUM(C13:D13)</f>
        <v/>
      </c>
      <c r="C13" s="1486">
        <f>SUM(E13+G13+I13+K13+M13+O13+Q13+S13+U13+W13+Y13+AA13+AC13+AE13)</f>
        <v/>
      </c>
      <c r="D13" s="8311">
        <f>SUM(F13+H13+J13+L13+N13+P13+R13+T13+V13+X13+Z13+AB13+AD13+AF13)</f>
        <v/>
      </c>
      <c r="E13" s="1127" t="n"/>
      <c r="F13" s="1126" t="n"/>
      <c r="G13" s="1124" t="n">
        <v>1</v>
      </c>
      <c r="H13" s="1126" t="n">
        <v>1</v>
      </c>
      <c r="I13" s="1124" t="n">
        <v>1</v>
      </c>
      <c r="J13" s="1126" t="n">
        <v>2</v>
      </c>
      <c r="K13" s="1124" t="n"/>
      <c r="L13" s="1126" t="n"/>
      <c r="M13" s="1124" t="n"/>
      <c r="N13" s="1126" t="n">
        <v>1</v>
      </c>
      <c r="O13" s="1124" t="n"/>
      <c r="P13" s="1126" t="n">
        <v>1</v>
      </c>
      <c r="Q13" s="1124" t="n"/>
      <c r="R13" s="1126" t="n">
        <v>1</v>
      </c>
      <c r="S13" s="1124" t="n"/>
      <c r="T13" s="1126" t="n"/>
      <c r="U13" s="1124" t="n">
        <v>1</v>
      </c>
      <c r="V13" s="1126" t="n">
        <v>1</v>
      </c>
      <c r="W13" s="1124" t="n">
        <v>2</v>
      </c>
      <c r="X13" s="1126" t="n">
        <v>2</v>
      </c>
      <c r="Y13" s="1124" t="n">
        <v>20</v>
      </c>
      <c r="Z13" s="1126" t="n">
        <v>37</v>
      </c>
      <c r="AA13" s="1124" t="n">
        <v>27</v>
      </c>
      <c r="AB13" s="1126" t="n">
        <v>33</v>
      </c>
      <c r="AC13" s="1124" t="n">
        <v>21</v>
      </c>
      <c r="AD13" s="1126" t="n">
        <v>33</v>
      </c>
      <c r="AE13" s="1124" t="n">
        <v>8</v>
      </c>
      <c r="AF13" s="1129" t="n">
        <v>32</v>
      </c>
      <c r="AG13" s="5283" t="n">
        <v>8</v>
      </c>
      <c r="AH13" s="3227" t="n">
        <v>0</v>
      </c>
      <c r="AI13" s="226">
        <f>CA13&amp;CB13</f>
        <v/>
      </c>
      <c r="CA13" s="219">
        <f>IF(AND($B13&lt;&gt;0,AG13=""),"* No olvide ingresar la columna "&amp;AG$9&amp;""&amp;". Digite CERO si no tiene. ",IF(AG13&gt;$B13,"* El Número de Pueblos Originarios no puede superar el Total Ambos Sexos. ",""))</f>
        <v/>
      </c>
      <c r="CB13" s="219">
        <f>IF(AND($B13&lt;&gt;0,AH13=""),"* No olvide ingresar la columna "&amp;AH$9&amp;""&amp;". Digite CERO si no tiene.  ",IF(AH13&gt;$B13,"* El Número de Migrantes no puede superar el Total Ambos Sexos. ",""))</f>
        <v/>
      </c>
      <c r="CF13" s="221">
        <f>IF(AND($B13&lt;&gt;0,AG13=""),1,IF(AG13&gt;$B13,1,0))</f>
        <v/>
      </c>
      <c r="CG13" s="221">
        <f>IF(AND($B13&lt;&gt;0,AH13=""),1,IF(AH13&gt;$B13,1,0))</f>
        <v/>
      </c>
    </row>
    <row r="14" ht="15" customHeight="1" s="8286">
      <c r="A14" s="8053" t="inlineStr">
        <is>
          <t>Matrona/ón</t>
        </is>
      </c>
      <c r="B14" s="1485">
        <f>SUM(C14:D14)</f>
        <v/>
      </c>
      <c r="C14" s="1486">
        <f>SUM(E14+G14+I14+K14+M14+O14+Q14+S14+U14+W14+Y14+AA14+AC14+AE14)</f>
        <v/>
      </c>
      <c r="D14" s="8311">
        <f>SUM(F14+H14+J14+L14+N14+P14+R14+T14+V14+X14+Z14+AB14+AD14+AF14)</f>
        <v/>
      </c>
      <c r="E14" s="1452" t="n"/>
      <c r="F14" s="750" t="n"/>
      <c r="G14" s="824" t="n"/>
      <c r="H14" s="750" t="n"/>
      <c r="I14" s="824" t="n"/>
      <c r="J14" s="750" t="n"/>
      <c r="K14" s="824" t="n"/>
      <c r="L14" s="750" t="n"/>
      <c r="M14" s="824" t="n"/>
      <c r="N14" s="750" t="n"/>
      <c r="O14" s="824" t="n"/>
      <c r="P14" s="750" t="n"/>
      <c r="Q14" s="824" t="n"/>
      <c r="R14" s="750" t="n"/>
      <c r="S14" s="824" t="n"/>
      <c r="T14" s="750" t="n"/>
      <c r="U14" s="824" t="n"/>
      <c r="V14" s="750" t="n"/>
      <c r="W14" s="824" t="n"/>
      <c r="X14" s="750" t="n"/>
      <c r="Y14" s="824" t="n"/>
      <c r="Z14" s="750" t="n"/>
      <c r="AA14" s="824" t="n"/>
      <c r="AB14" s="750" t="n"/>
      <c r="AC14" s="824" t="n"/>
      <c r="AD14" s="750" t="n"/>
      <c r="AE14" s="824" t="n"/>
      <c r="AF14" s="778" t="n"/>
      <c r="AG14" s="5283" t="n"/>
      <c r="AH14" s="3227" t="n"/>
      <c r="AI14" s="226">
        <f>CA14&amp;CB14</f>
        <v/>
      </c>
      <c r="CA14" s="219">
        <f>IF(AND($B14&lt;&gt;0,AG14=""),"* No olvide ingresar la columna "&amp;AG$9&amp;""&amp;". Digite CERO si no tiene. ",IF(AG14&gt;$B14,"* El Número de Pueblos Originarios no puede superar el Total Ambos Sexos. ",""))</f>
        <v/>
      </c>
      <c r="CB14" s="219">
        <f>IF(AND($B14&lt;&gt;0,AH14=""),"* No olvide ingresar la columna "&amp;AH$9&amp;""&amp;". Digite CERO si no tiene.  ",IF(AH14&gt;$B14,"* El Número de Migrantes no puede superar el Total Ambos Sexos. ",""))</f>
        <v/>
      </c>
      <c r="CF14" s="221">
        <f>IF(AND($B14&lt;&gt;0,AG14=""),1,IF(AG14&gt;$B14,1,0))</f>
        <v/>
      </c>
      <c r="CG14" s="221">
        <f>IF(AND($B14&lt;&gt;0,AH14=""),1,IF(AH14&gt;$B14,1,0))</f>
        <v/>
      </c>
    </row>
    <row r="15" ht="15" customHeight="1" s="8286">
      <c r="A15" s="8053" t="inlineStr">
        <is>
          <t>Nutricionista</t>
        </is>
      </c>
      <c r="B15" s="1485">
        <f>SUM(C15:D15)</f>
        <v/>
      </c>
      <c r="C15" s="1486">
        <f>SUM(E15+G15+I15+K15+M15+O15+Q15+S15+U15+W15+Y15+AA15+AC15+AE15)</f>
        <v/>
      </c>
      <c r="D15" s="8311">
        <f>SUM(F15+H15+J15+L15+N15+P15+R15+T15+V15+X15+Z15+AB15+AD15+AF15)</f>
        <v/>
      </c>
      <c r="E15" s="1452" t="n"/>
      <c r="F15" s="750" t="n"/>
      <c r="G15" s="824" t="n"/>
      <c r="H15" s="750" t="n"/>
      <c r="I15" s="824" t="n"/>
      <c r="J15" s="750" t="n"/>
      <c r="K15" s="824" t="n"/>
      <c r="L15" s="750" t="n"/>
      <c r="M15" s="824" t="n"/>
      <c r="N15" s="750" t="n"/>
      <c r="O15" s="824" t="n"/>
      <c r="P15" s="750" t="n"/>
      <c r="Q15" s="824" t="n"/>
      <c r="R15" s="750" t="n"/>
      <c r="S15" s="824" t="n"/>
      <c r="T15" s="750" t="n"/>
      <c r="U15" s="824" t="n"/>
      <c r="V15" s="750" t="n"/>
      <c r="W15" s="824" t="n"/>
      <c r="X15" s="750" t="n"/>
      <c r="Y15" s="824" t="n"/>
      <c r="Z15" s="750" t="n"/>
      <c r="AA15" s="824" t="n"/>
      <c r="AB15" s="750" t="n"/>
      <c r="AC15" s="824" t="n"/>
      <c r="AD15" s="750" t="n"/>
      <c r="AE15" s="824" t="n"/>
      <c r="AF15" s="778" t="n"/>
      <c r="AG15" s="5283" t="n"/>
      <c r="AH15" s="3227" t="n"/>
      <c r="AI15" s="226">
        <f>CA15&amp;CB15</f>
        <v/>
      </c>
      <c r="CA15" s="219">
        <f>IF(AND($B15&lt;&gt;0,AG15=""),"* No olvide ingresar la columna "&amp;AG$9&amp;""&amp;". Digite CERO si no tiene. ",IF(AG15&gt;$B15,"* El Número de Pueblos Originarios no puede superar el Total Ambos Sexos. ",""))</f>
        <v/>
      </c>
      <c r="CB15" s="219">
        <f>IF(AND($B15&lt;&gt;0,AH15=""),"* No olvide ingresar la columna "&amp;AH$9&amp;""&amp;". Digite CERO si no tiene.  ",IF(AH15&gt;$B15,"* El Número de Migrantes no puede superar el Total Ambos Sexos. ",""))</f>
        <v/>
      </c>
      <c r="CF15" s="221">
        <f>IF(AND($B15&lt;&gt;0,AG15=""),1,IF(AG15&gt;$B15,1,0))</f>
        <v/>
      </c>
      <c r="CG15" s="221">
        <f>IF(AND($B15&lt;&gt;0,AH15=""),1,IF(AH15&gt;$B15,1,0))</f>
        <v/>
      </c>
    </row>
    <row r="16" ht="15" customHeight="1" s="8286">
      <c r="A16" s="1236" t="inlineStr">
        <is>
          <t>Otro profesional (capacitados en EMP Y EMPAM)</t>
        </is>
      </c>
      <c r="B16" s="1485">
        <f>SUM(C16:D16)</f>
        <v/>
      </c>
      <c r="C16" s="1486">
        <f>SUM(E16+G16+I16+K16+M16+O16+Q16+S16+U16+W16+Y16+AA16+AC16+AE16)</f>
        <v/>
      </c>
      <c r="D16" s="8311">
        <f>SUM(F16+H16+J16+L16+N16+P16+R16+T16+V16+X16+Z16+AB16+AD16+AF16)</f>
        <v/>
      </c>
      <c r="E16" s="1452" t="n"/>
      <c r="F16" s="750" t="n"/>
      <c r="G16" s="824" t="n"/>
      <c r="H16" s="750" t="n"/>
      <c r="I16" s="824" t="n"/>
      <c r="J16" s="750" t="n"/>
      <c r="K16" s="824" t="n"/>
      <c r="L16" s="750" t="n"/>
      <c r="M16" s="824" t="n"/>
      <c r="N16" s="750" t="n"/>
      <c r="O16" s="824" t="n"/>
      <c r="P16" s="750" t="n"/>
      <c r="Q16" s="824" t="n"/>
      <c r="R16" s="750" t="n"/>
      <c r="S16" s="824" t="n"/>
      <c r="T16" s="750" t="n"/>
      <c r="U16" s="824" t="n"/>
      <c r="V16" s="750" t="n"/>
      <c r="W16" s="824" t="n"/>
      <c r="X16" s="750" t="n">
        <v>1</v>
      </c>
      <c r="Y16" s="824" t="n">
        <v>8</v>
      </c>
      <c r="Z16" s="750" t="n">
        <v>9</v>
      </c>
      <c r="AA16" s="824" t="n">
        <v>10</v>
      </c>
      <c r="AB16" s="750" t="n">
        <v>8</v>
      </c>
      <c r="AC16" s="824" t="n">
        <v>3</v>
      </c>
      <c r="AD16" s="750" t="n">
        <v>2</v>
      </c>
      <c r="AE16" s="824" t="n">
        <v>6</v>
      </c>
      <c r="AF16" s="778" t="n">
        <v>6</v>
      </c>
      <c r="AG16" s="5283" t="n">
        <v>1</v>
      </c>
      <c r="AH16" s="3227" t="n">
        <v>0</v>
      </c>
      <c r="AI16" s="226">
        <f>CA16&amp;CB16</f>
        <v/>
      </c>
      <c r="CA16" s="219">
        <f>IF(AND($B16&lt;&gt;0,AG16=""),"* No olvide ingresar la columna "&amp;AG$9&amp;""&amp;". Digite CERO si no tiene. ",IF(AG16&gt;$B16,"* El Número de Pueblos Originarios no puede superar el Total Ambos Sexos. ",""))</f>
        <v/>
      </c>
      <c r="CB16" s="219">
        <f>IF(AND($B16&lt;&gt;0,AH16=""),"* No olvide ingresar la columna "&amp;AH$9&amp;""&amp;". Digite CERO si no tiene.  ",IF(AH16&gt;$B16,"* El Número de Migrantes no puede superar el Total Ambos Sexos. ",""))</f>
        <v/>
      </c>
      <c r="CF16" s="221">
        <f>IF(AND($B16&lt;&gt;0,AG16=""),1,IF(AG16&gt;$B16,1,0))</f>
        <v/>
      </c>
      <c r="CG16" s="221">
        <f>IF(AND($B16&lt;&gt;0,AH16=""),1,IF(AH16&gt;$B16,1,0))</f>
        <v/>
      </c>
    </row>
    <row r="17" ht="15" customHeight="1" s="8286">
      <c r="A17" s="1487" t="inlineStr">
        <is>
          <t xml:space="preserve">Técnico en Enfermería </t>
        </is>
      </c>
      <c r="B17" s="1360">
        <f>SUM(C17:D17)</f>
        <v/>
      </c>
      <c r="C17" s="1379">
        <f>SUM(E17+G17+I17+K17+M17+O17+Q17+S17+U17+W17+Y17+AA17+AC17+AE17)</f>
        <v/>
      </c>
      <c r="D17" s="7764">
        <f>SUM(F17+H17+J17+L17+N17+P17+R17+T17+V17+X17+Z17+AB17+AD17+AF17)</f>
        <v/>
      </c>
      <c r="E17" s="1137" t="n"/>
      <c r="F17" s="1139" t="n"/>
      <c r="G17" s="1137" t="n">
        <v>4</v>
      </c>
      <c r="H17" s="1139" t="n">
        <v>17</v>
      </c>
      <c r="I17" s="1137" t="n">
        <v>7</v>
      </c>
      <c r="J17" s="1139" t="n">
        <v>19</v>
      </c>
      <c r="K17" s="1137" t="n">
        <v>4</v>
      </c>
      <c r="L17" s="1139" t="n">
        <v>17</v>
      </c>
      <c r="M17" s="1137" t="n">
        <v>10</v>
      </c>
      <c r="N17" s="1139" t="n">
        <v>23</v>
      </c>
      <c r="O17" s="1137" t="n">
        <v>8</v>
      </c>
      <c r="P17" s="1139" t="n">
        <v>23</v>
      </c>
      <c r="Q17" s="1137" t="n">
        <v>9</v>
      </c>
      <c r="R17" s="1139" t="n">
        <v>23</v>
      </c>
      <c r="S17" s="1137" t="n">
        <v>10</v>
      </c>
      <c r="T17" s="1139" t="n">
        <v>21</v>
      </c>
      <c r="U17" s="1137" t="n">
        <v>12</v>
      </c>
      <c r="V17" s="1139" t="n">
        <v>25</v>
      </c>
      <c r="W17" s="1137" t="n">
        <v>20</v>
      </c>
      <c r="X17" s="1139" t="n">
        <v>29</v>
      </c>
      <c r="Y17" s="1137" t="n"/>
      <c r="Z17" s="1139" t="n"/>
      <c r="AA17" s="1137" t="n"/>
      <c r="AB17" s="189" t="n"/>
      <c r="AC17" s="868" t="n"/>
      <c r="AD17" s="189" t="n"/>
      <c r="AE17" s="868" t="n"/>
      <c r="AF17" s="190" t="n"/>
      <c r="AG17" s="3963" t="n">
        <v>9</v>
      </c>
      <c r="AH17" s="1299" t="n">
        <v>0</v>
      </c>
      <c r="AI17" s="226">
        <f>CA17&amp;CB17</f>
        <v/>
      </c>
      <c r="CA17" s="219">
        <f>IF(AND($B17&lt;&gt;0,AG17=""),"* No olvide ingresar la columna "&amp;AG$9&amp;""&amp;". Digite CERO si no tiene. ",IF(AG17&gt;$B17,"* El Número de Pueblos Originarios no puede superar el Total Ambos Sexos. ",""))</f>
        <v/>
      </c>
      <c r="CB17" s="219">
        <f>IF(AND($B17&lt;&gt;0,AH17=""),"* No olvide ingresar la columna "&amp;AH$9&amp;""&amp;". Digite CERO si no tiene.  ",IF(AH17&gt;$B17,"* El Número de Migrantes no puede superar el Total Ambos Sexos. ",""))</f>
        <v/>
      </c>
      <c r="CF17" s="221">
        <f>IF(AND($B17&lt;&gt;0,AG17=""),1,IF(AG17&gt;$B17,1,0))</f>
        <v/>
      </c>
      <c r="CG17" s="221">
        <f>IF(AND($B17&lt;&gt;0,AH17=""),1,IF(AH17&gt;$B17,1,0))</f>
        <v/>
      </c>
    </row>
    <row r="18" ht="18" customFormat="1" customHeight="1" s="5">
      <c r="A18" s="9689" t="inlineStr">
        <is>
          <t>SECCIÓN B: EMP SEGÚN RESULTADO DEL ESTADO NUTRICIONAL</t>
        </is>
      </c>
      <c r="B18" s="9591" t="n"/>
      <c r="C18" s="9591" t="n"/>
      <c r="D18" s="9591" t="n"/>
      <c r="E18" s="9591" t="n"/>
      <c r="F18" s="9591" t="n"/>
      <c r="G18" s="9591" t="n"/>
      <c r="H18" s="9591" t="n"/>
      <c r="I18" s="9591" t="n"/>
      <c r="J18" s="9591" t="n"/>
      <c r="K18" s="9591" t="n"/>
      <c r="L18" s="9591" t="n"/>
      <c r="M18" s="9591" t="n"/>
      <c r="N18" s="9591" t="n"/>
      <c r="O18" s="9591" t="n"/>
      <c r="P18" s="9591" t="n"/>
      <c r="Q18" s="9591" t="n"/>
      <c r="R18" s="9591" t="n"/>
      <c r="S18" s="9591" t="n"/>
      <c r="T18" s="9591" t="n"/>
      <c r="U18" s="9591" t="n"/>
      <c r="V18" s="9591" t="n"/>
      <c r="W18" s="9591" t="n"/>
      <c r="X18" s="9591" t="n"/>
      <c r="Y18" s="9591" t="n"/>
      <c r="Z18" s="9591" t="n"/>
      <c r="AA18" s="9591" t="n"/>
      <c r="AB18" s="9591" t="n"/>
      <c r="AC18" s="9591" t="n"/>
      <c r="AD18" s="9591" t="n"/>
      <c r="AE18" s="9591" t="n"/>
      <c r="AF18" s="9591" t="n"/>
      <c r="AG18" s="4" t="n"/>
      <c r="AH18" s="4" t="n"/>
    </row>
    <row r="19" ht="15" customHeight="1" s="8286">
      <c r="A19" s="9694" t="inlineStr">
        <is>
          <t>ESTADO NUTRICIONAL</t>
        </is>
      </c>
      <c r="B19" s="9691" t="inlineStr">
        <is>
          <t>TOTAL</t>
        </is>
      </c>
      <c r="C19" s="9617" t="n"/>
      <c r="D19" s="9632" t="n"/>
      <c r="E19" s="9692" t="inlineStr">
        <is>
          <t>15 - 19 años</t>
        </is>
      </c>
      <c r="F19" s="9632" t="n"/>
      <c r="G19" s="9692" t="inlineStr">
        <is>
          <t>20 - 24 años</t>
        </is>
      </c>
      <c r="H19" s="9632" t="n"/>
      <c r="I19" s="9692" t="inlineStr">
        <is>
          <t>25 - 29 años</t>
        </is>
      </c>
      <c r="J19" s="9632" t="n"/>
      <c r="K19" s="9692" t="inlineStr">
        <is>
          <t>30 - 34 años</t>
        </is>
      </c>
      <c r="L19" s="9632" t="n"/>
      <c r="M19" s="9692" t="inlineStr">
        <is>
          <t>35 - 39 años</t>
        </is>
      </c>
      <c r="N19" s="9632" t="n"/>
      <c r="O19" s="9692" t="inlineStr">
        <is>
          <t>40 - 44 años</t>
        </is>
      </c>
      <c r="P19" s="9632" t="n"/>
      <c r="Q19" s="9692" t="inlineStr">
        <is>
          <t>45 - 49 años</t>
        </is>
      </c>
      <c r="R19" s="9632" t="n"/>
      <c r="S19" s="9692" t="inlineStr">
        <is>
          <t>50 - 54 años</t>
        </is>
      </c>
      <c r="T19" s="9632" t="n"/>
      <c r="U19" s="9692" t="inlineStr">
        <is>
          <t>55 - 59 años</t>
        </is>
      </c>
      <c r="V19" s="9632" t="n"/>
      <c r="W19" s="9692" t="inlineStr">
        <is>
          <t>60 - 64 años</t>
        </is>
      </c>
      <c r="X19" s="9632" t="n"/>
      <c r="Y19" s="9692" t="inlineStr">
        <is>
          <t>65 - 69 años</t>
        </is>
      </c>
      <c r="Z19" s="9632" t="n"/>
      <c r="AA19" s="9692" t="inlineStr">
        <is>
          <t>70 - 74 años</t>
        </is>
      </c>
      <c r="AB19" s="9632" t="n"/>
      <c r="AC19" s="9692" t="inlineStr">
        <is>
          <t>75 - 79 años</t>
        </is>
      </c>
      <c r="AD19" s="9632" t="n"/>
      <c r="AE19" s="9693" t="inlineStr">
        <is>
          <t>80 y más años</t>
        </is>
      </c>
      <c r="AF19" s="9652" t="n"/>
      <c r="AG19" s="8404" t="inlineStr">
        <is>
          <t>Pueblos Originarios</t>
        </is>
      </c>
      <c r="AH19" s="8400" t="inlineStr">
        <is>
          <t>Migrantes</t>
        </is>
      </c>
    </row>
    <row r="20" ht="15" customHeight="1" s="8286">
      <c r="A20" s="9589" t="n"/>
      <c r="B20" s="1475" t="inlineStr">
        <is>
          <t>Ambos Sexos</t>
        </is>
      </c>
      <c r="C20" s="1478" t="inlineStr">
        <is>
          <t>Hombres</t>
        </is>
      </c>
      <c r="D20" s="7247" t="inlineStr">
        <is>
          <t>Mujeres</t>
        </is>
      </c>
      <c r="E20" s="1475" t="inlineStr">
        <is>
          <t>Hombres</t>
        </is>
      </c>
      <c r="F20" s="1479" t="inlineStr">
        <is>
          <t>Mujeres</t>
        </is>
      </c>
      <c r="G20" s="1475" t="inlineStr">
        <is>
          <t>Hombres</t>
        </is>
      </c>
      <c r="H20" s="1479" t="inlineStr">
        <is>
          <t>Mujeres</t>
        </is>
      </c>
      <c r="I20" s="1475" t="inlineStr">
        <is>
          <t>Hombres</t>
        </is>
      </c>
      <c r="J20" s="1479" t="inlineStr">
        <is>
          <t>Mujeres</t>
        </is>
      </c>
      <c r="K20" s="1475" t="inlineStr">
        <is>
          <t>Hombres</t>
        </is>
      </c>
      <c r="L20" s="1479" t="inlineStr">
        <is>
          <t>Mujeres</t>
        </is>
      </c>
      <c r="M20" s="1475" t="inlineStr">
        <is>
          <t>Hombres</t>
        </is>
      </c>
      <c r="N20" s="1479" t="inlineStr">
        <is>
          <t>Mujeres</t>
        </is>
      </c>
      <c r="O20" s="1475" t="inlineStr">
        <is>
          <t>Hombres</t>
        </is>
      </c>
      <c r="P20" s="1479" t="inlineStr">
        <is>
          <t>Mujeres</t>
        </is>
      </c>
      <c r="Q20" s="1475" t="inlineStr">
        <is>
          <t>Hombres</t>
        </is>
      </c>
      <c r="R20" s="1479" t="inlineStr">
        <is>
          <t>Mujeres</t>
        </is>
      </c>
      <c r="S20" s="1475" t="inlineStr">
        <is>
          <t>Hombres</t>
        </is>
      </c>
      <c r="T20" s="1479" t="inlineStr">
        <is>
          <t>Mujeres</t>
        </is>
      </c>
      <c r="U20" s="1475" t="inlineStr">
        <is>
          <t>Hombres</t>
        </is>
      </c>
      <c r="V20" s="1479" t="inlineStr">
        <is>
          <t>Mujeres</t>
        </is>
      </c>
      <c r="W20" s="1475" t="inlineStr">
        <is>
          <t>Hombres</t>
        </is>
      </c>
      <c r="X20" s="1479" t="inlineStr">
        <is>
          <t>Mujeres</t>
        </is>
      </c>
      <c r="Y20" s="1475" t="inlineStr">
        <is>
          <t>Hombres</t>
        </is>
      </c>
      <c r="Z20" s="1479" t="inlineStr">
        <is>
          <t>Mujeres</t>
        </is>
      </c>
      <c r="AA20" s="1475" t="inlineStr">
        <is>
          <t>Hombres</t>
        </is>
      </c>
      <c r="AB20" s="1479" t="inlineStr">
        <is>
          <t>Mujeres</t>
        </is>
      </c>
      <c r="AC20" s="1475" t="inlineStr">
        <is>
          <t>Hombres</t>
        </is>
      </c>
      <c r="AD20" s="1479" t="inlineStr">
        <is>
          <t>Mujeres</t>
        </is>
      </c>
      <c r="AE20" s="1475" t="inlineStr">
        <is>
          <t>Hombres</t>
        </is>
      </c>
      <c r="AF20" s="1480" t="inlineStr">
        <is>
          <t>Mujeres</t>
        </is>
      </c>
      <c r="AG20" s="9640" t="n"/>
      <c r="AH20" s="9610" t="n"/>
    </row>
    <row r="21" ht="15" customHeight="1" s="8286">
      <c r="A21" s="1481" t="inlineStr">
        <is>
          <t>TOTAL</t>
        </is>
      </c>
      <c r="B21" s="1482">
        <f>SUM(B22:B25)</f>
        <v/>
      </c>
      <c r="C21" s="1471">
        <f>SUM(C22:C25)</f>
        <v/>
      </c>
      <c r="D21" s="7250">
        <f>SUM(D22:D25)</f>
        <v/>
      </c>
      <c r="E21" s="1482">
        <f>SUM(E22:E25)</f>
        <v/>
      </c>
      <c r="F21" s="1483">
        <f>SUM(F22:F25)</f>
        <v/>
      </c>
      <c r="G21" s="1482">
        <f>SUM(G22:G25)</f>
        <v/>
      </c>
      <c r="H21" s="1483">
        <f>SUM(H22:H25)</f>
        <v/>
      </c>
      <c r="I21" s="1482">
        <f>SUM(I22:I25)</f>
        <v/>
      </c>
      <c r="J21" s="1483">
        <f>SUM(J22:J25)</f>
        <v/>
      </c>
      <c r="K21" s="1482">
        <f>SUM(K22:K25)</f>
        <v/>
      </c>
      <c r="L21" s="1483">
        <f>SUM(L22:L25)</f>
        <v/>
      </c>
      <c r="M21" s="1482">
        <f>SUM(M22:M25)</f>
        <v/>
      </c>
      <c r="N21" s="1483">
        <f>SUM(N22:N25)</f>
        <v/>
      </c>
      <c r="O21" s="1482">
        <f>SUM(O22:O25)</f>
        <v/>
      </c>
      <c r="P21" s="1483">
        <f>SUM(P22:P25)</f>
        <v/>
      </c>
      <c r="Q21" s="1482">
        <f>SUM(Q22:Q25)</f>
        <v/>
      </c>
      <c r="R21" s="1483">
        <f>SUM(R22:R25)</f>
        <v/>
      </c>
      <c r="S21" s="1482">
        <f>SUM(S22:S25)</f>
        <v/>
      </c>
      <c r="T21" s="1483">
        <f>SUM(T22:T25)</f>
        <v/>
      </c>
      <c r="U21" s="1482">
        <f>SUM(U22:U25)</f>
        <v/>
      </c>
      <c r="V21" s="1483">
        <f>SUM(V22:V25)</f>
        <v/>
      </c>
      <c r="W21" s="1482">
        <f>SUM(W22:W25)</f>
        <v/>
      </c>
      <c r="X21" s="1483">
        <f>SUM(X22:X25)</f>
        <v/>
      </c>
      <c r="Y21" s="1482">
        <f>SUM(Y22:Y25)</f>
        <v/>
      </c>
      <c r="Z21" s="1483">
        <f>SUM(Z22:Z25)</f>
        <v/>
      </c>
      <c r="AA21" s="1482">
        <f>SUM(AA22:AA25)</f>
        <v/>
      </c>
      <c r="AB21" s="1483">
        <f>SUM(AB22:AB25)</f>
        <v/>
      </c>
      <c r="AC21" s="1482">
        <f>SUM(AC22:AC25)</f>
        <v/>
      </c>
      <c r="AD21" s="1483">
        <f>SUM(AD22:AD25)</f>
        <v/>
      </c>
      <c r="AE21" s="1482">
        <f>SUM(AE22:AE25)</f>
        <v/>
      </c>
      <c r="AF21" s="1473">
        <f>SUM(AF22:AF25)</f>
        <v/>
      </c>
      <c r="AG21" s="5253">
        <f>SUM(AG22:AG25)</f>
        <v/>
      </c>
      <c r="AH21" s="5262">
        <f>SUM(AH22:AH25)</f>
        <v/>
      </c>
      <c r="AI21" s="8347">
        <f>CA21&amp;CB21&amp;CC21</f>
        <v/>
      </c>
      <c r="CA21" s="226" t="n"/>
      <c r="CB21" s="219">
        <f>IF(C21&lt;&gt;C11," * Debe coincidir el Total de EMP según estado nutricional en Hombres, con los EMP realizados en Hombres según Profesional de la Sección A","")</f>
        <v/>
      </c>
      <c r="CC21" s="219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/>
      </c>
      <c r="CH21" s="221">
        <f>IF(D21&lt;&gt;D11,1,0)</f>
        <v/>
      </c>
    </row>
    <row r="22" ht="15" customHeight="1" s="8286">
      <c r="A22" s="825" t="inlineStr">
        <is>
          <t>Normal</t>
        </is>
      </c>
      <c r="B22" s="1485">
        <f>SUM(C22:D22)</f>
        <v/>
      </c>
      <c r="C22" s="1486">
        <f>SUM(E22+G22+I22+K22+M22+O22+Q22+S22+U22+W22+Y22+AA22+AC22+AE22)</f>
        <v/>
      </c>
      <c r="D22" s="8311">
        <f>SUM(F22+H22+J22+L22+N22+P22+R22+T22+V22+X22+Z22+AB22+AD22+AF22)</f>
        <v/>
      </c>
      <c r="E22" s="824" t="n"/>
      <c r="F22" s="750" t="n"/>
      <c r="G22" s="824" t="n">
        <v>1</v>
      </c>
      <c r="H22" s="750" t="n">
        <v>7</v>
      </c>
      <c r="I22" s="824" t="n">
        <v>3</v>
      </c>
      <c r="J22" s="750" t="n">
        <v>5</v>
      </c>
      <c r="K22" s="824" t="n"/>
      <c r="L22" s="750" t="n">
        <v>4</v>
      </c>
      <c r="M22" s="824" t="n">
        <v>1</v>
      </c>
      <c r="N22" s="750" t="n">
        <v>3</v>
      </c>
      <c r="O22" s="824" t="n">
        <v>3</v>
      </c>
      <c r="P22" s="750" t="n">
        <v>2</v>
      </c>
      <c r="Q22" s="824" t="n">
        <v>1</v>
      </c>
      <c r="R22" s="750" t="n">
        <v>1</v>
      </c>
      <c r="S22" s="824" t="n"/>
      <c r="T22" s="750" t="n">
        <v>2</v>
      </c>
      <c r="U22" s="824" t="n">
        <v>2</v>
      </c>
      <c r="V22" s="750" t="n">
        <v>1</v>
      </c>
      <c r="W22" s="824" t="n">
        <v>1</v>
      </c>
      <c r="X22" s="750" t="n">
        <v>5</v>
      </c>
      <c r="Y22" s="824" t="n">
        <v>12</v>
      </c>
      <c r="Z22" s="750" t="n">
        <v>11</v>
      </c>
      <c r="AA22" s="824" t="n">
        <v>13</v>
      </c>
      <c r="AB22" s="750" t="n">
        <v>11</v>
      </c>
      <c r="AC22" s="824" t="n">
        <v>11</v>
      </c>
      <c r="AD22" s="750" t="n">
        <v>13</v>
      </c>
      <c r="AE22" s="824" t="n">
        <v>7</v>
      </c>
      <c r="AF22" s="778" t="n">
        <v>15</v>
      </c>
      <c r="AG22" s="5283" t="n">
        <v>2</v>
      </c>
      <c r="AH22" s="3227" t="n">
        <v>0</v>
      </c>
      <c r="AI22" s="8347">
        <f>CA22&amp;CB22&amp;CC22</f>
        <v/>
      </c>
      <c r="CA22" s="219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/>
      </c>
      <c r="CG22" s="221">
        <f>IF(AND($B22&lt;&gt;0,AH22=""),1,IF(AH22&gt;$B22,1,0))</f>
        <v/>
      </c>
    </row>
    <row r="23" ht="15" customHeight="1" s="8286">
      <c r="A23" s="8053" t="inlineStr">
        <is>
          <t>Bajo Peso</t>
        </is>
      </c>
      <c r="B23" s="1485">
        <f>SUM(C23:D23)</f>
        <v/>
      </c>
      <c r="C23" s="1486">
        <f>SUM(E23+G23+I23+K23+M23+O23+Q23+S23+U23+W23+Y23+AA23+AC23+AE23)</f>
        <v/>
      </c>
      <c r="D23" s="8311">
        <f>SUM(F23+H23+J23+L23+N23+P23+R23+T23+V23+X23+Z23+AB23+AD23+AF23)</f>
        <v/>
      </c>
      <c r="E23" s="1124" t="n"/>
      <c r="F23" s="1126" t="n"/>
      <c r="G23" s="1124" t="n"/>
      <c r="H23" s="1126" t="n"/>
      <c r="I23" s="1124" t="n"/>
      <c r="J23" s="1126" t="n"/>
      <c r="K23" s="1124" t="n"/>
      <c r="L23" s="1126" t="n"/>
      <c r="M23" s="1124" t="n"/>
      <c r="N23" s="1126" t="n"/>
      <c r="O23" s="1124" t="n"/>
      <c r="P23" s="1126" t="n"/>
      <c r="Q23" s="1124" t="n"/>
      <c r="R23" s="1126" t="n"/>
      <c r="S23" s="1124" t="n"/>
      <c r="T23" s="1126" t="n"/>
      <c r="U23" s="1124" t="n"/>
      <c r="V23" s="1126" t="n"/>
      <c r="W23" s="1124" t="n"/>
      <c r="X23" s="1126" t="n"/>
      <c r="Y23" s="1124" t="n"/>
      <c r="Z23" s="1126" t="n">
        <v>1</v>
      </c>
      <c r="AA23" s="1124" t="n">
        <v>6</v>
      </c>
      <c r="AB23" s="1126" t="n">
        <v>2</v>
      </c>
      <c r="AC23" s="1124" t="n"/>
      <c r="AD23" s="1126" t="n">
        <v>2</v>
      </c>
      <c r="AE23" s="1124" t="n">
        <v>1</v>
      </c>
      <c r="AF23" s="1129" t="n">
        <v>6</v>
      </c>
      <c r="AG23" s="3960" t="n">
        <v>0</v>
      </c>
      <c r="AH23" s="4008" t="n">
        <v>0</v>
      </c>
      <c r="AI23" s="8347">
        <f>CA23&amp;CB23&amp;CC23</f>
        <v/>
      </c>
      <c r="CA23" s="219">
        <f>IF(AND($B23&lt;&gt;0,AG23=""),"* No olvide digitar la columna "&amp;AG$19&amp;""&amp;". Digite CERO si no tiene.  ",IF(AG23&gt;$B23,"* El Número de Pueblos Originarios no puede superar el Total Ambos Sexos. ",""))</f>
        <v/>
      </c>
      <c r="CB23" s="219">
        <f>IF(AND($B23&lt;&gt;0,AH23=""),"* No olvide ingresar la columna "&amp;AH$19&amp;""&amp;" (Digite CERO si no tiene).  ",IF(AH23&gt;$B23,"* El Número de Migrantes no puede superar el Total Ambos Sexos. ",""))</f>
        <v/>
      </c>
      <c r="CF23" s="221">
        <f>IF(AND($B23&lt;&gt;0,AG23=""),1,IF(AG23&gt;$B23,1,0))</f>
        <v/>
      </c>
      <c r="CG23" s="221">
        <f>IF(AND($B23&lt;&gt;0,AH23=""),1,IF(AH23&gt;$B23,1,0))</f>
        <v/>
      </c>
    </row>
    <row r="24" ht="15" customHeight="1" s="8286">
      <c r="A24" s="8053" t="inlineStr">
        <is>
          <t>Sobrepeso</t>
        </is>
      </c>
      <c r="B24" s="1485">
        <f>SUM(C24:D24)</f>
        <v/>
      </c>
      <c r="C24" s="1486">
        <f>SUM(E24+G24+I24+K24+M24+O24+Q24+S24+U24+W24+Y24+AA24+AC24+AE24)</f>
        <v/>
      </c>
      <c r="D24" s="8311">
        <f>SUM(F24+H24+J24+L24+N24+P24+R24+T24+V24+X24+Z24+AB24+AD24+AF24)</f>
        <v/>
      </c>
      <c r="E24" s="824" t="n"/>
      <c r="F24" s="750" t="n"/>
      <c r="G24" s="824" t="n">
        <v>3</v>
      </c>
      <c r="H24" s="750" t="n">
        <v>6</v>
      </c>
      <c r="I24" s="824" t="n">
        <v>3</v>
      </c>
      <c r="J24" s="750" t="n">
        <v>6</v>
      </c>
      <c r="K24" s="824" t="n">
        <v>1</v>
      </c>
      <c r="L24" s="750" t="n">
        <v>3</v>
      </c>
      <c r="M24" s="824" t="n">
        <v>4</v>
      </c>
      <c r="N24" s="750" t="n">
        <v>6</v>
      </c>
      <c r="O24" s="824" t="n">
        <v>2</v>
      </c>
      <c r="P24" s="750" t="n">
        <v>9</v>
      </c>
      <c r="Q24" s="824" t="n">
        <v>3</v>
      </c>
      <c r="R24" s="750" t="n">
        <v>8</v>
      </c>
      <c r="S24" s="824" t="n">
        <v>3</v>
      </c>
      <c r="T24" s="750" t="n">
        <v>11</v>
      </c>
      <c r="U24" s="824" t="n">
        <v>7</v>
      </c>
      <c r="V24" s="750" t="n">
        <v>10</v>
      </c>
      <c r="W24" s="824" t="n">
        <v>9</v>
      </c>
      <c r="X24" s="750" t="n">
        <v>14</v>
      </c>
      <c r="Y24" s="824" t="n">
        <v>8</v>
      </c>
      <c r="Z24" s="750" t="n">
        <v>14</v>
      </c>
      <c r="AA24" s="824" t="n">
        <v>9</v>
      </c>
      <c r="AB24" s="750" t="n">
        <v>14</v>
      </c>
      <c r="AC24" s="824" t="n">
        <v>9</v>
      </c>
      <c r="AD24" s="750" t="n">
        <v>9</v>
      </c>
      <c r="AE24" s="824" t="n">
        <v>5</v>
      </c>
      <c r="AF24" s="778" t="n">
        <v>8</v>
      </c>
      <c r="AG24" s="5283" t="n">
        <v>5</v>
      </c>
      <c r="AH24" s="3227" t="n">
        <v>0</v>
      </c>
      <c r="AI24" s="8347">
        <f>CA24&amp;CB24&amp;CC24</f>
        <v/>
      </c>
      <c r="CA24" s="219">
        <f>IF(AND($B24&lt;&gt;0,AG24=""),"* No olvide digitar la columna "&amp;AG$19&amp;""&amp;". Digite CERO si no tiene.  ",IF(AG24&gt;$B24,"* El Número de Pueblos Originarios no puede superar el Total Ambos Sexos. ",""))</f>
        <v/>
      </c>
      <c r="CB24" s="219">
        <f>IF(AND($B24&lt;&gt;0,AH24=""),"* No olvide ingresar la columna "&amp;AH$19&amp;""&amp;" (Digite CERO si no tiene).  ",IF(AH24&gt;$B24,"* El Número de Migrantes no puede superar el Total Ambos Sexos. ",""))</f>
        <v/>
      </c>
      <c r="CF24" s="221">
        <f>IF(AND($B24&lt;&gt;0,AG24=""),1,IF(AG24&gt;$B24,1,0))</f>
        <v/>
      </c>
      <c r="CG24" s="221">
        <f>IF(AND($B24&lt;&gt;0,AH24=""),1,IF(AH24&gt;$B24,1,0))</f>
        <v/>
      </c>
    </row>
    <row r="25" ht="15" customHeight="1" s="8286">
      <c r="A25" s="8054" t="inlineStr">
        <is>
          <t>Obesos</t>
        </is>
      </c>
      <c r="B25" s="1360">
        <f>SUM(C25:D25)</f>
        <v/>
      </c>
      <c r="C25" s="1379">
        <f>SUM(E25+G25+I25+K25+M25+O25+Q25+S25+U25+W25+Y25+AA25+AC25+AE25)</f>
        <v/>
      </c>
      <c r="D25" s="7764">
        <f>SUM(F25+H25+J25+L25+N25+P25+R25+T25+V25+X25+Z25+AB25+AD25+AF25)</f>
        <v/>
      </c>
      <c r="E25" s="1137" t="n"/>
      <c r="F25" s="1139" t="n"/>
      <c r="G25" s="1137" t="n">
        <v>1</v>
      </c>
      <c r="H25" s="1139" t="n">
        <v>5</v>
      </c>
      <c r="I25" s="1137" t="n">
        <v>2</v>
      </c>
      <c r="J25" s="1139" t="n">
        <v>10</v>
      </c>
      <c r="K25" s="1137" t="n">
        <v>3</v>
      </c>
      <c r="L25" s="1139" t="n">
        <v>10</v>
      </c>
      <c r="M25" s="1137" t="n">
        <v>5</v>
      </c>
      <c r="N25" s="1139" t="n">
        <v>15</v>
      </c>
      <c r="O25" s="1137" t="n">
        <v>3</v>
      </c>
      <c r="P25" s="1139" t="n">
        <v>13</v>
      </c>
      <c r="Q25" s="1137" t="n">
        <v>5</v>
      </c>
      <c r="R25" s="1139" t="n">
        <v>15</v>
      </c>
      <c r="S25" s="1137" t="n">
        <v>7</v>
      </c>
      <c r="T25" s="1139" t="n">
        <v>8</v>
      </c>
      <c r="U25" s="1137" t="n">
        <v>4</v>
      </c>
      <c r="V25" s="1139" t="n">
        <v>15</v>
      </c>
      <c r="W25" s="1137" t="n">
        <v>12</v>
      </c>
      <c r="X25" s="1139" t="n">
        <v>13</v>
      </c>
      <c r="Y25" s="1137" t="n">
        <v>8</v>
      </c>
      <c r="Z25" s="1139" t="n">
        <v>20</v>
      </c>
      <c r="AA25" s="1137" t="n">
        <v>9</v>
      </c>
      <c r="AB25" s="1139" t="n">
        <v>14</v>
      </c>
      <c r="AC25" s="1137" t="n">
        <v>4</v>
      </c>
      <c r="AD25" s="1139" t="n">
        <v>11</v>
      </c>
      <c r="AE25" s="1137" t="n">
        <v>1</v>
      </c>
      <c r="AF25" s="1143" t="n">
        <v>9</v>
      </c>
      <c r="AG25" s="3963" t="n">
        <v>11</v>
      </c>
      <c r="AH25" s="1299" t="n">
        <v>0</v>
      </c>
      <c r="AI25" s="8347">
        <f>CA25&amp;CB25&amp;CC25</f>
        <v/>
      </c>
      <c r="CA25" s="219">
        <f>IF(AND($B25&lt;&gt;0,AG25=""),"* No olvide digitar la columna "&amp;AG$19&amp;""&amp;". Digite CERO si no tiene.  ",IF(AG25&gt;$B25,"* El Número de Pueblos Originarios no puede superar el Total Ambos Sexos. ",""))</f>
        <v/>
      </c>
      <c r="CB25" s="219">
        <f>IF(AND($B25&lt;&gt;0,AH25=""),"* No olvide ingresar la columna "&amp;AH$19&amp;""&amp;" (Digite CERO si no tiene).  ",IF(AH25&gt;$B25,"* El Número de Migrantes no puede superar el Total Ambos Sexos. ",""))</f>
        <v/>
      </c>
      <c r="CF25" s="221">
        <f>IF(AND($B25&lt;&gt;0,AG25=""),1,IF(AG25&gt;$B25,1,0))</f>
        <v/>
      </c>
      <c r="CG25" s="221">
        <f>IF(AND($B25&lt;&gt;0,AH25=""),1,IF(AH25&gt;$B25,1,0))</f>
        <v/>
      </c>
    </row>
    <row r="26" ht="18" customFormat="1" customHeight="1" s="5">
      <c r="A26" s="9695" t="inlineStr">
        <is>
          <t>SECCIÓN C: RESULTADOS DE EMP SEGÚN ESTADO DE SALUD</t>
        </is>
      </c>
      <c r="B26" s="9584" t="n"/>
      <c r="C26" s="9584" t="n"/>
      <c r="D26" s="9584" t="n"/>
      <c r="E26" s="9584" t="n"/>
      <c r="F26" s="9584" t="n"/>
      <c r="G26" s="9584" t="n"/>
      <c r="H26" s="9584" t="n"/>
      <c r="I26" s="9584" t="n"/>
      <c r="J26" s="9584" t="n"/>
      <c r="K26" s="9584" t="n"/>
      <c r="L26" s="9584" t="n"/>
      <c r="M26" s="9584" t="n"/>
      <c r="N26" s="9584" t="n"/>
      <c r="O26" s="9584" t="n"/>
      <c r="P26" s="9584" t="n"/>
      <c r="Q26" s="9584" t="n"/>
      <c r="R26" s="9584" t="n"/>
      <c r="S26" s="9584" t="n"/>
      <c r="T26" s="9584" t="n"/>
      <c r="U26" s="9584" t="n"/>
      <c r="V26" s="9584" t="n"/>
      <c r="W26" s="9584" t="n"/>
      <c r="X26" s="9584" t="n"/>
      <c r="Y26" s="9584" t="n"/>
      <c r="Z26" s="9584" t="n"/>
      <c r="AA26" s="9584" t="n"/>
      <c r="AB26" s="9584" t="n"/>
      <c r="AC26" s="9584" t="n"/>
      <c r="AD26" s="9584" t="n"/>
      <c r="AE26" s="9584" t="n"/>
      <c r="AF26" s="9584" t="n"/>
      <c r="AG26" s="4" t="n"/>
      <c r="AH26" s="4" t="n"/>
      <c r="AI26" s="8347" t="n"/>
    </row>
    <row r="27" ht="15" customHeight="1" s="8286">
      <c r="A27" s="9690" t="inlineStr">
        <is>
          <t>ESTADO DE SALUD</t>
        </is>
      </c>
      <c r="B27" s="9691" t="inlineStr">
        <is>
          <t>TOTAL</t>
        </is>
      </c>
      <c r="C27" s="9617" t="n"/>
      <c r="D27" s="9632" t="n"/>
      <c r="E27" s="9692" t="inlineStr">
        <is>
          <t>15 - 19 años</t>
        </is>
      </c>
      <c r="F27" s="9632" t="n"/>
      <c r="G27" s="9692" t="inlineStr">
        <is>
          <t>20 - 24 años</t>
        </is>
      </c>
      <c r="H27" s="9632" t="n"/>
      <c r="I27" s="9692" t="inlineStr">
        <is>
          <t>25 - 29 años</t>
        </is>
      </c>
      <c r="J27" s="9632" t="n"/>
      <c r="K27" s="9692" t="inlineStr">
        <is>
          <t>30 - 34 años</t>
        </is>
      </c>
      <c r="L27" s="9632" t="n"/>
      <c r="M27" s="9692" t="inlineStr">
        <is>
          <t>35 - 39 años</t>
        </is>
      </c>
      <c r="N27" s="9632" t="n"/>
      <c r="O27" s="9692" t="inlineStr">
        <is>
          <t>40 - 44 años</t>
        </is>
      </c>
      <c r="P27" s="9632" t="n"/>
      <c r="Q27" s="9692" t="inlineStr">
        <is>
          <t>45 - 49 años</t>
        </is>
      </c>
      <c r="R27" s="9632" t="n"/>
      <c r="S27" s="9692" t="inlineStr">
        <is>
          <t>50 - 54 años</t>
        </is>
      </c>
      <c r="T27" s="9632" t="n"/>
      <c r="U27" s="9692" t="inlineStr">
        <is>
          <t>55 - 59 años</t>
        </is>
      </c>
      <c r="V27" s="9632" t="n"/>
      <c r="W27" s="9692" t="inlineStr">
        <is>
          <t>60 - 64 años</t>
        </is>
      </c>
      <c r="X27" s="9632" t="n"/>
      <c r="Y27" s="9692" t="inlineStr">
        <is>
          <t>65 - 69 años</t>
        </is>
      </c>
      <c r="Z27" s="9632" t="n"/>
      <c r="AA27" s="9692" t="inlineStr">
        <is>
          <t>70 - 74 años</t>
        </is>
      </c>
      <c r="AB27" s="9632" t="n"/>
      <c r="AC27" s="9692" t="inlineStr">
        <is>
          <t>75 - 79 años</t>
        </is>
      </c>
      <c r="AD27" s="9632" t="n"/>
      <c r="AE27" s="9693" t="inlineStr">
        <is>
          <t>80 y más años</t>
        </is>
      </c>
      <c r="AF27" s="9652" t="n"/>
      <c r="AG27" s="8404" t="inlineStr">
        <is>
          <t>Pueblos Originarios</t>
        </is>
      </c>
      <c r="AH27" s="8400" t="inlineStr">
        <is>
          <t>Migrantes</t>
        </is>
      </c>
    </row>
    <row r="28" ht="15" customHeight="1" s="8286">
      <c r="A28" s="9589" t="n"/>
      <c r="B28" s="1475" t="inlineStr">
        <is>
          <t>Ambos Sexos</t>
        </is>
      </c>
      <c r="C28" s="1478" t="inlineStr">
        <is>
          <t>Hombres</t>
        </is>
      </c>
      <c r="D28" s="7247" t="inlineStr">
        <is>
          <t>Mujeres</t>
        </is>
      </c>
      <c r="E28" s="1475" t="inlineStr">
        <is>
          <t>Hombres</t>
        </is>
      </c>
      <c r="F28" s="1479" t="inlineStr">
        <is>
          <t>Mujeres</t>
        </is>
      </c>
      <c r="G28" s="1475" t="inlineStr">
        <is>
          <t>Hombres</t>
        </is>
      </c>
      <c r="H28" s="1479" t="inlineStr">
        <is>
          <t>Mujeres</t>
        </is>
      </c>
      <c r="I28" s="1475" t="inlineStr">
        <is>
          <t>Hombres</t>
        </is>
      </c>
      <c r="J28" s="1479" t="inlineStr">
        <is>
          <t>Mujeres</t>
        </is>
      </c>
      <c r="K28" s="1475" t="inlineStr">
        <is>
          <t>Hombres</t>
        </is>
      </c>
      <c r="L28" s="1479" t="inlineStr">
        <is>
          <t>Mujeres</t>
        </is>
      </c>
      <c r="M28" s="1475" t="inlineStr">
        <is>
          <t>Hombres</t>
        </is>
      </c>
      <c r="N28" s="1479" t="inlineStr">
        <is>
          <t>Mujeres</t>
        </is>
      </c>
      <c r="O28" s="1475" t="inlineStr">
        <is>
          <t>Hombres</t>
        </is>
      </c>
      <c r="P28" s="1479" t="inlineStr">
        <is>
          <t>Mujeres</t>
        </is>
      </c>
      <c r="Q28" s="1475" t="inlineStr">
        <is>
          <t>Hombres</t>
        </is>
      </c>
      <c r="R28" s="1479" t="inlineStr">
        <is>
          <t>Mujeres</t>
        </is>
      </c>
      <c r="S28" s="1475" t="inlineStr">
        <is>
          <t>Hombres</t>
        </is>
      </c>
      <c r="T28" s="1479" t="inlineStr">
        <is>
          <t>Mujeres</t>
        </is>
      </c>
      <c r="U28" s="1475" t="inlineStr">
        <is>
          <t>Hombres</t>
        </is>
      </c>
      <c r="V28" s="1479" t="inlineStr">
        <is>
          <t>Mujeres</t>
        </is>
      </c>
      <c r="W28" s="1475" t="inlineStr">
        <is>
          <t>Hombres</t>
        </is>
      </c>
      <c r="X28" s="1479" t="inlineStr">
        <is>
          <t>Mujeres</t>
        </is>
      </c>
      <c r="Y28" s="1475" t="inlineStr">
        <is>
          <t>Hombres</t>
        </is>
      </c>
      <c r="Z28" s="1479" t="inlineStr">
        <is>
          <t>Mujeres</t>
        </is>
      </c>
      <c r="AA28" s="1475" t="inlineStr">
        <is>
          <t>Hombres</t>
        </is>
      </c>
      <c r="AB28" s="1479" t="inlineStr">
        <is>
          <t>Mujeres</t>
        </is>
      </c>
      <c r="AC28" s="1475" t="inlineStr">
        <is>
          <t>Hombres</t>
        </is>
      </c>
      <c r="AD28" s="1479" t="inlineStr">
        <is>
          <t>Mujeres</t>
        </is>
      </c>
      <c r="AE28" s="1475" t="inlineStr">
        <is>
          <t>Hombres</t>
        </is>
      </c>
      <c r="AF28" s="1480" t="inlineStr">
        <is>
          <t>Mujeres</t>
        </is>
      </c>
      <c r="AG28" s="9640" t="n"/>
      <c r="AH28" s="9610" t="n"/>
    </row>
    <row r="29" ht="15" customHeight="1" s="8286">
      <c r="A29" s="1376" t="inlineStr">
        <is>
          <t>Tabaquismo</t>
        </is>
      </c>
      <c r="B29" s="1488">
        <f>SUM(C29:D29)</f>
        <v/>
      </c>
      <c r="C29" s="1380">
        <f>SUM(E29+G29+I29+K29+M29+O29+Q29+S29+U29+W29+Y29+AA29+AC29+AE29)</f>
        <v/>
      </c>
      <c r="D29" s="1399">
        <f>SUM(F29+H29+J29+L29+N29+P29+R29+T29+V29+X29+Z29+AB29+AD29+AF29)</f>
        <v/>
      </c>
      <c r="E29" s="1453" t="n"/>
      <c r="F29" s="1115" t="n"/>
      <c r="G29" s="1453" t="n"/>
      <c r="H29" s="1115" t="n">
        <v>4</v>
      </c>
      <c r="I29" s="1453" t="n">
        <v>4</v>
      </c>
      <c r="J29" s="1115" t="n">
        <v>4</v>
      </c>
      <c r="K29" s="1453" t="n">
        <v>2</v>
      </c>
      <c r="L29" s="1115" t="n">
        <v>5</v>
      </c>
      <c r="M29" s="1453" t="n">
        <v>6</v>
      </c>
      <c r="N29" s="1115" t="n">
        <v>6</v>
      </c>
      <c r="O29" s="1453" t="n">
        <v>3</v>
      </c>
      <c r="P29" s="1115" t="n">
        <v>9</v>
      </c>
      <c r="Q29" s="1453" t="n">
        <v>5</v>
      </c>
      <c r="R29" s="1115" t="n">
        <v>9</v>
      </c>
      <c r="S29" s="1453" t="n">
        <v>3</v>
      </c>
      <c r="T29" s="1115" t="n">
        <v>4</v>
      </c>
      <c r="U29" s="1453" t="n">
        <v>4</v>
      </c>
      <c r="V29" s="1115" t="n">
        <v>5</v>
      </c>
      <c r="W29" s="1453" t="n">
        <v>3</v>
      </c>
      <c r="X29" s="1115" t="n">
        <v>8</v>
      </c>
      <c r="Y29" s="1453" t="n">
        <v>6</v>
      </c>
      <c r="Z29" s="1115" t="n">
        <v>10</v>
      </c>
      <c r="AA29" s="1453" t="n">
        <v>3</v>
      </c>
      <c r="AB29" s="1115" t="n">
        <v>4</v>
      </c>
      <c r="AC29" s="1453" t="n">
        <v>1</v>
      </c>
      <c r="AD29" s="1115" t="n">
        <v>2</v>
      </c>
      <c r="AE29" s="1453" t="n"/>
      <c r="AF29" s="1465" t="n">
        <v>1</v>
      </c>
      <c r="AG29" s="5284" t="n">
        <v>4</v>
      </c>
      <c r="AH29" s="5286" t="n">
        <v>0</v>
      </c>
      <c r="AI29" s="8347">
        <f>$CA29&amp;CB29</f>
        <v/>
      </c>
      <c r="CA29" s="219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>IF(AND($B29&lt;&gt;0,AG29=""),1,IF(AG29&gt;$B29,1,0))</f>
        <v/>
      </c>
      <c r="CG29" s="221">
        <f>IF(AND($B29&lt;&gt;0,AH29=""),1,IF(AH29&gt;$B29,1,0))</f>
        <v/>
      </c>
    </row>
    <row r="30" ht="15" customHeight="1" s="8286">
      <c r="A30" s="8051" t="inlineStr">
        <is>
          <t>Presión arterial elevada (= &gt;140/90 mmHg)</t>
        </is>
      </c>
      <c r="B30" s="1360">
        <f>SUM(C30:D30)</f>
        <v/>
      </c>
      <c r="C30" s="1379">
        <f>SUM(E30+G30+I30+K30+M30+O30+Q30+S30+U30+W30+Y30+AA30+AC30+AE30)</f>
        <v/>
      </c>
      <c r="D30" s="7764">
        <f>SUM(F30+H30+J30+L30+N30+P30+R30+T30+V30+X30+Z30+AB30+AD30+AF30)</f>
        <v/>
      </c>
      <c r="E30" s="868" t="n"/>
      <c r="F30" s="189" t="n"/>
      <c r="G30" s="868" t="n">
        <v>1</v>
      </c>
      <c r="H30" s="189" t="n"/>
      <c r="I30" s="868" t="n">
        <v>3</v>
      </c>
      <c r="J30" s="189" t="n">
        <v>1</v>
      </c>
      <c r="K30" s="868" t="n">
        <v>1</v>
      </c>
      <c r="L30" s="189" t="n">
        <v>5</v>
      </c>
      <c r="M30" s="868" t="n">
        <v>3</v>
      </c>
      <c r="N30" s="189" t="n">
        <v>4</v>
      </c>
      <c r="O30" s="868" t="n">
        <v>3</v>
      </c>
      <c r="P30" s="189" t="n">
        <v>3</v>
      </c>
      <c r="Q30" s="868" t="n">
        <v>2</v>
      </c>
      <c r="R30" s="189" t="n">
        <v>4</v>
      </c>
      <c r="S30" s="868" t="n">
        <v>6</v>
      </c>
      <c r="T30" s="189" t="n">
        <v>8</v>
      </c>
      <c r="U30" s="868" t="n">
        <v>3</v>
      </c>
      <c r="V30" s="189" t="n">
        <v>8</v>
      </c>
      <c r="W30" s="868" t="n">
        <v>9</v>
      </c>
      <c r="X30" s="189" t="n">
        <v>4</v>
      </c>
      <c r="Y30" s="868" t="n">
        <v>5</v>
      </c>
      <c r="Z30" s="189" t="n">
        <v>10</v>
      </c>
      <c r="AA30" s="868" t="n">
        <v>11</v>
      </c>
      <c r="AB30" s="189" t="n">
        <v>8</v>
      </c>
      <c r="AC30" s="868" t="n">
        <v>6</v>
      </c>
      <c r="AD30" s="189" t="n">
        <v>7</v>
      </c>
      <c r="AE30" s="868" t="n">
        <v>4</v>
      </c>
      <c r="AF30" s="190" t="n">
        <v>14</v>
      </c>
      <c r="AG30" s="5285" t="n">
        <v>4</v>
      </c>
      <c r="AH30" s="1299" t="n">
        <v>0</v>
      </c>
      <c r="AI30" s="8347">
        <f>$CA30&amp;CB30</f>
        <v/>
      </c>
      <c r="CA30" s="219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>IF(AND($B30&lt;&gt;0,AG30=""),1,IF(AG30&gt;$B30,1,0))</f>
        <v/>
      </c>
      <c r="CG30" s="221">
        <f>IF(AND($B30&lt;&gt;0,AH30=""),1,IF(AH30&gt;$B30,1,0))</f>
        <v/>
      </c>
    </row>
    <row r="31" ht="18" customHeight="1" s="8286">
      <c r="A31" s="9695" t="inlineStr">
        <is>
          <t>SECCIÓN D: RESULTADOS DE EMP SEGÚN ESTADO DE SALUD (EXÁMENES DE LABORATORIO)</t>
        </is>
      </c>
      <c r="B31" s="9584" t="n"/>
      <c r="C31" s="9584" t="n"/>
      <c r="D31" s="9584" t="n"/>
      <c r="E31" s="9584" t="n"/>
      <c r="F31" s="9584" t="n"/>
      <c r="G31" s="9584" t="n"/>
      <c r="H31" s="9584" t="n"/>
      <c r="I31" s="9584" t="n"/>
      <c r="J31" s="9584" t="n"/>
      <c r="K31" s="9584" t="n"/>
      <c r="L31" s="9584" t="n"/>
      <c r="M31" s="9584" t="n"/>
      <c r="N31" s="9584" t="n"/>
      <c r="O31" s="9584" t="n"/>
      <c r="P31" s="9584" t="n"/>
      <c r="Q31" s="9584" t="n"/>
      <c r="R31" s="9584" t="n"/>
      <c r="S31" s="9584" t="n"/>
      <c r="T31" s="9584" t="n"/>
      <c r="U31" s="9584" t="n"/>
      <c r="V31" s="9584" t="n"/>
      <c r="W31" s="9584" t="n"/>
      <c r="X31" s="9584" t="n"/>
      <c r="Y31" s="9584" t="n"/>
      <c r="Z31" s="9584" t="n"/>
      <c r="AA31" s="9584" t="n"/>
      <c r="AB31" s="9584" t="n"/>
      <c r="AC31" s="9584" t="n"/>
      <c r="AD31" s="9584" t="n"/>
      <c r="AE31" s="9584" t="n"/>
      <c r="AF31" s="9584" t="n"/>
      <c r="AG31" s="232" t="n"/>
      <c r="AH31" s="217" t="n"/>
    </row>
    <row r="32" ht="15" customHeight="1" s="8286">
      <c r="A32" s="9690" t="inlineStr">
        <is>
          <t>ESTADO DE SALUD</t>
        </is>
      </c>
      <c r="B32" s="9691" t="inlineStr">
        <is>
          <t>TOTAL</t>
        </is>
      </c>
      <c r="C32" s="9617" t="n"/>
      <c r="D32" s="9632" t="n"/>
      <c r="E32" s="9692" t="inlineStr">
        <is>
          <t>15 - 19 años</t>
        </is>
      </c>
      <c r="F32" s="9632" t="n"/>
      <c r="G32" s="9692" t="inlineStr">
        <is>
          <t>20 - 24 años</t>
        </is>
      </c>
      <c r="H32" s="9632" t="n"/>
      <c r="I32" s="9692" t="inlineStr">
        <is>
          <t>25 - 29 años</t>
        </is>
      </c>
      <c r="J32" s="9632" t="n"/>
      <c r="K32" s="9692" t="inlineStr">
        <is>
          <t>30 - 34 años</t>
        </is>
      </c>
      <c r="L32" s="9632" t="n"/>
      <c r="M32" s="9692" t="inlineStr">
        <is>
          <t>35 - 39 años</t>
        </is>
      </c>
      <c r="N32" s="9632" t="n"/>
      <c r="O32" s="9692" t="inlineStr">
        <is>
          <t>40 - 44 años</t>
        </is>
      </c>
      <c r="P32" s="9632" t="n"/>
      <c r="Q32" s="9692" t="inlineStr">
        <is>
          <t>45 - 49 años</t>
        </is>
      </c>
      <c r="R32" s="9632" t="n"/>
      <c r="S32" s="9692" t="inlineStr">
        <is>
          <t>50 - 54 años</t>
        </is>
      </c>
      <c r="T32" s="9632" t="n"/>
      <c r="U32" s="9692" t="inlineStr">
        <is>
          <t>55 - 59 años</t>
        </is>
      </c>
      <c r="V32" s="9632" t="n"/>
      <c r="W32" s="9692" t="inlineStr">
        <is>
          <t>60 - 64 años</t>
        </is>
      </c>
      <c r="X32" s="9632" t="n"/>
      <c r="Y32" s="9692" t="inlineStr">
        <is>
          <t>65 - 69 años</t>
        </is>
      </c>
      <c r="Z32" s="9632" t="n"/>
      <c r="AA32" s="9692" t="inlineStr">
        <is>
          <t>70 - 74 años</t>
        </is>
      </c>
      <c r="AB32" s="9632" t="n"/>
      <c r="AC32" s="9692" t="inlineStr">
        <is>
          <t>75 - 79 años</t>
        </is>
      </c>
      <c r="AD32" s="9632" t="n"/>
      <c r="AE32" s="9693" t="inlineStr">
        <is>
          <t>80 y más años</t>
        </is>
      </c>
      <c r="AF32" s="9652" t="n"/>
      <c r="AG32" s="8404" t="inlineStr">
        <is>
          <t>Pueblos Originarios</t>
        </is>
      </c>
      <c r="AH32" s="8400" t="inlineStr">
        <is>
          <t>Migrantes</t>
        </is>
      </c>
    </row>
    <row r="33" ht="15" customHeight="1" s="8286">
      <c r="A33" s="9589" t="n"/>
      <c r="B33" s="1475" t="inlineStr">
        <is>
          <t>Ambos Sexos</t>
        </is>
      </c>
      <c r="C33" s="1478" t="inlineStr">
        <is>
          <t>Hombres</t>
        </is>
      </c>
      <c r="D33" s="7247" t="inlineStr">
        <is>
          <t>Mujeres</t>
        </is>
      </c>
      <c r="E33" s="1475" t="inlineStr">
        <is>
          <t>Hombres</t>
        </is>
      </c>
      <c r="F33" s="1479" t="inlineStr">
        <is>
          <t>Mujeres</t>
        </is>
      </c>
      <c r="G33" s="1475" t="inlineStr">
        <is>
          <t>Hombres</t>
        </is>
      </c>
      <c r="H33" s="1479" t="inlineStr">
        <is>
          <t>Mujeres</t>
        </is>
      </c>
      <c r="I33" s="1475" t="inlineStr">
        <is>
          <t>Hombres</t>
        </is>
      </c>
      <c r="J33" s="1479" t="inlineStr">
        <is>
          <t>Mujeres</t>
        </is>
      </c>
      <c r="K33" s="1475" t="inlineStr">
        <is>
          <t>Hombres</t>
        </is>
      </c>
      <c r="L33" s="1479" t="inlineStr">
        <is>
          <t>Mujeres</t>
        </is>
      </c>
      <c r="M33" s="1475" t="inlineStr">
        <is>
          <t>Hombres</t>
        </is>
      </c>
      <c r="N33" s="1479" t="inlineStr">
        <is>
          <t>Mujeres</t>
        </is>
      </c>
      <c r="O33" s="1475" t="inlineStr">
        <is>
          <t>Hombres</t>
        </is>
      </c>
      <c r="P33" s="1479" t="inlineStr">
        <is>
          <t>Mujeres</t>
        </is>
      </c>
      <c r="Q33" s="1475" t="inlineStr">
        <is>
          <t>Hombres</t>
        </is>
      </c>
      <c r="R33" s="1479" t="inlineStr">
        <is>
          <t>Mujeres</t>
        </is>
      </c>
      <c r="S33" s="1475" t="inlineStr">
        <is>
          <t>Hombres</t>
        </is>
      </c>
      <c r="T33" s="1479" t="inlineStr">
        <is>
          <t>Mujeres</t>
        </is>
      </c>
      <c r="U33" s="1475" t="inlineStr">
        <is>
          <t>Hombres</t>
        </is>
      </c>
      <c r="V33" s="1479" t="inlineStr">
        <is>
          <t>Mujeres</t>
        </is>
      </c>
      <c r="W33" s="1475" t="inlineStr">
        <is>
          <t>Hombres</t>
        </is>
      </c>
      <c r="X33" s="1479" t="inlineStr">
        <is>
          <t>Mujeres</t>
        </is>
      </c>
      <c r="Y33" s="1475" t="inlineStr">
        <is>
          <t>Hombres</t>
        </is>
      </c>
      <c r="Z33" s="1479" t="inlineStr">
        <is>
          <t>Mujeres</t>
        </is>
      </c>
      <c r="AA33" s="1475" t="inlineStr">
        <is>
          <t>Hombres</t>
        </is>
      </c>
      <c r="AB33" s="1479" t="inlineStr">
        <is>
          <t>Mujeres</t>
        </is>
      </c>
      <c r="AC33" s="1475" t="inlineStr">
        <is>
          <t>Hombres</t>
        </is>
      </c>
      <c r="AD33" s="1479" t="inlineStr">
        <is>
          <t>Mujeres</t>
        </is>
      </c>
      <c r="AE33" s="1475" t="inlineStr">
        <is>
          <t>Hombres</t>
        </is>
      </c>
      <c r="AF33" s="1480" t="inlineStr">
        <is>
          <t>Mujeres</t>
        </is>
      </c>
      <c r="AG33" s="9640" t="n"/>
      <c r="AH33" s="9610" t="n"/>
    </row>
    <row r="34" ht="15" customHeight="1" s="8286">
      <c r="A34" s="1377" t="inlineStr">
        <is>
          <t>Glicemia alterada (= &gt; a 100 mg/dl)</t>
        </is>
      </c>
      <c r="B34" s="1485">
        <f>SUM(C34:D34)</f>
        <v/>
      </c>
      <c r="C34" s="1486">
        <f>SUM(E34+G34+I34+K34+M34+O34+Q34+S34+U34+W34+Y34+AA34+AC34+AE34)</f>
        <v/>
      </c>
      <c r="D34" s="8311">
        <f>SUM(F34+H34+J34+L34+N34+P34+R34+T34+V34+X34+Z34+AB34+AD34+AF34)</f>
        <v/>
      </c>
      <c r="E34" s="824" t="n"/>
      <c r="F34" s="750" t="n"/>
      <c r="G34" s="824" t="n"/>
      <c r="H34" s="750" t="n">
        <v>1</v>
      </c>
      <c r="I34" s="824" t="n">
        <v>2</v>
      </c>
      <c r="J34" s="750" t="n">
        <v>8</v>
      </c>
      <c r="K34" s="824" t="n">
        <v>1</v>
      </c>
      <c r="L34" s="750" t="n">
        <v>3</v>
      </c>
      <c r="M34" s="824" t="n">
        <v>4</v>
      </c>
      <c r="N34" s="750" t="n">
        <v>8</v>
      </c>
      <c r="O34" s="824" t="n">
        <v>2</v>
      </c>
      <c r="P34" s="750" t="n">
        <v>14</v>
      </c>
      <c r="Q34" s="824" t="n">
        <v>6</v>
      </c>
      <c r="R34" s="750" t="n">
        <v>13</v>
      </c>
      <c r="S34" s="824" t="n">
        <v>6</v>
      </c>
      <c r="T34" s="750" t="n">
        <v>10</v>
      </c>
      <c r="U34" s="824" t="n">
        <v>4</v>
      </c>
      <c r="V34" s="750" t="n">
        <v>9</v>
      </c>
      <c r="W34" s="824" t="n">
        <v>8</v>
      </c>
      <c r="X34" s="750" t="n">
        <v>15</v>
      </c>
      <c r="Y34" s="824" t="n">
        <v>16</v>
      </c>
      <c r="Z34" s="750" t="n">
        <v>25</v>
      </c>
      <c r="AA34" s="824" t="n">
        <v>23</v>
      </c>
      <c r="AB34" s="750" t="n">
        <v>28</v>
      </c>
      <c r="AC34" s="824" t="n">
        <v>17</v>
      </c>
      <c r="AD34" s="750" t="n">
        <v>19</v>
      </c>
      <c r="AE34" s="824" t="n">
        <v>9</v>
      </c>
      <c r="AF34" s="778" t="n">
        <v>22</v>
      </c>
      <c r="AG34" s="5284" t="n">
        <v>3</v>
      </c>
      <c r="AH34" s="5286" t="n">
        <v>0</v>
      </c>
      <c r="AI34" s="8347">
        <f>$CA34&amp;CB34</f>
        <v/>
      </c>
      <c r="CA34" s="219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/>
      </c>
      <c r="CG34" s="221">
        <f>IF(AND($B34&lt;&gt;0,AH34=""),1,IF(AH34&gt;$B34,1,0))</f>
        <v/>
      </c>
    </row>
    <row r="35" ht="15" customHeight="1" s="8286">
      <c r="A35" s="866" t="inlineStr">
        <is>
          <t>Colesterol elevado (= &gt; 200 mg/dl)</t>
        </is>
      </c>
      <c r="B35" s="1360">
        <f>SUM(C35:D35)</f>
        <v/>
      </c>
      <c r="C35" s="1379">
        <f>SUM(E35+G35+I35+K35+M35+O35+Q35+S35+U35+W35+Y35+AA35+AC35+AE35)</f>
        <v/>
      </c>
      <c r="D35" s="7764">
        <f>SUM(F35+H35+J35+L35+N35+P35+R35+T35+V35+X35+Z35+AB35+AD35+AF35)</f>
        <v/>
      </c>
      <c r="E35" s="1137" t="n"/>
      <c r="F35" s="1139" t="n"/>
      <c r="G35" s="1137" t="n"/>
      <c r="H35" s="1139" t="n"/>
      <c r="I35" s="1137" t="n">
        <v>2</v>
      </c>
      <c r="J35" s="1139" t="n">
        <v>2</v>
      </c>
      <c r="K35" s="1137" t="n">
        <v>1</v>
      </c>
      <c r="L35" s="1139" t="n">
        <v>1</v>
      </c>
      <c r="M35" s="1137" t="n"/>
      <c r="N35" s="1139" t="n">
        <v>3</v>
      </c>
      <c r="O35" s="1137" t="n">
        <v>1</v>
      </c>
      <c r="P35" s="1139" t="n">
        <v>4</v>
      </c>
      <c r="Q35" s="1137" t="n">
        <v>2</v>
      </c>
      <c r="R35" s="1139" t="n">
        <v>5</v>
      </c>
      <c r="S35" s="1137" t="n">
        <v>1</v>
      </c>
      <c r="T35" s="1139" t="n">
        <v>6</v>
      </c>
      <c r="U35" s="1137" t="n">
        <v>3</v>
      </c>
      <c r="V35" s="1139" t="n">
        <v>8</v>
      </c>
      <c r="W35" s="1137" t="n">
        <v>2</v>
      </c>
      <c r="X35" s="1139" t="n">
        <v>9</v>
      </c>
      <c r="Y35" s="1137" t="n"/>
      <c r="Z35" s="1139" t="n">
        <v>1</v>
      </c>
      <c r="AA35" s="1137" t="n"/>
      <c r="AB35" s="1139" t="n">
        <v>2</v>
      </c>
      <c r="AC35" s="1137" t="n"/>
      <c r="AD35" s="1139" t="n">
        <v>3</v>
      </c>
      <c r="AE35" s="1137" t="n"/>
      <c r="AF35" s="1143" t="n"/>
      <c r="AG35" s="5285" t="n">
        <v>1</v>
      </c>
      <c r="AH35" s="3319" t="n">
        <v>0</v>
      </c>
      <c r="AI35" s="8347">
        <f>$CA35&amp;CB35</f>
        <v/>
      </c>
      <c r="CA35" s="219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/>
      </c>
      <c r="CG35" s="221">
        <f>IF(AND($B35&lt;&gt;0,AH35=""),1,IF(AH35&gt;$B35,1,0))</f>
        <v/>
      </c>
    </row>
    <row r="51" hidden="1" ht="16.5" customFormat="1" customHeight="1" s="8337">
      <c r="A51" s="68">
        <f>SUM(B12:B17,B22:B25,B29:B30,B34:B35)</f>
        <v/>
      </c>
      <c r="B51" s="68">
        <f>SUM(CF12:CH35)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2jmXRkMqVS8GQ0dyIUnL3Q==" formatRows="1" sort="1" spinCount="100000" hashValue="oJ7uzXH5dyMz8GlWBvaIKmXhjNq0PoAtLKQWm0pgvObIT5cWGT2IYXi46Q0MDlJy3siDp8u6Tq2Wg0VnErlQ0g=="/>
  <mergeCells count="77">
    <mergeCell ref="AC32:AD32"/>
    <mergeCell ref="AE32:AF32"/>
    <mergeCell ref="A27:A28"/>
    <mergeCell ref="AH19:AH20"/>
    <mergeCell ref="O32:P32"/>
    <mergeCell ref="AG32:AG33"/>
    <mergeCell ref="AG19:AG20"/>
    <mergeCell ref="S19:T19"/>
    <mergeCell ref="E27:F27"/>
    <mergeCell ref="AC19:AD19"/>
    <mergeCell ref="AE19:AF19"/>
    <mergeCell ref="A26:AF26"/>
    <mergeCell ref="O27:P27"/>
    <mergeCell ref="Q9:R9"/>
    <mergeCell ref="S9:T9"/>
    <mergeCell ref="Q27:R27"/>
    <mergeCell ref="AC9:AD9"/>
    <mergeCell ref="AE9:AF9"/>
    <mergeCell ref="A8:AF8"/>
    <mergeCell ref="AH32:AH33"/>
    <mergeCell ref="M19:N19"/>
    <mergeCell ref="B19:D19"/>
    <mergeCell ref="I32:J32"/>
    <mergeCell ref="K32:L32"/>
    <mergeCell ref="AH9:AH10"/>
    <mergeCell ref="B9:D9"/>
    <mergeCell ref="U32:V32"/>
    <mergeCell ref="W32:X32"/>
    <mergeCell ref="K27:L27"/>
    <mergeCell ref="M27:N27"/>
    <mergeCell ref="AH27:AH28"/>
    <mergeCell ref="W27:X27"/>
    <mergeCell ref="A19:A20"/>
    <mergeCell ref="Y27:Z27"/>
    <mergeCell ref="A9:A10"/>
    <mergeCell ref="I19:J19"/>
    <mergeCell ref="K19:L19"/>
    <mergeCell ref="AC27:AD27"/>
    <mergeCell ref="AE27:AF27"/>
    <mergeCell ref="U19:V19"/>
    <mergeCell ref="G9:H9"/>
    <mergeCell ref="W19:X19"/>
    <mergeCell ref="I9:J9"/>
    <mergeCell ref="A6:AD6"/>
    <mergeCell ref="U9:V9"/>
    <mergeCell ref="O19:P19"/>
    <mergeCell ref="K9:L9"/>
    <mergeCell ref="AA19:AB19"/>
    <mergeCell ref="M9:N9"/>
    <mergeCell ref="O9:P9"/>
    <mergeCell ref="Y9:Z9"/>
    <mergeCell ref="AA9:AB9"/>
    <mergeCell ref="E32:F32"/>
    <mergeCell ref="G32:H32"/>
    <mergeCell ref="Q32:R32"/>
    <mergeCell ref="S32:T32"/>
    <mergeCell ref="AG9:AG10"/>
    <mergeCell ref="A31:AF31"/>
    <mergeCell ref="AG27:AG28"/>
    <mergeCell ref="G27:H27"/>
    <mergeCell ref="I27:J27"/>
    <mergeCell ref="AA27:AB27"/>
    <mergeCell ref="S27:T27"/>
    <mergeCell ref="U27:V27"/>
    <mergeCell ref="E19:F19"/>
    <mergeCell ref="G19:H19"/>
    <mergeCell ref="Y19:Z19"/>
    <mergeCell ref="Q19:R19"/>
    <mergeCell ref="E9:F9"/>
    <mergeCell ref="A32:A33"/>
    <mergeCell ref="B32:D32"/>
    <mergeCell ref="A18:AF18"/>
    <mergeCell ref="W9:X9"/>
    <mergeCell ref="M32:N32"/>
    <mergeCell ref="B27:D27"/>
    <mergeCell ref="Y32:Z32"/>
    <mergeCell ref="AA32:AB32"/>
  </mergeCells>
  <dataValidations count="2">
    <dataValidation sqref="E12:AH17 E22:AH25 E29:AH30 E34:AH35" showDropDown="0" showInputMessage="1" showErrorMessage="1" allowBlank="0" type="whole" operator="greaterThanOrEqual">
      <formula1>0</formula1>
    </dataValidation>
    <dataValidation sqref="A30" showDropDown="0" showInputMessage="1" showErrorMessage="1" allowBlank="0" error="Valor no Permitido" operator="notBetween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Hoja4">
    <outlinePr summaryBelow="1" summaryRight="1"/>
    <pageSetUpPr/>
  </sheetPr>
  <dimension ref="A1:CR827"/>
  <sheetViews>
    <sheetView showGridLines="0" topLeftCell="C62" zoomScaleNormal="100" workbookViewId="0">
      <selection activeCell="F90" sqref="F90"/>
    </sheetView>
  </sheetViews>
  <sheetFormatPr baseColWidth="10" defaultColWidth="11.42578125" defaultRowHeight="15"/>
  <cols>
    <col width="31" customWidth="1" style="8286" min="1" max="1"/>
    <col width="28.7109375" customWidth="1" style="8286" min="2" max="2"/>
    <col width="16.42578125" customWidth="1" style="8286" min="3" max="3"/>
    <col width="15.7109375" customWidth="1" style="8286" min="4" max="7"/>
    <col width="16.5703125" customWidth="1" style="8286" min="8" max="8"/>
    <col width="15.7109375" customWidth="1" style="8286" min="9" max="12"/>
    <col width="13.140625" customWidth="1" style="8286" min="23" max="23"/>
    <col width="11.42578125" customWidth="1" style="8286" min="53" max="61"/>
    <col width="16" customWidth="1" style="8286" min="72" max="78"/>
    <col hidden="1" width="11.42578125" customWidth="1" style="5" min="79" max="94"/>
    <col hidden="1" width="11.42578125" customWidth="1" style="8286" min="95" max="96"/>
    <col width="11.42578125" customWidth="1" style="8286" min="97" max="130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25">
        <f>CONCATENATE("AÑO: ",NOMBRE!B7)</f>
        <v/>
      </c>
    </row>
    <row r="6" ht="18" customFormat="1" customHeight="1" s="235">
      <c r="A6" s="7505" t="inlineStr">
        <is>
          <t xml:space="preserve">REM-A03.   APLICACIÓN Y RESULTADOS DE ESCALAS DE EVALUACIÓN </t>
        </is>
      </c>
      <c r="Y6" s="9696" t="n"/>
      <c r="Z6" s="233" t="n"/>
      <c r="AA6" s="233" t="n"/>
      <c r="AB6" s="234" t="n"/>
      <c r="AC6" s="234" t="n"/>
      <c r="AD6" s="234" t="n"/>
      <c r="AE6" s="234" t="n"/>
      <c r="AF6" s="234" t="n"/>
      <c r="AG6" s="234" t="n"/>
      <c r="AH6" s="234" t="n"/>
      <c r="AI6" s="234" t="n"/>
      <c r="AJ6" s="234" t="n"/>
      <c r="AK6" s="234" t="n"/>
      <c r="AL6" s="234" t="n"/>
      <c r="AM6" s="234" t="n"/>
      <c r="CA6" s="236" t="n"/>
      <c r="CB6" s="236" t="n"/>
      <c r="CC6" s="236" t="n"/>
      <c r="CD6" s="236" t="n"/>
      <c r="CE6" s="236" t="n"/>
      <c r="CF6" s="236" t="n"/>
      <c r="CG6" s="236" t="n"/>
      <c r="CH6" s="236" t="n"/>
      <c r="CI6" s="236" t="n"/>
      <c r="CJ6" s="236" t="n"/>
      <c r="CK6" s="236" t="n"/>
      <c r="CL6" s="236" t="n"/>
      <c r="CM6" s="236" t="n"/>
      <c r="CN6" s="236" t="n"/>
      <c r="CO6" s="236" t="n"/>
      <c r="CP6" s="236" t="n"/>
    </row>
    <row r="8" ht="18" customHeight="1" s="8286">
      <c r="A8" s="927" t="inlineStr">
        <is>
          <t>SECCIÓN A: APLICACIÓN DE INSTRUMENTO Y RESULTADO EN EL NIÑO (A)</t>
        </is>
      </c>
      <c r="B8" s="928" t="n"/>
      <c r="C8" s="928" t="n"/>
      <c r="D8" s="928" t="n"/>
      <c r="E8" s="928" t="n"/>
      <c r="F8" s="928" t="n"/>
      <c r="G8" s="928" t="n"/>
      <c r="H8" s="928" t="n"/>
      <c r="I8" s="928" t="n"/>
      <c r="J8" s="928" t="n"/>
      <c r="K8" s="928" t="n"/>
      <c r="L8" s="928" t="n"/>
      <c r="M8" s="928" t="n"/>
      <c r="N8" s="928" t="n"/>
      <c r="O8" s="928" t="n"/>
      <c r="P8" s="1489" t="n"/>
      <c r="Q8" s="929" t="n"/>
      <c r="R8" s="930" t="n"/>
      <c r="S8" s="930" t="n"/>
      <c r="T8" s="930" t="n"/>
      <c r="U8" s="930" t="n"/>
      <c r="V8" s="930" t="n"/>
      <c r="W8" s="930" t="n"/>
      <c r="X8" s="930" t="n"/>
      <c r="Y8" s="930" t="n"/>
      <c r="Z8" s="622" t="n"/>
      <c r="AA8" s="622" t="n"/>
      <c r="AB8" s="622" t="n"/>
      <c r="AC8" s="622" t="n"/>
      <c r="AD8" s="622" t="n"/>
      <c r="AE8" s="622" t="n"/>
      <c r="AF8" s="622" t="n"/>
      <c r="AG8" s="622" t="n"/>
      <c r="AH8" s="622" t="n"/>
      <c r="AI8" s="622" t="n"/>
      <c r="AJ8" s="622" t="n"/>
      <c r="AK8" s="622" t="n"/>
      <c r="AL8" s="622" t="n"/>
      <c r="AM8" s="622" t="n"/>
      <c r="AN8" s="622" t="n"/>
      <c r="AO8" s="622" t="n"/>
      <c r="AP8" s="622" t="n"/>
      <c r="AQ8" s="622" t="n"/>
      <c r="AR8" s="622" t="n"/>
      <c r="AS8" s="622" t="n"/>
      <c r="AT8" s="622" t="n"/>
      <c r="AU8" s="622" t="n"/>
      <c r="AV8" s="622" t="n"/>
      <c r="AW8" s="622" t="n"/>
      <c r="AX8" s="622" t="n"/>
      <c r="AY8" s="622" t="n"/>
    </row>
    <row r="9" ht="18" customHeight="1" s="8286">
      <c r="A9" s="1490" t="inlineStr">
        <is>
          <t>SECCIÓN A.1: APLICACIÓN Y RESULTADOS DE PAUTA BREVE</t>
        </is>
      </c>
      <c r="B9" s="1491" t="n"/>
      <c r="C9" s="1491" t="n"/>
      <c r="D9" s="1491" t="n"/>
      <c r="E9" s="1491" t="n"/>
      <c r="F9" s="931" t="n"/>
      <c r="G9" s="932" t="n"/>
      <c r="H9" s="933" t="n"/>
      <c r="I9" s="934" t="n"/>
      <c r="J9" s="932" t="n"/>
      <c r="K9" s="1492" t="n"/>
      <c r="L9" s="932" t="n"/>
      <c r="M9" s="933" t="n"/>
      <c r="N9" s="934" t="n"/>
      <c r="O9" s="934" t="n"/>
      <c r="P9" s="1493" t="n"/>
      <c r="Q9" s="932" t="n"/>
      <c r="R9" s="933" t="n"/>
      <c r="S9" s="933" t="n"/>
      <c r="T9" s="933" t="n"/>
      <c r="U9" s="933" t="n"/>
      <c r="V9" s="933" t="n"/>
      <c r="W9" s="933" t="n"/>
      <c r="X9" s="933" t="n"/>
      <c r="Y9" s="934" t="n"/>
      <c r="Z9" s="622" t="n"/>
      <c r="AA9" s="622" t="n"/>
      <c r="AB9" s="622" t="n"/>
      <c r="AC9" s="622" t="n"/>
      <c r="AD9" s="622" t="n"/>
      <c r="AE9" s="622" t="n"/>
      <c r="AF9" s="622" t="n"/>
      <c r="AG9" s="622" t="n"/>
      <c r="AH9" s="622" t="n"/>
      <c r="AI9" s="622" t="n"/>
      <c r="AJ9" s="622" t="n"/>
      <c r="AK9" s="622" t="n"/>
      <c r="AL9" s="622" t="n"/>
      <c r="AM9" s="622" t="n"/>
      <c r="AN9" s="622" t="n"/>
      <c r="AO9" s="622" t="n"/>
      <c r="AP9" s="622" t="n"/>
      <c r="AQ9" s="622" t="n"/>
      <c r="AR9" s="622" t="n"/>
      <c r="AS9" s="622" t="n"/>
      <c r="AT9" s="622" t="n"/>
      <c r="AU9" s="622" t="n"/>
      <c r="AV9" s="622" t="n"/>
      <c r="AW9" s="622" t="n"/>
      <c r="AX9" s="622" t="n"/>
      <c r="AY9" s="622" t="n"/>
    </row>
    <row r="10" ht="15" customHeight="1" s="8286">
      <c r="A10" s="7632" t="inlineStr">
        <is>
          <t>EVALUACIONES POR EDAD DEL NIÑO</t>
        </is>
      </c>
      <c r="B10" s="9603" t="n"/>
      <c r="C10" s="9629" t="inlineStr">
        <is>
          <t xml:space="preserve">TOTAL  </t>
        </is>
      </c>
      <c r="D10" s="9602" t="n"/>
      <c r="E10" s="9630" t="n"/>
      <c r="F10" s="9631" t="inlineStr">
        <is>
          <t>RANGO ETARIO Y SEXO</t>
        </is>
      </c>
      <c r="G10" s="9617" t="n"/>
      <c r="H10" s="9617" t="n"/>
      <c r="I10" s="9617" t="n"/>
      <c r="J10" s="9617" t="n"/>
      <c r="K10" s="9617" t="n"/>
      <c r="L10" s="9617" t="n"/>
      <c r="M10" s="9617" t="n"/>
      <c r="N10" s="9617" t="n"/>
      <c r="O10" s="9617" t="n"/>
      <c r="P10" s="9617" t="n"/>
      <c r="Q10" s="9617" t="n"/>
      <c r="R10" s="9617" t="n"/>
      <c r="S10" s="9617" t="n"/>
      <c r="T10" s="9617" t="n"/>
      <c r="U10" s="9617" t="n"/>
      <c r="V10" s="9617" t="n"/>
      <c r="W10" s="9617" t="n"/>
      <c r="X10" s="9617" t="n"/>
      <c r="Y10" s="9632" t="n"/>
      <c r="Z10" s="622" t="n"/>
      <c r="AA10" s="622" t="n"/>
      <c r="AB10" s="622" t="n"/>
      <c r="AC10" s="622" t="n"/>
      <c r="AD10" s="622" t="n"/>
      <c r="AE10" s="622" t="n"/>
      <c r="AF10" s="622" t="n"/>
      <c r="AG10" s="622" t="n"/>
      <c r="AH10" s="622" t="n"/>
      <c r="AI10" s="622" t="n"/>
      <c r="AJ10" s="622" t="n"/>
      <c r="AK10" s="622" t="n"/>
      <c r="AL10" s="622" t="n"/>
      <c r="AM10" s="622" t="n"/>
      <c r="AN10" s="622" t="n"/>
      <c r="AO10" s="622" t="n"/>
      <c r="AP10" s="622" t="n"/>
      <c r="AQ10" s="622" t="n"/>
      <c r="AR10" s="622" t="n"/>
      <c r="AS10" s="622" t="n"/>
      <c r="AT10" s="622" t="n"/>
      <c r="AU10" s="622" t="n"/>
      <c r="AV10" s="622" t="n"/>
      <c r="AW10" s="622" t="n"/>
      <c r="AX10" s="622" t="n"/>
      <c r="AY10" s="622" t="n"/>
    </row>
    <row r="11" ht="15" customHeight="1" s="8286">
      <c r="A11" s="642" t="n"/>
      <c r="B11" s="9625" t="n"/>
      <c r="C11" s="9638" t="n"/>
      <c r="D11" s="9697" t="n"/>
      <c r="E11" s="9639" t="n"/>
      <c r="F11" s="9631" t="inlineStr">
        <is>
          <t>Menos de 1 mes</t>
        </is>
      </c>
      <c r="G11" s="9632" t="n"/>
      <c r="H11" s="9631" t="inlineStr">
        <is>
          <t>1 mes</t>
        </is>
      </c>
      <c r="I11" s="9632" t="n"/>
      <c r="J11" s="9631" t="inlineStr">
        <is>
          <t>2 meses</t>
        </is>
      </c>
      <c r="K11" s="9632" t="n"/>
      <c r="L11" s="9631" t="inlineStr">
        <is>
          <t>3 meses</t>
        </is>
      </c>
      <c r="M11" s="9632" t="n"/>
      <c r="N11" s="9631" t="inlineStr">
        <is>
          <t>4 meses</t>
        </is>
      </c>
      <c r="O11" s="9632" t="n"/>
      <c r="P11" s="9631" t="inlineStr">
        <is>
          <t xml:space="preserve"> 5 meses</t>
        </is>
      </c>
      <c r="Q11" s="9632" t="n"/>
      <c r="R11" s="9631" t="inlineStr">
        <is>
          <t>6 meses</t>
        </is>
      </c>
      <c r="S11" s="9632" t="n"/>
      <c r="T11" s="9631" t="inlineStr">
        <is>
          <t xml:space="preserve"> 7 - 11 meses</t>
        </is>
      </c>
      <c r="U11" s="9632" t="n"/>
      <c r="V11" s="9631" t="inlineStr">
        <is>
          <t>12 - 17 meses</t>
        </is>
      </c>
      <c r="W11" s="9632" t="n"/>
      <c r="X11" s="9631" t="inlineStr">
        <is>
          <t>18 - 24 meses</t>
        </is>
      </c>
      <c r="Y11" s="9632" t="n"/>
      <c r="Z11" s="622" t="n"/>
      <c r="AA11" s="622" t="n"/>
      <c r="AB11" s="622" t="n"/>
      <c r="AC11" s="622" t="n"/>
      <c r="AD11" s="622" t="n"/>
      <c r="AE11" s="622" t="n"/>
      <c r="AF11" s="622" t="n"/>
      <c r="AG11" s="622" t="n"/>
      <c r="AH11" s="622" t="n"/>
      <c r="AI11" s="622" t="n"/>
      <c r="AJ11" s="622" t="n"/>
      <c r="AK11" s="622" t="n"/>
      <c r="AL11" s="622" t="n"/>
      <c r="AM11" s="622" t="n"/>
      <c r="AN11" s="622" t="n"/>
      <c r="AO11" s="622" t="n"/>
      <c r="AP11" s="622" t="n"/>
      <c r="AQ11" s="622" t="n"/>
      <c r="AR11" s="622" t="n"/>
      <c r="AS11" s="622" t="n"/>
      <c r="AT11" s="622" t="n"/>
      <c r="AU11" s="622" t="n"/>
      <c r="AV11" s="622" t="n"/>
      <c r="AW11" s="622" t="n"/>
      <c r="AX11" s="622" t="n"/>
      <c r="AY11" s="622" t="n"/>
    </row>
    <row r="12" ht="15" customHeight="1" s="8286">
      <c r="A12" s="9698" t="n"/>
      <c r="B12" s="9611" t="n"/>
      <c r="C12" s="1500" t="inlineStr">
        <is>
          <t>Ambos Sexos</t>
        </is>
      </c>
      <c r="D12" s="7400" t="inlineStr">
        <is>
          <t>Hombres</t>
        </is>
      </c>
      <c r="E12" s="7280" t="inlineStr">
        <is>
          <t>Mujeres</t>
        </is>
      </c>
      <c r="F12" s="1502" t="inlineStr">
        <is>
          <t>Hombres</t>
        </is>
      </c>
      <c r="G12" s="7280" t="inlineStr">
        <is>
          <t>Mujeres</t>
        </is>
      </c>
      <c r="H12" s="1502" t="inlineStr">
        <is>
          <t>Hombres</t>
        </is>
      </c>
      <c r="I12" s="7280" t="inlineStr">
        <is>
          <t>Mujeres</t>
        </is>
      </c>
      <c r="J12" s="1502" t="inlineStr">
        <is>
          <t>Hombres</t>
        </is>
      </c>
      <c r="K12" s="7280" t="inlineStr">
        <is>
          <t>Mujeres</t>
        </is>
      </c>
      <c r="L12" s="1502" t="inlineStr">
        <is>
          <t>Hombres</t>
        </is>
      </c>
      <c r="M12" s="7280" t="inlineStr">
        <is>
          <t>Mujeres</t>
        </is>
      </c>
      <c r="N12" s="1502" t="inlineStr">
        <is>
          <t>Hombres</t>
        </is>
      </c>
      <c r="O12" s="7280" t="inlineStr">
        <is>
          <t>Mujeres</t>
        </is>
      </c>
      <c r="P12" s="1502" t="inlineStr">
        <is>
          <t>Hombres</t>
        </is>
      </c>
      <c r="Q12" s="7280" t="inlineStr">
        <is>
          <t>Mujeres</t>
        </is>
      </c>
      <c r="R12" s="1502" t="inlineStr">
        <is>
          <t>Hombres</t>
        </is>
      </c>
      <c r="S12" s="7280" t="inlineStr">
        <is>
          <t>Mujeres</t>
        </is>
      </c>
      <c r="T12" s="1502" t="inlineStr">
        <is>
          <t>Hombres</t>
        </is>
      </c>
      <c r="U12" s="7280" t="inlineStr">
        <is>
          <t>Mujeres</t>
        </is>
      </c>
      <c r="V12" s="1502" t="inlineStr">
        <is>
          <t>Hombres</t>
        </is>
      </c>
      <c r="W12" s="7280" t="inlineStr">
        <is>
          <t>Mujeres</t>
        </is>
      </c>
      <c r="X12" s="1502" t="inlineStr">
        <is>
          <t>Hombres</t>
        </is>
      </c>
      <c r="Y12" s="7280" t="inlineStr">
        <is>
          <t>Mujeres</t>
        </is>
      </c>
      <c r="Z12" s="622" t="n"/>
      <c r="AA12" s="622" t="n"/>
      <c r="AB12" s="622" t="n"/>
      <c r="AC12" s="622" t="n"/>
      <c r="AD12" s="622" t="n"/>
      <c r="AE12" s="622" t="n"/>
      <c r="AF12" s="622" t="n"/>
      <c r="AG12" s="622" t="n"/>
      <c r="AH12" s="622" t="n"/>
      <c r="AI12" s="622" t="n"/>
      <c r="AJ12" s="622" t="n"/>
      <c r="AK12" s="622" t="n"/>
      <c r="AL12" s="622" t="n"/>
      <c r="AM12" s="622" t="n"/>
      <c r="AN12" s="622" t="n"/>
      <c r="AO12" s="622" t="n"/>
      <c r="AP12" s="622" t="n"/>
      <c r="AQ12" s="622" t="n"/>
      <c r="AR12" s="622" t="n"/>
      <c r="AS12" s="622" t="n"/>
      <c r="AT12" s="622" t="n"/>
      <c r="AU12" s="622" t="n"/>
      <c r="AV12" s="622" t="n"/>
      <c r="AW12" s="622" t="n"/>
      <c r="AX12" s="622" t="n"/>
      <c r="AY12" s="622" t="n"/>
    </row>
    <row r="13" ht="15" customHeight="1" s="8286">
      <c r="A13" s="9699" t="inlineStr">
        <is>
          <t xml:space="preserve">Aplicación Pauta Breve </t>
        </is>
      </c>
      <c r="B13" s="9582" t="n"/>
      <c r="C13" s="1503">
        <f>SUM(D13+E13)</f>
        <v/>
      </c>
      <c r="D13" s="1504">
        <f>SUM(F13+H13+J13+L13+N13+P13+R13+T13+V13+X13)</f>
        <v/>
      </c>
      <c r="E13" s="1505">
        <f>SUM(G13+I13+K13+M13+O13+Q13+S13+U13+W13+Y13)</f>
        <v/>
      </c>
      <c r="F13" s="1506" t="n">
        <v>0</v>
      </c>
      <c r="G13" s="1507" t="n">
        <v>0</v>
      </c>
      <c r="H13" s="1506" t="n">
        <v>0</v>
      </c>
      <c r="I13" s="1507" t="n">
        <v>0</v>
      </c>
      <c r="J13" s="1506" t="n">
        <v>0</v>
      </c>
      <c r="K13" s="1507" t="n">
        <v>0</v>
      </c>
      <c r="L13" s="1506" t="n">
        <v>0</v>
      </c>
      <c r="M13" s="1507" t="n">
        <v>0</v>
      </c>
      <c r="N13" s="1506" t="n">
        <v>7</v>
      </c>
      <c r="O13" s="1507" t="n">
        <v>11</v>
      </c>
      <c r="P13" s="1506" t="n">
        <v>0</v>
      </c>
      <c r="Q13" s="1507" t="n">
        <v>0</v>
      </c>
      <c r="R13" s="1506" t="n">
        <v>0</v>
      </c>
      <c r="S13" s="1507" t="n">
        <v>0</v>
      </c>
      <c r="T13" s="1506" t="n">
        <v>0</v>
      </c>
      <c r="U13" s="1507" t="n">
        <v>0</v>
      </c>
      <c r="V13" s="1506" t="n">
        <v>14</v>
      </c>
      <c r="W13" s="1507" t="n">
        <v>17</v>
      </c>
      <c r="X13" s="1506" t="n">
        <v>3</v>
      </c>
      <c r="Y13" s="1507" t="n">
        <v>3</v>
      </c>
      <c r="Z13" s="622" t="n"/>
      <c r="AA13" s="622" t="n"/>
      <c r="AB13" s="622" t="n"/>
      <c r="AC13" s="622" t="n"/>
      <c r="AD13" s="622" t="n"/>
      <c r="AE13" s="622" t="n"/>
      <c r="AF13" s="622" t="n"/>
      <c r="AG13" s="622" t="n"/>
      <c r="AH13" s="622" t="n"/>
      <c r="AI13" s="622" t="n"/>
      <c r="AJ13" s="622" t="n"/>
      <c r="AK13" s="622" t="n"/>
      <c r="AL13" s="622" t="n"/>
      <c r="AM13" s="622" t="n"/>
      <c r="AN13" s="622" t="n"/>
      <c r="AO13" s="622" t="n"/>
      <c r="AP13" s="622" t="n"/>
      <c r="AQ13" s="622" t="n"/>
      <c r="AR13" s="622" t="n"/>
      <c r="AS13" s="622" t="n"/>
      <c r="AT13" s="622" t="n"/>
      <c r="AU13" s="622" t="n"/>
      <c r="AV13" s="622" t="n"/>
      <c r="AW13" s="622" t="n"/>
      <c r="AX13" s="622" t="n"/>
      <c r="AY13" s="622" t="n"/>
    </row>
    <row r="14" ht="15" customHeight="1" s="8286">
      <c r="A14" s="9700" t="inlineStr">
        <is>
          <t>Resultados</t>
        </is>
      </c>
      <c r="B14" s="7472" t="inlineStr">
        <is>
          <t>Normal</t>
        </is>
      </c>
      <c r="C14" s="1509">
        <f>SUM(D14+E14)</f>
        <v/>
      </c>
      <c r="D14" s="935">
        <f>SUM(F14+H14+J14+L14+N14+P14+R14+T14+V14+X14)</f>
        <v/>
      </c>
      <c r="E14" s="1510">
        <f>SUM(G14+I14+K14+M14+O14+Q14+S14+U14+W14+Y14)</f>
        <v/>
      </c>
      <c r="F14" s="1511" t="n">
        <v>0</v>
      </c>
      <c r="G14" s="1512" t="n">
        <v>0</v>
      </c>
      <c r="H14" s="1511" t="n">
        <v>0</v>
      </c>
      <c r="I14" s="1512" t="n">
        <v>0</v>
      </c>
      <c r="J14" s="1511" t="n">
        <v>0</v>
      </c>
      <c r="K14" s="1512" t="n">
        <v>0</v>
      </c>
      <c r="L14" s="1511" t="n">
        <v>0</v>
      </c>
      <c r="M14" s="1512" t="n">
        <v>0</v>
      </c>
      <c r="N14" s="1511" t="n">
        <v>7</v>
      </c>
      <c r="O14" s="1512" t="n">
        <v>11</v>
      </c>
      <c r="P14" s="1511" t="n">
        <v>0</v>
      </c>
      <c r="Q14" s="1512" t="n">
        <v>0</v>
      </c>
      <c r="R14" s="1511" t="n">
        <v>0</v>
      </c>
      <c r="S14" s="1512" t="n">
        <v>0</v>
      </c>
      <c r="T14" s="1511" t="n">
        <v>0</v>
      </c>
      <c r="U14" s="1512" t="n">
        <v>0</v>
      </c>
      <c r="V14" s="1511" t="n">
        <v>13</v>
      </c>
      <c r="W14" s="1512" t="n">
        <v>17</v>
      </c>
      <c r="X14" s="1511" t="n">
        <v>3</v>
      </c>
      <c r="Y14" s="1512" t="n">
        <v>3</v>
      </c>
      <c r="Z14" s="622" t="n"/>
      <c r="AA14" s="622" t="n"/>
      <c r="AB14" s="622" t="n"/>
      <c r="AC14" s="622" t="n"/>
      <c r="AD14" s="622" t="n"/>
      <c r="AE14" s="622" t="n"/>
      <c r="AF14" s="622" t="n"/>
      <c r="AG14" s="622" t="n"/>
      <c r="AH14" s="622" t="n"/>
      <c r="AI14" s="622" t="n"/>
      <c r="AJ14" s="622" t="n"/>
      <c r="AK14" s="622" t="n"/>
      <c r="AL14" s="622" t="n"/>
      <c r="AM14" s="622" t="n"/>
      <c r="AN14" s="622" t="n"/>
      <c r="AO14" s="622" t="n"/>
      <c r="AP14" s="622" t="n"/>
      <c r="AQ14" s="622" t="n"/>
      <c r="AR14" s="622" t="n"/>
      <c r="AS14" s="622" t="n"/>
      <c r="AT14" s="622" t="n"/>
      <c r="AU14" s="622" t="n"/>
      <c r="AV14" s="622" t="n"/>
      <c r="AW14" s="622" t="n"/>
      <c r="AX14" s="622" t="n"/>
      <c r="AY14" s="622" t="n"/>
    </row>
    <row r="15" ht="15" customHeight="1" s="8286">
      <c r="A15" s="9641" t="n"/>
      <c r="B15" s="7469" t="inlineStr">
        <is>
          <t>Alterado</t>
        </is>
      </c>
      <c r="C15" s="1514">
        <f>SUM(D15+E15)</f>
        <v/>
      </c>
      <c r="D15" s="1515">
        <f>SUM(F15+H15+J15+L15+N15+P15+R15+T15+V15+X15)</f>
        <v/>
      </c>
      <c r="E15" s="1516">
        <f>SUM(G15+I15+K15+M15+O15+Q15+S15+U15+W15+Y15)</f>
        <v/>
      </c>
      <c r="F15" s="1517" t="n">
        <v>0</v>
      </c>
      <c r="G15" s="1518" t="n">
        <v>0</v>
      </c>
      <c r="H15" s="1519" t="n">
        <v>0</v>
      </c>
      <c r="I15" s="1520" t="n">
        <v>0</v>
      </c>
      <c r="J15" s="1519" t="n">
        <v>0</v>
      </c>
      <c r="K15" s="1520" t="n">
        <v>0</v>
      </c>
      <c r="L15" s="1517" t="n">
        <v>0</v>
      </c>
      <c r="M15" s="1518" t="n">
        <v>0</v>
      </c>
      <c r="N15" s="1517" t="n">
        <v>0</v>
      </c>
      <c r="O15" s="1518" t="n">
        <v>0</v>
      </c>
      <c r="P15" s="1517" t="n">
        <v>0</v>
      </c>
      <c r="Q15" s="1518" t="n">
        <v>0</v>
      </c>
      <c r="R15" s="1517" t="n">
        <v>0</v>
      </c>
      <c r="S15" s="1518" t="n">
        <v>0</v>
      </c>
      <c r="T15" s="1517" t="n">
        <v>0</v>
      </c>
      <c r="U15" s="1521" t="n">
        <v>0</v>
      </c>
      <c r="V15" s="1517" t="n">
        <v>1</v>
      </c>
      <c r="W15" s="1521" t="n">
        <v>0</v>
      </c>
      <c r="X15" s="1517" t="n">
        <v>0</v>
      </c>
      <c r="Y15" s="1518" t="n">
        <v>0</v>
      </c>
      <c r="Z15" s="622" t="n"/>
      <c r="AA15" s="622" t="n"/>
      <c r="AB15" s="622" t="n"/>
      <c r="AC15" s="622" t="n"/>
      <c r="AD15" s="622" t="n"/>
      <c r="AE15" s="622" t="n"/>
      <c r="AF15" s="622" t="n"/>
      <c r="AG15" s="622" t="n"/>
      <c r="AH15" s="622" t="n"/>
      <c r="AI15" s="622" t="n"/>
      <c r="AJ15" s="622" t="n"/>
      <c r="AK15" s="622" t="n"/>
      <c r="AL15" s="622" t="n"/>
      <c r="AM15" s="622" t="n"/>
      <c r="AN15" s="622" t="n"/>
      <c r="AO15" s="622" t="n"/>
      <c r="AP15" s="622" t="n"/>
      <c r="AQ15" s="622" t="n"/>
      <c r="AR15" s="622" t="n"/>
      <c r="AS15" s="622" t="n"/>
      <c r="AT15" s="622" t="n"/>
      <c r="AU15" s="622" t="n"/>
      <c r="AV15" s="622" t="n"/>
      <c r="AW15" s="622" t="n"/>
      <c r="AX15" s="622" t="n"/>
      <c r="AY15" s="622" t="n"/>
    </row>
    <row r="16" ht="18" customHeight="1" s="8286">
      <c r="A16" s="1490" t="inlineStr">
        <is>
          <t>SECCIÓN A.2: RESULTADOS DE LA APLICACIÓN DE ESCALA DE EVALUACIÓN DEL DESARROLLO PSICOMOTOR</t>
        </is>
      </c>
      <c r="B16" s="1491" t="n"/>
      <c r="C16" s="1491" t="n"/>
      <c r="D16" s="1491" t="n"/>
      <c r="E16" s="1491" t="n"/>
      <c r="F16" s="1491" t="n"/>
      <c r="G16" s="1491" t="n"/>
      <c r="H16" s="1491" t="n"/>
      <c r="I16" s="1491" t="n"/>
      <c r="J16" s="1491" t="n"/>
      <c r="K16" s="1491" t="n"/>
      <c r="L16" s="1491" t="n"/>
      <c r="M16" s="1491" t="n"/>
      <c r="N16" s="1491" t="n"/>
      <c r="O16" s="1491" t="n"/>
      <c r="P16" s="931" t="n"/>
      <c r="Q16" s="936" t="n"/>
      <c r="R16" s="937" t="n"/>
      <c r="S16" s="937" t="n"/>
      <c r="T16" s="622" t="n"/>
      <c r="U16" s="622" t="n"/>
      <c r="V16" s="622" t="n"/>
      <c r="W16" s="622" t="n"/>
      <c r="X16" s="622" t="n"/>
      <c r="Y16" s="622" t="n"/>
      <c r="Z16" s="622" t="n"/>
      <c r="AA16" s="622" t="n"/>
      <c r="AB16" s="622" t="n"/>
      <c r="AC16" s="622" t="n"/>
      <c r="AD16" s="622" t="n"/>
      <c r="AE16" s="622" t="n"/>
      <c r="AF16" s="622" t="n"/>
      <c r="AG16" s="622" t="n"/>
      <c r="AH16" s="622" t="n"/>
      <c r="AI16" s="622" t="n"/>
      <c r="AJ16" s="622" t="n"/>
      <c r="AK16" s="622" t="n"/>
      <c r="AL16" s="622" t="n"/>
      <c r="AM16" s="622" t="n"/>
      <c r="AN16" s="622" t="n"/>
      <c r="AO16" s="622" t="n"/>
      <c r="AP16" s="622" t="n"/>
      <c r="AQ16" s="622" t="n"/>
      <c r="AR16" s="622" t="n"/>
      <c r="AS16" s="622" t="n"/>
      <c r="AT16" s="622" t="n"/>
      <c r="AU16" s="622" t="n"/>
      <c r="AV16" s="622" t="n"/>
      <c r="AW16" s="622" t="n"/>
      <c r="AX16" s="622" t="n"/>
      <c r="AY16" s="622" t="n"/>
    </row>
    <row r="17" ht="15" customHeight="1" s="8286">
      <c r="A17" s="9593" t="inlineStr">
        <is>
          <t>ACTIVIDAD</t>
        </is>
      </c>
      <c r="B17" s="9593" t="inlineStr">
        <is>
          <t>RESULTADO</t>
        </is>
      </c>
      <c r="C17" s="9629" t="inlineStr">
        <is>
          <t xml:space="preserve">TOTAL    </t>
        </is>
      </c>
      <c r="D17" s="9602" t="n"/>
      <c r="E17" s="9630" t="n"/>
      <c r="F17" s="7180" t="inlineStr">
        <is>
          <t>RANGO ETARIO Y SEXO</t>
        </is>
      </c>
      <c r="G17" s="9617" t="n"/>
      <c r="H17" s="9617" t="n"/>
      <c r="I17" s="9617" t="n"/>
      <c r="J17" s="9617" t="n"/>
      <c r="K17" s="9617" t="n"/>
      <c r="L17" s="9617" t="n"/>
      <c r="M17" s="9617" t="n"/>
      <c r="N17" s="9617" t="n"/>
      <c r="O17" s="9617" t="n"/>
      <c r="P17" s="9617" t="n"/>
      <c r="Q17" s="9617" t="n"/>
      <c r="R17" s="9635" t="inlineStr">
        <is>
          <t>Pueblos Originarios</t>
        </is>
      </c>
      <c r="S17" s="7632" t="inlineStr">
        <is>
          <t>Migrantes</t>
        </is>
      </c>
      <c r="T17" s="622" t="n"/>
      <c r="U17" s="622" t="n"/>
      <c r="V17" s="622" t="n"/>
      <c r="W17" s="622" t="n"/>
      <c r="X17" s="622" t="n"/>
      <c r="Y17" s="622" t="n"/>
      <c r="Z17" s="622" t="n"/>
      <c r="AA17" s="622" t="n"/>
      <c r="AB17" s="622" t="n"/>
      <c r="AC17" s="622" t="n"/>
      <c r="AD17" s="622" t="n"/>
      <c r="AE17" s="622" t="n"/>
      <c r="AF17" s="622" t="n"/>
      <c r="AG17" s="622" t="n"/>
      <c r="AH17" s="622" t="n"/>
      <c r="AI17" s="622" t="n"/>
      <c r="AJ17" s="622" t="n"/>
      <c r="AK17" s="622" t="n"/>
      <c r="AL17" s="622" t="n"/>
      <c r="AM17" s="622" t="n"/>
      <c r="AN17" s="622" t="n"/>
      <c r="AO17" s="622" t="n"/>
      <c r="AP17" s="622" t="n"/>
      <c r="AQ17" s="622" t="n"/>
      <c r="AR17" s="622" t="n"/>
      <c r="AS17" s="622" t="n"/>
      <c r="AT17" s="622" t="n"/>
      <c r="AU17" s="622" t="n"/>
      <c r="AV17" s="622" t="n"/>
      <c r="AW17" s="622" t="n"/>
      <c r="AX17" s="622" t="n"/>
      <c r="AY17" s="622" t="n"/>
    </row>
    <row r="18" ht="15" customHeight="1" s="8286">
      <c r="A18" s="9588" t="n"/>
      <c r="B18" s="9588" t="n"/>
      <c r="C18" s="9638" t="n"/>
      <c r="D18" s="9697" t="n"/>
      <c r="E18" s="9639" t="n"/>
      <c r="F18" s="9631" t="inlineStr">
        <is>
          <t>Menos de 7 meses</t>
        </is>
      </c>
      <c r="G18" s="9632" t="n"/>
      <c r="H18" s="9631" t="inlineStr">
        <is>
          <t>7 - 11 meses</t>
        </is>
      </c>
      <c r="I18" s="9632" t="n"/>
      <c r="J18" s="9631" t="inlineStr">
        <is>
          <t>12 - 17 meses</t>
        </is>
      </c>
      <c r="K18" s="9632" t="n"/>
      <c r="L18" s="9631" t="inlineStr">
        <is>
          <t>18 - 23 meses</t>
        </is>
      </c>
      <c r="M18" s="9632" t="n"/>
      <c r="N18" s="9631" t="inlineStr">
        <is>
          <t>24 - 47 meses</t>
        </is>
      </c>
      <c r="O18" s="9632" t="n"/>
      <c r="P18" s="9701" t="inlineStr">
        <is>
          <t>48 - 59 meses</t>
        </is>
      </c>
      <c r="Q18" s="9617" t="n"/>
      <c r="R18" s="9656" t="n"/>
      <c r="S18" s="9614" t="n"/>
      <c r="T18" s="622" t="n"/>
      <c r="U18" s="622" t="n"/>
      <c r="V18" s="622" t="n"/>
      <c r="W18" s="622" t="n"/>
      <c r="X18" s="622" t="n"/>
      <c r="Y18" s="622" t="n"/>
      <c r="Z18" s="622" t="n"/>
      <c r="AA18" s="622" t="n"/>
      <c r="AB18" s="622" t="n"/>
      <c r="AC18" s="622" t="n"/>
      <c r="AD18" s="622" t="n"/>
      <c r="AE18" s="622" t="n"/>
      <c r="AF18" s="622" t="n"/>
      <c r="AG18" s="622" t="n"/>
      <c r="AH18" s="622" t="n"/>
      <c r="AI18" s="622" t="n"/>
      <c r="AJ18" s="622" t="n"/>
      <c r="AK18" s="622" t="n"/>
      <c r="AL18" s="622" t="n"/>
      <c r="AM18" s="622" t="n"/>
      <c r="AN18" s="622" t="n"/>
      <c r="AO18" s="622" t="n"/>
      <c r="AP18" s="622" t="n"/>
      <c r="AQ18" s="622" t="n"/>
      <c r="AR18" s="622" t="n"/>
      <c r="AS18" s="622" t="n"/>
      <c r="AT18" s="622" t="n"/>
      <c r="AU18" s="622" t="n"/>
      <c r="AV18" s="622" t="n"/>
      <c r="AW18" s="622" t="n"/>
      <c r="AX18" s="622" t="n"/>
      <c r="AY18" s="622" t="n"/>
    </row>
    <row r="19" ht="15" customHeight="1" s="8286">
      <c r="A19" s="9589" t="n"/>
      <c r="B19" s="9589" t="n"/>
      <c r="C19" s="7265" t="inlineStr">
        <is>
          <t>Ambos Sexos</t>
        </is>
      </c>
      <c r="D19" s="7383" t="inlineStr">
        <is>
          <t>Hombres</t>
        </is>
      </c>
      <c r="E19" s="7280" t="inlineStr">
        <is>
          <t>Mujeres</t>
        </is>
      </c>
      <c r="F19" s="1500" t="inlineStr">
        <is>
          <t>Hombres</t>
        </is>
      </c>
      <c r="G19" s="7280" t="inlineStr">
        <is>
          <t>Mujeres</t>
        </is>
      </c>
      <c r="H19" s="1500" t="inlineStr">
        <is>
          <t>Hombres</t>
        </is>
      </c>
      <c r="I19" s="7280" t="inlineStr">
        <is>
          <t>Mujeres</t>
        </is>
      </c>
      <c r="J19" s="1500" t="inlineStr">
        <is>
          <t>Hombres</t>
        </is>
      </c>
      <c r="K19" s="7280" t="inlineStr">
        <is>
          <t>Mujeres</t>
        </is>
      </c>
      <c r="L19" s="1500" t="inlineStr">
        <is>
          <t>Hombres</t>
        </is>
      </c>
      <c r="M19" s="7280" t="inlineStr">
        <is>
          <t>Mujeres</t>
        </is>
      </c>
      <c r="N19" s="1500" t="inlineStr">
        <is>
          <t>Hombres</t>
        </is>
      </c>
      <c r="O19" s="7280" t="inlineStr">
        <is>
          <t>Mujeres</t>
        </is>
      </c>
      <c r="P19" s="1500" t="inlineStr">
        <is>
          <t>Hombres</t>
        </is>
      </c>
      <c r="Q19" s="7275" t="inlineStr">
        <is>
          <t>Mujeres</t>
        </is>
      </c>
      <c r="R19" s="9640" t="n"/>
      <c r="S19" s="9610" t="n"/>
      <c r="T19" s="622" t="n"/>
      <c r="U19" s="622" t="n"/>
      <c r="V19" s="622" t="n"/>
      <c r="W19" s="622" t="n"/>
      <c r="X19" s="622" t="n"/>
      <c r="Y19" s="622" t="n"/>
      <c r="Z19" s="622" t="n"/>
      <c r="AA19" s="622" t="n"/>
      <c r="AB19" s="622" t="n"/>
      <c r="AC19" s="622" t="n"/>
      <c r="AD19" s="622" t="n"/>
      <c r="AE19" s="622" t="n"/>
      <c r="AF19" s="622" t="n"/>
      <c r="AG19" s="622" t="n"/>
      <c r="AH19" s="622" t="n"/>
      <c r="AI19" s="622" t="n"/>
      <c r="AJ19" s="622" t="n"/>
      <c r="AK19" s="622" t="n"/>
      <c r="AL19" s="622" t="n"/>
      <c r="AM19" s="622" t="n"/>
      <c r="AN19" s="622" t="n"/>
      <c r="AO19" s="622" t="n"/>
      <c r="AP19" s="622" t="n"/>
      <c r="AQ19" s="622" t="n"/>
      <c r="AR19" s="622" t="n"/>
      <c r="AS19" s="622" t="n"/>
      <c r="AT19" s="622" t="n"/>
      <c r="AU19" s="622" t="n"/>
      <c r="AV19" s="622" t="n"/>
      <c r="AW19" s="622" t="n"/>
      <c r="AX19" s="622" t="n"/>
      <c r="AY19" s="622" t="n"/>
    </row>
    <row r="20" ht="15" customHeight="1" s="8286">
      <c r="A20" s="9702" t="inlineStr">
        <is>
          <t xml:space="preserve">Aplicación test de Desarrollo Psicomotor </t>
        </is>
      </c>
      <c r="B20" s="9632" t="n"/>
      <c r="C20" s="1525">
        <f>SUM(D20+E20)</f>
        <v/>
      </c>
      <c r="D20" s="1526">
        <f>SUM(F20+H20+J20+L20+N20+P20)</f>
        <v/>
      </c>
      <c r="E20" s="1527">
        <f>SUM(G20+I20+K20+M20+O20+Q20)</f>
        <v/>
      </c>
      <c r="F20" s="1506" t="n">
        <v>0</v>
      </c>
      <c r="G20" s="1528" t="n">
        <v>0</v>
      </c>
      <c r="H20" s="1506" t="n">
        <v>16</v>
      </c>
      <c r="I20" s="1528" t="n">
        <v>15</v>
      </c>
      <c r="J20" s="1506" t="n">
        <v>1</v>
      </c>
      <c r="K20" s="1528" t="n">
        <v>0</v>
      </c>
      <c r="L20" s="1506" t="n">
        <v>11</v>
      </c>
      <c r="M20" s="1528" t="n">
        <v>18</v>
      </c>
      <c r="N20" s="1506" t="n">
        <v>9</v>
      </c>
      <c r="O20" s="1528" t="n">
        <v>4</v>
      </c>
      <c r="P20" s="1506" t="n">
        <v>0</v>
      </c>
      <c r="Q20" s="1529" t="n">
        <v>0</v>
      </c>
      <c r="R20" s="5287" t="n">
        <v>2</v>
      </c>
      <c r="S20" s="5293" t="n">
        <v>1</v>
      </c>
      <c r="T20" s="938">
        <f>$CA20&amp;CB20</f>
        <v/>
      </c>
      <c r="U20" s="939" t="n"/>
      <c r="V20" s="939" t="n"/>
      <c r="W20" s="939" t="n"/>
      <c r="X20" s="939" t="n"/>
      <c r="Y20" s="939" t="n"/>
      <c r="Z20" s="939" t="n"/>
      <c r="AA20" s="939" t="n"/>
      <c r="AB20" s="939" t="n"/>
      <c r="AC20" s="939" t="n"/>
      <c r="AD20" s="939" t="n"/>
      <c r="AE20" s="939" t="n"/>
      <c r="AF20" s="939" t="n"/>
      <c r="AG20" s="939" t="n"/>
      <c r="AH20" s="939" t="n"/>
      <c r="AI20" s="939" t="n"/>
      <c r="AJ20" s="939" t="n"/>
      <c r="AK20" s="939" t="n"/>
      <c r="AL20" s="939" t="n"/>
      <c r="AM20" s="939" t="n"/>
      <c r="AN20" s="939" t="n"/>
      <c r="AO20" s="939" t="n"/>
      <c r="AP20" s="939" t="n"/>
      <c r="AQ20" s="939" t="n"/>
      <c r="AR20" s="939" t="n"/>
      <c r="AS20" s="939" t="n"/>
      <c r="AT20" s="939" t="n"/>
      <c r="AU20" s="939" t="n"/>
      <c r="AV20" s="939" t="n"/>
      <c r="AW20" s="939" t="n"/>
      <c r="AX20" s="939" t="n"/>
      <c r="AY20" s="940" t="n"/>
      <c r="AZ20" s="239" t="n"/>
      <c r="BA20" s="239" t="n"/>
      <c r="BB20" s="239" t="n"/>
      <c r="BC20" s="239" t="n"/>
      <c r="BD20" s="239" t="n"/>
      <c r="BE20" s="239" t="n"/>
      <c r="BF20" s="239" t="n"/>
      <c r="BG20" s="239" t="n"/>
      <c r="BH20" s="239" t="n"/>
      <c r="BI20" s="239" t="n"/>
      <c r="BJ20" s="239" t="n"/>
      <c r="BK20" s="239" t="n"/>
      <c r="BL20" s="239" t="n"/>
      <c r="BM20" s="239" t="n"/>
      <c r="BN20" s="239" t="n"/>
      <c r="BO20" s="239" t="n"/>
      <c r="BP20" s="239" t="n"/>
      <c r="BQ20" s="239" t="n"/>
      <c r="BR20" s="239" t="n"/>
      <c r="BS20" s="239" t="n"/>
      <c r="BT20" s="239" t="n"/>
      <c r="BU20" s="239" t="n"/>
      <c r="BV20" s="239" t="n"/>
      <c r="BW20" s="239" t="n"/>
      <c r="BX20" s="239" t="n"/>
      <c r="BY20" s="239" t="n"/>
      <c r="BZ20" s="239" t="n"/>
      <c r="CA20" s="240">
        <f>IF(AND($C20&lt;&gt;0,R20=""),"* No olvide ingresar la variable "&amp;R$17&amp;""&amp;". Digite CERO si no tiene. ",IF(R20&gt;$C20,"* La variable Pueblos Originarios no debe ser mayor al Total Ambos Sexos. ",""))</f>
        <v/>
      </c>
      <c r="CB20" s="240">
        <f>IF(AND($C20&lt;&gt;0,S20=""),"* No olvide ingresar la variable "&amp;S$17&amp;""&amp;". Digite CERO si no tiene. ",IF(S20&gt;$C20,"* La variable Migrantes no debe ser mayor al Total Ambos Sexos. ",""))</f>
        <v/>
      </c>
      <c r="CC20" s="239" t="n"/>
      <c r="CD20" s="239" t="n"/>
      <c r="CE20" s="64" t="n"/>
      <c r="CF20" s="64" t="n"/>
      <c r="CG20" s="64" t="n"/>
      <c r="CH20" s="64" t="n"/>
      <c r="CI20" s="64" t="n"/>
      <c r="CK20" s="29">
        <f>IF(AND($C20&lt;&gt;0,R20=""),1,IF(R20&gt;$C20,1,0))</f>
        <v/>
      </c>
      <c r="CL20" s="29">
        <f>IF(AND($C20&lt;&gt;0,S20=""),1,IF(S20&gt;$C20,1,0))</f>
        <v/>
      </c>
    </row>
    <row r="21" ht="15" customHeight="1" s="8286">
      <c r="A21" s="9612" t="inlineStr">
        <is>
          <t xml:space="preserve">Primera Evaluación </t>
        </is>
      </c>
      <c r="B21" s="7198" t="inlineStr">
        <is>
          <t>Normal</t>
        </is>
      </c>
      <c r="C21" s="1509">
        <f>SUM(D21+E21)</f>
        <v/>
      </c>
      <c r="D21" s="941">
        <f>SUM(F21+H21+J21+L21+N21+P21)</f>
        <v/>
      </c>
      <c r="E21" s="1510">
        <f>SUM(G21+I21+K21+M21+O21+Q21)</f>
        <v/>
      </c>
      <c r="F21" s="942" t="n">
        <v>0</v>
      </c>
      <c r="G21" s="943" t="n">
        <v>0</v>
      </c>
      <c r="H21" s="942" t="n">
        <v>16</v>
      </c>
      <c r="I21" s="943" t="n">
        <v>15</v>
      </c>
      <c r="J21" s="942" t="n">
        <v>0</v>
      </c>
      <c r="K21" s="943" t="n">
        <v>0</v>
      </c>
      <c r="L21" s="942" t="n">
        <v>11</v>
      </c>
      <c r="M21" s="943" t="n">
        <v>16</v>
      </c>
      <c r="N21" s="1532" t="n">
        <v>6</v>
      </c>
      <c r="O21" s="943" t="n">
        <v>2</v>
      </c>
      <c r="P21" s="1532" t="n">
        <v>0</v>
      </c>
      <c r="Q21" s="1533" t="n">
        <v>0</v>
      </c>
      <c r="R21" s="5288" t="n">
        <v>2</v>
      </c>
      <c r="S21" s="1645" t="n">
        <v>1</v>
      </c>
      <c r="T21" s="938">
        <f>$CA21&amp;CB21</f>
        <v/>
      </c>
      <c r="U21" s="939" t="n"/>
      <c r="V21" s="939" t="n"/>
      <c r="W21" s="939" t="n"/>
      <c r="X21" s="939" t="n"/>
      <c r="Y21" s="939" t="n"/>
      <c r="Z21" s="939" t="n"/>
      <c r="AA21" s="939" t="n"/>
      <c r="AB21" s="939" t="n"/>
      <c r="AC21" s="939" t="n"/>
      <c r="AD21" s="939" t="n"/>
      <c r="AE21" s="939" t="n"/>
      <c r="AF21" s="939" t="n"/>
      <c r="AG21" s="939" t="n"/>
      <c r="AH21" s="939" t="n"/>
      <c r="AI21" s="939" t="n"/>
      <c r="AJ21" s="939" t="n"/>
      <c r="AK21" s="939" t="n"/>
      <c r="AL21" s="939" t="n"/>
      <c r="AM21" s="939" t="n"/>
      <c r="AN21" s="939" t="n"/>
      <c r="AO21" s="939" t="n"/>
      <c r="AP21" s="939" t="n"/>
      <c r="AQ21" s="939" t="n"/>
      <c r="AR21" s="939" t="n"/>
      <c r="AS21" s="939" t="n"/>
      <c r="AT21" s="939" t="n"/>
      <c r="AU21" s="939" t="n"/>
      <c r="AV21" s="939" t="n"/>
      <c r="AW21" s="939" t="n"/>
      <c r="AX21" s="939" t="n"/>
      <c r="AY21" s="940" t="n"/>
      <c r="AZ21" s="239" t="n"/>
      <c r="BA21" s="239" t="n"/>
      <c r="BB21" s="239" t="n"/>
      <c r="BC21" s="239" t="n"/>
      <c r="BD21" s="239" t="n"/>
      <c r="BE21" s="239" t="n"/>
      <c r="BF21" s="239" t="n"/>
      <c r="BG21" s="239" t="n"/>
      <c r="BH21" s="239" t="n"/>
      <c r="BI21" s="239" t="n"/>
      <c r="BJ21" s="239" t="n"/>
      <c r="BK21" s="239" t="n"/>
      <c r="BL21" s="239" t="n"/>
      <c r="BM21" s="239" t="n"/>
      <c r="BN21" s="239" t="n"/>
      <c r="BO21" s="239" t="n"/>
      <c r="BP21" s="239" t="n"/>
      <c r="BQ21" s="239" t="n"/>
      <c r="BR21" s="239" t="n"/>
      <c r="BS21" s="239" t="n"/>
      <c r="BT21" s="239" t="n"/>
      <c r="BU21" s="239" t="n"/>
      <c r="BV21" s="239" t="n"/>
      <c r="BW21" s="239" t="n"/>
      <c r="BX21" s="239" t="n"/>
      <c r="BY21" s="239" t="n"/>
      <c r="BZ21" s="239" t="n"/>
      <c r="CA21" s="240">
        <f>IF(AND($C21&lt;&gt;0,R21=""),"* No olvide ingresar la variable "&amp;R$17&amp;""&amp;". Digite CERO si no tiene. ",IF(R21&gt;$C21,"* La variable Pueblos Originarios no debe ser mayor al Total Ambos Sexos. ",""))</f>
        <v/>
      </c>
      <c r="CB21" s="240">
        <f>IF(AND($C21&lt;&gt;0,S21=""),"* No olvide ingresar la variable "&amp;S$17&amp;""&amp;". Digite CERO si no tiene. ",IF(S21&gt;$C21,"* La variable Migrantes no debe ser mayor al Total Ambos Sexos. ",""))</f>
        <v/>
      </c>
      <c r="CC21" s="239" t="n"/>
      <c r="CD21" s="239" t="n"/>
      <c r="CE21" s="64" t="n"/>
      <c r="CF21" s="64" t="n"/>
      <c r="CG21" s="64" t="n"/>
      <c r="CH21" s="64" t="n"/>
      <c r="CI21" s="64" t="n"/>
      <c r="CK21" s="29">
        <f>IF(AND($C21&lt;&gt;0,R21=""),1,IF(R21&gt;$C21,1,0))</f>
        <v/>
      </c>
      <c r="CL21" s="29">
        <f>IF(AND($C21&lt;&gt;0,S21=""),1,IF(S21&gt;$C21,1,0))</f>
        <v/>
      </c>
    </row>
    <row r="22" ht="15" customHeight="1" s="8286">
      <c r="A22" s="9588" t="n"/>
      <c r="B22" s="7199" t="inlineStr">
        <is>
          <t>Normal con Rezago</t>
        </is>
      </c>
      <c r="C22" s="1537">
        <f>SUM(D22+E22)</f>
        <v/>
      </c>
      <c r="D22" s="944">
        <f>SUM(F22+H22+J22+L22+N22+P22)</f>
        <v/>
      </c>
      <c r="E22" s="1538">
        <f>SUM(G22+I22+K22+M22+O22+Q22)</f>
        <v/>
      </c>
      <c r="F22" s="1539" t="n">
        <v>0</v>
      </c>
      <c r="G22" s="1540" t="n">
        <v>0</v>
      </c>
      <c r="H22" s="942" t="n">
        <v>0</v>
      </c>
      <c r="I22" s="943" t="n">
        <v>0</v>
      </c>
      <c r="J22" s="1539" t="n">
        <v>0</v>
      </c>
      <c r="K22" s="1540" t="n">
        <v>0</v>
      </c>
      <c r="L22" s="1539" t="n">
        <v>0</v>
      </c>
      <c r="M22" s="1540" t="n">
        <v>0</v>
      </c>
      <c r="N22" s="1541" t="n">
        <v>2</v>
      </c>
      <c r="O22" s="1540" t="n">
        <v>1</v>
      </c>
      <c r="P22" s="1541" t="n">
        <v>0</v>
      </c>
      <c r="Q22" s="1542" t="n">
        <v>0</v>
      </c>
      <c r="R22" s="5289" t="n">
        <v>0</v>
      </c>
      <c r="S22" s="5294" t="n">
        <v>0</v>
      </c>
      <c r="T22" s="938">
        <f>$CA22&amp;CB22</f>
        <v/>
      </c>
      <c r="U22" s="939" t="n"/>
      <c r="V22" s="939" t="n"/>
      <c r="W22" s="939" t="n"/>
      <c r="X22" s="939" t="n"/>
      <c r="Y22" s="939" t="n"/>
      <c r="Z22" s="939" t="n"/>
      <c r="AA22" s="939" t="n"/>
      <c r="AB22" s="939" t="n"/>
      <c r="AC22" s="939" t="n"/>
      <c r="AD22" s="939" t="n"/>
      <c r="AE22" s="939" t="n"/>
      <c r="AF22" s="939" t="n"/>
      <c r="AG22" s="939" t="n"/>
      <c r="AH22" s="939" t="n"/>
      <c r="AI22" s="939" t="n"/>
      <c r="AJ22" s="939" t="n"/>
      <c r="AK22" s="939" t="n"/>
      <c r="AL22" s="939" t="n"/>
      <c r="AM22" s="939" t="n"/>
      <c r="AN22" s="939" t="n"/>
      <c r="AO22" s="939" t="n"/>
      <c r="AP22" s="939" t="n"/>
      <c r="AQ22" s="939" t="n"/>
      <c r="AR22" s="939" t="n"/>
      <c r="AS22" s="939" t="n"/>
      <c r="AT22" s="939" t="n"/>
      <c r="AU22" s="939" t="n"/>
      <c r="AV22" s="939" t="n"/>
      <c r="AW22" s="939" t="n"/>
      <c r="AX22" s="939" t="n"/>
      <c r="AY22" s="940" t="n"/>
      <c r="AZ22" s="239" t="n"/>
      <c r="BA22" s="239" t="n"/>
      <c r="BB22" s="239" t="n"/>
      <c r="BC22" s="239" t="n"/>
      <c r="BD22" s="239" t="n"/>
      <c r="BE22" s="239" t="n"/>
      <c r="BF22" s="239" t="n"/>
      <c r="BG22" s="239" t="n"/>
      <c r="BH22" s="239" t="n"/>
      <c r="BI22" s="239" t="n"/>
      <c r="BJ22" s="239" t="n"/>
      <c r="BK22" s="239" t="n"/>
      <c r="BL22" s="239" t="n"/>
      <c r="BM22" s="239" t="n"/>
      <c r="BN22" s="239" t="n"/>
      <c r="BO22" s="239" t="n"/>
      <c r="BP22" s="239" t="n"/>
      <c r="BQ22" s="239" t="n"/>
      <c r="BR22" s="239" t="n"/>
      <c r="BS22" s="239" t="n"/>
      <c r="BT22" s="239" t="n"/>
      <c r="BU22" s="239" t="n"/>
      <c r="BV22" s="239" t="n"/>
      <c r="BW22" s="239" t="n"/>
      <c r="BX22" s="239" t="n"/>
      <c r="BY22" s="239" t="n"/>
      <c r="BZ22" s="239" t="n"/>
      <c r="CA22" s="240">
        <f>IF(AND($C22&lt;&gt;0,R22=""),"* No olvide ingresar la variable "&amp;R$17&amp;""&amp;". Digite CERO si no tiene. ",IF(R22&gt;$C22,"* La variable Pueblos Originarios no debe ser mayor al Total Ambos Sexos. ",""))</f>
        <v/>
      </c>
      <c r="CB22" s="240">
        <f>IF(AND($C22&lt;&gt;0,S22=""),"* No olvide ingresar la variable "&amp;S$17&amp;""&amp;". Digite CERO si no tiene. ",IF(S22&gt;$C22,"* La variable Migrantes no debe ser mayor al Total Ambos Sexos. ",""))</f>
        <v/>
      </c>
      <c r="CC22" s="239" t="n"/>
      <c r="CD22" s="239" t="n"/>
      <c r="CE22" s="64" t="n"/>
      <c r="CF22" s="64" t="n"/>
      <c r="CG22" s="64" t="n"/>
      <c r="CH22" s="64" t="n"/>
      <c r="CI22" s="64" t="n"/>
      <c r="CK22" s="29">
        <f>IF(AND($C22&lt;&gt;0,R22=""),1,IF(R22&gt;$C22,1,0))</f>
        <v/>
      </c>
      <c r="CL22" s="29">
        <f>IF(AND($C22&lt;&gt;0,S22=""),1,IF(S22&gt;$C22,1,0))</f>
        <v/>
      </c>
    </row>
    <row r="23" ht="15" customHeight="1" s="8286">
      <c r="A23" s="9588" t="n"/>
      <c r="B23" s="7468" t="inlineStr">
        <is>
          <t>Riesgo</t>
        </is>
      </c>
      <c r="C23" s="1546">
        <f>SUM(D23+E23)</f>
        <v/>
      </c>
      <c r="D23" s="1547">
        <f>SUM(F23+H23+J23+L23+N23+P23)</f>
        <v/>
      </c>
      <c r="E23" s="1548">
        <f>SUM(G23+I23+K23+M23+O23+Q23)</f>
        <v/>
      </c>
      <c r="F23" s="1539" t="n">
        <v>0</v>
      </c>
      <c r="G23" s="1540" t="n">
        <v>0</v>
      </c>
      <c r="H23" s="942" t="n">
        <v>0</v>
      </c>
      <c r="I23" s="943" t="n">
        <v>0</v>
      </c>
      <c r="J23" s="1539" t="n">
        <v>1</v>
      </c>
      <c r="K23" s="1540" t="n">
        <v>0</v>
      </c>
      <c r="L23" s="1539" t="n">
        <v>0</v>
      </c>
      <c r="M23" s="1540" t="n">
        <v>1</v>
      </c>
      <c r="N23" s="1541" t="n">
        <v>0</v>
      </c>
      <c r="O23" s="1540" t="n">
        <v>0</v>
      </c>
      <c r="P23" s="1541" t="n">
        <v>0</v>
      </c>
      <c r="Q23" s="1542" t="n">
        <v>0</v>
      </c>
      <c r="R23" s="5289" t="n">
        <v>0</v>
      </c>
      <c r="S23" s="5294" t="n">
        <v>0</v>
      </c>
      <c r="T23" s="938">
        <f>$CA23&amp;CB23</f>
        <v/>
      </c>
      <c r="U23" s="939" t="n"/>
      <c r="V23" s="939" t="n"/>
      <c r="W23" s="939" t="n"/>
      <c r="X23" s="939" t="n"/>
      <c r="Y23" s="939" t="n"/>
      <c r="Z23" s="939" t="n"/>
      <c r="AA23" s="939" t="n"/>
      <c r="AB23" s="939" t="n"/>
      <c r="AC23" s="939" t="n"/>
      <c r="AD23" s="939" t="n"/>
      <c r="AE23" s="939" t="n"/>
      <c r="AF23" s="939" t="n"/>
      <c r="AG23" s="939" t="n"/>
      <c r="AH23" s="939" t="n"/>
      <c r="AI23" s="939" t="n"/>
      <c r="AJ23" s="939" t="n"/>
      <c r="AK23" s="939" t="n"/>
      <c r="AL23" s="939" t="n"/>
      <c r="AM23" s="939" t="n"/>
      <c r="AN23" s="939" t="n"/>
      <c r="AO23" s="939" t="n"/>
      <c r="AP23" s="939" t="n"/>
      <c r="AQ23" s="939" t="n"/>
      <c r="AR23" s="939" t="n"/>
      <c r="AS23" s="939" t="n"/>
      <c r="AT23" s="939" t="n"/>
      <c r="AU23" s="939" t="n"/>
      <c r="AV23" s="939" t="n"/>
      <c r="AW23" s="939" t="n"/>
      <c r="AX23" s="939" t="n"/>
      <c r="AY23" s="940" t="n"/>
      <c r="AZ23" s="239" t="n"/>
      <c r="BA23" s="239" t="n"/>
      <c r="BB23" s="239" t="n"/>
      <c r="BC23" s="239" t="n"/>
      <c r="BD23" s="239" t="n"/>
      <c r="BE23" s="239" t="n"/>
      <c r="BF23" s="239" t="n"/>
      <c r="BG23" s="239" t="n"/>
      <c r="BH23" s="239" t="n"/>
      <c r="BI23" s="239" t="n"/>
      <c r="BJ23" s="239" t="n"/>
      <c r="BK23" s="239" t="n"/>
      <c r="BL23" s="239" t="n"/>
      <c r="BM23" s="239" t="n"/>
      <c r="BN23" s="239" t="n"/>
      <c r="BO23" s="239" t="n"/>
      <c r="BP23" s="239" t="n"/>
      <c r="BQ23" s="239" t="n"/>
      <c r="BR23" s="239" t="n"/>
      <c r="BS23" s="239" t="n"/>
      <c r="BT23" s="239" t="n"/>
      <c r="BU23" s="239" t="n"/>
      <c r="BV23" s="239" t="n"/>
      <c r="BW23" s="239" t="n"/>
      <c r="BX23" s="239" t="n"/>
      <c r="BY23" s="239" t="n"/>
      <c r="BZ23" s="239" t="n"/>
      <c r="CA23" s="240">
        <f>IF(AND($C23&lt;&gt;0,R23=""),"* No olvide ingresar la variable "&amp;R$17&amp;""&amp;". Digite CERO si no tiene. ",IF(R23&gt;$C23,"* La variable Pueblos Originarios no debe ser mayor al Total Ambos Sexos. ",""))</f>
        <v/>
      </c>
      <c r="CB23" s="240">
        <f>IF(AND($C23&lt;&gt;0,S23=""),"* No olvide ingresar la variable "&amp;S$17&amp;""&amp;". Digite CERO si no tiene. ",IF(S23&gt;$C23,"* La variable Migrantes no debe ser mayor al Total Ambos Sexos. ",""))</f>
        <v/>
      </c>
      <c r="CC23" s="239" t="n"/>
      <c r="CD23" s="239" t="n"/>
      <c r="CE23" s="64" t="n"/>
      <c r="CF23" s="64" t="n"/>
      <c r="CG23" s="64" t="n"/>
      <c r="CH23" s="64" t="n"/>
      <c r="CI23" s="64" t="n"/>
      <c r="CK23" s="29">
        <f>IF(AND($C23&lt;&gt;0,R23=""),1,IF(R23&gt;$C23,1,0))</f>
        <v/>
      </c>
      <c r="CL23" s="29">
        <f>IF(AND($C23&lt;&gt;0,S23=""),1,IF(S23&gt;$C23,1,0))</f>
        <v/>
      </c>
    </row>
    <row r="24" ht="15" customHeight="1" s="8286">
      <c r="A24" s="9589" t="n"/>
      <c r="B24" s="7469" t="inlineStr">
        <is>
          <t>Retraso</t>
        </is>
      </c>
      <c r="C24" s="1514">
        <f>SUM(D24+E24)</f>
        <v/>
      </c>
      <c r="D24" s="1549">
        <f>SUM(F24+H24+J24+L24+N24+P24)</f>
        <v/>
      </c>
      <c r="E24" s="1516">
        <f>SUM(G24+I24+K24+M24+O24+Q24)</f>
        <v/>
      </c>
      <c r="F24" s="1519" t="n">
        <v>0</v>
      </c>
      <c r="G24" s="1550" t="n">
        <v>0</v>
      </c>
      <c r="H24" s="1519" t="n">
        <v>0</v>
      </c>
      <c r="I24" s="1550" t="n">
        <v>0</v>
      </c>
      <c r="J24" s="1519" t="n">
        <v>0</v>
      </c>
      <c r="K24" s="1550" t="n">
        <v>0</v>
      </c>
      <c r="L24" s="1519" t="n">
        <v>0</v>
      </c>
      <c r="M24" s="1550" t="n">
        <v>1</v>
      </c>
      <c r="N24" s="1551" t="n">
        <v>0</v>
      </c>
      <c r="O24" s="1550" t="n">
        <v>0</v>
      </c>
      <c r="P24" s="1551" t="n">
        <v>0</v>
      </c>
      <c r="Q24" s="1552" t="n">
        <v>0</v>
      </c>
      <c r="R24" s="5290" t="n">
        <v>0</v>
      </c>
      <c r="S24" s="1649" t="n">
        <v>0</v>
      </c>
      <c r="T24" s="938">
        <f>$CA24&amp;CB24</f>
        <v/>
      </c>
      <c r="U24" s="939" t="n"/>
      <c r="V24" s="939" t="n"/>
      <c r="W24" s="939" t="n"/>
      <c r="X24" s="939" t="n"/>
      <c r="Y24" s="939" t="n"/>
      <c r="Z24" s="939" t="n"/>
      <c r="AA24" s="939" t="n"/>
      <c r="AB24" s="939" t="n"/>
      <c r="AC24" s="939" t="n"/>
      <c r="AD24" s="939" t="n"/>
      <c r="AE24" s="939" t="n"/>
      <c r="AF24" s="939" t="n"/>
      <c r="AG24" s="939" t="n"/>
      <c r="AH24" s="939" t="n"/>
      <c r="AI24" s="939" t="n"/>
      <c r="AJ24" s="939" t="n"/>
      <c r="AK24" s="939" t="n"/>
      <c r="AL24" s="939" t="n"/>
      <c r="AM24" s="939" t="n"/>
      <c r="AN24" s="939" t="n"/>
      <c r="AO24" s="939" t="n"/>
      <c r="AP24" s="939" t="n"/>
      <c r="AQ24" s="939" t="n"/>
      <c r="AR24" s="939" t="n"/>
      <c r="AS24" s="939" t="n"/>
      <c r="AT24" s="939" t="n"/>
      <c r="AU24" s="939" t="n"/>
      <c r="AV24" s="939" t="n"/>
      <c r="AW24" s="939" t="n"/>
      <c r="AX24" s="939" t="n"/>
      <c r="AY24" s="940" t="n"/>
      <c r="AZ24" s="239" t="n"/>
      <c r="BA24" s="239" t="n"/>
      <c r="BB24" s="239" t="n"/>
      <c r="BC24" s="239" t="n"/>
      <c r="BD24" s="239" t="n"/>
      <c r="BE24" s="239" t="n"/>
      <c r="BF24" s="239" t="n"/>
      <c r="BG24" s="239" t="n"/>
      <c r="BH24" s="239" t="n"/>
      <c r="BI24" s="239" t="n"/>
      <c r="BJ24" s="239" t="n"/>
      <c r="BK24" s="239" t="n"/>
      <c r="BL24" s="239" t="n"/>
      <c r="BM24" s="239" t="n"/>
      <c r="BN24" s="239" t="n"/>
      <c r="BO24" s="239" t="n"/>
      <c r="BP24" s="239" t="n"/>
      <c r="BQ24" s="239" t="n"/>
      <c r="BR24" s="239" t="n"/>
      <c r="BS24" s="239" t="n"/>
      <c r="BT24" s="239" t="n"/>
      <c r="BU24" s="239" t="n"/>
      <c r="BV24" s="239" t="n"/>
      <c r="BW24" s="239" t="n"/>
      <c r="BX24" s="239" t="n"/>
      <c r="BY24" s="239" t="n"/>
      <c r="BZ24" s="239" t="n"/>
      <c r="CA24" s="240">
        <f>IF(AND($C24&lt;&gt;0,R24=""),"* No olvide ingresar la variable "&amp;R$17&amp;""&amp;". Digite CERO si no tiene. ",IF(R24&gt;$C24,"* La variable Pueblos Originarios no debe ser mayor al Total Ambos Sexos. ",""))</f>
        <v/>
      </c>
      <c r="CB24" s="240">
        <f>IF(AND($C24&lt;&gt;0,S24=""),"* No olvide ingresar la variable "&amp;S$17&amp;""&amp;". Digite CERO si no tiene. ",IF(S24&gt;$C24,"* La variable Migrantes no debe ser mayor al Total Ambos Sexos. ",""))</f>
        <v/>
      </c>
      <c r="CC24" s="239" t="n"/>
      <c r="CD24" s="239" t="n"/>
      <c r="CE24" s="64" t="n"/>
      <c r="CF24" s="64" t="n"/>
      <c r="CG24" s="64" t="n"/>
      <c r="CH24" s="64" t="n"/>
      <c r="CI24" s="64" t="n"/>
      <c r="CK24" s="29">
        <f>IF(AND($C24&lt;&gt;0,R24=""),1,IF(R24&gt;$C24,1,0))</f>
        <v/>
      </c>
      <c r="CL24" s="29">
        <f>IF(AND($C24&lt;&gt;0,S24=""),1,IF(S24&gt;$C24,1,0))</f>
        <v/>
      </c>
    </row>
    <row r="25" ht="21" customHeight="1" s="8286">
      <c r="A25" s="9612" t="inlineStr">
        <is>
          <t>Reevaluación</t>
        </is>
      </c>
      <c r="B25" s="7198" t="inlineStr">
        <is>
          <t>Normal (desde normal con rezago)</t>
        </is>
      </c>
      <c r="C25" s="1509">
        <f>SUM(D25+E25)</f>
        <v/>
      </c>
      <c r="D25" s="941">
        <f>SUM(F25+H25+J25+L25+N25+P25)</f>
        <v/>
      </c>
      <c r="E25" s="1510">
        <f>SUM(G25+I25+K25+M25+O25+Q25)</f>
        <v/>
      </c>
      <c r="F25" s="1511" t="n">
        <v>0</v>
      </c>
      <c r="G25" s="1554" t="n">
        <v>0</v>
      </c>
      <c r="H25" s="1511" t="n">
        <v>0</v>
      </c>
      <c r="I25" s="1554" t="n">
        <v>0</v>
      </c>
      <c r="J25" s="1511" t="n">
        <v>0</v>
      </c>
      <c r="K25" s="1554" t="n">
        <v>0</v>
      </c>
      <c r="L25" s="1511" t="n">
        <v>0</v>
      </c>
      <c r="M25" s="1554" t="n">
        <v>0</v>
      </c>
      <c r="N25" s="1555" t="n">
        <v>0</v>
      </c>
      <c r="O25" s="1554" t="n">
        <v>1</v>
      </c>
      <c r="P25" s="1555" t="n">
        <v>0</v>
      </c>
      <c r="Q25" s="1556" t="n">
        <v>0</v>
      </c>
      <c r="R25" s="5291" t="n">
        <v>0</v>
      </c>
      <c r="S25" s="5295" t="n">
        <v>0</v>
      </c>
      <c r="T25" s="938">
        <f>$CA25&amp;CB25</f>
        <v/>
      </c>
      <c r="U25" s="939" t="n"/>
      <c r="V25" s="939" t="n"/>
      <c r="W25" s="939" t="n"/>
      <c r="X25" s="939" t="n"/>
      <c r="Y25" s="939" t="n"/>
      <c r="Z25" s="939" t="n"/>
      <c r="AA25" s="939" t="n"/>
      <c r="AB25" s="939" t="n"/>
      <c r="AC25" s="939" t="n"/>
      <c r="AD25" s="939" t="n"/>
      <c r="AE25" s="939" t="n"/>
      <c r="AF25" s="939" t="n"/>
      <c r="AG25" s="939" t="n"/>
      <c r="AH25" s="939" t="n"/>
      <c r="AI25" s="939" t="n"/>
      <c r="AJ25" s="939" t="n"/>
      <c r="AK25" s="939" t="n"/>
      <c r="AL25" s="939" t="n"/>
      <c r="AM25" s="939" t="n"/>
      <c r="AN25" s="939" t="n"/>
      <c r="AO25" s="939" t="n"/>
      <c r="AP25" s="939" t="n"/>
      <c r="AQ25" s="939" t="n"/>
      <c r="AR25" s="939" t="n"/>
      <c r="AS25" s="939" t="n"/>
      <c r="AT25" s="939" t="n"/>
      <c r="AU25" s="939" t="n"/>
      <c r="AV25" s="939" t="n"/>
      <c r="AW25" s="939" t="n"/>
      <c r="AX25" s="939" t="n"/>
      <c r="AY25" s="940" t="n"/>
      <c r="AZ25" s="239" t="n"/>
      <c r="BA25" s="239" t="n"/>
      <c r="BB25" s="239" t="n"/>
      <c r="BC25" s="239" t="n"/>
      <c r="BD25" s="239" t="n"/>
      <c r="BE25" s="239" t="n"/>
      <c r="BF25" s="239" t="n"/>
      <c r="BG25" s="239" t="n"/>
      <c r="BH25" s="239" t="n"/>
      <c r="BI25" s="239" t="n"/>
      <c r="BJ25" s="239" t="n"/>
      <c r="BK25" s="239" t="n"/>
      <c r="BL25" s="239" t="n"/>
      <c r="BM25" s="239" t="n"/>
      <c r="BN25" s="239" t="n"/>
      <c r="BO25" s="239" t="n"/>
      <c r="BP25" s="239" t="n"/>
      <c r="BQ25" s="239" t="n"/>
      <c r="BR25" s="239" t="n"/>
      <c r="BS25" s="239" t="n"/>
      <c r="BT25" s="239" t="n"/>
      <c r="BU25" s="239" t="n"/>
      <c r="BV25" s="239" t="n"/>
      <c r="BW25" s="239" t="n"/>
      <c r="BX25" s="239" t="n"/>
      <c r="BY25" s="239" t="n"/>
      <c r="BZ25" s="239" t="n"/>
      <c r="CA25" s="240">
        <f>IF(AND($C25&lt;&gt;0,R25=""),"* No olvide ingresar la variable "&amp;R$17&amp;""&amp;". Digite CERO si no tiene. ",IF(R25&gt;$C25,"* La variable Pueblos Originarios no debe ser mayor al Total Ambos Sexos. ",""))</f>
        <v/>
      </c>
      <c r="CB25" s="240">
        <f>IF(AND($C25&lt;&gt;0,S25=""),"* No olvide ingresar la variable "&amp;S$17&amp;""&amp;". Digite CERO si no tiene. ",IF(S25&gt;$C25,"* La variable Migrantes no debe ser mayor al Total Ambos Sexos. ",""))</f>
        <v/>
      </c>
      <c r="CC25" s="239" t="n"/>
      <c r="CD25" s="239" t="n"/>
      <c r="CE25" s="64" t="n"/>
      <c r="CF25" s="64" t="n"/>
      <c r="CG25" s="64" t="n"/>
      <c r="CH25" s="64" t="n"/>
      <c r="CI25" s="64" t="n"/>
      <c r="CK25" s="29">
        <f>IF(AND($C25&lt;&gt;0,R25=""),1,IF(R25&gt;$C25,1,0))</f>
        <v/>
      </c>
      <c r="CL25" s="29">
        <f>IF(AND($C25&lt;&gt;0,S25=""),1,IF(S25&gt;$C25,1,0))</f>
        <v/>
      </c>
    </row>
    <row r="26" ht="15" customHeight="1" s="8286">
      <c r="A26" s="9588" t="n"/>
      <c r="B26" s="1557" t="inlineStr">
        <is>
          <t>Normal (desde riesgo)</t>
        </is>
      </c>
      <c r="C26" s="1537">
        <f>SUM(D26+E26)</f>
        <v/>
      </c>
      <c r="D26" s="944">
        <f>SUM(F26+H26+J26+L26+N26+P26)</f>
        <v/>
      </c>
      <c r="E26" s="1538">
        <f>SUM(G26+I26+K26+M26+O26+Q26)</f>
        <v/>
      </c>
      <c r="F26" s="942" t="n">
        <v>0</v>
      </c>
      <c r="G26" s="943" t="n">
        <v>0</v>
      </c>
      <c r="H26" s="942" t="n">
        <v>0</v>
      </c>
      <c r="I26" s="943" t="n">
        <v>0</v>
      </c>
      <c r="J26" s="942" t="n">
        <v>0</v>
      </c>
      <c r="K26" s="943" t="n">
        <v>0</v>
      </c>
      <c r="L26" s="942" t="n">
        <v>0</v>
      </c>
      <c r="M26" s="943" t="n">
        <v>0</v>
      </c>
      <c r="N26" s="1532" t="n">
        <v>0</v>
      </c>
      <c r="O26" s="943" t="n">
        <v>0</v>
      </c>
      <c r="P26" s="1532" t="n">
        <v>0</v>
      </c>
      <c r="Q26" s="1533" t="n">
        <v>0</v>
      </c>
      <c r="R26" s="5288" t="n">
        <v>0</v>
      </c>
      <c r="S26" s="1645" t="n">
        <v>0</v>
      </c>
      <c r="T26" s="938">
        <f>$CA26&amp;CB26</f>
        <v/>
      </c>
      <c r="U26" s="939" t="n"/>
      <c r="V26" s="939" t="n"/>
      <c r="W26" s="939" t="n"/>
      <c r="X26" s="939" t="n"/>
      <c r="Y26" s="939" t="n"/>
      <c r="Z26" s="939" t="n"/>
      <c r="AA26" s="939" t="n"/>
      <c r="AB26" s="939" t="n"/>
      <c r="AC26" s="939" t="n"/>
      <c r="AD26" s="939" t="n"/>
      <c r="AE26" s="939" t="n"/>
      <c r="AF26" s="939" t="n"/>
      <c r="AG26" s="939" t="n"/>
      <c r="AH26" s="939" t="n"/>
      <c r="AI26" s="939" t="n"/>
      <c r="AJ26" s="939" t="n"/>
      <c r="AK26" s="939" t="n"/>
      <c r="AL26" s="939" t="n"/>
      <c r="AM26" s="939" t="n"/>
      <c r="AN26" s="939" t="n"/>
      <c r="AO26" s="939" t="n"/>
      <c r="AP26" s="939" t="n"/>
      <c r="AQ26" s="939" t="n"/>
      <c r="AR26" s="939" t="n"/>
      <c r="AS26" s="939" t="n"/>
      <c r="AT26" s="939" t="n"/>
      <c r="AU26" s="939" t="n"/>
      <c r="AV26" s="939" t="n"/>
      <c r="AW26" s="939" t="n"/>
      <c r="AX26" s="939" t="n"/>
      <c r="AY26" s="940" t="n"/>
      <c r="AZ26" s="239" t="n"/>
      <c r="BA26" s="239" t="n"/>
      <c r="BB26" s="239" t="n"/>
      <c r="BC26" s="239" t="n"/>
      <c r="BD26" s="239" t="n"/>
      <c r="BE26" s="239" t="n"/>
      <c r="BF26" s="239" t="n"/>
      <c r="BG26" s="239" t="n"/>
      <c r="BH26" s="239" t="n"/>
      <c r="BI26" s="239" t="n"/>
      <c r="BJ26" s="239" t="n"/>
      <c r="BK26" s="239" t="n"/>
      <c r="BL26" s="239" t="n"/>
      <c r="BM26" s="239" t="n"/>
      <c r="BN26" s="239" t="n"/>
      <c r="BO26" s="239" t="n"/>
      <c r="BP26" s="239" t="n"/>
      <c r="BQ26" s="239" t="n"/>
      <c r="BR26" s="239" t="n"/>
      <c r="BS26" s="239" t="n"/>
      <c r="BT26" s="239" t="n"/>
      <c r="BU26" s="239" t="n"/>
      <c r="BV26" s="239" t="n"/>
      <c r="BW26" s="239" t="n"/>
      <c r="BX26" s="239" t="n"/>
      <c r="BY26" s="239" t="n"/>
      <c r="BZ26" s="239" t="n"/>
      <c r="CA26" s="240">
        <f>IF(AND($C26&lt;&gt;0,R26=""),"* No olvide ingresar la variable "&amp;R$17&amp;""&amp;". Digite CERO si no tiene. ",IF(R26&gt;$C26,"* La variable Pueblos Originarios no debe ser mayor al Total Ambos Sexos. ",""))</f>
        <v/>
      </c>
      <c r="CB26" s="240">
        <f>IF(AND($C26&lt;&gt;0,S26=""),"* No olvide ingresar la variable "&amp;S$17&amp;""&amp;". Digite CERO si no tiene. ",IF(S26&gt;$C26,"* La variable Migrantes no debe ser mayor al Total Ambos Sexos. ",""))</f>
        <v/>
      </c>
      <c r="CC26" s="239" t="n"/>
      <c r="CD26" s="239" t="n"/>
      <c r="CE26" s="64" t="n"/>
      <c r="CF26" s="64" t="n"/>
      <c r="CG26" s="64" t="n"/>
      <c r="CH26" s="64" t="n"/>
      <c r="CI26" s="64" t="n"/>
      <c r="CK26" s="29">
        <f>IF(AND($C26&lt;&gt;0,R26=""),1,IF(R26&gt;$C26,1,0))</f>
        <v/>
      </c>
      <c r="CL26" s="29">
        <f>IF(AND($C26&lt;&gt;0,S26=""),1,IF(S26&gt;$C26,1,0))</f>
        <v/>
      </c>
    </row>
    <row r="27" ht="15" customHeight="1" s="8286">
      <c r="A27" s="9588" t="n"/>
      <c r="B27" s="1557" t="inlineStr">
        <is>
          <t>Normal (desde retraso)</t>
        </is>
      </c>
      <c r="C27" s="1537">
        <f>SUM(D27+E27)</f>
        <v/>
      </c>
      <c r="D27" s="944">
        <f>SUM(F27+H27+J27+L27+N27+P27)</f>
        <v/>
      </c>
      <c r="E27" s="1538">
        <f>SUM(G27+I27+K27+M27+O27+Q27)</f>
        <v/>
      </c>
      <c r="F27" s="942" t="n">
        <v>0</v>
      </c>
      <c r="G27" s="943" t="n">
        <v>0</v>
      </c>
      <c r="H27" s="942" t="n">
        <v>0</v>
      </c>
      <c r="I27" s="943" t="n">
        <v>0</v>
      </c>
      <c r="J27" s="942" t="n">
        <v>0</v>
      </c>
      <c r="K27" s="943" t="n">
        <v>0</v>
      </c>
      <c r="L27" s="942" t="n">
        <v>0</v>
      </c>
      <c r="M27" s="943" t="n">
        <v>0</v>
      </c>
      <c r="N27" s="1532" t="n">
        <v>0</v>
      </c>
      <c r="O27" s="943" t="n">
        <v>0</v>
      </c>
      <c r="P27" s="1532" t="n">
        <v>0</v>
      </c>
      <c r="Q27" s="1533" t="n">
        <v>0</v>
      </c>
      <c r="R27" s="5288" t="n">
        <v>0</v>
      </c>
      <c r="S27" s="1645" t="n">
        <v>0</v>
      </c>
      <c r="T27" s="938">
        <f>$CA27&amp;CB27</f>
        <v/>
      </c>
      <c r="U27" s="939" t="n"/>
      <c r="V27" s="939" t="n"/>
      <c r="W27" s="939" t="n"/>
      <c r="X27" s="939" t="n"/>
      <c r="Y27" s="939" t="n"/>
      <c r="Z27" s="939" t="n"/>
      <c r="AA27" s="939" t="n"/>
      <c r="AB27" s="939" t="n"/>
      <c r="AC27" s="939" t="n"/>
      <c r="AD27" s="939" t="n"/>
      <c r="AE27" s="939" t="n"/>
      <c r="AF27" s="939" t="n"/>
      <c r="AG27" s="939" t="n"/>
      <c r="AH27" s="939" t="n"/>
      <c r="AI27" s="939" t="n"/>
      <c r="AJ27" s="939" t="n"/>
      <c r="AK27" s="939" t="n"/>
      <c r="AL27" s="939" t="n"/>
      <c r="AM27" s="939" t="n"/>
      <c r="AN27" s="939" t="n"/>
      <c r="AO27" s="939" t="n"/>
      <c r="AP27" s="939" t="n"/>
      <c r="AQ27" s="939" t="n"/>
      <c r="AR27" s="939" t="n"/>
      <c r="AS27" s="939" t="n"/>
      <c r="AT27" s="939" t="n"/>
      <c r="AU27" s="939" t="n"/>
      <c r="AV27" s="939" t="n"/>
      <c r="AW27" s="939" t="n"/>
      <c r="AX27" s="939" t="n"/>
      <c r="AY27" s="940" t="n"/>
      <c r="AZ27" s="239" t="n"/>
      <c r="BA27" s="239" t="n"/>
      <c r="BB27" s="239" t="n"/>
      <c r="BC27" s="239" t="n"/>
      <c r="BD27" s="239" t="n"/>
      <c r="BE27" s="239" t="n"/>
      <c r="BF27" s="239" t="n"/>
      <c r="BG27" s="239" t="n"/>
      <c r="BH27" s="239" t="n"/>
      <c r="BI27" s="239" t="n"/>
      <c r="BJ27" s="239" t="n"/>
      <c r="BK27" s="239" t="n"/>
      <c r="BL27" s="239" t="n"/>
      <c r="BM27" s="239" t="n"/>
      <c r="BN27" s="239" t="n"/>
      <c r="BO27" s="239" t="n"/>
      <c r="BP27" s="239" t="n"/>
      <c r="BQ27" s="239" t="n"/>
      <c r="BR27" s="239" t="n"/>
      <c r="BS27" s="239" t="n"/>
      <c r="BT27" s="239" t="n"/>
      <c r="BU27" s="239" t="n"/>
      <c r="BV27" s="239" t="n"/>
      <c r="BW27" s="239" t="n"/>
      <c r="BX27" s="239" t="n"/>
      <c r="BY27" s="239" t="n"/>
      <c r="BZ27" s="239" t="n"/>
      <c r="CA27" s="240">
        <f>IF(AND($C27&lt;&gt;0,R27=""),"* No olvide ingresar la variable "&amp;R$17&amp;""&amp;". Digite CERO si no tiene. ",IF(R27&gt;$C27,"* La variable Pueblos Originarios no debe ser mayor al Total Ambos Sexos. ",""))</f>
        <v/>
      </c>
      <c r="CB27" s="240">
        <f>IF(AND($C27&lt;&gt;0,S27=""),"* No olvide ingresar la variable "&amp;S$17&amp;""&amp;". Digite CERO si no tiene. ",IF(S27&gt;$C27,"* La variable Migrantes no debe ser mayor al Total Ambos Sexos. ",""))</f>
        <v/>
      </c>
      <c r="CC27" s="239" t="n"/>
      <c r="CD27" s="239" t="n"/>
      <c r="CE27" s="64" t="n"/>
      <c r="CF27" s="64" t="n"/>
      <c r="CG27" s="64" t="n"/>
      <c r="CH27" s="64" t="n"/>
      <c r="CI27" s="64" t="n"/>
      <c r="CK27" s="29">
        <f>IF(AND($C27&lt;&gt;0,R27=""),1,IF(R27&gt;$C27,1,0))</f>
        <v/>
      </c>
      <c r="CL27" s="29">
        <f>IF(AND($C27&lt;&gt;0,S27=""),1,IF(S27&gt;$C27,1,0))</f>
        <v/>
      </c>
    </row>
    <row r="28" ht="15" customHeight="1" s="8286">
      <c r="A28" s="9588" t="n"/>
      <c r="B28" s="8952" t="inlineStr">
        <is>
          <t>Normal Rezago (desde riesgo)</t>
        </is>
      </c>
      <c r="C28" s="1559">
        <f>SUM(D28+E28)</f>
        <v/>
      </c>
      <c r="D28" s="945">
        <f>SUM(F28+H28+J28+L28+N28+P28)</f>
        <v/>
      </c>
      <c r="E28" s="1560">
        <f>SUM(G28+I28+K28+M28+O28+Q28)</f>
        <v/>
      </c>
      <c r="F28" s="942" t="n">
        <v>0</v>
      </c>
      <c r="G28" s="943" t="n">
        <v>0</v>
      </c>
      <c r="H28" s="942" t="n">
        <v>0</v>
      </c>
      <c r="I28" s="943" t="n">
        <v>0</v>
      </c>
      <c r="J28" s="942" t="n">
        <v>0</v>
      </c>
      <c r="K28" s="943" t="n">
        <v>0</v>
      </c>
      <c r="L28" s="942" t="n">
        <v>0</v>
      </c>
      <c r="M28" s="943" t="n">
        <v>0</v>
      </c>
      <c r="N28" s="1532" t="n">
        <v>0</v>
      </c>
      <c r="O28" s="943" t="n">
        <v>0</v>
      </c>
      <c r="P28" s="1532" t="n">
        <v>0</v>
      </c>
      <c r="Q28" s="1533" t="n">
        <v>0</v>
      </c>
      <c r="R28" s="5288" t="n">
        <v>0</v>
      </c>
      <c r="S28" s="1645" t="n">
        <v>0</v>
      </c>
      <c r="T28" s="938">
        <f>$CA28&amp;CB28</f>
        <v/>
      </c>
      <c r="U28" s="939" t="n"/>
      <c r="V28" s="939" t="n"/>
      <c r="W28" s="939" t="n"/>
      <c r="X28" s="939" t="n"/>
      <c r="Y28" s="939" t="n"/>
      <c r="Z28" s="939" t="n"/>
      <c r="AA28" s="939" t="n"/>
      <c r="AB28" s="939" t="n"/>
      <c r="AC28" s="939" t="n"/>
      <c r="AD28" s="939" t="n"/>
      <c r="AE28" s="939" t="n"/>
      <c r="AF28" s="939" t="n"/>
      <c r="AG28" s="939" t="n"/>
      <c r="AH28" s="939" t="n"/>
      <c r="AI28" s="939" t="n"/>
      <c r="AJ28" s="939" t="n"/>
      <c r="AK28" s="939" t="n"/>
      <c r="AL28" s="939" t="n"/>
      <c r="AM28" s="939" t="n"/>
      <c r="AN28" s="939" t="n"/>
      <c r="AO28" s="939" t="n"/>
      <c r="AP28" s="939" t="n"/>
      <c r="AQ28" s="939" t="n"/>
      <c r="AR28" s="939" t="n"/>
      <c r="AS28" s="939" t="n"/>
      <c r="AT28" s="939" t="n"/>
      <c r="AU28" s="939" t="n"/>
      <c r="AV28" s="939" t="n"/>
      <c r="AW28" s="939" t="n"/>
      <c r="AX28" s="939" t="n"/>
      <c r="AY28" s="940" t="n"/>
      <c r="AZ28" s="239" t="n"/>
      <c r="BA28" s="239" t="n"/>
      <c r="BB28" s="239" t="n"/>
      <c r="BC28" s="239" t="n"/>
      <c r="BD28" s="239" t="n"/>
      <c r="BE28" s="239" t="n"/>
      <c r="BF28" s="239" t="n"/>
      <c r="BG28" s="239" t="n"/>
      <c r="BH28" s="239" t="n"/>
      <c r="BI28" s="239" t="n"/>
      <c r="BJ28" s="239" t="n"/>
      <c r="BK28" s="239" t="n"/>
      <c r="BL28" s="239" t="n"/>
      <c r="BM28" s="239" t="n"/>
      <c r="BN28" s="239" t="n"/>
      <c r="BO28" s="239" t="n"/>
      <c r="BP28" s="239" t="n"/>
      <c r="BQ28" s="239" t="n"/>
      <c r="BR28" s="239" t="n"/>
      <c r="BS28" s="239" t="n"/>
      <c r="BT28" s="239" t="n"/>
      <c r="BU28" s="239" t="n"/>
      <c r="BV28" s="239" t="n"/>
      <c r="BW28" s="239" t="n"/>
      <c r="BX28" s="239" t="n"/>
      <c r="BY28" s="239" t="n"/>
      <c r="BZ28" s="239" t="n"/>
      <c r="CA28" s="240">
        <f>IF(AND($C28&lt;&gt;0,R28=""),"* No olvide ingresar la variable "&amp;R$17&amp;""&amp;". Digite CERO si no tiene. ",IF(R28&gt;$C28,"* La variable Pueblos Originarios no debe ser mayor al Total Ambos Sexos. ",""))</f>
        <v/>
      </c>
      <c r="CB28" s="240">
        <f>IF(AND($C28&lt;&gt;0,S28=""),"* No olvide ingresar la variable "&amp;S$17&amp;""&amp;". Digite CERO si no tiene. ",IF(S28&gt;$C28,"* La variable Migrantes no debe ser mayor al Total Ambos Sexos. ",""))</f>
        <v/>
      </c>
      <c r="CC28" s="239" t="n"/>
      <c r="CD28" s="239" t="n"/>
      <c r="CE28" s="64" t="n"/>
      <c r="CF28" s="64" t="n"/>
      <c r="CG28" s="64" t="n"/>
      <c r="CH28" s="64" t="n"/>
      <c r="CI28" s="64" t="n"/>
      <c r="CK28" s="29">
        <f>IF(AND($C28&lt;&gt;0,R28=""),1,IF(R28&gt;$C28,1,0))</f>
        <v/>
      </c>
      <c r="CL28" s="29">
        <f>IF(AND($C28&lt;&gt;0,S28=""),1,IF(S28&gt;$C28,1,0))</f>
        <v/>
      </c>
    </row>
    <row r="29" ht="21" customHeight="1" s="8286">
      <c r="A29" s="9588" t="n"/>
      <c r="B29" s="8952" t="inlineStr">
        <is>
          <t>Normal con Rezago (desde retraso)</t>
        </is>
      </c>
      <c r="C29" s="1559">
        <f>SUM(D29+E29)</f>
        <v/>
      </c>
      <c r="D29" s="945">
        <f>SUM(F29+H29+J29+L29+N29+P29)</f>
        <v/>
      </c>
      <c r="E29" s="1560">
        <f>SUM(G29+I29+K29+M29+O29+Q29)</f>
        <v/>
      </c>
      <c r="F29" s="942" t="n">
        <v>0</v>
      </c>
      <c r="G29" s="943" t="n">
        <v>0</v>
      </c>
      <c r="H29" s="942" t="n">
        <v>0</v>
      </c>
      <c r="I29" s="943" t="n">
        <v>0</v>
      </c>
      <c r="J29" s="942" t="n">
        <v>0</v>
      </c>
      <c r="K29" s="943" t="n">
        <v>0</v>
      </c>
      <c r="L29" s="942" t="n">
        <v>0</v>
      </c>
      <c r="M29" s="943" t="n">
        <v>0</v>
      </c>
      <c r="N29" s="1532" t="n">
        <v>0</v>
      </c>
      <c r="O29" s="943" t="n">
        <v>0</v>
      </c>
      <c r="P29" s="1532" t="n">
        <v>0</v>
      </c>
      <c r="Q29" s="1533" t="n">
        <v>0</v>
      </c>
      <c r="R29" s="5288" t="n">
        <v>0</v>
      </c>
      <c r="S29" s="1645" t="n">
        <v>0</v>
      </c>
      <c r="T29" s="938">
        <f>$CA29&amp;CB29</f>
        <v/>
      </c>
      <c r="U29" s="939" t="n"/>
      <c r="V29" s="939" t="n"/>
      <c r="W29" s="939" t="n"/>
      <c r="X29" s="939" t="n"/>
      <c r="Y29" s="939" t="n"/>
      <c r="Z29" s="939" t="n"/>
      <c r="AA29" s="939" t="n"/>
      <c r="AB29" s="939" t="n"/>
      <c r="AC29" s="939" t="n"/>
      <c r="AD29" s="939" t="n"/>
      <c r="AE29" s="939" t="n"/>
      <c r="AF29" s="939" t="n"/>
      <c r="AG29" s="939" t="n"/>
      <c r="AH29" s="939" t="n"/>
      <c r="AI29" s="939" t="n"/>
      <c r="AJ29" s="939" t="n"/>
      <c r="AK29" s="939" t="n"/>
      <c r="AL29" s="939" t="n"/>
      <c r="AM29" s="939" t="n"/>
      <c r="AN29" s="939" t="n"/>
      <c r="AO29" s="939" t="n"/>
      <c r="AP29" s="939" t="n"/>
      <c r="AQ29" s="939" t="n"/>
      <c r="AR29" s="939" t="n"/>
      <c r="AS29" s="939" t="n"/>
      <c r="AT29" s="939" t="n"/>
      <c r="AU29" s="939" t="n"/>
      <c r="AV29" s="939" t="n"/>
      <c r="AW29" s="939" t="n"/>
      <c r="AX29" s="939" t="n"/>
      <c r="AY29" s="940" t="n"/>
      <c r="AZ29" s="239" t="n"/>
      <c r="BA29" s="239" t="n"/>
      <c r="BB29" s="239" t="n"/>
      <c r="BC29" s="239" t="n"/>
      <c r="BD29" s="239" t="n"/>
      <c r="BE29" s="239" t="n"/>
      <c r="BF29" s="239" t="n"/>
      <c r="BG29" s="239" t="n"/>
      <c r="BH29" s="239" t="n"/>
      <c r="BI29" s="239" t="n"/>
      <c r="BJ29" s="239" t="n"/>
      <c r="BK29" s="239" t="n"/>
      <c r="BL29" s="239" t="n"/>
      <c r="BM29" s="239" t="n"/>
      <c r="BN29" s="239" t="n"/>
      <c r="BO29" s="239" t="n"/>
      <c r="BP29" s="239" t="n"/>
      <c r="BQ29" s="239" t="n"/>
      <c r="BR29" s="239" t="n"/>
      <c r="BS29" s="239" t="n"/>
      <c r="BT29" s="239" t="n"/>
      <c r="BU29" s="239" t="n"/>
      <c r="BV29" s="239" t="n"/>
      <c r="BW29" s="239" t="n"/>
      <c r="BX29" s="239" t="n"/>
      <c r="BY29" s="239" t="n"/>
      <c r="BZ29" s="239" t="n"/>
      <c r="CA29" s="240">
        <f>IF(AND($C29&lt;&gt;0,R29=""),"* No olvide ingresar la variable "&amp;R$17&amp;""&amp;". Digite CERO si no tiene. ",IF(R29&gt;$C29,"* La variable Pueblos Originarios no debe ser mayor al Total Ambos Sexos. ",""))</f>
        <v/>
      </c>
      <c r="CB29" s="240">
        <f>IF(AND($C29&lt;&gt;0,S29=""),"* No olvide ingresar la variable "&amp;S$17&amp;""&amp;". Digite CERO si no tiene. ",IF(S29&gt;$C29,"* La variable Migrantes no debe ser mayor al Total Ambos Sexos. ",""))</f>
        <v/>
      </c>
      <c r="CC29" s="239" t="n"/>
      <c r="CD29" s="239" t="n"/>
      <c r="CE29" s="64" t="n"/>
      <c r="CF29" s="64" t="n"/>
      <c r="CG29" s="64" t="n"/>
      <c r="CH29" s="64" t="n"/>
      <c r="CI29" s="64" t="n"/>
      <c r="CK29" s="29">
        <f>IF(AND($C29&lt;&gt;0,R29=""),1,IF(R29&gt;$C29,1,0))</f>
        <v/>
      </c>
      <c r="CL29" s="29">
        <f>IF(AND($C29&lt;&gt;0,S29=""),1,IF(S29&gt;$C29,1,0))</f>
        <v/>
      </c>
    </row>
    <row r="30" ht="15" customHeight="1" s="8286">
      <c r="A30" s="9588" t="n"/>
      <c r="B30" s="8952" t="inlineStr">
        <is>
          <t>Riesgo (desde retraso)</t>
        </is>
      </c>
      <c r="C30" s="1559">
        <f>SUM(D30:E30)</f>
        <v/>
      </c>
      <c r="D30" s="945">
        <f>SUM(F30+H30+J30+L30+N30+P30)</f>
        <v/>
      </c>
      <c r="E30" s="1560">
        <f>SUM(G30+I30+K30+M30+O30+Q30)</f>
        <v/>
      </c>
      <c r="F30" s="942" t="n">
        <v>0</v>
      </c>
      <c r="G30" s="943" t="n">
        <v>0</v>
      </c>
      <c r="H30" s="942" t="n">
        <v>0</v>
      </c>
      <c r="I30" s="943" t="n">
        <v>0</v>
      </c>
      <c r="J30" s="942" t="n">
        <v>0</v>
      </c>
      <c r="K30" s="943" t="n">
        <v>0</v>
      </c>
      <c r="L30" s="942" t="n">
        <v>0</v>
      </c>
      <c r="M30" s="943" t="n">
        <v>0</v>
      </c>
      <c r="N30" s="1532" t="n">
        <v>0</v>
      </c>
      <c r="O30" s="943" t="n">
        <v>0</v>
      </c>
      <c r="P30" s="1532" t="n">
        <v>0</v>
      </c>
      <c r="Q30" s="1533" t="n">
        <v>0</v>
      </c>
      <c r="R30" s="5288" t="n">
        <v>0</v>
      </c>
      <c r="S30" s="1645" t="n">
        <v>0</v>
      </c>
      <c r="T30" s="938">
        <f>$CA30&amp;CB30</f>
        <v/>
      </c>
      <c r="U30" s="939" t="n"/>
      <c r="V30" s="939" t="n"/>
      <c r="W30" s="939" t="n"/>
      <c r="X30" s="939" t="n"/>
      <c r="Y30" s="939" t="n"/>
      <c r="Z30" s="939" t="n"/>
      <c r="AA30" s="939" t="n"/>
      <c r="AB30" s="939" t="n"/>
      <c r="AC30" s="939" t="n"/>
      <c r="AD30" s="939" t="n"/>
      <c r="AE30" s="939" t="n"/>
      <c r="AF30" s="939" t="n"/>
      <c r="AG30" s="939" t="n"/>
      <c r="AH30" s="939" t="n"/>
      <c r="AI30" s="939" t="n"/>
      <c r="AJ30" s="939" t="n"/>
      <c r="AK30" s="939" t="n"/>
      <c r="AL30" s="939" t="n"/>
      <c r="AM30" s="939" t="n"/>
      <c r="AN30" s="939" t="n"/>
      <c r="AO30" s="939" t="n"/>
      <c r="AP30" s="939" t="n"/>
      <c r="AQ30" s="939" t="n"/>
      <c r="AR30" s="939" t="n"/>
      <c r="AS30" s="939" t="n"/>
      <c r="AT30" s="939" t="n"/>
      <c r="AU30" s="939" t="n"/>
      <c r="AV30" s="939" t="n"/>
      <c r="AW30" s="939" t="n"/>
      <c r="AX30" s="939" t="n"/>
      <c r="AY30" s="940" t="n"/>
      <c r="AZ30" s="239" t="n"/>
      <c r="BA30" s="239" t="n"/>
      <c r="BB30" s="239" t="n"/>
      <c r="BC30" s="239" t="n"/>
      <c r="BD30" s="239" t="n"/>
      <c r="BE30" s="239" t="n"/>
      <c r="BF30" s="239" t="n"/>
      <c r="BG30" s="239" t="n"/>
      <c r="BH30" s="239" t="n"/>
      <c r="BI30" s="239" t="n"/>
      <c r="BJ30" s="239" t="n"/>
      <c r="BK30" s="239" t="n"/>
      <c r="BL30" s="239" t="n"/>
      <c r="BM30" s="239" t="n"/>
      <c r="BN30" s="239" t="n"/>
      <c r="BO30" s="239" t="n"/>
      <c r="BP30" s="239" t="n"/>
      <c r="BQ30" s="239" t="n"/>
      <c r="BR30" s="239" t="n"/>
      <c r="BS30" s="239" t="n"/>
      <c r="BT30" s="239" t="n"/>
      <c r="BU30" s="239" t="n"/>
      <c r="BV30" s="239" t="n"/>
      <c r="BW30" s="239" t="n"/>
      <c r="BX30" s="239" t="n"/>
      <c r="BY30" s="239" t="n"/>
      <c r="BZ30" s="239" t="n"/>
      <c r="CA30" s="240">
        <f>IF(AND($C30&lt;&gt;0,R30=""),"* No olvide ingresar la variable "&amp;R$17&amp;""&amp;". Digite CERO si no tiene. ",IF(R30&gt;$C30,"* La variable Pueblos Originarios no debe ser mayor al Total Ambos Sexos. ",""))</f>
        <v/>
      </c>
      <c r="CB30" s="240">
        <f>IF(AND($C30&lt;&gt;0,S30=""),"* No olvide ingresar la variable "&amp;S$17&amp;""&amp;". Digite CERO si no tiene. ",IF(S30&gt;$C30,"* La variable Migrantes no debe ser mayor al Total Ambos Sexos. ",""))</f>
        <v/>
      </c>
      <c r="CC30" s="239" t="n"/>
      <c r="CD30" s="239" t="n"/>
      <c r="CE30" s="64" t="n"/>
      <c r="CF30" s="64" t="n"/>
      <c r="CG30" s="64" t="n"/>
      <c r="CH30" s="64" t="n"/>
      <c r="CI30" s="64" t="n"/>
      <c r="CK30" s="29">
        <f>IF(AND($C30&lt;&gt;0,R30=""),1,IF(R30&gt;$C30,1,0))</f>
        <v/>
      </c>
      <c r="CL30" s="29">
        <f>IF(AND($C30&lt;&gt;0,S30=""),1,IF(S30&gt;$C30,1,0))</f>
        <v/>
      </c>
    </row>
    <row r="31" ht="24.75" customHeight="1" s="8286">
      <c r="A31" s="9588" t="n"/>
      <c r="B31" s="8952" t="inlineStr">
        <is>
          <t>Normal con Rezago (desde normal con rezago)</t>
        </is>
      </c>
      <c r="C31" s="1559">
        <f>SUM(D31:E31)</f>
        <v/>
      </c>
      <c r="D31" s="944">
        <f>SUM(F31+H31+J31+L31+N31+P31)</f>
        <v/>
      </c>
      <c r="E31" s="1538">
        <f>SUM(G31+I31+K31+M31+O31+Q31)</f>
        <v/>
      </c>
      <c r="F31" s="942" t="n">
        <v>0</v>
      </c>
      <c r="G31" s="943" t="n">
        <v>0</v>
      </c>
      <c r="H31" s="942" t="n">
        <v>0</v>
      </c>
      <c r="I31" s="943" t="n">
        <v>0</v>
      </c>
      <c r="J31" s="942" t="n">
        <v>0</v>
      </c>
      <c r="K31" s="943" t="n">
        <v>0</v>
      </c>
      <c r="L31" s="942" t="n">
        <v>0</v>
      </c>
      <c r="M31" s="943" t="n">
        <v>0</v>
      </c>
      <c r="N31" s="1532" t="n">
        <v>0</v>
      </c>
      <c r="O31" s="943" t="n">
        <v>0</v>
      </c>
      <c r="P31" s="1532" t="n">
        <v>0</v>
      </c>
      <c r="Q31" s="1533" t="n">
        <v>0</v>
      </c>
      <c r="R31" s="5288" t="n">
        <v>0</v>
      </c>
      <c r="S31" s="1645" t="n">
        <v>0</v>
      </c>
      <c r="T31" s="938">
        <f>$CA31&amp;CB31</f>
        <v/>
      </c>
      <c r="U31" s="939" t="n"/>
      <c r="V31" s="939" t="n"/>
      <c r="W31" s="939" t="n"/>
      <c r="X31" s="939" t="n"/>
      <c r="Y31" s="939" t="n"/>
      <c r="Z31" s="939" t="n"/>
      <c r="AA31" s="939" t="n"/>
      <c r="AB31" s="939" t="n"/>
      <c r="AC31" s="939" t="n"/>
      <c r="AD31" s="939" t="n"/>
      <c r="AE31" s="939" t="n"/>
      <c r="AF31" s="939" t="n"/>
      <c r="AG31" s="939" t="n"/>
      <c r="AH31" s="939" t="n"/>
      <c r="AI31" s="939" t="n"/>
      <c r="AJ31" s="939" t="n"/>
      <c r="AK31" s="939" t="n"/>
      <c r="AL31" s="939" t="n"/>
      <c r="AM31" s="939" t="n"/>
      <c r="AN31" s="939" t="n"/>
      <c r="AO31" s="939" t="n"/>
      <c r="AP31" s="939" t="n"/>
      <c r="AQ31" s="939" t="n"/>
      <c r="AR31" s="939" t="n"/>
      <c r="AS31" s="939" t="n"/>
      <c r="AT31" s="939" t="n"/>
      <c r="AU31" s="939" t="n"/>
      <c r="AV31" s="939" t="n"/>
      <c r="AW31" s="939" t="n"/>
      <c r="AX31" s="939" t="n"/>
      <c r="AY31" s="940" t="n"/>
      <c r="AZ31" s="239" t="n"/>
      <c r="BA31" s="239" t="n"/>
      <c r="BB31" s="239" t="n"/>
      <c r="BC31" s="239" t="n"/>
      <c r="BD31" s="239" t="n"/>
      <c r="BE31" s="239" t="n"/>
      <c r="BF31" s="239" t="n"/>
      <c r="BG31" s="239" t="n"/>
      <c r="BH31" s="239" t="n"/>
      <c r="BI31" s="239" t="n"/>
      <c r="BJ31" s="239" t="n"/>
      <c r="BK31" s="239" t="n"/>
      <c r="BL31" s="239" t="n"/>
      <c r="BM31" s="239" t="n"/>
      <c r="BN31" s="239" t="n"/>
      <c r="BO31" s="239" t="n"/>
      <c r="BP31" s="239" t="n"/>
      <c r="BQ31" s="239" t="n"/>
      <c r="BR31" s="239" t="n"/>
      <c r="BS31" s="239" t="n"/>
      <c r="BT31" s="239" t="n"/>
      <c r="BU31" s="239" t="n"/>
      <c r="BV31" s="239" t="n"/>
      <c r="BW31" s="239" t="n"/>
      <c r="BX31" s="239" t="n"/>
      <c r="BY31" s="239" t="n"/>
      <c r="BZ31" s="239" t="n"/>
      <c r="CA31" s="240">
        <f>IF(AND($C31&lt;&gt;0,R31=""),"* No olvide ingresar la variable "&amp;R$17&amp;""&amp;". Digite CERO si no tiene. ",IF(R31&gt;$C31,"* La variable Pueblos Originarios no debe ser mayor al Total Ambos Sexos. ",""))</f>
        <v/>
      </c>
      <c r="CB31" s="240">
        <f>IF(AND($C31&lt;&gt;0,S31=""),"* No olvide ingresar la variable "&amp;S$17&amp;""&amp;". Digite CERO si no tiene. ",IF(S31&gt;$C31,"* La variable Migrantes no debe ser mayor al Total Ambos Sexos. ",""))</f>
        <v/>
      </c>
      <c r="CC31" s="239" t="n"/>
      <c r="CD31" s="239" t="n"/>
      <c r="CE31" s="64" t="n"/>
      <c r="CF31" s="64" t="n"/>
      <c r="CG31" s="64" t="n"/>
      <c r="CH31" s="64" t="n"/>
      <c r="CI31" s="64" t="n"/>
      <c r="CK31" s="29">
        <f>IF(AND($C31&lt;&gt;0,R31=""),1,IF(R31&gt;$C31,1,0))</f>
        <v/>
      </c>
      <c r="CL31" s="29">
        <f>IF(AND($C31&lt;&gt;0,S31=""),1,IF(S31&gt;$C31,1,0))</f>
        <v/>
      </c>
    </row>
    <row r="32" ht="15" customHeight="1" s="8286">
      <c r="A32" s="9588" t="n"/>
      <c r="B32" s="8952" t="inlineStr">
        <is>
          <t>Riesgo (desde riesgo)</t>
        </is>
      </c>
      <c r="C32" s="1537">
        <f>SUM(D32+E32)</f>
        <v/>
      </c>
      <c r="D32" s="944">
        <f>SUM(F32+H32+J32+L32+N32+P32)</f>
        <v/>
      </c>
      <c r="E32" s="1538">
        <f>SUM(G32+I32+K32+M32+O32+Q32)</f>
        <v/>
      </c>
      <c r="F32" s="1539" t="n">
        <v>0</v>
      </c>
      <c r="G32" s="1540" t="n">
        <v>0</v>
      </c>
      <c r="H32" s="1539" t="n">
        <v>0</v>
      </c>
      <c r="I32" s="1540" t="n">
        <v>0</v>
      </c>
      <c r="J32" s="1539" t="n">
        <v>0</v>
      </c>
      <c r="K32" s="1540" t="n">
        <v>0</v>
      </c>
      <c r="L32" s="1539" t="n">
        <v>0</v>
      </c>
      <c r="M32" s="1540" t="n">
        <v>0</v>
      </c>
      <c r="N32" s="1541" t="n">
        <v>0</v>
      </c>
      <c r="O32" s="1540" t="n">
        <v>0</v>
      </c>
      <c r="P32" s="1541" t="n">
        <v>0</v>
      </c>
      <c r="Q32" s="1542" t="n">
        <v>0</v>
      </c>
      <c r="R32" s="5289" t="n">
        <v>0</v>
      </c>
      <c r="S32" s="5294" t="n">
        <v>0</v>
      </c>
      <c r="T32" s="938">
        <f>$CA32&amp;CB32</f>
        <v/>
      </c>
      <c r="U32" s="939" t="n"/>
      <c r="V32" s="939" t="n"/>
      <c r="W32" s="939" t="n"/>
      <c r="X32" s="939" t="n"/>
      <c r="Y32" s="939" t="n"/>
      <c r="Z32" s="939" t="n"/>
      <c r="AA32" s="939" t="n"/>
      <c r="AB32" s="939" t="n"/>
      <c r="AC32" s="939" t="n"/>
      <c r="AD32" s="939" t="n"/>
      <c r="AE32" s="939" t="n"/>
      <c r="AF32" s="939" t="n"/>
      <c r="AG32" s="939" t="n"/>
      <c r="AH32" s="939" t="n"/>
      <c r="AI32" s="939" t="n"/>
      <c r="AJ32" s="939" t="n"/>
      <c r="AK32" s="939" t="n"/>
      <c r="AL32" s="939" t="n"/>
      <c r="AM32" s="939" t="n"/>
      <c r="AN32" s="939" t="n"/>
      <c r="AO32" s="939" t="n"/>
      <c r="AP32" s="939" t="n"/>
      <c r="AQ32" s="939" t="n"/>
      <c r="AR32" s="939" t="n"/>
      <c r="AS32" s="939" t="n"/>
      <c r="AT32" s="939" t="n"/>
      <c r="AU32" s="939" t="n"/>
      <c r="AV32" s="939" t="n"/>
      <c r="AW32" s="939" t="n"/>
      <c r="AX32" s="939" t="n"/>
      <c r="AY32" s="940" t="n"/>
      <c r="AZ32" s="239" t="n"/>
      <c r="BA32" s="239" t="n"/>
      <c r="BB32" s="239" t="n"/>
      <c r="BC32" s="239" t="n"/>
      <c r="BD32" s="239" t="n"/>
      <c r="BE32" s="239" t="n"/>
      <c r="BF32" s="239" t="n"/>
      <c r="BG32" s="239" t="n"/>
      <c r="BH32" s="239" t="n"/>
      <c r="BI32" s="239" t="n"/>
      <c r="BJ32" s="239" t="n"/>
      <c r="BK32" s="239" t="n"/>
      <c r="BL32" s="239" t="n"/>
      <c r="BM32" s="239" t="n"/>
      <c r="BN32" s="239" t="n"/>
      <c r="BO32" s="239" t="n"/>
      <c r="BP32" s="239" t="n"/>
      <c r="BQ32" s="239" t="n"/>
      <c r="BR32" s="239" t="n"/>
      <c r="BS32" s="239" t="n"/>
      <c r="BT32" s="239" t="n"/>
      <c r="BU32" s="239" t="n"/>
      <c r="BV32" s="239" t="n"/>
      <c r="BW32" s="239" t="n"/>
      <c r="BX32" s="239" t="n"/>
      <c r="BY32" s="239" t="n"/>
      <c r="BZ32" s="239" t="n"/>
      <c r="CA32" s="240">
        <f>IF(AND($C32&lt;&gt;0,R32=""),"* No olvide ingresar la variable "&amp;R$17&amp;""&amp;". Digite CERO si no tiene. ",IF(R32&gt;$C32,"* La variable Pueblos Originarios no debe ser mayor al Total Ambos Sexos. ",""))</f>
        <v/>
      </c>
      <c r="CB32" s="240">
        <f>IF(AND($C32&lt;&gt;0,S32=""),"* No olvide ingresar la variable "&amp;S$17&amp;""&amp;". Digite CERO si no tiene. ",IF(S32&gt;$C32,"* La variable Migrantes no debe ser mayor al Total Ambos Sexos. ",""))</f>
        <v/>
      </c>
      <c r="CC32" s="239" t="n"/>
      <c r="CD32" s="239" t="n"/>
      <c r="CE32" s="64" t="n"/>
      <c r="CF32" s="64" t="n"/>
      <c r="CG32" s="64" t="n"/>
      <c r="CH32" s="64" t="n"/>
      <c r="CI32" s="64" t="n"/>
      <c r="CK32" s="29">
        <f>IF(AND($C32&lt;&gt;0,R32=""),1,IF(R32&gt;$C32,1,0))</f>
        <v/>
      </c>
      <c r="CL32" s="29">
        <f>IF(AND($C32&lt;&gt;0,S32=""),1,IF(S32&gt;$C32,1,0))</f>
        <v/>
      </c>
    </row>
    <row r="33" ht="15" customHeight="1" s="8286">
      <c r="A33" s="9588" t="n"/>
      <c r="B33" s="65" t="inlineStr">
        <is>
          <t>Riesgo (desde normal con rezago)</t>
        </is>
      </c>
      <c r="C33" s="1546">
        <f>SUM(D33+E33)</f>
        <v/>
      </c>
      <c r="D33" s="1547">
        <f>SUM(F33+H33+J33+L33+N33+P33)</f>
        <v/>
      </c>
      <c r="E33" s="1548">
        <f>SUM(G33+I33+K33+M33+O33+Q33)</f>
        <v/>
      </c>
      <c r="F33" s="1561" t="n">
        <v>0</v>
      </c>
      <c r="G33" s="1562" t="n">
        <v>0</v>
      </c>
      <c r="H33" s="1561" t="n">
        <v>0</v>
      </c>
      <c r="I33" s="1562" t="n">
        <v>0</v>
      </c>
      <c r="J33" s="1561" t="n">
        <v>0</v>
      </c>
      <c r="K33" s="1562" t="n">
        <v>0</v>
      </c>
      <c r="L33" s="1561" t="n">
        <v>0</v>
      </c>
      <c r="M33" s="1562" t="n">
        <v>0</v>
      </c>
      <c r="N33" s="1563" t="n">
        <v>0</v>
      </c>
      <c r="O33" s="1562" t="n">
        <v>0</v>
      </c>
      <c r="P33" s="1563" t="n">
        <v>0</v>
      </c>
      <c r="Q33" s="1564" t="n">
        <v>0</v>
      </c>
      <c r="R33" s="5292" t="n">
        <v>0</v>
      </c>
      <c r="S33" s="5296" t="n">
        <v>0</v>
      </c>
      <c r="T33" s="938">
        <f>$CA33&amp;CB33</f>
        <v/>
      </c>
      <c r="U33" s="939" t="n"/>
      <c r="V33" s="939" t="n"/>
      <c r="W33" s="939" t="n"/>
      <c r="X33" s="939" t="n"/>
      <c r="Y33" s="939" t="n"/>
      <c r="Z33" s="939" t="n"/>
      <c r="AA33" s="939" t="n"/>
      <c r="AB33" s="939" t="n"/>
      <c r="AC33" s="939" t="n"/>
      <c r="AD33" s="939" t="n"/>
      <c r="AE33" s="939" t="n"/>
      <c r="AF33" s="939" t="n"/>
      <c r="AG33" s="939" t="n"/>
      <c r="AH33" s="939" t="n"/>
      <c r="AI33" s="939" t="n"/>
      <c r="AJ33" s="939" t="n"/>
      <c r="AK33" s="939" t="n"/>
      <c r="AL33" s="939" t="n"/>
      <c r="AM33" s="939" t="n"/>
      <c r="AN33" s="939" t="n"/>
      <c r="AO33" s="939" t="n"/>
      <c r="AP33" s="939" t="n"/>
      <c r="AQ33" s="939" t="n"/>
      <c r="AR33" s="939" t="n"/>
      <c r="AS33" s="939" t="n"/>
      <c r="AT33" s="939" t="n"/>
      <c r="AU33" s="939" t="n"/>
      <c r="AV33" s="939" t="n"/>
      <c r="AW33" s="939" t="n"/>
      <c r="AX33" s="939" t="n"/>
      <c r="AY33" s="940" t="n"/>
      <c r="AZ33" s="239" t="n"/>
      <c r="BA33" s="239" t="n"/>
      <c r="BB33" s="239" t="n"/>
      <c r="BC33" s="239" t="n"/>
      <c r="BD33" s="239" t="n"/>
      <c r="BE33" s="239" t="n"/>
      <c r="BF33" s="239" t="n"/>
      <c r="BG33" s="239" t="n"/>
      <c r="BH33" s="239" t="n"/>
      <c r="BI33" s="239" t="n"/>
      <c r="BJ33" s="239" t="n"/>
      <c r="BK33" s="239" t="n"/>
      <c r="BL33" s="239" t="n"/>
      <c r="BM33" s="239" t="n"/>
      <c r="BN33" s="239" t="n"/>
      <c r="BO33" s="239" t="n"/>
      <c r="BP33" s="239" t="n"/>
      <c r="BQ33" s="239" t="n"/>
      <c r="BR33" s="239" t="n"/>
      <c r="BS33" s="239" t="n"/>
      <c r="BT33" s="239" t="n"/>
      <c r="BU33" s="239" t="n"/>
      <c r="BV33" s="239" t="n"/>
      <c r="BW33" s="239" t="n"/>
      <c r="BX33" s="239" t="n"/>
      <c r="BY33" s="239" t="n"/>
      <c r="BZ33" s="239" t="n"/>
      <c r="CA33" s="240">
        <f>IF(AND($C33&lt;&gt;0,R33=""),"* No olvide ingresar la variable "&amp;R$17&amp;""&amp;". Digite CERO si no tiene. ",IF(R33&gt;$C33,"* La variable Pueblos Originarios no debe ser mayor al Total Ambos Sexos. ",""))</f>
        <v/>
      </c>
      <c r="CB33" s="240">
        <f>IF(AND($C33&lt;&gt;0,S33=""),"* No olvide ingresar la variable "&amp;S$17&amp;""&amp;". Digite CERO si no tiene. ",IF(S33&gt;$C33,"* La variable Migrantes no debe ser mayor al Total Ambos Sexos. ",""))</f>
        <v/>
      </c>
      <c r="CC33" s="239" t="n"/>
      <c r="CD33" s="239" t="n"/>
      <c r="CE33" s="64" t="n"/>
      <c r="CF33" s="64" t="n"/>
      <c r="CG33" s="64" t="n"/>
      <c r="CH33" s="64" t="n"/>
      <c r="CI33" s="64" t="n"/>
      <c r="CK33" s="29">
        <f>IF(AND($C33&lt;&gt;0,R33=""),1,IF(R33&gt;$C33,1,0))</f>
        <v/>
      </c>
      <c r="CL33" s="29">
        <f>IF(AND($C33&lt;&gt;0,S33=""),1,IF(S33&gt;$C33,1,0))</f>
        <v/>
      </c>
    </row>
    <row r="34" ht="15" customHeight="1" s="8286">
      <c r="A34" s="9588" t="n"/>
      <c r="B34" s="7199" t="inlineStr">
        <is>
          <t>Retraso (desde retraso)</t>
        </is>
      </c>
      <c r="C34" s="1546">
        <f>SUM(D34+E34)</f>
        <v/>
      </c>
      <c r="D34" s="1547">
        <f>SUM(F34+H34+J34+L34+N34+P34)</f>
        <v/>
      </c>
      <c r="E34" s="1548">
        <f>SUM(G34+I34+K34+M34+O34+Q34)</f>
        <v/>
      </c>
      <c r="F34" s="1561" t="n">
        <v>0</v>
      </c>
      <c r="G34" s="1562" t="n">
        <v>0</v>
      </c>
      <c r="H34" s="1561" t="n">
        <v>0</v>
      </c>
      <c r="I34" s="1562" t="n">
        <v>0</v>
      </c>
      <c r="J34" s="1561" t="n">
        <v>0</v>
      </c>
      <c r="K34" s="1562" t="n">
        <v>0</v>
      </c>
      <c r="L34" s="1561" t="n">
        <v>0</v>
      </c>
      <c r="M34" s="1562" t="n">
        <v>0</v>
      </c>
      <c r="N34" s="1563" t="n">
        <v>0</v>
      </c>
      <c r="O34" s="1562" t="n">
        <v>0</v>
      </c>
      <c r="P34" s="1563" t="n">
        <v>0</v>
      </c>
      <c r="Q34" s="1564" t="n">
        <v>0</v>
      </c>
      <c r="R34" s="5292" t="n">
        <v>0</v>
      </c>
      <c r="S34" s="5296" t="n">
        <v>0</v>
      </c>
      <c r="T34" s="938">
        <f>$CA34&amp;CB34</f>
        <v/>
      </c>
      <c r="U34" s="939" t="n"/>
      <c r="V34" s="939" t="n"/>
      <c r="W34" s="939" t="n"/>
      <c r="X34" s="939" t="n"/>
      <c r="Y34" s="939" t="n"/>
      <c r="Z34" s="939" t="n"/>
      <c r="AA34" s="939" t="n"/>
      <c r="AB34" s="939" t="n"/>
      <c r="AC34" s="939" t="n"/>
      <c r="AD34" s="939" t="n"/>
      <c r="AE34" s="939" t="n"/>
      <c r="AF34" s="939" t="n"/>
      <c r="AG34" s="939" t="n"/>
      <c r="AH34" s="939" t="n"/>
      <c r="AI34" s="939" t="n"/>
      <c r="AJ34" s="939" t="n"/>
      <c r="AK34" s="939" t="n"/>
      <c r="AL34" s="939" t="n"/>
      <c r="AM34" s="939" t="n"/>
      <c r="AN34" s="939" t="n"/>
      <c r="AO34" s="939" t="n"/>
      <c r="AP34" s="939" t="n"/>
      <c r="AQ34" s="939" t="n"/>
      <c r="AR34" s="939" t="n"/>
      <c r="AS34" s="939" t="n"/>
      <c r="AT34" s="939" t="n"/>
      <c r="AU34" s="939" t="n"/>
      <c r="AV34" s="939" t="n"/>
      <c r="AW34" s="939" t="n"/>
      <c r="AX34" s="939" t="n"/>
      <c r="AY34" s="940" t="n"/>
      <c r="AZ34" s="239" t="n"/>
      <c r="BA34" s="239" t="n"/>
      <c r="BB34" s="239" t="n"/>
      <c r="BC34" s="239" t="n"/>
      <c r="BD34" s="239" t="n"/>
      <c r="BE34" s="239" t="n"/>
      <c r="BF34" s="239" t="n"/>
      <c r="BG34" s="239" t="n"/>
      <c r="BH34" s="239" t="n"/>
      <c r="BI34" s="239" t="n"/>
      <c r="BJ34" s="239" t="n"/>
      <c r="BK34" s="239" t="n"/>
      <c r="BL34" s="239" t="n"/>
      <c r="BM34" s="239" t="n"/>
      <c r="BN34" s="239" t="n"/>
      <c r="BO34" s="239" t="n"/>
      <c r="BP34" s="239" t="n"/>
      <c r="BQ34" s="239" t="n"/>
      <c r="BR34" s="239" t="n"/>
      <c r="BS34" s="239" t="n"/>
      <c r="BT34" s="239" t="n"/>
      <c r="BU34" s="239" t="n"/>
      <c r="BV34" s="239" t="n"/>
      <c r="BW34" s="239" t="n"/>
      <c r="BX34" s="239" t="n"/>
      <c r="BY34" s="239" t="n"/>
      <c r="BZ34" s="239" t="n"/>
      <c r="CA34" s="240">
        <f>IF(AND($C34&lt;&gt;0,R34=""),"* No olvide ingresar la variable "&amp;R$17&amp;""&amp;". Digite CERO si no tiene. ",IF(R34&gt;$C34,"* La variable Pueblos Originarios no debe ser mayor al Total Ambos Sexos. ",""))</f>
        <v/>
      </c>
      <c r="CB34" s="240">
        <f>IF(AND($C34&lt;&gt;0,S34=""),"* No olvide ingresar la variable "&amp;S$17&amp;""&amp;". Digite CERO si no tiene. ",IF(S34&gt;$C34,"* La variable Migrantes no debe ser mayor al Total Ambos Sexos. ",""))</f>
        <v/>
      </c>
      <c r="CC34" s="239" t="n"/>
      <c r="CD34" s="239" t="n"/>
      <c r="CE34" s="64" t="n"/>
      <c r="CF34" s="64" t="n"/>
      <c r="CG34" s="64" t="n"/>
      <c r="CH34" s="64" t="n"/>
      <c r="CI34" s="64" t="n"/>
      <c r="CK34" s="29">
        <f>IF(AND($C34&lt;&gt;0,R34=""),1,IF(R34&gt;$C34,1,0))</f>
        <v/>
      </c>
      <c r="CL34" s="29">
        <f>IF(AND($C34&lt;&gt;0,S34=""),1,IF(S34&gt;$C34,1,0))</f>
        <v/>
      </c>
    </row>
    <row r="35" ht="15" customHeight="1" s="8286">
      <c r="A35" s="9588" t="n"/>
      <c r="B35" s="1566" t="inlineStr">
        <is>
          <t>Retraso (desde riesgo)</t>
        </is>
      </c>
      <c r="C35" s="946">
        <f>SUM(D35+E35)</f>
        <v/>
      </c>
      <c r="D35" s="947">
        <f>SUM(F35+H35+J35+L35+N35+P35)</f>
        <v/>
      </c>
      <c r="E35" s="1567">
        <f>SUM(G35+I35+K35+M35+O35+Q35)</f>
        <v/>
      </c>
      <c r="F35" s="1561" t="n">
        <v>0</v>
      </c>
      <c r="G35" s="1562" t="n">
        <v>0</v>
      </c>
      <c r="H35" s="1561" t="n">
        <v>0</v>
      </c>
      <c r="I35" s="1562" t="n">
        <v>0</v>
      </c>
      <c r="J35" s="1561" t="n">
        <v>0</v>
      </c>
      <c r="K35" s="1562" t="n">
        <v>0</v>
      </c>
      <c r="L35" s="1561" t="n">
        <v>0</v>
      </c>
      <c r="M35" s="1562" t="n">
        <v>0</v>
      </c>
      <c r="N35" s="1563" t="n">
        <v>1</v>
      </c>
      <c r="O35" s="1562" t="n">
        <v>0</v>
      </c>
      <c r="P35" s="1563" t="n">
        <v>0</v>
      </c>
      <c r="Q35" s="1564" t="n">
        <v>0</v>
      </c>
      <c r="R35" s="5292" t="n">
        <v>0</v>
      </c>
      <c r="S35" s="5296" t="n">
        <v>0</v>
      </c>
      <c r="T35" s="938">
        <f>$CA35&amp;CB35</f>
        <v/>
      </c>
      <c r="U35" s="939" t="n"/>
      <c r="V35" s="939" t="n"/>
      <c r="W35" s="939" t="n"/>
      <c r="X35" s="939" t="n"/>
      <c r="Y35" s="939" t="n"/>
      <c r="Z35" s="939" t="n"/>
      <c r="AA35" s="939" t="n"/>
      <c r="AB35" s="939" t="n"/>
      <c r="AC35" s="939" t="n"/>
      <c r="AD35" s="939" t="n"/>
      <c r="AE35" s="939" t="n"/>
      <c r="AF35" s="939" t="n"/>
      <c r="AG35" s="939" t="n"/>
      <c r="AH35" s="939" t="n"/>
      <c r="AI35" s="939" t="n"/>
      <c r="AJ35" s="939" t="n"/>
      <c r="AK35" s="939" t="n"/>
      <c r="AL35" s="939" t="n"/>
      <c r="AM35" s="939" t="n"/>
      <c r="AN35" s="939" t="n"/>
      <c r="AO35" s="939" t="n"/>
      <c r="AP35" s="939" t="n"/>
      <c r="AQ35" s="939" t="n"/>
      <c r="AR35" s="939" t="n"/>
      <c r="AS35" s="939" t="n"/>
      <c r="AT35" s="939" t="n"/>
      <c r="AU35" s="939" t="n"/>
      <c r="AV35" s="939" t="n"/>
      <c r="AW35" s="939" t="n"/>
      <c r="AX35" s="939" t="n"/>
      <c r="AY35" s="940" t="n"/>
      <c r="AZ35" s="239" t="n"/>
      <c r="BA35" s="239" t="n"/>
      <c r="BB35" s="239" t="n"/>
      <c r="BC35" s="239" t="n"/>
      <c r="BD35" s="239" t="n"/>
      <c r="BE35" s="239" t="n"/>
      <c r="BF35" s="239" t="n"/>
      <c r="BG35" s="239" t="n"/>
      <c r="BH35" s="239" t="n"/>
      <c r="BI35" s="239" t="n"/>
      <c r="BJ35" s="239" t="n"/>
      <c r="BK35" s="239" t="n"/>
      <c r="BL35" s="239" t="n"/>
      <c r="BM35" s="239" t="n"/>
      <c r="BN35" s="239" t="n"/>
      <c r="BO35" s="239" t="n"/>
      <c r="BP35" s="239" t="n"/>
      <c r="BQ35" s="239" t="n"/>
      <c r="BR35" s="239" t="n"/>
      <c r="BS35" s="239" t="n"/>
      <c r="BT35" s="239" t="n"/>
      <c r="BU35" s="239" t="n"/>
      <c r="BV35" s="239" t="n"/>
      <c r="BW35" s="239" t="n"/>
      <c r="BX35" s="239" t="n"/>
      <c r="BY35" s="239" t="n"/>
      <c r="BZ35" s="239" t="n"/>
      <c r="CA35" s="240">
        <f>IF(AND($C35&lt;&gt;0,R35=""),"* No olvide ingresar la variable "&amp;R$17&amp;""&amp;". Digite CERO si no tiene. ",IF(R35&gt;$C35,"* La variable Pueblos Originarios no debe ser mayor al Total Ambos Sexos. ",""))</f>
        <v/>
      </c>
      <c r="CB35" s="240">
        <f>IF(AND($C35&lt;&gt;0,S35=""),"* No olvide ingresar la variable "&amp;S$17&amp;""&amp;". Digite CERO si no tiene. ",IF(S35&gt;$C35,"* La variable Migrantes no debe ser mayor al Total Ambos Sexos. ",""))</f>
        <v/>
      </c>
      <c r="CC35" s="239" t="n"/>
      <c r="CD35" s="239" t="n"/>
      <c r="CE35" s="64" t="n"/>
      <c r="CF35" s="64" t="n"/>
      <c r="CG35" s="64" t="n"/>
      <c r="CH35" s="64" t="n"/>
      <c r="CI35" s="64" t="n"/>
      <c r="CK35" s="29">
        <f>IF(AND($C35&lt;&gt;0,R35=""),1,IF(R35&gt;$C35,1,0))</f>
        <v/>
      </c>
      <c r="CL35" s="29">
        <f>IF(AND($C35&lt;&gt;0,S35=""),1,IF(S35&gt;$C35,1,0))</f>
        <v/>
      </c>
    </row>
    <row r="36">
      <c r="A36" s="9589" t="n"/>
      <c r="B36" s="1568" t="inlineStr">
        <is>
          <t>Retraso (desde normal con rezago)</t>
        </is>
      </c>
      <c r="C36" s="1514">
        <f>SUM(D36+E36)</f>
        <v/>
      </c>
      <c r="D36" s="1549">
        <f>SUM(F36+H36+J36+L36+N36+P36)</f>
        <v/>
      </c>
      <c r="E36" s="1516">
        <f>SUM(G36+I36+K36+M36+O36+Q36)</f>
        <v/>
      </c>
      <c r="F36" s="1519" t="n">
        <v>0</v>
      </c>
      <c r="G36" s="1550" t="n">
        <v>0</v>
      </c>
      <c r="H36" s="1519" t="n">
        <v>0</v>
      </c>
      <c r="I36" s="1550" t="n">
        <v>0</v>
      </c>
      <c r="J36" s="1519" t="n">
        <v>0</v>
      </c>
      <c r="K36" s="1550" t="n">
        <v>0</v>
      </c>
      <c r="L36" s="1519" t="n">
        <v>0</v>
      </c>
      <c r="M36" s="1550" t="n">
        <v>0</v>
      </c>
      <c r="N36" s="1551" t="n">
        <v>0</v>
      </c>
      <c r="O36" s="1550" t="n">
        <v>0</v>
      </c>
      <c r="P36" s="1551" t="n">
        <v>0</v>
      </c>
      <c r="Q36" s="1552" t="n">
        <v>0</v>
      </c>
      <c r="R36" s="5290" t="n">
        <v>0</v>
      </c>
      <c r="S36" s="1649" t="n">
        <v>0</v>
      </c>
      <c r="T36" s="938">
        <f>$CA36&amp;CB36</f>
        <v/>
      </c>
      <c r="U36" s="939" t="n"/>
      <c r="V36" s="939" t="n"/>
      <c r="W36" s="939" t="n"/>
      <c r="X36" s="939" t="n"/>
      <c r="Y36" s="939" t="n"/>
      <c r="Z36" s="939" t="n"/>
      <c r="AA36" s="939" t="n"/>
      <c r="AB36" s="939" t="n"/>
      <c r="AC36" s="939" t="n"/>
      <c r="AD36" s="939" t="n"/>
      <c r="AE36" s="939" t="n"/>
      <c r="AF36" s="939" t="n"/>
      <c r="AG36" s="939" t="n"/>
      <c r="AH36" s="939" t="n"/>
      <c r="AI36" s="939" t="n"/>
      <c r="AJ36" s="939" t="n"/>
      <c r="AK36" s="939" t="n"/>
      <c r="AL36" s="939" t="n"/>
      <c r="AM36" s="939" t="n"/>
      <c r="AN36" s="939" t="n"/>
      <c r="AO36" s="939" t="n"/>
      <c r="AP36" s="939" t="n"/>
      <c r="AQ36" s="939" t="n"/>
      <c r="AR36" s="939" t="n"/>
      <c r="AS36" s="939" t="n"/>
      <c r="AT36" s="939" t="n"/>
      <c r="AU36" s="939" t="n"/>
      <c r="AV36" s="939" t="n"/>
      <c r="AW36" s="939" t="n"/>
      <c r="AX36" s="939" t="n"/>
      <c r="AY36" s="940" t="n"/>
      <c r="AZ36" s="239" t="n"/>
      <c r="BA36" s="239" t="n"/>
      <c r="BB36" s="239" t="n"/>
      <c r="BC36" s="239" t="n"/>
      <c r="BD36" s="239" t="n"/>
      <c r="BE36" s="239" t="n"/>
      <c r="BF36" s="239" t="n"/>
      <c r="BG36" s="239" t="n"/>
      <c r="BH36" s="239" t="n"/>
      <c r="BI36" s="239" t="n"/>
      <c r="BJ36" s="239" t="n"/>
      <c r="BK36" s="239" t="n"/>
      <c r="BL36" s="239" t="n"/>
      <c r="BM36" s="239" t="n"/>
      <c r="BN36" s="239" t="n"/>
      <c r="BO36" s="239" t="n"/>
      <c r="BP36" s="239" t="n"/>
      <c r="BQ36" s="239" t="n"/>
      <c r="BR36" s="239" t="n"/>
      <c r="BS36" s="239" t="n"/>
      <c r="BT36" s="239" t="n"/>
      <c r="BU36" s="239" t="n"/>
      <c r="BV36" s="239" t="n"/>
      <c r="BW36" s="239" t="n"/>
      <c r="BX36" s="239" t="n"/>
      <c r="BY36" s="239" t="n"/>
      <c r="BZ36" s="239" t="n"/>
      <c r="CA36" s="240">
        <f>IF(AND($C36&lt;&gt;0,R36=""),"* No olvide ingresar la variable "&amp;R$17&amp;""&amp;". Digite CERO si no tiene. ",IF(R36&gt;$C36,"* La variable Pueblos Originarios no debe ser mayor al Total Ambos Sexos. ",""))</f>
        <v/>
      </c>
      <c r="CB36" s="240">
        <f>IF(AND($C36&lt;&gt;0,S36=""),"* No olvide ingresar la variable "&amp;S$17&amp;""&amp;". Digite CERO si no tiene. ",IF(S36&gt;$C36,"* La variable Migrantes no debe ser mayor al Total Ambos Sexos. ",""))</f>
        <v/>
      </c>
      <c r="CC36" s="239" t="n"/>
      <c r="CD36" s="239" t="n"/>
      <c r="CE36" s="64" t="n"/>
      <c r="CF36" s="64" t="n"/>
      <c r="CG36" s="64" t="n"/>
      <c r="CH36" s="64" t="n"/>
      <c r="CI36" s="64" t="n"/>
      <c r="CK36" s="29">
        <f>IF(AND($C36&lt;&gt;0,R36=""),1,IF(R36&gt;$C36,1,0))</f>
        <v/>
      </c>
      <c r="CL36" s="29">
        <f>IF(AND($C36&lt;&gt;0,S36=""),1,IF(S36&gt;$C36,1,0))</f>
        <v/>
      </c>
    </row>
    <row r="37" ht="15" customHeight="1" s="8286">
      <c r="A37" s="7518" t="inlineStr">
        <is>
          <t>Derivados a Especialidad</t>
        </is>
      </c>
      <c r="B37" s="7468" t="inlineStr">
        <is>
          <t>Riesgo</t>
        </is>
      </c>
      <c r="C37" s="1537">
        <f>SUM(D37+E37)</f>
        <v/>
      </c>
      <c r="D37" s="944">
        <f>SUM(F37+H37+J37+L37+N37+P37)</f>
        <v/>
      </c>
      <c r="E37" s="1538">
        <f>SUM(G37+I37+K37+M37+O37+Q37)</f>
        <v/>
      </c>
      <c r="F37" s="942" t="n">
        <v>0</v>
      </c>
      <c r="G37" s="943" t="n">
        <v>0</v>
      </c>
      <c r="H37" s="942" t="n">
        <v>0</v>
      </c>
      <c r="I37" s="943" t="n">
        <v>0</v>
      </c>
      <c r="J37" s="942" t="n">
        <v>0</v>
      </c>
      <c r="K37" s="943" t="n">
        <v>0</v>
      </c>
      <c r="L37" s="942" t="n">
        <v>0</v>
      </c>
      <c r="M37" s="943" t="n">
        <v>1</v>
      </c>
      <c r="N37" s="942" t="n">
        <v>0</v>
      </c>
      <c r="O37" s="943" t="n">
        <v>0</v>
      </c>
      <c r="P37" s="1532" t="n">
        <v>0</v>
      </c>
      <c r="Q37" s="1533" t="n">
        <v>0</v>
      </c>
      <c r="R37" s="5288" t="n">
        <v>0</v>
      </c>
      <c r="S37" s="1645" t="n">
        <v>0</v>
      </c>
      <c r="T37" s="938">
        <f>$CA37&amp;CB37</f>
        <v/>
      </c>
      <c r="U37" s="939" t="n"/>
      <c r="V37" s="939" t="n"/>
      <c r="W37" s="939" t="n"/>
      <c r="X37" s="939" t="n"/>
      <c r="Y37" s="939" t="n"/>
      <c r="Z37" s="939" t="n"/>
      <c r="AA37" s="939" t="n"/>
      <c r="AB37" s="939" t="n"/>
      <c r="AC37" s="939" t="n"/>
      <c r="AD37" s="939" t="n"/>
      <c r="AE37" s="939" t="n"/>
      <c r="AF37" s="939" t="n"/>
      <c r="AG37" s="939" t="n"/>
      <c r="AH37" s="939" t="n"/>
      <c r="AI37" s="939" t="n"/>
      <c r="AJ37" s="939" t="n"/>
      <c r="AK37" s="939" t="n"/>
      <c r="AL37" s="939" t="n"/>
      <c r="AM37" s="939" t="n"/>
      <c r="AN37" s="939" t="n"/>
      <c r="AO37" s="939" t="n"/>
      <c r="AP37" s="939" t="n"/>
      <c r="AQ37" s="939" t="n"/>
      <c r="AR37" s="939" t="n"/>
      <c r="AS37" s="939" t="n"/>
      <c r="AT37" s="939" t="n"/>
      <c r="AU37" s="939" t="n"/>
      <c r="AV37" s="939" t="n"/>
      <c r="AW37" s="939" t="n"/>
      <c r="AX37" s="939" t="n"/>
      <c r="AY37" s="940" t="n"/>
      <c r="AZ37" s="239" t="n"/>
      <c r="BA37" s="239" t="n"/>
      <c r="BB37" s="239" t="n"/>
      <c r="BC37" s="239" t="n"/>
      <c r="BD37" s="239" t="n"/>
      <c r="BE37" s="239" t="n"/>
      <c r="BF37" s="239" t="n"/>
      <c r="BG37" s="239" t="n"/>
      <c r="BH37" s="239" t="n"/>
      <c r="BI37" s="239" t="n"/>
      <c r="BJ37" s="239" t="n"/>
      <c r="BK37" s="239" t="n"/>
      <c r="BL37" s="239" t="n"/>
      <c r="BM37" s="239" t="n"/>
      <c r="BN37" s="239" t="n"/>
      <c r="BO37" s="239" t="n"/>
      <c r="BP37" s="239" t="n"/>
      <c r="BQ37" s="239" t="n"/>
      <c r="BR37" s="239" t="n"/>
      <c r="BS37" s="239" t="n"/>
      <c r="BT37" s="239" t="n"/>
      <c r="BU37" s="239" t="n"/>
      <c r="BV37" s="239" t="n"/>
      <c r="BW37" s="239" t="n"/>
      <c r="BX37" s="239" t="n"/>
      <c r="BY37" s="239" t="n"/>
      <c r="BZ37" s="239" t="n"/>
      <c r="CA37" s="240">
        <f>IF(AND($C37&lt;&gt;0,R37=""),"* No olvide ingresar la variable "&amp;R$17&amp;""&amp;". Digite CERO si no tiene. ",IF(R37&gt;$C37,"* La variable Pueblos Originarios no debe ser mayor al Total Ambos Sexos. ",""))</f>
        <v/>
      </c>
      <c r="CB37" s="240">
        <f>IF(AND($C37&lt;&gt;0,S37=""),"* No olvide ingresar la variable "&amp;S$17&amp;""&amp;". Digite CERO si no tiene. ",IF(S37&gt;$C37,"* La variable Migrantes no debe ser mayor al Total Ambos Sexos. ",""))</f>
        <v/>
      </c>
      <c r="CC37" s="239" t="n"/>
      <c r="CD37" s="239" t="n"/>
      <c r="CE37" s="64" t="n"/>
      <c r="CF37" s="64" t="n"/>
      <c r="CG37" s="64" t="n"/>
      <c r="CH37" s="64" t="n"/>
      <c r="CI37" s="64" t="n"/>
      <c r="CK37" s="29">
        <f>IF(AND($C37&lt;&gt;0,R37=""),1,IF(R37&gt;$C37,1,0))</f>
        <v/>
      </c>
      <c r="CL37" s="29">
        <f>IF(AND($C37&lt;&gt;0,S37=""),1,IF(S37&gt;$C37,1,0))</f>
        <v/>
      </c>
    </row>
    <row r="38" ht="15" customHeight="1" s="8286">
      <c r="A38" s="642" t="n"/>
      <c r="B38" s="7469" t="inlineStr">
        <is>
          <t>Retraso</t>
        </is>
      </c>
      <c r="C38" s="1569">
        <f>SUM(D38+E38)</f>
        <v/>
      </c>
      <c r="D38" s="1570">
        <f>SUM(F38+H38+J38+L38+N38+P38)</f>
        <v/>
      </c>
      <c r="E38" s="1571">
        <f>SUM(G38+I38+K38+M38+O38+Q38)</f>
        <v/>
      </c>
      <c r="F38" s="1561" t="n">
        <v>0</v>
      </c>
      <c r="G38" s="1562" t="n">
        <v>0</v>
      </c>
      <c r="H38" s="1561" t="n">
        <v>0</v>
      </c>
      <c r="I38" s="1562" t="n">
        <v>0</v>
      </c>
      <c r="J38" s="1561" t="n">
        <v>0</v>
      </c>
      <c r="K38" s="1562" t="n">
        <v>0</v>
      </c>
      <c r="L38" s="1561" t="n">
        <v>0</v>
      </c>
      <c r="M38" s="1562" t="n">
        <v>0</v>
      </c>
      <c r="N38" s="1561" t="n">
        <v>0</v>
      </c>
      <c r="O38" s="1562" t="n">
        <v>0</v>
      </c>
      <c r="P38" s="1563" t="n">
        <v>0</v>
      </c>
      <c r="Q38" s="1564" t="n">
        <v>0</v>
      </c>
      <c r="R38" s="5292" t="n">
        <v>0</v>
      </c>
      <c r="S38" s="5296" t="n">
        <v>0</v>
      </c>
      <c r="T38" s="938">
        <f>$CA38&amp;CB38</f>
        <v/>
      </c>
      <c r="U38" s="939" t="n"/>
      <c r="V38" s="939" t="n"/>
      <c r="W38" s="939" t="n"/>
      <c r="X38" s="939" t="n"/>
      <c r="Y38" s="939" t="n"/>
      <c r="Z38" s="939" t="n"/>
      <c r="AA38" s="939" t="n"/>
      <c r="AB38" s="939" t="n"/>
      <c r="AC38" s="939" t="n"/>
      <c r="AD38" s="939" t="n"/>
      <c r="AE38" s="939" t="n"/>
      <c r="AF38" s="939" t="n"/>
      <c r="AG38" s="939" t="n"/>
      <c r="AH38" s="939" t="n"/>
      <c r="AI38" s="939" t="n"/>
      <c r="AJ38" s="939" t="n"/>
      <c r="AK38" s="939" t="n"/>
      <c r="AL38" s="939" t="n"/>
      <c r="AM38" s="939" t="n"/>
      <c r="AN38" s="939" t="n"/>
      <c r="AO38" s="939" t="n"/>
      <c r="AP38" s="939" t="n"/>
      <c r="AQ38" s="939" t="n"/>
      <c r="AR38" s="939" t="n"/>
      <c r="AS38" s="939" t="n"/>
      <c r="AT38" s="939" t="n"/>
      <c r="AU38" s="939" t="n"/>
      <c r="AV38" s="939" t="n"/>
      <c r="AW38" s="939" t="n"/>
      <c r="AX38" s="939" t="n"/>
      <c r="AY38" s="940" t="n"/>
      <c r="AZ38" s="239" t="n"/>
      <c r="BA38" s="239" t="n"/>
      <c r="BB38" s="239" t="n"/>
      <c r="BC38" s="239" t="n"/>
      <c r="BD38" s="239" t="n"/>
      <c r="BE38" s="239" t="n"/>
      <c r="BF38" s="239" t="n"/>
      <c r="BG38" s="239" t="n"/>
      <c r="BH38" s="239" t="n"/>
      <c r="BI38" s="239" t="n"/>
      <c r="BJ38" s="239" t="n"/>
      <c r="BK38" s="239" t="n"/>
      <c r="BL38" s="239" t="n"/>
      <c r="BM38" s="239" t="n"/>
      <c r="BN38" s="239" t="n"/>
      <c r="BO38" s="239" t="n"/>
      <c r="BP38" s="239" t="n"/>
      <c r="BQ38" s="239" t="n"/>
      <c r="BR38" s="239" t="n"/>
      <c r="BS38" s="239" t="n"/>
      <c r="BT38" s="239" t="n"/>
      <c r="BU38" s="239" t="n"/>
      <c r="BV38" s="239" t="n"/>
      <c r="BW38" s="239" t="n"/>
      <c r="BX38" s="239" t="n"/>
      <c r="BY38" s="239" t="n"/>
      <c r="BZ38" s="239" t="n"/>
      <c r="CA38" s="240">
        <f>IF(AND($C38&lt;&gt;0,R38=""),"* No olvide ingresar la variable "&amp;R$17&amp;""&amp;". Digite CERO si no tiene. ",IF(R38&gt;$C38,"* La variable Pueblos Originarios no debe ser mayor al Total Ambos Sexos. ",""))</f>
        <v/>
      </c>
      <c r="CB38" s="240">
        <f>IF(AND($C38&lt;&gt;0,S38=""),"* No olvide ingresar la variable "&amp;S$17&amp;""&amp;". Digite CERO si no tiene. ",IF(S38&gt;$C38,"* La variable Migrantes no debe ser mayor al Total Ambos Sexos. ",""))</f>
        <v/>
      </c>
      <c r="CC38" s="239" t="n"/>
      <c r="CD38" s="239" t="n"/>
      <c r="CE38" s="64" t="n"/>
      <c r="CF38" s="64" t="n"/>
      <c r="CG38" s="64" t="n"/>
      <c r="CH38" s="64" t="n"/>
      <c r="CI38" s="64" t="n"/>
      <c r="CK38" s="29">
        <f>IF(AND($C38&lt;&gt;0,R38=""),1,IF(R38&gt;$C38,1,0))</f>
        <v/>
      </c>
      <c r="CL38" s="29">
        <f>IF(AND($C38&lt;&gt;0,S38=""),1,IF(S38&gt;$C38,1,0))</f>
        <v/>
      </c>
    </row>
    <row r="39" ht="15" customHeight="1" s="8286">
      <c r="A39" s="9612" t="inlineStr">
        <is>
          <t>Traslado de Establecimiento</t>
        </is>
      </c>
      <c r="B39" s="7208" t="inlineStr">
        <is>
          <t>Normal con Rezago</t>
        </is>
      </c>
      <c r="C39" s="1525">
        <f>SUM(D39+E39)</f>
        <v/>
      </c>
      <c r="D39" s="1526">
        <f>SUM(F39+H39+J39+L39+N39+P39)</f>
        <v/>
      </c>
      <c r="E39" s="1510">
        <f>SUM(G39+I39+K39+M39+O39+Q39)</f>
        <v/>
      </c>
      <c r="F39" s="1511" t="n">
        <v>0</v>
      </c>
      <c r="G39" s="1554" t="n">
        <v>0</v>
      </c>
      <c r="H39" s="1511" t="n"/>
      <c r="I39" s="1554" t="n">
        <v>0</v>
      </c>
      <c r="J39" s="1511" t="n">
        <v>0</v>
      </c>
      <c r="K39" s="1554" t="n">
        <v>0</v>
      </c>
      <c r="L39" s="1511" t="n">
        <v>0</v>
      </c>
      <c r="M39" s="1554" t="n">
        <v>0</v>
      </c>
      <c r="N39" s="1511" t="n">
        <v>0</v>
      </c>
      <c r="O39" s="1554" t="n">
        <v>0</v>
      </c>
      <c r="P39" s="1555" t="n">
        <v>0</v>
      </c>
      <c r="Q39" s="1556" t="n">
        <v>0</v>
      </c>
      <c r="R39" s="5291" t="n">
        <v>0</v>
      </c>
      <c r="S39" s="5295" t="n">
        <v>0</v>
      </c>
      <c r="T39" s="938">
        <f>$CA39&amp;CB39</f>
        <v/>
      </c>
      <c r="U39" s="939" t="n"/>
      <c r="V39" s="939" t="n"/>
      <c r="W39" s="939" t="n"/>
      <c r="X39" s="939" t="n"/>
      <c r="Y39" s="939" t="n"/>
      <c r="Z39" s="939" t="n"/>
      <c r="AA39" s="939" t="n"/>
      <c r="AB39" s="939" t="n"/>
      <c r="AC39" s="939" t="n"/>
      <c r="AD39" s="939" t="n"/>
      <c r="AE39" s="939" t="n"/>
      <c r="AF39" s="939" t="n"/>
      <c r="AG39" s="939" t="n"/>
      <c r="AH39" s="939" t="n"/>
      <c r="AI39" s="939" t="n"/>
      <c r="AJ39" s="939" t="n"/>
      <c r="AK39" s="939" t="n"/>
      <c r="AL39" s="939" t="n"/>
      <c r="AM39" s="939" t="n"/>
      <c r="AN39" s="939" t="n"/>
      <c r="AO39" s="939" t="n"/>
      <c r="AP39" s="939" t="n"/>
      <c r="AQ39" s="939" t="n"/>
      <c r="AR39" s="939" t="n"/>
      <c r="AS39" s="939" t="n"/>
      <c r="AT39" s="939" t="n"/>
      <c r="AU39" s="939" t="n"/>
      <c r="AV39" s="939" t="n"/>
      <c r="AW39" s="939" t="n"/>
      <c r="AX39" s="939" t="n"/>
      <c r="AY39" s="940" t="n"/>
      <c r="AZ39" s="239" t="n"/>
      <c r="BA39" s="239" t="n"/>
      <c r="BB39" s="239" t="n"/>
      <c r="BC39" s="239" t="n"/>
      <c r="BD39" s="239" t="n"/>
      <c r="BE39" s="239" t="n"/>
      <c r="BF39" s="239" t="n"/>
      <c r="BG39" s="239" t="n"/>
      <c r="BH39" s="239" t="n"/>
      <c r="BI39" s="239" t="n"/>
      <c r="BJ39" s="239" t="n"/>
      <c r="BK39" s="239" t="n"/>
      <c r="BL39" s="239" t="n"/>
      <c r="BM39" s="239" t="n"/>
      <c r="BN39" s="239" t="n"/>
      <c r="BO39" s="239" t="n"/>
      <c r="BP39" s="239" t="n"/>
      <c r="BQ39" s="239" t="n"/>
      <c r="BR39" s="239" t="n"/>
      <c r="BS39" s="239" t="n"/>
      <c r="BT39" s="239" t="n"/>
      <c r="BU39" s="239" t="n"/>
      <c r="BV39" s="239" t="n"/>
      <c r="BW39" s="239" t="n"/>
      <c r="BX39" s="239" t="n"/>
      <c r="BY39" s="239" t="n"/>
      <c r="BZ39" s="239" t="n"/>
      <c r="CA39" s="240">
        <f>IF(AND($C39&lt;&gt;0,R39=""),"* No olvide ingresar la variable "&amp;R$17&amp;""&amp;". Digite CERO si no tiene. ",IF(R39&gt;$C39,"* La variable Pueblos Originarios no debe ser mayor al Total Ambos Sexos. ",""))</f>
        <v/>
      </c>
      <c r="CB39" s="240">
        <f>IF(AND($C39&lt;&gt;0,S39=""),"* No olvide ingresar la variable "&amp;S$17&amp;""&amp;". Digite CERO si no tiene. ",IF(S39&gt;$C39,"* La variable Migrantes no debe ser mayor al Total Ambos Sexos. ",""))</f>
        <v/>
      </c>
      <c r="CC39" s="239" t="n"/>
      <c r="CD39" s="239" t="n"/>
      <c r="CE39" s="64" t="n"/>
      <c r="CF39" s="64" t="n"/>
      <c r="CG39" s="64" t="n"/>
      <c r="CH39" s="64" t="n"/>
      <c r="CI39" s="64" t="n"/>
      <c r="CK39" s="29">
        <f>IF(AND($C39&lt;&gt;0,R39=""),1,IF(R39&gt;$C39,1,0))</f>
        <v/>
      </c>
      <c r="CL39" s="29">
        <f>IF(AND($C39&lt;&gt;0,S39=""),1,IF(S39&gt;$C39,1,0))</f>
        <v/>
      </c>
    </row>
    <row r="40" ht="15" customHeight="1" s="8286">
      <c r="A40" s="9588" t="n"/>
      <c r="B40" s="7199" t="inlineStr">
        <is>
          <t>Riesgo</t>
        </is>
      </c>
      <c r="C40" s="1546">
        <f>SUM(D40+E40)</f>
        <v/>
      </c>
      <c r="D40" s="1547">
        <f>SUM(F40+H40+J40+L40+N40+P40)</f>
        <v/>
      </c>
      <c r="E40" s="1548">
        <f>SUM(G40+I40+K40+M40+O40+Q40)</f>
        <v/>
      </c>
      <c r="F40" s="1539" t="n">
        <v>0</v>
      </c>
      <c r="G40" s="1540" t="n">
        <v>0</v>
      </c>
      <c r="H40" s="1539" t="n">
        <v>0</v>
      </c>
      <c r="I40" s="1540" t="n">
        <v>0</v>
      </c>
      <c r="J40" s="1539" t="n">
        <v>0</v>
      </c>
      <c r="K40" s="1540" t="n">
        <v>0</v>
      </c>
      <c r="L40" s="1539" t="n">
        <v>0</v>
      </c>
      <c r="M40" s="1540" t="n">
        <v>0</v>
      </c>
      <c r="N40" s="1539" t="n">
        <v>0</v>
      </c>
      <c r="O40" s="1540" t="n">
        <v>0</v>
      </c>
      <c r="P40" s="1541" t="n">
        <v>0</v>
      </c>
      <c r="Q40" s="1542" t="n">
        <v>0</v>
      </c>
      <c r="R40" s="5289" t="n">
        <v>0</v>
      </c>
      <c r="S40" s="5294" t="n">
        <v>0</v>
      </c>
      <c r="T40" s="938">
        <f>$CA40&amp;CB40</f>
        <v/>
      </c>
      <c r="U40" s="939" t="n"/>
      <c r="V40" s="939" t="n"/>
      <c r="W40" s="939" t="n"/>
      <c r="X40" s="939" t="n"/>
      <c r="Y40" s="939" t="n"/>
      <c r="Z40" s="939" t="n"/>
      <c r="AA40" s="939" t="n"/>
      <c r="AB40" s="939" t="n"/>
      <c r="AC40" s="939" t="n"/>
      <c r="AD40" s="939" t="n"/>
      <c r="AE40" s="939" t="n"/>
      <c r="AF40" s="939" t="n"/>
      <c r="AG40" s="939" t="n"/>
      <c r="AH40" s="939" t="n"/>
      <c r="AI40" s="939" t="n"/>
      <c r="AJ40" s="939" t="n"/>
      <c r="AK40" s="939" t="n"/>
      <c r="AL40" s="939" t="n"/>
      <c r="AM40" s="939" t="n"/>
      <c r="AN40" s="939" t="n"/>
      <c r="AO40" s="939" t="n"/>
      <c r="AP40" s="939" t="n"/>
      <c r="AQ40" s="939" t="n"/>
      <c r="AR40" s="939" t="n"/>
      <c r="AS40" s="939" t="n"/>
      <c r="AT40" s="939" t="n"/>
      <c r="AU40" s="939" t="n"/>
      <c r="AV40" s="939" t="n"/>
      <c r="AW40" s="939" t="n"/>
      <c r="AX40" s="939" t="n"/>
      <c r="AY40" s="940" t="n"/>
      <c r="AZ40" s="239" t="n"/>
      <c r="BA40" s="239" t="n"/>
      <c r="BB40" s="239" t="n"/>
      <c r="BC40" s="239" t="n"/>
      <c r="BD40" s="239" t="n"/>
      <c r="BE40" s="239" t="n"/>
      <c r="BF40" s="239" t="n"/>
      <c r="BG40" s="239" t="n"/>
      <c r="BH40" s="239" t="n"/>
      <c r="BI40" s="239" t="n"/>
      <c r="BJ40" s="239" t="n"/>
      <c r="BK40" s="239" t="n"/>
      <c r="BL40" s="239" t="n"/>
      <c r="BM40" s="239" t="n"/>
      <c r="BN40" s="239" t="n"/>
      <c r="BO40" s="239" t="n"/>
      <c r="BP40" s="239" t="n"/>
      <c r="BQ40" s="239" t="n"/>
      <c r="BR40" s="239" t="n"/>
      <c r="BS40" s="239" t="n"/>
      <c r="BT40" s="239" t="n"/>
      <c r="BU40" s="239" t="n"/>
      <c r="BV40" s="239" t="n"/>
      <c r="BW40" s="239" t="n"/>
      <c r="BX40" s="239" t="n"/>
      <c r="BY40" s="239" t="n"/>
      <c r="BZ40" s="239" t="n"/>
      <c r="CA40" s="240">
        <f>IF(AND($C40&lt;&gt;0,R40=""),"* No olvide ingresar la variable "&amp;R$17&amp;""&amp;". Digite CERO si no tiene. ",IF(R40&gt;$C40,"* La variable Pueblos Originarios no debe ser mayor al Total Ambos Sexos. ",""))</f>
        <v/>
      </c>
      <c r="CB40" s="240">
        <f>IF(AND($C40&lt;&gt;0,S40=""),"* No olvide ingresar la variable "&amp;S$17&amp;""&amp;". Digite CERO si no tiene. ",IF(S40&gt;$C40,"* La variable Migrantes no debe ser mayor al Total Ambos Sexos. ",""))</f>
        <v/>
      </c>
      <c r="CC40" s="239" t="n"/>
      <c r="CD40" s="239" t="n"/>
      <c r="CE40" s="64" t="n"/>
      <c r="CF40" s="64" t="n"/>
      <c r="CG40" s="64" t="n"/>
      <c r="CH40" s="64" t="n"/>
      <c r="CI40" s="64" t="n"/>
      <c r="CK40" s="29">
        <f>IF(AND($C40&lt;&gt;0,R40=""),1,IF(R40&gt;$C40,1,0))</f>
        <v/>
      </c>
      <c r="CL40" s="29">
        <f>IF(AND($C40&lt;&gt;0,S40=""),1,IF(S40&gt;$C40,1,0))</f>
        <v/>
      </c>
    </row>
    <row r="41" ht="15" customHeight="1" s="8286">
      <c r="A41" s="9589" t="n"/>
      <c r="B41" s="7469" t="inlineStr">
        <is>
          <t>Retraso</t>
        </is>
      </c>
      <c r="C41" s="1514">
        <f>SUM(D41+E41)</f>
        <v/>
      </c>
      <c r="D41" s="1549">
        <f>SUM(F41+H41+J41+L41+N41+P41)</f>
        <v/>
      </c>
      <c r="E41" s="1516">
        <f>SUM(G41+I41+K41+M41+O41+Q41)</f>
        <v/>
      </c>
      <c r="F41" s="1519" t="n">
        <v>0</v>
      </c>
      <c r="G41" s="1550" t="n">
        <v>0</v>
      </c>
      <c r="H41" s="1519" t="n">
        <v>0</v>
      </c>
      <c r="I41" s="1550" t="n">
        <v>0</v>
      </c>
      <c r="J41" s="1519" t="n">
        <v>0</v>
      </c>
      <c r="K41" s="1550" t="n">
        <v>0</v>
      </c>
      <c r="L41" s="1519" t="n">
        <v>0</v>
      </c>
      <c r="M41" s="1550" t="n">
        <v>0</v>
      </c>
      <c r="N41" s="1519" t="n">
        <v>0</v>
      </c>
      <c r="O41" s="1550" t="n">
        <v>0</v>
      </c>
      <c r="P41" s="1551" t="n">
        <v>0</v>
      </c>
      <c r="Q41" s="1552" t="n">
        <v>0</v>
      </c>
      <c r="R41" s="5290" t="n">
        <v>0</v>
      </c>
      <c r="S41" s="1649" t="n">
        <v>0</v>
      </c>
      <c r="T41" s="938">
        <f>$CA41&amp;CB41</f>
        <v/>
      </c>
      <c r="U41" s="939" t="n"/>
      <c r="V41" s="939" t="n"/>
      <c r="W41" s="939" t="n"/>
      <c r="X41" s="939" t="n"/>
      <c r="Y41" s="939" t="n"/>
      <c r="Z41" s="939" t="n"/>
      <c r="AA41" s="939" t="n"/>
      <c r="AB41" s="939" t="n"/>
      <c r="AC41" s="939" t="n"/>
      <c r="AD41" s="939" t="n"/>
      <c r="AE41" s="939" t="n"/>
      <c r="AF41" s="939" t="n"/>
      <c r="AG41" s="939" t="n"/>
      <c r="AH41" s="939" t="n"/>
      <c r="AI41" s="939" t="n"/>
      <c r="AJ41" s="939" t="n"/>
      <c r="AK41" s="939" t="n"/>
      <c r="AL41" s="939" t="n"/>
      <c r="AM41" s="939" t="n"/>
      <c r="AN41" s="939" t="n"/>
      <c r="AO41" s="939" t="n"/>
      <c r="AP41" s="939" t="n"/>
      <c r="AQ41" s="939" t="n"/>
      <c r="AR41" s="939" t="n"/>
      <c r="AS41" s="939" t="n"/>
      <c r="AT41" s="939" t="n"/>
      <c r="AU41" s="939" t="n"/>
      <c r="AV41" s="939" t="n"/>
      <c r="AW41" s="939" t="n"/>
      <c r="AX41" s="939" t="n"/>
      <c r="AY41" s="940" t="n"/>
      <c r="AZ41" s="239" t="n"/>
      <c r="BA41" s="239" t="n"/>
      <c r="BB41" s="239" t="n"/>
      <c r="BC41" s="239" t="n"/>
      <c r="BD41" s="239" t="n"/>
      <c r="BE41" s="239" t="n"/>
      <c r="BF41" s="239" t="n"/>
      <c r="BG41" s="239" t="n"/>
      <c r="BH41" s="239" t="n"/>
      <c r="BI41" s="239" t="n"/>
      <c r="BJ41" s="239" t="n"/>
      <c r="BK41" s="239" t="n"/>
      <c r="BL41" s="239" t="n"/>
      <c r="BM41" s="239" t="n"/>
      <c r="BN41" s="239" t="n"/>
      <c r="BO41" s="239" t="n"/>
      <c r="BP41" s="239" t="n"/>
      <c r="BQ41" s="239" t="n"/>
      <c r="BR41" s="239" t="n"/>
      <c r="BS41" s="239" t="n"/>
      <c r="BT41" s="239" t="n"/>
      <c r="BU41" s="239" t="n"/>
      <c r="BV41" s="239" t="n"/>
      <c r="BW41" s="239" t="n"/>
      <c r="BX41" s="239" t="n"/>
      <c r="BY41" s="239" t="n"/>
      <c r="BZ41" s="239" t="n"/>
      <c r="CA41" s="240">
        <f>IF(AND($C41&lt;&gt;0,R41=""),"* No olvide ingresar la variable "&amp;R$17&amp;""&amp;". Digite CERO si no tiene. ",IF(R41&gt;$C41,"* La variable Pueblos Originarios no debe ser mayor al Total Ambos Sexos. ",""))</f>
        <v/>
      </c>
      <c r="CB41" s="240">
        <f>IF(AND($C41&lt;&gt;0,S41=""),"* No olvide ingresar la variable "&amp;S$17&amp;""&amp;". Digite CERO si no tiene. ",IF(S41&gt;$C41,"* La variable Migrantes no debe ser mayor al Total Ambos Sexos. ",""))</f>
        <v/>
      </c>
      <c r="CC41" s="239" t="n"/>
      <c r="CD41" s="239" t="n"/>
      <c r="CE41" s="64" t="n"/>
      <c r="CF41" s="64" t="n"/>
      <c r="CG41" s="64" t="n"/>
      <c r="CH41" s="64" t="n"/>
      <c r="CI41" s="64" t="n"/>
      <c r="CK41" s="29">
        <f>IF(AND($C41&lt;&gt;0,R41=""),1,IF(R41&gt;$C41,1,0))</f>
        <v/>
      </c>
      <c r="CL41" s="29">
        <f>IF(AND($C41&lt;&gt;0,S41=""),1,IF(S41&gt;$C41,1,0))</f>
        <v/>
      </c>
    </row>
    <row r="42" ht="18" customHeight="1" s="8286">
      <c r="A42" s="1572" t="inlineStr">
        <is>
          <t>SECCIÓN A.3: NIÑOS Y NIÑAS CON REZAGO, DÉFICIT O RIESGO BIOPSICOSOCIAL  DERIVADOS A ALGUNA MODALIDAD DE ESTIMULACIÓN EN LA PRIMERA EVALUACIÓN</t>
        </is>
      </c>
      <c r="B42" s="1573" t="n"/>
      <c r="C42" s="1573" t="n"/>
      <c r="D42" s="1573" t="n"/>
      <c r="E42" s="1573" t="n"/>
      <c r="F42" s="1573" t="n"/>
      <c r="G42" s="1573" t="n"/>
      <c r="H42" s="1573" t="n"/>
      <c r="I42" s="1573" t="n"/>
      <c r="J42" s="1573" t="n"/>
      <c r="K42" s="1573" t="n"/>
      <c r="L42" s="1573" t="n"/>
      <c r="M42" s="1573" t="n"/>
      <c r="N42" s="1573" t="n"/>
      <c r="O42" s="1573" t="n"/>
      <c r="P42" s="1573" t="n"/>
      <c r="Q42" s="622" t="n"/>
      <c r="R42" s="622" t="n"/>
      <c r="S42" s="622" t="n"/>
      <c r="T42" s="622" t="n"/>
      <c r="U42" s="622" t="n"/>
      <c r="V42" s="622" t="n"/>
      <c r="W42" s="622" t="n"/>
      <c r="X42" s="622" t="n"/>
      <c r="Y42" s="622" t="n"/>
      <c r="Z42" s="622" t="n"/>
      <c r="AA42" s="622" t="n"/>
      <c r="AB42" s="622" t="n"/>
      <c r="AC42" s="622" t="n"/>
      <c r="AD42" s="622" t="n"/>
      <c r="AE42" s="622" t="n"/>
      <c r="AF42" s="622" t="n"/>
      <c r="AG42" s="622" t="n"/>
      <c r="AH42" s="622" t="n"/>
      <c r="AI42" s="622" t="n"/>
      <c r="AJ42" s="622" t="n"/>
      <c r="AK42" s="622" t="n"/>
      <c r="AL42" s="622" t="n"/>
      <c r="AM42" s="622" t="n"/>
      <c r="AN42" s="622" t="n"/>
      <c r="AO42" s="622" t="n"/>
      <c r="AP42" s="622" t="n"/>
      <c r="AQ42" s="622" t="n"/>
      <c r="AR42" s="622" t="n"/>
      <c r="AS42" s="622" t="n"/>
      <c r="AT42" s="622" t="n"/>
      <c r="AU42" s="622" t="n"/>
      <c r="AV42" s="622" t="n"/>
      <c r="AW42" s="622" t="n"/>
      <c r="AX42" s="622" t="n"/>
      <c r="AY42" s="622" t="n"/>
    </row>
    <row r="43" ht="15" customHeight="1" s="8286">
      <c r="A43" s="9593" t="inlineStr">
        <is>
          <t>NIÑO / A</t>
        </is>
      </c>
      <c r="B43" s="9629" t="inlineStr">
        <is>
          <t xml:space="preserve">TOTAL    </t>
        </is>
      </c>
      <c r="C43" s="9602" t="n"/>
      <c r="D43" s="9630" t="n"/>
      <c r="E43" s="7180" t="inlineStr">
        <is>
          <t>RANGO ETARIO Y SEXO</t>
        </is>
      </c>
      <c r="F43" s="9617" t="n"/>
      <c r="G43" s="9617" t="n"/>
      <c r="H43" s="9617" t="n"/>
      <c r="I43" s="9617" t="n"/>
      <c r="J43" s="9617" t="n"/>
      <c r="K43" s="9617" t="n"/>
      <c r="L43" s="9617" t="n"/>
      <c r="M43" s="9617" t="n"/>
      <c r="N43" s="9617" t="n"/>
      <c r="O43" s="9617" t="n"/>
      <c r="P43" s="9617" t="n"/>
      <c r="Q43" s="9635" t="inlineStr">
        <is>
          <t>Pueblos Originarios</t>
        </is>
      </c>
      <c r="R43" s="7632" t="inlineStr">
        <is>
          <t>Migrantes</t>
        </is>
      </c>
      <c r="S43" s="622" t="n"/>
      <c r="T43" s="622" t="n"/>
      <c r="U43" s="622" t="n"/>
      <c r="V43" s="622" t="n"/>
      <c r="W43" s="622" t="n"/>
      <c r="X43" s="622" t="n"/>
      <c r="Y43" s="622" t="n"/>
      <c r="Z43" s="622" t="n"/>
      <c r="AA43" s="622" t="n"/>
      <c r="AB43" s="622" t="n"/>
      <c r="AC43" s="622" t="n"/>
      <c r="AD43" s="622" t="n"/>
      <c r="AE43" s="622" t="n"/>
      <c r="AF43" s="622" t="n"/>
      <c r="AG43" s="622" t="n"/>
      <c r="AH43" s="622" t="n"/>
      <c r="AI43" s="622" t="n"/>
      <c r="AJ43" s="622" t="n"/>
      <c r="AK43" s="622" t="n"/>
      <c r="AL43" s="622" t="n"/>
      <c r="AM43" s="622" t="n"/>
      <c r="AN43" s="622" t="n"/>
      <c r="AO43" s="622" t="n"/>
      <c r="AP43" s="622" t="n"/>
      <c r="AQ43" s="622" t="n"/>
      <c r="AR43" s="622" t="n"/>
      <c r="AS43" s="622" t="n"/>
      <c r="AT43" s="622" t="n"/>
      <c r="AU43" s="622" t="n"/>
      <c r="AV43" s="622" t="n"/>
      <c r="AW43" s="622" t="n"/>
      <c r="AX43" s="622" t="n"/>
      <c r="AY43" s="622" t="n"/>
    </row>
    <row r="44" ht="15" customHeight="1" s="8286">
      <c r="A44" s="9588" t="n"/>
      <c r="B44" s="9638" t="n"/>
      <c r="C44" s="9697" t="n"/>
      <c r="D44" s="9639" t="n"/>
      <c r="E44" s="9631" t="inlineStr">
        <is>
          <t>Menos de 7 meses</t>
        </is>
      </c>
      <c r="F44" s="9632" t="n"/>
      <c r="G44" s="9631" t="inlineStr">
        <is>
          <t>7 - 11 meses</t>
        </is>
      </c>
      <c r="H44" s="9632" t="n"/>
      <c r="I44" s="9631" t="inlineStr">
        <is>
          <t>12 - 17 meses</t>
        </is>
      </c>
      <c r="J44" s="9632" t="n"/>
      <c r="K44" s="9631" t="inlineStr">
        <is>
          <t>18 - 23 meses</t>
        </is>
      </c>
      <c r="L44" s="9632" t="n"/>
      <c r="M44" s="9631" t="inlineStr">
        <is>
          <t>24 - 47 meses</t>
        </is>
      </c>
      <c r="N44" s="9632" t="n"/>
      <c r="O44" s="9701" t="inlineStr">
        <is>
          <t>48 - 59 meses</t>
        </is>
      </c>
      <c r="P44" s="9617" t="n"/>
      <c r="Q44" s="9656" t="n"/>
      <c r="R44" s="9614" t="n"/>
      <c r="S44" s="622" t="n"/>
      <c r="T44" s="622" t="n"/>
      <c r="U44" s="622" t="n"/>
      <c r="V44" s="622" t="n"/>
      <c r="W44" s="622" t="n"/>
      <c r="X44" s="622" t="n"/>
      <c r="Y44" s="622" t="n"/>
      <c r="Z44" s="622" t="n"/>
      <c r="AA44" s="622" t="n"/>
      <c r="AB44" s="622" t="n"/>
      <c r="AC44" s="622" t="n"/>
      <c r="AD44" s="622" t="n"/>
      <c r="AE44" s="622" t="n"/>
      <c r="AF44" s="622" t="n"/>
      <c r="AG44" s="622" t="n"/>
      <c r="AH44" s="622" t="n"/>
      <c r="AI44" s="622" t="n"/>
      <c r="AJ44" s="622" t="n"/>
      <c r="AK44" s="622" t="n"/>
      <c r="AL44" s="622" t="n"/>
      <c r="AM44" s="622" t="n"/>
      <c r="AN44" s="622" t="n"/>
      <c r="AO44" s="622" t="n"/>
      <c r="AP44" s="622" t="n"/>
      <c r="AQ44" s="622" t="n"/>
      <c r="AR44" s="622" t="n"/>
      <c r="AS44" s="622" t="n"/>
      <c r="AT44" s="622" t="n"/>
      <c r="AU44" s="622" t="n"/>
      <c r="AV44" s="622" t="n"/>
      <c r="AW44" s="622" t="n"/>
      <c r="AX44" s="622" t="n"/>
      <c r="AY44" s="622" t="n"/>
    </row>
    <row r="45" ht="15" customHeight="1" s="8286">
      <c r="A45" s="9589" t="n"/>
      <c r="B45" s="1574" t="inlineStr">
        <is>
          <t>Ambos Sexos</t>
        </is>
      </c>
      <c r="C45" s="7400" t="inlineStr">
        <is>
          <t>Hombres</t>
        </is>
      </c>
      <c r="D45" s="7542" t="inlineStr">
        <is>
          <t>Mujeres</t>
        </is>
      </c>
      <c r="E45" s="1500" t="inlineStr">
        <is>
          <t>Hombres</t>
        </is>
      </c>
      <c r="F45" s="7217" t="inlineStr">
        <is>
          <t>Mujeres</t>
        </is>
      </c>
      <c r="G45" s="1500" t="inlineStr">
        <is>
          <t>Hombres</t>
        </is>
      </c>
      <c r="H45" s="7217" t="inlineStr">
        <is>
          <t>Mujeres</t>
        </is>
      </c>
      <c r="I45" s="1500" t="inlineStr">
        <is>
          <t>Hombres</t>
        </is>
      </c>
      <c r="J45" s="7217" t="inlineStr">
        <is>
          <t>Mujeres</t>
        </is>
      </c>
      <c r="K45" s="1500" t="inlineStr">
        <is>
          <t>Hombres</t>
        </is>
      </c>
      <c r="L45" s="7217" t="inlineStr">
        <is>
          <t>Mujeres</t>
        </is>
      </c>
      <c r="M45" s="1500" t="inlineStr">
        <is>
          <t>Hombres</t>
        </is>
      </c>
      <c r="N45" s="7217" t="inlineStr">
        <is>
          <t>Mujeres</t>
        </is>
      </c>
      <c r="O45" s="1500" t="inlineStr">
        <is>
          <t>Hombres</t>
        </is>
      </c>
      <c r="P45" s="7191" t="inlineStr">
        <is>
          <t>Mujeres</t>
        </is>
      </c>
      <c r="Q45" s="9640" t="n"/>
      <c r="R45" s="9610" t="n"/>
      <c r="S45" s="622" t="n"/>
      <c r="T45" s="622" t="n"/>
      <c r="U45" s="622" t="n"/>
      <c r="V45" s="622" t="n"/>
      <c r="W45" s="622" t="n"/>
      <c r="X45" s="622" t="n"/>
      <c r="Y45" s="622" t="n"/>
      <c r="Z45" s="622" t="n"/>
      <c r="AA45" s="622" t="n"/>
      <c r="AB45" s="622" t="n"/>
      <c r="AC45" s="622" t="n"/>
      <c r="AD45" s="622" t="n"/>
      <c r="AE45" s="622" t="n"/>
      <c r="AF45" s="622" t="n"/>
      <c r="AG45" s="622" t="n"/>
      <c r="AH45" s="622" t="n"/>
      <c r="AI45" s="622" t="n"/>
      <c r="AJ45" s="622" t="n"/>
      <c r="AK45" s="622" t="n"/>
      <c r="AL45" s="622" t="n"/>
      <c r="AM45" s="622" t="n"/>
      <c r="AN45" s="622" t="n"/>
      <c r="AO45" s="622" t="n"/>
      <c r="AP45" s="622" t="n"/>
      <c r="AQ45" s="622" t="n"/>
      <c r="AR45" s="622" t="n"/>
      <c r="AS45" s="622" t="n"/>
      <c r="AT45" s="622" t="n"/>
      <c r="AU45" s="622" t="n"/>
      <c r="AV45" s="622" t="n"/>
      <c r="AW45" s="622" t="n"/>
      <c r="AX45" s="622" t="n"/>
      <c r="AY45" s="622" t="n"/>
    </row>
    <row r="46" ht="15" customHeight="1" s="8286">
      <c r="A46" s="1576" t="inlineStr">
        <is>
          <t>Normal con Rezago</t>
        </is>
      </c>
      <c r="B46" s="1577">
        <f>SUM(C46+D46)</f>
        <v/>
      </c>
      <c r="C46" s="1578">
        <f>SUM(E46+G46+I46+K46+M46+O46)</f>
        <v/>
      </c>
      <c r="D46" s="1579">
        <f>SUM(F46+H46+J46+L46+N46+P46)</f>
        <v/>
      </c>
      <c r="E46" s="1511" t="n"/>
      <c r="F46" s="1512" t="n"/>
      <c r="G46" s="1511" t="n"/>
      <c r="H46" s="1512" t="n"/>
      <c r="I46" s="1511" t="n"/>
      <c r="J46" s="1554" t="n"/>
      <c r="K46" s="1511" t="n"/>
      <c r="L46" s="1554" t="n"/>
      <c r="M46" s="1555" t="n"/>
      <c r="N46" s="1554" t="n"/>
      <c r="O46" s="1555" t="n"/>
      <c r="P46" s="1556" t="n"/>
      <c r="Q46" s="5291" t="n"/>
      <c r="R46" s="5295" t="n"/>
      <c r="S46" s="938">
        <f>$CA46&amp;CB46</f>
        <v/>
      </c>
      <c r="T46" s="939" t="n"/>
      <c r="U46" s="939" t="n"/>
      <c r="V46" s="939" t="n"/>
      <c r="W46" s="939" t="n"/>
      <c r="X46" s="939" t="n"/>
      <c r="Y46" s="939" t="n"/>
      <c r="Z46" s="939" t="n"/>
      <c r="AA46" s="939" t="n"/>
      <c r="AB46" s="939" t="n"/>
      <c r="AC46" s="939" t="n"/>
      <c r="AD46" s="939" t="n"/>
      <c r="AE46" s="939" t="n"/>
      <c r="AF46" s="939" t="n"/>
      <c r="AG46" s="939" t="n"/>
      <c r="AH46" s="939" t="n"/>
      <c r="AI46" s="939" t="n"/>
      <c r="AJ46" s="939" t="n"/>
      <c r="AK46" s="939" t="n"/>
      <c r="AL46" s="939" t="n"/>
      <c r="AM46" s="939" t="n"/>
      <c r="AN46" s="939" t="n"/>
      <c r="AO46" s="939" t="n"/>
      <c r="AP46" s="939" t="n"/>
      <c r="AQ46" s="939" t="n"/>
      <c r="AR46" s="939" t="n"/>
      <c r="AS46" s="939" t="n"/>
      <c r="AT46" s="939" t="n"/>
      <c r="AU46" s="939" t="n"/>
      <c r="AV46" s="939" t="n"/>
      <c r="AW46" s="939" t="n"/>
      <c r="AX46" s="940" t="n"/>
      <c r="AY46" s="940" t="n"/>
      <c r="AZ46" s="239" t="n"/>
      <c r="BA46" s="239" t="n"/>
      <c r="BB46" s="239" t="n"/>
      <c r="BC46" s="239" t="n"/>
      <c r="BD46" s="239" t="n"/>
      <c r="BE46" s="239" t="n"/>
      <c r="BF46" s="239" t="n"/>
      <c r="BG46" s="239" t="n"/>
      <c r="BH46" s="239" t="n"/>
      <c r="BI46" s="239" t="n"/>
      <c r="BJ46" s="239" t="n"/>
      <c r="BK46" s="239" t="n"/>
      <c r="BL46" s="239" t="n"/>
      <c r="BM46" s="239" t="n"/>
      <c r="BN46" s="239" t="n"/>
      <c r="BO46" s="239" t="n"/>
      <c r="BP46" s="239" t="n"/>
      <c r="BQ46" s="239" t="n"/>
      <c r="BR46" s="239" t="n"/>
      <c r="BS46" s="239" t="n"/>
      <c r="BT46" s="239" t="n"/>
      <c r="BU46" s="239" t="n"/>
      <c r="BV46" s="239" t="n"/>
      <c r="BW46" s="239" t="n"/>
      <c r="BX46" s="239" t="n"/>
      <c r="BY46" s="239" t="n"/>
      <c r="BZ46" s="239" t="n"/>
      <c r="CA46" s="240">
        <f>IF(AND($B46&lt;&gt;0,Q46=""),"* No olvide ingresar la variable "&amp;Q$43&amp;""&amp;". Digite CERO si no tiene. ",IF(Q46&gt;$B46,"* La variable Pueblos Originarios no debe ser mayor al Total Ambos Sexos. ",""))</f>
        <v/>
      </c>
      <c r="CB46" s="240">
        <f>IF(AND($B46&lt;&gt;0,R46=""),"* No olvide ingresar la variable "&amp;R$43&amp;""&amp;" (Digite CERO si no tiene). ",IF(R46&gt;$B46,"* La variable Migrantes no debe ser mayor al Total Ambos Sexos. ",""))</f>
        <v/>
      </c>
      <c r="CC46" s="239" t="n"/>
      <c r="CD46" s="239" t="n"/>
      <c r="CE46" s="64" t="n"/>
      <c r="CF46" s="64" t="n"/>
      <c r="CG46" s="64" t="n"/>
      <c r="CH46" s="64" t="n"/>
      <c r="CI46" s="64" t="n"/>
      <c r="CK46" s="29">
        <f>IF(AND($B46&lt;&gt;0,Q46=""),1,IF(Q46&gt;$B46,1,0))</f>
        <v/>
      </c>
      <c r="CL46" s="29">
        <f>IF(AND($B46&lt;&gt;0,R46=""),1,IF(R46&gt;$B46,1,0))</f>
        <v/>
      </c>
    </row>
    <row r="47" ht="15" customHeight="1" s="8286">
      <c r="A47" s="1580" t="inlineStr">
        <is>
          <t>Riesgo</t>
        </is>
      </c>
      <c r="B47" s="1581">
        <f>SUM(C47+D47)</f>
        <v/>
      </c>
      <c r="C47" s="1582">
        <f>SUM(E47+G47+I47+K47+M47+O47)</f>
        <v/>
      </c>
      <c r="D47" s="1583">
        <f>SUM(F47+H47+J47+L47+N47+P47)</f>
        <v/>
      </c>
      <c r="E47" s="1539" t="n"/>
      <c r="F47" s="1535" t="n"/>
      <c r="G47" s="942" t="n"/>
      <c r="H47" s="1535" t="n"/>
      <c r="I47" s="942" t="n"/>
      <c r="J47" s="943" t="n"/>
      <c r="K47" s="942" t="n"/>
      <c r="L47" s="943" t="n"/>
      <c r="M47" s="1532" t="n"/>
      <c r="N47" s="943" t="n"/>
      <c r="O47" s="1532" t="n"/>
      <c r="P47" s="1533" t="n"/>
      <c r="Q47" s="5289" t="n"/>
      <c r="R47" s="5294" t="n"/>
      <c r="S47" s="938">
        <f>$CA47&amp;CB47</f>
        <v/>
      </c>
      <c r="T47" s="939" t="n"/>
      <c r="U47" s="939" t="n"/>
      <c r="V47" s="939" t="n"/>
      <c r="W47" s="939" t="n"/>
      <c r="X47" s="939" t="n"/>
      <c r="Y47" s="939" t="n"/>
      <c r="Z47" s="939" t="n"/>
      <c r="AA47" s="939" t="n"/>
      <c r="AB47" s="939" t="n"/>
      <c r="AC47" s="939" t="n"/>
      <c r="AD47" s="939" t="n"/>
      <c r="AE47" s="939" t="n"/>
      <c r="AF47" s="939" t="n"/>
      <c r="AG47" s="939" t="n"/>
      <c r="AH47" s="939" t="n"/>
      <c r="AI47" s="939" t="n"/>
      <c r="AJ47" s="939" t="n"/>
      <c r="AK47" s="939" t="n"/>
      <c r="AL47" s="939" t="n"/>
      <c r="AM47" s="939" t="n"/>
      <c r="AN47" s="939" t="n"/>
      <c r="AO47" s="939" t="n"/>
      <c r="AP47" s="939" t="n"/>
      <c r="AQ47" s="939" t="n"/>
      <c r="AR47" s="939" t="n"/>
      <c r="AS47" s="939" t="n"/>
      <c r="AT47" s="939" t="n"/>
      <c r="AU47" s="939" t="n"/>
      <c r="AV47" s="939" t="n"/>
      <c r="AW47" s="939" t="n"/>
      <c r="AX47" s="940" t="n"/>
      <c r="AY47" s="940" t="n"/>
      <c r="AZ47" s="239" t="n"/>
      <c r="BA47" s="239" t="n"/>
      <c r="BB47" s="239" t="n"/>
      <c r="BC47" s="239" t="n"/>
      <c r="BD47" s="239" t="n"/>
      <c r="BE47" s="239" t="n"/>
      <c r="BF47" s="239" t="n"/>
      <c r="BG47" s="239" t="n"/>
      <c r="BH47" s="239" t="n"/>
      <c r="BI47" s="239" t="n"/>
      <c r="BJ47" s="239" t="n"/>
      <c r="BK47" s="239" t="n"/>
      <c r="BL47" s="239" t="n"/>
      <c r="BM47" s="239" t="n"/>
      <c r="BN47" s="239" t="n"/>
      <c r="BO47" s="239" t="n"/>
      <c r="BP47" s="239" t="n"/>
      <c r="BQ47" s="239" t="n"/>
      <c r="BR47" s="239" t="n"/>
      <c r="BS47" s="239" t="n"/>
      <c r="BT47" s="239" t="n"/>
      <c r="BU47" s="239" t="n"/>
      <c r="BV47" s="239" t="n"/>
      <c r="BW47" s="239" t="n"/>
      <c r="BX47" s="239" t="n"/>
      <c r="BY47" s="239" t="n"/>
      <c r="BZ47" s="239" t="n"/>
      <c r="CA47" s="240">
        <f>IF(AND($B47&lt;&gt;0,Q47=""),"* No olvide ingresar la variable "&amp;Q$43&amp;""&amp;". Digite CERO si no tiene. ",IF(Q47&gt;$B47,"* La variable Pueblos Originarios no debe ser mayor al Total Ambos Sexos. ",""))</f>
        <v/>
      </c>
      <c r="CB47" s="240">
        <f>IF(AND($B47&lt;&gt;0,R47=""),"* No olvide ingresar la variable "&amp;R$43&amp;""&amp;" (Digite CERO si no tiene). ",IF(R47&gt;$B47,"* La variable Migrantes no debe ser mayor al Total Ambos Sexos. ",""))</f>
        <v/>
      </c>
      <c r="CC47" s="239" t="n"/>
      <c r="CD47" s="239" t="n"/>
      <c r="CE47" s="64" t="n"/>
      <c r="CF47" s="64" t="n"/>
      <c r="CG47" s="64" t="n"/>
      <c r="CH47" s="64" t="n"/>
      <c r="CI47" s="64" t="n"/>
      <c r="CK47" s="29">
        <f>IF(AND($B47&lt;&gt;0,Q47=""),1,IF(Q47&gt;$B47,1,0))</f>
        <v/>
      </c>
      <c r="CL47" s="29">
        <f>IF(AND($B47&lt;&gt;0,R47=""),1,IF(R47&gt;$B47,1,0))</f>
        <v/>
      </c>
    </row>
    <row r="48" ht="15" customHeight="1" s="8286">
      <c r="A48" s="1580" t="inlineStr">
        <is>
          <t>Retraso</t>
        </is>
      </c>
      <c r="B48" s="1584">
        <f>SUM(C48+D48)</f>
        <v/>
      </c>
      <c r="C48" s="1585">
        <f>SUM(E48+G48+I48+K48+M48+O48)</f>
        <v/>
      </c>
      <c r="D48" s="1586">
        <f>SUM(F48+H48+J48+L48+N48+P48)</f>
        <v/>
      </c>
      <c r="E48" s="1539" t="n"/>
      <c r="F48" s="1544" t="n"/>
      <c r="G48" s="1539" t="n"/>
      <c r="H48" s="1544" t="n"/>
      <c r="I48" s="1539" t="n"/>
      <c r="J48" s="1540" t="n"/>
      <c r="K48" s="1539" t="n"/>
      <c r="L48" s="1540" t="n"/>
      <c r="M48" s="1541" t="n"/>
      <c r="N48" s="1540" t="n"/>
      <c r="O48" s="1541" t="n"/>
      <c r="P48" s="1542" t="n"/>
      <c r="Q48" s="5289" t="n"/>
      <c r="R48" s="5294" t="n"/>
      <c r="S48" s="938">
        <f>$CA48&amp;CB48</f>
        <v/>
      </c>
      <c r="T48" s="939" t="n"/>
      <c r="U48" s="939" t="n"/>
      <c r="V48" s="939" t="n"/>
      <c r="W48" s="939" t="n"/>
      <c r="X48" s="939" t="n"/>
      <c r="Y48" s="939" t="n"/>
      <c r="Z48" s="939" t="n"/>
      <c r="AA48" s="939" t="n"/>
      <c r="AB48" s="939" t="n"/>
      <c r="AC48" s="939" t="n"/>
      <c r="AD48" s="939" t="n"/>
      <c r="AE48" s="939" t="n"/>
      <c r="AF48" s="939" t="n"/>
      <c r="AG48" s="939" t="n"/>
      <c r="AH48" s="939" t="n"/>
      <c r="AI48" s="939" t="n"/>
      <c r="AJ48" s="939" t="n"/>
      <c r="AK48" s="939" t="n"/>
      <c r="AL48" s="939" t="n"/>
      <c r="AM48" s="939" t="n"/>
      <c r="AN48" s="939" t="n"/>
      <c r="AO48" s="939" t="n"/>
      <c r="AP48" s="939" t="n"/>
      <c r="AQ48" s="939" t="n"/>
      <c r="AR48" s="939" t="n"/>
      <c r="AS48" s="939" t="n"/>
      <c r="AT48" s="939" t="n"/>
      <c r="AU48" s="939" t="n"/>
      <c r="AV48" s="939" t="n"/>
      <c r="AW48" s="939" t="n"/>
      <c r="AX48" s="940" t="n"/>
      <c r="AY48" s="940" t="n"/>
      <c r="AZ48" s="239" t="n"/>
      <c r="BA48" s="239" t="n"/>
      <c r="BB48" s="239" t="n"/>
      <c r="BC48" s="239" t="n"/>
      <c r="BD48" s="239" t="n"/>
      <c r="BE48" s="239" t="n"/>
      <c r="BF48" s="239" t="n"/>
      <c r="BG48" s="239" t="n"/>
      <c r="BH48" s="239" t="n"/>
      <c r="BI48" s="239" t="n"/>
      <c r="BJ48" s="239" t="n"/>
      <c r="BK48" s="239" t="n"/>
      <c r="BL48" s="239" t="n"/>
      <c r="BM48" s="239" t="n"/>
      <c r="BN48" s="239" t="n"/>
      <c r="BO48" s="239" t="n"/>
      <c r="BP48" s="239" t="n"/>
      <c r="BQ48" s="239" t="n"/>
      <c r="BR48" s="239" t="n"/>
      <c r="BS48" s="239" t="n"/>
      <c r="BT48" s="239" t="n"/>
      <c r="BU48" s="239" t="n"/>
      <c r="BV48" s="239" t="n"/>
      <c r="BW48" s="239" t="n"/>
      <c r="BX48" s="239" t="n"/>
      <c r="BY48" s="239" t="n"/>
      <c r="BZ48" s="239" t="n"/>
      <c r="CA48" s="240">
        <f>IF(AND($B48&lt;&gt;0,Q48=""),"* No olvide ingresar la variable "&amp;Q$43&amp;""&amp;". Digite CERO si no tiene. ",IF(Q48&gt;$B48,"* La variable Pueblos Originarios no debe ser mayor al Total Ambos Sexos. ",""))</f>
        <v/>
      </c>
      <c r="CB48" s="240">
        <f>IF(AND($B48&lt;&gt;0,R48=""),"* No olvide ingresar la variable "&amp;R$43&amp;""&amp;" (Digite CERO si no tiene). ",IF(R48&gt;$B48,"* La variable Migrantes no debe ser mayor al Total Ambos Sexos. ",""))</f>
        <v/>
      </c>
      <c r="CC48" s="239" t="n"/>
      <c r="CD48" s="239" t="n"/>
      <c r="CE48" s="64" t="n"/>
      <c r="CF48" s="64" t="n"/>
      <c r="CG48" s="64" t="n"/>
      <c r="CH48" s="64" t="n"/>
      <c r="CI48" s="64" t="n"/>
      <c r="CK48" s="29">
        <f>IF(AND($B48&lt;&gt;0,Q48=""),1,IF(Q48&gt;$B48,1,0))</f>
        <v/>
      </c>
      <c r="CL48" s="29">
        <f>IF(AND($B48&lt;&gt;0,R48=""),1,IF(R48&gt;$B48,1,0))</f>
        <v/>
      </c>
    </row>
    <row r="49" ht="15" customHeight="1" s="8286">
      <c r="A49" s="1587" t="inlineStr">
        <is>
          <t>Normal con Riesgo Biopsicosocial</t>
        </is>
      </c>
      <c r="B49" s="1082">
        <f>SUM(C49:D49)</f>
        <v/>
      </c>
      <c r="C49" s="1588">
        <f>SUM(E49+G49+I49+K49+M49+O49)</f>
        <v/>
      </c>
      <c r="D49" s="1589">
        <f>SUM(F49+H49+J49+L49+N49+P49)</f>
        <v/>
      </c>
      <c r="E49" s="1083" t="n"/>
      <c r="F49" s="1590" t="n"/>
      <c r="G49" s="1083" t="n"/>
      <c r="H49" s="1590" t="n"/>
      <c r="I49" s="1083" t="n"/>
      <c r="J49" s="949" t="n"/>
      <c r="K49" s="1083" t="n"/>
      <c r="L49" s="949" t="n"/>
      <c r="M49" s="1591" t="n"/>
      <c r="N49" s="949" t="n"/>
      <c r="O49" s="1591" t="n"/>
      <c r="P49" s="950" t="n"/>
      <c r="Q49" s="5297" t="n"/>
      <c r="R49" s="5298" t="n"/>
      <c r="S49" s="938">
        <f>$CA49&amp;CB49</f>
        <v/>
      </c>
      <c r="T49" s="939" t="n"/>
      <c r="U49" s="939" t="n"/>
      <c r="V49" s="939" t="n"/>
      <c r="W49" s="939" t="n"/>
      <c r="X49" s="939" t="n"/>
      <c r="Y49" s="939" t="n"/>
      <c r="Z49" s="939" t="n"/>
      <c r="AA49" s="939" t="n"/>
      <c r="AB49" s="939" t="n"/>
      <c r="AC49" s="939" t="n"/>
      <c r="AD49" s="939" t="n"/>
      <c r="AE49" s="939" t="n"/>
      <c r="AF49" s="939" t="n"/>
      <c r="AG49" s="939" t="n"/>
      <c r="AH49" s="939" t="n"/>
      <c r="AI49" s="939" t="n"/>
      <c r="AJ49" s="939" t="n"/>
      <c r="AK49" s="939" t="n"/>
      <c r="AL49" s="939" t="n"/>
      <c r="AM49" s="939" t="n"/>
      <c r="AN49" s="939" t="n"/>
      <c r="AO49" s="939" t="n"/>
      <c r="AP49" s="939" t="n"/>
      <c r="AQ49" s="939" t="n"/>
      <c r="AR49" s="939" t="n"/>
      <c r="AS49" s="939" t="n"/>
      <c r="AT49" s="939" t="n"/>
      <c r="AU49" s="939" t="n"/>
      <c r="AV49" s="939" t="n"/>
      <c r="AW49" s="939" t="n"/>
      <c r="AX49" s="940" t="n"/>
      <c r="AY49" s="940" t="n"/>
      <c r="AZ49" s="239" t="n"/>
      <c r="BA49" s="239" t="n"/>
      <c r="BB49" s="239" t="n"/>
      <c r="BC49" s="239" t="n"/>
      <c r="BD49" s="239" t="n"/>
      <c r="BE49" s="239" t="n"/>
      <c r="BF49" s="239" t="n"/>
      <c r="BG49" s="239" t="n"/>
      <c r="BH49" s="239" t="n"/>
      <c r="BI49" s="239" t="n"/>
      <c r="BJ49" s="239" t="n"/>
      <c r="BK49" s="239" t="n"/>
      <c r="BL49" s="239" t="n"/>
      <c r="BM49" s="239" t="n"/>
      <c r="BN49" s="239" t="n"/>
      <c r="BO49" s="239" t="n"/>
      <c r="BP49" s="239" t="n"/>
      <c r="BQ49" s="239" t="n"/>
      <c r="BR49" s="239" t="n"/>
      <c r="BS49" s="239" t="n"/>
      <c r="BT49" s="239" t="n"/>
      <c r="BU49" s="239" t="n"/>
      <c r="BV49" s="239" t="n"/>
      <c r="BW49" s="239" t="n"/>
      <c r="BX49" s="239" t="n"/>
      <c r="BY49" s="239" t="n"/>
      <c r="BZ49" s="239" t="n"/>
      <c r="CA49" s="240">
        <f>IF(AND($B49&lt;&gt;0,Q49=""),"* No olvide ingresar la variable "&amp;Q$43&amp;""&amp;". Digite CERO si no tiene. ",IF(Q49&gt;$B49,"* La variable Pueblos Originarios no debe ser mayor al Total Ambos Sexos. ",""))</f>
        <v/>
      </c>
      <c r="CB49" s="240">
        <f>IF(AND($B49&lt;&gt;0,R49=""),"* No olvide ingresar la variable "&amp;R$43&amp;""&amp;" (Digite CERO si no tiene). ",IF(R49&gt;$B49,"* La variable Migrantes no debe ser mayor al Total Ambos Sexos. ",""))</f>
        <v/>
      </c>
      <c r="CC49" s="239" t="n"/>
      <c r="CD49" s="239" t="n"/>
      <c r="CE49" s="64" t="n"/>
      <c r="CF49" s="64" t="n"/>
      <c r="CG49" s="64" t="n"/>
      <c r="CH49" s="64" t="n"/>
      <c r="CI49" s="64" t="n"/>
      <c r="CK49" s="29">
        <f>IF(AND($B49&lt;&gt;0,Q49=""),1,IF(Q49&gt;$B49,1,0))</f>
        <v/>
      </c>
      <c r="CL49" s="29">
        <f>IF(AND($B49&lt;&gt;0,R49=""),1,IF(R49&gt;$B49,1,0))</f>
        <v/>
      </c>
    </row>
    <row r="50" ht="18" customHeight="1" s="8286">
      <c r="A50" s="1490" t="inlineStr">
        <is>
          <t>SECCIÓN A.4: RESULTADOS DE LA APLICACIÓN DE PROTOCOLO NEUROSENSORIAL</t>
        </is>
      </c>
      <c r="B50" s="1491" t="n"/>
      <c r="C50" s="1491" t="n"/>
      <c r="D50" s="1491" t="n"/>
      <c r="E50" s="1491" t="n"/>
      <c r="F50" s="1491" t="n"/>
      <c r="G50" s="1491" t="n"/>
      <c r="H50" s="1491" t="n"/>
      <c r="I50" s="622" t="n"/>
      <c r="J50" s="622" t="n"/>
      <c r="K50" s="622" t="n"/>
      <c r="L50" s="622" t="n"/>
      <c r="M50" s="622" t="n"/>
      <c r="N50" s="622" t="n"/>
      <c r="O50" s="622" t="n"/>
      <c r="P50" s="622" t="n"/>
      <c r="Q50" s="622" t="n"/>
      <c r="R50" s="622" t="n"/>
      <c r="S50" s="622" t="n"/>
      <c r="T50" s="622" t="n"/>
      <c r="U50" s="622" t="n"/>
      <c r="V50" s="622" t="n"/>
      <c r="W50" s="622" t="n"/>
      <c r="X50" s="622" t="n"/>
      <c r="Y50" s="622" t="n"/>
      <c r="Z50" s="622" t="n"/>
      <c r="AA50" s="622" t="n"/>
      <c r="AB50" s="622" t="n"/>
      <c r="AC50" s="622" t="n"/>
      <c r="AD50" s="622" t="n"/>
      <c r="AE50" s="622" t="n"/>
      <c r="AF50" s="622" t="n"/>
      <c r="AG50" s="622" t="n"/>
      <c r="AH50" s="622" t="n"/>
      <c r="AI50" s="622" t="n"/>
      <c r="AJ50" s="622" t="n"/>
      <c r="AK50" s="622" t="n"/>
      <c r="AL50" s="622" t="n"/>
      <c r="AM50" s="622" t="n"/>
      <c r="AN50" s="622" t="n"/>
      <c r="AO50" s="622" t="n"/>
      <c r="AP50" s="622" t="n"/>
      <c r="AQ50" s="622" t="n"/>
      <c r="AR50" s="622" t="n"/>
      <c r="AS50" s="622" t="n"/>
      <c r="AT50" s="622" t="n"/>
      <c r="AU50" s="622" t="n"/>
      <c r="AV50" s="622" t="n"/>
      <c r="AW50" s="622" t="n"/>
      <c r="AX50" s="622" t="n"/>
      <c r="AY50" s="622" t="n"/>
    </row>
    <row r="51" ht="15" customHeight="1" s="8286">
      <c r="A51" s="9592" t="inlineStr">
        <is>
          <t>RESULTADOS</t>
        </is>
      </c>
      <c r="B51" s="9629" t="inlineStr">
        <is>
          <t xml:space="preserve">TOTAL  </t>
        </is>
      </c>
      <c r="C51" s="9602" t="n"/>
      <c r="D51" s="9630" t="n"/>
      <c r="E51" s="7632" t="inlineStr">
        <is>
          <t>RANGO ETARIO Y SEXO</t>
        </is>
      </c>
      <c r="F51" s="9584" t="n"/>
      <c r="G51" s="9584" t="n"/>
      <c r="H51" s="9582" t="n"/>
      <c r="I51" s="9598" t="inlineStr">
        <is>
          <t>Pueblos Originarios</t>
        </is>
      </c>
      <c r="J51" s="9703" t="inlineStr">
        <is>
          <t>Migrantes</t>
        </is>
      </c>
      <c r="K51" s="622" t="n"/>
      <c r="L51" s="622" t="n"/>
      <c r="M51" s="622" t="n"/>
      <c r="N51" s="622" t="n"/>
      <c r="O51" s="622" t="n"/>
      <c r="P51" s="622" t="n"/>
      <c r="Q51" s="622" t="n"/>
      <c r="R51" s="622" t="n"/>
      <c r="S51" s="622" t="n"/>
      <c r="T51" s="622" t="n"/>
      <c r="U51" s="622" t="n"/>
      <c r="V51" s="622" t="n"/>
      <c r="W51" s="622" t="n"/>
      <c r="X51" s="622" t="n"/>
      <c r="Y51" s="622" t="n"/>
      <c r="Z51" s="622" t="n"/>
      <c r="AA51" s="622" t="n"/>
      <c r="AB51" s="622" t="n"/>
      <c r="AC51" s="622" t="n"/>
      <c r="AD51" s="622" t="n"/>
      <c r="AE51" s="622" t="n"/>
      <c r="AF51" s="622" t="n"/>
      <c r="AG51" s="622" t="n"/>
      <c r="AH51" s="622" t="n"/>
      <c r="AI51" s="622" t="n"/>
      <c r="AJ51" s="622" t="n"/>
      <c r="AK51" s="622" t="n"/>
      <c r="AL51" s="622" t="n"/>
      <c r="AM51" s="622" t="n"/>
      <c r="AN51" s="622" t="n"/>
      <c r="AO51" s="622" t="n"/>
      <c r="AP51" s="622" t="n"/>
      <c r="AQ51" s="622" t="n"/>
      <c r="AR51" s="622" t="n"/>
      <c r="AS51" s="622" t="n"/>
      <c r="AT51" s="622" t="n"/>
      <c r="AU51" s="622" t="n"/>
      <c r="AV51" s="622" t="n"/>
      <c r="AW51" s="622" t="n"/>
      <c r="AX51" s="622" t="n"/>
      <c r="AY51" s="622" t="n"/>
    </row>
    <row r="52" ht="15" customHeight="1" s="8286">
      <c r="A52" s="9588" t="n"/>
      <c r="B52" s="9638" t="n"/>
      <c r="C52" s="9697" t="n"/>
      <c r="D52" s="9639" t="n"/>
      <c r="E52" s="9631" t="inlineStr">
        <is>
          <t>1 mes</t>
        </is>
      </c>
      <c r="F52" s="9632" t="n"/>
      <c r="G52" s="9701" t="inlineStr">
        <is>
          <t>2 meses</t>
        </is>
      </c>
      <c r="H52" s="9617" t="n"/>
      <c r="I52" s="9683" t="n"/>
      <c r="J52" s="9704" t="n"/>
      <c r="K52" s="622" t="n"/>
      <c r="L52" s="622" t="n"/>
      <c r="M52" s="622" t="n"/>
      <c r="N52" s="622" t="n"/>
      <c r="O52" s="622" t="n"/>
      <c r="P52" s="622" t="n"/>
      <c r="Q52" s="622" t="n"/>
      <c r="R52" s="622" t="n"/>
      <c r="S52" s="622" t="n"/>
      <c r="T52" s="622" t="n"/>
      <c r="U52" s="622" t="n"/>
      <c r="V52" s="622" t="n"/>
      <c r="W52" s="622" t="n"/>
      <c r="X52" s="622" t="n"/>
      <c r="Y52" s="622" t="n"/>
      <c r="Z52" s="622" t="n"/>
      <c r="AA52" s="622" t="n"/>
      <c r="AB52" s="622" t="n"/>
      <c r="AC52" s="622" t="n"/>
      <c r="AD52" s="622" t="n"/>
      <c r="AE52" s="622" t="n"/>
      <c r="AF52" s="622" t="n"/>
      <c r="AG52" s="622" t="n"/>
      <c r="AH52" s="622" t="n"/>
      <c r="AI52" s="622" t="n"/>
      <c r="AJ52" s="622" t="n"/>
      <c r="AK52" s="622" t="n"/>
      <c r="AL52" s="622" t="n"/>
      <c r="AM52" s="622" t="n"/>
      <c r="AN52" s="622" t="n"/>
      <c r="AO52" s="622" t="n"/>
      <c r="AP52" s="622" t="n"/>
      <c r="AQ52" s="622" t="n"/>
      <c r="AR52" s="622" t="n"/>
      <c r="AS52" s="622" t="n"/>
      <c r="AT52" s="622" t="n"/>
      <c r="AU52" s="622" t="n"/>
      <c r="AV52" s="622" t="n"/>
      <c r="AW52" s="622" t="n"/>
      <c r="AX52" s="622" t="n"/>
      <c r="AY52" s="622" t="n"/>
    </row>
    <row r="53" ht="15" customHeight="1" s="8286">
      <c r="A53" s="9589" t="n"/>
      <c r="B53" s="1574" t="inlineStr">
        <is>
          <t>Ambos Sexos</t>
        </is>
      </c>
      <c r="C53" s="7400" t="inlineStr">
        <is>
          <t>Hombres</t>
        </is>
      </c>
      <c r="D53" s="7542" t="inlineStr">
        <is>
          <t>Mujeres</t>
        </is>
      </c>
      <c r="E53" s="1500" t="inlineStr">
        <is>
          <t>Hombres</t>
        </is>
      </c>
      <c r="F53" s="7280" t="inlineStr">
        <is>
          <t>Mujeres</t>
        </is>
      </c>
      <c r="G53" s="1500" t="inlineStr">
        <is>
          <t>Hombres</t>
        </is>
      </c>
      <c r="H53" s="7275" t="inlineStr">
        <is>
          <t>Mujeres</t>
        </is>
      </c>
      <c r="I53" s="9604" t="n"/>
      <c r="J53" s="9705" t="n"/>
      <c r="K53" s="622" t="n"/>
      <c r="L53" s="622" t="n"/>
      <c r="M53" s="622" t="n"/>
      <c r="N53" s="622" t="n"/>
      <c r="O53" s="622" t="n"/>
      <c r="P53" s="622" t="n"/>
      <c r="Q53" s="622" t="n"/>
      <c r="R53" s="622" t="n"/>
      <c r="S53" s="622" t="n"/>
      <c r="T53" s="622" t="n"/>
      <c r="U53" s="622" t="n"/>
      <c r="V53" s="622" t="n"/>
      <c r="W53" s="622" t="n"/>
      <c r="X53" s="622" t="n"/>
      <c r="Y53" s="622" t="n"/>
      <c r="Z53" s="622" t="n"/>
      <c r="AA53" s="622" t="n"/>
      <c r="AB53" s="622" t="n"/>
      <c r="AC53" s="622" t="n"/>
      <c r="AD53" s="622" t="n"/>
      <c r="AE53" s="622" t="n"/>
      <c r="AF53" s="622" t="n"/>
      <c r="AG53" s="622" t="n"/>
      <c r="AH53" s="622" t="n"/>
      <c r="AI53" s="622" t="n"/>
      <c r="AJ53" s="622" t="n"/>
      <c r="AK53" s="622" t="n"/>
      <c r="AL53" s="622" t="n"/>
      <c r="AM53" s="622" t="n"/>
      <c r="AN53" s="622" t="n"/>
      <c r="AO53" s="622" t="n"/>
      <c r="AP53" s="622" t="n"/>
      <c r="AQ53" s="622" t="n"/>
      <c r="AR53" s="622" t="n"/>
      <c r="AS53" s="622" t="n"/>
      <c r="AT53" s="622" t="n"/>
      <c r="AU53" s="622" t="n"/>
      <c r="AV53" s="622" t="n"/>
      <c r="AW53" s="622" t="n"/>
      <c r="AX53" s="622" t="n"/>
      <c r="AY53" s="622" t="n"/>
    </row>
    <row r="54" ht="21" customHeight="1" s="8286">
      <c r="A54" s="1592" t="inlineStr">
        <is>
          <t>Aplicación de Protocolo Neurosensorial (1-2 meses)</t>
        </is>
      </c>
      <c r="B54" s="1593">
        <f>SUM(C54+D54)</f>
        <v/>
      </c>
      <c r="C54" s="1594">
        <f>SUM(E54+G54)</f>
        <v/>
      </c>
      <c r="D54" s="1527">
        <f>SUM(F54+H54)</f>
        <v/>
      </c>
      <c r="E54" s="1595">
        <f>SUM(E55:E57)</f>
        <v/>
      </c>
      <c r="F54" s="1596">
        <f>SUM(F55:F57)</f>
        <v/>
      </c>
      <c r="G54" s="1597">
        <f>SUM(G55:G57)</f>
        <v/>
      </c>
      <c r="H54" s="1598">
        <f>SUM(H55:H57)</f>
        <v/>
      </c>
      <c r="I54" s="1599">
        <f>SUM(I55:I57)</f>
        <v/>
      </c>
      <c r="J54" s="1600">
        <f>SUM(J55:J57)</f>
        <v/>
      </c>
      <c r="K54" s="622" t="n"/>
      <c r="L54" s="622" t="n"/>
      <c r="M54" s="622" t="n"/>
      <c r="N54" s="622" t="n"/>
      <c r="O54" s="622" t="n"/>
      <c r="P54" s="622" t="n"/>
      <c r="Q54" s="622" t="n"/>
      <c r="R54" s="622" t="n"/>
      <c r="S54" s="622" t="n"/>
      <c r="T54" s="622" t="n"/>
      <c r="U54" s="622" t="n"/>
      <c r="V54" s="622" t="n"/>
      <c r="W54" s="622" t="n"/>
      <c r="X54" s="622" t="n"/>
      <c r="Y54" s="622" t="n"/>
      <c r="Z54" s="622" t="n"/>
      <c r="AA54" s="622" t="n"/>
      <c r="AB54" s="622" t="n"/>
      <c r="AC54" s="622" t="n"/>
      <c r="AD54" s="622" t="n"/>
      <c r="AE54" s="622" t="n"/>
      <c r="AF54" s="622" t="n"/>
      <c r="AG54" s="622" t="n"/>
      <c r="AH54" s="622" t="n"/>
      <c r="AI54" s="622" t="n"/>
      <c r="AJ54" s="622" t="n"/>
      <c r="AK54" s="622" t="n"/>
      <c r="AL54" s="622" t="n"/>
      <c r="AM54" s="622" t="n"/>
      <c r="AN54" s="622" t="n"/>
      <c r="AO54" s="622" t="n"/>
      <c r="AP54" s="622" t="n"/>
      <c r="AQ54" s="622" t="n"/>
      <c r="AR54" s="622" t="n"/>
      <c r="AS54" s="622" t="n"/>
      <c r="AT54" s="622" t="n"/>
      <c r="AU54" s="622" t="n"/>
      <c r="AV54" s="622" t="n"/>
      <c r="AW54" s="622" t="n"/>
      <c r="AX54" s="622" t="n"/>
      <c r="AY54" s="622" t="n"/>
    </row>
    <row r="55" ht="15" customHeight="1" s="8286">
      <c r="A55" s="1601" t="inlineStr">
        <is>
          <t>Normal</t>
        </is>
      </c>
      <c r="B55" s="1602">
        <f>SUM(C55+D55)</f>
        <v/>
      </c>
      <c r="C55" s="1603">
        <f>SUM(E55+G55)</f>
        <v/>
      </c>
      <c r="D55" s="1538">
        <f>SUM(F55+H55)</f>
        <v/>
      </c>
      <c r="E55" s="942" t="n">
        <v>14</v>
      </c>
      <c r="F55" s="1535" t="n">
        <v>6</v>
      </c>
      <c r="G55" s="1532" t="n">
        <v>0</v>
      </c>
      <c r="H55" s="1533" t="n">
        <v>0</v>
      </c>
      <c r="I55" s="1543" t="n">
        <v>0</v>
      </c>
      <c r="J55" s="1540" t="n">
        <v>0</v>
      </c>
      <c r="K55" s="938">
        <f>$CA55&amp;CB55</f>
        <v/>
      </c>
      <c r="L55" s="939" t="n"/>
      <c r="M55" s="939" t="n"/>
      <c r="N55" s="939" t="n"/>
      <c r="O55" s="939" t="n"/>
      <c r="P55" s="939" t="n"/>
      <c r="Q55" s="939" t="n"/>
      <c r="R55" s="939" t="n"/>
      <c r="S55" s="939" t="n"/>
      <c r="T55" s="939" t="n"/>
      <c r="U55" s="939" t="n"/>
      <c r="V55" s="939" t="n"/>
      <c r="W55" s="939" t="n"/>
      <c r="X55" s="939" t="n"/>
      <c r="Y55" s="939" t="n"/>
      <c r="Z55" s="939" t="n"/>
      <c r="AA55" s="939" t="n"/>
      <c r="AB55" s="939" t="n"/>
      <c r="AC55" s="939" t="n"/>
      <c r="AD55" s="939" t="n"/>
      <c r="AE55" s="939" t="n"/>
      <c r="AF55" s="939" t="n"/>
      <c r="AG55" s="939" t="n"/>
      <c r="AH55" s="939" t="n"/>
      <c r="AI55" s="939" t="n"/>
      <c r="AJ55" s="939" t="n"/>
      <c r="AK55" s="939" t="n"/>
      <c r="AL55" s="939" t="n"/>
      <c r="AM55" s="939" t="n"/>
      <c r="AN55" s="939" t="n"/>
      <c r="AO55" s="939" t="n"/>
      <c r="AP55" s="940" t="n"/>
      <c r="AQ55" s="940" t="n"/>
      <c r="AR55" s="940" t="n"/>
      <c r="AS55" s="940" t="n"/>
      <c r="AT55" s="940" t="n"/>
      <c r="AU55" s="940" t="n"/>
      <c r="AV55" s="940" t="n"/>
      <c r="AW55" s="940" t="n"/>
      <c r="AX55" s="940" t="n"/>
      <c r="AY55" s="940" t="n"/>
      <c r="AZ55" s="239" t="n"/>
      <c r="BA55" s="239" t="n"/>
      <c r="BB55" s="239" t="n"/>
      <c r="BC55" s="239" t="n"/>
      <c r="BD55" s="239" t="n"/>
      <c r="BE55" s="239" t="n"/>
      <c r="BF55" s="239" t="n"/>
      <c r="BG55" s="239" t="n"/>
      <c r="BH55" s="239" t="n"/>
      <c r="BI55" s="239" t="n"/>
      <c r="BJ55" s="239" t="n"/>
      <c r="BK55" s="239" t="n"/>
      <c r="BL55" s="239" t="n"/>
      <c r="BM55" s="239" t="n"/>
      <c r="BN55" s="239" t="n"/>
      <c r="BO55" s="239" t="n"/>
      <c r="BP55" s="239" t="n"/>
      <c r="BQ55" s="239" t="n"/>
      <c r="BR55" s="239" t="n"/>
      <c r="BS55" s="239" t="n"/>
      <c r="BT55" s="239" t="n"/>
      <c r="BU55" s="239" t="n"/>
      <c r="BV55" s="239" t="n"/>
      <c r="BW55" s="239" t="n"/>
      <c r="BX55" s="239" t="n"/>
      <c r="BY55" s="239" t="n"/>
      <c r="BZ55" s="239" t="n"/>
      <c r="CA55" s="240">
        <f>IF(AND($B55&lt;&gt;0,I55=""),"* No olvide ingresar la variable "&amp;I$51&amp;""&amp;". Digite CERO si no tiene. ",IF(I55&gt;$B55,"* La variable Pueblos Originarios no debe ser mayor al Total Ambos Sexos. ",""))</f>
        <v/>
      </c>
      <c r="CB55" s="240">
        <f>IF(AND($B55&lt;&gt;0,J55=""),"* No olvide ingresar la variable "&amp;J$51&amp;""&amp;" (Digite CERO si no tiene). ",IF(J55&gt;$B55,"* La variable Migrantes no debe ser mayor al Total Ambos Sexos. ",""))</f>
        <v/>
      </c>
      <c r="CC55" s="239" t="n"/>
      <c r="CD55" s="239" t="n"/>
      <c r="CE55" s="64" t="n"/>
      <c r="CF55" s="64" t="n"/>
      <c r="CG55" s="64" t="n"/>
      <c r="CH55" s="64" t="n"/>
      <c r="CI55" s="64" t="n"/>
      <c r="CK55" s="29">
        <f>IF(AND($B55&lt;&gt;0,I55=""),1,IF(I55&gt;$B55,1,0))</f>
        <v/>
      </c>
      <c r="CL55" s="29">
        <f>IF(AND($B55&lt;&gt;0,J55=""),1,IF(J55&gt;$B55,1,0))</f>
        <v/>
      </c>
    </row>
    <row r="56" ht="15" customHeight="1" s="8286">
      <c r="A56" s="1580" t="inlineStr">
        <is>
          <t>Anormal</t>
        </is>
      </c>
      <c r="B56" s="1604">
        <f>SUM(C56+D56)</f>
        <v/>
      </c>
      <c r="C56" s="1605">
        <f>SUM(E56+G56)</f>
        <v/>
      </c>
      <c r="D56" s="1548">
        <f>SUM(F56+H56)</f>
        <v/>
      </c>
      <c r="E56" s="1539" t="n">
        <v>0</v>
      </c>
      <c r="F56" s="1544" t="n">
        <v>4</v>
      </c>
      <c r="G56" s="1541" t="n">
        <v>0</v>
      </c>
      <c r="H56" s="1542" t="n">
        <v>0</v>
      </c>
      <c r="I56" s="1543" t="n">
        <v>0</v>
      </c>
      <c r="J56" s="1540" t="n">
        <v>0</v>
      </c>
      <c r="K56" s="938">
        <f>$CA56&amp;CB56</f>
        <v/>
      </c>
      <c r="L56" s="939" t="n"/>
      <c r="M56" s="939" t="n"/>
      <c r="N56" s="939" t="n"/>
      <c r="O56" s="939" t="n"/>
      <c r="P56" s="939" t="n"/>
      <c r="Q56" s="939" t="n"/>
      <c r="R56" s="939" t="n"/>
      <c r="S56" s="939" t="n"/>
      <c r="T56" s="939" t="n"/>
      <c r="U56" s="939" t="n"/>
      <c r="V56" s="939" t="n"/>
      <c r="W56" s="939" t="n"/>
      <c r="X56" s="939" t="n"/>
      <c r="Y56" s="939" t="n"/>
      <c r="Z56" s="939" t="n"/>
      <c r="AA56" s="939" t="n"/>
      <c r="AB56" s="939" t="n"/>
      <c r="AC56" s="939" t="n"/>
      <c r="AD56" s="939" t="n"/>
      <c r="AE56" s="939" t="n"/>
      <c r="AF56" s="939" t="n"/>
      <c r="AG56" s="939" t="n"/>
      <c r="AH56" s="939" t="n"/>
      <c r="AI56" s="939" t="n"/>
      <c r="AJ56" s="939" t="n"/>
      <c r="AK56" s="939" t="n"/>
      <c r="AL56" s="939" t="n"/>
      <c r="AM56" s="939" t="n"/>
      <c r="AN56" s="939" t="n"/>
      <c r="AO56" s="939" t="n"/>
      <c r="AP56" s="940" t="n"/>
      <c r="AQ56" s="940" t="n"/>
      <c r="AR56" s="940" t="n"/>
      <c r="AS56" s="940" t="n"/>
      <c r="AT56" s="940" t="n"/>
      <c r="AU56" s="940" t="n"/>
      <c r="AV56" s="940" t="n"/>
      <c r="AW56" s="940" t="n"/>
      <c r="AX56" s="940" t="n"/>
      <c r="AY56" s="940" t="n"/>
      <c r="AZ56" s="239" t="n"/>
      <c r="BA56" s="239" t="n"/>
      <c r="BB56" s="239" t="n"/>
      <c r="BC56" s="239" t="n"/>
      <c r="BD56" s="239" t="n"/>
      <c r="BE56" s="239" t="n"/>
      <c r="BF56" s="239" t="n"/>
      <c r="BG56" s="239" t="n"/>
      <c r="BH56" s="239" t="n"/>
      <c r="BI56" s="239" t="n"/>
      <c r="BJ56" s="239" t="n"/>
      <c r="BK56" s="239" t="n"/>
      <c r="BL56" s="239" t="n"/>
      <c r="BM56" s="239" t="n"/>
      <c r="BN56" s="239" t="n"/>
      <c r="BO56" s="239" t="n"/>
      <c r="BP56" s="239" t="n"/>
      <c r="BQ56" s="239" t="n"/>
      <c r="BR56" s="239" t="n"/>
      <c r="BS56" s="239" t="n"/>
      <c r="BT56" s="239" t="n"/>
      <c r="BU56" s="239" t="n"/>
      <c r="BV56" s="239" t="n"/>
      <c r="BW56" s="239" t="n"/>
      <c r="BX56" s="239" t="n"/>
      <c r="BY56" s="239" t="n"/>
      <c r="BZ56" s="239" t="n"/>
      <c r="CA56" s="240">
        <f>IF(AND($B56&lt;&gt;0,I56=""),"* No olvide ingresar la variable "&amp;I$51&amp;""&amp;". Digite CERO si no tiene. ",IF(I56&gt;$B56,"* La variable Pueblos Originarios no debe ser mayor al Total Ambos Sexos. ",""))</f>
        <v/>
      </c>
      <c r="CB56" s="240">
        <f>IF(AND($B56&lt;&gt;0,J56=""),"* No olvide ingresar la variable "&amp;J$51&amp;""&amp;" (Digite CERO si no tiene). ",IF(J56&gt;$B56,"* La variable Migrantes no debe ser mayor al Total Ambos Sexos. ",""))</f>
        <v/>
      </c>
      <c r="CC56" s="239" t="n"/>
      <c r="CD56" s="239" t="n"/>
      <c r="CE56" s="64" t="n"/>
      <c r="CF56" s="64" t="n"/>
      <c r="CG56" s="64" t="n"/>
      <c r="CH56" s="64" t="n"/>
      <c r="CI56" s="64" t="n"/>
      <c r="CK56" s="29">
        <f>IF(AND($B56&lt;&gt;0,I56=""),1,IF(I56&gt;$B56,1,0))</f>
        <v/>
      </c>
      <c r="CL56" s="29">
        <f>IF(AND($B56&lt;&gt;0,J56=""),1,IF(J56&gt;$B56,1,0))</f>
        <v/>
      </c>
    </row>
    <row r="57" ht="15" customHeight="1" s="8286">
      <c r="A57" s="1606" t="inlineStr">
        <is>
          <t>Muy Anormal</t>
        </is>
      </c>
      <c r="B57" s="1607">
        <f>SUM(C57+D57)</f>
        <v/>
      </c>
      <c r="C57" s="1608">
        <f>SUM(E57+G57)</f>
        <v/>
      </c>
      <c r="D57" s="1516">
        <f>SUM(F57+H57)</f>
        <v/>
      </c>
      <c r="E57" s="1519" t="n">
        <v>2</v>
      </c>
      <c r="F57" s="1520" t="n">
        <v>0</v>
      </c>
      <c r="G57" s="1551" t="n">
        <v>0</v>
      </c>
      <c r="H57" s="1552" t="n">
        <v>0</v>
      </c>
      <c r="I57" s="1553" t="n">
        <v>0</v>
      </c>
      <c r="J57" s="1550" t="n">
        <v>0</v>
      </c>
      <c r="K57" s="938">
        <f>$CA57&amp;CB57</f>
        <v/>
      </c>
      <c r="L57" s="939" t="n"/>
      <c r="M57" s="939" t="n"/>
      <c r="N57" s="939" t="n"/>
      <c r="O57" s="939" t="n"/>
      <c r="P57" s="939" t="n"/>
      <c r="Q57" s="939" t="n"/>
      <c r="R57" s="939" t="n"/>
      <c r="S57" s="939" t="n"/>
      <c r="T57" s="939" t="n"/>
      <c r="U57" s="939" t="n"/>
      <c r="V57" s="939" t="n"/>
      <c r="W57" s="939" t="n"/>
      <c r="X57" s="939" t="n"/>
      <c r="Y57" s="939" t="n"/>
      <c r="Z57" s="939" t="n"/>
      <c r="AA57" s="939" t="n"/>
      <c r="AB57" s="939" t="n"/>
      <c r="AC57" s="939" t="n"/>
      <c r="AD57" s="939" t="n"/>
      <c r="AE57" s="939" t="n"/>
      <c r="AF57" s="939" t="n"/>
      <c r="AG57" s="939" t="n"/>
      <c r="AH57" s="939" t="n"/>
      <c r="AI57" s="939" t="n"/>
      <c r="AJ57" s="939" t="n"/>
      <c r="AK57" s="939" t="n"/>
      <c r="AL57" s="939" t="n"/>
      <c r="AM57" s="939" t="n"/>
      <c r="AN57" s="939" t="n"/>
      <c r="AO57" s="939" t="n"/>
      <c r="AP57" s="940" t="n"/>
      <c r="AQ57" s="940" t="n"/>
      <c r="AR57" s="940" t="n"/>
      <c r="AS57" s="940" t="n"/>
      <c r="AT57" s="940" t="n"/>
      <c r="AU57" s="940" t="n"/>
      <c r="AV57" s="940" t="n"/>
      <c r="AW57" s="940" t="n"/>
      <c r="AX57" s="940" t="n"/>
      <c r="AY57" s="940" t="n"/>
      <c r="AZ57" s="239" t="n"/>
      <c r="BA57" s="239" t="n"/>
      <c r="BB57" s="239" t="n"/>
      <c r="BC57" s="239" t="n"/>
      <c r="BD57" s="239" t="n"/>
      <c r="BE57" s="239" t="n"/>
      <c r="BF57" s="239" t="n"/>
      <c r="BG57" s="239" t="n"/>
      <c r="BH57" s="239" t="n"/>
      <c r="BI57" s="239" t="n"/>
      <c r="BJ57" s="239" t="n"/>
      <c r="BK57" s="239" t="n"/>
      <c r="BL57" s="239" t="n"/>
      <c r="BM57" s="239" t="n"/>
      <c r="BN57" s="239" t="n"/>
      <c r="BO57" s="239" t="n"/>
      <c r="BP57" s="239" t="n"/>
      <c r="BQ57" s="239" t="n"/>
      <c r="BR57" s="239" t="n"/>
      <c r="BS57" s="239" t="n"/>
      <c r="BT57" s="239" t="n"/>
      <c r="BU57" s="239" t="n"/>
      <c r="BV57" s="239" t="n"/>
      <c r="BW57" s="239" t="n"/>
      <c r="BX57" s="239" t="n"/>
      <c r="BY57" s="239" t="n"/>
      <c r="BZ57" s="239" t="n"/>
      <c r="CA57" s="240">
        <f>IF(AND($B57&lt;&gt;0,I57=""),"* No olvide ingresar la variable "&amp;I$51&amp;""&amp;". Digite CERO si no tiene. ",IF(I57&gt;$B57,"* La variable Pueblos Originarios no debe ser mayor al Total Ambos Sexos. ",""))</f>
        <v/>
      </c>
      <c r="CB57" s="240">
        <f>IF(AND($B57&lt;&gt;0,J57=""),"* No olvide ingresar la variable "&amp;J$51&amp;""&amp;" (Digite CERO si no tiene). ",IF(J57&gt;$B57,"* La variable Migrantes no debe ser mayor al Total Ambos Sexos. ",""))</f>
        <v/>
      </c>
      <c r="CC57" s="239" t="n"/>
      <c r="CD57" s="239" t="n"/>
      <c r="CE57" s="64" t="n"/>
      <c r="CF57" s="64" t="n"/>
      <c r="CG57" s="64" t="n"/>
      <c r="CH57" s="64" t="n"/>
      <c r="CI57" s="64" t="n"/>
      <c r="CK57" s="29">
        <f>IF(AND($B57&lt;&gt;0,I57=""),1,IF(I57&gt;$B57,1,0))</f>
        <v/>
      </c>
      <c r="CL57" s="29">
        <f>IF(AND($B57&lt;&gt;0,J57=""),1,IF(J57&gt;$B57,1,0))</f>
        <v/>
      </c>
    </row>
    <row r="58" ht="18" customHeight="1" s="8286">
      <c r="A58" s="1490" t="inlineStr">
        <is>
          <t>SECCIÓN A.5: TIPO DE ALIMENTACIÓN NIÑOS Y NIÑAS CONTROLADOS</t>
        </is>
      </c>
      <c r="B58" s="1491" t="n"/>
      <c r="C58" s="1491" t="n"/>
      <c r="D58" s="1491" t="n"/>
      <c r="E58" s="1491" t="n"/>
      <c r="F58" s="1491" t="n"/>
      <c r="G58" s="1491" t="n"/>
      <c r="H58" s="1491" t="n"/>
      <c r="I58" s="1491" t="n"/>
      <c r="J58" s="931" t="n"/>
      <c r="K58" s="931" t="n"/>
      <c r="L58" s="622" t="n"/>
      <c r="M58" s="622" t="n"/>
      <c r="N58" s="622" t="n"/>
      <c r="O58" s="622" t="n"/>
      <c r="P58" s="622" t="n"/>
      <c r="Q58" s="622" t="n"/>
      <c r="R58" s="622" t="n"/>
      <c r="S58" s="622" t="n"/>
      <c r="T58" s="622" t="n"/>
      <c r="U58" s="622" t="n"/>
      <c r="V58" s="622" t="n"/>
      <c r="W58" s="622" t="n"/>
      <c r="X58" s="622" t="n"/>
      <c r="Y58" s="622" t="n"/>
      <c r="Z58" s="622" t="n"/>
      <c r="AA58" s="622" t="n"/>
      <c r="AB58" s="622" t="n"/>
      <c r="AC58" s="622" t="n"/>
      <c r="AD58" s="622" t="n"/>
      <c r="AE58" s="622" t="n"/>
      <c r="AF58" s="622" t="n"/>
      <c r="AG58" s="622" t="n"/>
      <c r="AH58" s="622" t="n"/>
      <c r="AI58" s="622" t="n"/>
      <c r="AJ58" s="622" t="n"/>
      <c r="AK58" s="622" t="n"/>
      <c r="AL58" s="622" t="n"/>
      <c r="AM58" s="622" t="n"/>
      <c r="AN58" s="622" t="n"/>
      <c r="AO58" s="622" t="n"/>
      <c r="AP58" s="622" t="n"/>
      <c r="AQ58" s="622" t="n"/>
      <c r="AR58" s="622" t="n"/>
      <c r="AS58" s="622" t="n"/>
      <c r="AT58" s="622" t="n"/>
      <c r="AU58" s="622" t="n"/>
      <c r="AV58" s="622" t="n"/>
      <c r="AW58" s="622" t="n"/>
      <c r="AX58" s="622" t="n"/>
      <c r="AY58" s="622" t="n"/>
    </row>
    <row r="59" ht="15" customHeight="1" s="8286">
      <c r="A59" s="9629" t="inlineStr">
        <is>
          <t>TIPO DE ALIMENTACIÓN</t>
        </is>
      </c>
      <c r="B59" s="9630" t="n"/>
      <c r="C59" s="9593" t="inlineStr">
        <is>
          <t>TOTAL</t>
        </is>
      </c>
      <c r="D59" s="9651" t="inlineStr">
        <is>
          <t xml:space="preserve">SEGÚN CONTROL PROGRAMÁTICO  </t>
        </is>
      </c>
      <c r="E59" s="9617" t="n"/>
      <c r="F59" s="9617" t="n"/>
      <c r="G59" s="9617" t="n"/>
      <c r="H59" s="9617" t="n"/>
      <c r="I59" s="9617" t="n"/>
      <c r="J59" s="9652" t="n"/>
      <c r="K59" s="9706" t="inlineStr">
        <is>
          <t>Pueblos Originarios</t>
        </is>
      </c>
      <c r="L59" s="8173" t="inlineStr">
        <is>
          <t>Migrantes</t>
        </is>
      </c>
      <c r="M59" s="622" t="n"/>
      <c r="N59" s="622" t="n"/>
      <c r="O59" s="622" t="n"/>
      <c r="P59" s="622" t="n"/>
      <c r="Q59" s="622" t="n"/>
      <c r="R59" s="622" t="n"/>
      <c r="S59" s="622" t="n"/>
      <c r="T59" s="622" t="n"/>
      <c r="U59" s="622" t="n"/>
      <c r="V59" s="622" t="n"/>
      <c r="W59" s="622" t="n"/>
      <c r="X59" s="622" t="n"/>
      <c r="Y59" s="622" t="n"/>
      <c r="Z59" s="622" t="n"/>
      <c r="AA59" s="622" t="n"/>
      <c r="AB59" s="622" t="n"/>
      <c r="AC59" s="622" t="n"/>
      <c r="AD59" s="622" t="n"/>
      <c r="AE59" s="622" t="n"/>
      <c r="AF59" s="622" t="n"/>
      <c r="AG59" s="622" t="n"/>
      <c r="AH59" s="622" t="n"/>
      <c r="AI59" s="622" t="n"/>
      <c r="AJ59" s="622" t="n"/>
      <c r="AK59" s="622" t="n"/>
      <c r="AL59" s="622" t="n"/>
      <c r="AM59" s="622" t="n"/>
      <c r="AN59" s="622" t="n"/>
      <c r="AO59" s="622" t="n"/>
      <c r="AP59" s="622" t="n"/>
      <c r="AQ59" s="622" t="n"/>
      <c r="AR59" s="622" t="n"/>
      <c r="AS59" s="622" t="n"/>
      <c r="AT59" s="622" t="n"/>
      <c r="AU59" s="622" t="n"/>
      <c r="AV59" s="622" t="n"/>
      <c r="AW59" s="622" t="n"/>
      <c r="AX59" s="622" t="n"/>
      <c r="AY59" s="622" t="n"/>
    </row>
    <row r="60" ht="21" customHeight="1" s="8286">
      <c r="A60" s="9638" t="n"/>
      <c r="B60" s="9639" t="n"/>
      <c r="C60" s="9589" t="n"/>
      <c r="D60" s="1500" t="inlineStr">
        <is>
          <t>Diada hasta 10 días de vida</t>
        </is>
      </c>
      <c r="E60" s="7383" t="inlineStr">
        <is>
          <t>Diada entre 11 y 28 días de vida</t>
        </is>
      </c>
      <c r="F60" s="7383" t="inlineStr">
        <is>
          <t>Del 1° mes</t>
        </is>
      </c>
      <c r="G60" s="7383" t="inlineStr">
        <is>
          <t>Del 3° mes</t>
        </is>
      </c>
      <c r="H60" s="7383" t="inlineStr">
        <is>
          <t>Del 6° mes</t>
        </is>
      </c>
      <c r="I60" s="7383" t="inlineStr">
        <is>
          <t>Del 12° mes</t>
        </is>
      </c>
      <c r="J60" s="7439" t="inlineStr">
        <is>
          <t>Del 24° mes</t>
        </is>
      </c>
      <c r="L60" s="9614" t="n"/>
      <c r="M60" s="622" t="n"/>
      <c r="N60" s="622" t="n"/>
      <c r="O60" s="622" t="n"/>
      <c r="P60" s="622" t="n"/>
      <c r="Q60" s="622" t="n"/>
      <c r="R60" s="622" t="n"/>
      <c r="S60" s="622" t="n"/>
      <c r="T60" s="622" t="n"/>
      <c r="U60" s="622" t="n"/>
      <c r="V60" s="622" t="n"/>
      <c r="W60" s="622" t="n"/>
      <c r="X60" s="622" t="n"/>
      <c r="Y60" s="622" t="n"/>
      <c r="Z60" s="622" t="n"/>
      <c r="AA60" s="622" t="n"/>
      <c r="AB60" s="622" t="n"/>
      <c r="AC60" s="622" t="n"/>
      <c r="AD60" s="622" t="n"/>
      <c r="AE60" s="622" t="n"/>
      <c r="AF60" s="622" t="n"/>
      <c r="AG60" s="622" t="n"/>
      <c r="AH60" s="622" t="n"/>
      <c r="AI60" s="622" t="n"/>
      <c r="AJ60" s="622" t="n"/>
      <c r="AK60" s="622" t="n"/>
      <c r="AL60" s="622" t="n"/>
      <c r="AM60" s="622" t="n"/>
      <c r="AN60" s="622" t="n"/>
      <c r="AO60" s="622" t="n"/>
      <c r="AP60" s="622" t="n"/>
      <c r="AQ60" s="622" t="n"/>
      <c r="AR60" s="622" t="n"/>
      <c r="AS60" s="622" t="n"/>
      <c r="AT60" s="622" t="n"/>
      <c r="AU60" s="622" t="n"/>
      <c r="AV60" s="622" t="n"/>
      <c r="AW60" s="622" t="n"/>
      <c r="AX60" s="622" t="n"/>
      <c r="AY60" s="622" t="n"/>
    </row>
    <row r="61" ht="15" customHeight="1" s="8286">
      <c r="A61" s="9707" t="inlineStr">
        <is>
          <t>Lactancia Materna exclusiva (LME)</t>
        </is>
      </c>
      <c r="B61" s="9603" t="n"/>
      <c r="C61" s="1611">
        <f>SUM(D61:H61)</f>
        <v/>
      </c>
      <c r="D61" s="1511" t="n">
        <v>15</v>
      </c>
      <c r="E61" s="952" t="n">
        <v>2</v>
      </c>
      <c r="F61" s="952" t="n">
        <v>10</v>
      </c>
      <c r="G61" s="952" t="n">
        <v>7</v>
      </c>
      <c r="H61" s="952" t="n">
        <v>8</v>
      </c>
      <c r="I61" s="953" t="n"/>
      <c r="J61" s="1612" t="n"/>
      <c r="K61" s="5299" t="n">
        <v>1</v>
      </c>
      <c r="L61" s="5295" t="n">
        <v>0</v>
      </c>
      <c r="M61" s="938">
        <f>$CA61&amp;CB61</f>
        <v/>
      </c>
      <c r="N61" s="939" t="n"/>
      <c r="O61" s="939" t="n"/>
      <c r="P61" s="939" t="n"/>
      <c r="Q61" s="939" t="n"/>
      <c r="R61" s="939" t="n"/>
      <c r="S61" s="939" t="n"/>
      <c r="T61" s="939" t="n"/>
      <c r="U61" s="939" t="n"/>
      <c r="V61" s="939" t="n"/>
      <c r="W61" s="939" t="n"/>
      <c r="X61" s="939" t="n"/>
      <c r="Y61" s="939" t="n"/>
      <c r="Z61" s="939" t="n"/>
      <c r="AA61" s="939" t="n"/>
      <c r="AB61" s="939" t="n"/>
      <c r="AC61" s="939" t="n"/>
      <c r="AD61" s="939" t="n"/>
      <c r="AE61" s="939" t="n"/>
      <c r="AF61" s="939" t="n"/>
      <c r="AG61" s="939" t="n"/>
      <c r="AH61" s="939" t="n"/>
      <c r="AI61" s="939" t="n"/>
      <c r="AJ61" s="939" t="n"/>
      <c r="AK61" s="939" t="n"/>
      <c r="AL61" s="939" t="n"/>
      <c r="AM61" s="939" t="n"/>
      <c r="AN61" s="939" t="n"/>
      <c r="AO61" s="939" t="n"/>
      <c r="AP61" s="939" t="n"/>
      <c r="AQ61" s="939" t="n"/>
      <c r="AR61" s="940" t="n"/>
      <c r="AS61" s="940" t="n"/>
      <c r="AT61" s="940" t="n"/>
      <c r="AU61" s="940" t="n"/>
      <c r="AV61" s="940" t="n"/>
      <c r="AW61" s="940" t="n"/>
      <c r="AX61" s="940" t="n"/>
      <c r="AY61" s="940" t="n"/>
      <c r="AZ61" s="239" t="n"/>
      <c r="BA61" s="239" t="n"/>
      <c r="BB61" s="239" t="n"/>
      <c r="BC61" s="239" t="n"/>
      <c r="BD61" s="239" t="n"/>
      <c r="BE61" s="239" t="n"/>
      <c r="BF61" s="239" t="n"/>
      <c r="BG61" s="239" t="n"/>
      <c r="BH61" s="239" t="n"/>
      <c r="BI61" s="239" t="n"/>
      <c r="BJ61" s="239" t="n"/>
      <c r="BK61" s="239" t="n"/>
      <c r="BL61" s="239" t="n"/>
      <c r="BM61" s="239" t="n"/>
      <c r="BN61" s="239" t="n"/>
      <c r="BO61" s="239" t="n"/>
      <c r="BP61" s="239" t="n"/>
      <c r="BQ61" s="239" t="n"/>
      <c r="BR61" s="239" t="n"/>
      <c r="BS61" s="239" t="n"/>
      <c r="BT61" s="239" t="n"/>
      <c r="BU61" s="239" t="n"/>
      <c r="BV61" s="239" t="n"/>
      <c r="BW61" s="239" t="n"/>
      <c r="BX61" s="239" t="n"/>
      <c r="BY61" s="239" t="n"/>
      <c r="BZ61" s="239" t="n"/>
      <c r="CA61" s="240">
        <f>IF(AND($C61&lt;&gt;0,K61=""),"* No olvide ingresar la variable "&amp;K$59&amp;""&amp;". Digite CERO si no tiene. ",IF(K61&gt;$C61,"* La variable Pueblos Originarios no debe ser mayor al Total. ",""))</f>
        <v/>
      </c>
      <c r="CB61" s="240">
        <f>IF(AND($C61&lt;&gt;0,L61=""),"* No olvide ingresar la variable "&amp;L$59&amp;""&amp;". Digite CERO si no tiene. ",IF(L61&gt;$C61,"* La variable Migrantes no debe ser mayor al Total. ",""))</f>
        <v/>
      </c>
      <c r="CC61" s="239" t="n"/>
      <c r="CD61" s="239" t="n"/>
      <c r="CE61" s="64" t="n"/>
      <c r="CF61" s="64" t="n"/>
      <c r="CG61" s="64" t="n"/>
      <c r="CH61" s="64" t="n"/>
      <c r="CI61" s="64" t="n"/>
      <c r="CK61" s="29">
        <f>IF(AND($C61&lt;&gt;0,K61=""),1,IF(K61&gt;$C61,1,0))</f>
        <v/>
      </c>
      <c r="CL61" s="29">
        <f>IF(AND($C61&lt;&gt;0,L61=""),1,IF(L61&gt;$C61,1,0))</f>
        <v/>
      </c>
    </row>
    <row r="62" ht="15" customHeight="1" s="8286">
      <c r="A62" s="9708" t="inlineStr">
        <is>
          <t>Lactancia Materna más Formula Láctea (LM/FL)</t>
        </is>
      </c>
      <c r="B62" s="9646" t="n"/>
      <c r="C62" s="1614">
        <f>SUM(D62:H62)</f>
        <v/>
      </c>
      <c r="D62" s="942" t="n">
        <v>4</v>
      </c>
      <c r="E62" s="954" t="n">
        <v>3</v>
      </c>
      <c r="F62" s="954" t="n">
        <v>5</v>
      </c>
      <c r="G62" s="954" t="n">
        <v>5</v>
      </c>
      <c r="H62" s="954" t="n">
        <v>5</v>
      </c>
      <c r="I62" s="955" t="n"/>
      <c r="J62" s="956" t="n"/>
      <c r="K62" s="5300" t="n">
        <v>0</v>
      </c>
      <c r="L62" s="5294" t="n">
        <v>0</v>
      </c>
      <c r="M62" s="938">
        <f>$CA62&amp;CB62</f>
        <v/>
      </c>
      <c r="N62" s="939" t="n"/>
      <c r="O62" s="939" t="n"/>
      <c r="P62" s="939" t="n"/>
      <c r="Q62" s="939" t="n"/>
      <c r="R62" s="939" t="n"/>
      <c r="S62" s="939" t="n"/>
      <c r="T62" s="939" t="n"/>
      <c r="U62" s="939" t="n"/>
      <c r="V62" s="939" t="n"/>
      <c r="W62" s="939" t="n"/>
      <c r="X62" s="939" t="n"/>
      <c r="Y62" s="939" t="n"/>
      <c r="Z62" s="939" t="n"/>
      <c r="AA62" s="939" t="n"/>
      <c r="AB62" s="939" t="n"/>
      <c r="AC62" s="939" t="n"/>
      <c r="AD62" s="939" t="n"/>
      <c r="AE62" s="939" t="n"/>
      <c r="AF62" s="939" t="n"/>
      <c r="AG62" s="939" t="n"/>
      <c r="AH62" s="939" t="n"/>
      <c r="AI62" s="939" t="n"/>
      <c r="AJ62" s="939" t="n"/>
      <c r="AK62" s="939" t="n"/>
      <c r="AL62" s="939" t="n"/>
      <c r="AM62" s="939" t="n"/>
      <c r="AN62" s="939" t="n"/>
      <c r="AO62" s="939" t="n"/>
      <c r="AP62" s="939" t="n"/>
      <c r="AQ62" s="939" t="n"/>
      <c r="AR62" s="940" t="n"/>
      <c r="AS62" s="940" t="n"/>
      <c r="AT62" s="940" t="n"/>
      <c r="AU62" s="940" t="n"/>
      <c r="AV62" s="940" t="n"/>
      <c r="AW62" s="940" t="n"/>
      <c r="AX62" s="940" t="n"/>
      <c r="AY62" s="940" t="n"/>
      <c r="AZ62" s="239" t="n"/>
      <c r="BA62" s="239" t="n"/>
      <c r="BB62" s="239" t="n"/>
      <c r="BC62" s="239" t="n"/>
      <c r="BD62" s="239" t="n"/>
      <c r="BE62" s="239" t="n"/>
      <c r="BF62" s="239" t="n"/>
      <c r="BG62" s="239" t="n"/>
      <c r="BH62" s="239" t="n"/>
      <c r="BI62" s="239" t="n"/>
      <c r="BJ62" s="239" t="n"/>
      <c r="BK62" s="239" t="n"/>
      <c r="BL62" s="239" t="n"/>
      <c r="BM62" s="239" t="n"/>
      <c r="BN62" s="239" t="n"/>
      <c r="BO62" s="239" t="n"/>
      <c r="BP62" s="239" t="n"/>
      <c r="BQ62" s="239" t="n"/>
      <c r="BR62" s="239" t="n"/>
      <c r="BS62" s="239" t="n"/>
      <c r="BT62" s="239" t="n"/>
      <c r="BU62" s="239" t="n"/>
      <c r="BV62" s="239" t="n"/>
      <c r="BW62" s="239" t="n"/>
      <c r="BX62" s="239" t="n"/>
      <c r="BY62" s="239" t="n"/>
      <c r="BZ62" s="239" t="n"/>
      <c r="CA62" s="240">
        <f>IF(AND($C62&lt;&gt;0,K62=""),"* No olvide ingresar la variable "&amp;K$59&amp;""&amp;". Digite CERO si no tiene. ",IF(K62&gt;$C62,"* La variable Pueblos Originarios no debe ser mayor al Total. ",""))</f>
        <v/>
      </c>
      <c r="CB62" s="240">
        <f>IF(AND($C62&lt;&gt;0,L62=""),"* No olvide ingresar la variable "&amp;L$59&amp;""&amp;". Digite CERO si no tiene. ",IF(L62&gt;$C62,"* La variable Migrantes no debe ser mayor al Total. ",""))</f>
        <v/>
      </c>
      <c r="CC62" s="239" t="n"/>
      <c r="CD62" s="239" t="n"/>
      <c r="CE62" s="64" t="n"/>
      <c r="CF62" s="64" t="n"/>
      <c r="CG62" s="64" t="n"/>
      <c r="CH62" s="64" t="n"/>
      <c r="CI62" s="64" t="n"/>
      <c r="CK62" s="29">
        <f>IF(AND($C62&lt;&gt;0,K62=""),1,IF(K62&gt;$C62,1,0))</f>
        <v/>
      </c>
      <c r="CL62" s="29">
        <f>IF(AND($C62&lt;&gt;0,L62=""),1,IF(L62&gt;$C62,1,0))</f>
        <v/>
      </c>
    </row>
    <row r="63" ht="15" customHeight="1" s="8286">
      <c r="A63" s="9708" t="inlineStr">
        <is>
          <t>Formula Láctea (FL)</t>
        </is>
      </c>
      <c r="B63" s="9646" t="n"/>
      <c r="C63" s="1614">
        <f>SUM(D63:H63)</f>
        <v/>
      </c>
      <c r="D63" s="1539" t="n">
        <v>0</v>
      </c>
      <c r="E63" s="1616" t="n">
        <v>1</v>
      </c>
      <c r="F63" s="1616" t="n">
        <v>5</v>
      </c>
      <c r="G63" s="1616" t="n">
        <v>2</v>
      </c>
      <c r="H63" s="1616" t="n">
        <v>6</v>
      </c>
      <c r="I63" s="1617" t="n"/>
      <c r="J63" s="1618" t="n"/>
      <c r="K63" s="5300" t="n">
        <v>1</v>
      </c>
      <c r="L63" s="5294" t="n">
        <v>0</v>
      </c>
      <c r="M63" s="938">
        <f>$CA63&amp;CB63</f>
        <v/>
      </c>
      <c r="N63" s="939" t="n"/>
      <c r="O63" s="939" t="n"/>
      <c r="P63" s="939" t="n"/>
      <c r="Q63" s="939" t="n"/>
      <c r="R63" s="939" t="n"/>
      <c r="S63" s="939" t="n"/>
      <c r="T63" s="939" t="n"/>
      <c r="U63" s="939" t="n"/>
      <c r="V63" s="939" t="n"/>
      <c r="W63" s="939" t="n"/>
      <c r="X63" s="939" t="n"/>
      <c r="Y63" s="939" t="n"/>
      <c r="Z63" s="939" t="n"/>
      <c r="AA63" s="939" t="n"/>
      <c r="AB63" s="939" t="n"/>
      <c r="AC63" s="939" t="n"/>
      <c r="AD63" s="939" t="n"/>
      <c r="AE63" s="939" t="n"/>
      <c r="AF63" s="939" t="n"/>
      <c r="AG63" s="939" t="n"/>
      <c r="AH63" s="939" t="n"/>
      <c r="AI63" s="939" t="n"/>
      <c r="AJ63" s="939" t="n"/>
      <c r="AK63" s="939" t="n"/>
      <c r="AL63" s="939" t="n"/>
      <c r="AM63" s="939" t="n"/>
      <c r="AN63" s="939" t="n"/>
      <c r="AO63" s="939" t="n"/>
      <c r="AP63" s="939" t="n"/>
      <c r="AQ63" s="939" t="n"/>
      <c r="AR63" s="940" t="n"/>
      <c r="AS63" s="940" t="n"/>
      <c r="AT63" s="940" t="n"/>
      <c r="AU63" s="940" t="n"/>
      <c r="AV63" s="940" t="n"/>
      <c r="AW63" s="940" t="n"/>
      <c r="AX63" s="940" t="n"/>
      <c r="AY63" s="940" t="n"/>
      <c r="AZ63" s="239" t="n"/>
      <c r="BA63" s="239" t="n"/>
      <c r="BB63" s="239" t="n"/>
      <c r="BC63" s="239" t="n"/>
      <c r="BD63" s="239" t="n"/>
      <c r="BE63" s="239" t="n"/>
      <c r="BF63" s="239" t="n"/>
      <c r="BG63" s="239" t="n"/>
      <c r="BH63" s="239" t="n"/>
      <c r="BI63" s="239" t="n"/>
      <c r="BJ63" s="239" t="n"/>
      <c r="BK63" s="239" t="n"/>
      <c r="BL63" s="239" t="n"/>
      <c r="BM63" s="239" t="n"/>
      <c r="BN63" s="239" t="n"/>
      <c r="BO63" s="239" t="n"/>
      <c r="BP63" s="239" t="n"/>
      <c r="BQ63" s="239" t="n"/>
      <c r="BR63" s="239" t="n"/>
      <c r="BS63" s="239" t="n"/>
      <c r="BT63" s="239" t="n"/>
      <c r="BU63" s="239" t="n"/>
      <c r="BV63" s="239" t="n"/>
      <c r="BW63" s="239" t="n"/>
      <c r="BX63" s="239" t="n"/>
      <c r="BY63" s="239" t="n"/>
      <c r="BZ63" s="239" t="n"/>
      <c r="CA63" s="240">
        <f>IF(AND($C63&lt;&gt;0,K63=""),"* No olvide ingresar la variable "&amp;K$59&amp;""&amp;". Digite CERO si no tiene. ",IF(K63&gt;$C63,"* La variable Pueblos Originarios no debe ser mayor al Total. ",""))</f>
        <v/>
      </c>
      <c r="CB63" s="240">
        <f>IF(AND($C63&lt;&gt;0,L63=""),"* No olvide ingresar la variable "&amp;L$59&amp;""&amp;". Digite CERO si no tiene. ",IF(L63&gt;$C63,"* La variable Migrantes no debe ser mayor al Total. ",""))</f>
        <v/>
      </c>
      <c r="CC63" s="239" t="n"/>
      <c r="CD63" s="239" t="n"/>
      <c r="CE63" s="64" t="n"/>
      <c r="CF63" s="64" t="n"/>
      <c r="CG63" s="64" t="n"/>
      <c r="CH63" s="64" t="n"/>
      <c r="CI63" s="64" t="n"/>
      <c r="CK63" s="29">
        <f>IF(AND($C63&lt;&gt;0,K63=""),1,IF(K63&gt;$C63,1,0))</f>
        <v/>
      </c>
      <c r="CL63" s="29">
        <f>IF(AND($C63&lt;&gt;0,L63=""),1,IF(L63&gt;$C63,1,0))</f>
        <v/>
      </c>
    </row>
    <row r="64" ht="15" customHeight="1" s="8286">
      <c r="A64" s="9708" t="inlineStr">
        <is>
          <t>Lactancia Materna más Alimentación Complementaria  (LM/AC)</t>
        </is>
      </c>
      <c r="B64" s="9646" t="n"/>
      <c r="C64" s="1546">
        <f>SUM(H64:J64)</f>
        <v/>
      </c>
      <c r="D64" s="1619" t="n"/>
      <c r="E64" s="957" t="n"/>
      <c r="F64" s="957" t="n"/>
      <c r="G64" s="957" t="n"/>
      <c r="H64" s="958" t="n">
        <v>0</v>
      </c>
      <c r="I64" s="1616" t="n">
        <v>5</v>
      </c>
      <c r="J64" s="1620" t="n">
        <v>4</v>
      </c>
      <c r="K64" s="5300" t="n">
        <v>1</v>
      </c>
      <c r="L64" s="5294" t="n">
        <v>0</v>
      </c>
      <c r="M64" s="938">
        <f>$CA64&amp;CB64</f>
        <v/>
      </c>
      <c r="N64" s="939" t="n"/>
      <c r="O64" s="939" t="n"/>
      <c r="P64" s="939" t="n"/>
      <c r="Q64" s="939" t="n"/>
      <c r="R64" s="939" t="n"/>
      <c r="S64" s="939" t="n"/>
      <c r="T64" s="939" t="n"/>
      <c r="U64" s="939" t="n"/>
      <c r="V64" s="939" t="n"/>
      <c r="W64" s="939" t="n"/>
      <c r="X64" s="939" t="n"/>
      <c r="Y64" s="939" t="n"/>
      <c r="Z64" s="939" t="n"/>
      <c r="AA64" s="939" t="n"/>
      <c r="AB64" s="939" t="n"/>
      <c r="AC64" s="939" t="n"/>
      <c r="AD64" s="939" t="n"/>
      <c r="AE64" s="939" t="n"/>
      <c r="AF64" s="939" t="n"/>
      <c r="AG64" s="939" t="n"/>
      <c r="AH64" s="939" t="n"/>
      <c r="AI64" s="939" t="n"/>
      <c r="AJ64" s="939" t="n"/>
      <c r="AK64" s="939" t="n"/>
      <c r="AL64" s="939" t="n"/>
      <c r="AM64" s="939" t="n"/>
      <c r="AN64" s="939" t="n"/>
      <c r="AO64" s="939" t="n"/>
      <c r="AP64" s="939" t="n"/>
      <c r="AQ64" s="939" t="n"/>
      <c r="AR64" s="940" t="n"/>
      <c r="AS64" s="940" t="n"/>
      <c r="AT64" s="940" t="n"/>
      <c r="AU64" s="940" t="n"/>
      <c r="AV64" s="940" t="n"/>
      <c r="AW64" s="940" t="n"/>
      <c r="AX64" s="940" t="n"/>
      <c r="AY64" s="940" t="n"/>
      <c r="AZ64" s="239" t="n"/>
      <c r="BA64" s="239" t="n"/>
      <c r="BB64" s="239" t="n"/>
      <c r="BC64" s="239" t="n"/>
      <c r="BD64" s="239" t="n"/>
      <c r="BE64" s="239" t="n"/>
      <c r="BF64" s="239" t="n"/>
      <c r="BG64" s="239" t="n"/>
      <c r="BH64" s="239" t="n"/>
      <c r="BI64" s="239" t="n"/>
      <c r="BJ64" s="239" t="n"/>
      <c r="BK64" s="239" t="n"/>
      <c r="BL64" s="239" t="n"/>
      <c r="BM64" s="239" t="n"/>
      <c r="BN64" s="239" t="n"/>
      <c r="BO64" s="239" t="n"/>
      <c r="BP64" s="239" t="n"/>
      <c r="BQ64" s="239" t="n"/>
      <c r="BR64" s="239" t="n"/>
      <c r="BS64" s="239" t="n"/>
      <c r="BT64" s="239" t="n"/>
      <c r="BU64" s="239" t="n"/>
      <c r="BV64" s="239" t="n"/>
      <c r="BW64" s="239" t="n"/>
      <c r="BX64" s="239" t="n"/>
      <c r="BY64" s="239" t="n"/>
      <c r="BZ64" s="239" t="n"/>
      <c r="CA64" s="240">
        <f>IF(AND($C64&lt;&gt;0,K64=""),"* No olvide ingresar la variable "&amp;K$59&amp;""&amp;". Digite CERO si no tiene. ",IF(K64&gt;$C64,"* La variable Pueblos Originarios no debe ser mayor al Total. ",""))</f>
        <v/>
      </c>
      <c r="CB64" s="240">
        <f>IF(AND($C64&lt;&gt;0,L64=""),"* No olvide ingresar la variable "&amp;L$59&amp;""&amp;". Digite CERO si no tiene. ",IF(L64&gt;$C64,"* La variable Migrantes no debe ser mayor al Total. ",""))</f>
        <v/>
      </c>
      <c r="CC64" s="239" t="n"/>
      <c r="CD64" s="239" t="n"/>
      <c r="CE64" s="64" t="n"/>
      <c r="CF64" s="64" t="n"/>
      <c r="CG64" s="64" t="n"/>
      <c r="CH64" s="64" t="n"/>
      <c r="CI64" s="64" t="n"/>
      <c r="CK64" s="29">
        <f>IF(AND($C64&lt;&gt;0,K64=""),1,IF(K64&gt;$C64,1,0))</f>
        <v/>
      </c>
      <c r="CL64" s="29">
        <f>IF(AND($C64&lt;&gt;0,L64=""),1,IF(L64&gt;$C64,1,0))</f>
        <v/>
      </c>
    </row>
    <row r="65" ht="24" customHeight="1" s="8286">
      <c r="A65" s="9708" t="inlineStr">
        <is>
          <t>Lactancia Materna más Fórmula Láctea más Alimentación Complementaria (LM/FL/AC)</t>
        </is>
      </c>
      <c r="B65" s="9646" t="n"/>
      <c r="C65" s="1546">
        <f>SUM(H65:J65)</f>
        <v/>
      </c>
      <c r="D65" s="1619" t="n"/>
      <c r="E65" s="957" t="n"/>
      <c r="F65" s="957" t="n"/>
      <c r="G65" s="957" t="n"/>
      <c r="H65" s="958" t="n">
        <v>4</v>
      </c>
      <c r="I65" s="1616" t="n">
        <v>3</v>
      </c>
      <c r="J65" s="1620" t="n">
        <v>1</v>
      </c>
      <c r="K65" s="5300" t="n">
        <v>1</v>
      </c>
      <c r="L65" s="5294" t="n">
        <v>0</v>
      </c>
      <c r="M65" s="938">
        <f>$CA65&amp;CB65</f>
        <v/>
      </c>
      <c r="N65" s="939" t="n"/>
      <c r="O65" s="939" t="n"/>
      <c r="P65" s="939" t="n"/>
      <c r="Q65" s="939" t="n"/>
      <c r="R65" s="939" t="n"/>
      <c r="S65" s="939" t="n"/>
      <c r="T65" s="939" t="n"/>
      <c r="U65" s="939" t="n"/>
      <c r="V65" s="939" t="n"/>
      <c r="W65" s="939" t="n"/>
      <c r="X65" s="939" t="n"/>
      <c r="Y65" s="939" t="n"/>
      <c r="Z65" s="939" t="n"/>
      <c r="AA65" s="939" t="n"/>
      <c r="AB65" s="939" t="n"/>
      <c r="AC65" s="939" t="n"/>
      <c r="AD65" s="939" t="n"/>
      <c r="AE65" s="939" t="n"/>
      <c r="AF65" s="939" t="n"/>
      <c r="AG65" s="939" t="n"/>
      <c r="AH65" s="939" t="n"/>
      <c r="AI65" s="939" t="n"/>
      <c r="AJ65" s="939" t="n"/>
      <c r="AK65" s="939" t="n"/>
      <c r="AL65" s="939" t="n"/>
      <c r="AM65" s="939" t="n"/>
      <c r="AN65" s="939" t="n"/>
      <c r="AO65" s="939" t="n"/>
      <c r="AP65" s="939" t="n"/>
      <c r="AQ65" s="939" t="n"/>
      <c r="AR65" s="940" t="n"/>
      <c r="AS65" s="940" t="n"/>
      <c r="AT65" s="940" t="n"/>
      <c r="AU65" s="940" t="n"/>
      <c r="AV65" s="940" t="n"/>
      <c r="AW65" s="940" t="n"/>
      <c r="AX65" s="940" t="n"/>
      <c r="AY65" s="940" t="n"/>
      <c r="AZ65" s="239" t="n"/>
      <c r="BA65" s="239" t="n"/>
      <c r="BB65" s="239" t="n"/>
      <c r="BC65" s="239" t="n"/>
      <c r="BD65" s="239" t="n"/>
      <c r="BE65" s="239" t="n"/>
      <c r="BF65" s="239" t="n"/>
      <c r="BG65" s="239" t="n"/>
      <c r="BH65" s="239" t="n"/>
      <c r="BI65" s="239" t="n"/>
      <c r="BJ65" s="239" t="n"/>
      <c r="BK65" s="239" t="n"/>
      <c r="BL65" s="239" t="n"/>
      <c r="BM65" s="239" t="n"/>
      <c r="BN65" s="239" t="n"/>
      <c r="BO65" s="239" t="n"/>
      <c r="BP65" s="239" t="n"/>
      <c r="BQ65" s="239" t="n"/>
      <c r="BR65" s="239" t="n"/>
      <c r="BS65" s="239" t="n"/>
      <c r="BT65" s="239" t="n"/>
      <c r="BU65" s="239" t="n"/>
      <c r="BV65" s="239" t="n"/>
      <c r="BW65" s="239" t="n"/>
      <c r="BX65" s="239" t="n"/>
      <c r="BY65" s="239" t="n"/>
      <c r="BZ65" s="239" t="n"/>
      <c r="CA65" s="240">
        <f>IF(AND($C65&lt;&gt;0,K65=""),"* No olvide ingresar la variable "&amp;K$59&amp;""&amp;". Digite CERO si no tiene. ",IF(K65&gt;$C65,"* La variable Pueblos Originarios no debe ser mayor al Total. ",""))</f>
        <v/>
      </c>
      <c r="CB65" s="240">
        <f>IF(AND($C65&lt;&gt;0,L65=""),"* No olvide ingresar la variable "&amp;L$59&amp;""&amp;". Digite CERO si no tiene. ",IF(L65&gt;$C65,"* La variable Migrantes no debe ser mayor al Total. ",""))</f>
        <v/>
      </c>
      <c r="CC65" s="239" t="n"/>
      <c r="CD65" s="239" t="n"/>
      <c r="CE65" s="64" t="n"/>
      <c r="CF65" s="64" t="n"/>
      <c r="CG65" s="64" t="n"/>
      <c r="CH65" s="64" t="n"/>
      <c r="CI65" s="64" t="n"/>
      <c r="CK65" s="29">
        <f>IF(AND($C65&lt;&gt;0,K65=""),1,IF(K65&gt;$C65,1,0))</f>
        <v/>
      </c>
      <c r="CL65" s="29">
        <f>IF(AND($C65&lt;&gt;0,L65=""),1,IF(L65&gt;$C65,1,0))</f>
        <v/>
      </c>
    </row>
    <row r="66" ht="15" customHeight="1" s="8286">
      <c r="A66" s="9709" t="inlineStr">
        <is>
          <t>Fórmula Láctea más Alimentación Complementaria (FL/AC)</t>
        </is>
      </c>
      <c r="B66" s="9710" t="n"/>
      <c r="C66" s="1621">
        <f>SUM(H66:J66)</f>
        <v/>
      </c>
      <c r="D66" s="1622" t="n"/>
      <c r="E66" s="1623" t="n"/>
      <c r="F66" s="1623" t="n"/>
      <c r="G66" s="1623" t="n"/>
      <c r="H66" s="1624" t="n">
        <v>1</v>
      </c>
      <c r="I66" s="1625" t="n">
        <v>7</v>
      </c>
      <c r="J66" s="1626" t="n">
        <v>4</v>
      </c>
      <c r="K66" s="1733" t="n">
        <v>0</v>
      </c>
      <c r="L66" s="1649" t="n">
        <v>0</v>
      </c>
      <c r="M66" s="938">
        <f>$CA66&amp;CB66</f>
        <v/>
      </c>
      <c r="N66" s="939" t="n"/>
      <c r="O66" s="939" t="n"/>
      <c r="P66" s="939" t="n"/>
      <c r="Q66" s="939" t="n"/>
      <c r="R66" s="939" t="n"/>
      <c r="S66" s="939" t="n"/>
      <c r="T66" s="939" t="n"/>
      <c r="U66" s="939" t="n"/>
      <c r="V66" s="939" t="n"/>
      <c r="W66" s="939" t="n"/>
      <c r="X66" s="939" t="n"/>
      <c r="Y66" s="939" t="n"/>
      <c r="Z66" s="939" t="n"/>
      <c r="AA66" s="939" t="n"/>
      <c r="AB66" s="939" t="n"/>
      <c r="AC66" s="939" t="n"/>
      <c r="AD66" s="939" t="n"/>
      <c r="AE66" s="939" t="n"/>
      <c r="AF66" s="939" t="n"/>
      <c r="AG66" s="939" t="n"/>
      <c r="AH66" s="939" t="n"/>
      <c r="AI66" s="939" t="n"/>
      <c r="AJ66" s="939" t="n"/>
      <c r="AK66" s="939" t="n"/>
      <c r="AL66" s="939" t="n"/>
      <c r="AM66" s="939" t="n"/>
      <c r="AN66" s="939" t="n"/>
      <c r="AO66" s="939" t="n"/>
      <c r="AP66" s="939" t="n"/>
      <c r="AQ66" s="939" t="n"/>
      <c r="AR66" s="940" t="n"/>
      <c r="AS66" s="940" t="n"/>
      <c r="AT66" s="940" t="n"/>
      <c r="AU66" s="940" t="n"/>
      <c r="AV66" s="940" t="n"/>
      <c r="AW66" s="940" t="n"/>
      <c r="AX66" s="940" t="n"/>
      <c r="AY66" s="940" t="n"/>
      <c r="AZ66" s="239" t="n"/>
      <c r="BA66" s="239" t="n"/>
      <c r="BB66" s="239" t="n"/>
      <c r="BC66" s="239" t="n"/>
      <c r="BD66" s="239" t="n"/>
      <c r="BE66" s="239" t="n"/>
      <c r="BF66" s="239" t="n"/>
      <c r="BG66" s="239" t="n"/>
      <c r="BH66" s="239" t="n"/>
      <c r="BI66" s="239" t="n"/>
      <c r="BJ66" s="239" t="n"/>
      <c r="BK66" s="239" t="n"/>
      <c r="BL66" s="239" t="n"/>
      <c r="BM66" s="239" t="n"/>
      <c r="BN66" s="239" t="n"/>
      <c r="BO66" s="239" t="n"/>
      <c r="BP66" s="239" t="n"/>
      <c r="BQ66" s="239" t="n"/>
      <c r="BR66" s="239" t="n"/>
      <c r="BS66" s="239" t="n"/>
      <c r="BT66" s="239" t="n"/>
      <c r="BU66" s="239" t="n"/>
      <c r="BV66" s="239" t="n"/>
      <c r="BW66" s="239" t="n"/>
      <c r="BX66" s="239" t="n"/>
      <c r="BY66" s="239" t="n"/>
      <c r="BZ66" s="239" t="n"/>
      <c r="CA66" s="240">
        <f>IF(AND($C66&lt;&gt;0,K66=""),"* No olvide ingresar la variable "&amp;K$59&amp;""&amp;". Digite CERO si no tiene. ",IF(K66&gt;$C66,"* La variable Pueblos Originarios no debe ser mayor al Total. ",""))</f>
        <v/>
      </c>
      <c r="CB66" s="240">
        <f>IF(AND($C66&lt;&gt;0,L66=""),"* No olvide ingresar la variable "&amp;L$59&amp;""&amp;". Digite CERO si no tiene. ",IF(L66&gt;$C66,"* La variable Migrantes no debe ser mayor al Total. ",""))</f>
        <v/>
      </c>
      <c r="CC66" s="239" t="n"/>
      <c r="CD66" s="239" t="n"/>
      <c r="CE66" s="64" t="n"/>
      <c r="CF66" s="64" t="n"/>
      <c r="CG66" s="64" t="n"/>
      <c r="CH66" s="64" t="n"/>
      <c r="CI66" s="64" t="n"/>
      <c r="CK66" s="29">
        <f>IF(AND($C66&lt;&gt;0,K66=""),1,IF(K66&gt;$C66,1,0))</f>
        <v/>
      </c>
      <c r="CL66" s="29">
        <f>IF(AND($C66&lt;&gt;0,L66=""),1,IF(L66&gt;$C66,1,0))</f>
        <v/>
      </c>
    </row>
    <row r="67" ht="15" customHeight="1" s="8286">
      <c r="A67" s="9711" t="inlineStr">
        <is>
          <t xml:space="preserve">Total de niños y niñas controlados </t>
        </is>
      </c>
      <c r="B67" s="9582" t="n"/>
      <c r="C67" s="1084">
        <f>SUM(D67:J67)</f>
        <v/>
      </c>
      <c r="D67" s="1085" t="n"/>
      <c r="E67" s="959" t="n"/>
      <c r="F67" s="959" t="n">
        <v>20</v>
      </c>
      <c r="G67" s="959" t="n">
        <v>14</v>
      </c>
      <c r="H67" s="960" t="n">
        <v>24</v>
      </c>
      <c r="I67" s="961" t="n">
        <v>15</v>
      </c>
      <c r="J67" s="962" t="n">
        <v>9</v>
      </c>
      <c r="K67" s="5301" t="n">
        <v>4</v>
      </c>
      <c r="L67" s="5298" t="n">
        <v>0</v>
      </c>
      <c r="M67" s="938">
        <f>$CA67&amp;CB67</f>
        <v/>
      </c>
      <c r="N67" s="939" t="n"/>
      <c r="O67" s="939" t="n"/>
      <c r="P67" s="939" t="n"/>
      <c r="Q67" s="939" t="n"/>
      <c r="R67" s="939" t="n"/>
      <c r="S67" s="939" t="n"/>
      <c r="T67" s="939" t="n"/>
      <c r="U67" s="939" t="n"/>
      <c r="V67" s="939" t="n"/>
      <c r="W67" s="939" t="n"/>
      <c r="X67" s="939" t="n"/>
      <c r="Y67" s="939" t="n"/>
      <c r="Z67" s="939" t="n"/>
      <c r="AA67" s="939" t="n"/>
      <c r="AB67" s="939" t="n"/>
      <c r="AC67" s="939" t="n"/>
      <c r="AD67" s="939" t="n"/>
      <c r="AE67" s="939" t="n"/>
      <c r="AF67" s="939" t="n"/>
      <c r="AG67" s="939" t="n"/>
      <c r="AH67" s="939" t="n"/>
      <c r="AI67" s="939" t="n"/>
      <c r="AJ67" s="939" t="n"/>
      <c r="AK67" s="939" t="n"/>
      <c r="AL67" s="939" t="n"/>
      <c r="AM67" s="939" t="n"/>
      <c r="AN67" s="939" t="n"/>
      <c r="AO67" s="939" t="n"/>
      <c r="AP67" s="939" t="n"/>
      <c r="AQ67" s="939" t="n"/>
      <c r="AR67" s="940" t="n"/>
      <c r="AS67" s="940" t="n"/>
      <c r="AT67" s="940" t="n"/>
      <c r="AU67" s="940" t="n"/>
      <c r="AV67" s="940" t="n"/>
      <c r="AW67" s="940" t="n"/>
      <c r="AX67" s="940" t="n"/>
      <c r="AY67" s="940" t="n"/>
      <c r="AZ67" s="239" t="n"/>
      <c r="BA67" s="239" t="n"/>
      <c r="BB67" s="239" t="n"/>
      <c r="BC67" s="239" t="n"/>
      <c r="BD67" s="239" t="n"/>
      <c r="BE67" s="239" t="n"/>
      <c r="BF67" s="239" t="n"/>
      <c r="BG67" s="239" t="n"/>
      <c r="BH67" s="239" t="n"/>
      <c r="BI67" s="239" t="n"/>
      <c r="BJ67" s="239" t="n"/>
      <c r="BK67" s="239" t="n"/>
      <c r="BL67" s="239" t="n"/>
      <c r="BM67" s="239" t="n"/>
      <c r="BN67" s="239" t="n"/>
      <c r="BO67" s="239" t="n"/>
      <c r="BP67" s="239" t="n"/>
      <c r="BQ67" s="239" t="n"/>
      <c r="BR67" s="239" t="n"/>
      <c r="BS67" s="239" t="n"/>
      <c r="BT67" s="239" t="n"/>
      <c r="BU67" s="239" t="n"/>
      <c r="BV67" s="239" t="n"/>
      <c r="BW67" s="239" t="n"/>
      <c r="BX67" s="239" t="n"/>
      <c r="BY67" s="239" t="n"/>
      <c r="BZ67" s="239" t="n"/>
      <c r="CA67" s="240">
        <f>IF(AND($C67&lt;&gt;0,K67=""),"* No olvide ingresar la variable "&amp;K$59&amp;""&amp;". Digite CERO si no tiene. ",IF(K67&gt;$C67,"* La variable Pueblos Originarios no debe ser mayor al Total. ",""))</f>
        <v/>
      </c>
      <c r="CB67" s="240">
        <f>IF(AND($C67&lt;&gt;0,L67=""),"* No olvide ingresar la variable "&amp;L$59&amp;""&amp;". Digite CERO si no tiene. ",IF(L67&gt;$C67,"* La variable Migrantes no debe ser mayor al Total. ",""))</f>
        <v/>
      </c>
      <c r="CC67" s="239" t="n"/>
      <c r="CD67" s="239" t="n"/>
      <c r="CE67" s="64" t="n"/>
      <c r="CF67" s="64" t="n"/>
      <c r="CG67" s="64" t="n"/>
      <c r="CH67" s="64" t="n"/>
      <c r="CI67" s="64" t="n"/>
      <c r="CK67" s="29">
        <f>IF(AND($C67&lt;&gt;0,K67=""),1,IF(K67&gt;$C67,1,0))</f>
        <v/>
      </c>
      <c r="CL67" s="29">
        <f>IF(AND($C67&lt;&gt;0,L67=""),1,IF(L67&gt;$C67,1,0))</f>
        <v/>
      </c>
    </row>
    <row r="68" ht="18" customHeight="1" s="8286">
      <c r="A68" s="1490" t="inlineStr">
        <is>
          <t>SECCIÓN A.6:  RESULTADOS RADIOGRAFÍA DE PELVIS (CADERA)</t>
        </is>
      </c>
      <c r="B68" s="1491" t="n"/>
      <c r="C68" s="1491" t="n"/>
      <c r="D68" s="1491" t="n"/>
      <c r="E68" s="1491" t="n"/>
      <c r="F68" s="1491" t="n"/>
      <c r="G68" s="1491" t="n"/>
      <c r="H68" s="1491" t="n"/>
      <c r="I68" s="1491" t="n"/>
      <c r="J68" s="931" t="n"/>
      <c r="K68" s="931" t="n"/>
      <c r="L68" s="963" t="n"/>
      <c r="M68" s="622" t="n"/>
      <c r="N68" s="622" t="n"/>
      <c r="O68" s="622" t="n"/>
      <c r="P68" s="622" t="n"/>
      <c r="Q68" s="622" t="n"/>
      <c r="R68" s="622" t="n"/>
      <c r="S68" s="622" t="n"/>
      <c r="T68" s="622" t="n"/>
      <c r="U68" s="622" t="n"/>
      <c r="V68" s="622" t="n"/>
      <c r="W68" s="622" t="n"/>
      <c r="X68" s="622" t="n"/>
      <c r="Y68" s="622" t="n"/>
      <c r="Z68" s="622" t="n"/>
      <c r="AA68" s="622" t="n"/>
      <c r="AB68" s="622" t="n"/>
      <c r="AC68" s="622" t="n"/>
      <c r="AD68" s="622" t="n"/>
      <c r="AE68" s="622" t="n"/>
      <c r="AF68" s="622" t="n"/>
      <c r="AG68" s="622" t="n"/>
      <c r="AH68" s="622" t="n"/>
      <c r="AI68" s="622" t="n"/>
      <c r="AJ68" s="622" t="n"/>
      <c r="AK68" s="622" t="n"/>
      <c r="AL68" s="622" t="n"/>
      <c r="AM68" s="622" t="n"/>
      <c r="AN68" s="622" t="n"/>
      <c r="AO68" s="622" t="n"/>
      <c r="AP68" s="622" t="n"/>
      <c r="AQ68" s="622" t="n"/>
      <c r="AR68" s="622" t="n"/>
      <c r="AS68" s="622" t="n"/>
      <c r="AT68" s="622" t="n"/>
      <c r="AU68" s="622" t="n"/>
      <c r="AV68" s="622" t="n"/>
      <c r="AW68" s="622" t="n"/>
      <c r="AX68" s="622" t="n"/>
      <c r="AY68" s="622" t="n"/>
    </row>
    <row r="69" ht="15" customHeight="1" s="8286">
      <c r="A69" s="9712" t="inlineStr">
        <is>
          <t>RESULTADO</t>
        </is>
      </c>
      <c r="B69" s="9629" t="inlineStr">
        <is>
          <t xml:space="preserve">TOTAL  </t>
        </is>
      </c>
      <c r="C69" s="9602" t="n"/>
      <c r="D69" s="9630" t="n"/>
      <c r="E69" s="7632" t="inlineStr">
        <is>
          <t>RANGO ETARIO Y SEXO</t>
        </is>
      </c>
      <c r="F69" s="9584" t="n"/>
      <c r="G69" s="9584" t="n"/>
      <c r="H69" s="9582" t="n"/>
      <c r="I69" s="9635" t="inlineStr">
        <is>
          <t>Pueblos Originarios</t>
        </is>
      </c>
      <c r="J69" s="7632" t="inlineStr">
        <is>
          <t>Migrantes</t>
        </is>
      </c>
      <c r="K69" s="622" t="n"/>
      <c r="L69" s="622" t="n"/>
      <c r="M69" s="622" t="n"/>
      <c r="N69" s="622" t="n"/>
      <c r="O69" s="622" t="n"/>
      <c r="P69" s="622" t="n"/>
      <c r="Q69" s="622" t="n"/>
      <c r="R69" s="622" t="n"/>
      <c r="S69" s="622" t="n"/>
      <c r="T69" s="622" t="n"/>
      <c r="U69" s="622" t="n"/>
      <c r="V69" s="622" t="n"/>
      <c r="W69" s="622" t="n"/>
      <c r="X69" s="622" t="n"/>
      <c r="Y69" s="622" t="n"/>
      <c r="Z69" s="622" t="n"/>
      <c r="AA69" s="622" t="n"/>
      <c r="AB69" s="622" t="n"/>
      <c r="AC69" s="622" t="n"/>
      <c r="AD69" s="622" t="n"/>
      <c r="AE69" s="622" t="n"/>
      <c r="AF69" s="622" t="n"/>
      <c r="AG69" s="622" t="n"/>
      <c r="AH69" s="622" t="n"/>
      <c r="AI69" s="622" t="n"/>
      <c r="AJ69" s="622" t="n"/>
      <c r="AK69" s="622" t="n"/>
      <c r="AL69" s="622" t="n"/>
      <c r="AM69" s="622" t="n"/>
      <c r="AN69" s="622" t="n"/>
      <c r="AO69" s="622" t="n"/>
      <c r="AP69" s="622" t="n"/>
      <c r="AQ69" s="622" t="n"/>
      <c r="AR69" s="622" t="n"/>
      <c r="AS69" s="622" t="n"/>
      <c r="AT69" s="622" t="n"/>
      <c r="AU69" s="622" t="n"/>
      <c r="AV69" s="622" t="n"/>
      <c r="AW69" s="622" t="n"/>
      <c r="AX69" s="622" t="n"/>
      <c r="AY69" s="622" t="n"/>
    </row>
    <row r="70" ht="15" customHeight="1" s="8286">
      <c r="A70" s="9625" t="n"/>
      <c r="B70" s="9638" t="n"/>
      <c r="C70" s="9697" t="n"/>
      <c r="D70" s="9639" t="n"/>
      <c r="E70" s="9631" t="inlineStr">
        <is>
          <t>3 meses</t>
        </is>
      </c>
      <c r="F70" s="9632" t="n"/>
      <c r="G70" s="9713" t="inlineStr">
        <is>
          <t>4 meses</t>
        </is>
      </c>
      <c r="H70" s="9714" t="n"/>
      <c r="I70" s="9656" t="n"/>
      <c r="J70" s="9614" t="n"/>
      <c r="K70" s="622" t="n"/>
      <c r="L70" s="622" t="n"/>
      <c r="M70" s="622" t="n"/>
      <c r="N70" s="622" t="n"/>
      <c r="O70" s="622" t="n"/>
      <c r="P70" s="622" t="n"/>
      <c r="Q70" s="622" t="n"/>
      <c r="R70" s="622" t="n"/>
      <c r="S70" s="622" t="n"/>
      <c r="T70" s="622" t="n"/>
      <c r="U70" s="622" t="n"/>
      <c r="V70" s="622" t="n"/>
      <c r="W70" s="622" t="n"/>
      <c r="X70" s="622" t="n"/>
      <c r="Y70" s="622" t="n"/>
      <c r="Z70" s="622" t="n"/>
      <c r="AA70" s="622" t="n"/>
      <c r="AB70" s="622" t="n"/>
      <c r="AC70" s="622" t="n"/>
      <c r="AD70" s="622" t="n"/>
      <c r="AE70" s="622" t="n"/>
      <c r="AF70" s="622" t="n"/>
      <c r="AG70" s="622" t="n"/>
      <c r="AH70" s="622" t="n"/>
      <c r="AI70" s="622" t="n"/>
      <c r="AJ70" s="622" t="n"/>
      <c r="AK70" s="622" t="n"/>
      <c r="AL70" s="622" t="n"/>
      <c r="AM70" s="622" t="n"/>
      <c r="AN70" s="622" t="n"/>
      <c r="AO70" s="622" t="n"/>
      <c r="AP70" s="622" t="n"/>
      <c r="AQ70" s="622" t="n"/>
      <c r="AR70" s="622" t="n"/>
      <c r="AS70" s="622" t="n"/>
      <c r="AT70" s="622" t="n"/>
      <c r="AU70" s="622" t="n"/>
      <c r="AV70" s="622" t="n"/>
      <c r="AW70" s="622" t="n"/>
      <c r="AX70" s="622" t="n"/>
      <c r="AY70" s="622" t="n"/>
    </row>
    <row r="71" ht="15" customHeight="1" s="8286">
      <c r="A71" s="9641" t="n"/>
      <c r="B71" s="1629" t="inlineStr">
        <is>
          <t>Ambos Sexos</t>
        </is>
      </c>
      <c r="C71" s="7400" t="inlineStr">
        <is>
          <t>Hombres</t>
        </is>
      </c>
      <c r="D71" s="7542" t="inlineStr">
        <is>
          <t>Mujeres</t>
        </is>
      </c>
      <c r="E71" s="1500" t="inlineStr">
        <is>
          <t>Hombres</t>
        </is>
      </c>
      <c r="F71" s="7280" t="inlineStr">
        <is>
          <t>Mujeres</t>
        </is>
      </c>
      <c r="G71" s="1500" t="inlineStr">
        <is>
          <t>Hombres</t>
        </is>
      </c>
      <c r="H71" s="7276" t="inlineStr">
        <is>
          <t>Mujeres</t>
        </is>
      </c>
      <c r="I71" s="9640" t="n"/>
      <c r="J71" s="9610" t="n"/>
      <c r="K71" s="622" t="n"/>
      <c r="L71" s="622" t="n"/>
      <c r="M71" s="622" t="n"/>
      <c r="N71" s="622" t="n"/>
      <c r="O71" s="622" t="n"/>
      <c r="P71" s="622" t="n"/>
      <c r="Q71" s="622" t="n"/>
      <c r="R71" s="622" t="n"/>
      <c r="S71" s="622" t="n"/>
      <c r="T71" s="622" t="n"/>
      <c r="U71" s="622" t="n"/>
      <c r="V71" s="622" t="n"/>
      <c r="W71" s="622" t="n"/>
      <c r="X71" s="622" t="n"/>
      <c r="Y71" s="622" t="n"/>
      <c r="Z71" s="622" t="n"/>
      <c r="AA71" s="622" t="n"/>
      <c r="AB71" s="622" t="n"/>
      <c r="AC71" s="622" t="n"/>
      <c r="AD71" s="622" t="n"/>
      <c r="AE71" s="622" t="n"/>
      <c r="AF71" s="622" t="n"/>
      <c r="AG71" s="622" t="n"/>
      <c r="AH71" s="622" t="n"/>
      <c r="AI71" s="622" t="n"/>
      <c r="AJ71" s="622" t="n"/>
      <c r="AK71" s="622" t="n"/>
      <c r="AL71" s="622" t="n"/>
      <c r="AM71" s="622" t="n"/>
      <c r="AN71" s="622" t="n"/>
      <c r="AO71" s="622" t="n"/>
      <c r="AP71" s="622" t="n"/>
      <c r="AQ71" s="622" t="n"/>
      <c r="AR71" s="622" t="n"/>
      <c r="AS71" s="622" t="n"/>
      <c r="AT71" s="622" t="n"/>
      <c r="AU71" s="622" t="n"/>
      <c r="AV71" s="622" t="n"/>
      <c r="AW71" s="622" t="n"/>
      <c r="AX71" s="622" t="n"/>
      <c r="AY71" s="622" t="n"/>
    </row>
    <row r="72" ht="15" customHeight="1" s="8286">
      <c r="A72" s="1630" t="inlineStr">
        <is>
          <t>Normal</t>
        </is>
      </c>
      <c r="B72" s="1631">
        <f>SUM(C72:D72)</f>
        <v/>
      </c>
      <c r="C72" s="1632">
        <f>+E72+G72</f>
        <v/>
      </c>
      <c r="D72" s="1633">
        <f>+F72+H72</f>
        <v/>
      </c>
      <c r="E72" s="1511" t="n"/>
      <c r="F72" s="1535" t="n"/>
      <c r="G72" s="942" t="n"/>
      <c r="H72" s="1634" t="n"/>
      <c r="I72" s="1077" t="n"/>
      <c r="J72" s="1645" t="n"/>
      <c r="K72" s="938">
        <f>$CA72&amp;CB72</f>
        <v/>
      </c>
      <c r="L72" s="939" t="n"/>
      <c r="M72" s="939" t="n"/>
      <c r="N72" s="939" t="n"/>
      <c r="O72" s="939" t="n"/>
      <c r="P72" s="939" t="n"/>
      <c r="Q72" s="939" t="n"/>
      <c r="R72" s="939" t="n"/>
      <c r="S72" s="939" t="n"/>
      <c r="T72" s="939" t="n"/>
      <c r="U72" s="939" t="n"/>
      <c r="V72" s="939" t="n"/>
      <c r="W72" s="939" t="n"/>
      <c r="X72" s="939" t="n"/>
      <c r="Y72" s="939" t="n"/>
      <c r="Z72" s="939" t="n"/>
      <c r="AA72" s="939" t="n"/>
      <c r="AB72" s="939" t="n"/>
      <c r="AC72" s="939" t="n"/>
      <c r="AD72" s="939" t="n"/>
      <c r="AE72" s="939" t="n"/>
      <c r="AF72" s="939" t="n"/>
      <c r="AG72" s="939" t="n"/>
      <c r="AH72" s="939" t="n"/>
      <c r="AI72" s="939" t="n"/>
      <c r="AJ72" s="939" t="n"/>
      <c r="AK72" s="939" t="n"/>
      <c r="AL72" s="939" t="n"/>
      <c r="AM72" s="939" t="n"/>
      <c r="AN72" s="939" t="n"/>
      <c r="AO72" s="939" t="n"/>
      <c r="AP72" s="940" t="n"/>
      <c r="AQ72" s="940" t="n"/>
      <c r="AR72" s="940" t="n"/>
      <c r="AS72" s="940" t="n"/>
      <c r="AT72" s="940" t="n"/>
      <c r="AU72" s="940" t="n"/>
      <c r="AV72" s="940" t="n"/>
      <c r="AW72" s="940" t="n"/>
      <c r="AX72" s="940" t="n"/>
      <c r="AY72" s="940" t="n"/>
      <c r="AZ72" s="239" t="n"/>
      <c r="BA72" s="239" t="n"/>
      <c r="BB72" s="239" t="n"/>
      <c r="BC72" s="239" t="n"/>
      <c r="BD72" s="239" t="n"/>
      <c r="BE72" s="239" t="n"/>
      <c r="BF72" s="239" t="n"/>
      <c r="BG72" s="239" t="n"/>
      <c r="BH72" s="239" t="n"/>
      <c r="BI72" s="239" t="n"/>
      <c r="BJ72" s="239" t="n"/>
      <c r="BK72" s="239" t="n"/>
      <c r="BL72" s="239" t="n"/>
      <c r="BM72" s="239" t="n"/>
      <c r="BN72" s="239" t="n"/>
      <c r="BO72" s="239" t="n"/>
      <c r="BP72" s="239" t="n"/>
      <c r="BQ72" s="239" t="n"/>
      <c r="BR72" s="239" t="n"/>
      <c r="BS72" s="239" t="n"/>
      <c r="BT72" s="239" t="n"/>
      <c r="BU72" s="239" t="n"/>
      <c r="BV72" s="239" t="n"/>
      <c r="BW72" s="239" t="n"/>
      <c r="BX72" s="239" t="n"/>
      <c r="BY72" s="239" t="n"/>
      <c r="BZ72" s="239" t="n"/>
      <c r="CA72" s="240">
        <f>IF(AND($B72&lt;&gt;0,I72=""),"* No olvide ingresar la variable "&amp;I$51&amp;""&amp;". Digite CERO si no tiene. ",IF(I72&gt;$B72,"* La variable Pueblos Originarios no debe ser mayor al Total Ambos Sexos. ",""))</f>
        <v/>
      </c>
      <c r="CB72" s="240">
        <f>IF(AND($B72&lt;&gt;0,J72=""),"* No olvide ingresar la variable "&amp;J$51&amp;""&amp;" (Digite CERO si no tiene). ",IF(J72&gt;$B72,"* La variable Migrantes no debe ser mayor al Total Ambos Sexos. ",""))</f>
        <v/>
      </c>
      <c r="CC72" s="239" t="n"/>
      <c r="CD72" s="239" t="n"/>
      <c r="CE72" s="64" t="n"/>
      <c r="CF72" s="64" t="n"/>
      <c r="CG72" s="64" t="n"/>
      <c r="CH72" s="64" t="n"/>
      <c r="CI72" s="64" t="n"/>
      <c r="CK72" s="29">
        <f>IF(AND($B72&lt;&gt;0,I72=""),1,IF(I72&gt;$B72,1,0))</f>
        <v/>
      </c>
      <c r="CL72" s="29">
        <f>IF(AND($B72&lt;&gt;0,J72=""),1,IF(J72&gt;$B72,1,0))</f>
        <v/>
      </c>
    </row>
    <row r="73" ht="15" customHeight="1" s="8286">
      <c r="A73" s="1636" t="inlineStr">
        <is>
          <t>Anormal</t>
        </is>
      </c>
      <c r="B73" s="1604">
        <f>SUM(C73:D73)</f>
        <v/>
      </c>
      <c r="C73" s="1637">
        <f>+E73+G73</f>
        <v/>
      </c>
      <c r="D73" s="1638">
        <f>+F73+H73</f>
        <v/>
      </c>
      <c r="E73" s="1539" t="n"/>
      <c r="F73" s="1544" t="n"/>
      <c r="G73" s="1539" t="n"/>
      <c r="H73" s="1639" t="n"/>
      <c r="I73" s="5300" t="n"/>
      <c r="J73" s="5294" t="n"/>
      <c r="K73" s="938">
        <f>$CA73&amp;CB73</f>
        <v/>
      </c>
      <c r="L73" s="939" t="n"/>
      <c r="M73" s="939" t="n"/>
      <c r="N73" s="939" t="n"/>
      <c r="O73" s="939" t="n"/>
      <c r="P73" s="939" t="n"/>
      <c r="Q73" s="939" t="n"/>
      <c r="R73" s="939" t="n"/>
      <c r="S73" s="939" t="n"/>
      <c r="T73" s="939" t="n"/>
      <c r="U73" s="939" t="n"/>
      <c r="V73" s="939" t="n"/>
      <c r="W73" s="939" t="n"/>
      <c r="X73" s="939" t="n"/>
      <c r="Y73" s="939" t="n"/>
      <c r="Z73" s="939" t="n"/>
      <c r="AA73" s="939" t="n"/>
      <c r="AB73" s="939" t="n"/>
      <c r="AC73" s="939" t="n"/>
      <c r="AD73" s="939" t="n"/>
      <c r="AE73" s="939" t="n"/>
      <c r="AF73" s="939" t="n"/>
      <c r="AG73" s="939" t="n"/>
      <c r="AH73" s="939" t="n"/>
      <c r="AI73" s="939" t="n"/>
      <c r="AJ73" s="939" t="n"/>
      <c r="AK73" s="939" t="n"/>
      <c r="AL73" s="939" t="n"/>
      <c r="AM73" s="939" t="n"/>
      <c r="AN73" s="939" t="n"/>
      <c r="AO73" s="939" t="n"/>
      <c r="AP73" s="940" t="n"/>
      <c r="AQ73" s="940" t="n"/>
      <c r="AR73" s="940" t="n"/>
      <c r="AS73" s="940" t="n"/>
      <c r="AT73" s="940" t="n"/>
      <c r="AU73" s="940" t="n"/>
      <c r="AV73" s="940" t="n"/>
      <c r="AW73" s="940" t="n"/>
      <c r="AX73" s="940" t="n"/>
      <c r="AY73" s="940" t="n"/>
      <c r="AZ73" s="239" t="n"/>
      <c r="BA73" s="239" t="n"/>
      <c r="BB73" s="239" t="n"/>
      <c r="BC73" s="239" t="n"/>
      <c r="BD73" s="239" t="n"/>
      <c r="BE73" s="239" t="n"/>
      <c r="BF73" s="239" t="n"/>
      <c r="BG73" s="239" t="n"/>
      <c r="BH73" s="239" t="n"/>
      <c r="BI73" s="239" t="n"/>
      <c r="BJ73" s="239" t="n"/>
      <c r="BK73" s="239" t="n"/>
      <c r="BL73" s="239" t="n"/>
      <c r="BM73" s="239" t="n"/>
      <c r="BN73" s="239" t="n"/>
      <c r="BO73" s="239" t="n"/>
      <c r="BP73" s="239" t="n"/>
      <c r="BQ73" s="239" t="n"/>
      <c r="BR73" s="239" t="n"/>
      <c r="BS73" s="239" t="n"/>
      <c r="BT73" s="239" t="n"/>
      <c r="BU73" s="239" t="n"/>
      <c r="BV73" s="239" t="n"/>
      <c r="BW73" s="239" t="n"/>
      <c r="BX73" s="239" t="n"/>
      <c r="BY73" s="239" t="n"/>
      <c r="BZ73" s="239" t="n"/>
      <c r="CA73" s="240">
        <f>IF(AND($B73&lt;&gt;0,I73=""),"* No olvide ingresar la variable "&amp;I$51&amp;""&amp;". Digite CERO si no tiene. ",IF(I73&gt;$B73,"* La variable Pueblos Originarios no debe ser mayor al Total Ambos Sexos. ",""))</f>
        <v/>
      </c>
      <c r="CB73" s="240">
        <f>IF(AND($B73&lt;&gt;0,J73=""),"* No olvide ingresar la variable "&amp;J$51&amp;""&amp;" (Digite CERO si no tiene). ",IF(J73&gt;$B73,"* La variable Migrantes no debe ser mayor al Total Ambos Sexos. ",""))</f>
        <v/>
      </c>
      <c r="CC73" s="239" t="n"/>
      <c r="CD73" s="239" t="n"/>
      <c r="CE73" s="64" t="n"/>
      <c r="CF73" s="64" t="n"/>
      <c r="CG73" s="64" t="n"/>
      <c r="CH73" s="64" t="n"/>
      <c r="CI73" s="64" t="n"/>
      <c r="CK73" s="29">
        <f>IF(AND($B73&lt;&gt;0,I73=""),1,IF(I73&gt;$B73,1,0))</f>
        <v/>
      </c>
      <c r="CL73" s="29">
        <f>IF(AND($B73&lt;&gt;0,J73=""),1,IF(J73&gt;$B73,1,0))</f>
        <v/>
      </c>
    </row>
    <row r="74" ht="15" customHeight="1" s="8286">
      <c r="A74" s="1606" t="inlineStr">
        <is>
          <t>Inmadura</t>
        </is>
      </c>
      <c r="B74" s="1607">
        <f>SUM(C74:D74)</f>
        <v/>
      </c>
      <c r="C74" s="1640">
        <f>+E74+G74</f>
        <v/>
      </c>
      <c r="D74" s="1641">
        <f>+F74+H74</f>
        <v/>
      </c>
      <c r="E74" s="1519" t="n"/>
      <c r="F74" s="1520" t="n"/>
      <c r="G74" s="1519" t="n"/>
      <c r="H74" s="1642" t="n"/>
      <c r="I74" s="1733" t="n"/>
      <c r="J74" s="1649" t="n"/>
      <c r="K74" s="938">
        <f>$CA74&amp;CB74</f>
        <v/>
      </c>
      <c r="L74" s="939" t="n"/>
      <c r="M74" s="939" t="n"/>
      <c r="N74" s="939" t="n"/>
      <c r="O74" s="939" t="n"/>
      <c r="P74" s="939" t="n"/>
      <c r="Q74" s="939" t="n"/>
      <c r="R74" s="939" t="n"/>
      <c r="S74" s="939" t="n"/>
      <c r="T74" s="939" t="n"/>
      <c r="U74" s="939" t="n"/>
      <c r="V74" s="939" t="n"/>
      <c r="W74" s="939" t="n"/>
      <c r="X74" s="939" t="n"/>
      <c r="Y74" s="939" t="n"/>
      <c r="Z74" s="939" t="n"/>
      <c r="AA74" s="939" t="n"/>
      <c r="AB74" s="939" t="n"/>
      <c r="AC74" s="939" t="n"/>
      <c r="AD74" s="939" t="n"/>
      <c r="AE74" s="939" t="n"/>
      <c r="AF74" s="939" t="n"/>
      <c r="AG74" s="939" t="n"/>
      <c r="AH74" s="939" t="n"/>
      <c r="AI74" s="939" t="n"/>
      <c r="AJ74" s="939" t="n"/>
      <c r="AK74" s="939" t="n"/>
      <c r="AL74" s="939" t="n"/>
      <c r="AM74" s="939" t="n"/>
      <c r="AN74" s="939" t="n"/>
      <c r="AO74" s="939" t="n"/>
      <c r="AP74" s="940" t="n"/>
      <c r="AQ74" s="940" t="n"/>
      <c r="AR74" s="940" t="n"/>
      <c r="AS74" s="940" t="n"/>
      <c r="AT74" s="940" t="n"/>
      <c r="AU74" s="940" t="n"/>
      <c r="AV74" s="940" t="n"/>
      <c r="AW74" s="940" t="n"/>
      <c r="AX74" s="940" t="n"/>
      <c r="AY74" s="940" t="n"/>
      <c r="AZ74" s="239" t="n"/>
      <c r="BA74" s="239" t="n"/>
      <c r="BB74" s="239" t="n"/>
      <c r="BC74" s="239" t="n"/>
      <c r="BD74" s="239" t="n"/>
      <c r="BE74" s="239" t="n"/>
      <c r="BF74" s="239" t="n"/>
      <c r="BG74" s="239" t="n"/>
      <c r="BH74" s="239" t="n"/>
      <c r="BI74" s="239" t="n"/>
      <c r="BJ74" s="239" t="n"/>
      <c r="BK74" s="239" t="n"/>
      <c r="BL74" s="239" t="n"/>
      <c r="BM74" s="239" t="n"/>
      <c r="BN74" s="239" t="n"/>
      <c r="BO74" s="239" t="n"/>
      <c r="BP74" s="239" t="n"/>
      <c r="BQ74" s="239" t="n"/>
      <c r="BR74" s="239" t="n"/>
      <c r="BS74" s="239" t="n"/>
      <c r="BT74" s="239" t="n"/>
      <c r="BU74" s="239" t="n"/>
      <c r="BV74" s="239" t="n"/>
      <c r="BW74" s="239" t="n"/>
      <c r="BX74" s="239" t="n"/>
      <c r="BY74" s="239" t="n"/>
      <c r="BZ74" s="239" t="n"/>
      <c r="CA74" s="240">
        <f>IF(AND($B74&lt;&gt;0,I74=""),"* No olvide ingresar la variable "&amp;I$51&amp;""&amp;". Digite CERO si no tiene. ",IF(I74&gt;$B74,"* La variable Pueblos Originarios no debe ser mayor al Total Ambos Sexos. ",""))</f>
        <v/>
      </c>
      <c r="CB74" s="240">
        <f>IF(AND($B74&lt;&gt;0,J74=""),"* No olvide ingresar la variable "&amp;J$51&amp;""&amp;" (Digite CERO si no tiene). ",IF(J74&gt;$B74,"* La variable Migrantes no debe ser mayor al Total Ambos Sexos. ",""))</f>
        <v/>
      </c>
      <c r="CC74" s="239" t="n"/>
      <c r="CD74" s="239" t="n"/>
      <c r="CE74" s="64" t="n"/>
      <c r="CF74" s="64" t="n"/>
      <c r="CG74" s="64" t="n"/>
      <c r="CH74" s="64" t="n"/>
      <c r="CI74" s="64" t="n"/>
      <c r="CK74" s="29">
        <f>IF(AND($B74&lt;&gt;0,I74=""),1,IF(I74&gt;$B74,1,0))</f>
        <v/>
      </c>
      <c r="CL74" s="29">
        <f>IF(AND($B74&lt;&gt;0,J74=""),1,IF(J74&gt;$B74,1,0))</f>
        <v/>
      </c>
    </row>
    <row r="75" ht="18" customHeight="1" s="8286">
      <c r="A75" s="964" t="inlineStr">
        <is>
          <t>SECCION B: EVALUACIÓN, APLICACIÓN Y RESULTADOS DE ESCALAS EN  LA MUJER</t>
        </is>
      </c>
      <c r="B75" s="965" t="n"/>
      <c r="C75" s="965" t="n"/>
      <c r="D75" s="965" t="n"/>
      <c r="E75" s="965" t="n"/>
      <c r="F75" s="965" t="n"/>
      <c r="G75" s="965" t="n"/>
      <c r="H75" s="622" t="n"/>
      <c r="I75" s="622" t="n"/>
      <c r="J75" s="622" t="n"/>
      <c r="K75" s="622" t="n"/>
      <c r="L75" s="622" t="n"/>
      <c r="M75" s="622" t="n"/>
      <c r="N75" s="622" t="n"/>
      <c r="O75" s="622" t="n"/>
      <c r="P75" s="622" t="n"/>
      <c r="Q75" s="622" t="n"/>
      <c r="R75" s="622" t="n"/>
      <c r="S75" s="622" t="n"/>
      <c r="T75" s="622" t="n"/>
      <c r="U75" s="622" t="n"/>
      <c r="V75" s="622" t="n"/>
      <c r="W75" s="622" t="n"/>
      <c r="X75" s="622" t="n"/>
      <c r="Y75" s="622" t="n"/>
      <c r="Z75" s="622" t="n"/>
      <c r="AA75" s="622" t="n"/>
      <c r="AB75" s="622" t="n"/>
      <c r="AC75" s="622" t="n"/>
      <c r="AD75" s="622" t="n"/>
      <c r="AE75" s="622" t="n"/>
      <c r="AF75" s="622" t="n"/>
      <c r="AG75" s="622" t="n"/>
      <c r="AH75" s="622" t="n"/>
      <c r="AI75" s="622" t="n"/>
      <c r="AJ75" s="622" t="n"/>
      <c r="AK75" s="622" t="n"/>
      <c r="AL75" s="622" t="n"/>
      <c r="AM75" s="622" t="n"/>
      <c r="AN75" s="622" t="n"/>
      <c r="AO75" s="622" t="n"/>
      <c r="AP75" s="622" t="n"/>
      <c r="AQ75" s="622" t="n"/>
      <c r="AR75" s="622" t="n"/>
      <c r="AS75" s="622" t="n"/>
      <c r="AT75" s="622" t="n"/>
      <c r="AU75" s="622" t="n"/>
      <c r="AV75" s="622" t="n"/>
      <c r="AW75" s="622" t="n"/>
      <c r="AX75" s="622" t="n"/>
      <c r="AY75" s="622" t="n"/>
    </row>
    <row r="76" ht="18" customHeight="1" s="8286">
      <c r="A76" s="964" t="inlineStr">
        <is>
          <t>SECCIÓN B.1: EVALUACIÓN DEL ESTADO NUTRICIONAL A PERSONAS CONTROLADAS AL OCTAVO MES POST PARTO</t>
        </is>
      </c>
      <c r="B76" s="966" t="n"/>
      <c r="C76" s="966" t="n"/>
      <c r="D76" s="966" t="n"/>
      <c r="E76" s="966" t="n"/>
      <c r="F76" s="966" t="n"/>
      <c r="G76" s="966" t="n"/>
      <c r="H76" s="622" t="n"/>
      <c r="I76" s="622" t="n"/>
      <c r="J76" s="622" t="n"/>
      <c r="K76" s="622" t="n"/>
      <c r="L76" s="622" t="n"/>
      <c r="M76" s="622" t="n"/>
      <c r="N76" s="622" t="n"/>
      <c r="O76" s="622" t="n"/>
      <c r="P76" s="622" t="n"/>
      <c r="Q76" s="622" t="n"/>
      <c r="R76" s="622" t="n"/>
      <c r="S76" s="622" t="n"/>
      <c r="T76" s="622" t="n"/>
      <c r="U76" s="622" t="n"/>
      <c r="V76" s="622" t="n"/>
      <c r="W76" s="622" t="n"/>
      <c r="X76" s="622" t="n"/>
      <c r="Y76" s="622" t="n"/>
      <c r="Z76" s="622" t="n"/>
      <c r="AA76" s="622" t="n"/>
      <c r="AB76" s="622" t="n"/>
      <c r="AC76" s="622" t="n"/>
      <c r="AD76" s="622" t="n"/>
      <c r="AE76" s="622" t="n"/>
      <c r="AF76" s="622" t="n"/>
      <c r="AG76" s="622" t="n"/>
      <c r="AH76" s="622" t="n"/>
      <c r="AI76" s="622" t="n"/>
      <c r="AJ76" s="622" t="n"/>
      <c r="AK76" s="622" t="n"/>
      <c r="AL76" s="622" t="n"/>
      <c r="AM76" s="622" t="n"/>
      <c r="AN76" s="622" t="n"/>
      <c r="AO76" s="622" t="n"/>
      <c r="AP76" s="622" t="n"/>
      <c r="AQ76" s="622" t="n"/>
      <c r="AR76" s="622" t="n"/>
      <c r="AS76" s="622" t="n"/>
      <c r="AT76" s="622" t="n"/>
      <c r="AU76" s="622" t="n"/>
      <c r="AV76" s="622" t="n"/>
      <c r="AW76" s="622" t="n"/>
      <c r="AX76" s="622" t="n"/>
      <c r="AY76" s="622" t="n"/>
    </row>
    <row r="77" ht="15" customHeight="1" s="8286">
      <c r="A77" s="9593" t="inlineStr">
        <is>
          <t>ESTADO NUTRICIONAL</t>
        </is>
      </c>
      <c r="B77" s="9593" t="inlineStr">
        <is>
          <t>TOTAL</t>
        </is>
      </c>
      <c r="C77" s="622" t="n"/>
      <c r="D77" s="622" t="n"/>
      <c r="E77" s="622" t="n"/>
      <c r="F77" s="622" t="n"/>
      <c r="G77" s="622" t="n"/>
      <c r="H77" s="622" t="n"/>
      <c r="I77" s="622" t="n"/>
      <c r="J77" s="622" t="n"/>
      <c r="K77" s="622" t="n"/>
      <c r="L77" s="622" t="n"/>
      <c r="M77" s="622" t="n"/>
      <c r="N77" s="622" t="n"/>
      <c r="O77" s="622" t="n"/>
      <c r="P77" s="622" t="n"/>
      <c r="Q77" s="622" t="n"/>
      <c r="R77" s="622" t="n"/>
      <c r="S77" s="622" t="n"/>
      <c r="T77" s="622" t="n"/>
      <c r="U77" s="622" t="n"/>
      <c r="V77" s="622" t="n"/>
      <c r="W77" s="622" t="n"/>
      <c r="X77" s="622" t="n"/>
      <c r="Y77" s="622" t="n"/>
      <c r="Z77" s="622" t="n"/>
      <c r="AA77" s="622" t="n"/>
      <c r="AB77" s="622" t="n"/>
      <c r="AC77" s="622" t="n"/>
      <c r="AD77" s="622" t="n"/>
      <c r="AE77" s="622" t="n"/>
      <c r="AF77" s="622" t="n"/>
      <c r="AG77" s="622" t="n"/>
      <c r="AH77" s="622" t="n"/>
      <c r="AI77" s="622" t="n"/>
      <c r="AJ77" s="622" t="n"/>
      <c r="AK77" s="622" t="n"/>
      <c r="AL77" s="622" t="n"/>
      <c r="AM77" s="622" t="n"/>
      <c r="AN77" s="622" t="n"/>
      <c r="AO77" s="622" t="n"/>
      <c r="AP77" s="622" t="n"/>
      <c r="AQ77" s="622" t="n"/>
      <c r="AR77" s="622" t="n"/>
      <c r="AS77" s="622" t="n"/>
      <c r="AT77" s="622" t="n"/>
      <c r="AU77" s="622" t="n"/>
      <c r="AV77" s="622" t="n"/>
      <c r="AW77" s="622" t="n"/>
      <c r="AX77" s="622" t="n"/>
      <c r="AY77" s="622" t="n"/>
    </row>
    <row r="78" ht="15" customHeight="1" s="8286">
      <c r="A78" s="9588" t="n"/>
      <c r="B78" s="9589" t="n"/>
      <c r="C78" s="622" t="n"/>
      <c r="D78" s="622" t="n"/>
      <c r="E78" s="622" t="n"/>
      <c r="F78" s="622" t="n"/>
      <c r="G78" s="622" t="n"/>
      <c r="H78" s="622" t="n"/>
      <c r="I78" s="622" t="n"/>
      <c r="J78" s="622" t="n"/>
      <c r="K78" s="622" t="n"/>
      <c r="L78" s="622" t="n"/>
      <c r="M78" s="622" t="n"/>
      <c r="N78" s="622" t="n"/>
      <c r="O78" s="622" t="n"/>
      <c r="P78" s="622" t="n"/>
      <c r="Q78" s="622" t="n"/>
      <c r="R78" s="622" t="n"/>
      <c r="S78" s="622" t="n"/>
      <c r="T78" s="622" t="n"/>
      <c r="U78" s="622" t="n"/>
      <c r="V78" s="622" t="n"/>
      <c r="W78" s="622" t="n"/>
      <c r="X78" s="622" t="n"/>
      <c r="Y78" s="622" t="n"/>
      <c r="Z78" s="622" t="n"/>
      <c r="AA78" s="622" t="n"/>
      <c r="AB78" s="622" t="n"/>
      <c r="AC78" s="622" t="n"/>
      <c r="AD78" s="622" t="n"/>
      <c r="AE78" s="622" t="n"/>
      <c r="AF78" s="622" t="n"/>
      <c r="AG78" s="622" t="n"/>
      <c r="AH78" s="622" t="n"/>
      <c r="AI78" s="622" t="n"/>
      <c r="AJ78" s="622" t="n"/>
      <c r="AK78" s="622" t="n"/>
      <c r="AL78" s="622" t="n"/>
      <c r="AM78" s="622" t="n"/>
      <c r="AN78" s="622" t="n"/>
      <c r="AO78" s="622" t="n"/>
      <c r="AP78" s="622" t="n"/>
      <c r="AQ78" s="622" t="n"/>
      <c r="AR78" s="622" t="n"/>
      <c r="AS78" s="622" t="n"/>
      <c r="AT78" s="622" t="n"/>
      <c r="AU78" s="622" t="n"/>
      <c r="AV78" s="622" t="n"/>
      <c r="AW78" s="622" t="n"/>
      <c r="AX78" s="622" t="n"/>
      <c r="AY78" s="622" t="n"/>
    </row>
    <row r="79" ht="15" customHeight="1" s="8286">
      <c r="A79" s="9589" t="n"/>
      <c r="B79" s="1643">
        <f>SUM(B80:B83)</f>
        <v/>
      </c>
      <c r="C79" s="622" t="n"/>
      <c r="D79" s="622" t="n"/>
      <c r="E79" s="622" t="n"/>
      <c r="F79" s="622" t="n"/>
      <c r="G79" s="622" t="n"/>
      <c r="H79" s="622" t="n"/>
      <c r="I79" s="622" t="n"/>
      <c r="J79" s="622" t="n"/>
      <c r="K79" s="622" t="n"/>
      <c r="L79" s="622" t="n"/>
      <c r="M79" s="622" t="n"/>
      <c r="N79" s="622" t="n"/>
      <c r="O79" s="622" t="n"/>
      <c r="P79" s="622" t="n"/>
      <c r="Q79" s="622" t="n"/>
      <c r="R79" s="622" t="n"/>
      <c r="S79" s="622" t="n"/>
      <c r="T79" s="622" t="n"/>
      <c r="U79" s="622" t="n"/>
      <c r="V79" s="622" t="n"/>
      <c r="W79" s="622" t="n"/>
      <c r="X79" s="622" t="n"/>
      <c r="Y79" s="622" t="n"/>
      <c r="Z79" s="622" t="n"/>
      <c r="AA79" s="622" t="n"/>
      <c r="AB79" s="622" t="n"/>
      <c r="AC79" s="622" t="n"/>
      <c r="AD79" s="622" t="n"/>
      <c r="AE79" s="622" t="n"/>
      <c r="AF79" s="622" t="n"/>
      <c r="AG79" s="622" t="n"/>
      <c r="AH79" s="622" t="n"/>
      <c r="AI79" s="622" t="n"/>
      <c r="AJ79" s="622" t="n"/>
      <c r="AK79" s="622" t="n"/>
      <c r="AL79" s="622" t="n"/>
      <c r="AM79" s="622" t="n"/>
      <c r="AN79" s="622" t="n"/>
      <c r="AO79" s="622" t="n"/>
      <c r="AP79" s="622" t="n"/>
      <c r="AQ79" s="622" t="n"/>
      <c r="AR79" s="622" t="n"/>
      <c r="AS79" s="622" t="n"/>
      <c r="AT79" s="622" t="n"/>
      <c r="AU79" s="622" t="n"/>
      <c r="AV79" s="622" t="n"/>
      <c r="AW79" s="622" t="n"/>
      <c r="AX79" s="622" t="n"/>
      <c r="AY79" s="622" t="n"/>
    </row>
    <row r="80" ht="15" customHeight="1" s="8286">
      <c r="A80" s="1644" t="inlineStr">
        <is>
          <t>Obesa</t>
        </is>
      </c>
      <c r="B80" s="1645" t="n"/>
      <c r="C80" s="622" t="n"/>
      <c r="D80" s="622" t="n"/>
      <c r="E80" s="622" t="n"/>
      <c r="F80" s="622" t="n"/>
      <c r="G80" s="622" t="n"/>
      <c r="H80" s="622" t="n"/>
      <c r="I80" s="622" t="n"/>
      <c r="J80" s="622" t="n"/>
      <c r="K80" s="622" t="n"/>
      <c r="L80" s="622" t="n"/>
      <c r="M80" s="622" t="n"/>
      <c r="N80" s="622" t="n"/>
      <c r="O80" s="622" t="n"/>
      <c r="P80" s="622" t="n"/>
      <c r="Q80" s="622" t="n"/>
      <c r="R80" s="622" t="n"/>
      <c r="S80" s="622" t="n"/>
      <c r="T80" s="622" t="n"/>
      <c r="U80" s="622" t="n"/>
      <c r="V80" s="622" t="n"/>
      <c r="W80" s="622" t="n"/>
      <c r="X80" s="622" t="n"/>
      <c r="Y80" s="622" t="n"/>
      <c r="Z80" s="622" t="n"/>
      <c r="AA80" s="622" t="n"/>
      <c r="AB80" s="622" t="n"/>
      <c r="AC80" s="622" t="n"/>
      <c r="AD80" s="622" t="n"/>
      <c r="AE80" s="622" t="n"/>
      <c r="AF80" s="622" t="n"/>
      <c r="AG80" s="622" t="n"/>
      <c r="AH80" s="622" t="n"/>
      <c r="AI80" s="622" t="n"/>
      <c r="AJ80" s="622" t="n"/>
      <c r="AK80" s="622" t="n"/>
      <c r="AL80" s="622" t="n"/>
      <c r="AM80" s="622" t="n"/>
      <c r="AN80" s="622" t="n"/>
      <c r="AO80" s="622" t="n"/>
      <c r="AP80" s="622" t="n"/>
      <c r="AQ80" s="622" t="n"/>
      <c r="AR80" s="622" t="n"/>
      <c r="AS80" s="622" t="n"/>
      <c r="AT80" s="622" t="n"/>
      <c r="AU80" s="622" t="n"/>
      <c r="AV80" s="622" t="n"/>
      <c r="AW80" s="622" t="n"/>
      <c r="AX80" s="622" t="n"/>
      <c r="AY80" s="622" t="n"/>
    </row>
    <row r="81" ht="15" customHeight="1" s="8286">
      <c r="A81" s="1646" t="inlineStr">
        <is>
          <t>Sobrepeso</t>
        </is>
      </c>
      <c r="B81" s="1647" t="n"/>
      <c r="C81" s="622" t="n"/>
      <c r="D81" s="622" t="n"/>
      <c r="E81" s="622" t="n"/>
      <c r="F81" s="622" t="n"/>
      <c r="G81" s="622" t="n"/>
      <c r="H81" s="622" t="n"/>
      <c r="I81" s="622" t="n"/>
      <c r="J81" s="622" t="n"/>
      <c r="K81" s="622" t="n"/>
      <c r="L81" s="622" t="n"/>
      <c r="M81" s="622" t="n"/>
      <c r="N81" s="622" t="n"/>
      <c r="O81" s="622" t="n"/>
      <c r="P81" s="622" t="n"/>
      <c r="Q81" s="622" t="n"/>
      <c r="R81" s="622" t="n"/>
      <c r="S81" s="622" t="n"/>
      <c r="T81" s="622" t="n"/>
      <c r="U81" s="622" t="n"/>
      <c r="V81" s="622" t="n"/>
      <c r="W81" s="622" t="n"/>
      <c r="X81" s="622" t="n"/>
      <c r="Y81" s="622" t="n"/>
      <c r="Z81" s="622" t="n"/>
      <c r="AA81" s="622" t="n"/>
      <c r="AB81" s="622" t="n"/>
      <c r="AC81" s="622" t="n"/>
      <c r="AD81" s="622" t="n"/>
      <c r="AE81" s="622" t="n"/>
      <c r="AF81" s="622" t="n"/>
      <c r="AG81" s="622" t="n"/>
      <c r="AH81" s="622" t="n"/>
      <c r="AI81" s="622" t="n"/>
      <c r="AJ81" s="622" t="n"/>
      <c r="AK81" s="622" t="n"/>
      <c r="AL81" s="622" t="n"/>
      <c r="AM81" s="622" t="n"/>
      <c r="AN81" s="622" t="n"/>
      <c r="AO81" s="622" t="n"/>
      <c r="AP81" s="622" t="n"/>
      <c r="AQ81" s="622" t="n"/>
      <c r="AR81" s="622" t="n"/>
      <c r="AS81" s="622" t="n"/>
      <c r="AT81" s="622" t="n"/>
      <c r="AU81" s="622" t="n"/>
      <c r="AV81" s="622" t="n"/>
      <c r="AW81" s="622" t="n"/>
      <c r="AX81" s="622" t="n"/>
      <c r="AY81" s="622" t="n"/>
    </row>
    <row r="82" ht="15" customHeight="1" s="8286">
      <c r="A82" s="1646" t="inlineStr">
        <is>
          <t>Normal</t>
        </is>
      </c>
      <c r="B82" s="1647" t="n"/>
      <c r="C82" s="622" t="n"/>
      <c r="D82" s="622" t="n"/>
      <c r="E82" s="622" t="n"/>
      <c r="F82" s="622" t="n"/>
      <c r="G82" s="622" t="n"/>
      <c r="H82" s="622" t="n"/>
      <c r="I82" s="622" t="n"/>
      <c r="J82" s="622" t="n"/>
      <c r="K82" s="622" t="n"/>
      <c r="L82" s="622" t="n"/>
      <c r="M82" s="622" t="n"/>
      <c r="N82" s="622" t="n"/>
      <c r="O82" s="622" t="n"/>
      <c r="P82" s="622" t="n"/>
      <c r="Q82" s="622" t="n"/>
      <c r="R82" s="622" t="n"/>
      <c r="S82" s="622" t="n"/>
      <c r="T82" s="622" t="n"/>
      <c r="U82" s="622" t="n"/>
      <c r="V82" s="622" t="n"/>
      <c r="W82" s="622" t="n"/>
      <c r="X82" s="622" t="n"/>
      <c r="Y82" s="622" t="n"/>
      <c r="Z82" s="622" t="n"/>
      <c r="AA82" s="622" t="n"/>
      <c r="AB82" s="622" t="n"/>
      <c r="AC82" s="622" t="n"/>
      <c r="AD82" s="622" t="n"/>
      <c r="AE82" s="622" t="n"/>
      <c r="AF82" s="622" t="n"/>
      <c r="AG82" s="622" t="n"/>
      <c r="AH82" s="622" t="n"/>
      <c r="AI82" s="622" t="n"/>
      <c r="AJ82" s="622" t="n"/>
      <c r="AK82" s="622" t="n"/>
      <c r="AL82" s="622" t="n"/>
      <c r="AM82" s="622" t="n"/>
      <c r="AN82" s="622" t="n"/>
      <c r="AO82" s="622" t="n"/>
      <c r="AP82" s="622" t="n"/>
      <c r="AQ82" s="622" t="n"/>
      <c r="AR82" s="622" t="n"/>
      <c r="AS82" s="622" t="n"/>
      <c r="AT82" s="622" t="n"/>
      <c r="AU82" s="622" t="n"/>
      <c r="AV82" s="622" t="n"/>
      <c r="AW82" s="622" t="n"/>
      <c r="AX82" s="622" t="n"/>
      <c r="AY82" s="622" t="n"/>
    </row>
    <row r="83" ht="15" customHeight="1" s="8286">
      <c r="A83" s="1648" t="inlineStr">
        <is>
          <t>Bajo peso</t>
        </is>
      </c>
      <c r="B83" s="1649" t="n"/>
      <c r="C83" s="622" t="n"/>
      <c r="D83" s="622" t="n"/>
      <c r="E83" s="622" t="n"/>
      <c r="F83" s="622" t="n"/>
      <c r="G83" s="622" t="n"/>
      <c r="H83" s="622" t="n"/>
      <c r="I83" s="622" t="n"/>
      <c r="J83" s="622" t="n"/>
      <c r="K83" s="622" t="n"/>
      <c r="L83" s="622" t="n"/>
      <c r="M83" s="622" t="n"/>
      <c r="N83" s="622" t="n"/>
      <c r="O83" s="622" t="n"/>
      <c r="P83" s="622" t="n"/>
      <c r="Q83" s="622" t="n"/>
      <c r="R83" s="622" t="n"/>
      <c r="S83" s="622" t="n"/>
      <c r="T83" s="622" t="n"/>
      <c r="U83" s="622" t="n"/>
      <c r="V83" s="622" t="n"/>
      <c r="W83" s="622" t="n"/>
      <c r="X83" s="622" t="n"/>
      <c r="Y83" s="622" t="n"/>
      <c r="Z83" s="622" t="n"/>
      <c r="AA83" s="622" t="n"/>
      <c r="AB83" s="622" t="n"/>
      <c r="AC83" s="622" t="n"/>
      <c r="AD83" s="622" t="n"/>
      <c r="AE83" s="622" t="n"/>
      <c r="AF83" s="622" t="n"/>
      <c r="AG83" s="622" t="n"/>
      <c r="AH83" s="622" t="n"/>
      <c r="AI83" s="622" t="n"/>
      <c r="AJ83" s="622" t="n"/>
      <c r="AK83" s="622" t="n"/>
      <c r="AL83" s="622" t="n"/>
      <c r="AM83" s="622" t="n"/>
      <c r="AN83" s="622" t="n"/>
      <c r="AO83" s="622" t="n"/>
      <c r="AP83" s="622" t="n"/>
      <c r="AQ83" s="622" t="n"/>
      <c r="AR83" s="622" t="n"/>
      <c r="AS83" s="622" t="n"/>
      <c r="AT83" s="622" t="n"/>
      <c r="AU83" s="622" t="n"/>
      <c r="AV83" s="622" t="n"/>
      <c r="AW83" s="622" t="n"/>
      <c r="AX83" s="622" t="n"/>
      <c r="AY83" s="622" t="n"/>
    </row>
    <row r="84" ht="18" customHeight="1" s="8286">
      <c r="A84" s="927" t="inlineStr">
        <is>
          <t>SECCIÓN B.2: APLICACIÓN DE ESCALA SEGÚN EVALUACIÓN DE RIESGO PSICOSOCIAL ABREVIADA A GESTANTES</t>
        </is>
      </c>
      <c r="B84" s="622" t="n"/>
      <c r="C84" s="622" t="n"/>
      <c r="D84" s="622" t="n"/>
      <c r="E84" s="622" t="n"/>
      <c r="F84" s="622" t="n"/>
      <c r="G84" s="622" t="n"/>
      <c r="H84" s="622" t="n"/>
      <c r="I84" s="622" t="n"/>
      <c r="J84" s="622" t="n"/>
      <c r="K84" s="622" t="n"/>
      <c r="L84" s="622" t="n"/>
      <c r="M84" s="622" t="n"/>
      <c r="N84" s="622" t="n"/>
      <c r="O84" s="622" t="n"/>
      <c r="P84" s="622" t="n"/>
      <c r="Q84" s="622" t="n"/>
      <c r="R84" s="622" t="n"/>
      <c r="S84" s="622" t="n"/>
      <c r="T84" s="622" t="n"/>
      <c r="U84" s="622" t="n"/>
      <c r="V84" s="622" t="n"/>
      <c r="W84" s="622" t="n"/>
      <c r="X84" s="622" t="n"/>
      <c r="Y84" s="622" t="n"/>
      <c r="Z84" s="622" t="n"/>
      <c r="AA84" s="622" t="n"/>
      <c r="AB84" s="622" t="n"/>
      <c r="AC84" s="622" t="n"/>
      <c r="AD84" s="622" t="n"/>
      <c r="AE84" s="622" t="n"/>
      <c r="AF84" s="622" t="n"/>
      <c r="AG84" s="622" t="n"/>
      <c r="AH84" s="622" t="n"/>
      <c r="AI84" s="622" t="n"/>
      <c r="AJ84" s="622" t="n"/>
      <c r="AK84" s="622" t="n"/>
      <c r="AL84" s="622" t="n"/>
      <c r="AM84" s="622" t="n"/>
      <c r="AN84" s="622" t="n"/>
      <c r="AO84" s="622" t="n"/>
      <c r="AP84" s="622" t="n"/>
      <c r="AQ84" s="622" t="n"/>
      <c r="AR84" s="622" t="n"/>
      <c r="AS84" s="622" t="n"/>
      <c r="AT84" s="622" t="n"/>
      <c r="AU84" s="622" t="n"/>
      <c r="AV84" s="622" t="n"/>
      <c r="AW84" s="622" t="n"/>
      <c r="AX84" s="622" t="n"/>
      <c r="AY84" s="622" t="n"/>
    </row>
    <row r="85" ht="52.5" customHeight="1" s="8286">
      <c r="A85" s="7150" t="inlineStr">
        <is>
          <t>TIPO</t>
        </is>
      </c>
      <c r="B85" s="7279" t="inlineStr">
        <is>
          <t xml:space="preserve">Total de Aplicaciones </t>
        </is>
      </c>
      <c r="C85" s="1500" t="inlineStr">
        <is>
          <t>Con riesgo psicosocial</t>
        </is>
      </c>
      <c r="D85" s="7383" t="inlineStr">
        <is>
          <t>Violencia de Género</t>
        </is>
      </c>
      <c r="E85" s="7383" t="inlineStr">
        <is>
          <t>3 o más riesgos psicosociales</t>
        </is>
      </c>
      <c r="F85" s="7280" t="inlineStr">
        <is>
          <t>Plan de equipo de cabecera en gestantes con 3 o más riesgos psicosociales</t>
        </is>
      </c>
      <c r="G85" s="622" t="n"/>
      <c r="H85" s="622" t="n"/>
      <c r="I85" s="622" t="n"/>
      <c r="J85" s="622" t="n"/>
      <c r="K85" s="622" t="n"/>
      <c r="L85" s="622" t="n"/>
      <c r="M85" s="622" t="n"/>
      <c r="N85" s="622" t="n"/>
      <c r="O85" s="622" t="n"/>
      <c r="P85" s="622" t="n"/>
      <c r="Q85" s="622" t="n"/>
      <c r="R85" s="622" t="n"/>
      <c r="S85" s="622" t="n"/>
      <c r="T85" s="622" t="n"/>
      <c r="U85" s="622" t="n"/>
      <c r="V85" s="622" t="n"/>
      <c r="W85" s="622" t="n"/>
      <c r="X85" s="622" t="n"/>
      <c r="Y85" s="622" t="n"/>
      <c r="Z85" s="622" t="n"/>
      <c r="AA85" s="622" t="n"/>
      <c r="AB85" s="622" t="n"/>
      <c r="AC85" s="622" t="n"/>
      <c r="AD85" s="622" t="n"/>
      <c r="AE85" s="622" t="n"/>
      <c r="AF85" s="622" t="n"/>
      <c r="AG85" s="622" t="n"/>
      <c r="AH85" s="622" t="n"/>
      <c r="AI85" s="622" t="n"/>
      <c r="AJ85" s="622" t="n"/>
      <c r="AK85" s="622" t="n"/>
      <c r="AL85" s="622" t="n"/>
      <c r="AM85" s="622" t="n"/>
      <c r="AN85" s="622" t="n"/>
      <c r="AO85" s="622" t="n"/>
      <c r="AP85" s="622" t="n"/>
      <c r="AQ85" s="622" t="n"/>
      <c r="AR85" s="622" t="n"/>
      <c r="AS85" s="622" t="n"/>
      <c r="AT85" s="622" t="n"/>
      <c r="AU85" s="622" t="n"/>
      <c r="AV85" s="622" t="n"/>
      <c r="AW85" s="622" t="n"/>
      <c r="AX85" s="622" t="n"/>
      <c r="AY85" s="622" t="n"/>
    </row>
    <row r="86" ht="15" customHeight="1" s="8286">
      <c r="A86" s="1650" t="inlineStr">
        <is>
          <t xml:space="preserve">Evaluación al ingreso </t>
        </is>
      </c>
      <c r="B86" s="1651" t="n">
        <v>24</v>
      </c>
      <c r="C86" s="1511" t="n">
        <v>2</v>
      </c>
      <c r="D86" s="952" t="n">
        <v>0</v>
      </c>
      <c r="E86" s="952" t="n">
        <v>2</v>
      </c>
      <c r="F86" s="1554" t="n">
        <v>2</v>
      </c>
      <c r="G86" s="938">
        <f>$CA86&amp;CB86&amp;CC86&amp;CD86&amp;CE86</f>
        <v/>
      </c>
      <c r="H86" s="622" t="n"/>
      <c r="I86" s="622" t="n"/>
      <c r="J86" s="622" t="n"/>
      <c r="K86" s="622" t="n"/>
      <c r="L86" s="622" t="n"/>
      <c r="M86" s="622" t="n"/>
      <c r="N86" s="622" t="n"/>
      <c r="O86" s="622" t="n"/>
      <c r="P86" s="622" t="n"/>
      <c r="Q86" s="622" t="n"/>
      <c r="R86" s="622" t="n"/>
      <c r="S86" s="622" t="n"/>
      <c r="T86" s="622" t="n"/>
      <c r="U86" s="622" t="n"/>
      <c r="V86" s="622" t="n"/>
      <c r="W86" s="622" t="n"/>
      <c r="X86" s="622" t="n"/>
      <c r="Y86" s="622" t="n"/>
      <c r="Z86" s="622" t="n"/>
      <c r="AA86" s="622" t="n"/>
      <c r="AB86" s="622" t="n"/>
      <c r="AC86" s="622" t="n"/>
      <c r="AD86" s="622" t="n"/>
      <c r="AE86" s="622" t="n"/>
      <c r="AF86" s="622" t="n"/>
      <c r="AG86" s="622" t="n"/>
      <c r="AH86" s="622" t="n"/>
      <c r="AI86" s="622" t="n"/>
      <c r="AJ86" s="622" t="n"/>
      <c r="AK86" s="622" t="n"/>
      <c r="AL86" s="622" t="n"/>
      <c r="AM86" s="622" t="n"/>
      <c r="AN86" s="622" t="n"/>
      <c r="AO86" s="622" t="n"/>
      <c r="AP86" s="622" t="n"/>
      <c r="AQ86" s="622" t="n"/>
      <c r="AR86" s="622" t="n"/>
      <c r="AS86" s="622" t="n"/>
      <c r="AT86" s="622" t="n"/>
      <c r="AU86" s="622" t="n"/>
      <c r="AV86" s="622" t="n"/>
      <c r="AW86" s="622" t="n"/>
      <c r="AX86" s="622" t="n"/>
      <c r="AY86" s="622" t="n"/>
      <c r="CA86" s="240">
        <f>IF(CK86=1,"* Las Aplicaciones de EPSA con resultado de Riesgo psicosocial NO DEBE ser MAYOR que el Total de las Aplicaciones. ","")</f>
        <v/>
      </c>
      <c r="CB86" s="242">
        <f>IF(CL86=1,"* Las Aplicaciones de EPSA con resultado de Riesgo psicosocial NO DEBE ser MENOR que la variable Plan de equipo de cabecera en gestantes con 3 o más riesgos psicosociales. ","")</f>
        <v/>
      </c>
      <c r="CC86" s="242">
        <f>IF(CM86=1,"* Las Aplicaciones de EPSA asociadas a Violencia de Género NO DEBEN ser MAYOR al Total de Aplicaciones. ","")</f>
        <v/>
      </c>
      <c r="CD86" s="242">
        <f>IF(CN86=1,"* Las Aplicaciones de EPSA asociadas a 3 o más riesgos psicosociales NO DEBEN ser MAYOR al Total de Aplicaciones. ","")</f>
        <v/>
      </c>
      <c r="CE86" s="242">
        <f>IF(CO86=1,"* La variable Plan de equipo de cabecera en gestantes con 3 o más riesgos psicosociales NO DEBE ser MAYOR al Total de Aplicaciones. ","")</f>
        <v/>
      </c>
      <c r="CF86" s="243" t="n"/>
      <c r="CG86" s="243" t="n"/>
      <c r="CH86" s="243" t="n"/>
      <c r="CI86" s="243" t="n"/>
      <c r="CJ86" s="243" t="n"/>
      <c r="CK86" s="244">
        <f>IF(B86&lt;C86,1,0)</f>
        <v/>
      </c>
      <c r="CL86" s="244">
        <f>IF(C86&lt;F86,1,0)</f>
        <v/>
      </c>
      <c r="CM86" s="244">
        <f>IF(D86&gt;$B86,1,0)</f>
        <v/>
      </c>
      <c r="CN86" s="244">
        <f>IF(E86&gt;$B86,1,0)</f>
        <v/>
      </c>
      <c r="CO86" s="244">
        <f>IF(F86&gt;$B86,1,0)</f>
        <v/>
      </c>
    </row>
    <row r="87" ht="15" customHeight="1" s="8286">
      <c r="A87" s="1652" t="inlineStr">
        <is>
          <t xml:space="preserve">Evaluación al tercer trimestre </t>
        </is>
      </c>
      <c r="B87" s="1086" t="n">
        <v>6</v>
      </c>
      <c r="C87" s="1083" t="n">
        <v>2</v>
      </c>
      <c r="D87" s="961" t="n">
        <v>0</v>
      </c>
      <c r="E87" s="961" t="n">
        <v>0</v>
      </c>
      <c r="F87" s="949" t="n">
        <v>0</v>
      </c>
      <c r="G87" s="938">
        <f>$CA87&amp;CB87&amp;CC87&amp;CD87&amp;CE87</f>
        <v/>
      </c>
      <c r="H87" s="622" t="n"/>
      <c r="I87" s="622" t="n"/>
      <c r="J87" s="622" t="n"/>
      <c r="K87" s="622" t="n"/>
      <c r="L87" s="622" t="n"/>
      <c r="M87" s="622" t="n"/>
      <c r="N87" s="622" t="n"/>
      <c r="O87" s="622" t="n"/>
      <c r="P87" s="622" t="n"/>
      <c r="Q87" s="622" t="n"/>
      <c r="R87" s="622" t="n"/>
      <c r="S87" s="622" t="n"/>
      <c r="T87" s="622" t="n"/>
      <c r="U87" s="622" t="n"/>
      <c r="V87" s="622" t="n"/>
      <c r="W87" s="622" t="n"/>
      <c r="X87" s="622" t="n"/>
      <c r="Y87" s="622" t="n"/>
      <c r="Z87" s="622" t="n"/>
      <c r="AA87" s="622" t="n"/>
      <c r="AB87" s="622" t="n"/>
      <c r="AC87" s="622" t="n"/>
      <c r="AD87" s="622" t="n"/>
      <c r="AE87" s="622" t="n"/>
      <c r="AF87" s="622" t="n"/>
      <c r="AG87" s="622" t="n"/>
      <c r="AH87" s="622" t="n"/>
      <c r="AI87" s="622" t="n"/>
      <c r="AJ87" s="622" t="n"/>
      <c r="AK87" s="622" t="n"/>
      <c r="AL87" s="622" t="n"/>
      <c r="AM87" s="622" t="n"/>
      <c r="AN87" s="622" t="n"/>
      <c r="AO87" s="622" t="n"/>
      <c r="AP87" s="622" t="n"/>
      <c r="AQ87" s="622" t="n"/>
      <c r="AR87" s="622" t="n"/>
      <c r="AS87" s="622" t="n"/>
      <c r="AT87" s="622" t="n"/>
      <c r="AU87" s="622" t="n"/>
      <c r="AV87" s="622" t="n"/>
      <c r="AW87" s="622" t="n"/>
      <c r="AX87" s="622" t="n"/>
      <c r="AY87" s="622" t="n"/>
      <c r="CA87" s="240">
        <f>IF(CK87=1,"* Las Aplicaciones de EPSA con resultado de Riesgo psicosocial NO DEBE ser MAYOR que el Total de las Aplicaciones. ","")</f>
        <v/>
      </c>
      <c r="CB87" s="242">
        <f>IF(CL87=1,"* Las Aplicaciones de EPSA con resultado de Riesgo psicosocial NO DEBE ser MENOR que la variable Plan de equipo de cabecera en gestantes con 3 o más riesgos psicosociales. ","")</f>
        <v/>
      </c>
      <c r="CC87" s="242">
        <f>IF(CM87=1,"* Las Aplicaciones de EPSA asociadas a Violencia de Género NO DEBEN ser MAYOR al Total de Aplicaciones. ","")</f>
        <v/>
      </c>
      <c r="CD87" s="242">
        <f>IF(CN87=1,"* Las Aplicaciones de EPSA asociadas a 3 o más riesgos psicosociales NO DEBEN ser MAYOR al Total de Aplicaciones. ","")</f>
        <v/>
      </c>
      <c r="CE87" s="242">
        <f>IF(CO87=1,"* La variable Plan de equipo de cabecera en gestantes con 3 o más riesgos psicosociales NO DEBE ser MAYOR al Total de Aplicaciones. ","")</f>
        <v/>
      </c>
      <c r="CF87" s="243" t="n"/>
      <c r="CG87" s="243" t="n"/>
      <c r="CH87" s="243" t="n"/>
      <c r="CI87" s="243" t="n"/>
      <c r="CJ87" s="243" t="n"/>
      <c r="CK87" s="244">
        <f>IF(B87&lt;C87,1,0)</f>
        <v/>
      </c>
      <c r="CL87" s="244">
        <f>IF(C87&lt;F87,1,0)</f>
        <v/>
      </c>
      <c r="CM87" s="244">
        <f>IF(D87&gt;$B87,1,0)</f>
        <v/>
      </c>
      <c r="CN87" s="244">
        <f>IF(E87&gt;$B87,1,0)</f>
        <v/>
      </c>
      <c r="CO87" s="244">
        <f>IF(F87&gt;$B87,1,0)</f>
        <v/>
      </c>
    </row>
    <row r="88" ht="18" customHeight="1" s="8286">
      <c r="A88" s="927" t="inlineStr">
        <is>
          <t>SECCIÓN B.3: APLICACIÓN DE ESCALA DE EDIMBURGO A GESTANTES Y MUJERES POST PARTO</t>
        </is>
      </c>
      <c r="B88" s="931" t="n"/>
      <c r="C88" s="931" t="n"/>
      <c r="D88" s="931" t="n"/>
      <c r="E88" s="931" t="n"/>
      <c r="F88" s="966" t="n"/>
      <c r="G88" s="622" t="n"/>
      <c r="H88" s="622" t="n"/>
      <c r="I88" s="622" t="n"/>
      <c r="J88" s="622" t="n"/>
      <c r="K88" s="622" t="n"/>
      <c r="L88" s="622" t="n"/>
      <c r="M88" s="622" t="n"/>
      <c r="N88" s="622" t="n"/>
      <c r="O88" s="622" t="n"/>
      <c r="P88" s="622" t="n"/>
      <c r="Q88" s="622" t="n"/>
      <c r="R88" s="622" t="n"/>
      <c r="S88" s="622" t="n"/>
      <c r="T88" s="622" t="n"/>
      <c r="U88" s="622" t="n"/>
      <c r="V88" s="622" t="n"/>
      <c r="W88" s="622" t="n"/>
      <c r="X88" s="622" t="n"/>
      <c r="Y88" s="622" t="n"/>
      <c r="Z88" s="622" t="n"/>
      <c r="AA88" s="622" t="n"/>
      <c r="AB88" s="622" t="n"/>
      <c r="AC88" s="622" t="n"/>
      <c r="AD88" s="622" t="n"/>
      <c r="AE88" s="622" t="n"/>
      <c r="AF88" s="622" t="n"/>
      <c r="AG88" s="622" t="n"/>
      <c r="AH88" s="622" t="n"/>
      <c r="AI88" s="622" t="n"/>
      <c r="AJ88" s="622" t="n"/>
      <c r="AK88" s="622" t="n"/>
      <c r="AL88" s="622" t="n"/>
      <c r="AM88" s="622" t="n"/>
      <c r="AN88" s="622" t="n"/>
      <c r="AO88" s="622" t="n"/>
      <c r="AP88" s="622" t="n"/>
      <c r="AQ88" s="622" t="n"/>
      <c r="AR88" s="622" t="n"/>
      <c r="AS88" s="622" t="n"/>
      <c r="AT88" s="622" t="n"/>
      <c r="AU88" s="622" t="n"/>
      <c r="AV88" s="622" t="n"/>
      <c r="AW88" s="622" t="n"/>
      <c r="AX88" s="622" t="n"/>
      <c r="AY88" s="622" t="n"/>
    </row>
    <row r="89" ht="39" customHeight="1" s="8286">
      <c r="A89" s="8173" t="inlineStr">
        <is>
          <t>CONCEPTO</t>
        </is>
      </c>
      <c r="B89" s="9603" t="n"/>
      <c r="C89" s="1500" t="inlineStr">
        <is>
          <t>Total de Aplicaciones</t>
        </is>
      </c>
      <c r="D89" s="7383" t="inlineStr">
        <is>
          <t>Resultados  
10 o más puntos (Puérperas)</t>
        </is>
      </c>
      <c r="E89" s="7383" t="inlineStr">
        <is>
          <t>Resultado distinto de 0 en pregunta 10 (Puérperas)</t>
        </is>
      </c>
      <c r="F89" s="7383" t="inlineStr">
        <is>
          <t>Resultados  
13 o más puntos (Gestantes)</t>
        </is>
      </c>
      <c r="G89" s="7276" t="inlineStr">
        <is>
          <t>Resultado distinto de 0 en pregunta 10 (Gestantes)</t>
        </is>
      </c>
      <c r="H89" s="7280" t="inlineStr">
        <is>
          <t xml:space="preserve">Casos alterados derivados a Salud Mental </t>
        </is>
      </c>
      <c r="I89" s="622" t="n"/>
      <c r="J89" s="622" t="n"/>
      <c r="K89" s="622" t="n"/>
      <c r="L89" s="622" t="n"/>
      <c r="M89" s="622" t="n"/>
      <c r="N89" s="622" t="n"/>
      <c r="O89" s="622" t="n"/>
      <c r="P89" s="622" t="n"/>
      <c r="Q89" s="622" t="n"/>
      <c r="R89" s="622" t="n"/>
      <c r="S89" s="622" t="n"/>
      <c r="T89" s="622" t="n"/>
      <c r="U89" s="622" t="n"/>
      <c r="V89" s="622" t="n"/>
      <c r="W89" s="622" t="n"/>
      <c r="X89" s="622" t="n"/>
      <c r="Y89" s="622" t="n"/>
      <c r="Z89" s="622" t="n"/>
      <c r="AA89" s="622" t="n"/>
      <c r="AB89" s="622" t="n"/>
      <c r="AC89" s="622" t="n"/>
      <c r="AD89" s="622" t="n"/>
      <c r="AE89" s="622" t="n"/>
      <c r="AF89" s="622" t="n"/>
      <c r="AG89" s="622" t="n"/>
      <c r="AH89" s="622" t="n"/>
      <c r="AI89" s="622" t="n"/>
      <c r="AJ89" s="622" t="n"/>
      <c r="AK89" s="622" t="n"/>
      <c r="AL89" s="622" t="n"/>
      <c r="AM89" s="622" t="n"/>
      <c r="AN89" s="622" t="n"/>
      <c r="AO89" s="622" t="n"/>
      <c r="AP89" s="622" t="n"/>
      <c r="AQ89" s="622" t="n"/>
      <c r="AR89" s="622" t="n"/>
      <c r="AS89" s="622" t="n"/>
      <c r="AT89" s="622" t="n"/>
      <c r="AU89" s="622" t="n"/>
      <c r="AV89" s="622" t="n"/>
      <c r="AW89" s="622" t="n"/>
      <c r="AX89" s="622" t="n"/>
      <c r="AY89" s="622" t="n"/>
    </row>
    <row r="90" ht="24" customHeight="1" s="8286">
      <c r="A90" s="9700" t="inlineStr">
        <is>
          <t>Evaluación a Gestantes</t>
        </is>
      </c>
      <c r="B90" s="1653" t="inlineStr">
        <is>
          <t>Primera evaluación (2º control prenatal)</t>
        </is>
      </c>
      <c r="C90" s="1613" t="n">
        <v>15</v>
      </c>
      <c r="D90" s="953" t="n"/>
      <c r="E90" s="953" t="n"/>
      <c r="F90" s="952" t="n">
        <v>2</v>
      </c>
      <c r="G90" s="1654" t="n">
        <v>2</v>
      </c>
      <c r="H90" s="1512" t="n">
        <v>2</v>
      </c>
      <c r="I90" s="938">
        <f>$CA90</f>
        <v/>
      </c>
      <c r="J90" s="622" t="n"/>
      <c r="K90" s="622" t="n"/>
      <c r="L90" s="622" t="n"/>
      <c r="M90" s="622" t="n"/>
      <c r="N90" s="622" t="n"/>
      <c r="O90" s="622" t="n"/>
      <c r="P90" s="622" t="n"/>
      <c r="Q90" s="622" t="n"/>
      <c r="R90" s="622" t="n"/>
      <c r="S90" s="622" t="n"/>
      <c r="T90" s="622" t="n"/>
      <c r="U90" s="622" t="n"/>
      <c r="V90" s="622" t="n"/>
      <c r="W90" s="622" t="n"/>
      <c r="X90" s="622" t="n"/>
      <c r="Y90" s="622" t="n"/>
      <c r="Z90" s="622" t="n"/>
      <c r="AA90" s="622" t="n"/>
      <c r="AB90" s="622" t="n"/>
      <c r="AC90" s="622" t="n"/>
      <c r="AD90" s="622" t="n"/>
      <c r="AE90" s="622" t="n"/>
      <c r="AF90" s="622" t="n"/>
      <c r="AG90" s="622" t="n"/>
      <c r="AH90" s="622" t="n"/>
      <c r="AI90" s="622" t="n"/>
      <c r="AJ90" s="622" t="n"/>
      <c r="AK90" s="622" t="n"/>
      <c r="AL90" s="622" t="n"/>
      <c r="AM90" s="622" t="n"/>
      <c r="AN90" s="622" t="n"/>
      <c r="AO90" s="622" t="n"/>
      <c r="AP90" s="622" t="n"/>
      <c r="AQ90" s="622" t="n"/>
      <c r="AR90" s="622" t="n"/>
      <c r="AS90" s="622" t="n"/>
      <c r="AT90" s="622" t="n"/>
      <c r="AU90" s="622" t="n"/>
      <c r="AV90" s="622" t="n"/>
      <c r="AW90" s="622" t="n"/>
      <c r="AX90" s="622" t="n"/>
      <c r="AY90" s="622" t="n"/>
      <c r="CA90" s="240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 t="n"/>
      <c r="CC90" s="239" t="n"/>
      <c r="CD90" s="239" t="n"/>
      <c r="CE90" s="64" t="n"/>
      <c r="CF90" s="64" t="n"/>
      <c r="CG90" s="64" t="n"/>
      <c r="CH90" s="64" t="n"/>
      <c r="CI90" s="64" t="n"/>
      <c r="CK90" s="29">
        <f>IF(AND($C90&lt;&gt;0,H90=""),1,IF(H90&gt;$C90,1,0))</f>
        <v/>
      </c>
    </row>
    <row r="91" ht="21.6" customHeight="1" s="8286">
      <c r="A91" s="9641" t="n"/>
      <c r="B91" s="1655" t="inlineStr">
        <is>
          <t>Reevaluación (con puntaje elevado en la primera evaluación)</t>
        </is>
      </c>
      <c r="C91" s="1627" t="n">
        <v>1</v>
      </c>
      <c r="D91" s="1656" t="n"/>
      <c r="E91" s="1656" t="n"/>
      <c r="F91" s="1625" t="n">
        <v>0</v>
      </c>
      <c r="G91" s="1626" t="n">
        <v>0</v>
      </c>
      <c r="H91" s="1520" t="n">
        <v>0</v>
      </c>
      <c r="I91" s="938">
        <f>$CA91</f>
        <v/>
      </c>
      <c r="J91" s="622" t="n"/>
      <c r="K91" s="622" t="n"/>
      <c r="L91" s="622" t="n"/>
      <c r="M91" s="622" t="n"/>
      <c r="N91" s="622" t="n"/>
      <c r="O91" s="622" t="n"/>
      <c r="P91" s="622" t="n"/>
      <c r="Q91" s="622" t="n"/>
      <c r="R91" s="622" t="n"/>
      <c r="S91" s="622" t="n"/>
      <c r="T91" s="622" t="n"/>
      <c r="U91" s="622" t="n"/>
      <c r="V91" s="622" t="n"/>
      <c r="W91" s="622" t="n"/>
      <c r="X91" s="622" t="n"/>
      <c r="Y91" s="622" t="n"/>
      <c r="Z91" s="622" t="n"/>
      <c r="AA91" s="622" t="n"/>
      <c r="AB91" s="622" t="n"/>
      <c r="AC91" s="622" t="n"/>
      <c r="AD91" s="622" t="n"/>
      <c r="AE91" s="622" t="n"/>
      <c r="AF91" s="622" t="n"/>
      <c r="AG91" s="622" t="n"/>
      <c r="AH91" s="622" t="n"/>
      <c r="AI91" s="622" t="n"/>
      <c r="AJ91" s="622" t="n"/>
      <c r="AK91" s="622" t="n"/>
      <c r="AL91" s="622" t="n"/>
      <c r="AM91" s="622" t="n"/>
      <c r="AN91" s="622" t="n"/>
      <c r="AO91" s="622" t="n"/>
      <c r="AP91" s="622" t="n"/>
      <c r="AQ91" s="622" t="n"/>
      <c r="AR91" s="622" t="n"/>
      <c r="AS91" s="622" t="n"/>
      <c r="AT91" s="622" t="n"/>
      <c r="AU91" s="622" t="n"/>
      <c r="AV91" s="622" t="n"/>
      <c r="AW91" s="622" t="n"/>
      <c r="AX91" s="622" t="n"/>
      <c r="AY91" s="622" t="n"/>
      <c r="CA91" s="240">
        <f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 t="n"/>
      <c r="CC91" s="239" t="n"/>
      <c r="CD91" s="239" t="n"/>
      <c r="CE91" s="64" t="n"/>
      <c r="CF91" s="64" t="n"/>
      <c r="CG91" s="64" t="n"/>
      <c r="CH91" s="64" t="n"/>
      <c r="CI91" s="64" t="n"/>
      <c r="CK91" s="29">
        <f>IF(AND($C91&lt;&gt;0,H91=""),1,IF(H91&gt;$C91,1,0))</f>
        <v/>
      </c>
    </row>
    <row r="92" ht="15" customHeight="1" s="8286">
      <c r="A92" s="9615" t="inlineStr">
        <is>
          <t>Evaluación a mujeres/personas post parto síntomas de depresión</t>
        </is>
      </c>
      <c r="B92" s="1657" t="inlineStr">
        <is>
          <t>A los 2 meses</t>
        </is>
      </c>
      <c r="C92" s="1511" t="n">
        <v>22</v>
      </c>
      <c r="D92" s="952" t="n">
        <v>6</v>
      </c>
      <c r="E92" s="952" t="n">
        <v>1</v>
      </c>
      <c r="F92" s="967" t="n"/>
      <c r="G92" s="1658" t="n"/>
      <c r="H92" s="1659" t="n">
        <v>6</v>
      </c>
      <c r="I92" s="938">
        <f>$CA92</f>
        <v/>
      </c>
      <c r="J92" s="622" t="n"/>
      <c r="K92" s="622" t="n"/>
      <c r="L92" s="622" t="n"/>
      <c r="M92" s="622" t="n"/>
      <c r="N92" s="622" t="n"/>
      <c r="O92" s="622" t="n"/>
      <c r="P92" s="622" t="n"/>
      <c r="Q92" s="622" t="n"/>
      <c r="R92" s="622" t="n"/>
      <c r="S92" s="622" t="n"/>
      <c r="T92" s="622" t="n"/>
      <c r="U92" s="622" t="n"/>
      <c r="V92" s="622" t="n"/>
      <c r="W92" s="622" t="n"/>
      <c r="X92" s="622" t="n"/>
      <c r="Y92" s="622" t="n"/>
      <c r="Z92" s="622" t="n"/>
      <c r="AA92" s="622" t="n"/>
      <c r="AB92" s="622" t="n"/>
      <c r="AC92" s="622" t="n"/>
      <c r="AD92" s="622" t="n"/>
      <c r="AE92" s="622" t="n"/>
      <c r="AF92" s="622" t="n"/>
      <c r="AG92" s="622" t="n"/>
      <c r="AH92" s="622" t="n"/>
      <c r="AI92" s="622" t="n"/>
      <c r="AJ92" s="622" t="n"/>
      <c r="AK92" s="622" t="n"/>
      <c r="AL92" s="622" t="n"/>
      <c r="AM92" s="622" t="n"/>
      <c r="AN92" s="622" t="n"/>
      <c r="AO92" s="622" t="n"/>
      <c r="AP92" s="622" t="n"/>
      <c r="AQ92" s="622" t="n"/>
      <c r="AR92" s="622" t="n"/>
      <c r="AS92" s="622" t="n"/>
      <c r="AT92" s="622" t="n"/>
      <c r="AU92" s="622" t="n"/>
      <c r="AV92" s="622" t="n"/>
      <c r="AW92" s="622" t="n"/>
      <c r="AX92" s="622" t="n"/>
      <c r="AY92" s="622" t="n"/>
      <c r="CA92" s="240">
        <f>IF(AND($C92&lt;&gt;0,H92=""),"* No olvide ingresar la variable "&amp;H$89&amp;""&amp;". Digite CERO si no tiene. ",IF(H92&gt;$C92,"* La variable Casos alterados derivados a Salud Mental no debe ser mayor al Total de Aplicaciones. ",""))</f>
        <v/>
      </c>
      <c r="CB92" s="239" t="n"/>
      <c r="CC92" s="239" t="n"/>
      <c r="CD92" s="239" t="n"/>
      <c r="CE92" s="64" t="n"/>
      <c r="CF92" s="64" t="n"/>
      <c r="CG92" s="64" t="n"/>
      <c r="CH92" s="64" t="n"/>
      <c r="CI92" s="64" t="n"/>
      <c r="CK92" s="29">
        <f>IF(AND($C92&lt;&gt;0,H92=""),1,IF(H92&gt;$C92,1,0))</f>
        <v/>
      </c>
    </row>
    <row r="93" ht="15" customHeight="1" s="8286">
      <c r="A93" s="9610" t="n"/>
      <c r="B93" s="1655" t="inlineStr">
        <is>
          <t>A los 6 meses</t>
        </is>
      </c>
      <c r="C93" s="1519" t="n">
        <v>18</v>
      </c>
      <c r="D93" s="1625" t="n">
        <v>1</v>
      </c>
      <c r="E93" s="1625" t="n">
        <v>0</v>
      </c>
      <c r="F93" s="1623" t="n"/>
      <c r="G93" s="1660" t="n"/>
      <c r="H93" s="1661" t="n">
        <v>1</v>
      </c>
      <c r="I93" s="938">
        <f>$CA93</f>
        <v/>
      </c>
      <c r="J93" s="622" t="n"/>
      <c r="K93" s="622" t="n"/>
      <c r="L93" s="622" t="n"/>
      <c r="M93" s="622" t="n"/>
      <c r="N93" s="622" t="n"/>
      <c r="O93" s="622" t="n"/>
      <c r="P93" s="622" t="n"/>
      <c r="Q93" s="622" t="n"/>
      <c r="R93" s="622" t="n"/>
      <c r="S93" s="622" t="n"/>
      <c r="T93" s="622" t="n"/>
      <c r="U93" s="622" t="n"/>
      <c r="V93" s="622" t="n"/>
      <c r="W93" s="622" t="n"/>
      <c r="X93" s="622" t="n"/>
      <c r="Y93" s="622" t="n"/>
      <c r="Z93" s="622" t="n"/>
      <c r="AA93" s="622" t="n"/>
      <c r="AB93" s="622" t="n"/>
      <c r="AC93" s="622" t="n"/>
      <c r="AD93" s="622" t="n"/>
      <c r="AE93" s="622" t="n"/>
      <c r="AF93" s="622" t="n"/>
      <c r="AG93" s="622" t="n"/>
      <c r="AH93" s="622" t="n"/>
      <c r="AI93" s="622" t="n"/>
      <c r="AJ93" s="622" t="n"/>
      <c r="AK93" s="622" t="n"/>
      <c r="AL93" s="622" t="n"/>
      <c r="AM93" s="622" t="n"/>
      <c r="AN93" s="622" t="n"/>
      <c r="AO93" s="622" t="n"/>
      <c r="AP93" s="622" t="n"/>
      <c r="AQ93" s="622" t="n"/>
      <c r="AR93" s="622" t="n"/>
      <c r="AS93" s="622" t="n"/>
      <c r="AT93" s="622" t="n"/>
      <c r="AU93" s="622" t="n"/>
      <c r="AV93" s="622" t="n"/>
      <c r="AW93" s="622" t="n"/>
      <c r="AX93" s="622" t="n"/>
      <c r="AY93" s="622" t="n"/>
      <c r="CA93" s="240">
        <f>IF(AND($C93&lt;&gt;0,H93=""),"* No olvide ingresar la variable "&amp;H$89&amp;""&amp;". Digite CERO si no tiene. ",IF(H93&gt;$C93,"* La variable Casos alterados derivados a Salud Mental no debe ser mayor al Total de Aplicaciones. ",""))</f>
        <v/>
      </c>
      <c r="CB93" s="239" t="n"/>
      <c r="CC93" s="239" t="n"/>
      <c r="CD93" s="239" t="n"/>
      <c r="CE93" s="64" t="n"/>
      <c r="CF93" s="64" t="n"/>
      <c r="CG93" s="64" t="n"/>
      <c r="CH93" s="64" t="n"/>
      <c r="CI93" s="64" t="n"/>
      <c r="CK93" s="29">
        <f>IF(AND($C93&lt;&gt;0,H93=""),1,IF(H93&gt;$C93,1,0))</f>
        <v/>
      </c>
    </row>
    <row r="94" ht="18" customHeight="1" s="8286">
      <c r="A94" s="927" t="inlineStr">
        <is>
          <t>SECCIÓN C: RESULTADOS DE LA EVALUACIÓN DEL ESTADO NUTRICIONAL DEL ADOLESCENTE CON CONTROL SALUD INTEGRAL</t>
        </is>
      </c>
      <c r="B94" s="968" t="n"/>
      <c r="C94" s="969" t="n"/>
      <c r="D94" s="969" t="n"/>
      <c r="E94" s="969" t="n"/>
      <c r="F94" s="930" t="n"/>
      <c r="G94" s="965" t="n"/>
      <c r="H94" s="970" t="n"/>
      <c r="I94" s="930" t="n"/>
      <c r="J94" s="622" t="n"/>
      <c r="K94" s="622" t="n"/>
      <c r="L94" s="622" t="n"/>
      <c r="M94" s="622" t="n"/>
      <c r="N94" s="622" t="n"/>
      <c r="O94" s="622" t="n"/>
      <c r="P94" s="622" t="n"/>
      <c r="Q94" s="622" t="n"/>
      <c r="R94" s="622" t="n"/>
      <c r="S94" s="622" t="n"/>
      <c r="T94" s="622" t="n"/>
      <c r="U94" s="622" t="n"/>
      <c r="V94" s="622" t="n"/>
      <c r="W94" s="622" t="n"/>
      <c r="X94" s="622" t="n"/>
      <c r="Y94" s="622" t="n"/>
      <c r="Z94" s="622" t="n"/>
      <c r="AA94" s="622" t="n"/>
      <c r="AB94" s="622" t="n"/>
      <c r="AC94" s="622" t="n"/>
      <c r="AD94" s="622" t="n"/>
      <c r="AE94" s="622" t="n"/>
      <c r="AF94" s="622" t="n"/>
      <c r="AG94" s="622" t="n"/>
      <c r="AH94" s="622" t="n"/>
      <c r="AI94" s="622" t="n"/>
      <c r="AJ94" s="622" t="n"/>
      <c r="AK94" s="622" t="n"/>
      <c r="AL94" s="622" t="n"/>
      <c r="AM94" s="622" t="n"/>
      <c r="AN94" s="622" t="n"/>
      <c r="AO94" s="622" t="n"/>
      <c r="AP94" s="622" t="n"/>
      <c r="AQ94" s="622" t="n"/>
      <c r="AR94" s="622" t="n"/>
      <c r="AS94" s="622" t="n"/>
      <c r="AT94" s="622" t="n"/>
      <c r="AU94" s="622" t="n"/>
      <c r="AV94" s="622" t="n"/>
      <c r="AW94" s="622" t="n"/>
      <c r="AX94" s="622" t="n"/>
      <c r="AY94" s="622" t="n"/>
    </row>
    <row r="95" ht="15" customHeight="1" s="8286">
      <c r="A95" s="9715" t="inlineStr">
        <is>
          <t>ESTADO NUTRICIONAL</t>
        </is>
      </c>
      <c r="B95" s="9630" t="n"/>
      <c r="C95" s="9631" t="inlineStr">
        <is>
          <t>TOTAL</t>
        </is>
      </c>
      <c r="D95" s="9617" t="n"/>
      <c r="E95" s="9632" t="n"/>
      <c r="F95" s="9631" t="inlineStr">
        <is>
          <t>10 - 14 años</t>
        </is>
      </c>
      <c r="G95" s="9632" t="n"/>
      <c r="H95" s="9631" t="inlineStr">
        <is>
          <t>15 - 19 años</t>
        </is>
      </c>
      <c r="I95" s="9632" t="n"/>
      <c r="J95" s="622" t="n"/>
      <c r="K95" s="622" t="n"/>
      <c r="L95" s="622" t="n"/>
      <c r="M95" s="622" t="n"/>
      <c r="N95" s="622" t="n"/>
      <c r="O95" s="622" t="n"/>
      <c r="P95" s="622" t="n"/>
      <c r="Q95" s="622" t="n"/>
      <c r="R95" s="622" t="n"/>
      <c r="S95" s="622" t="n"/>
      <c r="T95" s="622" t="n"/>
      <c r="U95" s="622" t="n"/>
      <c r="V95" s="622" t="n"/>
      <c r="W95" s="622" t="n"/>
      <c r="X95" s="622" t="n"/>
      <c r="Y95" s="622" t="n"/>
      <c r="Z95" s="622" t="n"/>
      <c r="AA95" s="622" t="n"/>
      <c r="AB95" s="622" t="n"/>
      <c r="AC95" s="622" t="n"/>
      <c r="AD95" s="622" t="n"/>
      <c r="AE95" s="622" t="n"/>
      <c r="AF95" s="622" t="n"/>
      <c r="AG95" s="622" t="n"/>
      <c r="AH95" s="622" t="n"/>
      <c r="AI95" s="622" t="n"/>
      <c r="AJ95" s="622" t="n"/>
      <c r="AK95" s="622" t="n"/>
      <c r="AL95" s="622" t="n"/>
      <c r="AM95" s="622" t="n"/>
      <c r="AN95" s="622" t="n"/>
      <c r="AO95" s="622" t="n"/>
      <c r="AP95" s="622" t="n"/>
      <c r="AQ95" s="622" t="n"/>
      <c r="AR95" s="622" t="n"/>
      <c r="AS95" s="622" t="n"/>
      <c r="AT95" s="622" t="n"/>
      <c r="AU95" s="622" t="n"/>
      <c r="AV95" s="622" t="n"/>
      <c r="AW95" s="622" t="n"/>
      <c r="AX95" s="622" t="n"/>
      <c r="AY95" s="622" t="n"/>
    </row>
    <row r="96" ht="15" customHeight="1" s="8286">
      <c r="A96" s="9697" t="n"/>
      <c r="B96" s="9639" t="n"/>
      <c r="C96" s="1500" t="inlineStr">
        <is>
          <t>Ambos Sexos</t>
        </is>
      </c>
      <c r="D96" s="7400" t="inlineStr">
        <is>
          <t>Hombres</t>
        </is>
      </c>
      <c r="E96" s="7280" t="inlineStr">
        <is>
          <t>Mujeres</t>
        </is>
      </c>
      <c r="F96" s="1500" t="inlineStr">
        <is>
          <t>Hombres</t>
        </is>
      </c>
      <c r="G96" s="7280" t="inlineStr">
        <is>
          <t>Mujeres</t>
        </is>
      </c>
      <c r="H96" s="1500" t="inlineStr">
        <is>
          <t>Hombres</t>
        </is>
      </c>
      <c r="I96" s="7280" t="inlineStr">
        <is>
          <t>Mujeres</t>
        </is>
      </c>
      <c r="J96" s="622" t="n"/>
      <c r="K96" s="622" t="n"/>
      <c r="L96" s="622" t="n"/>
      <c r="M96" s="622" t="n"/>
      <c r="N96" s="622" t="n"/>
      <c r="O96" s="622" t="n"/>
      <c r="P96" s="622" t="n"/>
      <c r="Q96" s="622" t="n"/>
      <c r="R96" s="622" t="n"/>
      <c r="S96" s="622" t="n"/>
      <c r="T96" s="622" t="n"/>
      <c r="U96" s="622" t="n"/>
      <c r="V96" s="622" t="n"/>
      <c r="W96" s="622" t="n"/>
      <c r="X96" s="622" t="n"/>
      <c r="Y96" s="622" t="n"/>
      <c r="Z96" s="622" t="n"/>
      <c r="AA96" s="622" t="n"/>
      <c r="AB96" s="622" t="n"/>
      <c r="AC96" s="622" t="n"/>
      <c r="AD96" s="622" t="n"/>
      <c r="AE96" s="622" t="n"/>
      <c r="AF96" s="622" t="n"/>
      <c r="AG96" s="622" t="n"/>
      <c r="AH96" s="622" t="n"/>
      <c r="AI96" s="622" t="n"/>
      <c r="AJ96" s="622" t="n"/>
      <c r="AK96" s="622" t="n"/>
      <c r="AL96" s="622" t="n"/>
      <c r="AM96" s="622" t="n"/>
      <c r="AN96" s="622" t="n"/>
      <c r="AO96" s="622" t="n"/>
      <c r="AP96" s="622" t="n"/>
      <c r="AQ96" s="622" t="n"/>
      <c r="AR96" s="622" t="n"/>
      <c r="AS96" s="622" t="n"/>
      <c r="AT96" s="622" t="n"/>
      <c r="AU96" s="622" t="n"/>
      <c r="AV96" s="622" t="n"/>
      <c r="AW96" s="622" t="n"/>
      <c r="AX96" s="622" t="n"/>
      <c r="AY96" s="622" t="n"/>
    </row>
    <row r="97" ht="15" customHeight="1" s="8286">
      <c r="A97" s="9631" t="inlineStr">
        <is>
          <t>TOTAL</t>
        </is>
      </c>
      <c r="B97" s="9632" t="n"/>
      <c r="C97" s="1595">
        <f>SUM(C98:C102)</f>
        <v/>
      </c>
      <c r="D97" s="1662">
        <f>SUM(D98:D102)</f>
        <v/>
      </c>
      <c r="E97" s="1596">
        <f>SUM(E98:E102)</f>
        <v/>
      </c>
      <c r="F97" s="1595">
        <f>SUM(F98:F102)</f>
        <v/>
      </c>
      <c r="G97" s="1596">
        <f>SUM(G98:G102)</f>
        <v/>
      </c>
      <c r="H97" s="1595">
        <f>SUM(H98:H102)</f>
        <v/>
      </c>
      <c r="I97" s="1596">
        <f>SUM(I98:I102)</f>
        <v/>
      </c>
      <c r="J97" s="622" t="n"/>
      <c r="K97" s="622" t="n"/>
      <c r="L97" s="622" t="n"/>
      <c r="M97" s="622" t="n"/>
      <c r="N97" s="622" t="n"/>
      <c r="O97" s="622" t="n"/>
      <c r="P97" s="622" t="n"/>
      <c r="Q97" s="622" t="n"/>
      <c r="R97" s="622" t="n"/>
      <c r="S97" s="622" t="n"/>
      <c r="T97" s="622" t="n"/>
      <c r="U97" s="622" t="n"/>
      <c r="V97" s="622" t="n"/>
      <c r="W97" s="622" t="n"/>
      <c r="X97" s="622" t="n"/>
      <c r="Y97" s="622" t="n"/>
      <c r="Z97" s="622" t="n"/>
      <c r="AA97" s="622" t="n"/>
      <c r="AB97" s="622" t="n"/>
      <c r="AC97" s="622" t="n"/>
      <c r="AD97" s="622" t="n"/>
      <c r="AE97" s="622" t="n"/>
      <c r="AF97" s="622" t="n"/>
      <c r="AG97" s="622" t="n"/>
      <c r="AH97" s="622" t="n"/>
      <c r="AI97" s="622" t="n"/>
      <c r="AJ97" s="622" t="n"/>
      <c r="AK97" s="622" t="n"/>
      <c r="AL97" s="622" t="n"/>
      <c r="AM97" s="622" t="n"/>
      <c r="AN97" s="622" t="n"/>
      <c r="AO97" s="622" t="n"/>
      <c r="AP97" s="622" t="n"/>
      <c r="AQ97" s="622" t="n"/>
      <c r="AR97" s="622" t="n"/>
      <c r="AS97" s="622" t="n"/>
      <c r="AT97" s="622" t="n"/>
      <c r="AU97" s="622" t="n"/>
      <c r="AV97" s="622" t="n"/>
      <c r="AW97" s="622" t="n"/>
      <c r="AX97" s="622" t="n"/>
      <c r="AY97" s="622" t="n"/>
    </row>
    <row r="98" ht="15" customHeight="1" s="8286">
      <c r="A98" s="9716" t="inlineStr">
        <is>
          <t>Normal</t>
        </is>
      </c>
      <c r="B98" s="9643" t="n"/>
      <c r="C98" s="1663">
        <f>SUM(D98+E98)</f>
        <v/>
      </c>
      <c r="D98" s="1664">
        <f>SUM(F98+H98)</f>
        <v/>
      </c>
      <c r="E98" s="1579">
        <f>SUM(G98+I98)</f>
        <v/>
      </c>
      <c r="F98" s="1511" t="n">
        <v>4</v>
      </c>
      <c r="G98" s="1512" t="n">
        <v>8</v>
      </c>
      <c r="H98" s="1511" t="n">
        <v>9</v>
      </c>
      <c r="I98" s="1554" t="n">
        <v>14</v>
      </c>
      <c r="J98" s="622" t="n"/>
      <c r="K98" s="622" t="n"/>
      <c r="L98" s="622" t="n"/>
      <c r="M98" s="622" t="n"/>
      <c r="N98" s="622" t="n"/>
      <c r="O98" s="622" t="n"/>
      <c r="P98" s="622" t="n"/>
      <c r="Q98" s="622" t="n"/>
      <c r="R98" s="622" t="n"/>
      <c r="S98" s="622" t="n"/>
      <c r="T98" s="622" t="n"/>
      <c r="U98" s="622" t="n"/>
      <c r="V98" s="622" t="n"/>
      <c r="W98" s="622" t="n"/>
      <c r="X98" s="622" t="n"/>
      <c r="Y98" s="622" t="n"/>
      <c r="Z98" s="622" t="n"/>
      <c r="AA98" s="622" t="n"/>
      <c r="AB98" s="622" t="n"/>
      <c r="AC98" s="622" t="n"/>
      <c r="AD98" s="622" t="n"/>
      <c r="AE98" s="622" t="n"/>
      <c r="AF98" s="622" t="n"/>
      <c r="AG98" s="622" t="n"/>
      <c r="AH98" s="622" t="n"/>
      <c r="AI98" s="622" t="n"/>
      <c r="AJ98" s="622" t="n"/>
      <c r="AK98" s="622" t="n"/>
      <c r="AL98" s="622" t="n"/>
      <c r="AM98" s="622" t="n"/>
      <c r="AN98" s="622" t="n"/>
      <c r="AO98" s="622" t="n"/>
      <c r="AP98" s="622" t="n"/>
      <c r="AQ98" s="622" t="n"/>
      <c r="AR98" s="622" t="n"/>
      <c r="AS98" s="622" t="n"/>
      <c r="AT98" s="622" t="n"/>
      <c r="AU98" s="622" t="n"/>
      <c r="AV98" s="622" t="n"/>
      <c r="AW98" s="622" t="n"/>
      <c r="AX98" s="622" t="n"/>
      <c r="AY98" s="622" t="n"/>
    </row>
    <row r="99" ht="15" customHeight="1" s="8286">
      <c r="A99" s="9717" t="inlineStr">
        <is>
          <t>Bajo peso</t>
        </is>
      </c>
      <c r="B99" s="9644" t="n"/>
      <c r="C99" s="1665">
        <f>SUM(D99+E99)</f>
        <v/>
      </c>
      <c r="D99" s="1666">
        <f>SUM(F99+H99)</f>
        <v/>
      </c>
      <c r="E99" s="1583">
        <f>SUM(G99+I99)</f>
        <v/>
      </c>
      <c r="F99" s="942" t="n">
        <v>0</v>
      </c>
      <c r="G99" s="1535" t="n">
        <v>2</v>
      </c>
      <c r="H99" s="942" t="n">
        <v>2</v>
      </c>
      <c r="I99" s="943" t="n">
        <v>1</v>
      </c>
      <c r="J99" s="622" t="n"/>
      <c r="K99" s="622" t="n"/>
      <c r="L99" s="622" t="n"/>
      <c r="M99" s="622" t="n"/>
      <c r="N99" s="622" t="n"/>
      <c r="O99" s="622" t="n"/>
      <c r="P99" s="622" t="n"/>
      <c r="Q99" s="622" t="n"/>
      <c r="R99" s="622" t="n"/>
      <c r="S99" s="622" t="n"/>
      <c r="T99" s="622" t="n"/>
      <c r="U99" s="622" t="n"/>
      <c r="V99" s="622" t="n"/>
      <c r="W99" s="622" t="n"/>
      <c r="X99" s="622" t="n"/>
      <c r="Y99" s="622" t="n"/>
      <c r="Z99" s="622" t="n"/>
      <c r="AA99" s="622" t="n"/>
      <c r="AB99" s="622" t="n"/>
      <c r="AC99" s="622" t="n"/>
      <c r="AD99" s="622" t="n"/>
      <c r="AE99" s="622" t="n"/>
      <c r="AF99" s="622" t="n"/>
      <c r="AG99" s="622" t="n"/>
      <c r="AH99" s="622" t="n"/>
      <c r="AI99" s="622" t="n"/>
      <c r="AJ99" s="622" t="n"/>
      <c r="AK99" s="622" t="n"/>
      <c r="AL99" s="622" t="n"/>
      <c r="AM99" s="622" t="n"/>
      <c r="AN99" s="622" t="n"/>
      <c r="AO99" s="622" t="n"/>
      <c r="AP99" s="622" t="n"/>
      <c r="AQ99" s="622" t="n"/>
      <c r="AR99" s="622" t="n"/>
      <c r="AS99" s="622" t="n"/>
      <c r="AT99" s="622" t="n"/>
      <c r="AU99" s="622" t="n"/>
      <c r="AV99" s="622" t="n"/>
      <c r="AW99" s="622" t="n"/>
      <c r="AX99" s="622" t="n"/>
      <c r="AY99" s="622" t="n"/>
    </row>
    <row r="100" ht="15" customHeight="1" s="8286">
      <c r="A100" s="9717" t="inlineStr">
        <is>
          <t>Sobrepeso</t>
        </is>
      </c>
      <c r="B100" s="9644" t="n"/>
      <c r="C100" s="1665">
        <f>SUM(D100+E100)</f>
        <v/>
      </c>
      <c r="D100" s="1666">
        <f>SUM(F100+H100)</f>
        <v/>
      </c>
      <c r="E100" s="1583">
        <f>SUM(G100+I100)</f>
        <v/>
      </c>
      <c r="F100" s="1539" t="n">
        <v>4</v>
      </c>
      <c r="G100" s="1544" t="n">
        <v>4</v>
      </c>
      <c r="H100" s="1539" t="n">
        <v>6</v>
      </c>
      <c r="I100" s="1540" t="n">
        <v>2</v>
      </c>
      <c r="J100" s="622" t="n"/>
      <c r="K100" s="622" t="n"/>
      <c r="L100" s="622" t="n"/>
      <c r="M100" s="622" t="n"/>
      <c r="N100" s="622" t="n"/>
      <c r="O100" s="622" t="n"/>
      <c r="P100" s="622" t="n"/>
      <c r="Q100" s="622" t="n"/>
      <c r="R100" s="622" t="n"/>
      <c r="S100" s="622" t="n"/>
      <c r="T100" s="622" t="n"/>
      <c r="U100" s="622" t="n"/>
      <c r="V100" s="622" t="n"/>
      <c r="W100" s="622" t="n"/>
      <c r="X100" s="622" t="n"/>
      <c r="Y100" s="622" t="n"/>
      <c r="Z100" s="622" t="n"/>
      <c r="AA100" s="622" t="n"/>
      <c r="AB100" s="622" t="n"/>
      <c r="AC100" s="622" t="n"/>
      <c r="AD100" s="622" t="n"/>
      <c r="AE100" s="622" t="n"/>
      <c r="AF100" s="622" t="n"/>
      <c r="AG100" s="622" t="n"/>
      <c r="AH100" s="622" t="n"/>
      <c r="AI100" s="622" t="n"/>
      <c r="AJ100" s="622" t="n"/>
      <c r="AK100" s="622" t="n"/>
      <c r="AL100" s="622" t="n"/>
      <c r="AM100" s="622" t="n"/>
      <c r="AN100" s="622" t="n"/>
      <c r="AO100" s="622" t="n"/>
      <c r="AP100" s="622" t="n"/>
      <c r="AQ100" s="622" t="n"/>
      <c r="AR100" s="622" t="n"/>
      <c r="AS100" s="622" t="n"/>
      <c r="AT100" s="622" t="n"/>
      <c r="AU100" s="622" t="n"/>
      <c r="AV100" s="622" t="n"/>
      <c r="AW100" s="622" t="n"/>
      <c r="AX100" s="622" t="n"/>
      <c r="AY100" s="622" t="n"/>
    </row>
    <row r="101" ht="15" customHeight="1" s="8286">
      <c r="A101" s="7479" t="inlineStr">
        <is>
          <t>Obesos</t>
        </is>
      </c>
      <c r="B101" s="9718" t="n"/>
      <c r="C101" s="1667">
        <f>SUM(D101+E101)</f>
        <v/>
      </c>
      <c r="D101" s="1668">
        <f>SUM(F101+H101)</f>
        <v/>
      </c>
      <c r="E101" s="1669">
        <f>SUM(G101+I101)</f>
        <v/>
      </c>
      <c r="F101" s="1561" t="n">
        <v>5</v>
      </c>
      <c r="G101" s="1565" t="n">
        <v>6</v>
      </c>
      <c r="H101" s="1561" t="n">
        <v>2</v>
      </c>
      <c r="I101" s="1562" t="n">
        <v>5</v>
      </c>
      <c r="J101" s="622" t="n"/>
      <c r="K101" s="622" t="n"/>
      <c r="L101" s="622" t="n"/>
      <c r="M101" s="622" t="n"/>
      <c r="N101" s="622" t="n"/>
      <c r="O101" s="622" t="n"/>
      <c r="P101" s="622" t="n"/>
      <c r="Q101" s="622" t="n"/>
      <c r="R101" s="622" t="n"/>
      <c r="S101" s="622" t="n"/>
      <c r="T101" s="622" t="n"/>
      <c r="U101" s="622" t="n"/>
      <c r="V101" s="622" t="n"/>
      <c r="W101" s="622" t="n"/>
      <c r="X101" s="622" t="n"/>
      <c r="Y101" s="622" t="n"/>
      <c r="Z101" s="622" t="n"/>
      <c r="AA101" s="622" t="n"/>
      <c r="AB101" s="622" t="n"/>
      <c r="AC101" s="622" t="n"/>
      <c r="AD101" s="622" t="n"/>
      <c r="AE101" s="622" t="n"/>
      <c r="AF101" s="622" t="n"/>
      <c r="AG101" s="622" t="n"/>
      <c r="AH101" s="622" t="n"/>
      <c r="AI101" s="622" t="n"/>
      <c r="AJ101" s="622" t="n"/>
      <c r="AK101" s="622" t="n"/>
      <c r="AL101" s="622" t="n"/>
      <c r="AM101" s="622" t="n"/>
      <c r="AN101" s="622" t="n"/>
      <c r="AO101" s="622" t="n"/>
      <c r="AP101" s="622" t="n"/>
      <c r="AQ101" s="622" t="n"/>
      <c r="AR101" s="622" t="n"/>
      <c r="AS101" s="622" t="n"/>
      <c r="AT101" s="622" t="n"/>
      <c r="AU101" s="622" t="n"/>
      <c r="AV101" s="622" t="n"/>
      <c r="AW101" s="622" t="n"/>
      <c r="AX101" s="622" t="n"/>
      <c r="AY101" s="622" t="n"/>
    </row>
    <row r="102" ht="15" customHeight="1" s="8286">
      <c r="A102" s="9719" t="inlineStr">
        <is>
          <t>Obesos severos</t>
        </is>
      </c>
      <c r="B102" s="9720" t="n"/>
      <c r="C102" s="1670">
        <f>SUM(D102+E102)</f>
        <v/>
      </c>
      <c r="D102" s="1671">
        <f>SUM(F102+H102)</f>
        <v/>
      </c>
      <c r="E102" s="1672">
        <f>SUM(G102+I102)</f>
        <v/>
      </c>
      <c r="F102" s="1519" t="n">
        <v>2</v>
      </c>
      <c r="G102" s="1520" t="n">
        <v>0</v>
      </c>
      <c r="H102" s="1519" t="n">
        <v>0</v>
      </c>
      <c r="I102" s="1550" t="n">
        <v>0</v>
      </c>
      <c r="J102" s="622" t="n"/>
      <c r="K102" s="622" t="n"/>
      <c r="L102" s="622" t="n"/>
      <c r="M102" s="622" t="n"/>
      <c r="N102" s="622" t="n"/>
      <c r="O102" s="622" t="n"/>
      <c r="P102" s="622" t="n"/>
      <c r="Q102" s="622" t="n"/>
      <c r="R102" s="622" t="n"/>
      <c r="S102" s="622" t="n"/>
      <c r="T102" s="622" t="n"/>
      <c r="U102" s="622" t="n"/>
      <c r="V102" s="622" t="n"/>
      <c r="W102" s="622" t="n"/>
      <c r="X102" s="622" t="n"/>
      <c r="Y102" s="622" t="n"/>
      <c r="Z102" s="622" t="n"/>
      <c r="AA102" s="622" t="n"/>
      <c r="AB102" s="622" t="n"/>
      <c r="AC102" s="622" t="n"/>
      <c r="AD102" s="622" t="n"/>
      <c r="AE102" s="622" t="n"/>
      <c r="AF102" s="622" t="n"/>
      <c r="AG102" s="622" t="n"/>
      <c r="AH102" s="622" t="n"/>
      <c r="AI102" s="622" t="n"/>
      <c r="AJ102" s="622" t="n"/>
      <c r="AK102" s="622" t="n"/>
      <c r="AL102" s="622" t="n"/>
      <c r="AM102" s="622" t="n"/>
      <c r="AN102" s="622" t="n"/>
      <c r="AO102" s="622" t="n"/>
      <c r="AP102" s="622" t="n"/>
      <c r="AQ102" s="622" t="n"/>
      <c r="AR102" s="622" t="n"/>
      <c r="AS102" s="622" t="n"/>
      <c r="AT102" s="622" t="n"/>
      <c r="AU102" s="622" t="n"/>
      <c r="AV102" s="622" t="n"/>
      <c r="AW102" s="622" t="n"/>
      <c r="AX102" s="622" t="n"/>
      <c r="AY102" s="622" t="n"/>
    </row>
    <row r="103" ht="18" customHeight="1" s="8286">
      <c r="A103" s="7482" t="inlineStr">
        <is>
          <t>SECCIÓN D: OTRAS EVALUACIONES, APLICACIONES Y RESULTADOS DE ESCALAS EN TODAS LAS EDADES</t>
        </is>
      </c>
      <c r="Q103" s="972" t="n"/>
      <c r="R103" s="930" t="n"/>
      <c r="S103" s="930" t="n"/>
      <c r="T103" s="930" t="n"/>
      <c r="U103" s="930" t="n"/>
      <c r="V103" s="622" t="n"/>
      <c r="W103" s="622" t="n"/>
      <c r="X103" s="622" t="n"/>
      <c r="Y103" s="622" t="n"/>
      <c r="Z103" s="622" t="n"/>
      <c r="AA103" s="622" t="n"/>
      <c r="AB103" s="622" t="n"/>
      <c r="AC103" s="622" t="n"/>
      <c r="AD103" s="622" t="n"/>
      <c r="AE103" s="622" t="n"/>
      <c r="AF103" s="622" t="n"/>
      <c r="AG103" s="622" t="n"/>
      <c r="AH103" s="622" t="n"/>
      <c r="AI103" s="622" t="n"/>
      <c r="AJ103" s="622" t="n"/>
      <c r="AK103" s="622" t="n"/>
      <c r="AL103" s="622" t="n"/>
      <c r="AM103" s="622" t="n"/>
      <c r="AN103" s="622" t="n"/>
      <c r="AO103" s="622" t="n"/>
      <c r="AP103" s="622" t="n"/>
      <c r="AQ103" s="622" t="n"/>
      <c r="AR103" s="622" t="n"/>
      <c r="AS103" s="622" t="n"/>
      <c r="AT103" s="622" t="n"/>
      <c r="AU103" s="622" t="n"/>
      <c r="AV103" s="622" t="n"/>
      <c r="AW103" s="622" t="n"/>
      <c r="AX103" s="622" t="n"/>
      <c r="AY103" s="622" t="n"/>
    </row>
    <row r="104" ht="18" customHeight="1" s="8286">
      <c r="A104" s="7483" t="inlineStr">
        <is>
          <t>SECCIÓN D.1: APLICACIÓN DE TAMIZAJE PARA EVALUAR EL NIVEL DE RIESGO DE CONSUMO DE  ALCOHOL, TABACO Y OTRAS DROGAS</t>
        </is>
      </c>
      <c r="R104" s="930" t="n"/>
      <c r="S104" s="930" t="n"/>
      <c r="T104" s="930" t="n"/>
      <c r="U104" s="930" t="n"/>
      <c r="V104" s="622" t="n"/>
      <c r="W104" s="622" t="n"/>
      <c r="X104" s="622" t="n"/>
      <c r="Y104" s="622" t="n"/>
      <c r="Z104" s="622" t="n"/>
      <c r="AA104" s="622" t="n"/>
      <c r="AB104" s="622" t="n"/>
      <c r="AC104" s="622" t="n"/>
      <c r="AD104" s="622" t="n"/>
      <c r="AE104" s="622" t="n"/>
      <c r="AF104" s="622" t="n"/>
      <c r="AG104" s="622" t="n"/>
      <c r="AH104" s="622" t="n"/>
      <c r="AI104" s="622" t="n"/>
      <c r="AJ104" s="622" t="n"/>
      <c r="AK104" s="622" t="n"/>
      <c r="AL104" s="622" t="n"/>
      <c r="AM104" s="622" t="n"/>
      <c r="AN104" s="622" t="n"/>
      <c r="AO104" s="622" t="n"/>
      <c r="AP104" s="622" t="n"/>
      <c r="AQ104" s="622" t="n"/>
      <c r="AR104" s="622" t="n"/>
      <c r="AS104" s="622" t="n"/>
      <c r="AT104" s="622" t="n"/>
      <c r="AU104" s="622" t="n"/>
      <c r="AV104" s="622" t="n"/>
      <c r="AW104" s="622" t="n"/>
      <c r="AX104" s="622" t="n"/>
      <c r="AY104" s="622" t="n"/>
    </row>
    <row r="105" ht="15" customHeight="1" s="8286">
      <c r="A105" s="9721" t="inlineStr">
        <is>
          <t>COMPONENTE</t>
        </is>
      </c>
      <c r="B105" s="9722" t="n"/>
      <c r="C105" s="9723" t="inlineStr">
        <is>
          <t xml:space="preserve">TOTAL              </t>
        </is>
      </c>
      <c r="D105" s="9724" t="n"/>
      <c r="E105" s="9722" t="n"/>
      <c r="F105" s="7492" t="inlineStr">
        <is>
          <t>RANGO ETARIO Y SEXO</t>
        </is>
      </c>
      <c r="G105" s="9725" t="n"/>
      <c r="H105" s="9725" t="n"/>
      <c r="I105" s="9725" t="n"/>
      <c r="J105" s="9725" t="n"/>
      <c r="K105" s="9725" t="n"/>
      <c r="L105" s="9725" t="n"/>
      <c r="M105" s="9725" t="n"/>
      <c r="N105" s="9725" t="n"/>
      <c r="O105" s="9725" t="n"/>
      <c r="P105" s="9725" t="n"/>
      <c r="Q105" s="9725" t="n"/>
      <c r="R105" s="9725" t="n"/>
      <c r="S105" s="9725" t="n"/>
      <c r="T105" s="9725" t="n"/>
      <c r="U105" s="9726" t="n"/>
      <c r="V105" s="7361" t="inlineStr">
        <is>
          <t xml:space="preserve">SENAME/ Servicio Nacional de Reinserción social Juvenil </t>
        </is>
      </c>
      <c r="W105" s="7362" t="inlineStr">
        <is>
          <t>Servicio Nacional Protección Especializada a la Niñez y Adolescencia</t>
        </is>
      </c>
      <c r="X105" s="622" t="n"/>
      <c r="Y105" s="622" t="n"/>
      <c r="Z105" s="622" t="n"/>
      <c r="AA105" s="622" t="n"/>
      <c r="AB105" s="622" t="n"/>
      <c r="AC105" s="622" t="n"/>
      <c r="AD105" s="622" t="n"/>
      <c r="AE105" s="622" t="n"/>
      <c r="AF105" s="622" t="n"/>
      <c r="AG105" s="622" t="n"/>
      <c r="AH105" s="622" t="n"/>
      <c r="AI105" s="622" t="n"/>
      <c r="AJ105" s="622" t="n"/>
      <c r="AK105" s="622" t="n"/>
      <c r="AL105" s="622" t="n"/>
      <c r="AM105" s="622" t="n"/>
      <c r="AN105" s="622" t="n"/>
      <c r="AO105" s="622" t="n"/>
      <c r="AP105" s="622" t="n"/>
      <c r="AQ105" s="622" t="n"/>
      <c r="AR105" s="622" t="n"/>
      <c r="AS105" s="622" t="n"/>
      <c r="AT105" s="622" t="n"/>
      <c r="AU105" s="622" t="n"/>
      <c r="AV105" s="622" t="n"/>
      <c r="AW105" s="622" t="n"/>
      <c r="AX105" s="622" t="n"/>
      <c r="AY105" s="622" t="n"/>
    </row>
    <row r="106" ht="15" customHeight="1" s="8286">
      <c r="A106" s="9727" t="n"/>
      <c r="B106" s="9718" t="n"/>
      <c r="C106" s="9638" t="n"/>
      <c r="D106" s="9697" t="n"/>
      <c r="E106" s="9639" t="n"/>
      <c r="F106" s="7495" t="inlineStr">
        <is>
          <t>10-14 años</t>
        </is>
      </c>
      <c r="G106" s="9726" t="n"/>
      <c r="H106" s="7475" t="inlineStr">
        <is>
          <t>15-19 años</t>
        </is>
      </c>
      <c r="I106" s="9726" t="n"/>
      <c r="J106" s="7475" t="inlineStr">
        <is>
          <t>20-24 años</t>
        </is>
      </c>
      <c r="K106" s="9726" t="n"/>
      <c r="L106" s="7475" t="inlineStr">
        <is>
          <t>25-44 años</t>
        </is>
      </c>
      <c r="M106" s="9726" t="n"/>
      <c r="N106" s="7475" t="inlineStr">
        <is>
          <t>45-64 años</t>
        </is>
      </c>
      <c r="O106" s="9726" t="n"/>
      <c r="P106" s="7475" t="inlineStr">
        <is>
          <t>65-69 años</t>
        </is>
      </c>
      <c r="Q106" s="9726" t="n"/>
      <c r="R106" s="7475" t="inlineStr">
        <is>
          <t>70-79 años</t>
        </is>
      </c>
      <c r="S106" s="9726" t="n"/>
      <c r="T106" s="7475" t="inlineStr">
        <is>
          <t>80 y más años</t>
        </is>
      </c>
      <c r="U106" s="9726" t="n"/>
      <c r="V106" s="9728" t="n"/>
      <c r="W106" s="9614" t="n"/>
      <c r="X106" s="622" t="n"/>
      <c r="Y106" s="622" t="n"/>
      <c r="Z106" s="622" t="n"/>
      <c r="AA106" s="622" t="n"/>
      <c r="AB106" s="622" t="n"/>
      <c r="AC106" s="622" t="n"/>
      <c r="AD106" s="622" t="n"/>
      <c r="AE106" s="622" t="n"/>
      <c r="AF106" s="622" t="n"/>
      <c r="AG106" s="622" t="n"/>
      <c r="AH106" s="622" t="n"/>
      <c r="AI106" s="622" t="n"/>
      <c r="AJ106" s="622" t="n"/>
      <c r="AK106" s="622" t="n"/>
      <c r="AL106" s="622" t="n"/>
      <c r="AM106" s="622" t="n"/>
      <c r="AN106" s="622" t="n"/>
      <c r="AO106" s="622" t="n"/>
      <c r="AP106" s="622" t="n"/>
      <c r="AQ106" s="622" t="n"/>
      <c r="AR106" s="622" t="n"/>
      <c r="AS106" s="622" t="n"/>
      <c r="AT106" s="622" t="n"/>
      <c r="AU106" s="622" t="n"/>
      <c r="AV106" s="622" t="n"/>
      <c r="AW106" s="622" t="n"/>
      <c r="AX106" s="622" t="n"/>
      <c r="AY106" s="622" t="n"/>
    </row>
    <row r="107" ht="34.5" customHeight="1" s="8286">
      <c r="A107" s="9729" t="n"/>
      <c r="B107" s="9639" t="n"/>
      <c r="C107" s="1574" t="inlineStr">
        <is>
          <t>Ambos Sexos</t>
        </is>
      </c>
      <c r="D107" s="7400" t="inlineStr">
        <is>
          <t>Hombres</t>
        </is>
      </c>
      <c r="E107" s="7542" t="inlineStr">
        <is>
          <t>Mujeres</t>
        </is>
      </c>
      <c r="F107" s="973" t="inlineStr">
        <is>
          <t>Hombres</t>
        </is>
      </c>
      <c r="G107" s="974" t="inlineStr">
        <is>
          <t>Mujeres</t>
        </is>
      </c>
      <c r="H107" s="975" t="inlineStr">
        <is>
          <t>Hombres</t>
        </is>
      </c>
      <c r="I107" s="974" t="inlineStr">
        <is>
          <t>Mujeres</t>
        </is>
      </c>
      <c r="J107" s="975" t="inlineStr">
        <is>
          <t>Hombres</t>
        </is>
      </c>
      <c r="K107" s="974" t="inlineStr">
        <is>
          <t>Mujeres</t>
        </is>
      </c>
      <c r="L107" s="975" t="inlineStr">
        <is>
          <t>Hombres</t>
        </is>
      </c>
      <c r="M107" s="974" t="inlineStr">
        <is>
          <t>Mujeres</t>
        </is>
      </c>
      <c r="N107" s="975" t="inlineStr">
        <is>
          <t>Hombres</t>
        </is>
      </c>
      <c r="O107" s="974" t="inlineStr">
        <is>
          <t>Mujeres</t>
        </is>
      </c>
      <c r="P107" s="975" t="inlineStr">
        <is>
          <t>Hombres</t>
        </is>
      </c>
      <c r="Q107" s="974" t="inlineStr">
        <is>
          <t>Mujeres</t>
        </is>
      </c>
      <c r="R107" s="975" t="inlineStr">
        <is>
          <t>Hombres</t>
        </is>
      </c>
      <c r="S107" s="974" t="inlineStr">
        <is>
          <t>Mujeres</t>
        </is>
      </c>
      <c r="T107" s="975" t="inlineStr">
        <is>
          <t>Hombres</t>
        </is>
      </c>
      <c r="U107" s="976" t="inlineStr">
        <is>
          <t>Mujeres</t>
        </is>
      </c>
      <c r="V107" s="9730" t="n"/>
      <c r="W107" s="9731" t="n"/>
      <c r="X107" s="622" t="n"/>
      <c r="Y107" s="622" t="n"/>
      <c r="Z107" s="622" t="n"/>
      <c r="AA107" s="622" t="n"/>
      <c r="AB107" s="622" t="n"/>
      <c r="AC107" s="622" t="n"/>
      <c r="AD107" s="622" t="n"/>
      <c r="AE107" s="622" t="n"/>
      <c r="AF107" s="622" t="n"/>
      <c r="AG107" s="622" t="n"/>
      <c r="AH107" s="622" t="n"/>
      <c r="AI107" s="622" t="n"/>
      <c r="AJ107" s="622" t="n"/>
      <c r="AK107" s="622" t="n"/>
      <c r="AL107" s="622" t="n"/>
      <c r="AM107" s="622" t="n"/>
      <c r="AN107" s="622" t="n"/>
      <c r="AO107" s="622" t="n"/>
      <c r="AP107" s="622" t="n"/>
      <c r="AQ107" s="622" t="n"/>
      <c r="AR107" s="622" t="n"/>
      <c r="AS107" s="622" t="n"/>
      <c r="AT107" s="622" t="n"/>
      <c r="AU107" s="622" t="n"/>
      <c r="AV107" s="622" t="n"/>
      <c r="AW107" s="622" t="n"/>
      <c r="AX107" s="622" t="n"/>
      <c r="AY107" s="622" t="n"/>
    </row>
    <row r="108" ht="15" customHeight="1" s="8286">
      <c r="A108" s="7471" t="inlineStr">
        <is>
          <t>Nº de Audit (EMP/EMPAM)</t>
        </is>
      </c>
      <c r="B108" s="9732" t="n"/>
      <c r="C108" s="1674">
        <f>SUM(D108+E108)</f>
        <v/>
      </c>
      <c r="D108" s="1675">
        <f>+J108+L108+N108+P108+R108+T108</f>
        <v/>
      </c>
      <c r="E108" s="1510">
        <f>+K108+M108+O108+Q108+S108+U108</f>
        <v/>
      </c>
      <c r="F108" s="1676" t="n"/>
      <c r="G108" s="1677" t="n"/>
      <c r="H108" s="1676" t="n"/>
      <c r="I108" s="1677" t="n"/>
      <c r="J108" s="1511" t="n">
        <v>2</v>
      </c>
      <c r="K108" s="1554" t="n">
        <v>13</v>
      </c>
      <c r="L108" s="1511" t="n">
        <v>18</v>
      </c>
      <c r="M108" s="1554" t="n">
        <v>56</v>
      </c>
      <c r="N108" s="1511" t="n">
        <v>29</v>
      </c>
      <c r="O108" s="1554" t="n">
        <v>64</v>
      </c>
      <c r="P108" s="1555" t="n">
        <v>13</v>
      </c>
      <c r="Q108" s="1554" t="n">
        <v>26</v>
      </c>
      <c r="R108" s="1555" t="n">
        <v>18</v>
      </c>
      <c r="S108" s="1554" t="n">
        <v>24</v>
      </c>
      <c r="T108" s="1555" t="n">
        <v>3</v>
      </c>
      <c r="U108" s="1556" t="n">
        <v>10</v>
      </c>
      <c r="V108" s="5302" t="n"/>
      <c r="W108" s="5306" t="n"/>
      <c r="X108" s="932" t="n"/>
      <c r="Y108" s="622" t="n"/>
      <c r="Z108" s="622" t="n"/>
      <c r="AA108" s="622" t="n"/>
      <c r="AB108" s="622" t="n"/>
      <c r="AC108" s="622" t="n"/>
      <c r="AD108" s="622" t="n"/>
      <c r="AE108" s="622" t="n"/>
      <c r="AF108" s="622" t="n"/>
      <c r="AG108" s="622" t="n"/>
      <c r="AH108" s="622" t="n"/>
      <c r="AI108" s="622" t="n"/>
      <c r="AJ108" s="622" t="n"/>
      <c r="AK108" s="622" t="n"/>
      <c r="AL108" s="622" t="n"/>
      <c r="AM108" s="622" t="n"/>
      <c r="AN108" s="622" t="n"/>
      <c r="AO108" s="622" t="n"/>
      <c r="AP108" s="622" t="n"/>
      <c r="AQ108" s="622" t="n"/>
      <c r="AR108" s="622" t="n"/>
      <c r="AS108" s="622" t="n"/>
      <c r="AT108" s="622" t="n"/>
      <c r="AU108" s="622" t="n"/>
      <c r="AV108" s="622" t="n"/>
      <c r="AW108" s="622" t="n"/>
      <c r="AX108" s="622" t="n"/>
      <c r="AY108" s="622" t="n"/>
      <c r="CA108" s="239" t="n"/>
      <c r="CB108" s="239" t="n"/>
      <c r="CC108" s="239" t="n"/>
      <c r="CD108" s="239" t="n"/>
      <c r="CE108" s="64" t="n"/>
      <c r="CF108" s="64" t="n"/>
      <c r="CG108" s="64" t="n"/>
      <c r="CH108" s="64" t="n"/>
      <c r="CI108" s="64" t="n"/>
    </row>
    <row r="109" ht="15" customHeight="1" s="8286">
      <c r="A109" s="9733" t="inlineStr">
        <is>
          <t xml:space="preserve">Nº de Audit aplicado </t>
        </is>
      </c>
      <c r="B109" s="9644" t="n"/>
      <c r="C109" s="1678">
        <f>SUM(D109+E109)</f>
        <v/>
      </c>
      <c r="D109" s="1679">
        <f>SUM(J109+L109+N109+P109+R109+T109)</f>
        <v/>
      </c>
      <c r="E109" s="1548">
        <f>SUM(K109+M109+O109+Q109+S109+U109)</f>
        <v/>
      </c>
      <c r="F109" s="1680" t="n"/>
      <c r="G109" s="1681" t="n"/>
      <c r="H109" s="1680" t="n"/>
      <c r="I109" s="1682" t="n"/>
      <c r="J109" s="1539" t="n"/>
      <c r="K109" s="1540" t="n"/>
      <c r="L109" s="1539" t="n"/>
      <c r="M109" s="1540" t="n"/>
      <c r="N109" s="1539" t="n"/>
      <c r="O109" s="1540" t="n"/>
      <c r="P109" s="1541" t="n"/>
      <c r="Q109" s="1540" t="n"/>
      <c r="R109" s="1541" t="n"/>
      <c r="S109" s="1540" t="n"/>
      <c r="T109" s="1541" t="n"/>
      <c r="U109" s="1542" t="n"/>
      <c r="V109" s="5303" t="n"/>
      <c r="W109" s="5307" t="n"/>
      <c r="X109" s="932" t="n"/>
      <c r="Y109" s="622" t="n"/>
      <c r="Z109" s="622" t="n"/>
      <c r="AA109" s="622" t="n"/>
      <c r="AB109" s="622" t="n"/>
      <c r="AC109" s="622" t="n"/>
      <c r="AD109" s="622" t="n"/>
      <c r="AE109" s="622" t="n"/>
      <c r="AF109" s="622" t="n"/>
      <c r="AG109" s="622" t="n"/>
      <c r="AH109" s="622" t="n"/>
      <c r="AI109" s="622" t="n"/>
      <c r="AJ109" s="622" t="n"/>
      <c r="AK109" s="622" t="n"/>
      <c r="AL109" s="622" t="n"/>
      <c r="AM109" s="622" t="n"/>
      <c r="AN109" s="622" t="n"/>
      <c r="AO109" s="622" t="n"/>
      <c r="AP109" s="622" t="n"/>
      <c r="AQ109" s="622" t="n"/>
      <c r="AR109" s="622" t="n"/>
      <c r="AS109" s="622" t="n"/>
      <c r="AT109" s="622" t="n"/>
      <c r="AU109" s="622" t="n"/>
      <c r="AV109" s="622" t="n"/>
      <c r="AW109" s="622" t="n"/>
      <c r="AX109" s="622" t="n"/>
      <c r="AY109" s="622" t="n"/>
    </row>
    <row r="110" ht="15" customHeight="1" s="8286">
      <c r="A110" s="9733" t="inlineStr">
        <is>
          <t>Nº de Assist (EMP/EMPAM)</t>
        </is>
      </c>
      <c r="B110" s="9644" t="n"/>
      <c r="C110" s="1678">
        <f>SUM(D110+E110)</f>
        <v/>
      </c>
      <c r="D110" s="1679">
        <f>SUM(J110+L110+N110+P110+R110+T110)</f>
        <v/>
      </c>
      <c r="E110" s="1548">
        <f>SUM(K110+M110+O110+Q110+S110+U110)</f>
        <v/>
      </c>
      <c r="F110" s="1683" t="n"/>
      <c r="G110" s="977" t="n"/>
      <c r="H110" s="1683" t="n"/>
      <c r="I110" s="1684" t="n"/>
      <c r="J110" s="1561" t="n"/>
      <c r="K110" s="1562" t="n"/>
      <c r="L110" s="1561" t="n"/>
      <c r="M110" s="1562" t="n"/>
      <c r="N110" s="1561" t="n"/>
      <c r="O110" s="1562" t="n"/>
      <c r="P110" s="1563" t="n"/>
      <c r="Q110" s="1562" t="n"/>
      <c r="R110" s="1563" t="n"/>
      <c r="S110" s="1562" t="n"/>
      <c r="T110" s="1563" t="n"/>
      <c r="U110" s="1564" t="n"/>
      <c r="V110" s="5303" t="n"/>
      <c r="W110" s="5307" t="n"/>
      <c r="X110" s="932" t="n"/>
      <c r="Y110" s="622" t="n"/>
      <c r="Z110" s="622" t="n"/>
      <c r="AA110" s="622" t="n"/>
      <c r="AB110" s="622" t="n"/>
      <c r="AC110" s="622" t="n"/>
      <c r="AD110" s="622" t="n"/>
      <c r="AE110" s="622" t="n"/>
      <c r="AF110" s="622" t="n"/>
      <c r="AG110" s="622" t="n"/>
      <c r="AH110" s="622" t="n"/>
      <c r="AI110" s="622" t="n"/>
      <c r="AJ110" s="622" t="n"/>
      <c r="AK110" s="622" t="n"/>
      <c r="AL110" s="622" t="n"/>
      <c r="AM110" s="622" t="n"/>
      <c r="AN110" s="622" t="n"/>
      <c r="AO110" s="622" t="n"/>
      <c r="AP110" s="622" t="n"/>
      <c r="AQ110" s="622" t="n"/>
      <c r="AR110" s="622" t="n"/>
      <c r="AS110" s="622" t="n"/>
      <c r="AT110" s="622" t="n"/>
      <c r="AU110" s="622" t="n"/>
      <c r="AV110" s="622" t="n"/>
      <c r="AW110" s="622" t="n"/>
      <c r="AX110" s="622" t="n"/>
      <c r="AY110" s="622" t="n"/>
    </row>
    <row r="111" ht="15" customHeight="1" s="8286">
      <c r="A111" s="9733" t="inlineStr">
        <is>
          <t xml:space="preserve">N° de Assist aplicado </t>
        </is>
      </c>
      <c r="B111" s="9644" t="n"/>
      <c r="C111" s="1678">
        <f>SUM(D111+E111)</f>
        <v/>
      </c>
      <c r="D111" s="1679">
        <f>SUM(J111+L111+N111+P111+R111+T111)</f>
        <v/>
      </c>
      <c r="E111" s="1548">
        <f>SUM(K111+M111+O111+Q111+S111+U111)</f>
        <v/>
      </c>
      <c r="F111" s="1683" t="n"/>
      <c r="G111" s="977" t="n"/>
      <c r="H111" s="1683" t="n"/>
      <c r="I111" s="1684" t="n"/>
      <c r="J111" s="1561" t="n"/>
      <c r="K111" s="1562" t="n"/>
      <c r="L111" s="1561" t="n"/>
      <c r="M111" s="1562" t="n"/>
      <c r="N111" s="1561" t="n"/>
      <c r="O111" s="1562" t="n"/>
      <c r="P111" s="1563" t="n"/>
      <c r="Q111" s="1562" t="n"/>
      <c r="R111" s="1563" t="n"/>
      <c r="S111" s="1562" t="n"/>
      <c r="T111" s="1563" t="n"/>
      <c r="U111" s="1564" t="n"/>
      <c r="V111" s="5303" t="n"/>
      <c r="W111" s="5307" t="n"/>
      <c r="X111" s="932" t="n"/>
      <c r="Y111" s="622" t="n"/>
      <c r="Z111" s="622" t="n"/>
      <c r="AA111" s="622" t="n"/>
      <c r="AB111" s="622" t="n"/>
      <c r="AC111" s="622" t="n"/>
      <c r="AD111" s="622" t="n"/>
      <c r="AE111" s="622" t="n"/>
      <c r="AF111" s="622" t="n"/>
      <c r="AG111" s="622" t="n"/>
      <c r="AH111" s="622" t="n"/>
      <c r="AI111" s="622" t="n"/>
      <c r="AJ111" s="622" t="n"/>
      <c r="AK111" s="622" t="n"/>
      <c r="AL111" s="622" t="n"/>
      <c r="AM111" s="622" t="n"/>
      <c r="AN111" s="622" t="n"/>
      <c r="AO111" s="622" t="n"/>
      <c r="AP111" s="622" t="n"/>
      <c r="AQ111" s="622" t="n"/>
      <c r="AR111" s="622" t="n"/>
      <c r="AS111" s="622" t="n"/>
      <c r="AT111" s="622" t="n"/>
      <c r="AU111" s="622" t="n"/>
      <c r="AV111" s="622" t="n"/>
      <c r="AW111" s="622" t="n"/>
      <c r="AX111" s="622" t="n"/>
      <c r="AY111" s="622" t="n"/>
    </row>
    <row r="112" ht="15" customHeight="1" s="8286">
      <c r="A112" s="9733" t="inlineStr">
        <is>
          <t xml:space="preserve">N° de Craff en control de Salud Integral del Adolescente </t>
        </is>
      </c>
      <c r="B112" s="9644" t="n"/>
      <c r="C112" s="1678">
        <f>SUM(D112+E112)</f>
        <v/>
      </c>
      <c r="D112" s="1679">
        <f>+F112+H112</f>
        <v/>
      </c>
      <c r="E112" s="1548">
        <f>+G112+I112</f>
        <v/>
      </c>
      <c r="F112" s="1561" t="n">
        <v>15</v>
      </c>
      <c r="G112" s="978" t="n">
        <v>20</v>
      </c>
      <c r="H112" s="1561" t="n">
        <v>19</v>
      </c>
      <c r="I112" s="1565" t="n">
        <v>22</v>
      </c>
      <c r="J112" s="1680" t="n"/>
      <c r="K112" s="1682" t="n"/>
      <c r="L112" s="1680" t="n"/>
      <c r="M112" s="1682" t="n"/>
      <c r="N112" s="1680" t="n"/>
      <c r="O112" s="1682" t="n"/>
      <c r="P112" s="1685" t="n"/>
      <c r="Q112" s="1682" t="n"/>
      <c r="R112" s="1685" t="n"/>
      <c r="S112" s="1682" t="n"/>
      <c r="T112" s="1685" t="n"/>
      <c r="U112" s="1686" t="n"/>
      <c r="V112" s="5289" t="n">
        <v>0</v>
      </c>
      <c r="W112" s="5296" t="n">
        <v>7</v>
      </c>
      <c r="X112" s="932">
        <f>CA112&amp;CB112</f>
        <v/>
      </c>
      <c r="Y112" s="622" t="n"/>
      <c r="Z112" s="622" t="n"/>
      <c r="AA112" s="622" t="n"/>
      <c r="AB112" s="622" t="n"/>
      <c r="AC112" s="622" t="n"/>
      <c r="AD112" s="622" t="n"/>
      <c r="AE112" s="622" t="n"/>
      <c r="AF112" s="622" t="n"/>
      <c r="AG112" s="622" t="n"/>
      <c r="AH112" s="622" t="n"/>
      <c r="AI112" s="622" t="n"/>
      <c r="AJ112" s="622" t="n"/>
      <c r="AK112" s="622" t="n"/>
      <c r="AL112" s="622" t="n"/>
      <c r="AM112" s="622" t="n"/>
      <c r="AN112" s="622" t="n"/>
      <c r="AO112" s="622" t="n"/>
      <c r="AP112" s="622" t="n"/>
      <c r="AQ112" s="622" t="n"/>
      <c r="AR112" s="622" t="n"/>
      <c r="AS112" s="622" t="n"/>
      <c r="AT112" s="622" t="n"/>
      <c r="AU112" s="622" t="n"/>
      <c r="AV112" s="622" t="n"/>
      <c r="AW112" s="622" t="n"/>
      <c r="AX112" s="622" t="n"/>
      <c r="AY112" s="622" t="n"/>
      <c r="CA112" s="240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 t="n"/>
      <c r="CD112" s="239" t="n"/>
      <c r="CE112" s="64" t="n"/>
      <c r="CF112" s="64" t="n"/>
      <c r="CG112" s="64" t="n"/>
      <c r="CH112" s="64" t="n"/>
      <c r="CI112" s="64" t="n"/>
      <c r="CK112" s="29">
        <f>IF(AND($C112&lt;&gt;0,V112=""),1,IF(V112&gt;$C112,1,0))</f>
        <v/>
      </c>
      <c r="CL112" s="29">
        <f>IF(AND($C112&lt;&gt;0,W112=""),1,IF(W112&gt;$C112,1,0))</f>
        <v/>
      </c>
    </row>
    <row r="113" ht="15" customHeight="1" s="8286">
      <c r="A113" s="9733" t="inlineStr">
        <is>
          <t>N° de Craff aplicado (EMP)</t>
        </is>
      </c>
      <c r="B113" s="9644" t="n"/>
      <c r="C113" s="979">
        <f>SUM(D113+E113)</f>
        <v/>
      </c>
      <c r="D113" s="1679">
        <f>+H113</f>
        <v/>
      </c>
      <c r="E113" s="1548">
        <f>+I113</f>
        <v/>
      </c>
      <c r="F113" s="1683" t="n"/>
      <c r="G113" s="977" t="n"/>
      <c r="H113" s="1561" t="n"/>
      <c r="I113" s="1565" t="n"/>
      <c r="J113" s="1680" t="n"/>
      <c r="K113" s="1687" t="n"/>
      <c r="L113" s="1680" t="n"/>
      <c r="M113" s="1687" t="n"/>
      <c r="N113" s="1680" t="n"/>
      <c r="O113" s="1687" t="n"/>
      <c r="P113" s="1680" t="n"/>
      <c r="Q113" s="1687" t="n"/>
      <c r="R113" s="1680" t="n"/>
      <c r="S113" s="1687" t="n"/>
      <c r="T113" s="1680" t="n"/>
      <c r="U113" s="1688" t="n"/>
      <c r="V113" s="5289" t="n"/>
      <c r="W113" s="5294" t="n"/>
      <c r="X113" s="932">
        <f>CA113&amp;CB113</f>
        <v/>
      </c>
      <c r="Y113" s="622" t="n"/>
      <c r="Z113" s="622" t="n"/>
      <c r="AA113" s="622" t="n"/>
      <c r="AB113" s="622" t="n"/>
      <c r="AC113" s="622" t="n"/>
      <c r="AD113" s="622" t="n"/>
      <c r="AE113" s="622" t="n"/>
      <c r="AF113" s="622" t="n"/>
      <c r="AG113" s="622" t="n"/>
      <c r="AH113" s="622" t="n"/>
      <c r="AI113" s="622" t="n"/>
      <c r="AJ113" s="622" t="n"/>
      <c r="AK113" s="622" t="n"/>
      <c r="AL113" s="622" t="n"/>
      <c r="AM113" s="622" t="n"/>
      <c r="AN113" s="622" t="n"/>
      <c r="AO113" s="622" t="n"/>
      <c r="AP113" s="622" t="n"/>
      <c r="AQ113" s="622" t="n"/>
      <c r="AR113" s="622" t="n"/>
      <c r="AS113" s="622" t="n"/>
      <c r="AT113" s="622" t="n"/>
      <c r="AU113" s="622" t="n"/>
      <c r="AV113" s="622" t="n"/>
      <c r="AW113" s="622" t="n"/>
      <c r="AX113" s="622" t="n"/>
      <c r="AY113" s="622" t="n"/>
      <c r="CA113" s="240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>
        <f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 t="n"/>
      <c r="CD113" s="239" t="n"/>
      <c r="CE113" s="64" t="n"/>
      <c r="CF113" s="64" t="n"/>
      <c r="CG113" s="64" t="n"/>
      <c r="CH113" s="64" t="n"/>
      <c r="CI113" s="64" t="n"/>
      <c r="CK113" s="29">
        <f>IF(AND($C113&lt;&gt;0,V113=""),1,IF(V113&gt;$C113,1,0))</f>
        <v/>
      </c>
      <c r="CL113" s="29">
        <f>IF(AND($C113&lt;&gt;0,W113=""),1,IF(W113&gt;$C113,1,0))</f>
        <v/>
      </c>
    </row>
    <row r="114" ht="15" customHeight="1" s="8286">
      <c r="A114" s="9733" t="inlineStr">
        <is>
          <t>N° de Craff aplicado</t>
        </is>
      </c>
      <c r="B114" s="9644" t="n"/>
      <c r="C114" s="979">
        <f>SUM(D114+E114)</f>
        <v/>
      </c>
      <c r="D114" s="1679">
        <f>(F114+H114)</f>
        <v/>
      </c>
      <c r="E114" s="1548">
        <f>(G114+I114)</f>
        <v/>
      </c>
      <c r="F114" s="1561" t="n"/>
      <c r="G114" s="1565" t="n"/>
      <c r="H114" s="1561" t="n"/>
      <c r="I114" s="1565" t="n"/>
      <c r="J114" s="980" t="n"/>
      <c r="K114" s="1690" t="n"/>
      <c r="L114" s="980" t="n"/>
      <c r="M114" s="1690" t="n"/>
      <c r="N114" s="980" t="n"/>
      <c r="O114" s="1690" t="n"/>
      <c r="P114" s="1087" t="n"/>
      <c r="Q114" s="1690" t="n"/>
      <c r="R114" s="1087" t="n"/>
      <c r="S114" s="1690" t="n"/>
      <c r="T114" s="1087" t="n"/>
      <c r="U114" s="981" t="n"/>
      <c r="V114" s="5290" t="n"/>
      <c r="W114" s="5296" t="n"/>
      <c r="X114" s="932">
        <f>CA114&amp;CB114</f>
        <v/>
      </c>
      <c r="Y114" s="622" t="n"/>
      <c r="Z114" s="622" t="n"/>
      <c r="AA114" s="622" t="n"/>
      <c r="AB114" s="622" t="n"/>
      <c r="AC114" s="622" t="n"/>
      <c r="AD114" s="622" t="n"/>
      <c r="AE114" s="622" t="n"/>
      <c r="AF114" s="622" t="n"/>
      <c r="AG114" s="622" t="n"/>
      <c r="AH114" s="622" t="n"/>
      <c r="AI114" s="622" t="n"/>
      <c r="AJ114" s="622" t="n"/>
      <c r="AK114" s="622" t="n"/>
      <c r="AL114" s="622" t="n"/>
      <c r="AM114" s="622" t="n"/>
      <c r="AN114" s="622" t="n"/>
      <c r="AO114" s="622" t="n"/>
      <c r="AP114" s="622" t="n"/>
      <c r="AQ114" s="622" t="n"/>
      <c r="AR114" s="622" t="n"/>
      <c r="AS114" s="622" t="n"/>
      <c r="AT114" s="622" t="n"/>
      <c r="AU114" s="622" t="n"/>
      <c r="AV114" s="622" t="n"/>
      <c r="AW114" s="622" t="n"/>
      <c r="AX114" s="622" t="n"/>
      <c r="AY114" s="622" t="n"/>
      <c r="CA114" s="240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>
        <f>IF(AND($C114&lt;&gt;0,W114=""),"* No olvide ingresar la variable "&amp;W$105&amp;""&amp;". Digite CERO si no tiene. ",IF(W114&gt;$C114,"* La variable Servicio Nacional Protección Especializada a la Niñez y Adolescencia no debe ser mayor al Total Ambos Sexos. ",""))</f>
        <v/>
      </c>
      <c r="CC114" s="239" t="n"/>
      <c r="CD114" s="239" t="n"/>
      <c r="CE114" s="64" t="n"/>
      <c r="CF114" s="64" t="n"/>
      <c r="CG114" s="64" t="n"/>
      <c r="CH114" s="64" t="n"/>
      <c r="CI114" s="64" t="n"/>
      <c r="CK114" s="29">
        <f>IF(AND($C114&lt;&gt;0,V114=""),1,IF(V114&gt;$C114,1,0))</f>
        <v/>
      </c>
      <c r="CL114" s="29">
        <f>IF(AND($C114&lt;&gt;0,W114=""),1,IF(W114&gt;$C114,1,0))</f>
        <v/>
      </c>
    </row>
    <row r="115" ht="15" customHeight="1" s="8286">
      <c r="A115" s="9734" t="inlineStr">
        <is>
          <t xml:space="preserve">Resultados de evaluación </t>
        </is>
      </c>
      <c r="B115" s="1691" t="inlineStr">
        <is>
          <t>Bajo riesgo</t>
        </is>
      </c>
      <c r="C115" s="1692">
        <f>SUM(D115+E115)</f>
        <v/>
      </c>
      <c r="D115" s="1693">
        <f>SUM(F115+H115+J115+L115+N115+P115+R115+T115)</f>
        <v/>
      </c>
      <c r="E115" s="1510">
        <f>SUM(G115+I115+K115+M115+O115+Q115+S115+U115)</f>
        <v/>
      </c>
      <c r="F115" s="1511" t="n">
        <v>14</v>
      </c>
      <c r="G115" s="1694" t="n">
        <v>20</v>
      </c>
      <c r="H115" s="1511" t="n">
        <v>16</v>
      </c>
      <c r="I115" s="1512" t="n">
        <v>17</v>
      </c>
      <c r="J115" s="1511" t="n">
        <v>2</v>
      </c>
      <c r="K115" s="1554" t="n">
        <v>11</v>
      </c>
      <c r="L115" s="1511" t="n">
        <v>17</v>
      </c>
      <c r="M115" s="1554" t="n">
        <v>51</v>
      </c>
      <c r="N115" s="1511" t="n">
        <v>29</v>
      </c>
      <c r="O115" s="1512" t="n">
        <v>64</v>
      </c>
      <c r="P115" s="1511" t="n">
        <v>11</v>
      </c>
      <c r="Q115" s="1512" t="n">
        <v>25</v>
      </c>
      <c r="R115" s="1511" t="n">
        <v>18</v>
      </c>
      <c r="S115" s="1512" t="n">
        <v>24</v>
      </c>
      <c r="T115" s="1511" t="n">
        <v>3</v>
      </c>
      <c r="U115" s="1654" t="n">
        <v>10</v>
      </c>
      <c r="V115" s="5291" t="n">
        <v>0</v>
      </c>
      <c r="W115" s="5295" t="n">
        <v>6</v>
      </c>
      <c r="X115" s="932">
        <f>CA115&amp;CB115</f>
        <v/>
      </c>
      <c r="Y115" s="622" t="n"/>
      <c r="Z115" s="622" t="n"/>
      <c r="AA115" s="622" t="n"/>
      <c r="AB115" s="622" t="n"/>
      <c r="AC115" s="622" t="n"/>
      <c r="AD115" s="622" t="n"/>
      <c r="AE115" s="622" t="n"/>
      <c r="AF115" s="622" t="n"/>
      <c r="AG115" s="622" t="n"/>
      <c r="AH115" s="622" t="n"/>
      <c r="AI115" s="622" t="n"/>
      <c r="AJ115" s="622" t="n"/>
      <c r="AK115" s="622" t="n"/>
      <c r="AL115" s="622" t="n"/>
      <c r="AM115" s="622" t="n"/>
      <c r="AN115" s="622" t="n"/>
      <c r="AO115" s="622" t="n"/>
      <c r="AP115" s="622" t="n"/>
      <c r="AQ115" s="622" t="n"/>
      <c r="AR115" s="622" t="n"/>
      <c r="AS115" s="622" t="n"/>
      <c r="AT115" s="622" t="n"/>
      <c r="AU115" s="622" t="n"/>
      <c r="AV115" s="622" t="n"/>
      <c r="AW115" s="622" t="n"/>
      <c r="AX115" s="622" t="n"/>
      <c r="AY115" s="622" t="n"/>
      <c r="CA115" s="240">
        <f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>
        <f>IF(AND($C115&lt;&gt;0,W115=""),"* No olvide ingresar la variable "&amp;W$105&amp;""&amp;". Digite CERO si no tiene. ",IF(W115&gt;$C115,"* La variable Servicio Nacional Protección Especializada a la Niñez y Adolescencia no debe ser mayor al Total Ambos Sexos. ",""))</f>
        <v/>
      </c>
      <c r="CC115" s="239" t="n"/>
      <c r="CD115" s="239" t="n"/>
      <c r="CE115" s="64" t="n"/>
      <c r="CF115" s="64" t="n"/>
      <c r="CG115" s="64" t="n"/>
      <c r="CH115" s="64" t="n"/>
      <c r="CI115" s="64" t="n"/>
      <c r="CK115" s="29">
        <f>IF(AND($C115&lt;&gt;0,V115=""),1,IF(V115&gt;$C115,1,0))</f>
        <v/>
      </c>
      <c r="CL115" s="29">
        <f>IF(AND($C115&lt;&gt;0,W115=""),1,IF(W115&gt;$C115,1,0))</f>
        <v/>
      </c>
    </row>
    <row r="116" ht="19.5" customHeight="1" s="8286">
      <c r="A116" s="9735" t="n"/>
      <c r="B116" s="1695" t="inlineStr">
        <is>
          <t xml:space="preserve">Consumo riesgoso/intermedio </t>
        </is>
      </c>
      <c r="C116" s="982">
        <f>SUM(D116+E116)</f>
        <v/>
      </c>
      <c r="D116" s="1696">
        <f>SUM(F116+H116+J116+L116+N116+P116+R116+T116)</f>
        <v/>
      </c>
      <c r="E116" s="1697">
        <f>SUM(G116+I116+K116+M116+O116+Q116+S116+U116)</f>
        <v/>
      </c>
      <c r="F116" s="1561" t="n">
        <v>1</v>
      </c>
      <c r="G116" s="978" t="n">
        <v>0</v>
      </c>
      <c r="H116" s="1561" t="n">
        <v>1</v>
      </c>
      <c r="I116" s="1565" t="n">
        <v>5</v>
      </c>
      <c r="J116" s="1561" t="n">
        <v>0</v>
      </c>
      <c r="K116" s="1562" t="n">
        <v>2</v>
      </c>
      <c r="L116" s="1561" t="n">
        <v>1</v>
      </c>
      <c r="M116" s="1562" t="n">
        <v>5</v>
      </c>
      <c r="N116" s="1561" t="n">
        <v>0</v>
      </c>
      <c r="O116" s="1565" t="n">
        <v>2</v>
      </c>
      <c r="P116" s="1561" t="n">
        <v>2</v>
      </c>
      <c r="Q116" s="1565" t="n">
        <v>1</v>
      </c>
      <c r="R116" s="1561" t="n">
        <v>0</v>
      </c>
      <c r="S116" s="1565" t="n">
        <v>23</v>
      </c>
      <c r="T116" s="1561" t="n">
        <v>0</v>
      </c>
      <c r="U116" s="1620" t="n">
        <v>0</v>
      </c>
      <c r="V116" s="5304" t="n">
        <v>0</v>
      </c>
      <c r="W116" s="5294" t="n">
        <v>0</v>
      </c>
      <c r="X116" s="932">
        <f>CA116&amp;CB116</f>
        <v/>
      </c>
      <c r="Y116" s="622" t="n"/>
      <c r="Z116" s="622" t="n"/>
      <c r="AA116" s="622" t="n"/>
      <c r="AB116" s="622" t="n"/>
      <c r="AC116" s="622" t="n"/>
      <c r="AD116" s="622" t="n"/>
      <c r="AE116" s="622" t="n"/>
      <c r="AF116" s="622" t="n"/>
      <c r="AG116" s="622" t="n"/>
      <c r="AH116" s="622" t="n"/>
      <c r="AI116" s="622" t="n"/>
      <c r="AJ116" s="622" t="n"/>
      <c r="AK116" s="622" t="n"/>
      <c r="AL116" s="622" t="n"/>
      <c r="AM116" s="622" t="n"/>
      <c r="AN116" s="622" t="n"/>
      <c r="AO116" s="622" t="n"/>
      <c r="AP116" s="622" t="n"/>
      <c r="AQ116" s="622" t="n"/>
      <c r="AR116" s="622" t="n"/>
      <c r="AS116" s="622" t="n"/>
      <c r="AT116" s="622" t="n"/>
      <c r="AU116" s="622" t="n"/>
      <c r="AV116" s="622" t="n"/>
      <c r="AW116" s="622" t="n"/>
      <c r="AX116" s="622" t="n"/>
      <c r="AY116" s="622" t="n"/>
      <c r="CA116" s="240">
        <f>IF(AND($C116&lt;&gt;0,V116=""),"* No olvide ingresar la variable "&amp;V$105&amp;""&amp;". Digite CERO si no tiene. ",IF(V116&gt;$C116,"* La variable SENAME/ Servicio Nacional de Reinserción social Juvenil  no debe ser mayor al Total Ambos Sexos. ",""))</f>
        <v/>
      </c>
      <c r="CB116" s="240">
        <f>IF(AND($C116&lt;&gt;0,W116=""),"* No olvide ingresar la variable "&amp;W$105&amp;""&amp;". Digite CERO si no tiene. ",IF(W116&gt;$C116,"* La variable Servicio Nacional Protección Especializada a la Niñez y Adolescencia no debe ser mayor al Total Ambos Sexos. ",""))</f>
        <v/>
      </c>
      <c r="CC116" s="239" t="n"/>
      <c r="CD116" s="239" t="n"/>
      <c r="CE116" s="64" t="n"/>
      <c r="CF116" s="64" t="n"/>
      <c r="CG116" s="64" t="n"/>
      <c r="CH116" s="64" t="n"/>
      <c r="CI116" s="64" t="n"/>
      <c r="CK116" s="29">
        <f>IF(AND($C116&lt;&gt;0,V116=""),1,IF(V116&gt;$C116,1,0))</f>
        <v/>
      </c>
      <c r="CL116" s="29">
        <f>IF(AND($C116&lt;&gt;0,W116=""),1,IF(W116&gt;$C116,1,0))</f>
        <v/>
      </c>
    </row>
    <row r="117" ht="21" customHeight="1" s="8286">
      <c r="A117" s="9670" t="n"/>
      <c r="B117" s="1698" t="inlineStr">
        <is>
          <t xml:space="preserve">Posible consumo perjudicial o dependencia </t>
        </is>
      </c>
      <c r="C117" s="1699">
        <f>SUM(D117+E117)</f>
        <v/>
      </c>
      <c r="D117" s="1700">
        <f>SUM(F117+H117+J117+L117+N117+P117+R117+T117)</f>
        <v/>
      </c>
      <c r="E117" s="1701">
        <f>SUM(G117+I117+K117+M117+O117+Q117+S117+U117)</f>
        <v/>
      </c>
      <c r="F117" s="1702" t="n">
        <v>0</v>
      </c>
      <c r="G117" s="1703" t="n">
        <v>0</v>
      </c>
      <c r="H117" s="1702" t="n">
        <v>2</v>
      </c>
      <c r="I117" s="1704" t="n">
        <v>0</v>
      </c>
      <c r="J117" s="1702" t="n"/>
      <c r="K117" s="1705" t="n"/>
      <c r="L117" s="1702" t="n"/>
      <c r="M117" s="1705" t="n"/>
      <c r="N117" s="1702" t="n"/>
      <c r="O117" s="1704" t="n"/>
      <c r="P117" s="1702" t="n"/>
      <c r="Q117" s="1704" t="n"/>
      <c r="R117" s="1702" t="n"/>
      <c r="S117" s="1704" t="n"/>
      <c r="T117" s="1702" t="n"/>
      <c r="U117" s="1703" t="n"/>
      <c r="V117" s="5305" t="n">
        <v>0</v>
      </c>
      <c r="W117" s="1649" t="n">
        <v>1</v>
      </c>
      <c r="X117" s="932">
        <f>CA117&amp;CB117</f>
        <v/>
      </c>
      <c r="Y117" s="622" t="n"/>
      <c r="Z117" s="622" t="n"/>
      <c r="AA117" s="622" t="n"/>
      <c r="AB117" s="622" t="n"/>
      <c r="AC117" s="622" t="n"/>
      <c r="AD117" s="622" t="n"/>
      <c r="AE117" s="622" t="n"/>
      <c r="AF117" s="622" t="n"/>
      <c r="AG117" s="622" t="n"/>
      <c r="AH117" s="622" t="n"/>
      <c r="AI117" s="622" t="n"/>
      <c r="AJ117" s="622" t="n"/>
      <c r="AK117" s="622" t="n"/>
      <c r="AL117" s="622" t="n"/>
      <c r="AM117" s="622" t="n"/>
      <c r="AN117" s="622" t="n"/>
      <c r="AO117" s="622" t="n"/>
      <c r="AP117" s="622" t="n"/>
      <c r="AQ117" s="622" t="n"/>
      <c r="AR117" s="622" t="n"/>
      <c r="AS117" s="622" t="n"/>
      <c r="AT117" s="622" t="n"/>
      <c r="AU117" s="622" t="n"/>
      <c r="AV117" s="622" t="n"/>
      <c r="AW117" s="622" t="n"/>
      <c r="AX117" s="622" t="n"/>
      <c r="AY117" s="622" t="n"/>
      <c r="CA117" s="240">
        <f>IF(AND($C117&lt;&gt;0,V117=""),"* No olvide ingresar la variable "&amp;V$105&amp;""&amp;". Digite CERO si no tiene. ",IF(V117&gt;$C117,"* La variable SENAME/ Servicio Nacional de Reinserción social Juvenil  no debe ser mayor al Total Ambos Sexos. ",""))</f>
        <v/>
      </c>
      <c r="CB117" s="240">
        <f>IF(AND($C117&lt;&gt;0,W117=""),"* No olvide ingresar la variable "&amp;W$105&amp;""&amp;". Digite CERO si no tiene. ",IF(W117&gt;$C117,"* La variable Servicio Nacional Protección Especializada a la Niñez y Adolescencia no debe ser mayor al Total Ambos Sexos. ",""))</f>
        <v/>
      </c>
      <c r="CC117" s="239" t="n"/>
      <c r="CD117" s="239" t="n"/>
      <c r="CE117" s="64" t="n"/>
      <c r="CF117" s="64" t="n"/>
      <c r="CG117" s="64" t="n"/>
      <c r="CH117" s="64" t="n"/>
      <c r="CI117" s="64" t="n"/>
      <c r="CK117" s="29">
        <f>IF(AND($C117&lt;&gt;0,V117=""),1,IF(V117&gt;$C117,1,0))</f>
        <v/>
      </c>
      <c r="CL117" s="29">
        <f>IF(AND($C117&lt;&gt;0,W117=""),1,IF(W117&gt;$C117,1,0))</f>
        <v/>
      </c>
    </row>
    <row r="118" ht="18" customHeight="1" s="8286">
      <c r="A118" s="1490" t="inlineStr">
        <is>
          <t>SECCIÓN D.2: RESULTADOS DE LA APLICACIÓN DE INSTRUMENTO DE VALORACIÓN DE DESEMPEÑO EN COMUNIDAD (IVADEC-CIF)</t>
        </is>
      </c>
      <c r="B118" s="1706" t="n"/>
      <c r="C118" s="1706" t="n"/>
      <c r="D118" s="1706" t="n"/>
      <c r="E118" s="1706" t="n"/>
      <c r="F118" s="1707" t="n"/>
      <c r="G118" s="1707" t="n"/>
      <c r="H118" s="1707" t="n"/>
      <c r="I118" s="1708" t="n"/>
      <c r="J118" s="1709" t="n"/>
      <c r="K118" s="1709" t="n"/>
      <c r="L118" s="1710" t="n"/>
      <c r="M118" s="1711" t="n"/>
      <c r="N118" s="1712" t="n"/>
      <c r="O118" s="1707" t="n"/>
      <c r="P118" s="1712" t="n"/>
      <c r="Q118" s="1713" t="n"/>
      <c r="R118" s="1714" t="n"/>
      <c r="S118" s="1714" t="n"/>
      <c r="T118" s="1712" t="n"/>
      <c r="U118" s="1712" t="n"/>
      <c r="V118" s="1712" t="n"/>
      <c r="W118" s="1707" t="n"/>
      <c r="X118" s="1712" t="n"/>
      <c r="Y118" s="1707" t="n"/>
      <c r="Z118" s="1715" t="n"/>
      <c r="AA118" s="1716" t="n"/>
      <c r="AB118" s="622" t="n"/>
      <c r="AC118" s="622" t="n"/>
      <c r="AD118" s="622" t="n"/>
      <c r="AE118" s="622" t="n"/>
      <c r="AF118" s="622" t="n"/>
      <c r="AG118" s="622" t="n"/>
      <c r="AH118" s="622" t="n"/>
      <c r="AI118" s="622" t="n"/>
      <c r="AJ118" s="622" t="n"/>
      <c r="AK118" s="622" t="n"/>
      <c r="AL118" s="622" t="n"/>
      <c r="AM118" s="622" t="n"/>
      <c r="AN118" s="622" t="n"/>
      <c r="AO118" s="622" t="n"/>
      <c r="AP118" s="622" t="n"/>
      <c r="AQ118" s="622" t="n"/>
      <c r="AR118" s="622" t="n"/>
      <c r="AS118" s="622" t="n"/>
      <c r="AT118" s="622" t="n"/>
      <c r="AU118" s="622" t="n"/>
      <c r="AV118" s="622" t="n"/>
      <c r="AW118" s="622" t="n"/>
      <c r="AX118" s="622" t="n"/>
      <c r="AY118" s="622" t="n"/>
    </row>
    <row r="119" ht="15" customHeight="1" s="8286">
      <c r="A119" s="8174" t="inlineStr">
        <is>
          <t>ACTIVIDAD</t>
        </is>
      </c>
      <c r="B119" s="8174" t="inlineStr">
        <is>
          <t>RESULTADO</t>
        </is>
      </c>
      <c r="C119" s="9736" t="inlineStr">
        <is>
          <t xml:space="preserve">TOTAL    </t>
        </is>
      </c>
      <c r="E119" s="9718" t="n"/>
      <c r="F119" s="9737" t="inlineStr">
        <is>
          <t>RANGO ETARIO Y SEXO</t>
        </is>
      </c>
      <c r="G119" s="9617" t="n"/>
      <c r="H119" s="9617" t="n"/>
      <c r="I119" s="9617" t="n"/>
      <c r="J119" s="9617" t="n"/>
      <c r="K119" s="9617" t="n"/>
      <c r="L119" s="9617" t="n"/>
      <c r="M119" s="9617" t="n"/>
      <c r="N119" s="9617" t="n"/>
      <c r="O119" s="9617" t="n"/>
      <c r="P119" s="9617" t="n"/>
      <c r="Q119" s="9617" t="n"/>
      <c r="R119" s="9617" t="n"/>
      <c r="S119" s="9617" t="n"/>
      <c r="T119" s="9617" t="n"/>
      <c r="U119" s="9617" t="n"/>
      <c r="V119" s="9617" t="n"/>
      <c r="W119" s="9617" t="n"/>
      <c r="X119" s="9617" t="n"/>
      <c r="Y119" s="9617" t="n"/>
      <c r="Z119" s="9617" t="n"/>
      <c r="AA119" s="9652" t="n"/>
      <c r="AB119" s="9738" t="inlineStr">
        <is>
          <t>Pueblos originarios</t>
        </is>
      </c>
      <c r="AC119" s="9739" t="inlineStr">
        <is>
          <t>Migrantes</t>
        </is>
      </c>
      <c r="AD119" s="622" t="n"/>
      <c r="AE119" s="622" t="n"/>
      <c r="AF119" s="622" t="n"/>
      <c r="AG119" s="622" t="n"/>
      <c r="AH119" s="622" t="n"/>
      <c r="AI119" s="622" t="n"/>
      <c r="AJ119" s="622" t="n"/>
      <c r="AK119" s="622" t="n"/>
      <c r="AL119" s="622" t="n"/>
      <c r="AM119" s="622" t="n"/>
      <c r="AN119" s="622" t="n"/>
      <c r="AO119" s="622" t="n"/>
      <c r="AP119" s="622" t="n"/>
      <c r="AQ119" s="622" t="n"/>
      <c r="AR119" s="622" t="n"/>
      <c r="AS119" s="622" t="n"/>
      <c r="AT119" s="622" t="n"/>
      <c r="AU119" s="622" t="n"/>
      <c r="AV119" s="622" t="n"/>
      <c r="AW119" s="622" t="n"/>
      <c r="AX119" s="622" t="n"/>
      <c r="AY119" s="622" t="n"/>
    </row>
    <row r="120" ht="15" customHeight="1" s="8286">
      <c r="A120" s="9614" t="n"/>
      <c r="B120" s="9614" t="n"/>
      <c r="C120" s="9638" t="n"/>
      <c r="D120" s="9697" t="n"/>
      <c r="E120" s="9639" t="n"/>
      <c r="F120" s="9631" t="inlineStr">
        <is>
          <t>6 -11 meses</t>
        </is>
      </c>
      <c r="G120" s="9632" t="n"/>
      <c r="H120" s="9631" t="inlineStr">
        <is>
          <t>12 - 23 meses</t>
        </is>
      </c>
      <c r="I120" s="9632" t="n"/>
      <c r="J120" s="9631" t="inlineStr">
        <is>
          <t>2 - 4 años</t>
        </is>
      </c>
      <c r="K120" s="9632" t="n"/>
      <c r="L120" s="6295" t="inlineStr">
        <is>
          <t>5 - 9 años</t>
        </is>
      </c>
      <c r="M120" s="9647" t="n"/>
      <c r="N120" s="9631" t="inlineStr">
        <is>
          <t>10 - 14 años</t>
        </is>
      </c>
      <c r="O120" s="9632" t="n"/>
      <c r="P120" s="9631" t="inlineStr">
        <is>
          <t>15 - 19 años</t>
        </is>
      </c>
      <c r="Q120" s="9632" t="n"/>
      <c r="R120" s="9631" t="inlineStr">
        <is>
          <t>20 - 24 años</t>
        </is>
      </c>
      <c r="S120" s="9632" t="n"/>
      <c r="T120" s="9631" t="inlineStr">
        <is>
          <t>25 - 64 años</t>
        </is>
      </c>
      <c r="U120" s="9632" t="n"/>
      <c r="V120" s="9631" t="inlineStr">
        <is>
          <t>65 - 69 años</t>
        </is>
      </c>
      <c r="W120" s="9632" t="n"/>
      <c r="X120" s="9631" t="inlineStr">
        <is>
          <t>70 - 79 años</t>
        </is>
      </c>
      <c r="Y120" s="9632" t="n"/>
      <c r="Z120" s="9740" t="inlineStr">
        <is>
          <t>80 y más años</t>
        </is>
      </c>
      <c r="AA120" s="9652" t="n"/>
      <c r="AB120" s="9656" t="n"/>
      <c r="AC120" s="9614" t="n"/>
      <c r="AD120" s="622" t="n"/>
      <c r="AE120" s="622" t="n"/>
      <c r="AF120" s="622" t="n"/>
      <c r="AG120" s="622" t="n"/>
      <c r="AH120" s="622" t="n"/>
      <c r="AI120" s="622" t="n"/>
      <c r="AJ120" s="622" t="n"/>
      <c r="AK120" s="622" t="n"/>
      <c r="AL120" s="622" t="n"/>
      <c r="AM120" s="622" t="n"/>
      <c r="AN120" s="622" t="n"/>
      <c r="AO120" s="622" t="n"/>
      <c r="AP120" s="622" t="n"/>
      <c r="AQ120" s="622" t="n"/>
      <c r="AR120" s="622" t="n"/>
      <c r="AS120" s="622" t="n"/>
      <c r="AT120" s="622" t="n"/>
      <c r="AU120" s="622" t="n"/>
      <c r="AV120" s="622" t="n"/>
      <c r="AW120" s="622" t="n"/>
      <c r="AX120" s="622" t="n"/>
      <c r="AY120" s="622" t="n"/>
    </row>
    <row r="121" ht="15" customHeight="1" s="8286">
      <c r="A121" s="9610" t="n"/>
      <c r="B121" s="9610" t="n"/>
      <c r="C121" s="7279" t="inlineStr">
        <is>
          <t>Ambos Sexos</t>
        </is>
      </c>
      <c r="D121" s="7400" t="inlineStr">
        <is>
          <t>Hombres</t>
        </is>
      </c>
      <c r="E121" s="7399" t="inlineStr">
        <is>
          <t>Mujeres</t>
        </is>
      </c>
      <c r="F121" s="1500" t="inlineStr">
        <is>
          <t>Hombres</t>
        </is>
      </c>
      <c r="G121" s="7542" t="inlineStr">
        <is>
          <t>Mujeres</t>
        </is>
      </c>
      <c r="H121" s="1500" t="inlineStr">
        <is>
          <t>Hombres</t>
        </is>
      </c>
      <c r="I121" s="7542" t="inlineStr">
        <is>
          <t>Mujeres</t>
        </is>
      </c>
      <c r="J121" s="1500" t="inlineStr">
        <is>
          <t>Hombres</t>
        </is>
      </c>
      <c r="K121" s="7542" t="inlineStr">
        <is>
          <t>Mujeres</t>
        </is>
      </c>
      <c r="L121" s="7400" t="inlineStr">
        <is>
          <t>Hombres</t>
        </is>
      </c>
      <c r="M121" s="7542" t="inlineStr">
        <is>
          <t>Mujeres</t>
        </is>
      </c>
      <c r="N121" s="1500" t="inlineStr">
        <is>
          <t>Hombres</t>
        </is>
      </c>
      <c r="O121" s="7542" t="inlineStr">
        <is>
          <t>Mujeres</t>
        </is>
      </c>
      <c r="P121" s="1500" t="inlineStr">
        <is>
          <t>Hombres</t>
        </is>
      </c>
      <c r="Q121" s="7542" t="inlineStr">
        <is>
          <t>Mujeres</t>
        </is>
      </c>
      <c r="R121" s="1500" t="inlineStr">
        <is>
          <t>Hombres</t>
        </is>
      </c>
      <c r="S121" s="7279" t="inlineStr">
        <is>
          <t>Mujeres</t>
        </is>
      </c>
      <c r="T121" s="1500" t="inlineStr">
        <is>
          <t>Hombres</t>
        </is>
      </c>
      <c r="U121" s="7542" t="inlineStr">
        <is>
          <t>Mujeres</t>
        </is>
      </c>
      <c r="V121" s="1500" t="inlineStr">
        <is>
          <t>Hombres</t>
        </is>
      </c>
      <c r="W121" s="7542" t="inlineStr">
        <is>
          <t>Mujeres</t>
        </is>
      </c>
      <c r="X121" s="1500" t="inlineStr">
        <is>
          <t>Hombres</t>
        </is>
      </c>
      <c r="Y121" s="7542" t="inlineStr">
        <is>
          <t>Mujeres</t>
        </is>
      </c>
      <c r="Z121" s="1719" t="inlineStr">
        <is>
          <t>Hombres</t>
        </is>
      </c>
      <c r="AA121" s="7470" t="inlineStr">
        <is>
          <t>Mujeres</t>
        </is>
      </c>
      <c r="AB121" s="9640" t="n"/>
      <c r="AC121" s="9610" t="n"/>
      <c r="AD121" s="622" t="n"/>
      <c r="AE121" s="622" t="n"/>
      <c r="AF121" s="622" t="n"/>
      <c r="AG121" s="622" t="n"/>
      <c r="AH121" s="622" t="n"/>
      <c r="AI121" s="622" t="n"/>
      <c r="AJ121" s="622" t="n"/>
      <c r="AK121" s="622" t="n"/>
      <c r="AL121" s="622" t="n"/>
      <c r="AM121" s="622" t="n"/>
      <c r="AN121" s="622" t="n"/>
      <c r="AO121" s="622" t="n"/>
      <c r="AP121" s="622" t="n"/>
      <c r="AQ121" s="622" t="n"/>
      <c r="AR121" s="622" t="n"/>
      <c r="AS121" s="622" t="n"/>
      <c r="AT121" s="622" t="n"/>
      <c r="AU121" s="622" t="n"/>
      <c r="AV121" s="622" t="n"/>
      <c r="AW121" s="622" t="n"/>
      <c r="AX121" s="622" t="n"/>
      <c r="AY121" s="622" t="n"/>
    </row>
    <row r="122" ht="15" customHeight="1" s="8286">
      <c r="A122" s="9642" t="inlineStr">
        <is>
          <t>Origen físico</t>
        </is>
      </c>
      <c r="B122" s="7198" t="inlineStr">
        <is>
          <t>Sin Discapacidad</t>
        </is>
      </c>
      <c r="C122" s="1721">
        <f>SUM(D122+E122)</f>
        <v/>
      </c>
      <c r="D122" s="1664">
        <f>SUM(F122+H122+J122+L122+N122+P122+R122+T122+V122+X122+Z122)</f>
        <v/>
      </c>
      <c r="E122" s="1722">
        <f>SUM(G122+I122+K122+M122+O122+Q122+S122+U122+W122+Y122+AA122)</f>
        <v/>
      </c>
      <c r="F122" s="1511" t="n"/>
      <c r="G122" s="1512" t="n"/>
      <c r="H122" s="1511" t="n"/>
      <c r="I122" s="1554" t="n"/>
      <c r="J122" s="1511" t="n"/>
      <c r="K122" s="1554" t="n"/>
      <c r="L122" s="1723" t="n"/>
      <c r="M122" s="1554" t="n"/>
      <c r="N122" s="1511" t="n"/>
      <c r="O122" s="1554" t="n"/>
      <c r="P122" s="1511" t="n"/>
      <c r="Q122" s="1554" t="n"/>
      <c r="R122" s="1511" t="n"/>
      <c r="S122" s="1554" t="n"/>
      <c r="T122" s="1511" t="n"/>
      <c r="U122" s="1554" t="n"/>
      <c r="V122" s="1555" t="n"/>
      <c r="W122" s="1554" t="n"/>
      <c r="X122" s="1555" t="n"/>
      <c r="Y122" s="1554" t="n"/>
      <c r="Z122" s="1694" t="n"/>
      <c r="AA122" s="1724" t="n"/>
      <c r="AB122" s="5308" t="n"/>
      <c r="AC122" s="5312" t="n"/>
      <c r="AD122" s="932">
        <f>CA122&amp;CB122</f>
        <v/>
      </c>
      <c r="AE122" s="622" t="n"/>
      <c r="AF122" s="622" t="n"/>
      <c r="AG122" s="622" t="n"/>
      <c r="AH122" s="622" t="n"/>
      <c r="AI122" s="622" t="n"/>
      <c r="AJ122" s="622" t="n"/>
      <c r="AK122" s="622" t="n"/>
      <c r="AL122" s="622" t="n"/>
      <c r="AM122" s="622" t="n"/>
      <c r="AN122" s="622" t="n"/>
      <c r="AO122" s="622" t="n"/>
      <c r="AP122" s="622" t="n"/>
      <c r="AQ122" s="622" t="n"/>
      <c r="AR122" s="622" t="n"/>
      <c r="AS122" s="622" t="n"/>
      <c r="AT122" s="622" t="n"/>
      <c r="AU122" s="622" t="n"/>
      <c r="AV122" s="622" t="n"/>
      <c r="AW122" s="622" t="n"/>
      <c r="AX122" s="622" t="n"/>
      <c r="AY122" s="622" t="n"/>
      <c r="CA122" s="240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/>
      </c>
      <c r="CL122" s="246">
        <f>IF(AND($C122&lt;&gt;0,AC122=""),1,IF(AC122&gt;$C122,1,0))</f>
        <v/>
      </c>
    </row>
    <row r="123" ht="15" customHeight="1" s="8286">
      <c r="A123" s="9614" t="n"/>
      <c r="B123" s="7468" t="inlineStr">
        <is>
          <t>Discapacidad Leve</t>
        </is>
      </c>
      <c r="C123" s="1644">
        <f>SUM(D123+E123)</f>
        <v/>
      </c>
      <c r="D123" s="1666">
        <f>SUM(F123+H123+J123+L123+N123+P123+R123+T123+V123+X123+Z123)</f>
        <v/>
      </c>
      <c r="E123" s="983">
        <f>SUM(G123+I123+K123+M123+O123+Q123+S123+U123+W123+Y123+AA123)</f>
        <v/>
      </c>
      <c r="F123" s="1539" t="n"/>
      <c r="G123" s="1544" t="n">
        <v>0</v>
      </c>
      <c r="H123" s="1539" t="n">
        <v>0</v>
      </c>
      <c r="I123" s="1540" t="n">
        <v>0</v>
      </c>
      <c r="J123" s="1539" t="n">
        <v>0</v>
      </c>
      <c r="K123" s="1540" t="n">
        <v>0</v>
      </c>
      <c r="L123" s="1726" t="n">
        <v>0</v>
      </c>
      <c r="M123" s="1540" t="n">
        <v>0</v>
      </c>
      <c r="N123" s="1539" t="n">
        <v>0</v>
      </c>
      <c r="O123" s="1540" t="n">
        <v>0</v>
      </c>
      <c r="P123" s="1539" t="n">
        <v>0</v>
      </c>
      <c r="Q123" s="1540" t="n">
        <v>1</v>
      </c>
      <c r="R123" s="1539" t="n">
        <v>0</v>
      </c>
      <c r="S123" s="1540" t="n">
        <v>0</v>
      </c>
      <c r="T123" s="1539" t="n">
        <v>0</v>
      </c>
      <c r="U123" s="1540" t="n">
        <v>2</v>
      </c>
      <c r="V123" s="1541" t="n">
        <v>0</v>
      </c>
      <c r="W123" s="1540" t="n">
        <v>0</v>
      </c>
      <c r="X123" s="1541" t="n">
        <v>0</v>
      </c>
      <c r="Y123" s="1540" t="n">
        <v>0</v>
      </c>
      <c r="Z123" s="1727" t="n">
        <v>0</v>
      </c>
      <c r="AA123" s="1728" t="n">
        <v>0</v>
      </c>
      <c r="AB123" s="5309" t="n">
        <v>0</v>
      </c>
      <c r="AC123" s="5313" t="n">
        <v>0</v>
      </c>
      <c r="AD123" s="932">
        <f>CA123&amp;CB123</f>
        <v/>
      </c>
      <c r="AE123" s="622" t="n"/>
      <c r="AF123" s="622" t="n"/>
      <c r="AG123" s="622" t="n"/>
      <c r="AH123" s="622" t="n"/>
      <c r="AI123" s="622" t="n"/>
      <c r="AJ123" s="622" t="n"/>
      <c r="AK123" s="622" t="n"/>
      <c r="AL123" s="622" t="n"/>
      <c r="AM123" s="622" t="n"/>
      <c r="AN123" s="622" t="n"/>
      <c r="AO123" s="622" t="n"/>
      <c r="AP123" s="622" t="n"/>
      <c r="AQ123" s="622" t="n"/>
      <c r="AR123" s="622" t="n"/>
      <c r="AS123" s="622" t="n"/>
      <c r="AT123" s="622" t="n"/>
      <c r="AU123" s="622" t="n"/>
      <c r="AV123" s="622" t="n"/>
      <c r="AW123" s="622" t="n"/>
      <c r="AX123" s="622" t="n"/>
      <c r="AY123" s="622" t="n"/>
      <c r="CA123" s="240">
        <f>IF(AND($C123&lt;&gt;0,AB123=""),"* No olvide ingresar la variable "&amp;AB$119&amp;""&amp;". Digite CERO si no tiene. ",IF(AB123&gt;$C123,"* La variable Pueblos Originarios no debe ser mayor al Total Ambos Sexos. ",""))</f>
        <v/>
      </c>
      <c r="CB123" s="240">
        <f>IF(AND($C123&lt;&gt;0,AC123=""),"* No olvide ingresar la variable "&amp;AC$119&amp;""&amp;". Digite CERO si no tiene. ",IF(AC123&gt;$C123,"* La variable Migrantes no debe ser mayor al Total Ambos Sexos. ",""))</f>
        <v/>
      </c>
      <c r="CK123" s="246">
        <f>IF(AND($C123&lt;&gt;0,AB123=""),1,IF(AB123&gt;$C123,1,0))</f>
        <v/>
      </c>
      <c r="CL123" s="246">
        <f>IF(AND($C123&lt;&gt;0,AC123=""),1,IF(AC123&gt;$C123,1,0))</f>
        <v/>
      </c>
    </row>
    <row r="124" ht="15" customHeight="1" s="8286">
      <c r="A124" s="9614" t="n"/>
      <c r="B124" s="7199" t="inlineStr">
        <is>
          <t>Discapacidad Moderada</t>
        </is>
      </c>
      <c r="C124" s="1644">
        <f>SUM(D124+E124)</f>
        <v/>
      </c>
      <c r="D124" s="1666">
        <f>SUM(F124+H124+J124+L124+N124+P124+R124+T124+V124+X124+Z124)</f>
        <v/>
      </c>
      <c r="E124" s="983">
        <f>SUM(G124+I124+K124+M124+O124+Q124+S124+U124+W124+Y124+AA124)</f>
        <v/>
      </c>
      <c r="F124" s="1539" t="n">
        <v>0</v>
      </c>
      <c r="G124" s="1544" t="n">
        <v>0</v>
      </c>
      <c r="H124" s="1539" t="n">
        <v>0</v>
      </c>
      <c r="I124" s="1540" t="n">
        <v>0</v>
      </c>
      <c r="J124" s="1539" t="n">
        <v>0</v>
      </c>
      <c r="K124" s="1540" t="n">
        <v>0</v>
      </c>
      <c r="L124" s="1726" t="n">
        <v>0</v>
      </c>
      <c r="M124" s="1540" t="n">
        <v>0</v>
      </c>
      <c r="N124" s="1539" t="n">
        <v>0</v>
      </c>
      <c r="O124" s="1540" t="n">
        <v>0</v>
      </c>
      <c r="P124" s="1539" t="n">
        <v>0</v>
      </c>
      <c r="Q124" s="1540" t="n">
        <v>0</v>
      </c>
      <c r="R124" s="1539" t="n">
        <v>0</v>
      </c>
      <c r="S124" s="1540" t="n">
        <v>0</v>
      </c>
      <c r="T124" s="1539" t="n">
        <v>0</v>
      </c>
      <c r="U124" s="1540" t="n">
        <v>2</v>
      </c>
      <c r="V124" s="1541" t="n">
        <v>1</v>
      </c>
      <c r="W124" s="1540" t="n">
        <v>0</v>
      </c>
      <c r="X124" s="1541" t="n">
        <v>0</v>
      </c>
      <c r="Y124" s="1540" t="n">
        <v>0</v>
      </c>
      <c r="Z124" s="1727" t="n">
        <v>0</v>
      </c>
      <c r="AA124" s="1728" t="n">
        <v>0</v>
      </c>
      <c r="AB124" s="5309" t="n">
        <v>0</v>
      </c>
      <c r="AC124" s="5313" t="n">
        <v>0</v>
      </c>
      <c r="AD124" s="932">
        <f>CA124&amp;CB124</f>
        <v/>
      </c>
      <c r="AE124" s="622" t="n"/>
      <c r="AF124" s="622" t="n"/>
      <c r="AG124" s="622" t="n"/>
      <c r="AH124" s="622" t="n"/>
      <c r="AI124" s="622" t="n"/>
      <c r="AJ124" s="622" t="n"/>
      <c r="AK124" s="622" t="n"/>
      <c r="AL124" s="622" t="n"/>
      <c r="AM124" s="622" t="n"/>
      <c r="AN124" s="622" t="n"/>
      <c r="AO124" s="622" t="n"/>
      <c r="AP124" s="622" t="n"/>
      <c r="AQ124" s="622" t="n"/>
      <c r="AR124" s="622" t="n"/>
      <c r="AS124" s="622" t="n"/>
      <c r="AT124" s="622" t="n"/>
      <c r="AU124" s="622" t="n"/>
      <c r="AV124" s="622" t="n"/>
      <c r="AW124" s="622" t="n"/>
      <c r="AX124" s="622" t="n"/>
      <c r="AY124" s="622" t="n"/>
      <c r="CA124" s="240">
        <f>IF(AND($C124&lt;&gt;0,AB124=""),"* No olvide ingresar la variable "&amp;AB$119&amp;""&amp;". Digite CERO si no tiene. ",IF(AB124&gt;$C124,"* La variable Pueblos Originarios no debe ser mayor al Total Ambos Sexos. ",""))</f>
        <v/>
      </c>
      <c r="CB124" s="240">
        <f>IF(AND($C124&lt;&gt;0,AC124=""),"* No olvide ingresar la variable "&amp;AC$119&amp;""&amp;". Digite CERO si no tiene. ",IF(AC124&gt;$C124,"* La variable Migrantes no debe ser mayor al Total Ambos Sexos. ",""))</f>
        <v/>
      </c>
      <c r="CK124" s="246">
        <f>IF(AND($C124&lt;&gt;0,AB124=""),1,IF(AB124&gt;$C124,1,0))</f>
        <v/>
      </c>
      <c r="CL124" s="246">
        <f>IF(AND($C124&lt;&gt;0,AC124=""),1,IF(AC124&gt;$C124,1,0))</f>
        <v/>
      </c>
    </row>
    <row r="125" ht="15" customHeight="1" s="8286">
      <c r="A125" s="9614" t="n"/>
      <c r="B125" s="7199" t="inlineStr">
        <is>
          <t>Discapacidad Severa</t>
        </is>
      </c>
      <c r="C125" s="1646">
        <f>SUM(D125+E125)</f>
        <v/>
      </c>
      <c r="D125" s="1730">
        <f>SUM(F125+H125+J125+L125+N125+P125+R125+T125+V125+X125+Z125)</f>
        <v/>
      </c>
      <c r="E125" s="1731">
        <f>SUM(G125+I125+K125+M125+O125+Q125+S125+U125+W125+Y125+AA125)</f>
        <v/>
      </c>
      <c r="F125" s="1539" t="n">
        <v>0</v>
      </c>
      <c r="G125" s="1544" t="n">
        <v>0</v>
      </c>
      <c r="H125" s="1539" t="n">
        <v>0</v>
      </c>
      <c r="I125" s="1540" t="n">
        <v>0</v>
      </c>
      <c r="J125" s="1539" t="n">
        <v>0</v>
      </c>
      <c r="K125" s="1540" t="n">
        <v>0</v>
      </c>
      <c r="L125" s="1726" t="n">
        <v>0</v>
      </c>
      <c r="M125" s="1540" t="n">
        <v>0</v>
      </c>
      <c r="N125" s="1539" t="n">
        <v>0</v>
      </c>
      <c r="O125" s="1540" t="n">
        <v>0</v>
      </c>
      <c r="P125" s="1539" t="n">
        <v>0</v>
      </c>
      <c r="Q125" s="1540" t="n">
        <v>0</v>
      </c>
      <c r="R125" s="1539" t="n">
        <v>0</v>
      </c>
      <c r="S125" s="1540" t="n">
        <v>0</v>
      </c>
      <c r="T125" s="1539" t="n">
        <v>1</v>
      </c>
      <c r="U125" s="1540" t="n">
        <v>1</v>
      </c>
      <c r="V125" s="1541" t="n">
        <v>0</v>
      </c>
      <c r="W125" s="1540" t="n">
        <v>1</v>
      </c>
      <c r="X125" s="1541" t="n">
        <v>0</v>
      </c>
      <c r="Y125" s="1540" t="n">
        <v>0</v>
      </c>
      <c r="Z125" s="1727" t="n">
        <v>0</v>
      </c>
      <c r="AA125" s="1728" t="n">
        <v>0</v>
      </c>
      <c r="AB125" s="5309" t="n">
        <v>0</v>
      </c>
      <c r="AC125" s="5313" t="n">
        <v>0</v>
      </c>
      <c r="AD125" s="932">
        <f>CA125&amp;CB125</f>
        <v/>
      </c>
      <c r="AE125" s="622" t="n"/>
      <c r="AF125" s="622" t="n"/>
      <c r="AG125" s="622" t="n"/>
      <c r="AH125" s="622" t="n"/>
      <c r="AI125" s="622" t="n"/>
      <c r="AJ125" s="622" t="n"/>
      <c r="AK125" s="622" t="n"/>
      <c r="AL125" s="622" t="n"/>
      <c r="AM125" s="622" t="n"/>
      <c r="AN125" s="622" t="n"/>
      <c r="AO125" s="622" t="n"/>
      <c r="AP125" s="622" t="n"/>
      <c r="AQ125" s="622" t="n"/>
      <c r="AR125" s="622" t="n"/>
      <c r="AS125" s="622" t="n"/>
      <c r="AT125" s="622" t="n"/>
      <c r="AU125" s="622" t="n"/>
      <c r="AV125" s="622" t="n"/>
      <c r="AW125" s="622" t="n"/>
      <c r="AX125" s="622" t="n"/>
      <c r="AY125" s="622" t="n"/>
      <c r="CA125" s="240">
        <f>IF(AND($C125&lt;&gt;0,AB125=""),"* No olvide ingresar la variable "&amp;AB$119&amp;""&amp;". Digite CERO si no tiene. ",IF(AB125&gt;$C125,"* La variable Pueblos Originarios no debe ser mayor al Total Ambos Sexos. ",""))</f>
        <v/>
      </c>
      <c r="CB125" s="240">
        <f>IF(AND($C125&lt;&gt;0,AC125=""),"* No olvide ingresar la variable "&amp;AC$119&amp;""&amp;". Digite CERO si no tiene. ",IF(AC125&gt;$C125,"* La variable Migrantes no debe ser mayor al Total Ambos Sexos. ",""))</f>
        <v/>
      </c>
      <c r="CK125" s="246">
        <f>IF(AND($C125&lt;&gt;0,AB125=""),1,IF(AB125&gt;$C125,1,0))</f>
        <v/>
      </c>
      <c r="CL125" s="246">
        <f>IF(AND($C125&lt;&gt;0,AC125=""),1,IF(AC125&gt;$C125,1,0))</f>
        <v/>
      </c>
    </row>
    <row r="126" ht="15" customHeight="1" s="8286">
      <c r="A126" s="9741" t="n"/>
      <c r="B126" s="7469" t="inlineStr">
        <is>
          <t>Discapacidad Profunda</t>
        </is>
      </c>
      <c r="C126" s="1648">
        <f>SUM(D126+E126)</f>
        <v/>
      </c>
      <c r="D126" s="1671">
        <f>SUM(F126+H126+J126+L126+N126+P126+R126+T126+V126+X126+Z126)</f>
        <v/>
      </c>
      <c r="E126" s="1732">
        <f>SUM(G126+I126+K126+M126+O126+Q126+S126+U126+W126+Y126+AA126)</f>
        <v/>
      </c>
      <c r="F126" s="1519" t="n"/>
      <c r="G126" s="1520" t="n"/>
      <c r="H126" s="1519" t="n"/>
      <c r="I126" s="1550" t="n"/>
      <c r="J126" s="1519" t="n"/>
      <c r="K126" s="1550" t="n"/>
      <c r="L126" s="1733" t="n"/>
      <c r="M126" s="1550" t="n"/>
      <c r="N126" s="1519" t="n"/>
      <c r="O126" s="1550" t="n"/>
      <c r="P126" s="1519" t="n"/>
      <c r="Q126" s="1550" t="n"/>
      <c r="R126" s="1519" t="n"/>
      <c r="S126" s="1550" t="n"/>
      <c r="T126" s="1519" t="n"/>
      <c r="U126" s="1550" t="n"/>
      <c r="V126" s="1551" t="n"/>
      <c r="W126" s="1550" t="n"/>
      <c r="X126" s="1551" t="n"/>
      <c r="Y126" s="1550" t="n"/>
      <c r="Z126" s="1734" t="n"/>
      <c r="AA126" s="1735" t="n"/>
      <c r="AB126" s="1734" t="n"/>
      <c r="AC126" s="5314" t="n"/>
      <c r="AD126" s="932">
        <f>CA126&amp;CB126</f>
        <v/>
      </c>
      <c r="AE126" s="622" t="n"/>
      <c r="AF126" s="622" t="n"/>
      <c r="AG126" s="622" t="n"/>
      <c r="AH126" s="622" t="n"/>
      <c r="AI126" s="622" t="n"/>
      <c r="AJ126" s="622" t="n"/>
      <c r="AK126" s="622" t="n"/>
      <c r="AL126" s="622" t="n"/>
      <c r="AM126" s="622" t="n"/>
      <c r="AN126" s="622" t="n"/>
      <c r="AO126" s="622" t="n"/>
      <c r="AP126" s="622" t="n"/>
      <c r="AQ126" s="622" t="n"/>
      <c r="AR126" s="622" t="n"/>
      <c r="AS126" s="622" t="n"/>
      <c r="AT126" s="622" t="n"/>
      <c r="AU126" s="622" t="n"/>
      <c r="AV126" s="622" t="n"/>
      <c r="AW126" s="622" t="n"/>
      <c r="AX126" s="622" t="n"/>
      <c r="AY126" s="622" t="n"/>
      <c r="CA126" s="240">
        <f>IF(AND($C126&lt;&gt;0,AB126=""),"* No olvide ingresar la variable "&amp;AB$119&amp;""&amp;". Digite CERO si no tiene. ",IF(AB126&gt;$C126,"* La variable Pueblos Originarios no debe ser mayor al Total Ambos Sexos. ",""))</f>
        <v/>
      </c>
      <c r="CB126" s="240">
        <f>IF(AND($C126&lt;&gt;0,AC126=""),"* No olvide ingresar la variable "&amp;AC$119&amp;""&amp;". Digite CERO si no tiene. ",IF(AC126&gt;$C126,"* La variable Migrantes no debe ser mayor al Total Ambos Sexos. ",""))</f>
        <v/>
      </c>
      <c r="CK126" s="246">
        <f>IF(AND($C126&lt;&gt;0,AB126=""),1,IF(AB126&gt;$C126,1,0))</f>
        <v/>
      </c>
      <c r="CL126" s="246">
        <f>IF(AND($C126&lt;&gt;0,AC126=""),1,IF(AC126&gt;$C126,1,0))</f>
        <v/>
      </c>
    </row>
    <row r="127" ht="15" customHeight="1" s="8286">
      <c r="A127" s="9642" t="inlineStr">
        <is>
          <t>Origen sensorial visual</t>
        </is>
      </c>
      <c r="B127" s="7198" t="inlineStr">
        <is>
          <t>Sin Discapacidad</t>
        </is>
      </c>
      <c r="C127" s="1721">
        <f>SUM(D127+E127)</f>
        <v/>
      </c>
      <c r="D127" s="1664">
        <f>SUM(F127+H127+J127+L127+N127+P127+R127+T127+V127+X127+Z127)</f>
        <v/>
      </c>
      <c r="E127" s="1722">
        <f>SUM(G127+I127+K127+M127+O127+Q127+S127+U127+W127+Y127+AA127)</f>
        <v/>
      </c>
      <c r="F127" s="1511" t="n"/>
      <c r="G127" s="1512" t="n"/>
      <c r="H127" s="1511" t="n"/>
      <c r="I127" s="1554" t="n"/>
      <c r="J127" s="1511" t="n"/>
      <c r="K127" s="1554" t="n"/>
      <c r="L127" s="1723" t="n"/>
      <c r="M127" s="1554" t="n"/>
      <c r="N127" s="1511" t="n"/>
      <c r="O127" s="1554" t="n"/>
      <c r="P127" s="1511" t="n"/>
      <c r="Q127" s="1554" t="n"/>
      <c r="R127" s="1511" t="n"/>
      <c r="S127" s="1554" t="n"/>
      <c r="T127" s="1511" t="n"/>
      <c r="U127" s="1554" t="n"/>
      <c r="V127" s="1555" t="n"/>
      <c r="W127" s="1554" t="n"/>
      <c r="X127" s="1555" t="n"/>
      <c r="Y127" s="1554" t="n"/>
      <c r="Z127" s="1694" t="n"/>
      <c r="AA127" s="1724" t="n"/>
      <c r="AB127" s="5308" t="n"/>
      <c r="AC127" s="5312" t="n"/>
      <c r="AD127" s="932">
        <f>CA127&amp;CB127</f>
        <v/>
      </c>
      <c r="AE127" s="622" t="n"/>
      <c r="AF127" s="622" t="n"/>
      <c r="AG127" s="622" t="n"/>
      <c r="AH127" s="622" t="n"/>
      <c r="AI127" s="622" t="n"/>
      <c r="AJ127" s="622" t="n"/>
      <c r="AK127" s="622" t="n"/>
      <c r="AL127" s="622" t="n"/>
      <c r="AM127" s="622" t="n"/>
      <c r="AN127" s="622" t="n"/>
      <c r="AO127" s="622" t="n"/>
      <c r="AP127" s="622" t="n"/>
      <c r="AQ127" s="622" t="n"/>
      <c r="AR127" s="622" t="n"/>
      <c r="AS127" s="622" t="n"/>
      <c r="AT127" s="622" t="n"/>
      <c r="AU127" s="622" t="n"/>
      <c r="AV127" s="622" t="n"/>
      <c r="AW127" s="622" t="n"/>
      <c r="AX127" s="622" t="n"/>
      <c r="AY127" s="622" t="n"/>
      <c r="CA127" s="240">
        <f>IF(AND($C127&lt;&gt;0,AB127=""),"* No olvide ingresar la variable "&amp;AB$119&amp;""&amp;". Digite CERO si no tiene. ",IF(AB127&gt;$C127,"* La variable Pueblos Originarios no debe ser mayor al Total Ambos Sexos. ",""))</f>
        <v/>
      </c>
      <c r="CB127" s="240">
        <f>IF(AND($C127&lt;&gt;0,AC127=""),"* No olvide ingresar la variable "&amp;AC$119&amp;""&amp;". Digite CERO si no tiene. ",IF(AC127&gt;$C127,"* La variable Migrantes no debe ser mayor al Total Ambos Sexos. ",""))</f>
        <v/>
      </c>
      <c r="CK127" s="246">
        <f>IF(AND($C127&lt;&gt;0,AB127=""),1,IF(AB127&gt;$C127,1,0))</f>
        <v/>
      </c>
      <c r="CL127" s="246">
        <f>IF(AND($C127&lt;&gt;0,AC127=""),1,IF(AC127&gt;$C127,1,0))</f>
        <v/>
      </c>
    </row>
    <row r="128" ht="15" customHeight="1" s="8286">
      <c r="A128" s="9614" t="n"/>
      <c r="B128" s="7468" t="inlineStr">
        <is>
          <t>Discapacidad Leve</t>
        </is>
      </c>
      <c r="C128" s="1644">
        <f>SUM(D128+E128)</f>
        <v/>
      </c>
      <c r="D128" s="1666">
        <f>SUM(F128+H128+J128+L128+N128+P128+R128+T128+V128+X128+Z128)</f>
        <v/>
      </c>
      <c r="E128" s="983">
        <f>SUM(G128+I128+K128+M128+O128+Q128+S128+U128+W128+Y128+AA128)</f>
        <v/>
      </c>
      <c r="F128" s="1539" t="n">
        <v>0</v>
      </c>
      <c r="G128" s="1544" t="n">
        <v>0</v>
      </c>
      <c r="H128" s="1539" t="n">
        <v>0</v>
      </c>
      <c r="I128" s="1540" t="n">
        <v>0</v>
      </c>
      <c r="J128" s="1539" t="n">
        <v>0</v>
      </c>
      <c r="K128" s="1540" t="n">
        <v>0</v>
      </c>
      <c r="L128" s="1726" t="n">
        <v>0</v>
      </c>
      <c r="M128" s="1540" t="n">
        <v>0</v>
      </c>
      <c r="N128" s="1539" t="n">
        <v>1</v>
      </c>
      <c r="O128" s="1540" t="n">
        <v>0</v>
      </c>
      <c r="P128" s="1539" t="n">
        <v>0</v>
      </c>
      <c r="Q128" s="1540" t="n">
        <v>0</v>
      </c>
      <c r="R128" s="1539" t="n">
        <v>0</v>
      </c>
      <c r="S128" s="1540" t="n">
        <v>0</v>
      </c>
      <c r="T128" s="1539" t="n">
        <v>0</v>
      </c>
      <c r="U128" s="1540" t="n">
        <v>0</v>
      </c>
      <c r="V128" s="1541" t="n">
        <v>0</v>
      </c>
      <c r="W128" s="1540" t="n">
        <v>0</v>
      </c>
      <c r="X128" s="1541" t="n">
        <v>0</v>
      </c>
      <c r="Y128" s="1540" t="n">
        <v>0</v>
      </c>
      <c r="Z128" s="1727" t="n">
        <v>0</v>
      </c>
      <c r="AA128" s="1728" t="n">
        <v>0</v>
      </c>
      <c r="AB128" s="5309" t="n">
        <v>0</v>
      </c>
      <c r="AC128" s="5313" t="n">
        <v>0</v>
      </c>
      <c r="AD128" s="932">
        <f>CA128&amp;CB128</f>
        <v/>
      </c>
      <c r="AE128" s="622" t="n"/>
      <c r="AF128" s="622" t="n"/>
      <c r="AG128" s="622" t="n"/>
      <c r="AH128" s="622" t="n"/>
      <c r="AI128" s="622" t="n"/>
      <c r="AJ128" s="622" t="n"/>
      <c r="AK128" s="622" t="n"/>
      <c r="AL128" s="622" t="n"/>
      <c r="AM128" s="622" t="n"/>
      <c r="AN128" s="622" t="n"/>
      <c r="AO128" s="622" t="n"/>
      <c r="AP128" s="622" t="n"/>
      <c r="AQ128" s="622" t="n"/>
      <c r="AR128" s="622" t="n"/>
      <c r="AS128" s="622" t="n"/>
      <c r="AT128" s="622" t="n"/>
      <c r="AU128" s="622" t="n"/>
      <c r="AV128" s="622" t="n"/>
      <c r="AW128" s="622" t="n"/>
      <c r="AX128" s="622" t="n"/>
      <c r="AY128" s="622" t="n"/>
      <c r="CA128" s="240">
        <f>IF(AND($C128&lt;&gt;0,AB128=""),"* No olvide ingresar la variable "&amp;AB$119&amp;""&amp;". Digite CERO si no tiene. ",IF(AB128&gt;$C128,"* La variable Pueblos Originarios no debe ser mayor al Total Ambos Sexos. ",""))</f>
        <v/>
      </c>
      <c r="CB128" s="240">
        <f>IF(AND($C128&lt;&gt;0,AC128=""),"* No olvide ingresar la variable "&amp;AC$119&amp;""&amp;". Digite CERO si no tiene. ",IF(AC128&gt;$C128,"* La variable Migrantes no debe ser mayor al Total Ambos Sexos. ",""))</f>
        <v/>
      </c>
      <c r="CK128" s="246">
        <f>IF(AND($C128&lt;&gt;0,AB128=""),1,IF(AB128&gt;$C128,1,0))</f>
        <v/>
      </c>
      <c r="CL128" s="246">
        <f>IF(AND($C128&lt;&gt;0,AC128=""),1,IF(AC128&gt;$C128,1,0))</f>
        <v/>
      </c>
    </row>
    <row r="129" ht="15" customHeight="1" s="8286">
      <c r="A129" s="9614" t="n"/>
      <c r="B129" s="7199" t="inlineStr">
        <is>
          <t>Discapacidad Moderada</t>
        </is>
      </c>
      <c r="C129" s="1644">
        <f>SUM(D129+E129)</f>
        <v/>
      </c>
      <c r="D129" s="1666">
        <f>SUM(F129+H129+J129+L129+N129+P129+R129+T129+V129+X129+Z129)</f>
        <v/>
      </c>
      <c r="E129" s="983">
        <f>SUM(G129+I129+K129+M129+O129+Q129+S129+U129+W129+Y129+AA129)</f>
        <v/>
      </c>
      <c r="F129" s="1539" t="n">
        <v>0</v>
      </c>
      <c r="G129" s="1544" t="n">
        <v>0</v>
      </c>
      <c r="H129" s="1539" t="n">
        <v>0</v>
      </c>
      <c r="I129" s="1540" t="n">
        <v>0</v>
      </c>
      <c r="J129" s="1539" t="n">
        <v>0</v>
      </c>
      <c r="K129" s="1540" t="n">
        <v>0</v>
      </c>
      <c r="L129" s="1726" t="n">
        <v>0</v>
      </c>
      <c r="M129" s="1540" t="n">
        <v>0</v>
      </c>
      <c r="N129" s="1539" t="n">
        <v>0</v>
      </c>
      <c r="O129" s="1540" t="n">
        <v>0</v>
      </c>
      <c r="P129" s="1539" t="n">
        <v>1</v>
      </c>
      <c r="Q129" s="1540" t="n">
        <v>0</v>
      </c>
      <c r="R129" s="1539" t="n">
        <v>0</v>
      </c>
      <c r="S129" s="1540" t="n">
        <v>0</v>
      </c>
      <c r="T129" s="1539" t="n">
        <v>0</v>
      </c>
      <c r="U129" s="1540" t="n">
        <v>0</v>
      </c>
      <c r="V129" s="1541" t="n">
        <v>0</v>
      </c>
      <c r="W129" s="1540" t="n">
        <v>0</v>
      </c>
      <c r="X129" s="1541" t="n">
        <v>0</v>
      </c>
      <c r="Y129" s="1540" t="n">
        <v>0</v>
      </c>
      <c r="Z129" s="1727" t="n">
        <v>0</v>
      </c>
      <c r="AA129" s="1728" t="n">
        <v>0</v>
      </c>
      <c r="AB129" s="5309" t="n">
        <v>0</v>
      </c>
      <c r="AC129" s="5313" t="n">
        <v>0</v>
      </c>
      <c r="AD129" s="932">
        <f>CA129&amp;CB129</f>
        <v/>
      </c>
      <c r="AE129" s="622" t="n"/>
      <c r="AF129" s="622" t="n"/>
      <c r="AG129" s="622" t="n"/>
      <c r="AH129" s="622" t="n"/>
      <c r="AI129" s="622" t="n"/>
      <c r="AJ129" s="622" t="n"/>
      <c r="AK129" s="622" t="n"/>
      <c r="AL129" s="622" t="n"/>
      <c r="AM129" s="622" t="n"/>
      <c r="AN129" s="622" t="n"/>
      <c r="AO129" s="622" t="n"/>
      <c r="AP129" s="622" t="n"/>
      <c r="AQ129" s="622" t="n"/>
      <c r="AR129" s="622" t="n"/>
      <c r="AS129" s="622" t="n"/>
      <c r="AT129" s="622" t="n"/>
      <c r="AU129" s="622" t="n"/>
      <c r="AV129" s="622" t="n"/>
      <c r="AW129" s="622" t="n"/>
      <c r="AX129" s="622" t="n"/>
      <c r="AY129" s="622" t="n"/>
      <c r="CA129" s="240">
        <f>IF(AND($C129&lt;&gt;0,AB129=""),"* No olvide ingresar la variable "&amp;AB$119&amp;""&amp;". Digite CERO si no tiene. ",IF(AB129&gt;$C129,"* La variable Pueblos Originarios no debe ser mayor al Total Ambos Sexos. ",""))</f>
        <v/>
      </c>
      <c r="CB129" s="240">
        <f>IF(AND($C129&lt;&gt;0,AC129=""),"* No olvide ingresar la variable "&amp;AC$119&amp;""&amp;". Digite CERO si no tiene. ",IF(AC129&gt;$C129,"* La variable Migrantes no debe ser mayor al Total Ambos Sexos. ",""))</f>
        <v/>
      </c>
      <c r="CK129" s="246">
        <f>IF(AND($C129&lt;&gt;0,AB129=""),1,IF(AB129&gt;$C129,1,0))</f>
        <v/>
      </c>
      <c r="CL129" s="246">
        <f>IF(AND($C129&lt;&gt;0,AC129=""),1,IF(AC129&gt;$C129,1,0))</f>
        <v/>
      </c>
    </row>
    <row r="130" ht="15" customHeight="1" s="8286">
      <c r="A130" s="9614" t="n"/>
      <c r="B130" s="7199" t="inlineStr">
        <is>
          <t>Discapacidad Severa</t>
        </is>
      </c>
      <c r="C130" s="1646">
        <f>SUM(D130+E130)</f>
        <v/>
      </c>
      <c r="D130" s="1730">
        <f>SUM(F130+H130+J130+L130+N130+P130+R130+T130+V130+X130+Z130)</f>
        <v/>
      </c>
      <c r="E130" s="1731">
        <f>SUM(G130+I130+K130+M130+O130+Q130+S130+U130+W130+Y130+AA130)</f>
        <v/>
      </c>
      <c r="F130" s="1539" t="n">
        <v>0</v>
      </c>
      <c r="G130" s="1544" t="n">
        <v>0</v>
      </c>
      <c r="H130" s="1539" t="n">
        <v>0</v>
      </c>
      <c r="I130" s="1540" t="n">
        <v>0</v>
      </c>
      <c r="J130" s="1539" t="n">
        <v>0</v>
      </c>
      <c r="K130" s="1540" t="n">
        <v>0</v>
      </c>
      <c r="L130" s="1726" t="n">
        <v>1</v>
      </c>
      <c r="M130" s="1540" t="n">
        <v>0</v>
      </c>
      <c r="N130" s="1539" t="n">
        <v>0</v>
      </c>
      <c r="O130" s="1540" t="n">
        <v>0</v>
      </c>
      <c r="P130" s="1539" t="n">
        <v>0</v>
      </c>
      <c r="Q130" s="1540" t="n">
        <v>0</v>
      </c>
      <c r="R130" s="1539" t="n">
        <v>0</v>
      </c>
      <c r="S130" s="1540" t="n">
        <v>0</v>
      </c>
      <c r="T130" s="1539" t="n">
        <v>0</v>
      </c>
      <c r="U130" s="1540" t="n">
        <v>0</v>
      </c>
      <c r="V130" s="1541" t="n">
        <v>0</v>
      </c>
      <c r="W130" s="1540" t="n">
        <v>0</v>
      </c>
      <c r="X130" s="1541" t="n">
        <v>0</v>
      </c>
      <c r="Y130" s="1540" t="n">
        <v>0</v>
      </c>
      <c r="Z130" s="1727" t="n">
        <v>0</v>
      </c>
      <c r="AA130" s="1728" t="n">
        <v>0</v>
      </c>
      <c r="AB130" s="5309" t="n">
        <v>0</v>
      </c>
      <c r="AC130" s="5313" t="n">
        <v>0</v>
      </c>
      <c r="AD130" s="932">
        <f>CA130&amp;CB130</f>
        <v/>
      </c>
      <c r="AE130" s="622" t="n"/>
      <c r="AF130" s="622" t="n"/>
      <c r="AG130" s="622" t="n"/>
      <c r="AH130" s="622" t="n"/>
      <c r="AI130" s="622" t="n"/>
      <c r="AJ130" s="622" t="n"/>
      <c r="AK130" s="622" t="n"/>
      <c r="AL130" s="622" t="n"/>
      <c r="AM130" s="622" t="n"/>
      <c r="AN130" s="622" t="n"/>
      <c r="AO130" s="622" t="n"/>
      <c r="AP130" s="622" t="n"/>
      <c r="AQ130" s="622" t="n"/>
      <c r="AR130" s="622" t="n"/>
      <c r="AS130" s="622" t="n"/>
      <c r="AT130" s="622" t="n"/>
      <c r="AU130" s="622" t="n"/>
      <c r="AV130" s="622" t="n"/>
      <c r="AW130" s="622" t="n"/>
      <c r="AX130" s="622" t="n"/>
      <c r="AY130" s="622" t="n"/>
      <c r="CA130" s="240">
        <f>IF(AND($C130&lt;&gt;0,AB130=""),"* No olvide ingresar la variable "&amp;AB$119&amp;""&amp;". Digite CERO si no tiene. ",IF(AB130&gt;$C130,"* La variable Pueblos Originarios no debe ser mayor al Total Ambos Sexos. ",""))</f>
        <v/>
      </c>
      <c r="CB130" s="240">
        <f>IF(AND($C130&lt;&gt;0,AC130=""),"* No olvide ingresar la variable "&amp;AC$119&amp;""&amp;". Digite CERO si no tiene. ",IF(AC130&gt;$C130,"* La variable Migrantes no debe ser mayor al Total Ambos Sexos. ",""))</f>
        <v/>
      </c>
      <c r="CK130" s="246">
        <f>IF(AND($C130&lt;&gt;0,AB130=""),1,IF(AB130&gt;$C130,1,0))</f>
        <v/>
      </c>
      <c r="CL130" s="246">
        <f>IF(AND($C130&lt;&gt;0,AC130=""),1,IF(AC130&gt;$C130,1,0))</f>
        <v/>
      </c>
    </row>
    <row r="131" ht="15" customHeight="1" s="8286">
      <c r="A131" s="9741" t="n"/>
      <c r="B131" s="7469" t="inlineStr">
        <is>
          <t>Discapacidad Profunda</t>
        </is>
      </c>
      <c r="C131" s="1648">
        <f>SUM(D131+E131)</f>
        <v/>
      </c>
      <c r="D131" s="1671">
        <f>SUM(F131+H131+J131+L131+N131+P131+R131+T131+V131+X131+Z131)</f>
        <v/>
      </c>
      <c r="E131" s="1732">
        <f>SUM(G131+I131+K131+M131+O131+Q131+S131+U131+W131+Y131+AA131)</f>
        <v/>
      </c>
      <c r="F131" s="1519" t="n"/>
      <c r="G131" s="1520" t="n"/>
      <c r="H131" s="1519" t="n"/>
      <c r="I131" s="1550" t="n"/>
      <c r="J131" s="1519" t="n"/>
      <c r="K131" s="1550" t="n"/>
      <c r="L131" s="1733" t="n"/>
      <c r="M131" s="1550" t="n"/>
      <c r="N131" s="1519" t="n"/>
      <c r="O131" s="1550" t="n"/>
      <c r="P131" s="1519" t="n"/>
      <c r="Q131" s="1550" t="n"/>
      <c r="R131" s="1519" t="n"/>
      <c r="S131" s="1550" t="n"/>
      <c r="T131" s="1519" t="n"/>
      <c r="U131" s="1550" t="n"/>
      <c r="V131" s="1551" t="n"/>
      <c r="W131" s="1550" t="n"/>
      <c r="X131" s="1551" t="n"/>
      <c r="Y131" s="1550" t="n"/>
      <c r="Z131" s="1734" t="n"/>
      <c r="AA131" s="1735" t="n"/>
      <c r="AB131" s="1734" t="n"/>
      <c r="AC131" s="5314" t="n"/>
      <c r="AD131" s="932">
        <f>CA131&amp;CB131</f>
        <v/>
      </c>
      <c r="AE131" s="622" t="n"/>
      <c r="AF131" s="622" t="n"/>
      <c r="AG131" s="622" t="n"/>
      <c r="AH131" s="622" t="n"/>
      <c r="AI131" s="622" t="n"/>
      <c r="AJ131" s="622" t="n"/>
      <c r="AK131" s="622" t="n"/>
      <c r="AL131" s="622" t="n"/>
      <c r="AM131" s="622" t="n"/>
      <c r="AN131" s="622" t="n"/>
      <c r="AO131" s="622" t="n"/>
      <c r="AP131" s="622" t="n"/>
      <c r="AQ131" s="622" t="n"/>
      <c r="AR131" s="622" t="n"/>
      <c r="AS131" s="622" t="n"/>
      <c r="AT131" s="622" t="n"/>
      <c r="AU131" s="622" t="n"/>
      <c r="AV131" s="622" t="n"/>
      <c r="AW131" s="622" t="n"/>
      <c r="AX131" s="622" t="n"/>
      <c r="AY131" s="622" t="n"/>
      <c r="CA131" s="240">
        <f>IF(AND($C131&lt;&gt;0,AB131=""),"* No olvide ingresar la variable "&amp;AB$119&amp;""&amp;". Digite CERO si no tiene. ",IF(AB131&gt;$C131,"* La variable Pueblos Originarios no debe ser mayor al Total Ambos Sexos. ",""))</f>
        <v/>
      </c>
      <c r="CB131" s="240">
        <f>IF(AND($C131&lt;&gt;0,AC131=""),"* No olvide ingresar la variable "&amp;AC$119&amp;""&amp;". Digite CERO si no tiene. ",IF(AC131&gt;$C131,"* La variable Migrantes no debe ser mayor al Total Ambos Sexos. ",""))</f>
        <v/>
      </c>
      <c r="CK131" s="246">
        <f>IF(AND($C131&lt;&gt;0,AB131=""),1,IF(AB131&gt;$C131,1,0))</f>
        <v/>
      </c>
      <c r="CL131" s="246">
        <f>IF(AND($C131&lt;&gt;0,AC131=""),1,IF(AC131&gt;$C131,1,0))</f>
        <v/>
      </c>
    </row>
    <row r="132" ht="15" customHeight="1" s="8286">
      <c r="A132" s="9612" t="inlineStr">
        <is>
          <t>Origen sensorial auditivo</t>
        </is>
      </c>
      <c r="B132" s="7198" t="inlineStr">
        <is>
          <t>Sin Discapacidad</t>
        </is>
      </c>
      <c r="C132" s="1721">
        <f>SUM(D132+E132)</f>
        <v/>
      </c>
      <c r="D132" s="1664">
        <f>SUM(F132+H132+J132+L132+N132+P132+R132+T132+V132+X132+Z132)</f>
        <v/>
      </c>
      <c r="E132" s="1722">
        <f>SUM(G132+I132+K132+M132+O132+Q132+S132+U132+W132+Y132+AA132)</f>
        <v/>
      </c>
      <c r="F132" s="1511" t="n"/>
      <c r="G132" s="1512" t="n"/>
      <c r="H132" s="1511" t="n"/>
      <c r="I132" s="1554" t="n"/>
      <c r="J132" s="1511" t="n"/>
      <c r="K132" s="1554" t="n"/>
      <c r="L132" s="1723" t="n"/>
      <c r="M132" s="1554" t="n"/>
      <c r="N132" s="1511" t="n"/>
      <c r="O132" s="1554" t="n"/>
      <c r="P132" s="1511" t="n"/>
      <c r="Q132" s="1554" t="n"/>
      <c r="R132" s="1511" t="n"/>
      <c r="S132" s="1554" t="n"/>
      <c r="T132" s="1511" t="n"/>
      <c r="U132" s="1554" t="n"/>
      <c r="V132" s="1555" t="n"/>
      <c r="W132" s="1554" t="n"/>
      <c r="X132" s="1555" t="n"/>
      <c r="Y132" s="1554" t="n"/>
      <c r="Z132" s="1694" t="n"/>
      <c r="AA132" s="1724" t="n"/>
      <c r="AB132" s="5308" t="n"/>
      <c r="AC132" s="5312" t="n"/>
      <c r="AD132" s="932">
        <f>CA132&amp;CB132</f>
        <v/>
      </c>
      <c r="AE132" s="622" t="n"/>
      <c r="AF132" s="622" t="n"/>
      <c r="AG132" s="622" t="n"/>
      <c r="AH132" s="622" t="n"/>
      <c r="AI132" s="622" t="n"/>
      <c r="AJ132" s="622" t="n"/>
      <c r="AK132" s="622" t="n"/>
      <c r="AL132" s="622" t="n"/>
      <c r="AM132" s="622" t="n"/>
      <c r="AN132" s="622" t="n"/>
      <c r="AO132" s="622" t="n"/>
      <c r="AP132" s="622" t="n"/>
      <c r="AQ132" s="622" t="n"/>
      <c r="AR132" s="622" t="n"/>
      <c r="AS132" s="622" t="n"/>
      <c r="AT132" s="622" t="n"/>
      <c r="AU132" s="622" t="n"/>
      <c r="AV132" s="622" t="n"/>
      <c r="AW132" s="622" t="n"/>
      <c r="AX132" s="622" t="n"/>
      <c r="AY132" s="622" t="n"/>
      <c r="CA132" s="240">
        <f>IF(AND($C132&lt;&gt;0,AB132=""),"* No olvide ingresar la variable "&amp;AB$119&amp;""&amp;". Digite CERO si no tiene. ",IF(AB132&gt;$C132,"* La variable Pueblos Originarios no debe ser mayor al Total Ambos Sexos. ",""))</f>
        <v/>
      </c>
      <c r="CB132" s="240">
        <f>IF(AND($C132&lt;&gt;0,AC132=""),"* No olvide ingresar la variable "&amp;AC$119&amp;""&amp;". Digite CERO si no tiene. ",IF(AC132&gt;$C132,"* La variable Migrantes no debe ser mayor al Total Ambos Sexos. ",""))</f>
        <v/>
      </c>
      <c r="CK132" s="246">
        <f>IF(AND($C132&lt;&gt;0,AB132=""),1,IF(AB132&gt;$C132,1,0))</f>
        <v/>
      </c>
      <c r="CL132" s="246">
        <f>IF(AND($C132&lt;&gt;0,AC132=""),1,IF(AC132&gt;$C132,1,0))</f>
        <v/>
      </c>
    </row>
    <row r="133" ht="15" customHeight="1" s="8286">
      <c r="A133" s="9588" t="n"/>
      <c r="B133" s="7468" t="inlineStr">
        <is>
          <t>Discapacidad Leve</t>
        </is>
      </c>
      <c r="C133" s="1644">
        <f>SUM(D133+E133)</f>
        <v/>
      </c>
      <c r="D133" s="1666">
        <f>SUM(F133+H133+J133+L133+N133+P133+R133+T133+V133+X133+Z133)</f>
        <v/>
      </c>
      <c r="E133" s="983">
        <f>SUM(G133+I133+K133+M133+O133+Q133+S133+U133+W133+Y133+AA133)</f>
        <v/>
      </c>
      <c r="F133" s="1539" t="n"/>
      <c r="G133" s="1544" t="n"/>
      <c r="H133" s="1539" t="n"/>
      <c r="I133" s="1540" t="n"/>
      <c r="J133" s="1539" t="n"/>
      <c r="K133" s="1540" t="n"/>
      <c r="L133" s="1726" t="n"/>
      <c r="M133" s="1540" t="n"/>
      <c r="N133" s="1539" t="n"/>
      <c r="O133" s="1540" t="n"/>
      <c r="P133" s="1539" t="n"/>
      <c r="Q133" s="1540" t="n"/>
      <c r="R133" s="1539" t="n"/>
      <c r="S133" s="1540" t="n"/>
      <c r="T133" s="1539" t="n"/>
      <c r="U133" s="1540" t="n"/>
      <c r="V133" s="1541" t="n"/>
      <c r="W133" s="1540" t="n"/>
      <c r="X133" s="1541" t="n"/>
      <c r="Y133" s="1540" t="n"/>
      <c r="Z133" s="1727" t="n"/>
      <c r="AA133" s="1728" t="n"/>
      <c r="AB133" s="5309" t="n"/>
      <c r="AC133" s="5313" t="n"/>
      <c r="AD133" s="932">
        <f>CA133&amp;CB133</f>
        <v/>
      </c>
      <c r="AE133" s="622" t="n"/>
      <c r="AF133" s="622" t="n"/>
      <c r="AG133" s="622" t="n"/>
      <c r="AH133" s="622" t="n"/>
      <c r="AI133" s="622" t="n"/>
      <c r="AJ133" s="622" t="n"/>
      <c r="AK133" s="622" t="n"/>
      <c r="AL133" s="622" t="n"/>
      <c r="AM133" s="622" t="n"/>
      <c r="AN133" s="622" t="n"/>
      <c r="AO133" s="622" t="n"/>
      <c r="AP133" s="622" t="n"/>
      <c r="AQ133" s="622" t="n"/>
      <c r="AR133" s="622" t="n"/>
      <c r="AS133" s="622" t="n"/>
      <c r="AT133" s="622" t="n"/>
      <c r="AU133" s="622" t="n"/>
      <c r="AV133" s="622" t="n"/>
      <c r="AW133" s="622" t="n"/>
      <c r="AX133" s="622" t="n"/>
      <c r="AY133" s="622" t="n"/>
      <c r="CA133" s="240">
        <f>IF(AND($C133&lt;&gt;0,AB133=""),"* No olvide ingresar la variable "&amp;AB$119&amp;""&amp;". Digite CERO si no tiene. ",IF(AB133&gt;$C133,"* La variable Pueblos Originarios no debe ser mayor al Total Ambos Sexos. ",""))</f>
        <v/>
      </c>
      <c r="CB133" s="240">
        <f>IF(AND($C133&lt;&gt;0,AC133=""),"* No olvide ingresar la variable "&amp;AC$119&amp;""&amp;". Digite CERO si no tiene. ",IF(AC133&gt;$C133,"* La variable Migrantes no debe ser mayor al Total Ambos Sexos. ",""))</f>
        <v/>
      </c>
      <c r="CK133" s="246">
        <f>IF(AND($C133&lt;&gt;0,AB133=""),1,IF(AB133&gt;$C133,1,0))</f>
        <v/>
      </c>
      <c r="CL133" s="246">
        <f>IF(AND($C133&lt;&gt;0,AC133=""),1,IF(AC133&gt;$C133,1,0))</f>
        <v/>
      </c>
    </row>
    <row r="134" ht="15" customHeight="1" s="8286">
      <c r="A134" s="9588" t="n"/>
      <c r="B134" s="7199" t="inlineStr">
        <is>
          <t>Discapacidad Moderada</t>
        </is>
      </c>
      <c r="C134" s="1644">
        <f>SUM(D134+E134)</f>
        <v/>
      </c>
      <c r="D134" s="1666">
        <f>SUM(F134+H134+J134+L134+N134+P134+R134+T134+V134+X134+Z134)</f>
        <v/>
      </c>
      <c r="E134" s="983">
        <f>SUM(G134+I134+K134+M134+O134+Q134+S134+U134+W134+Y134+AA134)</f>
        <v/>
      </c>
      <c r="F134" s="1539" t="n"/>
      <c r="G134" s="1544" t="n"/>
      <c r="H134" s="1539" t="n"/>
      <c r="I134" s="1540" t="n"/>
      <c r="J134" s="1539" t="n"/>
      <c r="K134" s="1540" t="n"/>
      <c r="L134" s="1726" t="n"/>
      <c r="M134" s="1540" t="n"/>
      <c r="N134" s="1539" t="n"/>
      <c r="O134" s="1540" t="n"/>
      <c r="P134" s="1539" t="n"/>
      <c r="Q134" s="1540" t="n"/>
      <c r="R134" s="1539" t="n"/>
      <c r="S134" s="1540" t="n"/>
      <c r="T134" s="1539" t="n"/>
      <c r="U134" s="1540" t="n"/>
      <c r="V134" s="1541" t="n"/>
      <c r="W134" s="1540" t="n"/>
      <c r="X134" s="1541" t="n"/>
      <c r="Y134" s="1540" t="n"/>
      <c r="Z134" s="1727" t="n"/>
      <c r="AA134" s="1728" t="n"/>
      <c r="AB134" s="5309" t="n"/>
      <c r="AC134" s="5313" t="n"/>
      <c r="AD134" s="932">
        <f>CA134&amp;CB134</f>
        <v/>
      </c>
      <c r="AE134" s="622" t="n"/>
      <c r="AF134" s="622" t="n"/>
      <c r="AG134" s="622" t="n"/>
      <c r="AH134" s="622" t="n"/>
      <c r="AI134" s="622" t="n"/>
      <c r="AJ134" s="622" t="n"/>
      <c r="AK134" s="622" t="n"/>
      <c r="AL134" s="622" t="n"/>
      <c r="AM134" s="622" t="n"/>
      <c r="AN134" s="622" t="n"/>
      <c r="AO134" s="622" t="n"/>
      <c r="AP134" s="622" t="n"/>
      <c r="AQ134" s="622" t="n"/>
      <c r="AR134" s="622" t="n"/>
      <c r="AS134" s="622" t="n"/>
      <c r="AT134" s="622" t="n"/>
      <c r="AU134" s="622" t="n"/>
      <c r="AV134" s="622" t="n"/>
      <c r="AW134" s="622" t="n"/>
      <c r="AX134" s="622" t="n"/>
      <c r="AY134" s="622" t="n"/>
      <c r="CA134" s="240">
        <f>IF(AND($C134&lt;&gt;0,AB134=""),"* No olvide ingresar la variable "&amp;AB$119&amp;""&amp;". Digite CERO si no tiene. ",IF(AB134&gt;$C134,"* La variable Pueblos Originarios no debe ser mayor al Total Ambos Sexos. ",""))</f>
        <v/>
      </c>
      <c r="CB134" s="240">
        <f>IF(AND($C134&lt;&gt;0,AC134=""),"* No olvide ingresar la variable "&amp;AC$119&amp;""&amp;". Digite CERO si no tiene. ",IF(AC134&gt;$C134,"* La variable Migrantes no debe ser mayor al Total Ambos Sexos. ",""))</f>
        <v/>
      </c>
      <c r="CK134" s="246">
        <f>IF(AND($C134&lt;&gt;0,AB134=""),1,IF(AB134&gt;$C134,1,0))</f>
        <v/>
      </c>
      <c r="CL134" s="246">
        <f>IF(AND($C134&lt;&gt;0,AC134=""),1,IF(AC134&gt;$C134,1,0))</f>
        <v/>
      </c>
    </row>
    <row r="135" ht="15" customHeight="1" s="8286">
      <c r="A135" s="9588" t="n"/>
      <c r="B135" s="7199" t="inlineStr">
        <is>
          <t>Discapacidad Severa</t>
        </is>
      </c>
      <c r="C135" s="1646">
        <f>SUM(D135+E135)</f>
        <v/>
      </c>
      <c r="D135" s="1730">
        <f>SUM(F135+H135+J135+L135+N135+P135+R135+T135+V135+X135+Z135)</f>
        <v/>
      </c>
      <c r="E135" s="1731">
        <f>SUM(G135+I135+K135+M135+O135+Q135+S135+U135+W135+Y135+AA135)</f>
        <v/>
      </c>
      <c r="F135" s="1539" t="n"/>
      <c r="G135" s="1544" t="n"/>
      <c r="H135" s="1539" t="n"/>
      <c r="I135" s="1540" t="n"/>
      <c r="J135" s="1539" t="n"/>
      <c r="K135" s="1540" t="n"/>
      <c r="L135" s="1726" t="n"/>
      <c r="M135" s="1540" t="n"/>
      <c r="N135" s="1539" t="n"/>
      <c r="O135" s="1540" t="n"/>
      <c r="P135" s="1539" t="n"/>
      <c r="Q135" s="1540" t="n"/>
      <c r="R135" s="1539" t="n"/>
      <c r="S135" s="1540" t="n"/>
      <c r="T135" s="1539" t="n"/>
      <c r="U135" s="1540" t="n"/>
      <c r="V135" s="1541" t="n"/>
      <c r="W135" s="1540" t="n"/>
      <c r="X135" s="1541" t="n"/>
      <c r="Y135" s="1540" t="n"/>
      <c r="Z135" s="1727" t="n"/>
      <c r="AA135" s="1728" t="n"/>
      <c r="AB135" s="5309" t="n"/>
      <c r="AC135" s="5313" t="n"/>
      <c r="AD135" s="932">
        <f>CA135&amp;CB135</f>
        <v/>
      </c>
      <c r="AE135" s="622" t="n"/>
      <c r="AF135" s="622" t="n"/>
      <c r="AG135" s="622" t="n"/>
      <c r="AH135" s="622" t="n"/>
      <c r="AI135" s="622" t="n"/>
      <c r="AJ135" s="622" t="n"/>
      <c r="AK135" s="622" t="n"/>
      <c r="AL135" s="622" t="n"/>
      <c r="AM135" s="622" t="n"/>
      <c r="AN135" s="622" t="n"/>
      <c r="AO135" s="622" t="n"/>
      <c r="AP135" s="622" t="n"/>
      <c r="AQ135" s="622" t="n"/>
      <c r="AR135" s="622" t="n"/>
      <c r="AS135" s="622" t="n"/>
      <c r="AT135" s="622" t="n"/>
      <c r="AU135" s="622" t="n"/>
      <c r="AV135" s="622" t="n"/>
      <c r="AW135" s="622" t="n"/>
      <c r="AX135" s="622" t="n"/>
      <c r="AY135" s="622" t="n"/>
      <c r="CA135" s="240">
        <f>IF(AND($C135&lt;&gt;0,AB135=""),"* No olvide ingresar la variable "&amp;AB$119&amp;""&amp;". Digite CERO si no tiene. ",IF(AB135&gt;$C135,"* La variable Pueblos Originarios no debe ser mayor al Total Ambos Sexos. ",""))</f>
        <v/>
      </c>
      <c r="CB135" s="240">
        <f>IF(AND($C135&lt;&gt;0,AC135=""),"* No olvide ingresar la variable "&amp;AC$119&amp;""&amp;". Digite CERO si no tiene. ",IF(AC135&gt;$C135,"* La variable Migrantes no debe ser mayor al Total Ambos Sexos. ",""))</f>
        <v/>
      </c>
      <c r="CK135" s="246">
        <f>IF(AND($C135&lt;&gt;0,AB135=""),1,IF(AB135&gt;$C135,1,0))</f>
        <v/>
      </c>
      <c r="CL135" s="246">
        <f>IF(AND($C135&lt;&gt;0,AC135=""),1,IF(AC135&gt;$C135,1,0))</f>
        <v/>
      </c>
    </row>
    <row r="136" ht="15" customHeight="1" s="8286">
      <c r="A136" s="9589" t="n"/>
      <c r="B136" s="7469" t="inlineStr">
        <is>
          <t>Discapacidad Profunda</t>
        </is>
      </c>
      <c r="C136" s="1648">
        <f>SUM(D136+E136)</f>
        <v/>
      </c>
      <c r="D136" s="1671">
        <f>SUM(F136+H136+J136+L136+N136+P136+R136+T136+V136+X136+Z136)</f>
        <v/>
      </c>
      <c r="E136" s="1732">
        <f>SUM(G136+I136+K136+M136+O136+Q136+S136+U136+W136+Y136+AA136)</f>
        <v/>
      </c>
      <c r="F136" s="1519" t="n"/>
      <c r="G136" s="1520" t="n"/>
      <c r="H136" s="1519" t="n"/>
      <c r="I136" s="1550" t="n"/>
      <c r="J136" s="1519" t="n"/>
      <c r="K136" s="1550" t="n"/>
      <c r="L136" s="1733" t="n"/>
      <c r="M136" s="1550" t="n"/>
      <c r="N136" s="1519" t="n"/>
      <c r="O136" s="1550" t="n"/>
      <c r="P136" s="1519" t="n"/>
      <c r="Q136" s="1550" t="n"/>
      <c r="R136" s="1519" t="n"/>
      <c r="S136" s="1550" t="n"/>
      <c r="T136" s="1519" t="n"/>
      <c r="U136" s="1550" t="n"/>
      <c r="V136" s="1551" t="n"/>
      <c r="W136" s="1550" t="n"/>
      <c r="X136" s="1551" t="n"/>
      <c r="Y136" s="1550" t="n"/>
      <c r="Z136" s="1734" t="n"/>
      <c r="AA136" s="1735" t="n"/>
      <c r="AB136" s="1734" t="n"/>
      <c r="AC136" s="5314" t="n"/>
      <c r="AD136" s="932">
        <f>CA136&amp;CB136</f>
        <v/>
      </c>
      <c r="AE136" s="622" t="n"/>
      <c r="AF136" s="622" t="n"/>
      <c r="AG136" s="622" t="n"/>
      <c r="AH136" s="622" t="n"/>
      <c r="AI136" s="622" t="n"/>
      <c r="AJ136" s="622" t="n"/>
      <c r="AK136" s="622" t="n"/>
      <c r="AL136" s="622" t="n"/>
      <c r="AM136" s="622" t="n"/>
      <c r="AN136" s="622" t="n"/>
      <c r="AO136" s="622" t="n"/>
      <c r="AP136" s="622" t="n"/>
      <c r="AQ136" s="622" t="n"/>
      <c r="AR136" s="622" t="n"/>
      <c r="AS136" s="622" t="n"/>
      <c r="AT136" s="622" t="n"/>
      <c r="AU136" s="622" t="n"/>
      <c r="AV136" s="622" t="n"/>
      <c r="AW136" s="622" t="n"/>
      <c r="AX136" s="622" t="n"/>
      <c r="AY136" s="622" t="n"/>
      <c r="CA136" s="240">
        <f>IF(AND($C136&lt;&gt;0,AB136=""),"* No olvide ingresar la variable "&amp;AB$119&amp;""&amp;". Digite CERO si no tiene. ",IF(AB136&gt;$C136,"* La variable Pueblos Originarios no debe ser mayor al Total Ambos Sexos. ",""))</f>
        <v/>
      </c>
      <c r="CB136" s="240">
        <f>IF(AND($C136&lt;&gt;0,AC136=""),"* No olvide ingresar la variable "&amp;AC$119&amp;""&amp;". Digite CERO si no tiene. ",IF(AC136&gt;$C136,"* La variable Migrantes no debe ser mayor al Total Ambos Sexos. ",""))</f>
        <v/>
      </c>
      <c r="CK136" s="246">
        <f>IF(AND($C136&lt;&gt;0,AB136=""),1,IF(AB136&gt;$C136,1,0))</f>
        <v/>
      </c>
      <c r="CL136" s="246">
        <f>IF(AND($C136&lt;&gt;0,AC136=""),1,IF(AC136&gt;$C136,1,0))</f>
        <v/>
      </c>
    </row>
    <row r="137" ht="15" customHeight="1" s="8286">
      <c r="A137" s="9642" t="inlineStr">
        <is>
          <t xml:space="preserve">Origen mental psíquico </t>
        </is>
      </c>
      <c r="B137" s="7198" t="inlineStr">
        <is>
          <t>Sin Discapacidad</t>
        </is>
      </c>
      <c r="C137" s="1721">
        <f>SUM(D137+E137)</f>
        <v/>
      </c>
      <c r="D137" s="1664">
        <f>SUM(F137+H137+J137+L137+N137+P137+R137+T137+V137+X137+Z137)</f>
        <v/>
      </c>
      <c r="E137" s="1722">
        <f>SUM(G137+I137+K137+M137+O137+Q137+S137+U137+W137+Y137+AA137)</f>
        <v/>
      </c>
      <c r="F137" s="1511" t="n"/>
      <c r="G137" s="1512" t="n"/>
      <c r="H137" s="1511" t="n"/>
      <c r="I137" s="1554" t="n"/>
      <c r="J137" s="1511" t="n"/>
      <c r="K137" s="1554" t="n"/>
      <c r="L137" s="1723" t="n"/>
      <c r="M137" s="1554" t="n"/>
      <c r="N137" s="1511" t="n"/>
      <c r="O137" s="1554" t="n"/>
      <c r="P137" s="1511" t="n"/>
      <c r="Q137" s="1554" t="n"/>
      <c r="R137" s="1511" t="n"/>
      <c r="S137" s="1554" t="n"/>
      <c r="T137" s="1511" t="n"/>
      <c r="U137" s="1554" t="n"/>
      <c r="V137" s="1555" t="n"/>
      <c r="W137" s="1554" t="n"/>
      <c r="X137" s="1555" t="n"/>
      <c r="Y137" s="1554" t="n"/>
      <c r="Z137" s="1694" t="n"/>
      <c r="AA137" s="1724" t="n"/>
      <c r="AB137" s="5308" t="n"/>
      <c r="AC137" s="5312" t="n"/>
      <c r="AD137" s="932">
        <f>CA137&amp;CB137</f>
        <v/>
      </c>
      <c r="AE137" s="622" t="n"/>
      <c r="AF137" s="622" t="n"/>
      <c r="AG137" s="622" t="n"/>
      <c r="AH137" s="622" t="n"/>
      <c r="AI137" s="622" t="n"/>
      <c r="AJ137" s="622" t="n"/>
      <c r="AK137" s="622" t="n"/>
      <c r="AL137" s="622" t="n"/>
      <c r="AM137" s="622" t="n"/>
      <c r="AN137" s="622" t="n"/>
      <c r="AO137" s="622" t="n"/>
      <c r="AP137" s="622" t="n"/>
      <c r="AQ137" s="622" t="n"/>
      <c r="AR137" s="622" t="n"/>
      <c r="AS137" s="622" t="n"/>
      <c r="AT137" s="622" t="n"/>
      <c r="AU137" s="622" t="n"/>
      <c r="AV137" s="622" t="n"/>
      <c r="AW137" s="622" t="n"/>
      <c r="AX137" s="622" t="n"/>
      <c r="AY137" s="622" t="n"/>
      <c r="CA137" s="240">
        <f>IF(AND($C137&lt;&gt;0,AB137=""),"* No olvide ingresar la variable "&amp;AB$119&amp;""&amp;". Digite CERO si no tiene. ",IF(AB137&gt;$C137,"* La variable Pueblos Originarios no debe ser mayor al Total Ambos Sexos. ",""))</f>
        <v/>
      </c>
      <c r="CB137" s="240">
        <f>IF(AND($C137&lt;&gt;0,AC137=""),"* No olvide ingresar la variable "&amp;AC$119&amp;""&amp;". Digite CERO si no tiene. ",IF(AC137&gt;$C137,"* La variable Migrantes no debe ser mayor al Total Ambos Sexos. ",""))</f>
        <v/>
      </c>
      <c r="CK137" s="246">
        <f>IF(AND($C137&lt;&gt;0,AB137=""),1,IF(AB137&gt;$C137,1,0))</f>
        <v/>
      </c>
      <c r="CL137" s="246">
        <f>IF(AND($C137&lt;&gt;0,AC137=""),1,IF(AC137&gt;$C137,1,0))</f>
        <v/>
      </c>
    </row>
    <row r="138" ht="15" customHeight="1" s="8286">
      <c r="A138" s="9614" t="n"/>
      <c r="B138" s="7468" t="inlineStr">
        <is>
          <t>Discapacidad Leve</t>
        </is>
      </c>
      <c r="C138" s="1644">
        <f>SUM(D138+E138)</f>
        <v/>
      </c>
      <c r="D138" s="1666">
        <f>SUM(F138+H138+J138+L138+N138+P138+R138+T138+V138+X138+Z138)</f>
        <v/>
      </c>
      <c r="E138" s="983">
        <f>SUM(G138+I138+K138+M138+O138+Q138+S138+U138+W138+Y138+AA138)</f>
        <v/>
      </c>
      <c r="F138" s="1539" t="n"/>
      <c r="G138" s="1544" t="n"/>
      <c r="H138" s="1539" t="n"/>
      <c r="I138" s="1540" t="n"/>
      <c r="J138" s="1539" t="n"/>
      <c r="K138" s="1540" t="n"/>
      <c r="L138" s="1726" t="n"/>
      <c r="M138" s="1540" t="n"/>
      <c r="N138" s="1539" t="n"/>
      <c r="O138" s="1540" t="n"/>
      <c r="P138" s="1539" t="n"/>
      <c r="Q138" s="1540" t="n"/>
      <c r="R138" s="1539" t="n"/>
      <c r="S138" s="1540" t="n"/>
      <c r="T138" s="1539" t="n"/>
      <c r="U138" s="1540" t="n"/>
      <c r="V138" s="1541" t="n"/>
      <c r="W138" s="1540" t="n"/>
      <c r="X138" s="1541" t="n"/>
      <c r="Y138" s="1540" t="n"/>
      <c r="Z138" s="1727" t="n"/>
      <c r="AA138" s="1728" t="n"/>
      <c r="AB138" s="5309" t="n"/>
      <c r="AC138" s="5313" t="n"/>
      <c r="AD138" s="932">
        <f>CA138&amp;CB138</f>
        <v/>
      </c>
      <c r="AE138" s="622" t="n"/>
      <c r="AF138" s="622" t="n"/>
      <c r="AG138" s="622" t="n"/>
      <c r="AH138" s="622" t="n"/>
      <c r="AI138" s="622" t="n"/>
      <c r="AJ138" s="622" t="n"/>
      <c r="AK138" s="622" t="n"/>
      <c r="AL138" s="622" t="n"/>
      <c r="AM138" s="622" t="n"/>
      <c r="AN138" s="622" t="n"/>
      <c r="AO138" s="622" t="n"/>
      <c r="AP138" s="622" t="n"/>
      <c r="AQ138" s="622" t="n"/>
      <c r="AR138" s="622" t="n"/>
      <c r="AS138" s="622" t="n"/>
      <c r="AT138" s="622" t="n"/>
      <c r="AU138" s="622" t="n"/>
      <c r="AV138" s="622" t="n"/>
      <c r="AW138" s="622" t="n"/>
      <c r="AX138" s="622" t="n"/>
      <c r="AY138" s="622" t="n"/>
      <c r="CA138" s="240">
        <f>IF(AND($C138&lt;&gt;0,AB138=""),"* No olvide ingresar la variable "&amp;AB$119&amp;""&amp;". Digite CERO si no tiene. ",IF(AB138&gt;$C138,"* La variable Pueblos Originarios no debe ser mayor al Total Ambos Sexos. ",""))</f>
        <v/>
      </c>
      <c r="CB138" s="240">
        <f>IF(AND($C138&lt;&gt;0,AC138=""),"* No olvide ingresar la variable "&amp;AC$119&amp;""&amp;". Digite CERO si no tiene. ",IF(AC138&gt;$C138,"* La variable Migrantes no debe ser mayor al Total Ambos Sexos. ",""))</f>
        <v/>
      </c>
      <c r="CK138" s="246">
        <f>IF(AND($C138&lt;&gt;0,AB138=""),1,IF(AB138&gt;$C138,1,0))</f>
        <v/>
      </c>
      <c r="CL138" s="246">
        <f>IF(AND($C138&lt;&gt;0,AC138=""),1,IF(AC138&gt;$C138,1,0))</f>
        <v/>
      </c>
    </row>
    <row r="139" ht="15" customHeight="1" s="8286">
      <c r="A139" s="9614" t="n"/>
      <c r="B139" s="7199" t="inlineStr">
        <is>
          <t>Discapacidad Moderada</t>
        </is>
      </c>
      <c r="C139" s="1644">
        <f>SUM(D139+E139)</f>
        <v/>
      </c>
      <c r="D139" s="1666">
        <f>SUM(F139+H139+J139+L139+N139+P139+R139+T139+V139+X139+Z139)</f>
        <v/>
      </c>
      <c r="E139" s="983">
        <f>SUM(G139+I139+K139+M139+O139+Q139+S139+U139+W139+Y139+AA139)</f>
        <v/>
      </c>
      <c r="F139" s="1539" t="n"/>
      <c r="G139" s="1544" t="n"/>
      <c r="H139" s="1539" t="n"/>
      <c r="I139" s="1540" t="n"/>
      <c r="J139" s="1539" t="n"/>
      <c r="K139" s="1540" t="n"/>
      <c r="L139" s="1726" t="n"/>
      <c r="M139" s="1540" t="n"/>
      <c r="N139" s="1539" t="n"/>
      <c r="O139" s="1540" t="n"/>
      <c r="P139" s="1539" t="n"/>
      <c r="Q139" s="1540" t="n"/>
      <c r="R139" s="1539" t="n"/>
      <c r="S139" s="1540" t="n"/>
      <c r="T139" s="1539" t="n"/>
      <c r="U139" s="1540" t="n"/>
      <c r="V139" s="1541" t="n"/>
      <c r="W139" s="1540" t="n"/>
      <c r="X139" s="1541" t="n"/>
      <c r="Y139" s="1540" t="n"/>
      <c r="Z139" s="1727" t="n"/>
      <c r="AA139" s="1728" t="n"/>
      <c r="AB139" s="5309" t="n"/>
      <c r="AC139" s="5313" t="n"/>
      <c r="AD139" s="932">
        <f>CA139&amp;CB139</f>
        <v/>
      </c>
      <c r="AE139" s="622" t="n"/>
      <c r="AF139" s="622" t="n"/>
      <c r="AG139" s="622" t="n"/>
      <c r="AH139" s="622" t="n"/>
      <c r="AI139" s="622" t="n"/>
      <c r="AJ139" s="622" t="n"/>
      <c r="AK139" s="622" t="n"/>
      <c r="AL139" s="622" t="n"/>
      <c r="AM139" s="622" t="n"/>
      <c r="AN139" s="622" t="n"/>
      <c r="AO139" s="622" t="n"/>
      <c r="AP139" s="622" t="n"/>
      <c r="AQ139" s="622" t="n"/>
      <c r="AR139" s="622" t="n"/>
      <c r="AS139" s="622" t="n"/>
      <c r="AT139" s="622" t="n"/>
      <c r="AU139" s="622" t="n"/>
      <c r="AV139" s="622" t="n"/>
      <c r="AW139" s="622" t="n"/>
      <c r="AX139" s="622" t="n"/>
      <c r="AY139" s="622" t="n"/>
      <c r="CA139" s="240">
        <f>IF(AND($C139&lt;&gt;0,AB139=""),"* No olvide ingresar la variable "&amp;AB$119&amp;""&amp;". Digite CERO si no tiene. ",IF(AB139&gt;$C139,"* La variable Pueblos Originarios no debe ser mayor al Total Ambos Sexos. ",""))</f>
        <v/>
      </c>
      <c r="CB139" s="240">
        <f>IF(AND($C139&lt;&gt;0,AC139=""),"* No olvide ingresar la variable "&amp;AC$119&amp;""&amp;". Digite CERO si no tiene. ",IF(AC139&gt;$C139,"* La variable Migrantes no debe ser mayor al Total Ambos Sexos. ",""))</f>
        <v/>
      </c>
      <c r="CK139" s="246">
        <f>IF(AND($C139&lt;&gt;0,AB139=""),1,IF(AB139&gt;$C139,1,0))</f>
        <v/>
      </c>
      <c r="CL139" s="246">
        <f>IF(AND($C139&lt;&gt;0,AC139=""),1,IF(AC139&gt;$C139,1,0))</f>
        <v/>
      </c>
    </row>
    <row r="140" ht="15" customHeight="1" s="8286">
      <c r="A140" s="9614" t="n"/>
      <c r="B140" s="7199" t="inlineStr">
        <is>
          <t>Discapacidad Severa</t>
        </is>
      </c>
      <c r="C140" s="1646">
        <f>SUM(D140+E140)</f>
        <v/>
      </c>
      <c r="D140" s="1730">
        <f>SUM(F140+H140+J140+L140+N140+P140+R140+T140+V140+X140+Z140)</f>
        <v/>
      </c>
      <c r="E140" s="1731">
        <f>SUM(G140+I140+K140+M140+O140+Q140+S140+U140+W140+Y140+AA140)</f>
        <v/>
      </c>
      <c r="F140" s="1539" t="n"/>
      <c r="G140" s="1544" t="n"/>
      <c r="H140" s="1539" t="n"/>
      <c r="I140" s="1540" t="n"/>
      <c r="J140" s="1539" t="n"/>
      <c r="K140" s="1540" t="n"/>
      <c r="L140" s="1726" t="n"/>
      <c r="M140" s="1540" t="n"/>
      <c r="N140" s="1539" t="n"/>
      <c r="O140" s="1540" t="n"/>
      <c r="P140" s="1539" t="n"/>
      <c r="Q140" s="1540" t="n"/>
      <c r="R140" s="1539" t="n"/>
      <c r="S140" s="1540" t="n"/>
      <c r="T140" s="1539" t="n"/>
      <c r="U140" s="1540" t="n"/>
      <c r="V140" s="1541" t="n"/>
      <c r="W140" s="1540" t="n"/>
      <c r="X140" s="1541" t="n"/>
      <c r="Y140" s="1540" t="n"/>
      <c r="Z140" s="1727" t="n"/>
      <c r="AA140" s="1728" t="n"/>
      <c r="AB140" s="5309" t="n"/>
      <c r="AC140" s="5313" t="n"/>
      <c r="AD140" s="932">
        <f>CA140&amp;CB140</f>
        <v/>
      </c>
      <c r="AE140" s="622" t="n"/>
      <c r="AF140" s="622" t="n"/>
      <c r="AG140" s="622" t="n"/>
      <c r="AH140" s="622" t="n"/>
      <c r="AI140" s="622" t="n"/>
      <c r="AJ140" s="622" t="n"/>
      <c r="AK140" s="622" t="n"/>
      <c r="AL140" s="622" t="n"/>
      <c r="AM140" s="622" t="n"/>
      <c r="AN140" s="622" t="n"/>
      <c r="AO140" s="622" t="n"/>
      <c r="AP140" s="622" t="n"/>
      <c r="AQ140" s="622" t="n"/>
      <c r="AR140" s="622" t="n"/>
      <c r="AS140" s="622" t="n"/>
      <c r="AT140" s="622" t="n"/>
      <c r="AU140" s="622" t="n"/>
      <c r="AV140" s="622" t="n"/>
      <c r="AW140" s="622" t="n"/>
      <c r="AX140" s="622" t="n"/>
      <c r="AY140" s="622" t="n"/>
      <c r="CA140" s="240">
        <f>IF(AND($C140&lt;&gt;0,AB140=""),"* No olvide ingresar la variable "&amp;AB$119&amp;""&amp;". Digite CERO si no tiene. ",IF(AB140&gt;$C140,"* La variable Pueblos Originarios no debe ser mayor al Total Ambos Sexos. ",""))</f>
        <v/>
      </c>
      <c r="CB140" s="240">
        <f>IF(AND($C140&lt;&gt;0,AC140=""),"* No olvide ingresar la variable "&amp;AC$119&amp;""&amp;". Digite CERO si no tiene. ",IF(AC140&gt;$C140,"* La variable Migrantes no debe ser mayor al Total Ambos Sexos. ",""))</f>
        <v/>
      </c>
      <c r="CK140" s="246">
        <f>IF(AND($C140&lt;&gt;0,AB140=""),1,IF(AB140&gt;$C140,1,0))</f>
        <v/>
      </c>
      <c r="CL140" s="246">
        <f>IF(AND($C140&lt;&gt;0,AC140=""),1,IF(AC140&gt;$C140,1,0))</f>
        <v/>
      </c>
    </row>
    <row r="141" ht="15" customHeight="1" s="8286">
      <c r="A141" s="9741" t="n"/>
      <c r="B141" s="7469" t="inlineStr">
        <is>
          <t>Discapacidad Profunda</t>
        </is>
      </c>
      <c r="C141" s="1648">
        <f>SUM(D141+E141)</f>
        <v/>
      </c>
      <c r="D141" s="1671">
        <f>SUM(F141+H141+J141+L141+N141+P141+R141+T141+V141+X141+Z141)</f>
        <v/>
      </c>
      <c r="E141" s="1732">
        <f>SUM(G141+I141+K141+M141+O141+Q141+S141+U141+W141+Y141+AA141)</f>
        <v/>
      </c>
      <c r="F141" s="1519" t="n"/>
      <c r="G141" s="1520" t="n"/>
      <c r="H141" s="1519" t="n"/>
      <c r="I141" s="1550" t="n"/>
      <c r="J141" s="1519" t="n"/>
      <c r="K141" s="1550" t="n"/>
      <c r="L141" s="1733" t="n"/>
      <c r="M141" s="1550" t="n"/>
      <c r="N141" s="1519" t="n"/>
      <c r="O141" s="1550" t="n"/>
      <c r="P141" s="1519" t="n"/>
      <c r="Q141" s="1550" t="n"/>
      <c r="R141" s="1519" t="n"/>
      <c r="S141" s="1550" t="n"/>
      <c r="T141" s="1519" t="n"/>
      <c r="U141" s="1550" t="n"/>
      <c r="V141" s="1551" t="n"/>
      <c r="W141" s="1550" t="n"/>
      <c r="X141" s="1551" t="n"/>
      <c r="Y141" s="1550" t="n"/>
      <c r="Z141" s="1734" t="n"/>
      <c r="AA141" s="1735" t="n"/>
      <c r="AB141" s="1734" t="n"/>
      <c r="AC141" s="5314" t="n"/>
      <c r="AD141" s="932">
        <f>CA141&amp;CB141</f>
        <v/>
      </c>
      <c r="AE141" s="622" t="n"/>
      <c r="AF141" s="622" t="n"/>
      <c r="AG141" s="622" t="n"/>
      <c r="AH141" s="622" t="n"/>
      <c r="AI141" s="622" t="n"/>
      <c r="AJ141" s="622" t="n"/>
      <c r="AK141" s="622" t="n"/>
      <c r="AL141" s="622" t="n"/>
      <c r="AM141" s="622" t="n"/>
      <c r="AN141" s="622" t="n"/>
      <c r="AO141" s="622" t="n"/>
      <c r="AP141" s="622" t="n"/>
      <c r="AQ141" s="622" t="n"/>
      <c r="AR141" s="622" t="n"/>
      <c r="AS141" s="622" t="n"/>
      <c r="AT141" s="622" t="n"/>
      <c r="AU141" s="622" t="n"/>
      <c r="AV141" s="622" t="n"/>
      <c r="AW141" s="622" t="n"/>
      <c r="AX141" s="622" t="n"/>
      <c r="AY141" s="622" t="n"/>
      <c r="CA141" s="240">
        <f>IF(AND($C141&lt;&gt;0,AB141=""),"* No olvide ingresar la variable "&amp;AB$119&amp;""&amp;". Digite CERO si no tiene. ",IF(AB141&gt;$C141,"* La variable Pueblos Originarios no debe ser mayor al Total Ambos Sexos. ",""))</f>
        <v/>
      </c>
      <c r="CB141" s="240">
        <f>IF(AND($C141&lt;&gt;0,AC141=""),"* No olvide ingresar la variable "&amp;AC$119&amp;""&amp;". Digite CERO si no tiene. ",IF(AC141&gt;$C141,"* La variable Migrantes no debe ser mayor al Total Ambos Sexos. ",""))</f>
        <v/>
      </c>
      <c r="CK141" s="246">
        <f>IF(AND($C141&lt;&gt;0,AB141=""),1,IF(AB141&gt;$C141,1,0))</f>
        <v/>
      </c>
      <c r="CL141" s="246">
        <f>IF(AND($C141&lt;&gt;0,AC141=""),1,IF(AC141&gt;$C141,1,0))</f>
        <v/>
      </c>
    </row>
    <row r="142" ht="15" customHeight="1" s="8286">
      <c r="A142" s="9642" t="inlineStr">
        <is>
          <t xml:space="preserve">Origen mental intelectual </t>
        </is>
      </c>
      <c r="B142" s="7198" t="inlineStr">
        <is>
          <t>Sin Discapacidad</t>
        </is>
      </c>
      <c r="C142" s="1721">
        <f>SUM(D142+E142)</f>
        <v/>
      </c>
      <c r="D142" s="1664">
        <f>SUM(F142+H142+J142+L142+N142+P142+R142+T142+V142+X142+Z142)</f>
        <v/>
      </c>
      <c r="E142" s="1722">
        <f>SUM(G142+I142+K142+M142+O142+Q142+S142+U142+W142+Y142+AA142)</f>
        <v/>
      </c>
      <c r="F142" s="1511" t="n"/>
      <c r="G142" s="1512" t="n"/>
      <c r="H142" s="1511" t="n"/>
      <c r="I142" s="1554" t="n"/>
      <c r="J142" s="1511" t="n"/>
      <c r="K142" s="1554" t="n"/>
      <c r="L142" s="1723" t="n"/>
      <c r="M142" s="1554" t="n"/>
      <c r="N142" s="1511" t="n"/>
      <c r="O142" s="1554" t="n"/>
      <c r="P142" s="1511" t="n"/>
      <c r="Q142" s="1554" t="n"/>
      <c r="R142" s="1511" t="n"/>
      <c r="S142" s="1554" t="n"/>
      <c r="T142" s="1511" t="n"/>
      <c r="U142" s="1554" t="n"/>
      <c r="V142" s="1555" t="n"/>
      <c r="W142" s="1554" t="n"/>
      <c r="X142" s="1555" t="n"/>
      <c r="Y142" s="1554" t="n"/>
      <c r="Z142" s="1694" t="n"/>
      <c r="AA142" s="1724" t="n"/>
      <c r="AB142" s="5308" t="n"/>
      <c r="AC142" s="5312" t="n"/>
      <c r="AD142" s="932">
        <f>CA142&amp;CB142</f>
        <v/>
      </c>
      <c r="AE142" s="622" t="n"/>
      <c r="AF142" s="622" t="n"/>
      <c r="AG142" s="622" t="n"/>
      <c r="AH142" s="622" t="n"/>
      <c r="AI142" s="622" t="n"/>
      <c r="AJ142" s="622" t="n"/>
      <c r="AK142" s="622" t="n"/>
      <c r="AL142" s="622" t="n"/>
      <c r="AM142" s="622" t="n"/>
      <c r="AN142" s="622" t="n"/>
      <c r="AO142" s="622" t="n"/>
      <c r="AP142" s="622" t="n"/>
      <c r="AQ142" s="622" t="n"/>
      <c r="AR142" s="622" t="n"/>
      <c r="AS142" s="622" t="n"/>
      <c r="AT142" s="622" t="n"/>
      <c r="AU142" s="622" t="n"/>
      <c r="AV142" s="622" t="n"/>
      <c r="AW142" s="622" t="n"/>
      <c r="AX142" s="622" t="n"/>
      <c r="AY142" s="622" t="n"/>
      <c r="CA142" s="240">
        <f>IF(AND($C142&lt;&gt;0,AB142=""),"* No olvide ingresar la variable "&amp;AB$119&amp;""&amp;". Digite CERO si no tiene. ",IF(AB142&gt;$C142,"* La variable Pueblos Originarios no debe ser mayor al Total Ambos Sexos. ",""))</f>
        <v/>
      </c>
      <c r="CB142" s="240">
        <f>IF(AND($C142&lt;&gt;0,AC142=""),"* No olvide ingresar la variable "&amp;AC$119&amp;""&amp;". Digite CERO si no tiene. ",IF(AC142&gt;$C142,"* La variable Migrantes no debe ser mayor al Total Ambos Sexos. ",""))</f>
        <v/>
      </c>
      <c r="CK142" s="246">
        <f>IF(AND($C142&lt;&gt;0,AB142=""),1,IF(AB142&gt;$C142,1,0))</f>
        <v/>
      </c>
      <c r="CL142" s="246">
        <f>IF(AND($C142&lt;&gt;0,AC142=""),1,IF(AC142&gt;$C142,1,0))</f>
        <v/>
      </c>
    </row>
    <row r="143" ht="15" customHeight="1" s="8286">
      <c r="A143" s="9614" t="n"/>
      <c r="B143" s="7468" t="inlineStr">
        <is>
          <t>Discapacidad Leve</t>
        </is>
      </c>
      <c r="C143" s="1644">
        <f>SUM(D143+E143)</f>
        <v/>
      </c>
      <c r="D143" s="1666">
        <f>SUM(F143+H143+J143+L143+N143+P143+R143+T143+V143+X143+Z143)</f>
        <v/>
      </c>
      <c r="E143" s="983">
        <f>SUM(G143+I143+K143+M143+O143+Q143+S143+U143+W143+Y143+AA143)</f>
        <v/>
      </c>
      <c r="F143" s="1539" t="n"/>
      <c r="G143" s="1544" t="n"/>
      <c r="H143" s="1539" t="n"/>
      <c r="I143" s="1540" t="n"/>
      <c r="J143" s="1539" t="n"/>
      <c r="K143" s="1540" t="n"/>
      <c r="L143" s="1726" t="n"/>
      <c r="M143" s="1540" t="n"/>
      <c r="N143" s="1539" t="n"/>
      <c r="O143" s="1540" t="n"/>
      <c r="P143" s="1539" t="n"/>
      <c r="Q143" s="1540" t="n"/>
      <c r="R143" s="1539" t="n"/>
      <c r="S143" s="1540" t="n"/>
      <c r="T143" s="1539" t="n"/>
      <c r="U143" s="1540" t="n"/>
      <c r="V143" s="1541" t="n"/>
      <c r="W143" s="1540" t="n"/>
      <c r="X143" s="1541" t="n"/>
      <c r="Y143" s="1540" t="n"/>
      <c r="Z143" s="1727" t="n"/>
      <c r="AA143" s="1728" t="n"/>
      <c r="AB143" s="5309" t="n"/>
      <c r="AC143" s="5313" t="n"/>
      <c r="AD143" s="932">
        <f>CA143&amp;CB143</f>
        <v/>
      </c>
      <c r="AE143" s="622" t="n"/>
      <c r="AF143" s="622" t="n"/>
      <c r="AG143" s="622" t="n"/>
      <c r="AH143" s="622" t="n"/>
      <c r="AI143" s="622" t="n"/>
      <c r="AJ143" s="622" t="n"/>
      <c r="AK143" s="622" t="n"/>
      <c r="AL143" s="622" t="n"/>
      <c r="AM143" s="622" t="n"/>
      <c r="AN143" s="622" t="n"/>
      <c r="AO143" s="622" t="n"/>
      <c r="AP143" s="622" t="n"/>
      <c r="AQ143" s="622" t="n"/>
      <c r="AR143" s="622" t="n"/>
      <c r="AS143" s="622" t="n"/>
      <c r="AT143" s="622" t="n"/>
      <c r="AU143" s="622" t="n"/>
      <c r="AV143" s="622" t="n"/>
      <c r="AW143" s="622" t="n"/>
      <c r="AX143" s="622" t="n"/>
      <c r="AY143" s="622" t="n"/>
      <c r="CA143" s="240">
        <f>IF(AND($C143&lt;&gt;0,AB143=""),"* No olvide ingresar la variable "&amp;AB$119&amp;""&amp;". Digite CERO si no tiene. ",IF(AB143&gt;$C143,"* La variable Pueblos Originarios no debe ser mayor al Total Ambos Sexos. ",""))</f>
        <v/>
      </c>
      <c r="CB143" s="240">
        <f>IF(AND($C143&lt;&gt;0,AC143=""),"* No olvide ingresar la variable "&amp;AC$119&amp;""&amp;". Digite CERO si no tiene. ",IF(AC143&gt;$C143,"* La variable Migrantes no debe ser mayor al Total Ambos Sexos. ",""))</f>
        <v/>
      </c>
      <c r="CK143" s="246">
        <f>IF(AND($C143&lt;&gt;0,AB143=""),1,IF(AB143&gt;$C143,1,0))</f>
        <v/>
      </c>
      <c r="CL143" s="246">
        <f>IF(AND($C143&lt;&gt;0,AC143=""),1,IF(AC143&gt;$C143,1,0))</f>
        <v/>
      </c>
    </row>
    <row r="144" ht="15" customHeight="1" s="8286">
      <c r="A144" s="9614" t="n"/>
      <c r="B144" s="7199" t="inlineStr">
        <is>
          <t>Discapacidad Moderada</t>
        </is>
      </c>
      <c r="C144" s="1644">
        <f>SUM(D144+E144)</f>
        <v/>
      </c>
      <c r="D144" s="1666">
        <f>SUM(F144+H144+J144+L144+N144+P144+R144+T144+V144+X144+Z144)</f>
        <v/>
      </c>
      <c r="E144" s="983">
        <f>SUM(G144+I144+K144+M144+O144+Q144+S144+U144+W144+Y144+AA144)</f>
        <v/>
      </c>
      <c r="F144" s="1539" t="n"/>
      <c r="G144" s="1544" t="n"/>
      <c r="H144" s="1539" t="n"/>
      <c r="I144" s="1540" t="n"/>
      <c r="J144" s="1539" t="n"/>
      <c r="K144" s="1540" t="n"/>
      <c r="L144" s="1726" t="n"/>
      <c r="M144" s="1540" t="n"/>
      <c r="N144" s="1539" t="n"/>
      <c r="O144" s="1540" t="n"/>
      <c r="P144" s="1539" t="n"/>
      <c r="Q144" s="1540" t="n"/>
      <c r="R144" s="1539" t="n"/>
      <c r="S144" s="1540" t="n"/>
      <c r="T144" s="1539" t="n"/>
      <c r="U144" s="1540" t="n"/>
      <c r="V144" s="1541" t="n"/>
      <c r="W144" s="1540" t="n"/>
      <c r="X144" s="1541" t="n"/>
      <c r="Y144" s="1540" t="n"/>
      <c r="Z144" s="1727" t="n"/>
      <c r="AA144" s="1728" t="n"/>
      <c r="AB144" s="5309" t="n"/>
      <c r="AC144" s="5313" t="n"/>
      <c r="AD144" s="932">
        <f>CA144&amp;CB144</f>
        <v/>
      </c>
      <c r="AE144" s="622" t="n"/>
      <c r="AF144" s="622" t="n"/>
      <c r="AG144" s="622" t="n"/>
      <c r="AH144" s="622" t="n"/>
      <c r="AI144" s="622" t="n"/>
      <c r="AJ144" s="622" t="n"/>
      <c r="AK144" s="622" t="n"/>
      <c r="AL144" s="622" t="n"/>
      <c r="AM144" s="622" t="n"/>
      <c r="AN144" s="622" t="n"/>
      <c r="AO144" s="622" t="n"/>
      <c r="AP144" s="622" t="n"/>
      <c r="AQ144" s="622" t="n"/>
      <c r="AR144" s="622" t="n"/>
      <c r="AS144" s="622" t="n"/>
      <c r="AT144" s="622" t="n"/>
      <c r="AU144" s="622" t="n"/>
      <c r="AV144" s="622" t="n"/>
      <c r="AW144" s="622" t="n"/>
      <c r="AX144" s="622" t="n"/>
      <c r="AY144" s="622" t="n"/>
      <c r="CA144" s="240">
        <f>IF(AND($C144&lt;&gt;0,AB144=""),"* No olvide ingresar la variable "&amp;AB$119&amp;""&amp;". Digite CERO si no tiene. ",IF(AB144&gt;$C144,"* La variable Pueblos Originarios no debe ser mayor al Total Ambos Sexos. ",""))</f>
        <v/>
      </c>
      <c r="CB144" s="240">
        <f>IF(AND($C144&lt;&gt;0,AC144=""),"* No olvide ingresar la variable "&amp;AC$119&amp;""&amp;". Digite CERO si no tiene. ",IF(AC144&gt;$C144,"* La variable Migrantes no debe ser mayor al Total Ambos Sexos. ",""))</f>
        <v/>
      </c>
      <c r="CK144" s="246">
        <f>IF(AND($C144&lt;&gt;0,AB144=""),1,IF(AB144&gt;$C144,1,0))</f>
        <v/>
      </c>
      <c r="CL144" s="246">
        <f>IF(AND($C144&lt;&gt;0,AC144=""),1,IF(AC144&gt;$C144,1,0))</f>
        <v/>
      </c>
    </row>
    <row r="145" ht="15" customHeight="1" s="8286">
      <c r="A145" s="9614" t="n"/>
      <c r="B145" s="7199" t="inlineStr">
        <is>
          <t>Discapacidad Severa</t>
        </is>
      </c>
      <c r="C145" s="1646">
        <f>SUM(D145+E145)</f>
        <v/>
      </c>
      <c r="D145" s="1730">
        <f>SUM(F145+H145+J145+L145+N145+P145+R145+T145+V145+X145+Z145)</f>
        <v/>
      </c>
      <c r="E145" s="1731">
        <f>SUM(G145+I145+K145+M145+O145+Q145+S145+U145+W145+Y145+AA145)</f>
        <v/>
      </c>
      <c r="F145" s="1539" t="n"/>
      <c r="G145" s="1544" t="n"/>
      <c r="H145" s="1539" t="n"/>
      <c r="I145" s="1540" t="n"/>
      <c r="J145" s="1539" t="n"/>
      <c r="K145" s="1540" t="n"/>
      <c r="L145" s="1726" t="n"/>
      <c r="M145" s="1540" t="n"/>
      <c r="N145" s="1539" t="n"/>
      <c r="O145" s="1540" t="n"/>
      <c r="P145" s="1539" t="n"/>
      <c r="Q145" s="1540" t="n"/>
      <c r="R145" s="1539" t="n"/>
      <c r="S145" s="1540" t="n"/>
      <c r="T145" s="1539" t="n"/>
      <c r="U145" s="1540" t="n"/>
      <c r="V145" s="1541" t="n"/>
      <c r="W145" s="1540" t="n"/>
      <c r="X145" s="1541" t="n"/>
      <c r="Y145" s="1540" t="n"/>
      <c r="Z145" s="1727" t="n"/>
      <c r="AA145" s="1728" t="n"/>
      <c r="AB145" s="5309" t="n"/>
      <c r="AC145" s="5313" t="n"/>
      <c r="AD145" s="932">
        <f>CA145&amp;CB145</f>
        <v/>
      </c>
      <c r="AE145" s="622" t="n"/>
      <c r="AF145" s="622" t="n"/>
      <c r="AG145" s="622" t="n"/>
      <c r="AH145" s="622" t="n"/>
      <c r="AI145" s="622" t="n"/>
      <c r="AJ145" s="622" t="n"/>
      <c r="AK145" s="622" t="n"/>
      <c r="AL145" s="622" t="n"/>
      <c r="AM145" s="622" t="n"/>
      <c r="AN145" s="622" t="n"/>
      <c r="AO145" s="622" t="n"/>
      <c r="AP145" s="622" t="n"/>
      <c r="AQ145" s="622" t="n"/>
      <c r="AR145" s="622" t="n"/>
      <c r="AS145" s="622" t="n"/>
      <c r="AT145" s="622" t="n"/>
      <c r="AU145" s="622" t="n"/>
      <c r="AV145" s="622" t="n"/>
      <c r="AW145" s="622" t="n"/>
      <c r="AX145" s="622" t="n"/>
      <c r="AY145" s="622" t="n"/>
      <c r="CA145" s="240">
        <f>IF(AND($C145&lt;&gt;0,AB145=""),"* No olvide ingresar la variable "&amp;AB$119&amp;""&amp;". Digite CERO si no tiene. ",IF(AB145&gt;$C145,"* La variable Pueblos Originarios no debe ser mayor al Total Ambos Sexos. ",""))</f>
        <v/>
      </c>
      <c r="CB145" s="240">
        <f>IF(AND($C145&lt;&gt;0,AC145=""),"* No olvide ingresar la variable "&amp;AC$119&amp;""&amp;". Digite CERO si no tiene. ",IF(AC145&gt;$C145,"* La variable Migrantes no debe ser mayor al Total Ambos Sexos. ",""))</f>
        <v/>
      </c>
      <c r="CK145" s="246">
        <f>IF(AND($C145&lt;&gt;0,AB145=""),1,IF(AB145&gt;$C145,1,0))</f>
        <v/>
      </c>
      <c r="CL145" s="246">
        <f>IF(AND($C145&lt;&gt;0,AC145=""),1,IF(AC145&gt;$C145,1,0))</f>
        <v/>
      </c>
    </row>
    <row r="146" ht="15" customHeight="1" s="8286">
      <c r="A146" s="9741" t="n"/>
      <c r="B146" s="7469" t="inlineStr">
        <is>
          <t>Discapacidad Profunda</t>
        </is>
      </c>
      <c r="C146" s="1648">
        <f>SUM(D146+E146)</f>
        <v/>
      </c>
      <c r="D146" s="1671">
        <f>SUM(F146+H146+J146+L146+N146+P146+R146+T146+V146+X146+Z146)</f>
        <v/>
      </c>
      <c r="E146" s="1732">
        <f>SUM(G146+I146+K146+M146+O146+Q146+S146+U146+W146+Y146+AA146)</f>
        <v/>
      </c>
      <c r="F146" s="1519" t="n"/>
      <c r="G146" s="1520" t="n"/>
      <c r="H146" s="1519" t="n"/>
      <c r="I146" s="1550" t="n"/>
      <c r="J146" s="1519" t="n"/>
      <c r="K146" s="1550" t="n"/>
      <c r="L146" s="1733" t="n"/>
      <c r="M146" s="1550" t="n"/>
      <c r="N146" s="1519" t="n"/>
      <c r="O146" s="1550" t="n"/>
      <c r="P146" s="1519" t="n"/>
      <c r="Q146" s="1550" t="n"/>
      <c r="R146" s="1519" t="n"/>
      <c r="S146" s="1550" t="n"/>
      <c r="T146" s="1519" t="n"/>
      <c r="U146" s="1550" t="n"/>
      <c r="V146" s="1551" t="n"/>
      <c r="W146" s="1550" t="n"/>
      <c r="X146" s="1551" t="n"/>
      <c r="Y146" s="1550" t="n"/>
      <c r="Z146" s="1734" t="n"/>
      <c r="AA146" s="1735" t="n"/>
      <c r="AB146" s="1734" t="n"/>
      <c r="AC146" s="5314" t="n"/>
      <c r="AD146" s="932">
        <f>CA146&amp;CB146</f>
        <v/>
      </c>
      <c r="AE146" s="622" t="n"/>
      <c r="AF146" s="622" t="n"/>
      <c r="AG146" s="622" t="n"/>
      <c r="AH146" s="622" t="n"/>
      <c r="AI146" s="622" t="n"/>
      <c r="AJ146" s="622" t="n"/>
      <c r="AK146" s="622" t="n"/>
      <c r="AL146" s="622" t="n"/>
      <c r="AM146" s="622" t="n"/>
      <c r="AN146" s="622" t="n"/>
      <c r="AO146" s="622" t="n"/>
      <c r="AP146" s="622" t="n"/>
      <c r="AQ146" s="622" t="n"/>
      <c r="AR146" s="622" t="n"/>
      <c r="AS146" s="622" t="n"/>
      <c r="AT146" s="622" t="n"/>
      <c r="AU146" s="622" t="n"/>
      <c r="AV146" s="622" t="n"/>
      <c r="AW146" s="622" t="n"/>
      <c r="AX146" s="622" t="n"/>
      <c r="AY146" s="622" t="n"/>
      <c r="CA146" s="240">
        <f>IF(AND($C146&lt;&gt;0,AB146=""),"* No olvide ingresar la variable "&amp;AB$119&amp;""&amp;". Digite CERO si no tiene. ",IF(AB146&gt;$C146,"* La variable Pueblos Originarios no debe ser mayor al Total Ambos Sexos. ",""))</f>
        <v/>
      </c>
      <c r="CB146" s="240">
        <f>IF(AND($C146&lt;&gt;0,AC146=""),"* No olvide ingresar la variable "&amp;AC$119&amp;""&amp;". Digite CERO si no tiene. ",IF(AC146&gt;$C146,"* La variable Migrantes no debe ser mayor al Total Ambos Sexos. ",""))</f>
        <v/>
      </c>
      <c r="CK146" s="246">
        <f>IF(AND($C146&lt;&gt;0,AB146=""),1,IF(AB146&gt;$C146,1,0))</f>
        <v/>
      </c>
      <c r="CL146" s="246">
        <f>IF(AND($C146&lt;&gt;0,AC146=""),1,IF(AC146&gt;$C146,1,0))</f>
        <v/>
      </c>
    </row>
    <row r="147" ht="15" customHeight="1" s="8286">
      <c r="A147" s="9613" t="inlineStr">
        <is>
          <t xml:space="preserve">Origen múltiple </t>
        </is>
      </c>
      <c r="B147" s="7198" t="inlineStr">
        <is>
          <t>Sin Discapacidad</t>
        </is>
      </c>
      <c r="C147" s="1721">
        <f>SUM(D147+E147)</f>
        <v/>
      </c>
      <c r="D147" s="1664">
        <f>SUM(F147+H147+J147+L147+N147+P147+R147+T147+V147+X147+Z147)</f>
        <v/>
      </c>
      <c r="E147" s="1722">
        <f>SUM(G147+I147+K147+M147+O147+Q147+S147+U147+W147+Y147+AA147)</f>
        <v/>
      </c>
      <c r="F147" s="1511" t="n"/>
      <c r="G147" s="1512" t="n"/>
      <c r="H147" s="1511" t="n"/>
      <c r="I147" s="1554" t="n"/>
      <c r="J147" s="1511" t="n"/>
      <c r="K147" s="1554" t="n"/>
      <c r="L147" s="1723" t="n"/>
      <c r="M147" s="1554" t="n"/>
      <c r="N147" s="1511" t="n"/>
      <c r="O147" s="1554" t="n"/>
      <c r="P147" s="1511" t="n"/>
      <c r="Q147" s="1554" t="n"/>
      <c r="R147" s="1511" t="n"/>
      <c r="S147" s="1554" t="n"/>
      <c r="T147" s="1511" t="n"/>
      <c r="U147" s="1554" t="n"/>
      <c r="V147" s="1555" t="n"/>
      <c r="W147" s="1554" t="n"/>
      <c r="X147" s="1555" t="n"/>
      <c r="Y147" s="1554" t="n"/>
      <c r="Z147" s="1694" t="n"/>
      <c r="AA147" s="1724" t="n"/>
      <c r="AB147" s="5308" t="n"/>
      <c r="AC147" s="5312" t="n"/>
      <c r="AD147" s="932">
        <f>CA147&amp;CB147</f>
        <v/>
      </c>
      <c r="AE147" s="622" t="n"/>
      <c r="AF147" s="622" t="n"/>
      <c r="AG147" s="622" t="n"/>
      <c r="AH147" s="622" t="n"/>
      <c r="AI147" s="622" t="n"/>
      <c r="AJ147" s="622" t="n"/>
      <c r="AK147" s="622" t="n"/>
      <c r="AL147" s="622" t="n"/>
      <c r="AM147" s="622" t="n"/>
      <c r="AN147" s="622" t="n"/>
      <c r="AO147" s="622" t="n"/>
      <c r="AP147" s="622" t="n"/>
      <c r="AQ147" s="622" t="n"/>
      <c r="AR147" s="622" t="n"/>
      <c r="AS147" s="622" t="n"/>
      <c r="AT147" s="622" t="n"/>
      <c r="AU147" s="622" t="n"/>
      <c r="AV147" s="622" t="n"/>
      <c r="AW147" s="622" t="n"/>
      <c r="AX147" s="622" t="n"/>
      <c r="AY147" s="622" t="n"/>
      <c r="CA147" s="240">
        <f>IF(AND($C147&lt;&gt;0,AB147=""),"* No olvide ingresar la variable "&amp;AB$119&amp;""&amp;". Digite CERO si no tiene. ",IF(AB147&gt;$C147,"* La variable Pueblos Originarios no debe ser mayor al Total Ambos Sexos. ",""))</f>
        <v/>
      </c>
      <c r="CB147" s="240">
        <f>IF(AND($C147&lt;&gt;0,AC147=""),"* No olvide ingresar la variable "&amp;AC$119&amp;""&amp;". Digite CERO si no tiene. ",IF(AC147&gt;$C147,"* La variable Migrantes no debe ser mayor al Total Ambos Sexos. ",""))</f>
        <v/>
      </c>
      <c r="CK147" s="246">
        <f>IF(AND($C147&lt;&gt;0,AB147=""),1,IF(AB147&gt;$C147,1,0))</f>
        <v/>
      </c>
      <c r="CL147" s="246">
        <f>IF(AND($C147&lt;&gt;0,AC147=""),1,IF(AC147&gt;$C147,1,0))</f>
        <v/>
      </c>
    </row>
    <row r="148" ht="15" customHeight="1" s="8286">
      <c r="A148" s="9588" t="n"/>
      <c r="B148" s="7468" t="inlineStr">
        <is>
          <t>Discapacidad Leve</t>
        </is>
      </c>
      <c r="C148" s="1644">
        <f>SUM(D148+E148)</f>
        <v/>
      </c>
      <c r="D148" s="1666">
        <f>SUM(F148+H148+J148+L148+N148+P148+R148+T148+V148+X148+Z148)</f>
        <v/>
      </c>
      <c r="E148" s="983">
        <f>SUM(G148+I148+K148+M148+O148+Q148+S148+U148+W148+Y148+AA148)</f>
        <v/>
      </c>
      <c r="F148" s="1539" t="n"/>
      <c r="G148" s="1544" t="n"/>
      <c r="H148" s="1539" t="n"/>
      <c r="I148" s="1540" t="n"/>
      <c r="J148" s="1539" t="n"/>
      <c r="K148" s="1540" t="n"/>
      <c r="L148" s="1726" t="n"/>
      <c r="M148" s="1540" t="n"/>
      <c r="N148" s="1539" t="n"/>
      <c r="O148" s="1540" t="n"/>
      <c r="P148" s="1539" t="n"/>
      <c r="Q148" s="1540" t="n"/>
      <c r="R148" s="1539" t="n"/>
      <c r="S148" s="1540" t="n"/>
      <c r="T148" s="1539" t="n"/>
      <c r="U148" s="1540" t="n"/>
      <c r="V148" s="1541" t="n"/>
      <c r="W148" s="1540" t="n"/>
      <c r="X148" s="1541" t="n"/>
      <c r="Y148" s="1540" t="n"/>
      <c r="Z148" s="1727" t="n"/>
      <c r="AA148" s="1728" t="n"/>
      <c r="AB148" s="5309" t="n"/>
      <c r="AC148" s="5313" t="n"/>
      <c r="AD148" s="932">
        <f>CA148&amp;CB148</f>
        <v/>
      </c>
      <c r="AE148" s="622" t="n"/>
      <c r="AF148" s="622" t="n"/>
      <c r="AG148" s="622" t="n"/>
      <c r="AH148" s="622" t="n"/>
      <c r="AI148" s="622" t="n"/>
      <c r="AJ148" s="622" t="n"/>
      <c r="AK148" s="622" t="n"/>
      <c r="AL148" s="622" t="n"/>
      <c r="AM148" s="622" t="n"/>
      <c r="AN148" s="622" t="n"/>
      <c r="AO148" s="622" t="n"/>
      <c r="AP148" s="622" t="n"/>
      <c r="AQ148" s="622" t="n"/>
      <c r="AR148" s="622" t="n"/>
      <c r="AS148" s="622" t="n"/>
      <c r="AT148" s="622" t="n"/>
      <c r="AU148" s="622" t="n"/>
      <c r="AV148" s="622" t="n"/>
      <c r="AW148" s="622" t="n"/>
      <c r="AX148" s="622" t="n"/>
      <c r="AY148" s="622" t="n"/>
      <c r="CA148" s="240">
        <f>IF(AND($C148&lt;&gt;0,AB148=""),"* No olvide ingresar la variable "&amp;AB$119&amp;""&amp;". Digite CERO si no tiene. ",IF(AB148&gt;$C148,"* La variable Pueblos Originarios no debe ser mayor al Total Ambos Sexos. ",""))</f>
        <v/>
      </c>
      <c r="CB148" s="240">
        <f>IF(AND($C148&lt;&gt;0,AC148=""),"* No olvide ingresar la variable "&amp;AC$119&amp;""&amp;". Digite CERO si no tiene. ",IF(AC148&gt;$C148,"* La variable Migrantes no debe ser mayor al Total Ambos Sexos. ",""))</f>
        <v/>
      </c>
      <c r="CK148" s="246">
        <f>IF(AND($C148&lt;&gt;0,AB148=""),1,IF(AB148&gt;$C148,1,0))</f>
        <v/>
      </c>
      <c r="CL148" s="246">
        <f>IF(AND($C148&lt;&gt;0,AC148=""),1,IF(AC148&gt;$C148,1,0))</f>
        <v/>
      </c>
    </row>
    <row r="149" ht="15" customHeight="1" s="8286">
      <c r="A149" s="9588" t="n"/>
      <c r="B149" s="7199" t="inlineStr">
        <is>
          <t>Discapacidad Moderada</t>
        </is>
      </c>
      <c r="C149" s="1644">
        <f>SUM(D149+E149)</f>
        <v/>
      </c>
      <c r="D149" s="1666">
        <f>SUM(F149+H149+J149+L149+N149+P149+R149+T149+V149+X149+Z149)</f>
        <v/>
      </c>
      <c r="E149" s="983">
        <f>SUM(G149+I149+K149+M149+O149+Q149+S149+U149+W149+Y149+AA149)</f>
        <v/>
      </c>
      <c r="F149" s="1539" t="n"/>
      <c r="G149" s="1544" t="n"/>
      <c r="H149" s="1539" t="n"/>
      <c r="I149" s="1540" t="n"/>
      <c r="J149" s="1539" t="n"/>
      <c r="K149" s="1540" t="n"/>
      <c r="L149" s="1726" t="n"/>
      <c r="M149" s="1540" t="n"/>
      <c r="N149" s="1539" t="n"/>
      <c r="O149" s="1540" t="n"/>
      <c r="P149" s="1539" t="n"/>
      <c r="Q149" s="1540" t="n"/>
      <c r="R149" s="1539" t="n"/>
      <c r="S149" s="1540" t="n"/>
      <c r="T149" s="1539" t="n"/>
      <c r="U149" s="1540" t="n"/>
      <c r="V149" s="1541" t="n"/>
      <c r="W149" s="1540" t="n"/>
      <c r="X149" s="1541" t="n"/>
      <c r="Y149" s="1540" t="n"/>
      <c r="Z149" s="1727" t="n"/>
      <c r="AA149" s="1728" t="n"/>
      <c r="AB149" s="5309" t="n"/>
      <c r="AC149" s="5313" t="n"/>
      <c r="AD149" s="932">
        <f>CA149&amp;CB149</f>
        <v/>
      </c>
      <c r="AE149" s="622" t="n"/>
      <c r="AF149" s="622" t="n"/>
      <c r="AG149" s="622" t="n"/>
      <c r="AH149" s="622" t="n"/>
      <c r="AI149" s="622" t="n"/>
      <c r="AJ149" s="622" t="n"/>
      <c r="AK149" s="622" t="n"/>
      <c r="AL149" s="622" t="n"/>
      <c r="AM149" s="622" t="n"/>
      <c r="AN149" s="622" t="n"/>
      <c r="AO149" s="622" t="n"/>
      <c r="AP149" s="622" t="n"/>
      <c r="AQ149" s="622" t="n"/>
      <c r="AR149" s="622" t="n"/>
      <c r="AS149" s="622" t="n"/>
      <c r="AT149" s="622" t="n"/>
      <c r="AU149" s="622" t="n"/>
      <c r="AV149" s="622" t="n"/>
      <c r="AW149" s="622" t="n"/>
      <c r="AX149" s="622" t="n"/>
      <c r="AY149" s="622" t="n"/>
      <c r="CA149" s="240">
        <f>IF(AND($C149&lt;&gt;0,AB149=""),"* No olvide ingresar la variable "&amp;AB$119&amp;""&amp;". Digite CERO si no tiene. ",IF(AB149&gt;$C149,"* La variable Pueblos Originarios no debe ser mayor al Total Ambos Sexos. ",""))</f>
        <v/>
      </c>
      <c r="CB149" s="240">
        <f>IF(AND($C149&lt;&gt;0,AC149=""),"* No olvide ingresar la variable "&amp;AC$119&amp;""&amp;". Digite CERO si no tiene. ",IF(AC149&gt;$C149,"* La variable Migrantes no debe ser mayor al Total Ambos Sexos. ",""))</f>
        <v/>
      </c>
      <c r="CK149" s="246">
        <f>IF(AND($C149&lt;&gt;0,AB149=""),1,IF(AB149&gt;$C149,1,0))</f>
        <v/>
      </c>
      <c r="CL149" s="246">
        <f>IF(AND($C149&lt;&gt;0,AC149=""),1,IF(AC149&gt;$C149,1,0))</f>
        <v/>
      </c>
    </row>
    <row r="150" ht="15" customHeight="1" s="8286">
      <c r="A150" s="9588" t="n"/>
      <c r="B150" s="7199" t="inlineStr">
        <is>
          <t>Discapacidad Severa</t>
        </is>
      </c>
      <c r="C150" s="1646">
        <f>SUM(D150+E150)</f>
        <v/>
      </c>
      <c r="D150" s="1730">
        <f>SUM(F150+H150+J150+L150+N150+P150+R150+T150+V150+X150+Z150)</f>
        <v/>
      </c>
      <c r="E150" s="1731">
        <f>SUM(G150+I150+K150+M150+O150+Q150+S150+U150+W150+Y150+AA150)</f>
        <v/>
      </c>
      <c r="F150" s="1539" t="n">
        <v>0</v>
      </c>
      <c r="G150" s="1544" t="n">
        <v>0</v>
      </c>
      <c r="H150" s="1539" t="n">
        <v>0</v>
      </c>
      <c r="I150" s="1540" t="n">
        <v>0</v>
      </c>
      <c r="J150" s="1539" t="n">
        <v>0</v>
      </c>
      <c r="K150" s="1540" t="n">
        <v>0</v>
      </c>
      <c r="L150" s="1726" t="n">
        <v>0</v>
      </c>
      <c r="M150" s="1540" t="n">
        <v>0</v>
      </c>
      <c r="N150" s="1539" t="n">
        <v>1</v>
      </c>
      <c r="O150" s="1540" t="n">
        <v>0</v>
      </c>
      <c r="P150" s="1539" t="n">
        <v>0</v>
      </c>
      <c r="Q150" s="1540" t="n">
        <v>0</v>
      </c>
      <c r="R150" s="1539" t="n">
        <v>0</v>
      </c>
      <c r="S150" s="1540" t="n">
        <v>0</v>
      </c>
      <c r="T150" s="1539" t="n">
        <v>1</v>
      </c>
      <c r="U150" s="1540" t="n">
        <v>1</v>
      </c>
      <c r="V150" s="1541" t="n">
        <v>0</v>
      </c>
      <c r="W150" s="1540" t="n">
        <v>0</v>
      </c>
      <c r="X150" s="1541" t="n">
        <v>0</v>
      </c>
      <c r="Y150" s="1540" t="n">
        <v>0</v>
      </c>
      <c r="Z150" s="1727" t="n">
        <v>0</v>
      </c>
      <c r="AA150" s="1728" t="n">
        <v>2</v>
      </c>
      <c r="AB150" s="5309" t="n">
        <v>0</v>
      </c>
      <c r="AC150" s="5313" t="n">
        <v>0</v>
      </c>
      <c r="AD150" s="932">
        <f>CA150&amp;CB150</f>
        <v/>
      </c>
      <c r="AE150" s="622" t="n"/>
      <c r="AF150" s="622" t="n"/>
      <c r="AG150" s="622" t="n"/>
      <c r="AH150" s="622" t="n"/>
      <c r="AI150" s="622" t="n"/>
      <c r="AJ150" s="622" t="n"/>
      <c r="AK150" s="622" t="n"/>
      <c r="AL150" s="622" t="n"/>
      <c r="AM150" s="622" t="n"/>
      <c r="AN150" s="622" t="n"/>
      <c r="AO150" s="622" t="n"/>
      <c r="AP150" s="622" t="n"/>
      <c r="AQ150" s="622" t="n"/>
      <c r="AR150" s="622" t="n"/>
      <c r="AS150" s="622" t="n"/>
      <c r="AT150" s="622" t="n"/>
      <c r="AU150" s="622" t="n"/>
      <c r="AV150" s="622" t="n"/>
      <c r="AW150" s="622" t="n"/>
      <c r="AX150" s="622" t="n"/>
      <c r="AY150" s="622" t="n"/>
      <c r="CA150" s="240">
        <f>IF(AND($C150&lt;&gt;0,AB150=""),"* No olvide ingresar la variable "&amp;AB$119&amp;""&amp;". Digite CERO si no tiene. ",IF(AB150&gt;$C150,"* La variable Pueblos Originarios no debe ser mayor al Total Ambos Sexos. ",""))</f>
        <v/>
      </c>
      <c r="CB150" s="240">
        <f>IF(AND($C150&lt;&gt;0,AC150=""),"* No olvide ingresar la variable "&amp;AC$119&amp;""&amp;". Digite CERO si no tiene. ",IF(AC150&gt;$C150,"* La variable Migrantes no debe ser mayor al Total Ambos Sexos. ",""))</f>
        <v/>
      </c>
      <c r="CK150" s="246">
        <f>IF(AND($C150&lt;&gt;0,AB150=""),1,IF(AB150&gt;$C150,1,0))</f>
        <v/>
      </c>
      <c r="CL150" s="246">
        <f>IF(AND($C150&lt;&gt;0,AC150=""),1,IF(AC150&gt;$C150,1,0))</f>
        <v/>
      </c>
    </row>
    <row r="151" ht="15" customHeight="1" s="8286">
      <c r="A151" s="9588" t="n"/>
      <c r="B151" s="7469" t="inlineStr">
        <is>
          <t>Discapacidad Profunda</t>
        </is>
      </c>
      <c r="C151" s="1737">
        <f>SUM(D151+E151)</f>
        <v/>
      </c>
      <c r="D151" s="1668">
        <f>SUM(F151+H151+J151+L151+N151+P151+R151+T151+V151+X151+Z151)</f>
        <v/>
      </c>
      <c r="E151" s="1738">
        <f>SUM(G151+I151+K151+M151+O151+Q151+S151+U151+W151+Y151+AA151)</f>
        <v/>
      </c>
      <c r="F151" s="1561" t="n"/>
      <c r="G151" s="1565" t="n"/>
      <c r="H151" s="1561" t="n"/>
      <c r="I151" s="1562" t="n"/>
      <c r="J151" s="1561" t="n"/>
      <c r="K151" s="1562" t="n"/>
      <c r="L151" s="978" t="n"/>
      <c r="M151" s="1562" t="n"/>
      <c r="N151" s="1561" t="n"/>
      <c r="O151" s="1562" t="n"/>
      <c r="P151" s="1561" t="n"/>
      <c r="Q151" s="1562" t="n"/>
      <c r="R151" s="1561" t="n"/>
      <c r="S151" s="1562" t="n"/>
      <c r="T151" s="1561" t="n"/>
      <c r="U151" s="1562" t="n"/>
      <c r="V151" s="1563" t="n"/>
      <c r="W151" s="1562" t="n"/>
      <c r="X151" s="1563" t="n"/>
      <c r="Y151" s="1562" t="n"/>
      <c r="Z151" s="984" t="n"/>
      <c r="AA151" s="1739" t="n"/>
      <c r="AB151" s="984" t="n"/>
      <c r="AC151" s="5315" t="n"/>
      <c r="AD151" s="932">
        <f>CA151&amp;CB151</f>
        <v/>
      </c>
      <c r="AE151" s="622" t="n"/>
      <c r="AF151" s="622" t="n"/>
      <c r="AG151" s="622" t="n"/>
      <c r="AH151" s="622" t="n"/>
      <c r="AI151" s="622" t="n"/>
      <c r="AJ151" s="622" t="n"/>
      <c r="AK151" s="622" t="n"/>
      <c r="AL151" s="622" t="n"/>
      <c r="AM151" s="622" t="n"/>
      <c r="AN151" s="622" t="n"/>
      <c r="AO151" s="622" t="n"/>
      <c r="AP151" s="622" t="n"/>
      <c r="AQ151" s="622" t="n"/>
      <c r="AR151" s="622" t="n"/>
      <c r="AS151" s="622" t="n"/>
      <c r="AT151" s="622" t="n"/>
      <c r="AU151" s="622" t="n"/>
      <c r="AV151" s="622" t="n"/>
      <c r="AW151" s="622" t="n"/>
      <c r="AX151" s="622" t="n"/>
      <c r="AY151" s="622" t="n"/>
      <c r="CA151" s="240">
        <f>IF(AND($C151&lt;&gt;0,AB151=""),"* No olvide ingresar la variable "&amp;AB$119&amp;""&amp;". Digite CERO si no tiene. ",IF(AB151&gt;$C151,"* La variable Pueblos Originarios no debe ser mayor al Total Ambos Sexos. ",""))</f>
        <v/>
      </c>
      <c r="CB151" s="240">
        <f>IF(AND($C151&lt;&gt;0,AC151=""),"* No olvide ingresar la variable "&amp;AC$119&amp;""&amp;". Digite CERO si no tiene. ",IF(AC151&gt;$C151,"* La variable Migrantes no debe ser mayor al Total Ambos Sexos. ",""))</f>
        <v/>
      </c>
      <c r="CK151" s="246">
        <f>IF(AND($C151&lt;&gt;0,AB151=""),1,IF(AB151&gt;$C151,1,0))</f>
        <v/>
      </c>
      <c r="CL151" s="246">
        <f>IF(AND($C151&lt;&gt;0,AC151=""),1,IF(AC151&gt;$C151,1,0))</f>
        <v/>
      </c>
    </row>
    <row r="152" ht="15" customHeight="1" s="8286">
      <c r="A152" s="9631" t="inlineStr">
        <is>
          <t>TOTAL DE EVALUACIONES</t>
        </is>
      </c>
      <c r="B152" s="9632" t="n"/>
      <c r="C152" s="1740">
        <f>SUM(C122:C151)</f>
        <v/>
      </c>
      <c r="D152" s="1741">
        <f>SUM(D122:D151)</f>
        <v/>
      </c>
      <c r="E152" s="1742">
        <f>SUM(E122:E151)</f>
        <v/>
      </c>
      <c r="F152" s="1743">
        <f>SUM(F122:F151)</f>
        <v/>
      </c>
      <c r="G152" s="1744">
        <f>SUM(G122:G151)</f>
        <v/>
      </c>
      <c r="H152" s="1743">
        <f>SUM(H122:H151)</f>
        <v/>
      </c>
      <c r="I152" s="1744">
        <f>SUM(I122:I151)</f>
        <v/>
      </c>
      <c r="J152" s="1743">
        <f>SUM(J122:J151)</f>
        <v/>
      </c>
      <c r="K152" s="1744">
        <f>SUM(K122:K151)</f>
        <v/>
      </c>
      <c r="L152" s="1743">
        <f>SUM(L122:L151)</f>
        <v/>
      </c>
      <c r="M152" s="1744">
        <f>SUM(M122:M151)</f>
        <v/>
      </c>
      <c r="N152" s="1743">
        <f>SUM(N122:N151)</f>
        <v/>
      </c>
      <c r="O152" s="1744">
        <f>SUM(O122:O151)</f>
        <v/>
      </c>
      <c r="P152" s="1743">
        <f>SUM(P122:P151)</f>
        <v/>
      </c>
      <c r="Q152" s="1744">
        <f>SUM(Q122:Q151)</f>
        <v/>
      </c>
      <c r="R152" s="1743">
        <f>SUM(R122:R151)</f>
        <v/>
      </c>
      <c r="S152" s="1744">
        <f>SUM(S122:S151)</f>
        <v/>
      </c>
      <c r="T152" s="1743">
        <f>SUM(T122:T151)</f>
        <v/>
      </c>
      <c r="U152" s="1744">
        <f>SUM(U122:U151)</f>
        <v/>
      </c>
      <c r="V152" s="1743">
        <f>SUM(V122:V151)</f>
        <v/>
      </c>
      <c r="W152" s="1744">
        <f>SUM(W122:W151)</f>
        <v/>
      </c>
      <c r="X152" s="1743">
        <f>SUM(X122:X151)</f>
        <v/>
      </c>
      <c r="Y152" s="1744">
        <f>SUM(Y122:Y151)</f>
        <v/>
      </c>
      <c r="Z152" s="1745">
        <f>SUM(Z122:Z151)</f>
        <v/>
      </c>
      <c r="AA152" s="1746">
        <f>SUM(AA122:AA151)</f>
        <v/>
      </c>
      <c r="AB152" s="5310">
        <f>SUM(AB122:AB151)</f>
        <v/>
      </c>
      <c r="AC152" s="5316">
        <f>SUM(AC122:AC151)</f>
        <v/>
      </c>
      <c r="AD152" s="932" t="n"/>
      <c r="AE152" s="622" t="n"/>
      <c r="AF152" s="622" t="n"/>
      <c r="AG152" s="622" t="n"/>
      <c r="AH152" s="622" t="n"/>
      <c r="AI152" s="622" t="n"/>
      <c r="AJ152" s="622" t="n"/>
      <c r="AK152" s="622" t="n"/>
      <c r="AL152" s="622" t="n"/>
      <c r="AM152" s="622" t="n"/>
      <c r="AN152" s="622" t="n"/>
      <c r="AO152" s="622" t="n"/>
      <c r="AP152" s="622" t="n"/>
      <c r="AQ152" s="622" t="n"/>
      <c r="AR152" s="622" t="n"/>
      <c r="AS152" s="622" t="n"/>
      <c r="AT152" s="622" t="n"/>
      <c r="AU152" s="622" t="n"/>
      <c r="AV152" s="622" t="n"/>
      <c r="AW152" s="622" t="n"/>
      <c r="AX152" s="622" t="n"/>
      <c r="AY152" s="622" t="n"/>
    </row>
    <row r="153" ht="15" customHeight="1" s="8286">
      <c r="A153" s="7465" t="inlineStr">
        <is>
          <t>Evaluaciones para calificación de discapacidad</t>
        </is>
      </c>
      <c r="B153" s="1747" t="inlineStr">
        <is>
          <t>Sin Discapacidad</t>
        </is>
      </c>
      <c r="C153" s="1748" t="n"/>
      <c r="D153" s="1749" t="n"/>
      <c r="E153" s="985" t="n"/>
      <c r="F153" s="1619" t="n"/>
      <c r="G153" s="1750" t="n"/>
      <c r="H153" s="1619" t="n"/>
      <c r="I153" s="986" t="n"/>
      <c r="J153" s="1619" t="n"/>
      <c r="K153" s="986" t="n"/>
      <c r="L153" s="987" t="n"/>
      <c r="M153" s="986" t="n"/>
      <c r="N153" s="1619" t="n"/>
      <c r="O153" s="986" t="n"/>
      <c r="P153" s="1619" t="n"/>
      <c r="Q153" s="986" t="n"/>
      <c r="R153" s="1619" t="n"/>
      <c r="S153" s="986" t="n"/>
      <c r="T153" s="1619" t="n"/>
      <c r="U153" s="986" t="n"/>
      <c r="V153" s="1751" t="n"/>
      <c r="W153" s="986" t="n"/>
      <c r="X153" s="1751" t="n"/>
      <c r="Y153" s="986" t="n"/>
      <c r="Z153" s="987" t="n"/>
      <c r="AA153" s="988" t="n"/>
      <c r="AB153" s="987" t="n"/>
      <c r="AC153" s="5306" t="n"/>
      <c r="AD153" s="932">
        <f>CA153&amp;CB153</f>
        <v/>
      </c>
      <c r="AE153" s="622" t="n"/>
      <c r="AF153" s="622" t="n"/>
      <c r="AG153" s="622" t="n"/>
      <c r="AH153" s="622" t="n"/>
      <c r="AI153" s="622" t="n"/>
      <c r="AJ153" s="622" t="n"/>
      <c r="AK153" s="622" t="n"/>
      <c r="AL153" s="622" t="n"/>
      <c r="AM153" s="622" t="n"/>
      <c r="AN153" s="622" t="n"/>
      <c r="AO153" s="622" t="n"/>
      <c r="AP153" s="622" t="n"/>
      <c r="AQ153" s="622" t="n"/>
      <c r="AR153" s="622" t="n"/>
      <c r="AS153" s="622" t="n"/>
      <c r="AT153" s="622" t="n"/>
      <c r="AU153" s="622" t="n"/>
      <c r="AV153" s="622" t="n"/>
      <c r="AW153" s="622" t="n"/>
      <c r="AX153" s="622" t="n"/>
      <c r="AY153" s="622" t="n"/>
      <c r="CA153" s="240">
        <f>IF(AND($C153&lt;&gt;0,AB153=""),"* No olvide ingresar la variable "&amp;AB$119&amp;""&amp;". Digite CERO si no tiene. ",IF(AB153&gt;$C153,"* La variable Pueblos Originarios no debe ser mayor al Total Ambos Sexos. ",""))</f>
        <v/>
      </c>
      <c r="CB153" s="240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/>
      </c>
      <c r="CL153" s="246">
        <f>IF(AND($C153&lt;&gt;0,AC153=""),1,IF(AC153&gt;$C153,1,0))</f>
        <v/>
      </c>
    </row>
    <row r="154" ht="15" customHeight="1" s="8286">
      <c r="A154" s="642" t="n"/>
      <c r="B154" s="1747" t="inlineStr">
        <is>
          <t>Discapacidad Leve</t>
        </is>
      </c>
      <c r="C154" s="1748" t="n"/>
      <c r="D154" s="1749" t="n"/>
      <c r="E154" s="985" t="n"/>
      <c r="F154" s="1619" t="n"/>
      <c r="G154" s="1750" t="n"/>
      <c r="H154" s="1619" t="n"/>
      <c r="I154" s="986" t="n"/>
      <c r="J154" s="1619" t="n"/>
      <c r="K154" s="986" t="n"/>
      <c r="L154" s="987" t="n"/>
      <c r="M154" s="986" t="n"/>
      <c r="N154" s="1619" t="n"/>
      <c r="O154" s="986" t="n"/>
      <c r="P154" s="1619" t="n"/>
      <c r="Q154" s="986" t="n"/>
      <c r="R154" s="1619" t="n"/>
      <c r="S154" s="986" t="n"/>
      <c r="T154" s="1619" t="n"/>
      <c r="U154" s="986" t="n"/>
      <c r="V154" s="1751" t="n"/>
      <c r="W154" s="986" t="n"/>
      <c r="X154" s="1751" t="n"/>
      <c r="Y154" s="986" t="n"/>
      <c r="Z154" s="987" t="n"/>
      <c r="AA154" s="988" t="n"/>
      <c r="AB154" s="987" t="n"/>
      <c r="AC154" s="5306" t="n"/>
      <c r="AD154" s="932">
        <f>CA154&amp;CB154</f>
        <v/>
      </c>
      <c r="AE154" s="622" t="n"/>
      <c r="AF154" s="622" t="n"/>
      <c r="AG154" s="622" t="n"/>
      <c r="AH154" s="622" t="n"/>
      <c r="AI154" s="622" t="n"/>
      <c r="AJ154" s="622" t="n"/>
      <c r="AK154" s="622" t="n"/>
      <c r="AL154" s="622" t="n"/>
      <c r="AM154" s="622" t="n"/>
      <c r="AN154" s="622" t="n"/>
      <c r="AO154" s="622" t="n"/>
      <c r="AP154" s="622" t="n"/>
      <c r="AQ154" s="622" t="n"/>
      <c r="AR154" s="622" t="n"/>
      <c r="AS154" s="622" t="n"/>
      <c r="AT154" s="622" t="n"/>
      <c r="AU154" s="622" t="n"/>
      <c r="AV154" s="622" t="n"/>
      <c r="AW154" s="622" t="n"/>
      <c r="AX154" s="622" t="n"/>
      <c r="AY154" s="622" t="n"/>
      <c r="CA154" s="240">
        <f>IF(AND($C154&lt;&gt;0,AB154=""),"* No olvide ingresar la variable "&amp;AB$119&amp;""&amp;". Digite CERO si no tiene. ",IF(AB154&gt;$C154,"* La variable Pueblos Originarios no debe ser mayor al Total Ambos Sexos. ",""))</f>
        <v/>
      </c>
      <c r="CB154" s="240">
        <f>IF(AND($C154&lt;&gt;0,AC154=""),"* No olvide ingresar la variable "&amp;AC$119&amp;""&amp;". Digite CERO si no tiene. ",IF(AC154&gt;$C154,"* La variable Migrantes no debe ser mayor al Total Ambos Sexos. ",""))</f>
        <v/>
      </c>
      <c r="CK154" s="246">
        <f>IF(AND($C154&lt;&gt;0,AB154=""),1,IF(AB154&gt;$C154,1,0))</f>
        <v/>
      </c>
      <c r="CL154" s="246">
        <f>IF(AND($C154&lt;&gt;0,AC154=""),1,IF(AC154&gt;$C154,1,0))</f>
        <v/>
      </c>
    </row>
    <row r="155" ht="15" customHeight="1" s="8286">
      <c r="A155" s="642" t="n"/>
      <c r="B155" s="1752" t="inlineStr">
        <is>
          <t>Discapacidad Moderada</t>
        </is>
      </c>
      <c r="C155" s="1748" t="n"/>
      <c r="D155" s="1749" t="n"/>
      <c r="E155" s="985" t="n"/>
      <c r="F155" s="1619" t="n"/>
      <c r="G155" s="1750" t="n"/>
      <c r="H155" s="1619" t="n"/>
      <c r="I155" s="986" t="n"/>
      <c r="J155" s="1619" t="n"/>
      <c r="K155" s="986" t="n"/>
      <c r="L155" s="987" t="n"/>
      <c r="M155" s="986" t="n"/>
      <c r="N155" s="1619" t="n"/>
      <c r="O155" s="986" t="n"/>
      <c r="P155" s="1619" t="n"/>
      <c r="Q155" s="986" t="n"/>
      <c r="R155" s="1619" t="n"/>
      <c r="S155" s="986" t="n"/>
      <c r="T155" s="1619" t="n"/>
      <c r="U155" s="986" t="n"/>
      <c r="V155" s="1751" t="n"/>
      <c r="W155" s="986" t="n"/>
      <c r="X155" s="1751" t="n"/>
      <c r="Y155" s="986" t="n"/>
      <c r="Z155" s="987" t="n"/>
      <c r="AA155" s="988" t="n"/>
      <c r="AB155" s="987" t="n"/>
      <c r="AC155" s="5306" t="n"/>
      <c r="AD155" s="932">
        <f>CA155&amp;CB155</f>
        <v/>
      </c>
      <c r="AE155" s="622" t="n"/>
      <c r="AF155" s="622" t="n"/>
      <c r="AG155" s="622" t="n"/>
      <c r="AH155" s="622" t="n"/>
      <c r="AI155" s="622" t="n"/>
      <c r="AJ155" s="622" t="n"/>
      <c r="AK155" s="622" t="n"/>
      <c r="AL155" s="622" t="n"/>
      <c r="AM155" s="622" t="n"/>
      <c r="AN155" s="622" t="n"/>
      <c r="AO155" s="622" t="n"/>
      <c r="AP155" s="622" t="n"/>
      <c r="AQ155" s="622" t="n"/>
      <c r="AR155" s="622" t="n"/>
      <c r="AS155" s="622" t="n"/>
      <c r="AT155" s="622" t="n"/>
      <c r="AU155" s="622" t="n"/>
      <c r="AV155" s="622" t="n"/>
      <c r="AW155" s="622" t="n"/>
      <c r="AX155" s="622" t="n"/>
      <c r="AY155" s="622" t="n"/>
      <c r="CA155" s="240">
        <f>IF(AND($C155&lt;&gt;0,AB155=""),"* No olvide ingresar la variable "&amp;AB$119&amp;""&amp;". Digite CERO si no tiene. ",IF(AB155&gt;$C155,"* La variable Pueblos Originarios no debe ser mayor al Total Ambos Sexos. ",""))</f>
        <v/>
      </c>
      <c r="CB155" s="240">
        <f>IF(AND($C155&lt;&gt;0,AC155=""),"* No olvide ingresar la variable "&amp;AC$119&amp;""&amp;". Digite CERO si no tiene. ",IF(AC155&gt;$C155,"* La variable Migrantes no debe ser mayor al Total Ambos Sexos. ",""))</f>
        <v/>
      </c>
      <c r="CK155" s="246">
        <f>IF(AND($C155&lt;&gt;0,AB155=""),1,IF(AB155&gt;$C155,1,0))</f>
        <v/>
      </c>
      <c r="CL155" s="246">
        <f>IF(AND($C155&lt;&gt;0,AC155=""),1,IF(AC155&gt;$C155,1,0))</f>
        <v/>
      </c>
    </row>
    <row r="156" ht="15" customHeight="1" s="8286">
      <c r="A156" s="642" t="n"/>
      <c r="B156" s="1752" t="inlineStr">
        <is>
          <t>Discapacidad Severa</t>
        </is>
      </c>
      <c r="C156" s="1748" t="n"/>
      <c r="D156" s="1749" t="n"/>
      <c r="E156" s="985" t="n"/>
      <c r="F156" s="1619" t="n"/>
      <c r="G156" s="1750" t="n"/>
      <c r="H156" s="1619" t="n"/>
      <c r="I156" s="986" t="n"/>
      <c r="J156" s="1619" t="n"/>
      <c r="K156" s="986" t="n"/>
      <c r="L156" s="987" t="n"/>
      <c r="M156" s="986" t="n"/>
      <c r="N156" s="1619" t="n"/>
      <c r="O156" s="986" t="n"/>
      <c r="P156" s="1619" t="n"/>
      <c r="Q156" s="986" t="n"/>
      <c r="R156" s="1619" t="n"/>
      <c r="S156" s="986" t="n"/>
      <c r="T156" s="1619" t="n"/>
      <c r="U156" s="986" t="n"/>
      <c r="V156" s="1751" t="n"/>
      <c r="W156" s="986" t="n"/>
      <c r="X156" s="1751" t="n"/>
      <c r="Y156" s="986" t="n"/>
      <c r="Z156" s="987" t="n"/>
      <c r="AA156" s="988" t="n"/>
      <c r="AB156" s="987" t="n"/>
      <c r="AC156" s="5306" t="n"/>
      <c r="AD156" s="932">
        <f>CA156&amp;CB156</f>
        <v/>
      </c>
      <c r="AE156" s="622" t="n"/>
      <c r="AF156" s="622" t="n"/>
      <c r="AG156" s="622" t="n"/>
      <c r="AH156" s="622" t="n"/>
      <c r="AI156" s="622" t="n"/>
      <c r="AJ156" s="622" t="n"/>
      <c r="AK156" s="622" t="n"/>
      <c r="AL156" s="622" t="n"/>
      <c r="AM156" s="622" t="n"/>
      <c r="AN156" s="622" t="n"/>
      <c r="AO156" s="622" t="n"/>
      <c r="AP156" s="622" t="n"/>
      <c r="AQ156" s="622" t="n"/>
      <c r="AR156" s="622" t="n"/>
      <c r="AS156" s="622" t="n"/>
      <c r="AT156" s="622" t="n"/>
      <c r="AU156" s="622" t="n"/>
      <c r="AV156" s="622" t="n"/>
      <c r="AW156" s="622" t="n"/>
      <c r="AX156" s="622" t="n"/>
      <c r="AY156" s="622" t="n"/>
      <c r="CA156" s="240">
        <f>IF(AND($C156&lt;&gt;0,AB156=""),"* No olvide ingresar la variable "&amp;AB$119&amp;""&amp;". Digite CERO si no tiene. ",IF(AB156&gt;$C156,"* La variable Pueblos Originarios no debe ser mayor al Total Ambos Sexos. ",""))</f>
        <v/>
      </c>
      <c r="CB156" s="240">
        <f>IF(AND($C156&lt;&gt;0,AC156=""),"* No olvide ingresar la variable "&amp;AC$119&amp;""&amp;". Digite CERO si no tiene. ",IF(AC156&gt;$C156,"* La variable Migrantes no debe ser mayor al Total Ambos Sexos. ",""))</f>
        <v/>
      </c>
      <c r="CK156" s="246">
        <f>IF(AND($C156&lt;&gt;0,AB156=""),1,IF(AB156&gt;$C156,1,0))</f>
        <v/>
      </c>
      <c r="CL156" s="246">
        <f>IF(AND($C156&lt;&gt;0,AC156=""),1,IF(AC156&gt;$C156,1,0))</f>
        <v/>
      </c>
    </row>
    <row r="157" ht="15" customHeight="1" s="8286">
      <c r="A157" s="642" t="n"/>
      <c r="B157" s="1753" t="inlineStr">
        <is>
          <t>Discapacidad Profunda</t>
        </is>
      </c>
      <c r="C157" s="989" t="n"/>
      <c r="D157" s="990" t="n"/>
      <c r="E157" s="1754" t="n"/>
      <c r="F157" s="980" t="n"/>
      <c r="G157" s="1690" t="n"/>
      <c r="H157" s="980" t="n"/>
      <c r="I157" s="1755" t="n"/>
      <c r="J157" s="980" t="n"/>
      <c r="K157" s="1755" t="n"/>
      <c r="L157" s="981" t="n"/>
      <c r="M157" s="1755" t="n"/>
      <c r="N157" s="980" t="n"/>
      <c r="O157" s="1755" t="n"/>
      <c r="P157" s="980" t="n"/>
      <c r="Q157" s="1755" t="n"/>
      <c r="R157" s="980" t="n"/>
      <c r="S157" s="1755" t="n"/>
      <c r="T157" s="980" t="n"/>
      <c r="U157" s="1755" t="n"/>
      <c r="V157" s="991" t="n"/>
      <c r="W157" s="1755" t="n"/>
      <c r="X157" s="991" t="n"/>
      <c r="Y157" s="1755" t="n"/>
      <c r="Z157" s="981" t="n"/>
      <c r="AA157" s="1088" t="n"/>
      <c r="AB157" s="981" t="n"/>
      <c r="AC157" s="5317" t="n"/>
      <c r="AD157" s="932">
        <f>CA157&amp;CB157</f>
        <v/>
      </c>
      <c r="AE157" s="622" t="n"/>
      <c r="AF157" s="622" t="n"/>
      <c r="AG157" s="622" t="n"/>
      <c r="AH157" s="622" t="n"/>
      <c r="AI157" s="622" t="n"/>
      <c r="AJ157" s="622" t="n"/>
      <c r="AK157" s="622" t="n"/>
      <c r="AL157" s="622" t="n"/>
      <c r="AM157" s="622" t="n"/>
      <c r="AN157" s="622" t="n"/>
      <c r="AO157" s="622" t="n"/>
      <c r="AP157" s="622" t="n"/>
      <c r="AQ157" s="622" t="n"/>
      <c r="AR157" s="622" t="n"/>
      <c r="AS157" s="622" t="n"/>
      <c r="AT157" s="622" t="n"/>
      <c r="AU157" s="622" t="n"/>
      <c r="AV157" s="622" t="n"/>
      <c r="AW157" s="622" t="n"/>
      <c r="AX157" s="622" t="n"/>
      <c r="AY157" s="622" t="n"/>
      <c r="CA157" s="240">
        <f>IF(AND($C157&lt;&gt;0,AB157=""),"* No olvide ingresar la variable "&amp;AB$119&amp;""&amp;". Digite CERO si no tiene. ",IF(AB157&gt;$C157,"* La variable Pueblos Originarios no debe ser mayor al Total Ambos Sexos. ",""))</f>
        <v/>
      </c>
      <c r="CB157" s="240">
        <f>IF(AND($C157&lt;&gt;0,AC157=""),"* No olvide ingresar la variable "&amp;AC$119&amp;""&amp;". Digite CERO si no tiene. ",IF(AC157&gt;$C157,"* La variable Migrantes no debe ser mayor al Total Ambos Sexos. ",""))</f>
        <v/>
      </c>
      <c r="CK157" s="246">
        <f>IF(AND($C157&lt;&gt;0,AB157=""),1,IF(AB157&gt;$C157,1,0))</f>
        <v/>
      </c>
      <c r="CL157" s="246">
        <f>IF(AND($C157&lt;&gt;0,AC157=""),1,IF(AC157&gt;$C157,1,0))</f>
        <v/>
      </c>
    </row>
    <row r="158">
      <c r="A158" s="9742" t="inlineStr">
        <is>
          <t>TOTAL DE EVALUACIONES</t>
        </is>
      </c>
      <c r="B158" s="9632" t="n"/>
      <c r="C158" s="1756" t="n"/>
      <c r="D158" s="1757" t="n"/>
      <c r="E158" s="1758" t="n"/>
      <c r="F158" s="1759" t="n"/>
      <c r="G158" s="1760" t="n"/>
      <c r="H158" s="1759" t="n"/>
      <c r="I158" s="1760" t="n"/>
      <c r="J158" s="1759" t="n"/>
      <c r="K158" s="1760" t="n"/>
      <c r="L158" s="1759" t="n"/>
      <c r="M158" s="1760" t="n"/>
      <c r="N158" s="1759" t="n"/>
      <c r="O158" s="1760" t="n"/>
      <c r="P158" s="1759" t="n"/>
      <c r="Q158" s="1760" t="n"/>
      <c r="R158" s="1759" t="n"/>
      <c r="S158" s="1760" t="n"/>
      <c r="T158" s="1759" t="n"/>
      <c r="U158" s="1760" t="n"/>
      <c r="V158" s="1759" t="n"/>
      <c r="W158" s="1760" t="n"/>
      <c r="X158" s="1759" t="n"/>
      <c r="Y158" s="1760" t="n"/>
      <c r="Z158" s="1759" t="n"/>
      <c r="AA158" s="1761" t="n"/>
      <c r="AB158" s="5311" t="n"/>
      <c r="AC158" s="5318" t="n"/>
      <c r="AD158" s="622" t="n"/>
      <c r="AE158" s="622" t="n"/>
      <c r="AF158" s="622" t="n"/>
      <c r="AG158" s="622" t="n"/>
      <c r="AH158" s="622" t="n"/>
      <c r="AI158" s="622" t="n"/>
      <c r="AJ158" s="622" t="n"/>
      <c r="AK158" s="622" t="n"/>
      <c r="AL158" s="622" t="n"/>
      <c r="AM158" s="622" t="n"/>
      <c r="AN158" s="622" t="n"/>
      <c r="AO158" s="622" t="n"/>
      <c r="AP158" s="622" t="n"/>
      <c r="AQ158" s="622" t="n"/>
      <c r="AR158" s="622" t="n"/>
      <c r="AS158" s="622" t="n"/>
      <c r="AT158" s="622" t="n"/>
      <c r="AU158" s="622" t="n"/>
      <c r="AV158" s="622" t="n"/>
      <c r="AW158" s="622" t="n"/>
      <c r="AX158" s="622" t="n"/>
      <c r="AY158" s="622" t="n"/>
    </row>
    <row r="159" ht="18" customHeight="1" s="8286">
      <c r="A159" s="1762" t="inlineStr">
        <is>
          <t>SECCION D.3: APLICACIÓN Y RESULTADO DE PAUTA DE EVALUACIÓN Y SALUD MENTAL</t>
        </is>
      </c>
      <c r="B159" s="1763" t="n"/>
      <c r="C159" s="1763" t="n"/>
      <c r="D159" s="1763" t="n"/>
      <c r="E159" s="969" t="n"/>
      <c r="F159" s="992" t="n"/>
      <c r="G159" s="992" t="n"/>
      <c r="H159" s="992" t="n"/>
      <c r="I159" s="992" t="n"/>
      <c r="J159" s="992" t="n"/>
      <c r="K159" s="992" t="n"/>
      <c r="L159" s="992" t="n"/>
      <c r="M159" s="992" t="n"/>
      <c r="N159" s="992" t="n"/>
      <c r="O159" s="992" t="n"/>
      <c r="P159" s="992" t="n"/>
      <c r="Q159" s="992" t="n"/>
      <c r="R159" s="992" t="n"/>
      <c r="S159" s="992" t="n"/>
      <c r="T159" s="992" t="n"/>
      <c r="U159" s="992" t="n"/>
      <c r="V159" s="992" t="n"/>
      <c r="W159" s="992" t="n"/>
      <c r="X159" s="992" t="n"/>
      <c r="Y159" s="992" t="n"/>
      <c r="Z159" s="930" t="n"/>
      <c r="AA159" s="930" t="n"/>
      <c r="AB159" s="993" t="n"/>
      <c r="AC159" s="993" t="n"/>
      <c r="AD159" s="993" t="n"/>
      <c r="AE159" s="993" t="n"/>
      <c r="AF159" s="993" t="n"/>
      <c r="AG159" s="993" t="n"/>
      <c r="AH159" s="993" t="n"/>
      <c r="AI159" s="993" t="n"/>
      <c r="AJ159" s="993" t="n"/>
      <c r="AK159" s="993" t="n"/>
      <c r="AL159" s="993" t="n"/>
      <c r="AM159" s="993" t="n"/>
      <c r="AN159" s="622" t="n"/>
      <c r="AO159" s="622" t="n"/>
      <c r="AP159" s="622" t="n"/>
      <c r="AQ159" s="622" t="n"/>
      <c r="AR159" s="622" t="n"/>
      <c r="AS159" s="622" t="n"/>
      <c r="AT159" s="622" t="n"/>
      <c r="AU159" s="622" t="n"/>
      <c r="AV159" s="622" t="n"/>
      <c r="AW159" s="622" t="n"/>
      <c r="AX159" s="622" t="n"/>
      <c r="AY159" s="622" t="n"/>
    </row>
    <row r="160" ht="15" customHeight="1" s="8286">
      <c r="A160" s="9715" t="inlineStr">
        <is>
          <t>RESULTADOS</t>
        </is>
      </c>
      <c r="B160" s="9630" t="n"/>
      <c r="C160" s="9629" t="inlineStr">
        <is>
          <t>TOTAL</t>
        </is>
      </c>
      <c r="D160" s="9602" t="n"/>
      <c r="E160" s="9630" t="n"/>
      <c r="F160" s="9631" t="inlineStr">
        <is>
          <t>RANGO ETARIO Y SEXO</t>
        </is>
      </c>
      <c r="G160" s="9617" t="n"/>
      <c r="H160" s="9617" t="n"/>
      <c r="I160" s="9617" t="n"/>
      <c r="J160" s="9617" t="n"/>
      <c r="K160" s="9617" t="n"/>
      <c r="L160" s="9617" t="n"/>
      <c r="M160" s="9617" t="n"/>
      <c r="N160" s="9617" t="n"/>
      <c r="O160" s="9617" t="n"/>
      <c r="P160" s="9617" t="n"/>
      <c r="Q160" s="9617" t="n"/>
      <c r="R160" s="9617" t="n"/>
      <c r="S160" s="9617" t="n"/>
      <c r="T160" s="9617" t="n"/>
      <c r="U160" s="9617" t="n"/>
      <c r="V160" s="9617" t="n"/>
      <c r="W160" s="9617" t="n"/>
      <c r="X160" s="9617" t="n"/>
      <c r="Y160" s="9617" t="n"/>
      <c r="Z160" s="9617" t="n"/>
      <c r="AA160" s="9617" t="n"/>
      <c r="AB160" s="9617" t="n"/>
      <c r="AC160" s="9617" t="n"/>
      <c r="AD160" s="9617" t="n"/>
      <c r="AE160" s="9617" t="n"/>
      <c r="AF160" s="9617" t="n"/>
      <c r="AG160" s="9617" t="n"/>
      <c r="AH160" s="9617" t="n"/>
      <c r="AI160" s="9617" t="n"/>
      <c r="AJ160" s="9617" t="n"/>
      <c r="AK160" s="9617" t="n"/>
      <c r="AL160" s="9617" t="n"/>
      <c r="AM160" s="9632" t="n"/>
      <c r="AN160" s="622" t="n"/>
      <c r="AO160" s="622" t="n"/>
      <c r="AP160" s="622" t="n"/>
      <c r="AQ160" s="622" t="n"/>
      <c r="AR160" s="622" t="n"/>
      <c r="AS160" s="622" t="n"/>
      <c r="AT160" s="622" t="n"/>
      <c r="AU160" s="622" t="n"/>
      <c r="AV160" s="622" t="n"/>
      <c r="AW160" s="622" t="n"/>
      <c r="AX160" s="622" t="n"/>
      <c r="AY160" s="622" t="n"/>
    </row>
    <row r="161" ht="15" customHeight="1" s="8286">
      <c r="B161" s="9718" t="n"/>
      <c r="C161" s="9638" t="n"/>
      <c r="D161" s="9697" t="n"/>
      <c r="E161" s="9639" t="n"/>
      <c r="F161" s="9631" t="inlineStr">
        <is>
          <t>0 - 4 años</t>
        </is>
      </c>
      <c r="G161" s="9632" t="n"/>
      <c r="H161" s="9631" t="inlineStr">
        <is>
          <t>5 - 9 años</t>
        </is>
      </c>
      <c r="I161" s="9632" t="n"/>
      <c r="J161" s="9631" t="inlineStr">
        <is>
          <t>10 - 14 años</t>
        </is>
      </c>
      <c r="K161" s="9632" t="n"/>
      <c r="L161" s="1500" t="inlineStr">
        <is>
          <t>15 - 19 años</t>
        </is>
      </c>
      <c r="M161" s="9743" t="n"/>
      <c r="N161" s="9744" t="inlineStr">
        <is>
          <t>20 - 24 años</t>
        </is>
      </c>
      <c r="O161" s="9745" t="n"/>
      <c r="P161" s="9631" t="inlineStr">
        <is>
          <t>25 - 29 años</t>
        </is>
      </c>
      <c r="Q161" s="9632" t="n"/>
      <c r="R161" s="6295" t="inlineStr">
        <is>
          <t>30 - 34 años</t>
        </is>
      </c>
      <c r="S161" s="9647" t="n"/>
      <c r="T161" s="6295" t="inlineStr">
        <is>
          <t>35 - 39 años</t>
        </is>
      </c>
      <c r="U161" s="9647" t="n"/>
      <c r="V161" s="9631" t="inlineStr">
        <is>
          <t>40 - 44 años</t>
        </is>
      </c>
      <c r="W161" s="9632" t="n"/>
      <c r="X161" s="6295" t="inlineStr">
        <is>
          <t>45 - 49 años</t>
        </is>
      </c>
      <c r="Y161" s="9647" t="n"/>
      <c r="Z161" s="9746" t="inlineStr">
        <is>
          <t>50 - 54 años</t>
        </is>
      </c>
      <c r="AA161" s="9632" t="n"/>
      <c r="AB161" s="9746" t="inlineStr">
        <is>
          <t>55 - 59 años</t>
        </is>
      </c>
      <c r="AC161" s="9632" t="n"/>
      <c r="AD161" s="9746" t="inlineStr">
        <is>
          <t>60 - 64 años</t>
        </is>
      </c>
      <c r="AE161" s="9632" t="n"/>
      <c r="AF161" s="9746" t="inlineStr">
        <is>
          <t>65 - 69 años</t>
        </is>
      </c>
      <c r="AG161" s="9632" t="n"/>
      <c r="AH161" s="9746" t="inlineStr">
        <is>
          <t>70 - 74 años</t>
        </is>
      </c>
      <c r="AI161" s="9632" t="n"/>
      <c r="AJ161" s="9746" t="inlineStr">
        <is>
          <t>75 - 79 años</t>
        </is>
      </c>
      <c r="AK161" s="9632" t="n"/>
      <c r="AL161" s="9747" t="inlineStr">
        <is>
          <t>80 y más años</t>
        </is>
      </c>
      <c r="AM161" s="9647" t="n"/>
      <c r="AN161" s="622" t="n"/>
      <c r="AO161" s="622" t="n"/>
      <c r="AP161" s="622" t="n"/>
      <c r="AQ161" s="622" t="n"/>
      <c r="AR161" s="622" t="n"/>
      <c r="AS161" s="622" t="n"/>
      <c r="AT161" s="622" t="n"/>
      <c r="AU161" s="622" t="n"/>
      <c r="AV161" s="622" t="n"/>
      <c r="AW161" s="622" t="n"/>
      <c r="AX161" s="622" t="n"/>
      <c r="AY161" s="622" t="n"/>
    </row>
    <row r="162" ht="15" customHeight="1" s="8286">
      <c r="A162" s="9697" t="n"/>
      <c r="B162" s="9639" t="n"/>
      <c r="C162" s="7164" t="inlineStr">
        <is>
          <t>Ambos Sexos</t>
        </is>
      </c>
      <c r="D162" s="1764" t="inlineStr">
        <is>
          <t>Hombres</t>
        </is>
      </c>
      <c r="E162" s="7487" t="inlineStr">
        <is>
          <t>Mujeres</t>
        </is>
      </c>
      <c r="F162" s="1502" t="inlineStr">
        <is>
          <t>Hombres</t>
        </is>
      </c>
      <c r="G162" s="7487" t="inlineStr">
        <is>
          <t>Mujeres</t>
        </is>
      </c>
      <c r="H162" s="1502" t="inlineStr">
        <is>
          <t>Hombres</t>
        </is>
      </c>
      <c r="I162" s="7487" t="inlineStr">
        <is>
          <t>Mujeres</t>
        </is>
      </c>
      <c r="J162" s="1502" t="inlineStr">
        <is>
          <t>Hombres</t>
        </is>
      </c>
      <c r="K162" s="7487" t="inlineStr">
        <is>
          <t>Mujeres</t>
        </is>
      </c>
      <c r="L162" s="1500" t="inlineStr">
        <is>
          <t>Hombres</t>
        </is>
      </c>
      <c r="M162" s="7223" t="inlineStr">
        <is>
          <t>Mujeres</t>
        </is>
      </c>
      <c r="N162" s="7383" t="inlineStr">
        <is>
          <t>Hombres</t>
        </is>
      </c>
      <c r="O162" s="7399" t="inlineStr">
        <is>
          <t>Mujeres</t>
        </is>
      </c>
      <c r="P162" s="7383" t="inlineStr">
        <is>
          <t>Hombres</t>
        </is>
      </c>
      <c r="Q162" s="7399" t="inlineStr">
        <is>
          <t>Mujeres</t>
        </is>
      </c>
      <c r="R162" s="7400" t="inlineStr">
        <is>
          <t>Hombres</t>
        </is>
      </c>
      <c r="S162" s="7542" t="inlineStr">
        <is>
          <t>Mujeres</t>
        </is>
      </c>
      <c r="T162" s="7400" t="inlineStr">
        <is>
          <t>Hombres</t>
        </is>
      </c>
      <c r="U162" s="7542" t="inlineStr">
        <is>
          <t>Mujeres</t>
        </is>
      </c>
      <c r="V162" s="1500" t="inlineStr">
        <is>
          <t>Hombres</t>
        </is>
      </c>
      <c r="W162" s="7542" t="inlineStr">
        <is>
          <t>Mujeres</t>
        </is>
      </c>
      <c r="X162" s="7400" t="inlineStr">
        <is>
          <t>Hombres</t>
        </is>
      </c>
      <c r="Y162" s="7542" t="inlineStr">
        <is>
          <t>Mujeres</t>
        </is>
      </c>
      <c r="Z162" s="1719" t="inlineStr">
        <is>
          <t>Hombres</t>
        </is>
      </c>
      <c r="AA162" s="1720" t="inlineStr">
        <is>
          <t>Mujeres</t>
        </is>
      </c>
      <c r="AB162" s="1719" t="inlineStr">
        <is>
          <t>Hombres</t>
        </is>
      </c>
      <c r="AC162" s="1720" t="inlineStr">
        <is>
          <t>Mujeres</t>
        </is>
      </c>
      <c r="AD162" s="1719" t="inlineStr">
        <is>
          <t>Hombres</t>
        </is>
      </c>
      <c r="AE162" s="1720" t="inlineStr">
        <is>
          <t>Mujeres</t>
        </is>
      </c>
      <c r="AF162" s="1719" t="inlineStr">
        <is>
          <t>Hombres</t>
        </is>
      </c>
      <c r="AG162" s="1720" t="inlineStr">
        <is>
          <t>Mujeres</t>
        </is>
      </c>
      <c r="AH162" s="1719" t="inlineStr">
        <is>
          <t>Hombres</t>
        </is>
      </c>
      <c r="AI162" s="1720" t="inlineStr">
        <is>
          <t>Mujeres</t>
        </is>
      </c>
      <c r="AJ162" s="1719" t="inlineStr">
        <is>
          <t>Hombres</t>
        </is>
      </c>
      <c r="AK162" s="1720" t="inlineStr">
        <is>
          <t>Mujeres</t>
        </is>
      </c>
      <c r="AL162" s="1765" t="inlineStr">
        <is>
          <t>Hombres</t>
        </is>
      </c>
      <c r="AM162" s="1720" t="inlineStr">
        <is>
          <t>Mujeres</t>
        </is>
      </c>
      <c r="AN162" s="622" t="n"/>
      <c r="AO162" s="622" t="n"/>
      <c r="AP162" s="622" t="n"/>
      <c r="AQ162" s="622" t="n"/>
      <c r="AR162" s="622" t="n"/>
      <c r="AS162" s="622" t="n"/>
      <c r="AT162" s="622" t="n"/>
      <c r="AU162" s="622" t="n"/>
      <c r="AV162" s="622" t="n"/>
      <c r="AW162" s="622" t="n"/>
      <c r="AX162" s="622" t="n"/>
      <c r="AY162" s="622" t="n"/>
    </row>
    <row r="163" ht="15" customHeight="1" s="8286">
      <c r="A163" s="9748" t="inlineStr">
        <is>
          <t>Evaluación al ingreso</t>
        </is>
      </c>
      <c r="B163" s="1766" t="inlineStr">
        <is>
          <t>Bajo</t>
        </is>
      </c>
      <c r="C163" s="1721">
        <f>SUM(D163+E163)</f>
        <v/>
      </c>
      <c r="D163" s="1664">
        <f>SUM(F163+H163+J163+L163+N163+P163+R163+T163+V163+X163+Z163+AB163+AD163+AF163+AH163+AJ163+AL163)</f>
        <v/>
      </c>
      <c r="E163" s="1579">
        <f>SUM(G163+I163+K163+M163+O163+Q163+S163+U163+W163+Y163+AA163+AC163+AE163+AG163+AI163+AK163+AM163)</f>
        <v/>
      </c>
      <c r="F163" s="1511" t="n"/>
      <c r="G163" s="1554" t="n"/>
      <c r="H163" s="1511" t="n"/>
      <c r="I163" s="1554" t="n"/>
      <c r="J163" s="1511" t="n"/>
      <c r="K163" s="1554" t="n"/>
      <c r="L163" s="1511" t="n"/>
      <c r="M163" s="952" t="n"/>
      <c r="N163" s="952" t="n"/>
      <c r="O163" s="1554" t="n"/>
      <c r="P163" s="1511" t="n"/>
      <c r="Q163" s="1554" t="n"/>
      <c r="R163" s="1613" t="n"/>
      <c r="S163" s="1554" t="n"/>
      <c r="T163" s="1613" t="n"/>
      <c r="U163" s="1554" t="n"/>
      <c r="V163" s="1511" t="n"/>
      <c r="W163" s="1554" t="n"/>
      <c r="X163" s="1613" t="n"/>
      <c r="Y163" s="1554" t="n"/>
      <c r="Z163" s="1767" t="n"/>
      <c r="AA163" s="1725" t="n"/>
      <c r="AB163" s="1767" t="n"/>
      <c r="AC163" s="1725" t="n"/>
      <c r="AD163" s="1767" t="n"/>
      <c r="AE163" s="1725" t="n"/>
      <c r="AF163" s="1767" t="n"/>
      <c r="AG163" s="1725" t="n"/>
      <c r="AH163" s="1767" t="n"/>
      <c r="AI163" s="1725" t="n"/>
      <c r="AJ163" s="1767" t="n"/>
      <c r="AK163" s="1725" t="n"/>
      <c r="AL163" s="1768" t="n"/>
      <c r="AM163" s="1725" t="n"/>
      <c r="AN163" s="622" t="n"/>
      <c r="AO163" s="622" t="n"/>
      <c r="AP163" s="622" t="n"/>
      <c r="AQ163" s="622" t="n"/>
      <c r="AR163" s="622" t="n"/>
      <c r="AS163" s="622" t="n"/>
      <c r="AT163" s="622" t="n"/>
      <c r="AU163" s="622" t="n"/>
      <c r="AV163" s="622" t="n"/>
      <c r="AW163" s="622" t="n"/>
      <c r="AX163" s="622" t="n"/>
      <c r="AY163" s="622" t="n"/>
    </row>
    <row r="164" ht="15" customHeight="1" s="8286">
      <c r="A164" s="9625" t="n"/>
      <c r="B164" s="1769" t="inlineStr">
        <is>
          <t>Medio</t>
        </is>
      </c>
      <c r="C164" s="1644">
        <f>SUM(D164+E164)</f>
        <v/>
      </c>
      <c r="D164" s="1666">
        <f>SUM(F164+H164+J164+L164+N164+P164+R164+T164+V164+X164+Z164+AB164+AD164+AF164+AH164+AJ164+AL164)</f>
        <v/>
      </c>
      <c r="E164" s="1583">
        <f>SUM(G164+I164+K164+M164+O164+Q164+S164+U164+W164+Y164+AA164+AC164+AE164+AG164+AI164+AK164+AM164)</f>
        <v/>
      </c>
      <c r="F164" s="1539" t="n"/>
      <c r="G164" s="1540" t="n"/>
      <c r="H164" s="1539" t="n"/>
      <c r="I164" s="1540" t="n"/>
      <c r="J164" s="1539" t="n"/>
      <c r="K164" s="1540" t="n"/>
      <c r="L164" s="1539" t="n"/>
      <c r="M164" s="1616" t="n"/>
      <c r="N164" s="1616" t="n"/>
      <c r="O164" s="1540" t="n"/>
      <c r="P164" s="1539" t="n"/>
      <c r="Q164" s="1540" t="n"/>
      <c r="R164" s="1615" t="n"/>
      <c r="S164" s="1540" t="n"/>
      <c r="T164" s="1615" t="n"/>
      <c r="U164" s="1540" t="n"/>
      <c r="V164" s="1539" t="n"/>
      <c r="W164" s="1540" t="n"/>
      <c r="X164" s="1615" t="n"/>
      <c r="Y164" s="1540" t="n"/>
      <c r="Z164" s="1770" t="n"/>
      <c r="AA164" s="1729" t="n"/>
      <c r="AB164" s="1770" t="n"/>
      <c r="AC164" s="1729" t="n"/>
      <c r="AD164" s="1770" t="n"/>
      <c r="AE164" s="1729" t="n"/>
      <c r="AF164" s="1770" t="n"/>
      <c r="AG164" s="1729" t="n"/>
      <c r="AH164" s="1770" t="n"/>
      <c r="AI164" s="1729" t="n"/>
      <c r="AJ164" s="1770" t="n"/>
      <c r="AK164" s="1729" t="n"/>
      <c r="AL164" s="1771" t="n"/>
      <c r="AM164" s="1729" t="n"/>
      <c r="AN164" s="622" t="n"/>
      <c r="AO164" s="622" t="n"/>
      <c r="AP164" s="622" t="n"/>
      <c r="AQ164" s="622" t="n"/>
      <c r="AR164" s="622" t="n"/>
      <c r="AS164" s="622" t="n"/>
      <c r="AT164" s="622" t="n"/>
      <c r="AU164" s="622" t="n"/>
      <c r="AV164" s="622" t="n"/>
      <c r="AW164" s="622" t="n"/>
      <c r="AX164" s="622" t="n"/>
      <c r="AY164" s="622" t="n"/>
    </row>
    <row r="165" ht="15" customHeight="1" s="8286">
      <c r="A165" s="9641" t="n"/>
      <c r="B165" s="1772" t="inlineStr">
        <is>
          <t>Alto</t>
        </is>
      </c>
      <c r="C165" s="1089">
        <f>SUM(D165+E165)</f>
        <v/>
      </c>
      <c r="D165" s="1773">
        <f>SUM(F165+H165+J165+L165+N165+P165+R165+T165+V165+X165+Z165+AB165+AD165+AF165+AH165+AJ165+AL165)</f>
        <v/>
      </c>
      <c r="E165" s="1589">
        <f>SUM(G165+I165+K165+M165+O165+Q165+S165+U165+W165+Y165+AA165+AC165+AE165+AG165+AI165+AK165+AM165)</f>
        <v/>
      </c>
      <c r="F165" s="1519" t="n"/>
      <c r="G165" s="1550" t="n"/>
      <c r="H165" s="1519" t="n"/>
      <c r="I165" s="1550" t="n"/>
      <c r="J165" s="1519" t="n"/>
      <c r="K165" s="1550" t="n"/>
      <c r="L165" s="1519" t="n"/>
      <c r="M165" s="1625" t="n"/>
      <c r="N165" s="1625" t="n"/>
      <c r="O165" s="1550" t="n"/>
      <c r="P165" s="1519" t="n"/>
      <c r="Q165" s="1550" t="n"/>
      <c r="R165" s="1627" t="n"/>
      <c r="S165" s="1550" t="n"/>
      <c r="T165" s="1627" t="n"/>
      <c r="U165" s="1550" t="n"/>
      <c r="V165" s="1519" t="n"/>
      <c r="W165" s="1550" t="n"/>
      <c r="X165" s="1627" t="n"/>
      <c r="Y165" s="1550" t="n"/>
      <c r="Z165" s="1774" t="n"/>
      <c r="AA165" s="1736" t="n"/>
      <c r="AB165" s="1774" t="n"/>
      <c r="AC165" s="1736" t="n"/>
      <c r="AD165" s="1774" t="n"/>
      <c r="AE165" s="1736" t="n"/>
      <c r="AF165" s="1774" t="n"/>
      <c r="AG165" s="1736" t="n"/>
      <c r="AH165" s="1774" t="n"/>
      <c r="AI165" s="1736" t="n"/>
      <c r="AJ165" s="1774" t="n"/>
      <c r="AK165" s="1736" t="n"/>
      <c r="AL165" s="1775" t="n"/>
      <c r="AM165" s="1736" t="n"/>
      <c r="AN165" s="622" t="n"/>
      <c r="AO165" s="622" t="n"/>
      <c r="AP165" s="622" t="n"/>
      <c r="AQ165" s="622" t="n"/>
      <c r="AR165" s="622" t="n"/>
      <c r="AS165" s="622" t="n"/>
      <c r="AT165" s="622" t="n"/>
      <c r="AU165" s="622" t="n"/>
      <c r="AV165" s="622" t="n"/>
      <c r="AW165" s="622" t="n"/>
      <c r="AX165" s="622" t="n"/>
      <c r="AY165" s="622" t="n"/>
    </row>
    <row r="166" ht="15" customHeight="1" s="8286">
      <c r="A166" s="9748" t="inlineStr">
        <is>
          <t>Evaluación al egreso</t>
        </is>
      </c>
      <c r="B166" s="1766" t="inlineStr">
        <is>
          <t>Bajo</t>
        </is>
      </c>
      <c r="C166" s="1721">
        <f>SUM(D166+E166)</f>
        <v/>
      </c>
      <c r="D166" s="1664">
        <f>SUM(F166+H166+J166+L166+N166+P166+R166+T166+V166+X166+Z166+AB166+AD166+AF166+AH166+AJ166+AL166)</f>
        <v/>
      </c>
      <c r="E166" s="1579">
        <f>SUM(G166+I166+K166+M166+O166+Q166+S166+U166+W166+Y166+AA166+AC166+AE166+AG166+AI166+AK166+AM166)</f>
        <v/>
      </c>
      <c r="F166" s="1511" t="n"/>
      <c r="G166" s="1554" t="n"/>
      <c r="H166" s="1511" t="n"/>
      <c r="I166" s="1554" t="n"/>
      <c r="J166" s="1511" t="n"/>
      <c r="K166" s="1554" t="n"/>
      <c r="L166" s="1511" t="n"/>
      <c r="M166" s="952" t="n"/>
      <c r="N166" s="952" t="n"/>
      <c r="O166" s="1554" t="n"/>
      <c r="P166" s="1511" t="n"/>
      <c r="Q166" s="1554" t="n"/>
      <c r="R166" s="1613" t="n"/>
      <c r="S166" s="1554" t="n"/>
      <c r="T166" s="1613" t="n"/>
      <c r="U166" s="1554" t="n"/>
      <c r="V166" s="1511" t="n"/>
      <c r="W166" s="1554" t="n"/>
      <c r="X166" s="1613" t="n"/>
      <c r="Y166" s="1554" t="n"/>
      <c r="Z166" s="1767" t="n"/>
      <c r="AA166" s="1725" t="n"/>
      <c r="AB166" s="1767" t="n"/>
      <c r="AC166" s="1725" t="n"/>
      <c r="AD166" s="1767" t="n"/>
      <c r="AE166" s="1725" t="n"/>
      <c r="AF166" s="1767" t="n"/>
      <c r="AG166" s="1725" t="n"/>
      <c r="AH166" s="1767" t="n"/>
      <c r="AI166" s="1725" t="n"/>
      <c r="AJ166" s="1767" t="n"/>
      <c r="AK166" s="1725" t="n"/>
      <c r="AL166" s="1768" t="n"/>
      <c r="AM166" s="1725" t="n"/>
      <c r="AN166" s="622" t="n"/>
      <c r="AO166" s="622" t="n"/>
      <c r="AP166" s="622" t="n"/>
      <c r="AQ166" s="622" t="n"/>
      <c r="AR166" s="622" t="n"/>
      <c r="AS166" s="622" t="n"/>
      <c r="AT166" s="622" t="n"/>
      <c r="AU166" s="622" t="n"/>
      <c r="AV166" s="622" t="n"/>
      <c r="AW166" s="622" t="n"/>
      <c r="AX166" s="622" t="n"/>
      <c r="AY166" s="622" t="n"/>
    </row>
    <row r="167" ht="15" customHeight="1" s="8286">
      <c r="A167" s="9625" t="n"/>
      <c r="B167" s="1769" t="inlineStr">
        <is>
          <t>Medio</t>
        </is>
      </c>
      <c r="C167" s="1644">
        <f>SUM(D167+E167)</f>
        <v/>
      </c>
      <c r="D167" s="1666">
        <f>SUM(F167+H167+J167+L167+N167+P167+R167+T167+V167+X167+Z167+AB167+AD167+AF167+AH167+AJ167+AL167)</f>
        <v/>
      </c>
      <c r="E167" s="1583">
        <f>SUM(G167+I167+K167+M167+O167+Q167+S167+U167+W167+Y167+AA167+AC167+AE167+AG167+AI167+AK167+AM167)</f>
        <v/>
      </c>
      <c r="F167" s="1539" t="n"/>
      <c r="G167" s="1540" t="n"/>
      <c r="H167" s="1539" t="n"/>
      <c r="I167" s="1540" t="n"/>
      <c r="J167" s="1539" t="n"/>
      <c r="K167" s="1540" t="n"/>
      <c r="L167" s="1539" t="n"/>
      <c r="M167" s="1616" t="n"/>
      <c r="N167" s="1616" t="n"/>
      <c r="O167" s="1540" t="n"/>
      <c r="P167" s="1539" t="n"/>
      <c r="Q167" s="1540" t="n"/>
      <c r="R167" s="1615" t="n"/>
      <c r="S167" s="1540" t="n"/>
      <c r="T167" s="1615" t="n"/>
      <c r="U167" s="1540" t="n"/>
      <c r="V167" s="1539" t="n"/>
      <c r="W167" s="1540" t="n"/>
      <c r="X167" s="1615" t="n"/>
      <c r="Y167" s="1540" t="n"/>
      <c r="Z167" s="1770" t="n"/>
      <c r="AA167" s="1729" t="n"/>
      <c r="AB167" s="1770" t="n"/>
      <c r="AC167" s="1729" t="n"/>
      <c r="AD167" s="1770" t="n"/>
      <c r="AE167" s="1729" t="n"/>
      <c r="AF167" s="1770" t="n"/>
      <c r="AG167" s="1729" t="n"/>
      <c r="AH167" s="1770" t="n"/>
      <c r="AI167" s="1729" t="n"/>
      <c r="AJ167" s="1770" t="n"/>
      <c r="AK167" s="1729" t="n"/>
      <c r="AL167" s="1771" t="n"/>
      <c r="AM167" s="1729" t="n"/>
      <c r="AN167" s="622" t="n"/>
      <c r="AO167" s="622" t="n"/>
      <c r="AP167" s="622" t="n"/>
      <c r="AQ167" s="622" t="n"/>
      <c r="AR167" s="622" t="n"/>
      <c r="AS167" s="622" t="n"/>
      <c r="AT167" s="622" t="n"/>
      <c r="AU167" s="622" t="n"/>
      <c r="AV167" s="622" t="n"/>
      <c r="AW167" s="622" t="n"/>
      <c r="AX167" s="622" t="n"/>
      <c r="AY167" s="622" t="n"/>
    </row>
    <row r="168" ht="15" customHeight="1" s="8286">
      <c r="A168" s="9641" t="n"/>
      <c r="B168" s="1772" t="inlineStr">
        <is>
          <t>Alto</t>
        </is>
      </c>
      <c r="C168" s="1089">
        <f>SUM(D168+E168)</f>
        <v/>
      </c>
      <c r="D168" s="1773">
        <f>SUM(F168+H168+J168+L168+N168+P168+R168+T168+V168+X168+Z168+AB168+AD168+AF168+AH168+AJ168+AL168)</f>
        <v/>
      </c>
      <c r="E168" s="1589">
        <f>SUM(G168+I168+K168+M168+O168+Q168+S168+U168+W168+Y168+AA168+AC168+AE168+AG168+AI168+AK168+AM168)</f>
        <v/>
      </c>
      <c r="F168" s="1519" t="n"/>
      <c r="G168" s="1550" t="n"/>
      <c r="H168" s="1519" t="n"/>
      <c r="I168" s="1550" t="n"/>
      <c r="J168" s="1519" t="n"/>
      <c r="K168" s="1550" t="n"/>
      <c r="L168" s="1519" t="n"/>
      <c r="M168" s="1625" t="n"/>
      <c r="N168" s="1625" t="n"/>
      <c r="O168" s="1550" t="n"/>
      <c r="P168" s="1519" t="n"/>
      <c r="Q168" s="1550" t="n"/>
      <c r="R168" s="1627" t="n"/>
      <c r="S168" s="1550" t="n"/>
      <c r="T168" s="1627" t="n"/>
      <c r="U168" s="1550" t="n"/>
      <c r="V168" s="1519" t="n"/>
      <c r="W168" s="1550" t="n"/>
      <c r="X168" s="1627" t="n"/>
      <c r="Y168" s="1550" t="n"/>
      <c r="Z168" s="1774" t="n"/>
      <c r="AA168" s="1736" t="n"/>
      <c r="AB168" s="1774" t="n"/>
      <c r="AC168" s="1736" t="n"/>
      <c r="AD168" s="1774" t="n"/>
      <c r="AE168" s="1736" t="n"/>
      <c r="AF168" s="1774" t="n"/>
      <c r="AG168" s="1736" t="n"/>
      <c r="AH168" s="1774" t="n"/>
      <c r="AI168" s="1736" t="n"/>
      <c r="AJ168" s="1774" t="n"/>
      <c r="AK168" s="1736" t="n"/>
      <c r="AL168" s="1775" t="n"/>
      <c r="AM168" s="1736" t="n"/>
      <c r="AN168" s="622" t="n"/>
      <c r="AO168" s="622" t="n"/>
      <c r="AP168" s="622" t="n"/>
      <c r="AQ168" s="622" t="n"/>
      <c r="AR168" s="622" t="n"/>
      <c r="AS168" s="622" t="n"/>
      <c r="AT168" s="622" t="n"/>
      <c r="AU168" s="622" t="n"/>
      <c r="AV168" s="622" t="n"/>
      <c r="AW168" s="622" t="n"/>
      <c r="AX168" s="622" t="n"/>
      <c r="AY168" s="622" t="n"/>
    </row>
    <row r="169" ht="18" customHeight="1" s="8286">
      <c r="A169" s="1762" t="inlineStr">
        <is>
          <t>SECCIÓN D.4: RESULTADO DE APLICACIÓN DE CONDICIÓN DE FUNCIONALIDAD AL EGRESO PROGRAMA "MÁS ADULTOS MAYORES AUTOVALENTES"</t>
        </is>
      </c>
      <c r="B169" s="1491" t="n"/>
      <c r="C169" s="1491" t="n"/>
      <c r="D169" s="1491" t="n"/>
      <c r="E169" s="931" t="n"/>
      <c r="F169" s="931" t="n"/>
      <c r="G169" s="931" t="n"/>
      <c r="H169" s="931" t="n"/>
      <c r="I169" s="931" t="n"/>
      <c r="J169" s="931" t="n"/>
      <c r="K169" s="931" t="n"/>
      <c r="L169" s="931" t="n"/>
      <c r="M169" s="995" t="n"/>
      <c r="N169" s="930" t="n"/>
      <c r="O169" s="930" t="n"/>
      <c r="P169" s="622" t="n"/>
      <c r="Q169" s="622" t="n"/>
      <c r="R169" s="622" t="n"/>
      <c r="S169" s="622" t="n"/>
      <c r="T169" s="622" t="n"/>
      <c r="U169" s="622" t="n"/>
      <c r="V169" s="622" t="n"/>
      <c r="W169" s="622" t="n"/>
      <c r="X169" s="622" t="n"/>
      <c r="Y169" s="622" t="n"/>
      <c r="Z169" s="622" t="n"/>
      <c r="AA169" s="622" t="n"/>
      <c r="AB169" s="622" t="n"/>
      <c r="AC169" s="622" t="n"/>
      <c r="AD169" s="622" t="n"/>
      <c r="AE169" s="622" t="n"/>
      <c r="AF169" s="622" t="n"/>
      <c r="AG169" s="622" t="n"/>
      <c r="AH169" s="622" t="n"/>
      <c r="AI169" s="622" t="n"/>
      <c r="AJ169" s="622" t="n"/>
      <c r="AK169" s="622" t="n"/>
      <c r="AL169" s="622" t="n"/>
      <c r="AM169" s="622" t="n"/>
      <c r="AN169" s="622" t="n"/>
      <c r="AO169" s="622" t="n"/>
      <c r="AP169" s="622" t="n"/>
      <c r="AQ169" s="622" t="n"/>
      <c r="AR169" s="622" t="n"/>
      <c r="AS169" s="622" t="n"/>
      <c r="AT169" s="622" t="n"/>
      <c r="AU169" s="622" t="n"/>
      <c r="AV169" s="622" t="n"/>
      <c r="AW169" s="622" t="n"/>
      <c r="AX169" s="622" t="n"/>
      <c r="AY169" s="622" t="n"/>
    </row>
    <row r="170" ht="15" customHeight="1" s="8286">
      <c r="A170" s="9593" t="inlineStr">
        <is>
          <t>ACTIVIDAD</t>
        </is>
      </c>
      <c r="B170" s="9593" t="inlineStr">
        <is>
          <t>RESULTADO</t>
        </is>
      </c>
      <c r="C170" s="9629" t="inlineStr">
        <is>
          <t>TOTAL</t>
        </is>
      </c>
      <c r="D170" s="9602" t="n"/>
      <c r="E170" s="9630" t="n"/>
      <c r="F170" s="9631" t="inlineStr">
        <is>
          <t>RANGO ETARIO Y SEXO</t>
        </is>
      </c>
      <c r="G170" s="9617" t="n"/>
      <c r="H170" s="9617" t="n"/>
      <c r="I170" s="9617" t="n"/>
      <c r="J170" s="9617" t="n"/>
      <c r="K170" s="9617" t="n"/>
      <c r="L170" s="9617" t="n"/>
      <c r="M170" s="9617" t="n"/>
      <c r="N170" s="9617" t="n"/>
      <c r="O170" s="9632" t="n"/>
      <c r="P170" s="622" t="n"/>
      <c r="Q170" s="622" t="n"/>
      <c r="R170" s="622" t="n"/>
      <c r="S170" s="622" t="n"/>
      <c r="T170" s="622" t="n"/>
      <c r="U170" s="622" t="n"/>
      <c r="V170" s="622" t="n"/>
      <c r="W170" s="622" t="n"/>
      <c r="X170" s="622" t="n"/>
      <c r="Y170" s="622" t="n"/>
      <c r="Z170" s="622" t="n"/>
      <c r="AA170" s="622" t="n"/>
      <c r="AB170" s="622" t="n"/>
      <c r="AC170" s="622" t="n"/>
      <c r="AD170" s="622" t="n"/>
      <c r="AE170" s="622" t="n"/>
      <c r="AF170" s="622" t="n"/>
      <c r="AG170" s="622" t="n"/>
      <c r="AH170" s="622" t="n"/>
      <c r="AI170" s="622" t="n"/>
      <c r="AJ170" s="622" t="n"/>
      <c r="AK170" s="622" t="n"/>
      <c r="AL170" s="622" t="n"/>
      <c r="AM170" s="622" t="n"/>
      <c r="AN170" s="622" t="n"/>
      <c r="AO170" s="622" t="n"/>
      <c r="AP170" s="622" t="n"/>
      <c r="AQ170" s="622" t="n"/>
      <c r="AR170" s="622" t="n"/>
      <c r="AS170" s="622" t="n"/>
      <c r="AT170" s="622" t="n"/>
      <c r="AU170" s="622" t="n"/>
      <c r="AV170" s="622" t="n"/>
      <c r="AW170" s="622" t="n"/>
      <c r="AX170" s="622" t="n"/>
      <c r="AY170" s="622" t="n"/>
    </row>
    <row r="171" ht="15" customHeight="1" s="8286">
      <c r="A171" s="9588" t="n"/>
      <c r="B171" s="9588" t="n"/>
      <c r="C171" s="9638" t="n"/>
      <c r="D171" s="9697" t="n"/>
      <c r="E171" s="9639" t="n"/>
      <c r="F171" s="9631" t="inlineStr">
        <is>
          <t>60 - 64 años</t>
        </is>
      </c>
      <c r="G171" s="9632" t="n"/>
      <c r="H171" s="9631" t="inlineStr">
        <is>
          <t>65 - 69 años</t>
        </is>
      </c>
      <c r="I171" s="9632" t="n"/>
      <c r="J171" s="9631" t="inlineStr">
        <is>
          <t>70 - 74 años</t>
        </is>
      </c>
      <c r="K171" s="9632" t="n"/>
      <c r="L171" s="9631" t="inlineStr">
        <is>
          <t>75 - 79 años</t>
        </is>
      </c>
      <c r="M171" s="9632" t="n"/>
      <c r="N171" s="9631" t="inlineStr">
        <is>
          <t>80 y más años</t>
        </is>
      </c>
      <c r="O171" s="9632" t="n"/>
      <c r="P171" s="622" t="n"/>
      <c r="Q171" s="622" t="n"/>
      <c r="R171" s="622" t="n"/>
      <c r="S171" s="622" t="n"/>
      <c r="T171" s="622" t="n"/>
      <c r="U171" s="622" t="n"/>
      <c r="V171" s="622" t="n"/>
      <c r="W171" s="622" t="n"/>
      <c r="X171" s="622" t="n"/>
      <c r="Y171" s="622" t="n"/>
      <c r="Z171" s="622" t="n"/>
      <c r="AA171" s="622" t="n"/>
      <c r="AB171" s="622" t="n"/>
      <c r="AC171" s="622" t="n"/>
      <c r="AD171" s="622" t="n"/>
      <c r="AE171" s="622" t="n"/>
      <c r="AF171" s="622" t="n"/>
      <c r="AG171" s="622" t="n"/>
      <c r="AH171" s="622" t="n"/>
      <c r="AI171" s="622" t="n"/>
      <c r="AJ171" s="622" t="n"/>
      <c r="AK171" s="622" t="n"/>
      <c r="AL171" s="622" t="n"/>
      <c r="AM171" s="622" t="n"/>
      <c r="AN171" s="622" t="n"/>
      <c r="AO171" s="622" t="n"/>
      <c r="AP171" s="622" t="n"/>
      <c r="AQ171" s="622" t="n"/>
      <c r="AR171" s="622" t="n"/>
      <c r="AS171" s="622" t="n"/>
      <c r="AT171" s="622" t="n"/>
      <c r="AU171" s="622" t="n"/>
      <c r="AV171" s="622" t="n"/>
      <c r="AW171" s="622" t="n"/>
      <c r="AX171" s="622" t="n"/>
      <c r="AY171" s="622" t="n"/>
    </row>
    <row r="172" ht="15" customHeight="1" s="8286">
      <c r="A172" s="9589" t="n"/>
      <c r="B172" s="9589" t="n"/>
      <c r="C172" s="7164" t="inlineStr">
        <is>
          <t>Ambos Sexos</t>
        </is>
      </c>
      <c r="D172" s="1764" t="inlineStr">
        <is>
          <t>Hombres</t>
        </is>
      </c>
      <c r="E172" s="7487" t="inlineStr">
        <is>
          <t>Mujeres</t>
        </is>
      </c>
      <c r="F172" s="1502" t="inlineStr">
        <is>
          <t>Hombres</t>
        </is>
      </c>
      <c r="G172" s="7487" t="inlineStr">
        <is>
          <t>Mujeres</t>
        </is>
      </c>
      <c r="H172" s="1502" t="inlineStr">
        <is>
          <t>Hombres</t>
        </is>
      </c>
      <c r="I172" s="7487" t="inlineStr">
        <is>
          <t>Mujeres</t>
        </is>
      </c>
      <c r="J172" s="1502" t="inlineStr">
        <is>
          <t>Hombres</t>
        </is>
      </c>
      <c r="K172" s="7487" t="inlineStr">
        <is>
          <t>Mujeres</t>
        </is>
      </c>
      <c r="L172" s="1502" t="inlineStr">
        <is>
          <t>Hombres</t>
        </is>
      </c>
      <c r="M172" s="7487" t="inlineStr">
        <is>
          <t>Mujeres</t>
        </is>
      </c>
      <c r="N172" s="1502" t="inlineStr">
        <is>
          <t>Hombres</t>
        </is>
      </c>
      <c r="O172" s="7487" t="inlineStr">
        <is>
          <t>Mujeres</t>
        </is>
      </c>
      <c r="P172" s="622" t="n"/>
      <c r="Q172" s="622" t="n"/>
      <c r="R172" s="622" t="n"/>
      <c r="S172" s="622" t="n"/>
      <c r="T172" s="622" t="n"/>
      <c r="U172" s="622" t="n"/>
      <c r="V172" s="622" t="n"/>
      <c r="W172" s="622" t="n"/>
      <c r="X172" s="622" t="n"/>
      <c r="Y172" s="622" t="n"/>
      <c r="Z172" s="622" t="n"/>
      <c r="AA172" s="622" t="n"/>
      <c r="AB172" s="622" t="n"/>
      <c r="AC172" s="622" t="n"/>
      <c r="AD172" s="622" t="n"/>
      <c r="AE172" s="622" t="n"/>
      <c r="AF172" s="622" t="n"/>
      <c r="AG172" s="622" t="n"/>
      <c r="AH172" s="622" t="n"/>
      <c r="AI172" s="622" t="n"/>
      <c r="AJ172" s="622" t="n"/>
      <c r="AK172" s="622" t="n"/>
      <c r="AL172" s="622" t="n"/>
      <c r="AM172" s="622" t="n"/>
      <c r="AN172" s="622" t="n"/>
      <c r="AO172" s="622" t="n"/>
      <c r="AP172" s="622" t="n"/>
      <c r="AQ172" s="622" t="n"/>
      <c r="AR172" s="622" t="n"/>
      <c r="AS172" s="622" t="n"/>
      <c r="AT172" s="622" t="n"/>
      <c r="AU172" s="622" t="n"/>
      <c r="AV172" s="622" t="n"/>
      <c r="AW172" s="622" t="n"/>
      <c r="AX172" s="622" t="n"/>
      <c r="AY172" s="622" t="n"/>
    </row>
    <row r="173" ht="15" customHeight="1" s="8286">
      <c r="A173" s="9612" t="inlineStr">
        <is>
          <t>Timed up and Go</t>
        </is>
      </c>
      <c r="B173" s="1766" t="inlineStr">
        <is>
          <t>Mejora</t>
        </is>
      </c>
      <c r="C173" s="1721">
        <f>SUM(D173+E173)</f>
        <v/>
      </c>
      <c r="D173" s="1664">
        <f>SUM(F173+H173+J173+L173+N173)</f>
        <v/>
      </c>
      <c r="E173" s="1579">
        <f>SUM(G173+I173+K173+M173+O173)</f>
        <v/>
      </c>
      <c r="F173" s="1511" t="n"/>
      <c r="G173" s="1556" t="n"/>
      <c r="H173" s="1511" t="n"/>
      <c r="I173" s="1554" t="n"/>
      <c r="J173" s="1613" t="n"/>
      <c r="K173" s="1556" t="n"/>
      <c r="L173" s="1511" t="n"/>
      <c r="M173" s="1554" t="n"/>
      <c r="N173" s="1511" t="n"/>
      <c r="O173" s="1554" t="n"/>
      <c r="P173" s="622" t="n"/>
      <c r="Q173" s="622" t="n"/>
      <c r="R173" s="622" t="n"/>
      <c r="S173" s="622" t="n"/>
      <c r="T173" s="622" t="n"/>
      <c r="U173" s="622" t="n"/>
      <c r="V173" s="622" t="n"/>
      <c r="W173" s="622" t="n"/>
      <c r="X173" s="622" t="n"/>
      <c r="Y173" s="622" t="n"/>
      <c r="Z173" s="622" t="n"/>
      <c r="AA173" s="622" t="n"/>
      <c r="AB173" s="622" t="n"/>
      <c r="AC173" s="622" t="n"/>
      <c r="AD173" s="622" t="n"/>
      <c r="AE173" s="622" t="n"/>
      <c r="AF173" s="622" t="n"/>
      <c r="AG173" s="622" t="n"/>
      <c r="AH173" s="622" t="n"/>
      <c r="AI173" s="622" t="n"/>
      <c r="AJ173" s="622" t="n"/>
      <c r="AK173" s="622" t="n"/>
      <c r="AL173" s="622" t="n"/>
      <c r="AM173" s="622" t="n"/>
      <c r="AN173" s="622" t="n"/>
      <c r="AO173" s="622" t="n"/>
      <c r="AP173" s="622" t="n"/>
      <c r="AQ173" s="622" t="n"/>
      <c r="AR173" s="622" t="n"/>
      <c r="AS173" s="622" t="n"/>
      <c r="AT173" s="622" t="n"/>
      <c r="AU173" s="622" t="n"/>
      <c r="AV173" s="622" t="n"/>
      <c r="AW173" s="622" t="n"/>
      <c r="AX173" s="622" t="n"/>
      <c r="AY173" s="622" t="n"/>
    </row>
    <row r="174" ht="15" customHeight="1" s="8286">
      <c r="A174" s="9588" t="n"/>
      <c r="B174" s="1646" t="inlineStr">
        <is>
          <t xml:space="preserve">Mantiene </t>
        </is>
      </c>
      <c r="C174" s="996">
        <f>SUM(D174+E174)</f>
        <v/>
      </c>
      <c r="D174" s="997">
        <f>SUM(F174+H174+J174+L174+N174)</f>
        <v/>
      </c>
      <c r="E174" s="1776">
        <f>SUM(G174+I174+K174+M174+O174)</f>
        <v/>
      </c>
      <c r="F174" s="998" t="n"/>
      <c r="G174" s="1777" t="n"/>
      <c r="H174" s="998" t="n"/>
      <c r="I174" s="1778" t="n"/>
      <c r="J174" s="999" t="n"/>
      <c r="K174" s="1777" t="n"/>
      <c r="L174" s="998" t="n"/>
      <c r="M174" s="1778" t="n"/>
      <c r="N174" s="998" t="n"/>
      <c r="O174" s="1778" t="n"/>
      <c r="P174" s="622" t="n"/>
      <c r="Q174" s="622" t="n"/>
      <c r="R174" s="622" t="n"/>
      <c r="S174" s="622" t="n"/>
      <c r="T174" s="622" t="n"/>
      <c r="U174" s="622" t="n"/>
      <c r="V174" s="622" t="n"/>
      <c r="W174" s="622" t="n"/>
      <c r="X174" s="622" t="n"/>
      <c r="Y174" s="622" t="n"/>
      <c r="Z174" s="622" t="n"/>
      <c r="AA174" s="622" t="n"/>
      <c r="AB174" s="622" t="n"/>
      <c r="AC174" s="622" t="n"/>
      <c r="AD174" s="622" t="n"/>
      <c r="AE174" s="622" t="n"/>
      <c r="AF174" s="622" t="n"/>
      <c r="AG174" s="622" t="n"/>
      <c r="AH174" s="622" t="n"/>
      <c r="AI174" s="622" t="n"/>
      <c r="AJ174" s="622" t="n"/>
      <c r="AK174" s="622" t="n"/>
      <c r="AL174" s="622" t="n"/>
      <c r="AM174" s="622" t="n"/>
      <c r="AN174" s="622" t="n"/>
      <c r="AO174" s="622" t="n"/>
      <c r="AP174" s="622" t="n"/>
      <c r="AQ174" s="622" t="n"/>
      <c r="AR174" s="622" t="n"/>
      <c r="AS174" s="622" t="n"/>
      <c r="AT174" s="622" t="n"/>
      <c r="AU174" s="622" t="n"/>
      <c r="AV174" s="622" t="n"/>
      <c r="AW174" s="622" t="n"/>
      <c r="AX174" s="622" t="n"/>
      <c r="AY174" s="622" t="n"/>
    </row>
    <row r="175" ht="15" customHeight="1" s="8286">
      <c r="A175" s="9589" t="n"/>
      <c r="B175" s="1779" t="inlineStr">
        <is>
          <t>Disminuye</t>
        </is>
      </c>
      <c r="C175" s="1780">
        <f>SUM(D175+E175)</f>
        <v/>
      </c>
      <c r="D175" s="1668">
        <f>SUM(F175+H175+J175+L175+N175)</f>
        <v/>
      </c>
      <c r="E175" s="1669">
        <f>SUM(G175+I175+K175+M175+O175)</f>
        <v/>
      </c>
      <c r="F175" s="1561" t="n"/>
      <c r="G175" s="1564" t="n"/>
      <c r="H175" s="1561" t="n"/>
      <c r="I175" s="1562" t="n"/>
      <c r="J175" s="1781" t="n"/>
      <c r="K175" s="1564" t="n"/>
      <c r="L175" s="1561" t="n"/>
      <c r="M175" s="1562" t="n"/>
      <c r="N175" s="1561" t="n"/>
      <c r="O175" s="1562" t="n"/>
      <c r="P175" s="622" t="n"/>
      <c r="Q175" s="622" t="n"/>
      <c r="R175" s="622" t="n"/>
      <c r="S175" s="622" t="n"/>
      <c r="T175" s="622" t="n"/>
      <c r="U175" s="622" t="n"/>
      <c r="V175" s="622" t="n"/>
      <c r="W175" s="622" t="n"/>
      <c r="X175" s="622" t="n"/>
      <c r="Y175" s="622" t="n"/>
      <c r="Z175" s="622" t="n"/>
      <c r="AA175" s="622" t="n"/>
      <c r="AB175" s="622" t="n"/>
      <c r="AC175" s="622" t="n"/>
      <c r="AD175" s="622" t="n"/>
      <c r="AE175" s="622" t="n"/>
      <c r="AF175" s="622" t="n"/>
      <c r="AG175" s="622" t="n"/>
      <c r="AH175" s="622" t="n"/>
      <c r="AI175" s="622" t="n"/>
      <c r="AJ175" s="622" t="n"/>
      <c r="AK175" s="622" t="n"/>
      <c r="AL175" s="622" t="n"/>
      <c r="AM175" s="622" t="n"/>
      <c r="AN175" s="622" t="n"/>
      <c r="AO175" s="622" t="n"/>
      <c r="AP175" s="622" t="n"/>
      <c r="AQ175" s="622" t="n"/>
      <c r="AR175" s="622" t="n"/>
      <c r="AS175" s="622" t="n"/>
      <c r="AT175" s="622" t="n"/>
      <c r="AU175" s="622" t="n"/>
      <c r="AV175" s="622" t="n"/>
      <c r="AW175" s="622" t="n"/>
      <c r="AX175" s="622" t="n"/>
      <c r="AY175" s="622" t="n"/>
    </row>
    <row r="176" ht="15" customHeight="1" s="8286">
      <c r="A176" s="9612" t="inlineStr">
        <is>
          <t>Cuestionario</t>
        </is>
      </c>
      <c r="B176" s="1766" t="inlineStr">
        <is>
          <t>Mejora</t>
        </is>
      </c>
      <c r="C176" s="1721">
        <f>SUM(D176+E176)</f>
        <v/>
      </c>
      <c r="D176" s="1664">
        <f>SUM(F176+H176+J176+L176+N176)</f>
        <v/>
      </c>
      <c r="E176" s="1579">
        <f>SUM(G176+I176+K176+M176+O176)</f>
        <v/>
      </c>
      <c r="F176" s="1511" t="n"/>
      <c r="G176" s="1554" t="n"/>
      <c r="H176" s="1511" t="n"/>
      <c r="I176" s="1556" t="n"/>
      <c r="J176" s="1511" t="n"/>
      <c r="K176" s="1554" t="n"/>
      <c r="L176" s="1613" t="n"/>
      <c r="M176" s="1556" t="n"/>
      <c r="N176" s="1511" t="n"/>
      <c r="O176" s="1554" t="n"/>
      <c r="P176" s="622" t="n"/>
      <c r="Q176" s="622" t="n"/>
      <c r="R176" s="622" t="n"/>
      <c r="S176" s="622" t="n"/>
      <c r="T176" s="622" t="n"/>
      <c r="U176" s="622" t="n"/>
      <c r="V176" s="622" t="n"/>
      <c r="W176" s="622" t="n"/>
      <c r="X176" s="622" t="n"/>
      <c r="Y176" s="622" t="n"/>
      <c r="Z176" s="622" t="n"/>
      <c r="AA176" s="622" t="n"/>
      <c r="AB176" s="622" t="n"/>
      <c r="AC176" s="622" t="n"/>
      <c r="AD176" s="622" t="n"/>
      <c r="AE176" s="622" t="n"/>
      <c r="AF176" s="622" t="n"/>
      <c r="AG176" s="622" t="n"/>
      <c r="AH176" s="622" t="n"/>
      <c r="AI176" s="622" t="n"/>
      <c r="AJ176" s="622" t="n"/>
      <c r="AK176" s="622" t="n"/>
      <c r="AL176" s="622" t="n"/>
      <c r="AM176" s="622" t="n"/>
      <c r="AN176" s="622" t="n"/>
      <c r="AO176" s="622" t="n"/>
      <c r="AP176" s="622" t="n"/>
      <c r="AQ176" s="622" t="n"/>
      <c r="AR176" s="622" t="n"/>
      <c r="AS176" s="622" t="n"/>
      <c r="AT176" s="622" t="n"/>
      <c r="AU176" s="622" t="n"/>
      <c r="AV176" s="622" t="n"/>
      <c r="AW176" s="622" t="n"/>
      <c r="AX176" s="622" t="n"/>
      <c r="AY176" s="622" t="n"/>
    </row>
    <row r="177" ht="15" customHeight="1" s="8286">
      <c r="A177" s="9588" t="n"/>
      <c r="B177" s="1646" t="inlineStr">
        <is>
          <t xml:space="preserve">Mantiene </t>
        </is>
      </c>
      <c r="C177" s="1646">
        <f>SUM(D177+E177)</f>
        <v/>
      </c>
      <c r="D177" s="1730">
        <f>SUM(F177+H177+J177+L177+N177)</f>
        <v/>
      </c>
      <c r="E177" s="1586">
        <f>SUM(G177+I177+K177+M177+O177)</f>
        <v/>
      </c>
      <c r="F177" s="998" t="n"/>
      <c r="G177" s="1778" t="n"/>
      <c r="H177" s="1539" t="n"/>
      <c r="I177" s="1542" t="n"/>
      <c r="J177" s="1539" t="n"/>
      <c r="K177" s="1540" t="n"/>
      <c r="L177" s="1615" t="n"/>
      <c r="M177" s="1542" t="n"/>
      <c r="N177" s="1539" t="n"/>
      <c r="O177" s="1540" t="n"/>
      <c r="P177" s="622" t="n"/>
      <c r="Q177" s="622" t="n"/>
      <c r="R177" s="622" t="n"/>
      <c r="S177" s="622" t="n"/>
      <c r="T177" s="622" t="n"/>
      <c r="U177" s="622" t="n"/>
      <c r="V177" s="622" t="n"/>
      <c r="W177" s="622" t="n"/>
      <c r="X177" s="622" t="n"/>
      <c r="Y177" s="622" t="n"/>
      <c r="Z177" s="622" t="n"/>
      <c r="AA177" s="622" t="n"/>
      <c r="AB177" s="622" t="n"/>
      <c r="AC177" s="622" t="n"/>
      <c r="AD177" s="622" t="n"/>
      <c r="AE177" s="622" t="n"/>
      <c r="AF177" s="622" t="n"/>
      <c r="AG177" s="622" t="n"/>
      <c r="AH177" s="622" t="n"/>
      <c r="AI177" s="622" t="n"/>
      <c r="AJ177" s="622" t="n"/>
      <c r="AK177" s="622" t="n"/>
      <c r="AL177" s="622" t="n"/>
      <c r="AM177" s="622" t="n"/>
      <c r="AN177" s="622" t="n"/>
      <c r="AO177" s="622" t="n"/>
      <c r="AP177" s="622" t="n"/>
      <c r="AQ177" s="622" t="n"/>
      <c r="AR177" s="622" t="n"/>
      <c r="AS177" s="622" t="n"/>
      <c r="AT177" s="622" t="n"/>
      <c r="AU177" s="622" t="n"/>
      <c r="AV177" s="622" t="n"/>
      <c r="AW177" s="622" t="n"/>
      <c r="AX177" s="622" t="n"/>
      <c r="AY177" s="622" t="n"/>
    </row>
    <row r="178" ht="15" customHeight="1" s="8286">
      <c r="A178" s="9589" t="n"/>
      <c r="B178" s="1779" t="inlineStr">
        <is>
          <t>Disminuye</t>
        </is>
      </c>
      <c r="C178" s="1648">
        <f>SUM(D178+E178)</f>
        <v/>
      </c>
      <c r="D178" s="1671">
        <f>SUM(F178+H178+J178+L178+N178)</f>
        <v/>
      </c>
      <c r="E178" s="1672">
        <f>SUM(G178+I178+K178+M178+O178)</f>
        <v/>
      </c>
      <c r="F178" s="1519" t="n"/>
      <c r="G178" s="1550" t="n"/>
      <c r="H178" s="1519" t="n"/>
      <c r="I178" s="1552" t="n"/>
      <c r="J178" s="1519" t="n"/>
      <c r="K178" s="1550" t="n"/>
      <c r="L178" s="1627" t="n"/>
      <c r="M178" s="1552" t="n"/>
      <c r="N178" s="1519" t="n"/>
      <c r="O178" s="1550" t="n"/>
      <c r="P178" s="622" t="n"/>
      <c r="Q178" s="622" t="n"/>
      <c r="R178" s="622" t="n"/>
      <c r="S178" s="622" t="n"/>
      <c r="T178" s="622" t="n"/>
      <c r="U178" s="622" t="n"/>
      <c r="V178" s="622" t="n"/>
      <c r="W178" s="622" t="n"/>
      <c r="X178" s="622" t="n"/>
      <c r="Y178" s="622" t="n"/>
      <c r="Z178" s="622" t="n"/>
      <c r="AA178" s="622" t="n"/>
      <c r="AB178" s="622" t="n"/>
      <c r="AC178" s="622" t="n"/>
      <c r="AD178" s="622" t="n"/>
      <c r="AE178" s="622" t="n"/>
      <c r="AF178" s="622" t="n"/>
      <c r="AG178" s="622" t="n"/>
      <c r="AH178" s="622" t="n"/>
      <c r="AI178" s="622" t="n"/>
      <c r="AJ178" s="622" t="n"/>
      <c r="AK178" s="622" t="n"/>
      <c r="AL178" s="622" t="n"/>
      <c r="AM178" s="622" t="n"/>
      <c r="AN178" s="622" t="n"/>
      <c r="AO178" s="622" t="n"/>
      <c r="AP178" s="622" t="n"/>
      <c r="AQ178" s="622" t="n"/>
      <c r="AR178" s="622" t="n"/>
      <c r="AS178" s="622" t="n"/>
      <c r="AT178" s="622" t="n"/>
      <c r="AU178" s="622" t="n"/>
      <c r="AV178" s="622" t="n"/>
      <c r="AW178" s="622" t="n"/>
      <c r="AX178" s="622" t="n"/>
      <c r="AY178" s="622" t="n"/>
    </row>
    <row r="179" ht="18" customHeight="1" s="8286">
      <c r="A179" s="9749" t="inlineStr">
        <is>
          <t>SECCIÓN D.5: VARIACIÓN  DE RESULTADO DE APLICACIÓN DEL ÍNDICE DE BARTHEL ENTRE EL INGRESO Y EGRESO HOSPITALARIO</t>
        </is>
      </c>
      <c r="B179" s="9602" t="n"/>
      <c r="C179" s="9602" t="n"/>
      <c r="D179" s="9602" t="n"/>
      <c r="E179" s="9602" t="n"/>
      <c r="F179" s="9602" t="n"/>
      <c r="G179" s="9602" t="n"/>
      <c r="H179" s="9602" t="n"/>
      <c r="I179" s="9602" t="n"/>
      <c r="J179" s="9602" t="n"/>
      <c r="K179" s="9602" t="n"/>
      <c r="L179" s="9602" t="n"/>
      <c r="M179" s="9602" t="n"/>
      <c r="N179" s="9602" t="n"/>
      <c r="O179" s="9602" t="n"/>
      <c r="P179" s="930" t="n"/>
      <c r="Q179" s="930" t="n"/>
      <c r="R179" s="622" t="n"/>
      <c r="S179" s="622" t="n"/>
      <c r="T179" s="622" t="n"/>
      <c r="U179" s="622" t="n"/>
      <c r="V179" s="622" t="n"/>
      <c r="W179" s="622" t="n"/>
      <c r="X179" s="622" t="n"/>
      <c r="Y179" s="622" t="n"/>
      <c r="Z179" s="622" t="n"/>
      <c r="AA179" s="622" t="n"/>
      <c r="AB179" s="622" t="n"/>
      <c r="AC179" s="622" t="n"/>
      <c r="AD179" s="622" t="n"/>
      <c r="AE179" s="622" t="n"/>
      <c r="AF179" s="622" t="n"/>
      <c r="AG179" s="622" t="n"/>
      <c r="AH179" s="622" t="n"/>
      <c r="AI179" s="622" t="n"/>
      <c r="AJ179" s="622" t="n"/>
      <c r="AK179" s="622" t="n"/>
      <c r="AL179" s="622" t="n"/>
      <c r="AM179" s="622" t="n"/>
      <c r="AN179" s="622" t="n"/>
      <c r="AO179" s="622" t="n"/>
      <c r="AP179" s="622" t="n"/>
      <c r="AQ179" s="622" t="n"/>
      <c r="AR179" s="622" t="n"/>
      <c r="AS179" s="622" t="n"/>
      <c r="AT179" s="622" t="n"/>
      <c r="AU179" s="622" t="n"/>
      <c r="AV179" s="622" t="n"/>
      <c r="AW179" s="622" t="n"/>
      <c r="AX179" s="622" t="n"/>
      <c r="AY179" s="622" t="n"/>
    </row>
    <row r="180" ht="15" customHeight="1" s="8286">
      <c r="A180" s="9629" t="inlineStr">
        <is>
          <t>ÍNDICE DE BARTHEL</t>
        </is>
      </c>
      <c r="B180" s="9630" t="n"/>
      <c r="C180" s="9629" t="inlineStr">
        <is>
          <t>TOTAL</t>
        </is>
      </c>
      <c r="D180" s="9602" t="n"/>
      <c r="E180" s="9630" t="n"/>
      <c r="F180" s="9631" t="inlineStr">
        <is>
          <t>RANGO ETARIO Y SEXO</t>
        </is>
      </c>
      <c r="G180" s="9617" t="n"/>
      <c r="H180" s="9617" t="n"/>
      <c r="I180" s="9617" t="n"/>
      <c r="J180" s="9617" t="n"/>
      <c r="K180" s="9617" t="n"/>
      <c r="L180" s="9617" t="n"/>
      <c r="M180" s="9617" t="n"/>
      <c r="N180" s="9617" t="n"/>
      <c r="O180" s="9617" t="n"/>
      <c r="P180" s="9617" t="n"/>
      <c r="Q180" s="9632" t="n"/>
      <c r="R180" s="622" t="n"/>
      <c r="S180" s="622" t="n"/>
      <c r="T180" s="622" t="n"/>
      <c r="U180" s="622" t="n"/>
      <c r="V180" s="622" t="n"/>
      <c r="W180" s="622" t="n"/>
      <c r="X180" s="622" t="n"/>
      <c r="Y180" s="622" t="n"/>
      <c r="Z180" s="622" t="n"/>
      <c r="AA180" s="622" t="n"/>
      <c r="AB180" s="622" t="n"/>
      <c r="AC180" s="622" t="n"/>
      <c r="AD180" s="622" t="n"/>
      <c r="AE180" s="622" t="n"/>
      <c r="AF180" s="622" t="n"/>
      <c r="AG180" s="622" t="n"/>
      <c r="AH180" s="622" t="n"/>
      <c r="AI180" s="622" t="n"/>
      <c r="AJ180" s="622" t="n"/>
      <c r="AK180" s="622" t="n"/>
      <c r="AL180" s="622" t="n"/>
      <c r="AM180" s="622" t="n"/>
      <c r="AN180" s="622" t="n"/>
      <c r="AO180" s="622" t="n"/>
      <c r="AP180" s="622" t="n"/>
      <c r="AQ180" s="622" t="n"/>
      <c r="AR180" s="622" t="n"/>
      <c r="AS180" s="622" t="n"/>
      <c r="AT180" s="622" t="n"/>
      <c r="AU180" s="622" t="n"/>
      <c r="AV180" s="622" t="n"/>
      <c r="AW180" s="622" t="n"/>
      <c r="AX180" s="622" t="n"/>
      <c r="AY180" s="622" t="n"/>
    </row>
    <row r="181" ht="15" customHeight="1" s="8286">
      <c r="A181" s="642" t="n"/>
      <c r="B181" s="9718" t="n"/>
      <c r="C181" s="9638" t="n"/>
      <c r="D181" s="9697" t="n"/>
      <c r="E181" s="9639" t="n"/>
      <c r="F181" s="9631" t="inlineStr">
        <is>
          <t>65 - 69 años</t>
        </is>
      </c>
      <c r="G181" s="9632" t="n"/>
      <c r="H181" s="9631" t="inlineStr">
        <is>
          <t>70 - 74 años</t>
        </is>
      </c>
      <c r="I181" s="9632" t="n"/>
      <c r="J181" s="9631" t="inlineStr">
        <is>
          <t>75 - 79 años</t>
        </is>
      </c>
      <c r="K181" s="9632" t="n"/>
      <c r="L181" s="9631" t="inlineStr">
        <is>
          <t>80 - 84 años</t>
        </is>
      </c>
      <c r="M181" s="9632" t="n"/>
      <c r="N181" s="9631" t="inlineStr">
        <is>
          <t>85 - 89 años</t>
        </is>
      </c>
      <c r="O181" s="9632" t="n"/>
      <c r="P181" s="9631" t="inlineStr">
        <is>
          <t>90 y más años</t>
        </is>
      </c>
      <c r="Q181" s="9632" t="n"/>
      <c r="R181" s="622" t="n"/>
      <c r="S181" s="622" t="n"/>
      <c r="T181" s="622" t="n"/>
      <c r="U181" s="622" t="n"/>
      <c r="V181" s="622" t="n"/>
      <c r="W181" s="622" t="n"/>
      <c r="X181" s="622" t="n"/>
      <c r="Y181" s="622" t="n"/>
      <c r="Z181" s="622" t="n"/>
      <c r="AA181" s="622" t="n"/>
      <c r="AB181" s="622" t="n"/>
      <c r="AC181" s="622" t="n"/>
      <c r="AD181" s="622" t="n"/>
      <c r="AE181" s="622" t="n"/>
      <c r="AF181" s="622" t="n"/>
      <c r="AG181" s="622" t="n"/>
      <c r="AH181" s="622" t="n"/>
      <c r="AI181" s="622" t="n"/>
      <c r="AJ181" s="622" t="n"/>
      <c r="AK181" s="622" t="n"/>
      <c r="AL181" s="622" t="n"/>
      <c r="AM181" s="622" t="n"/>
      <c r="AN181" s="622" t="n"/>
      <c r="AO181" s="622" t="n"/>
      <c r="AP181" s="622" t="n"/>
      <c r="AQ181" s="622" t="n"/>
      <c r="AR181" s="622" t="n"/>
      <c r="AS181" s="622" t="n"/>
      <c r="AT181" s="622" t="n"/>
      <c r="AU181" s="622" t="n"/>
      <c r="AV181" s="622" t="n"/>
      <c r="AW181" s="622" t="n"/>
      <c r="AX181" s="622" t="n"/>
      <c r="AY181" s="622" t="n"/>
    </row>
    <row r="182" ht="15" customHeight="1" s="8286">
      <c r="A182" s="9638" t="n"/>
      <c r="B182" s="9639" t="n"/>
      <c r="C182" s="7164" t="inlineStr">
        <is>
          <t>Ambos Sexos</t>
        </is>
      </c>
      <c r="D182" s="1764" t="inlineStr">
        <is>
          <t>Hombres</t>
        </is>
      </c>
      <c r="E182" s="7487" t="inlineStr">
        <is>
          <t>Mujeres</t>
        </is>
      </c>
      <c r="F182" s="1502" t="inlineStr">
        <is>
          <t>Hombres</t>
        </is>
      </c>
      <c r="G182" s="7487" t="inlineStr">
        <is>
          <t>Mujeres</t>
        </is>
      </c>
      <c r="H182" s="1502" t="inlineStr">
        <is>
          <t>Hombres</t>
        </is>
      </c>
      <c r="I182" s="7487" t="inlineStr">
        <is>
          <t>Mujeres</t>
        </is>
      </c>
      <c r="J182" s="1502" t="inlineStr">
        <is>
          <t>Hombres</t>
        </is>
      </c>
      <c r="K182" s="7272" t="inlineStr">
        <is>
          <t>Mujeres</t>
        </is>
      </c>
      <c r="L182" s="1502" t="inlineStr">
        <is>
          <t>Hombres</t>
        </is>
      </c>
      <c r="M182" s="7487" t="inlineStr">
        <is>
          <t>Mujeres</t>
        </is>
      </c>
      <c r="N182" s="1502" t="inlineStr">
        <is>
          <t>Hombres</t>
        </is>
      </c>
      <c r="O182" s="7487" t="inlineStr">
        <is>
          <t>Mujeres</t>
        </is>
      </c>
      <c r="P182" s="1502" t="inlineStr">
        <is>
          <t>Hombres</t>
        </is>
      </c>
      <c r="Q182" s="7272" t="inlineStr">
        <is>
          <t>Mujeres</t>
        </is>
      </c>
      <c r="R182" s="622" t="n"/>
      <c r="S182" s="622" t="n"/>
      <c r="T182" s="622" t="n"/>
      <c r="U182" s="622" t="n"/>
      <c r="V182" s="622" t="n"/>
      <c r="W182" s="622" t="n"/>
      <c r="X182" s="622" t="n"/>
      <c r="Y182" s="622" t="n"/>
      <c r="Z182" s="622" t="n"/>
      <c r="AA182" s="622" t="n"/>
      <c r="AB182" s="622" t="n"/>
      <c r="AC182" s="622" t="n"/>
      <c r="AD182" s="622" t="n"/>
      <c r="AE182" s="622" t="n"/>
      <c r="AF182" s="622" t="n"/>
      <c r="AG182" s="622" t="n"/>
      <c r="AH182" s="622" t="n"/>
      <c r="AI182" s="622" t="n"/>
      <c r="AJ182" s="622" t="n"/>
      <c r="AK182" s="622" t="n"/>
      <c r="AL182" s="622" t="n"/>
      <c r="AM182" s="622" t="n"/>
      <c r="AN182" s="622" t="n"/>
      <c r="AO182" s="622" t="n"/>
      <c r="AP182" s="622" t="n"/>
      <c r="AQ182" s="622" t="n"/>
      <c r="AR182" s="622" t="n"/>
      <c r="AS182" s="622" t="n"/>
      <c r="AT182" s="622" t="n"/>
      <c r="AU182" s="622" t="n"/>
      <c r="AV182" s="622" t="n"/>
      <c r="AW182" s="622" t="n"/>
      <c r="AX182" s="622" t="n"/>
      <c r="AY182" s="622" t="n"/>
    </row>
    <row r="183" ht="15" customHeight="1" s="8286">
      <c r="A183" s="9750" t="inlineStr">
        <is>
          <t xml:space="preserve">Mejora puntuación índice de Barthel </t>
        </is>
      </c>
      <c r="B183" s="9643" t="n"/>
      <c r="C183" s="1721">
        <f>SUM(D183+E183)</f>
        <v/>
      </c>
      <c r="D183" s="1664">
        <f>SUM(F183+H183+J183+L183+N183+P183)</f>
        <v/>
      </c>
      <c r="E183" s="1579">
        <f>SUM(G183+I183+K183+M183+O183+Q183)</f>
        <v/>
      </c>
      <c r="F183" s="1511" t="n"/>
      <c r="G183" s="1556" t="n"/>
      <c r="H183" s="1511" t="n"/>
      <c r="I183" s="1554" t="n"/>
      <c r="J183" s="1613" t="n"/>
      <c r="K183" s="1554" t="n"/>
      <c r="L183" s="1613" t="n"/>
      <c r="M183" s="1556" t="n"/>
      <c r="N183" s="1511" t="n"/>
      <c r="O183" s="1554" t="n"/>
      <c r="P183" s="1613" t="n"/>
      <c r="Q183" s="1554" t="n"/>
      <c r="R183" s="622" t="n"/>
      <c r="S183" s="622" t="n"/>
      <c r="T183" s="622" t="n"/>
      <c r="U183" s="622" t="n"/>
      <c r="V183" s="622" t="n"/>
      <c r="W183" s="622" t="n"/>
      <c r="X183" s="622" t="n"/>
      <c r="Y183" s="622" t="n"/>
      <c r="Z183" s="622" t="n"/>
      <c r="AA183" s="622" t="n"/>
      <c r="AB183" s="622" t="n"/>
      <c r="AC183" s="622" t="n"/>
      <c r="AD183" s="622" t="n"/>
      <c r="AE183" s="622" t="n"/>
      <c r="AF183" s="622" t="n"/>
      <c r="AG183" s="622" t="n"/>
      <c r="AH183" s="622" t="n"/>
      <c r="AI183" s="622" t="n"/>
      <c r="AJ183" s="622" t="n"/>
      <c r="AK183" s="622" t="n"/>
      <c r="AL183" s="622" t="n"/>
      <c r="AM183" s="622" t="n"/>
      <c r="AN183" s="622" t="n"/>
      <c r="AO183" s="622" t="n"/>
      <c r="AP183" s="622" t="n"/>
      <c r="AQ183" s="622" t="n"/>
      <c r="AR183" s="622" t="n"/>
      <c r="AS183" s="622" t="n"/>
      <c r="AT183" s="622" t="n"/>
      <c r="AU183" s="622" t="n"/>
      <c r="AV183" s="622" t="n"/>
      <c r="AW183" s="622" t="n"/>
      <c r="AX183" s="622" t="n"/>
      <c r="AY183" s="622" t="n"/>
    </row>
    <row r="184" ht="15" customHeight="1" s="8286">
      <c r="A184" s="9751" t="inlineStr">
        <is>
          <t xml:space="preserve">Mantiene puntuación índice de Barthel </t>
        </is>
      </c>
      <c r="B184" s="9644" t="n"/>
      <c r="C184" s="1646">
        <f>SUM(D184+E184)</f>
        <v/>
      </c>
      <c r="D184" s="1730">
        <f>SUM(F184+H184+J184+L184+N184+P184)</f>
        <v/>
      </c>
      <c r="E184" s="1776">
        <f>SUM(G184+I184+K184+M184+O184+Q184)</f>
        <v/>
      </c>
      <c r="F184" s="998" t="n"/>
      <c r="G184" s="1777" t="n">
        <v>1</v>
      </c>
      <c r="H184" s="998" t="n"/>
      <c r="I184" s="1778" t="n"/>
      <c r="J184" s="999" t="n"/>
      <c r="K184" s="1778" t="n"/>
      <c r="L184" s="999" t="n"/>
      <c r="M184" s="1777" t="n"/>
      <c r="N184" s="998" t="n"/>
      <c r="O184" s="1778" t="n"/>
      <c r="P184" s="999" t="n"/>
      <c r="Q184" s="1778" t="n"/>
      <c r="R184" s="622" t="n"/>
      <c r="S184" s="622" t="n"/>
      <c r="T184" s="622" t="n"/>
      <c r="U184" s="622" t="n"/>
      <c r="V184" s="622" t="n"/>
      <c r="W184" s="622" t="n"/>
      <c r="X184" s="622" t="n"/>
      <c r="Y184" s="622" t="n"/>
      <c r="Z184" s="622" t="n"/>
      <c r="AA184" s="622" t="n"/>
      <c r="AB184" s="622" t="n"/>
      <c r="AC184" s="622" t="n"/>
      <c r="AD184" s="622" t="n"/>
      <c r="AE184" s="622" t="n"/>
      <c r="AF184" s="622" t="n"/>
      <c r="AG184" s="622" t="n"/>
      <c r="AH184" s="622" t="n"/>
      <c r="AI184" s="622" t="n"/>
      <c r="AJ184" s="622" t="n"/>
      <c r="AK184" s="622" t="n"/>
      <c r="AL184" s="622" t="n"/>
      <c r="AM184" s="622" t="n"/>
      <c r="AN184" s="622" t="n"/>
      <c r="AO184" s="622" t="n"/>
      <c r="AP184" s="622" t="n"/>
      <c r="AQ184" s="622" t="n"/>
      <c r="AR184" s="622" t="n"/>
      <c r="AS184" s="622" t="n"/>
      <c r="AT184" s="622" t="n"/>
      <c r="AU184" s="622" t="n"/>
      <c r="AV184" s="622" t="n"/>
      <c r="AW184" s="622" t="n"/>
      <c r="AX184" s="622" t="n"/>
      <c r="AY184" s="622" t="n"/>
    </row>
    <row r="185" ht="15" customHeight="1" s="8286">
      <c r="A185" s="9752" t="inlineStr">
        <is>
          <t xml:space="preserve">Disminuye puntuación índice de Barthel </t>
        </is>
      </c>
      <c r="B185" s="9644" t="n"/>
      <c r="C185" s="1783">
        <f>SUM(D185+E185)</f>
        <v/>
      </c>
      <c r="D185" s="1730">
        <f>SUM(F185+H185+J185+L185+N185+P185)</f>
        <v/>
      </c>
      <c r="E185" s="1586">
        <f>SUM(G185+I185+K185+M185+O185+Q185)</f>
        <v/>
      </c>
      <c r="F185" s="1539" t="n"/>
      <c r="G185" s="1542" t="n"/>
      <c r="H185" s="1539" t="n"/>
      <c r="I185" s="1540" t="n">
        <v>1</v>
      </c>
      <c r="J185" s="1615" t="n"/>
      <c r="K185" s="1540" t="n"/>
      <c r="L185" s="1615" t="n"/>
      <c r="M185" s="1542" t="n">
        <v>1</v>
      </c>
      <c r="N185" s="1539" t="n"/>
      <c r="O185" s="1540" t="n"/>
      <c r="P185" s="1615" t="n"/>
      <c r="Q185" s="1540" t="n"/>
      <c r="R185" s="622" t="n"/>
      <c r="S185" s="622" t="n"/>
      <c r="T185" s="622" t="n"/>
      <c r="U185" s="622" t="n"/>
      <c r="V185" s="622" t="n"/>
      <c r="W185" s="622" t="n"/>
      <c r="X185" s="622" t="n"/>
      <c r="Y185" s="622" t="n"/>
      <c r="Z185" s="622" t="n"/>
      <c r="AA185" s="622" t="n"/>
      <c r="AB185" s="622" t="n"/>
      <c r="AC185" s="622" t="n"/>
      <c r="AD185" s="622" t="n"/>
      <c r="AE185" s="622" t="n"/>
      <c r="AF185" s="622" t="n"/>
      <c r="AG185" s="622" t="n"/>
      <c r="AH185" s="622" t="n"/>
      <c r="AI185" s="622" t="n"/>
      <c r="AJ185" s="622" t="n"/>
      <c r="AK185" s="622" t="n"/>
      <c r="AL185" s="622" t="n"/>
      <c r="AM185" s="622" t="n"/>
      <c r="AN185" s="622" t="n"/>
      <c r="AO185" s="622" t="n"/>
      <c r="AP185" s="622" t="n"/>
      <c r="AQ185" s="622" t="n"/>
      <c r="AR185" s="622" t="n"/>
      <c r="AS185" s="622" t="n"/>
      <c r="AT185" s="622" t="n"/>
      <c r="AU185" s="622" t="n"/>
      <c r="AV185" s="622" t="n"/>
      <c r="AW185" s="622" t="n"/>
      <c r="AX185" s="622" t="n"/>
      <c r="AY185" s="622" t="n"/>
    </row>
    <row r="186" ht="15" customHeight="1" s="8286">
      <c r="A186" s="9631" t="inlineStr">
        <is>
          <t>TOTAL</t>
        </is>
      </c>
      <c r="B186" s="9632" t="n"/>
      <c r="C186" s="1643">
        <f>SUM(C183:C185)</f>
        <v/>
      </c>
      <c r="D186" s="1662">
        <f>SUM(D183:D185)</f>
        <v/>
      </c>
      <c r="E186" s="1662">
        <f>SUM(E183:E185)</f>
        <v/>
      </c>
      <c r="F186" s="1595">
        <f>SUM(F183:F185)</f>
        <v/>
      </c>
      <c r="G186" s="1662">
        <f>SUM(G183:G185)</f>
        <v/>
      </c>
      <c r="H186" s="1595">
        <f>SUM(H183:H185)</f>
        <v/>
      </c>
      <c r="I186" s="1662">
        <f>SUM(I183:I185)</f>
        <v/>
      </c>
      <c r="J186" s="1595">
        <f>SUM(J183:J185)</f>
        <v/>
      </c>
      <c r="K186" s="1662">
        <f>SUM(K183:K185)</f>
        <v/>
      </c>
      <c r="L186" s="1595">
        <f>SUM(L183:L185)</f>
        <v/>
      </c>
      <c r="M186" s="1662">
        <f>SUM(M183:M185)</f>
        <v/>
      </c>
      <c r="N186" s="1595">
        <f>SUM(N183:N185)</f>
        <v/>
      </c>
      <c r="O186" s="1662">
        <f>SUM(O183:O185)</f>
        <v/>
      </c>
      <c r="P186" s="1595">
        <f>SUM(P183:P185)</f>
        <v/>
      </c>
      <c r="Q186" s="1600">
        <f>SUM(Q183:Q185)</f>
        <v/>
      </c>
      <c r="R186" s="622" t="n"/>
      <c r="S186" s="622" t="n"/>
      <c r="T186" s="622" t="n"/>
      <c r="U186" s="622" t="n"/>
      <c r="V186" s="622" t="n"/>
      <c r="W186" s="622" t="n"/>
      <c r="X186" s="622" t="n"/>
      <c r="Y186" s="622" t="n"/>
      <c r="Z186" s="622" t="n"/>
      <c r="AA186" s="622" t="n"/>
      <c r="AB186" s="622" t="n"/>
      <c r="AC186" s="622" t="n"/>
      <c r="AD186" s="622" t="n"/>
      <c r="AE186" s="622" t="n"/>
      <c r="AF186" s="622" t="n"/>
      <c r="AG186" s="622" t="n"/>
      <c r="AH186" s="622" t="n"/>
      <c r="AI186" s="622" t="n"/>
      <c r="AJ186" s="622" t="n"/>
      <c r="AK186" s="622" t="n"/>
      <c r="AL186" s="622" t="n"/>
      <c r="AM186" s="622" t="n"/>
      <c r="AN186" s="622" t="n"/>
      <c r="AO186" s="622" t="n"/>
      <c r="AP186" s="622" t="n"/>
      <c r="AQ186" s="622" t="n"/>
      <c r="AR186" s="622" t="n"/>
      <c r="AS186" s="622" t="n"/>
      <c r="AT186" s="622" t="n"/>
      <c r="AU186" s="622" t="n"/>
      <c r="AV186" s="622" t="n"/>
      <c r="AW186" s="622" t="n"/>
      <c r="AX186" s="622" t="n"/>
      <c r="AY186" s="622" t="n"/>
    </row>
    <row r="187" ht="15" customHeight="1" s="8286">
      <c r="A187" s="1000" t="inlineStr">
        <is>
          <t>*** El resultado que se consigna es la comparación del índice de Barthel aplicado al Egreso de la Hospitalización</t>
        </is>
      </c>
      <c r="B187" s="622" t="n"/>
      <c r="C187" s="622" t="n"/>
      <c r="D187" s="622" t="n"/>
      <c r="E187" s="622" t="n"/>
      <c r="F187" s="622" t="n"/>
      <c r="G187" s="622" t="n"/>
      <c r="H187" s="622" t="n"/>
      <c r="I187" s="622" t="n"/>
      <c r="J187" s="622" t="n"/>
      <c r="K187" s="622" t="n"/>
      <c r="L187" s="622" t="n"/>
      <c r="M187" s="622" t="n"/>
      <c r="N187" s="622" t="n"/>
      <c r="O187" s="622" t="n"/>
      <c r="P187" s="622" t="n"/>
      <c r="Q187" s="622" t="n"/>
      <c r="R187" s="622" t="n"/>
      <c r="S187" s="622" t="n"/>
      <c r="T187" s="622" t="n"/>
      <c r="U187" s="622" t="n"/>
      <c r="V187" s="622" t="n"/>
      <c r="W187" s="622" t="n"/>
      <c r="X187" s="622" t="n"/>
      <c r="Y187" s="622" t="n"/>
      <c r="Z187" s="622" t="n"/>
      <c r="AA187" s="622" t="n"/>
      <c r="AB187" s="622" t="n"/>
      <c r="AC187" s="622" t="n"/>
      <c r="AD187" s="622" t="n"/>
      <c r="AE187" s="622" t="n"/>
      <c r="AF187" s="622" t="n"/>
      <c r="AG187" s="622" t="n"/>
      <c r="AH187" s="622" t="n"/>
      <c r="AI187" s="622" t="n"/>
      <c r="AJ187" s="622" t="n"/>
      <c r="AK187" s="622" t="n"/>
      <c r="AL187" s="622" t="n"/>
      <c r="AM187" s="622" t="n"/>
      <c r="AN187" s="622" t="n"/>
      <c r="AO187" s="622" t="n"/>
      <c r="AP187" s="622" t="n"/>
      <c r="AQ187" s="622" t="n"/>
      <c r="AR187" s="622" t="n"/>
      <c r="AS187" s="622" t="n"/>
      <c r="AT187" s="622" t="n"/>
      <c r="AU187" s="622" t="n"/>
      <c r="AV187" s="622" t="n"/>
      <c r="AW187" s="622" t="n"/>
      <c r="AX187" s="622" t="n"/>
      <c r="AY187" s="622" t="n"/>
    </row>
    <row r="188" ht="18" customHeight="1" s="8286">
      <c r="A188" s="1001" t="inlineStr">
        <is>
          <t>SECCIÓN D.6: APLICACIÓN DE ESCALA ZARIT ABREVIADO EN CUIDADORES</t>
        </is>
      </c>
      <c r="B188" s="1002" t="n"/>
      <c r="C188" s="1002" t="n"/>
      <c r="D188" s="1002" t="n"/>
      <c r="E188" s="1002" t="n"/>
      <c r="F188" s="930" t="n"/>
      <c r="G188" s="930" t="n"/>
      <c r="H188" s="930" t="n"/>
      <c r="I188" s="930" t="n"/>
      <c r="J188" s="930" t="n"/>
      <c r="K188" s="930" t="n"/>
      <c r="L188" s="930" t="n"/>
      <c r="M188" s="930" t="n"/>
      <c r="N188" s="930" t="n"/>
      <c r="O188" s="930" t="n"/>
      <c r="P188" s="930" t="n"/>
      <c r="Q188" s="930" t="n"/>
      <c r="R188" s="622" t="n"/>
      <c r="S188" s="622" t="n"/>
      <c r="T188" s="622" t="n"/>
      <c r="U188" s="622" t="n"/>
      <c r="V188" s="622" t="n"/>
      <c r="W188" s="622" t="n"/>
      <c r="X188" s="622" t="n"/>
      <c r="Y188" s="622" t="n"/>
      <c r="Z188" s="622" t="n"/>
      <c r="AA188" s="622" t="n"/>
      <c r="AB188" s="622" t="n"/>
      <c r="AC188" s="622" t="n"/>
      <c r="AD188" s="622" t="n"/>
      <c r="AE188" s="622" t="n"/>
      <c r="AF188" s="622" t="n"/>
      <c r="AG188" s="622" t="n"/>
      <c r="AH188" s="622" t="n"/>
      <c r="AI188" s="622" t="n"/>
      <c r="AJ188" s="622" t="n"/>
      <c r="AK188" s="622" t="n"/>
      <c r="AL188" s="622" t="n"/>
      <c r="AM188" s="622" t="n"/>
      <c r="AN188" s="622" t="n"/>
      <c r="AO188" s="622" t="n"/>
      <c r="AP188" s="622" t="n"/>
      <c r="AQ188" s="622" t="n"/>
      <c r="AR188" s="622" t="n"/>
      <c r="AS188" s="622" t="n"/>
      <c r="AT188" s="622" t="n"/>
      <c r="AU188" s="622" t="n"/>
      <c r="AV188" s="622" t="n"/>
      <c r="AW188" s="622" t="n"/>
      <c r="AX188" s="622" t="n"/>
      <c r="AY188" s="622" t="n"/>
    </row>
    <row r="189" ht="15" customHeight="1" s="8286">
      <c r="A189" s="9629" t="inlineStr">
        <is>
          <t>ESCALA DE SOBRECARGA DEL CUIDADOR "ZARIT ABREVIADO"</t>
        </is>
      </c>
      <c r="B189" s="9630" t="n"/>
      <c r="C189" s="9753" t="inlineStr">
        <is>
          <t xml:space="preserve">TOTAL              </t>
        </is>
      </c>
      <c r="D189" s="9754" t="n"/>
      <c r="E189" s="9755" t="n"/>
      <c r="F189" s="9756" t="inlineStr">
        <is>
          <t>RANGO ETARIO Y SEXO</t>
        </is>
      </c>
      <c r="G189" s="9617" t="n"/>
      <c r="H189" s="9617" t="n"/>
      <c r="I189" s="9617" t="n"/>
      <c r="J189" s="9617" t="n"/>
      <c r="K189" s="9617" t="n"/>
      <c r="L189" s="9617" t="n"/>
      <c r="M189" s="9617" t="n"/>
      <c r="N189" s="9617" t="n"/>
      <c r="O189" s="9617" t="n"/>
      <c r="P189" s="9617" t="n"/>
      <c r="Q189" s="9617" t="n"/>
      <c r="R189" s="9617" t="n"/>
      <c r="S189" s="9617" t="n"/>
      <c r="T189" s="9617" t="n"/>
      <c r="U189" s="9632" t="n"/>
      <c r="V189" s="622" t="n"/>
      <c r="W189" s="622" t="n"/>
      <c r="X189" s="622" t="n"/>
      <c r="Y189" s="622" t="n"/>
      <c r="Z189" s="622" t="n"/>
      <c r="AA189" s="622" t="n"/>
      <c r="AB189" s="622" t="n"/>
      <c r="AC189" s="622" t="n"/>
      <c r="AD189" s="622" t="n"/>
      <c r="AE189" s="622" t="n"/>
      <c r="AF189" s="622" t="n"/>
      <c r="AG189" s="622" t="n"/>
      <c r="AH189" s="622" t="n"/>
      <c r="AI189" s="622" t="n"/>
      <c r="AJ189" s="622" t="n"/>
      <c r="AK189" s="622" t="n"/>
      <c r="AL189" s="622" t="n"/>
      <c r="AM189" s="622" t="n"/>
      <c r="AN189" s="622" t="n"/>
      <c r="AO189" s="622" t="n"/>
      <c r="AP189" s="622" t="n"/>
      <c r="AQ189" s="622" t="n"/>
      <c r="AR189" s="622" t="n"/>
      <c r="AS189" s="622" t="n"/>
      <c r="AT189" s="622" t="n"/>
      <c r="AU189" s="622" t="n"/>
      <c r="AV189" s="622" t="n"/>
      <c r="AW189" s="622" t="n"/>
      <c r="AX189" s="622" t="n"/>
      <c r="AY189" s="622" t="n"/>
    </row>
    <row r="190" ht="15" customHeight="1" s="8286">
      <c r="A190" s="642" t="n"/>
      <c r="B190" s="9718" t="n"/>
      <c r="C190" s="9757" t="n"/>
      <c r="D190" s="9758" t="n"/>
      <c r="E190" s="9759" t="n"/>
      <c r="F190" s="1500" t="inlineStr">
        <is>
          <t>0 - 4 años</t>
        </is>
      </c>
      <c r="G190" s="9743" t="n"/>
      <c r="H190" s="6614" t="inlineStr">
        <is>
          <t>5 - 9 años</t>
        </is>
      </c>
      <c r="I190" s="9743" t="n"/>
      <c r="J190" s="1500" t="inlineStr">
        <is>
          <t>10 - 14 años</t>
        </is>
      </c>
      <c r="K190" s="9743" t="n"/>
      <c r="L190" s="6614" t="inlineStr">
        <is>
          <t>15 - 19 años</t>
        </is>
      </c>
      <c r="M190" s="9743" t="n"/>
      <c r="N190" s="6614" t="inlineStr">
        <is>
          <t>20 - 24 años</t>
        </is>
      </c>
      <c r="O190" s="9743" t="n"/>
      <c r="P190" s="6614" t="inlineStr">
        <is>
          <t>25 - 44 años</t>
        </is>
      </c>
      <c r="Q190" s="9743" t="n"/>
      <c r="R190" s="6614" t="inlineStr">
        <is>
          <t>45 - 64 años</t>
        </is>
      </c>
      <c r="S190" s="9743" t="n"/>
      <c r="T190" s="7457" t="inlineStr">
        <is>
          <t>65 o más años</t>
        </is>
      </c>
      <c r="U190" s="9760" t="n"/>
      <c r="V190" s="622" t="n"/>
      <c r="W190" s="622" t="n"/>
      <c r="X190" s="622" t="n"/>
      <c r="Y190" s="622" t="n"/>
      <c r="Z190" s="622" t="n"/>
      <c r="AA190" s="622" t="n"/>
      <c r="AB190" s="622" t="n"/>
      <c r="AC190" s="622" t="n"/>
      <c r="AD190" s="622" t="n"/>
      <c r="AE190" s="622" t="n"/>
      <c r="AF190" s="622" t="n"/>
      <c r="AG190" s="622" t="n"/>
      <c r="AH190" s="622" t="n"/>
      <c r="AI190" s="622" t="n"/>
      <c r="AJ190" s="622" t="n"/>
      <c r="AK190" s="622" t="n"/>
      <c r="AL190" s="622" t="n"/>
      <c r="AM190" s="622" t="n"/>
      <c r="AN190" s="622" t="n"/>
      <c r="AO190" s="622" t="n"/>
      <c r="AP190" s="622" t="n"/>
      <c r="AQ190" s="622" t="n"/>
      <c r="AR190" s="622" t="n"/>
      <c r="AS190" s="622" t="n"/>
      <c r="AT190" s="622" t="n"/>
      <c r="AU190" s="622" t="n"/>
      <c r="AV190" s="622" t="n"/>
      <c r="AW190" s="622" t="n"/>
      <c r="AX190" s="622" t="n"/>
      <c r="AY190" s="622" t="n"/>
    </row>
    <row r="191" ht="15" customHeight="1" s="8286">
      <c r="A191" s="9638" t="n"/>
      <c r="B191" s="9639" t="n"/>
      <c r="C191" s="7279" t="inlineStr">
        <is>
          <t>Ambos Sexos</t>
        </is>
      </c>
      <c r="D191" s="7400" t="inlineStr">
        <is>
          <t>Hombres</t>
        </is>
      </c>
      <c r="E191" s="7280" t="inlineStr">
        <is>
          <t>Mujeres</t>
        </is>
      </c>
      <c r="F191" s="1500" t="inlineStr">
        <is>
          <t>Hombres</t>
        </is>
      </c>
      <c r="G191" s="7399" t="inlineStr">
        <is>
          <t>Mujeres</t>
        </is>
      </c>
      <c r="H191" s="7400" t="inlineStr">
        <is>
          <t>Hombres</t>
        </is>
      </c>
      <c r="I191" s="7399" t="inlineStr">
        <is>
          <t>Mujeres</t>
        </is>
      </c>
      <c r="J191" s="1500" t="inlineStr">
        <is>
          <t>Hombres</t>
        </is>
      </c>
      <c r="K191" s="7399" t="inlineStr">
        <is>
          <t>Mujeres</t>
        </is>
      </c>
      <c r="L191" s="7400" t="inlineStr">
        <is>
          <t>Hombres</t>
        </is>
      </c>
      <c r="M191" s="7399" t="inlineStr">
        <is>
          <t>Mujeres</t>
        </is>
      </c>
      <c r="N191" s="7400" t="inlineStr">
        <is>
          <t>Hombres</t>
        </is>
      </c>
      <c r="O191" s="7399" t="inlineStr">
        <is>
          <t>Mujeres</t>
        </is>
      </c>
      <c r="P191" s="7400" t="inlineStr">
        <is>
          <t>Hombres</t>
        </is>
      </c>
      <c r="Q191" s="7399" t="inlineStr">
        <is>
          <t>Mujeres</t>
        </is>
      </c>
      <c r="R191" s="7400" t="inlineStr">
        <is>
          <t>Hombres</t>
        </is>
      </c>
      <c r="S191" s="7399" t="inlineStr">
        <is>
          <t>Mujeres</t>
        </is>
      </c>
      <c r="T191" s="7400" t="inlineStr">
        <is>
          <t>Hombres</t>
        </is>
      </c>
      <c r="U191" s="7399" t="inlineStr">
        <is>
          <t>Mujeres</t>
        </is>
      </c>
      <c r="V191" s="622" t="n"/>
      <c r="W191" s="622" t="n"/>
      <c r="X191" s="622" t="n"/>
      <c r="Y191" s="622" t="n"/>
      <c r="Z191" s="622" t="n"/>
      <c r="AA191" s="622" t="n"/>
      <c r="AB191" s="622" t="n"/>
      <c r="AC191" s="622" t="n"/>
      <c r="AD191" s="622" t="n"/>
      <c r="AE191" s="622" t="n"/>
      <c r="AF191" s="622" t="n"/>
      <c r="AG191" s="622" t="n"/>
      <c r="AH191" s="622" t="n"/>
      <c r="AI191" s="622" t="n"/>
      <c r="AJ191" s="622" t="n"/>
      <c r="AK191" s="622" t="n"/>
      <c r="AL191" s="622" t="n"/>
      <c r="AM191" s="622" t="n"/>
      <c r="AN191" s="622" t="n"/>
      <c r="AO191" s="622" t="n"/>
      <c r="AP191" s="622" t="n"/>
      <c r="AQ191" s="622" t="n"/>
      <c r="AR191" s="622" t="n"/>
      <c r="AS191" s="622" t="n"/>
      <c r="AT191" s="622" t="n"/>
      <c r="AU191" s="622" t="n"/>
      <c r="AV191" s="622" t="n"/>
      <c r="AW191" s="622" t="n"/>
      <c r="AX191" s="622" t="n"/>
      <c r="AY191" s="622" t="n"/>
    </row>
    <row r="192" ht="15" customHeight="1" s="8286">
      <c r="A192" s="9761" t="inlineStr">
        <is>
          <t xml:space="preserve">Cuidador/a paciente con dependencia severa con sobrecarga intensa </t>
        </is>
      </c>
      <c r="B192" s="9643" t="n"/>
      <c r="C192" s="1784">
        <f>SUM(D192+E192)</f>
        <v/>
      </c>
      <c r="D192" s="1785">
        <f>SUM(F192+H192+J192+L192+N192+P192+R192+T192)</f>
        <v/>
      </c>
      <c r="E192" s="1786">
        <f>SUM(G192+I192+K192+M192+O192+Q192+S192+U192)</f>
        <v/>
      </c>
      <c r="F192" s="1619" t="n"/>
      <c r="G192" s="986" t="n"/>
      <c r="H192" s="1787" t="n"/>
      <c r="I192" s="986" t="n"/>
      <c r="J192" s="1619" t="n"/>
      <c r="K192" s="986" t="n"/>
      <c r="L192" s="1635" t="n"/>
      <c r="M192" s="943" t="n"/>
      <c r="N192" s="1635" t="n"/>
      <c r="O192" s="943" t="n"/>
      <c r="P192" s="1635" t="n"/>
      <c r="Q192" s="943" t="n">
        <v>4</v>
      </c>
      <c r="R192" s="1635" t="n"/>
      <c r="S192" s="943" t="n"/>
      <c r="T192" s="1635" t="n"/>
      <c r="U192" s="943" t="n"/>
      <c r="V192" s="622" t="n"/>
      <c r="W192" s="622" t="n"/>
      <c r="X192" s="622" t="n"/>
      <c r="Y192" s="622" t="n"/>
      <c r="Z192" s="622" t="n"/>
      <c r="AA192" s="622" t="n"/>
      <c r="AB192" s="622" t="n"/>
      <c r="AC192" s="622" t="n"/>
      <c r="AD192" s="622" t="n"/>
      <c r="AE192" s="622" t="n"/>
      <c r="AF192" s="622" t="n"/>
      <c r="AG192" s="622" t="n"/>
      <c r="AH192" s="622" t="n"/>
      <c r="AI192" s="622" t="n"/>
      <c r="AJ192" s="622" t="n"/>
      <c r="AK192" s="622" t="n"/>
      <c r="AL192" s="622" t="n"/>
      <c r="AM192" s="622" t="n"/>
      <c r="AN192" s="622" t="n"/>
      <c r="AO192" s="622" t="n"/>
      <c r="AP192" s="622" t="n"/>
      <c r="AQ192" s="622" t="n"/>
      <c r="AR192" s="622" t="n"/>
      <c r="AS192" s="622" t="n"/>
      <c r="AT192" s="622" t="n"/>
      <c r="AU192" s="622" t="n"/>
      <c r="AV192" s="622" t="n"/>
      <c r="AW192" s="622" t="n"/>
      <c r="AX192" s="622" t="n"/>
      <c r="AY192" s="622" t="n"/>
    </row>
    <row r="193" ht="15" customHeight="1" s="8286">
      <c r="A193" s="9762" t="inlineStr">
        <is>
          <t xml:space="preserve">Cuidador/a paciente con dependencia severa sin sobrecarga intensa </t>
        </is>
      </c>
      <c r="B193" s="9718" t="n"/>
      <c r="C193" s="1788">
        <f>SUM(D193+E193)</f>
        <v/>
      </c>
      <c r="D193" s="1003">
        <f>SUM(F193+H193+J193+L193+N193+P193+R193+T193)</f>
        <v/>
      </c>
      <c r="E193" s="1789">
        <f>SUM(G193+I193+K193+M193+O193+Q193+S193+U193)</f>
        <v/>
      </c>
      <c r="F193" s="1683" t="n"/>
      <c r="G193" s="1684" t="n"/>
      <c r="H193" s="1790" t="n"/>
      <c r="I193" s="1684" t="n"/>
      <c r="J193" s="1683" t="n"/>
      <c r="K193" s="1684" t="n"/>
      <c r="L193" s="1781" t="n"/>
      <c r="M193" s="1562" t="n"/>
      <c r="N193" s="1781" t="n"/>
      <c r="O193" s="1562" t="n"/>
      <c r="P193" s="1781" t="n"/>
      <c r="Q193" s="1562" t="n">
        <v>5</v>
      </c>
      <c r="R193" s="1781" t="n"/>
      <c r="S193" s="1562" t="n"/>
      <c r="T193" s="1781" t="n"/>
      <c r="U193" s="1562" t="n">
        <v>6</v>
      </c>
      <c r="V193" s="622" t="n"/>
      <c r="W193" s="622" t="n"/>
      <c r="X193" s="622" t="n"/>
      <c r="Y193" s="622" t="n"/>
      <c r="Z193" s="622" t="n"/>
      <c r="AA193" s="622" t="n"/>
      <c r="AB193" s="622" t="n"/>
      <c r="AC193" s="622" t="n"/>
      <c r="AD193" s="622" t="n"/>
      <c r="AE193" s="622" t="n"/>
      <c r="AF193" s="622" t="n"/>
      <c r="AG193" s="622" t="n"/>
      <c r="AH193" s="622" t="n"/>
      <c r="AI193" s="622" t="n"/>
      <c r="AJ193" s="622" t="n"/>
      <c r="AK193" s="622" t="n"/>
      <c r="AL193" s="622" t="n"/>
      <c r="AM193" s="622" t="n"/>
      <c r="AN193" s="622" t="n"/>
      <c r="AO193" s="622" t="n"/>
      <c r="AP193" s="622" t="n"/>
      <c r="AQ193" s="622" t="n"/>
      <c r="AR193" s="622" t="n"/>
      <c r="AS193" s="622" t="n"/>
      <c r="AT193" s="622" t="n"/>
      <c r="AU193" s="622" t="n"/>
      <c r="AV193" s="622" t="n"/>
      <c r="AW193" s="622" t="n"/>
      <c r="AX193" s="622" t="n"/>
      <c r="AY193" s="622" t="n"/>
    </row>
    <row r="194" ht="15" customHeight="1" s="8286">
      <c r="A194" s="9763" t="inlineStr">
        <is>
          <t>Total cuidadores evaluados</t>
        </is>
      </c>
      <c r="B194" s="9632" t="n"/>
      <c r="C194" s="1791">
        <f>SUM(D194+E194)</f>
        <v/>
      </c>
      <c r="D194" s="1594">
        <f>SUM(F194+H194+J194+L194+N194+P194+R194+T194)</f>
        <v/>
      </c>
      <c r="E194" s="1527">
        <f>SUM(G194+I194+K194+M194+O194+Q194+S194+U194)</f>
        <v/>
      </c>
      <c r="F194" s="1595">
        <f>SUM(F192:F193)</f>
        <v/>
      </c>
      <c r="G194" s="1600">
        <f>SUM(G192:G193)</f>
        <v/>
      </c>
      <c r="H194" s="1662">
        <f>SUM(H192:H193)</f>
        <v/>
      </c>
      <c r="I194" s="1600">
        <f>SUM(I192:I193)</f>
        <v/>
      </c>
      <c r="J194" s="1595">
        <f>SUM(J192:J193)</f>
        <v/>
      </c>
      <c r="K194" s="1600">
        <f>SUM(K192:K193)</f>
        <v/>
      </c>
      <c r="L194" s="1662">
        <f>SUM(L192:L193)</f>
        <v/>
      </c>
      <c r="M194" s="1600">
        <f>SUM(M192:M193)</f>
        <v/>
      </c>
      <c r="N194" s="1662">
        <f>SUM(N192:N193)</f>
        <v/>
      </c>
      <c r="O194" s="1600">
        <f>SUM(O192:O193)</f>
        <v/>
      </c>
      <c r="P194" s="1662">
        <f>SUM(P192:P193)</f>
        <v/>
      </c>
      <c r="Q194" s="1600">
        <f>SUM(Q192:Q193)</f>
        <v/>
      </c>
      <c r="R194" s="1662">
        <f>SUM(R192:R193)</f>
        <v/>
      </c>
      <c r="S194" s="1600">
        <f>SUM(S192:S193)</f>
        <v/>
      </c>
      <c r="T194" s="1662">
        <f>SUM(T192:T193)</f>
        <v/>
      </c>
      <c r="U194" s="1600">
        <f>SUM(U192:U193)</f>
        <v/>
      </c>
      <c r="V194" s="622" t="n"/>
      <c r="W194" s="622" t="n"/>
      <c r="X194" s="622" t="n"/>
      <c r="Y194" s="622" t="n"/>
      <c r="Z194" s="622" t="n"/>
      <c r="AA194" s="622" t="n"/>
      <c r="AB194" s="622" t="n"/>
      <c r="AC194" s="622" t="n"/>
      <c r="AD194" s="622" t="n"/>
      <c r="AE194" s="622" t="n"/>
      <c r="AF194" s="622" t="n"/>
      <c r="AG194" s="622" t="n"/>
      <c r="AH194" s="622" t="n"/>
      <c r="AI194" s="622" t="n"/>
      <c r="AJ194" s="622" t="n"/>
      <c r="AK194" s="622" t="n"/>
      <c r="AL194" s="622" t="n"/>
      <c r="AM194" s="622" t="n"/>
      <c r="AN194" s="622" t="n"/>
      <c r="AO194" s="622" t="n"/>
      <c r="AP194" s="622" t="n"/>
      <c r="AQ194" s="622" t="n"/>
      <c r="AR194" s="622" t="n"/>
      <c r="AS194" s="622" t="n"/>
      <c r="AT194" s="622" t="n"/>
      <c r="AU194" s="622" t="n"/>
      <c r="AV194" s="622" t="n"/>
      <c r="AW194" s="622" t="n"/>
      <c r="AX194" s="622" t="n"/>
      <c r="AY194" s="622" t="n"/>
    </row>
    <row r="195" ht="18" customHeight="1" s="8286">
      <c r="A195" s="1001" t="inlineStr">
        <is>
          <t>SECCIÓN D.6.1: APLICACIÓN DE ESCALA ZARIT ABREVIADO EN CUIDADORES DE NANEAS</t>
        </is>
      </c>
      <c r="B195" s="1002" t="n"/>
      <c r="C195" s="1002" t="n"/>
      <c r="D195" s="1002" t="n"/>
      <c r="E195" s="1002" t="n"/>
      <c r="F195" s="930" t="n"/>
      <c r="G195" s="930" t="n"/>
      <c r="H195" s="930" t="n"/>
      <c r="I195" s="930" t="n"/>
      <c r="J195" s="930" t="n"/>
      <c r="K195" s="930" t="n"/>
      <c r="L195" s="930" t="n"/>
      <c r="M195" s="930" t="n"/>
      <c r="N195" s="930" t="n"/>
      <c r="O195" s="930" t="n"/>
      <c r="P195" s="930" t="n"/>
      <c r="Q195" s="930" t="n"/>
      <c r="R195" s="622" t="n"/>
      <c r="S195" s="622" t="n"/>
      <c r="T195" s="969" t="n"/>
      <c r="U195" s="969" t="n"/>
      <c r="V195" s="622" t="n"/>
      <c r="W195" s="622" t="n"/>
      <c r="X195" s="622" t="n"/>
      <c r="Y195" s="622" t="n"/>
      <c r="Z195" s="622" t="n"/>
      <c r="AA195" s="622" t="n"/>
      <c r="AB195" s="622" t="n"/>
      <c r="AC195" s="622" t="n"/>
      <c r="AD195" s="622" t="n"/>
      <c r="AE195" s="622" t="n"/>
      <c r="AF195" s="622" t="n"/>
      <c r="AG195" s="622" t="n"/>
      <c r="AH195" s="622" t="n"/>
      <c r="AI195" s="622" t="n"/>
      <c r="AJ195" s="622" t="n"/>
      <c r="AK195" s="622" t="n"/>
      <c r="AL195" s="622" t="n"/>
      <c r="AM195" s="622" t="n"/>
      <c r="AN195" s="622" t="n"/>
      <c r="AO195" s="622" t="n"/>
      <c r="AP195" s="622" t="n"/>
      <c r="AQ195" s="622" t="n"/>
      <c r="AR195" s="622" t="n"/>
      <c r="AS195" s="622" t="n"/>
      <c r="AT195" s="622" t="n"/>
      <c r="AU195" s="622" t="n"/>
      <c r="AV195" s="622" t="n"/>
      <c r="AW195" s="622" t="n"/>
      <c r="AX195" s="622" t="n"/>
      <c r="AY195" s="622" t="n"/>
    </row>
    <row r="196" ht="15" customHeight="1" s="8286">
      <c r="A196" s="9629" t="inlineStr">
        <is>
          <t>ESCALA DE SOBRECARGA DEL CUIDADOR "ZARIT ABREVIADO"</t>
        </is>
      </c>
      <c r="B196" s="9630" t="n"/>
      <c r="C196" s="9753" t="inlineStr">
        <is>
          <t xml:space="preserve">TOTAL              </t>
        </is>
      </c>
      <c r="D196" s="9754" t="n"/>
      <c r="E196" s="9755" t="n"/>
      <c r="F196" s="5730" t="inlineStr">
        <is>
          <t>RANGO ETARIO Y SEXO</t>
        </is>
      </c>
      <c r="G196" s="9617" t="n"/>
      <c r="H196" s="9617" t="n"/>
      <c r="I196" s="9617" t="n"/>
      <c r="J196" s="9617" t="n"/>
      <c r="K196" s="9617" t="n"/>
      <c r="L196" s="9617" t="n"/>
      <c r="M196" s="9617" t="n"/>
      <c r="N196" s="9617" t="n"/>
      <c r="O196" s="9743" t="n"/>
      <c r="P196" s="8274" t="inlineStr">
        <is>
          <t xml:space="preserve">RANGO ETARIO NANEAS </t>
        </is>
      </c>
      <c r="Q196" s="9617" t="n"/>
      <c r="R196" s="9617" t="n"/>
      <c r="S196" s="9632" t="n"/>
      <c r="T196" s="969" t="n"/>
      <c r="U196" s="969" t="n"/>
      <c r="V196" s="622" t="n"/>
      <c r="W196" s="622" t="n"/>
      <c r="X196" s="622" t="n"/>
      <c r="Y196" s="622" t="n"/>
      <c r="Z196" s="622" t="n"/>
      <c r="AA196" s="622" t="n"/>
      <c r="AB196" s="622" t="n"/>
      <c r="AC196" s="622" t="n"/>
      <c r="AD196" s="622" t="n"/>
      <c r="AE196" s="622" t="n"/>
      <c r="AF196" s="622" t="n"/>
      <c r="AG196" s="622" t="n"/>
      <c r="AH196" s="622" t="n"/>
      <c r="AI196" s="622" t="n"/>
      <c r="AJ196" s="622" t="n"/>
      <c r="AK196" s="622" t="n"/>
      <c r="AL196" s="622" t="n"/>
      <c r="AM196" s="622" t="n"/>
      <c r="AN196" s="622" t="n"/>
      <c r="AO196" s="622" t="n"/>
      <c r="AP196" s="622" t="n"/>
      <c r="AQ196" s="622" t="n"/>
      <c r="AR196" s="622" t="n"/>
      <c r="AS196" s="622" t="n"/>
      <c r="AT196" s="622" t="n"/>
      <c r="AU196" s="622" t="n"/>
      <c r="AV196" s="622" t="n"/>
      <c r="AW196" s="622" t="n"/>
      <c r="AX196" s="622" t="n"/>
      <c r="AY196" s="622" t="n"/>
    </row>
    <row r="197" ht="15" customHeight="1" s="8286">
      <c r="A197" s="642" t="n"/>
      <c r="B197" s="9718" t="n"/>
      <c r="C197" s="9757" t="n"/>
      <c r="D197" s="9758" t="n"/>
      <c r="E197" s="9759" t="n"/>
      <c r="F197" s="8184" t="inlineStr">
        <is>
          <t>15 - 19 años</t>
        </is>
      </c>
      <c r="G197" s="9688" t="n"/>
      <c r="H197" s="8184" t="inlineStr">
        <is>
          <t>20 - 24 años</t>
        </is>
      </c>
      <c r="I197" s="9688" t="n"/>
      <c r="J197" s="8184" t="inlineStr">
        <is>
          <t>25 - 44 años</t>
        </is>
      </c>
      <c r="K197" s="9688" t="n"/>
      <c r="L197" s="8184" t="inlineStr">
        <is>
          <t>45 - 64 años</t>
        </is>
      </c>
      <c r="M197" s="9688" t="n"/>
      <c r="N197" s="8184" t="inlineStr">
        <is>
          <t>65 o más años</t>
        </is>
      </c>
      <c r="O197" s="9688" t="n"/>
      <c r="P197" s="6658" t="inlineStr">
        <is>
          <t>0 - 4 años</t>
        </is>
      </c>
      <c r="Q197" s="9744" t="inlineStr">
        <is>
          <t>5 - 9 años</t>
        </is>
      </c>
      <c r="R197" s="9744" t="inlineStr">
        <is>
          <t>10 - 14 años</t>
        </is>
      </c>
      <c r="S197" s="8274" t="inlineStr">
        <is>
          <t>15 - 19 años</t>
        </is>
      </c>
      <c r="T197" s="969" t="n"/>
      <c r="U197" s="969" t="n"/>
      <c r="V197" s="622" t="n"/>
      <c r="W197" s="622" t="n"/>
      <c r="X197" s="622" t="n"/>
      <c r="Y197" s="622" t="n"/>
      <c r="Z197" s="622" t="n"/>
      <c r="AA197" s="622" t="n"/>
      <c r="AB197" s="622" t="n"/>
      <c r="AC197" s="622" t="n"/>
      <c r="AD197" s="622" t="n"/>
      <c r="AE197" s="622" t="n"/>
      <c r="AF197" s="622" t="n"/>
      <c r="AG197" s="622" t="n"/>
      <c r="AH197" s="622" t="n"/>
      <c r="AI197" s="622" t="n"/>
      <c r="AJ197" s="622" t="n"/>
      <c r="AK197" s="622" t="n"/>
      <c r="AL197" s="622" t="n"/>
      <c r="AM197" s="622" t="n"/>
      <c r="AN197" s="622" t="n"/>
      <c r="AO197" s="622" t="n"/>
      <c r="AP197" s="622" t="n"/>
      <c r="AQ197" s="622" t="n"/>
      <c r="AR197" s="622" t="n"/>
      <c r="AS197" s="622" t="n"/>
      <c r="AT197" s="622" t="n"/>
      <c r="AU197" s="622" t="n"/>
      <c r="AV197" s="622" t="n"/>
      <c r="AW197" s="622" t="n"/>
      <c r="AX197" s="622" t="n"/>
      <c r="AY197" s="622" t="n"/>
    </row>
    <row r="198" ht="15" customHeight="1" s="8286">
      <c r="A198" s="9638" t="n"/>
      <c r="B198" s="9639" t="n"/>
      <c r="C198" s="7279" t="inlineStr">
        <is>
          <t>Ambos Sexos</t>
        </is>
      </c>
      <c r="D198" s="7400" t="inlineStr">
        <is>
          <t>Hombres</t>
        </is>
      </c>
      <c r="E198" s="7280" t="inlineStr">
        <is>
          <t>Mujeres</t>
        </is>
      </c>
      <c r="F198" s="7400" t="inlineStr">
        <is>
          <t>Hombres</t>
        </is>
      </c>
      <c r="G198" s="7399" t="inlineStr">
        <is>
          <t>Mujeres</t>
        </is>
      </c>
      <c r="H198" s="7400" t="inlineStr">
        <is>
          <t>Hombres</t>
        </is>
      </c>
      <c r="I198" s="7399" t="inlineStr">
        <is>
          <t>Mujeres</t>
        </is>
      </c>
      <c r="J198" s="7400" t="inlineStr">
        <is>
          <t>Hombres</t>
        </is>
      </c>
      <c r="K198" s="7399" t="inlineStr">
        <is>
          <t>Mujeres</t>
        </is>
      </c>
      <c r="L198" s="7400" t="inlineStr">
        <is>
          <t>Hombres</t>
        </is>
      </c>
      <c r="M198" s="7399" t="inlineStr">
        <is>
          <t>Mujeres</t>
        </is>
      </c>
      <c r="N198" s="7400" t="inlineStr">
        <is>
          <t>Hombres</t>
        </is>
      </c>
      <c r="O198" s="7439" t="inlineStr">
        <is>
          <t>Mujeres</t>
        </is>
      </c>
      <c r="P198" s="9764" t="n"/>
      <c r="Q198" s="9765" t="n"/>
      <c r="R198" s="9765" t="n"/>
      <c r="S198" s="9639" t="n"/>
      <c r="T198" s="969" t="n"/>
      <c r="U198" s="969" t="n"/>
      <c r="V198" s="622" t="n"/>
      <c r="W198" s="622" t="n"/>
      <c r="X198" s="622" t="n"/>
      <c r="Y198" s="622" t="n"/>
      <c r="Z198" s="622" t="n"/>
      <c r="AA198" s="622" t="n"/>
      <c r="AB198" s="622" t="n"/>
      <c r="AC198" s="622" t="n"/>
      <c r="AD198" s="622" t="n"/>
      <c r="AE198" s="622" t="n"/>
      <c r="AF198" s="622" t="n"/>
      <c r="AG198" s="622" t="n"/>
      <c r="AH198" s="622" t="n"/>
      <c r="AI198" s="622" t="n"/>
      <c r="AJ198" s="622" t="n"/>
      <c r="AK198" s="622" t="n"/>
      <c r="AL198" s="622" t="n"/>
      <c r="AM198" s="622" t="n"/>
      <c r="AN198" s="622" t="n"/>
      <c r="AO198" s="622" t="n"/>
      <c r="AP198" s="622" t="n"/>
      <c r="AQ198" s="622" t="n"/>
      <c r="AR198" s="622" t="n"/>
      <c r="AS198" s="622" t="n"/>
      <c r="AT198" s="622" t="n"/>
      <c r="AU198" s="622" t="n"/>
      <c r="AV198" s="622" t="n"/>
      <c r="AW198" s="622" t="n"/>
      <c r="AX198" s="622" t="n"/>
      <c r="AY198" s="622" t="n"/>
    </row>
    <row r="199" ht="15" customHeight="1" s="8286">
      <c r="A199" s="9761" t="inlineStr">
        <is>
          <t xml:space="preserve">Cuidador/a NANEAS con dependencia severa con sobrecarga intensa </t>
        </is>
      </c>
      <c r="B199" s="9643" t="n"/>
      <c r="C199" s="1784">
        <f>SUM(D199+E199)</f>
        <v/>
      </c>
      <c r="D199" s="1785">
        <f>SUM(F199+H199+J199+L199+N199)</f>
        <v/>
      </c>
      <c r="E199" s="1786">
        <f>SUM(G199+I199+K199+M199+O199)</f>
        <v/>
      </c>
      <c r="F199" s="1635" t="n"/>
      <c r="G199" s="943" t="n"/>
      <c r="H199" s="1635" t="n"/>
      <c r="I199" s="943" t="n"/>
      <c r="J199" s="1635" t="n"/>
      <c r="K199" s="943" t="n"/>
      <c r="L199" s="1635" t="n"/>
      <c r="M199" s="943" t="n"/>
      <c r="N199" s="1635" t="n"/>
      <c r="O199" s="1004" t="n"/>
      <c r="P199" s="1792" t="n"/>
      <c r="Q199" s="952" t="n"/>
      <c r="R199" s="952" t="n"/>
      <c r="S199" s="1793" t="n"/>
      <c r="T199" s="969">
        <f>CA199&amp;CB199&amp;CC199&amp;CD199&amp;CE199&amp;CF199</f>
        <v/>
      </c>
      <c r="U199" s="969" t="n"/>
      <c r="V199" s="622" t="n"/>
      <c r="W199" s="622" t="n"/>
      <c r="X199" s="622" t="n"/>
      <c r="Y199" s="622" t="n"/>
      <c r="Z199" s="622" t="n"/>
      <c r="AA199" s="622" t="n"/>
      <c r="AB199" s="622" t="n"/>
      <c r="AC199" s="622" t="n"/>
      <c r="AD199" s="622" t="n"/>
      <c r="AE199" s="622" t="n"/>
      <c r="AF199" s="622" t="n"/>
      <c r="AG199" s="622" t="n"/>
      <c r="AH199" s="622" t="n"/>
      <c r="AI199" s="622" t="n"/>
      <c r="AJ199" s="622" t="n"/>
      <c r="AK199" s="622" t="n"/>
      <c r="AL199" s="622" t="n"/>
      <c r="AM199" s="622" t="n"/>
      <c r="AN199" s="622" t="n"/>
      <c r="AO199" s="622" t="n"/>
      <c r="AP199" s="622" t="n"/>
      <c r="AQ199" s="622" t="n"/>
      <c r="AR199" s="622" t="n"/>
      <c r="AS199" s="622" t="n"/>
      <c r="AT199" s="622" t="n"/>
      <c r="AU199" s="622" t="n"/>
      <c r="AV199" s="622" t="n"/>
      <c r="AW199" s="622" t="n"/>
      <c r="AX199" s="622" t="n"/>
      <c r="AY199" s="622" t="n"/>
      <c r="CA199" s="240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>
        <f>IF(AND($C199&lt;&gt;0,P199+Q199+R199+S199=0),"* La suma de variable "&amp;P$196&amp;""&amp;" no puede ser 0. ","")</f>
        <v/>
      </c>
      <c r="CF199" s="240">
        <f>IF(AND(Q199+R199+S199+P199&gt;$C199),"* La suma de la variable "&amp;P$196&amp;""&amp;" no puede superar el Total Ambos Sexos. ","")</f>
        <v/>
      </c>
      <c r="CG199" s="64" t="n"/>
      <c r="CH199" s="64" t="n"/>
      <c r="CI199" s="64" t="n"/>
      <c r="CK199" s="29">
        <f>IF(AND($C199&lt;&gt;0,P199=""),1,IF(P199&gt;$C199,1,0))</f>
        <v/>
      </c>
      <c r="CL199" s="29">
        <f>IF(AND($C199&lt;&gt;0,Q199=""),1,IF(Q199&gt;$C199,1,0))</f>
        <v/>
      </c>
      <c r="CM199" s="29">
        <f>IF(AND($C199&lt;&gt;0,R199=""),1,IF(R199&gt;$C199,1,0))</f>
        <v/>
      </c>
      <c r="CN199" s="29">
        <f>IF(AND($C199&lt;&gt;0,S199=""),1,IF(S199&gt;$C199,1,0))</f>
        <v/>
      </c>
      <c r="CO199" s="246">
        <f>IF(AND($C199&lt;&gt;0,P199+Q199+R199+S199=0),1,0)</f>
        <v/>
      </c>
      <c r="CP199" s="246">
        <f>IF(AND(Q199+R199+S199+P199&gt;$C199),1,0)</f>
        <v/>
      </c>
    </row>
    <row r="200" ht="15" customHeight="1" s="8286">
      <c r="A200" s="9762" t="inlineStr">
        <is>
          <t xml:space="preserve">Cuidador/a NANEAS con dependencia severa sin sobrecarga intensa </t>
        </is>
      </c>
      <c r="B200" s="9718" t="n"/>
      <c r="C200" s="1788">
        <f>SUM(D200+E200)</f>
        <v/>
      </c>
      <c r="D200" s="1003">
        <f>SUM(F200+H200+J200+L200+N200)</f>
        <v/>
      </c>
      <c r="E200" s="1789">
        <f>SUM(G200+I200+K200+M200+O200)</f>
        <v/>
      </c>
      <c r="F200" s="1781" t="n"/>
      <c r="G200" s="1562" t="n"/>
      <c r="H200" s="1781" t="n"/>
      <c r="I200" s="1562" t="n"/>
      <c r="J200" s="1781" t="n"/>
      <c r="K200" s="1562" t="n"/>
      <c r="L200" s="1781" t="n"/>
      <c r="M200" s="1562" t="n"/>
      <c r="N200" s="1781" t="n"/>
      <c r="O200" s="1794" t="n"/>
      <c r="P200" s="1553" t="n"/>
      <c r="Q200" s="961" t="n"/>
      <c r="R200" s="961" t="n"/>
      <c r="S200" s="1520" t="n"/>
      <c r="T200" s="969">
        <f>CA200&amp;CB200&amp;CC200&amp;CD200&amp;CE200&amp;CF200</f>
        <v/>
      </c>
      <c r="U200" s="969" t="n"/>
      <c r="V200" s="622" t="n"/>
      <c r="W200" s="622" t="n"/>
      <c r="X200" s="622" t="n"/>
      <c r="Y200" s="622" t="n"/>
      <c r="Z200" s="622" t="n"/>
      <c r="AA200" s="622" t="n"/>
      <c r="AB200" s="622" t="n"/>
      <c r="AC200" s="622" t="n"/>
      <c r="AD200" s="622" t="n"/>
      <c r="AE200" s="622" t="n"/>
      <c r="AF200" s="622" t="n"/>
      <c r="AG200" s="622" t="n"/>
      <c r="AH200" s="622" t="n"/>
      <c r="AI200" s="622" t="n"/>
      <c r="AJ200" s="622" t="n"/>
      <c r="AK200" s="622" t="n"/>
      <c r="AL200" s="622" t="n"/>
      <c r="AM200" s="622" t="n"/>
      <c r="AN200" s="622" t="n"/>
      <c r="AO200" s="622" t="n"/>
      <c r="AP200" s="622" t="n"/>
      <c r="AQ200" s="622" t="n"/>
      <c r="AR200" s="622" t="n"/>
      <c r="AS200" s="622" t="n"/>
      <c r="AT200" s="622" t="n"/>
      <c r="AU200" s="622" t="n"/>
      <c r="AV200" s="622" t="n"/>
      <c r="AW200" s="622" t="n"/>
      <c r="AX200" s="622" t="n"/>
      <c r="AY200" s="622" t="n"/>
      <c r="CA200" s="240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>
        <f>IF(AND($C200&lt;&gt;0,P200+Q200+R200+S200=0),"* La suma de variable "&amp;P$196&amp;""&amp;" no puede ser 0. ","")</f>
        <v/>
      </c>
      <c r="CF200" s="240">
        <f>IF(AND(Q200+R200+S200+P200&gt;$C200),"* La suma de la variable "&amp;P$196&amp;""&amp;" no puede superar el Total Ambos Sexos. ","")</f>
        <v/>
      </c>
      <c r="CG200" s="64" t="n"/>
      <c r="CH200" s="64" t="n"/>
      <c r="CI200" s="64" t="n"/>
      <c r="CK200" s="29">
        <f>IF(AND($C200&lt;&gt;0,P200=""),1,IF(P200&gt;$C200,1,0))</f>
        <v/>
      </c>
      <c r="CL200" s="29">
        <f>IF(AND($C200&lt;&gt;0,Q200=""),1,IF(Q200&gt;$C200,1,0))</f>
        <v/>
      </c>
      <c r="CM200" s="29">
        <f>IF(AND($C200&lt;&gt;0,R200=""),1,IF(R200&gt;$C200,1,0))</f>
        <v/>
      </c>
      <c r="CN200" s="29">
        <f>IF(AND($C200&lt;&gt;0,S200=""),1,IF(S200&gt;$C200,1,0))</f>
        <v/>
      </c>
      <c r="CO200" s="246">
        <f>IF(AND($C200&lt;&gt;0,P200+Q200+R200+S200=0),1,0)</f>
        <v/>
      </c>
      <c r="CP200" s="246">
        <f>IF(AND(Q200+R200+S200+P200&gt;$C200),1,0)</f>
        <v/>
      </c>
    </row>
    <row r="201" ht="15" customHeight="1" s="8286">
      <c r="A201" s="9766" t="inlineStr">
        <is>
          <t xml:space="preserve">TOTAL CUIDADORES EVALUADOS </t>
        </is>
      </c>
      <c r="B201" s="9632" t="n"/>
      <c r="C201" s="1791">
        <f>SUM(D201+E201)</f>
        <v/>
      </c>
      <c r="D201" s="1594">
        <f>SUM(F201+H201+J201+L201+N201)</f>
        <v/>
      </c>
      <c r="E201" s="1527">
        <f>SUM(G201+I201+K201+M201+O201)</f>
        <v/>
      </c>
      <c r="F201" s="1662">
        <f>SUM(F199:F200)</f>
        <v/>
      </c>
      <c r="G201" s="1600">
        <f>SUM(G199:G200)</f>
        <v/>
      </c>
      <c r="H201" s="1662">
        <f>SUM(H199:H200)</f>
        <v/>
      </c>
      <c r="I201" s="1600">
        <f>SUM(I199:I200)</f>
        <v/>
      </c>
      <c r="J201" s="1662">
        <f>SUM(J199:J200)</f>
        <v/>
      </c>
      <c r="K201" s="1600">
        <f>SUM(K199:K200)</f>
        <v/>
      </c>
      <c r="L201" s="1662">
        <f>SUM(L199:L200)</f>
        <v/>
      </c>
      <c r="M201" s="1600">
        <f>SUM(M199:M200)</f>
        <v/>
      </c>
      <c r="N201" s="1662">
        <f>SUM(N199:N200)</f>
        <v/>
      </c>
      <c r="O201" s="1795">
        <f>SUM(O199:O200)</f>
        <v/>
      </c>
      <c r="P201" s="1796">
        <f>SUM(P199:P200)</f>
        <v/>
      </c>
      <c r="Q201" s="1797">
        <f>SUM(Q199:Q200)</f>
        <v/>
      </c>
      <c r="R201" s="1797">
        <f>SUM(R199:R200)</f>
        <v/>
      </c>
      <c r="S201" s="1596">
        <f>SUM(S199:S200)</f>
        <v/>
      </c>
      <c r="T201" s="969" t="n"/>
      <c r="U201" s="969" t="n"/>
      <c r="V201" s="622" t="n"/>
      <c r="W201" s="622" t="n"/>
      <c r="X201" s="622" t="n"/>
      <c r="Y201" s="622" t="n"/>
      <c r="Z201" s="622" t="n"/>
      <c r="AA201" s="622" t="n"/>
      <c r="AB201" s="622" t="n"/>
      <c r="AC201" s="622" t="n"/>
      <c r="AD201" s="622" t="n"/>
      <c r="AE201" s="622" t="n"/>
      <c r="AF201" s="622" t="n"/>
      <c r="AG201" s="622" t="n"/>
      <c r="AH201" s="622" t="n"/>
      <c r="AI201" s="622" t="n"/>
      <c r="AJ201" s="622" t="n"/>
      <c r="AK201" s="622" t="n"/>
      <c r="AL201" s="622" t="n"/>
      <c r="AM201" s="622" t="n"/>
      <c r="AN201" s="622" t="n"/>
      <c r="AO201" s="622" t="n"/>
      <c r="AP201" s="622" t="n"/>
      <c r="AQ201" s="622" t="n"/>
      <c r="AR201" s="622" t="n"/>
      <c r="AS201" s="622" t="n"/>
      <c r="AT201" s="622" t="n"/>
      <c r="AU201" s="622" t="n"/>
      <c r="AV201" s="622" t="n"/>
      <c r="AW201" s="622" t="n"/>
      <c r="AX201" s="622" t="n"/>
      <c r="AY201" s="622" t="n"/>
    </row>
    <row r="202" ht="18" customHeight="1" s="8286">
      <c r="A202" s="1001" t="inlineStr">
        <is>
          <t>SECCIÓN D.7: APLICACIÓN Y RESULTADOS DE PAUTA DE EVALUACIÓN CON ENFOQUE DE RIESGO ODONTOLÓGICO (CERO)</t>
        </is>
      </c>
      <c r="B202" s="1005" t="n"/>
      <c r="C202" s="1005" t="n"/>
      <c r="D202" s="1005" t="n"/>
      <c r="E202" s="1005" t="n"/>
      <c r="F202" s="1005" t="n"/>
      <c r="G202" s="1005" t="n"/>
      <c r="H202" s="1005" t="n"/>
      <c r="I202" s="930" t="n"/>
      <c r="J202" s="930" t="n"/>
      <c r="K202" s="930" t="n"/>
      <c r="L202" s="930" t="n"/>
      <c r="M202" s="930" t="n"/>
      <c r="N202" s="930" t="n"/>
      <c r="O202" s="930" t="n"/>
      <c r="P202" s="930" t="n"/>
      <c r="Q202" s="930" t="n"/>
      <c r="R202" s="1000" t="n"/>
      <c r="S202" s="1000" t="n"/>
      <c r="T202" s="1000" t="n"/>
      <c r="U202" s="1000" t="n"/>
      <c r="V202" s="1000" t="n"/>
      <c r="W202" s="1000" t="n"/>
      <c r="X202" s="1000" t="n"/>
      <c r="Y202" s="1000" t="n"/>
      <c r="Z202" s="993" t="n"/>
      <c r="AA202" s="993" t="n"/>
      <c r="AB202" s="993" t="n"/>
      <c r="AC202" s="993" t="n"/>
      <c r="AD202" s="993" t="n"/>
      <c r="AE202" s="993" t="n"/>
      <c r="AF202" s="993" t="n"/>
      <c r="AG202" s="993" t="n"/>
      <c r="AH202" s="993" t="n"/>
      <c r="AI202" s="993" t="n"/>
      <c r="AJ202" s="622" t="n"/>
      <c r="AK202" s="622" t="n"/>
      <c r="AL202" s="622" t="n"/>
      <c r="AM202" s="622" t="n"/>
      <c r="AN202" s="622" t="n"/>
      <c r="AO202" s="622" t="n"/>
      <c r="AP202" s="622" t="n"/>
      <c r="AQ202" s="622" t="n"/>
      <c r="AR202" s="622" t="n"/>
      <c r="AS202" s="622" t="n"/>
      <c r="AT202" s="622" t="n"/>
      <c r="AU202" s="622" t="n"/>
      <c r="AV202" s="622" t="n"/>
      <c r="AW202" s="622" t="n"/>
      <c r="AX202" s="622" t="n"/>
      <c r="AY202" s="622" t="n"/>
    </row>
    <row r="203" ht="15" customHeight="1" s="8286">
      <c r="A203" s="9767" t="inlineStr">
        <is>
          <t xml:space="preserve">PAUTA CERO </t>
        </is>
      </c>
      <c r="B203" s="9630" t="n"/>
      <c r="C203" s="9768" t="inlineStr">
        <is>
          <t>TOTAL</t>
        </is>
      </c>
      <c r="D203" s="9602" t="n"/>
      <c r="E203" s="9630" t="n"/>
      <c r="F203" s="9769" t="inlineStr">
        <is>
          <t>RANGO ETARIO Y SEXO</t>
        </is>
      </c>
      <c r="G203" s="9584" t="n"/>
      <c r="H203" s="9584" t="n"/>
      <c r="I203" s="9584" t="n"/>
      <c r="J203" s="9584" t="n"/>
      <c r="K203" s="9584" t="n"/>
      <c r="L203" s="9584" t="n"/>
      <c r="M203" s="9584" t="n"/>
      <c r="N203" s="9584" t="n"/>
      <c r="O203" s="9584" t="n"/>
      <c r="P203" s="9584" t="n"/>
      <c r="Q203" s="9584" t="n"/>
      <c r="R203" s="9584" t="n"/>
      <c r="S203" s="9584" t="n"/>
      <c r="T203" s="9584" t="n"/>
      <c r="U203" s="9584" t="n"/>
      <c r="V203" s="9584" t="n"/>
      <c r="W203" s="9584" t="n"/>
      <c r="X203" s="9584" t="n"/>
      <c r="Y203" s="9584" t="n"/>
      <c r="Z203" s="9584" t="n"/>
      <c r="AA203" s="9584" t="n"/>
      <c r="AB203" s="9584" t="n"/>
      <c r="AC203" s="9582" t="n"/>
      <c r="AD203" s="9770" t="inlineStr">
        <is>
          <t xml:space="preserve">SENAME/ Servicio Nacional de Reinserción social Juvenil </t>
        </is>
      </c>
      <c r="AE203" s="9771" t="n"/>
      <c r="AF203" s="9772" t="inlineStr">
        <is>
          <t>Servicio Nacional Protección Especializada a la Niñez y Adolescencia</t>
        </is>
      </c>
      <c r="AG203" s="9771" t="n"/>
      <c r="AH203" s="9773" t="inlineStr">
        <is>
          <t>Pueblos Originarios</t>
        </is>
      </c>
      <c r="AI203" s="9774" t="inlineStr">
        <is>
          <t>Migrantes</t>
        </is>
      </c>
      <c r="AJ203" s="622" t="n"/>
      <c r="AK203" s="622" t="n"/>
      <c r="AL203" s="622" t="n"/>
      <c r="AM203" s="622" t="n"/>
      <c r="AN203" s="622" t="n"/>
      <c r="AO203" s="622" t="n"/>
      <c r="AP203" s="622" t="n"/>
      <c r="AQ203" s="622" t="n"/>
      <c r="AR203" s="622" t="n"/>
      <c r="AS203" s="622" t="n"/>
      <c r="AT203" s="622" t="n"/>
      <c r="AU203" s="622" t="n"/>
      <c r="AV203" s="622" t="n"/>
      <c r="AW203" s="622" t="n"/>
      <c r="AX203" s="622" t="n"/>
      <c r="AY203" s="622" t="n"/>
    </row>
    <row r="204" ht="25.5" customHeight="1" s="8286">
      <c r="A204" s="642" t="n"/>
      <c r="B204" s="9718" t="n"/>
      <c r="C204" s="9638" t="n"/>
      <c r="D204" s="9697" t="n"/>
      <c r="E204" s="9639" t="n"/>
      <c r="F204" s="9756" t="inlineStr">
        <is>
          <t>&lt;1 año</t>
        </is>
      </c>
      <c r="G204" s="9632" t="n"/>
      <c r="H204" s="9775" t="inlineStr">
        <is>
          <t>1 año</t>
        </is>
      </c>
      <c r="I204" s="9776" t="n"/>
      <c r="J204" s="9775" t="inlineStr">
        <is>
          <t>2 años</t>
        </is>
      </c>
      <c r="K204" s="9776" t="n"/>
      <c r="L204" s="9775" t="inlineStr">
        <is>
          <t xml:space="preserve">3 años </t>
        </is>
      </c>
      <c r="M204" s="9776" t="n"/>
      <c r="N204" s="9775" t="inlineStr">
        <is>
          <t>4 años</t>
        </is>
      </c>
      <c r="O204" s="9776" t="n"/>
      <c r="P204" s="9775" t="inlineStr">
        <is>
          <t>5 años</t>
        </is>
      </c>
      <c r="Q204" s="9776" t="n"/>
      <c r="R204" s="9775" t="inlineStr">
        <is>
          <t>6 años</t>
        </is>
      </c>
      <c r="S204" s="9776" t="n"/>
      <c r="T204" s="9777" t="inlineStr">
        <is>
          <t>7 años</t>
        </is>
      </c>
      <c r="U204" s="9582" t="n"/>
      <c r="V204" s="9777" t="inlineStr">
        <is>
          <t>8 años</t>
        </is>
      </c>
      <c r="W204" s="9582" t="n"/>
      <c r="X204" s="9777" t="inlineStr">
        <is>
          <t>9 años</t>
        </is>
      </c>
      <c r="Y204" s="9582" t="n"/>
      <c r="Z204" s="6614" t="inlineStr">
        <is>
          <t>10-14 años</t>
        </is>
      </c>
      <c r="AA204" s="9743" t="n"/>
      <c r="AB204" s="6614" t="inlineStr">
        <is>
          <t>15-19 años</t>
        </is>
      </c>
      <c r="AC204" s="9743" t="n"/>
      <c r="AD204" s="9778" t="n"/>
      <c r="AE204" s="9779" t="n"/>
      <c r="AF204" s="9780" t="n"/>
      <c r="AG204" s="9779" t="n"/>
      <c r="AH204" s="9781" t="n"/>
      <c r="AI204" s="9782" t="n"/>
      <c r="AJ204" s="622" t="n"/>
      <c r="AK204" s="622" t="n"/>
      <c r="AL204" s="622" t="n"/>
      <c r="AM204" s="622" t="n"/>
      <c r="AN204" s="622" t="n"/>
      <c r="AO204" s="622" t="n"/>
      <c r="AP204" s="622" t="n"/>
      <c r="AQ204" s="622" t="n"/>
      <c r="AR204" s="622" t="n"/>
      <c r="AS204" s="622" t="n"/>
      <c r="AT204" s="622" t="n"/>
      <c r="AU204" s="622" t="n"/>
      <c r="AV204" s="622" t="n"/>
      <c r="AW204" s="622" t="n"/>
      <c r="AX204" s="622" t="n"/>
      <c r="AY204" s="622" t="n"/>
    </row>
    <row r="205" ht="15" customHeight="1" s="8286">
      <c r="A205" s="9638" t="n"/>
      <c r="B205" s="9639" t="n"/>
      <c r="C205" s="1799" t="inlineStr">
        <is>
          <t>Ambos sexos</t>
        </is>
      </c>
      <c r="D205" s="1800" t="inlineStr">
        <is>
          <t>Hombres</t>
        </is>
      </c>
      <c r="E205" s="7308" t="inlineStr">
        <is>
          <t>Mujeres</t>
        </is>
      </c>
      <c r="F205" s="1801" t="inlineStr">
        <is>
          <t>Hombres</t>
        </is>
      </c>
      <c r="G205" s="1802" t="inlineStr">
        <is>
          <t>Mujeres</t>
        </is>
      </c>
      <c r="H205" s="1801" t="inlineStr">
        <is>
          <t>Hombres</t>
        </is>
      </c>
      <c r="I205" s="1802" t="inlineStr">
        <is>
          <t>Mujeres</t>
        </is>
      </c>
      <c r="J205" s="1801" t="inlineStr">
        <is>
          <t>Hombres</t>
        </is>
      </c>
      <c r="K205" s="1802" t="inlineStr">
        <is>
          <t>Mujeres</t>
        </is>
      </c>
      <c r="L205" s="1801" t="inlineStr">
        <is>
          <t>Hombres</t>
        </is>
      </c>
      <c r="M205" s="1802" t="inlineStr">
        <is>
          <t>Mujeres</t>
        </is>
      </c>
      <c r="N205" s="1801" t="inlineStr">
        <is>
          <t>Hombres</t>
        </is>
      </c>
      <c r="O205" s="1802" t="inlineStr">
        <is>
          <t>Mujeres</t>
        </is>
      </c>
      <c r="P205" s="1801" t="inlineStr">
        <is>
          <t>Hombres</t>
        </is>
      </c>
      <c r="Q205" s="1802" t="inlineStr">
        <is>
          <t>Mujeres</t>
        </is>
      </c>
      <c r="R205" s="1801" t="inlineStr">
        <is>
          <t>Hombres</t>
        </is>
      </c>
      <c r="S205" s="1802" t="inlineStr">
        <is>
          <t>Mujeres</t>
        </is>
      </c>
      <c r="T205" s="1801" t="inlineStr">
        <is>
          <t>Hombres</t>
        </is>
      </c>
      <c r="U205" s="1802" t="inlineStr">
        <is>
          <t>Mujeres</t>
        </is>
      </c>
      <c r="V205" s="1801" t="inlineStr">
        <is>
          <t>Hombres</t>
        </is>
      </c>
      <c r="W205" s="1802" t="inlineStr">
        <is>
          <t>Mujeres</t>
        </is>
      </c>
      <c r="X205" s="1801" t="inlineStr">
        <is>
          <t>Hombres</t>
        </is>
      </c>
      <c r="Y205" s="1802" t="inlineStr">
        <is>
          <t>Mujeres</t>
        </is>
      </c>
      <c r="Z205" s="1801" t="inlineStr">
        <is>
          <t>Hombres</t>
        </is>
      </c>
      <c r="AA205" s="1802" t="inlineStr">
        <is>
          <t>Mujeres</t>
        </is>
      </c>
      <c r="AB205" s="1801" t="inlineStr">
        <is>
          <t>Hombres</t>
        </is>
      </c>
      <c r="AC205" s="1803" t="inlineStr">
        <is>
          <t>Mujeres</t>
        </is>
      </c>
      <c r="AD205" s="1804" t="inlineStr">
        <is>
          <t>Hombres</t>
        </is>
      </c>
      <c r="AE205" s="1802" t="inlineStr">
        <is>
          <t>Mujeres</t>
        </is>
      </c>
      <c r="AF205" s="1804" t="inlineStr">
        <is>
          <t>Hombres</t>
        </is>
      </c>
      <c r="AG205" s="1802" t="inlineStr">
        <is>
          <t>Mujeres</t>
        </is>
      </c>
      <c r="AH205" s="9783" t="n"/>
      <c r="AI205" s="9784" t="n"/>
      <c r="AJ205" s="622" t="n"/>
      <c r="AK205" s="622" t="n"/>
      <c r="AL205" s="622" t="n"/>
      <c r="AM205" s="622" t="n"/>
      <c r="AN205" s="622" t="n"/>
      <c r="AO205" s="622" t="n"/>
      <c r="AP205" s="622" t="n"/>
      <c r="AQ205" s="622" t="n"/>
      <c r="AR205" s="622" t="n"/>
      <c r="AS205" s="622" t="n"/>
      <c r="AT205" s="622" t="n"/>
      <c r="AU205" s="622" t="n"/>
      <c r="AV205" s="622" t="n"/>
      <c r="AW205" s="622" t="n"/>
      <c r="AX205" s="622" t="n"/>
      <c r="AY205" s="622" t="n"/>
    </row>
    <row r="206" ht="15" customHeight="1" s="8286">
      <c r="A206" s="9785" t="inlineStr">
        <is>
          <t xml:space="preserve">Evaluación de riesgo </t>
        </is>
      </c>
      <c r="B206" s="1805" t="inlineStr">
        <is>
          <t>Bajo riesgo</t>
        </is>
      </c>
      <c r="C206" s="1805">
        <f>SUM(D206+E206)</f>
        <v/>
      </c>
      <c r="D206" s="1806">
        <f>SUM(F206+H206+J206+L206+N206+P206+R206+T206+V206+X206+Z206+AB206)</f>
        <v/>
      </c>
      <c r="E206" s="1807">
        <f>SUM(G206+I206+K206+M206+O206+Q206+S206+U206+W206+Y206+AA206+AC206)</f>
        <v/>
      </c>
      <c r="F206" s="1808" t="n">
        <v>2</v>
      </c>
      <c r="G206" s="1809" t="n">
        <v>4</v>
      </c>
      <c r="H206" s="1808" t="n">
        <v>22</v>
      </c>
      <c r="I206" s="1809" t="n">
        <v>8</v>
      </c>
      <c r="J206" s="1808" t="n">
        <v>8</v>
      </c>
      <c r="K206" s="1809" t="n">
        <v>8</v>
      </c>
      <c r="L206" s="1808" t="n">
        <v>2</v>
      </c>
      <c r="M206" s="1809" t="n">
        <v>4</v>
      </c>
      <c r="N206" s="1808" t="n">
        <v>1</v>
      </c>
      <c r="O206" s="1809" t="n">
        <v>4</v>
      </c>
      <c r="P206" s="1808" t="n">
        <v>3</v>
      </c>
      <c r="Q206" s="1810" t="n">
        <v>5</v>
      </c>
      <c r="R206" s="1808" t="n">
        <v>4</v>
      </c>
      <c r="S206" s="1810" t="n">
        <v>3</v>
      </c>
      <c r="T206" s="1808" t="n">
        <v>1</v>
      </c>
      <c r="U206" s="1809" t="n">
        <v>5</v>
      </c>
      <c r="V206" s="1808" t="n">
        <v>2</v>
      </c>
      <c r="W206" s="1809" t="n">
        <v>0</v>
      </c>
      <c r="X206" s="1808" t="n">
        <v>1</v>
      </c>
      <c r="Y206" s="1810" t="n">
        <v>1</v>
      </c>
      <c r="Z206" s="1808" t="n">
        <v>2</v>
      </c>
      <c r="AA206" s="1810" t="n">
        <v>5</v>
      </c>
      <c r="AB206" s="1808" t="n">
        <v>0</v>
      </c>
      <c r="AC206" s="1811" t="n">
        <v>3</v>
      </c>
      <c r="AD206" s="1809" t="n">
        <v>0</v>
      </c>
      <c r="AE206" s="1810" t="n">
        <v>1</v>
      </c>
      <c r="AF206" s="1809" t="n">
        <v>1</v>
      </c>
      <c r="AG206" s="1810" t="n">
        <v>0</v>
      </c>
      <c r="AH206" s="5319" t="n">
        <v>9</v>
      </c>
      <c r="AI206" s="5321" t="n">
        <v>3</v>
      </c>
      <c r="AJ206" s="1006">
        <f>$CA206&amp;CB206&amp;CC206&amp;CD206&amp;CE206&amp;CF206</f>
        <v/>
      </c>
      <c r="AK206" s="622" t="n"/>
      <c r="AL206" s="622" t="n"/>
      <c r="AM206" s="622" t="n"/>
      <c r="AN206" s="622" t="n"/>
      <c r="AO206" s="622" t="n"/>
      <c r="AP206" s="622" t="n"/>
      <c r="AQ206" s="622" t="n"/>
      <c r="AR206" s="622" t="n"/>
      <c r="AS206" s="622" t="n"/>
      <c r="AT206" s="622" t="n"/>
      <c r="AU206" s="622" t="n"/>
      <c r="AV206" s="622" t="n"/>
      <c r="AW206" s="622" t="n"/>
      <c r="AX206" s="622" t="n"/>
      <c r="AY206" s="622" t="n"/>
      <c r="CA206" s="240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/>
      </c>
      <c r="CL206" s="29">
        <f>IF(AND($E206&lt;&gt;0,AE206=""),1,IF(AE206&gt;$E206,1,0))</f>
        <v/>
      </c>
      <c r="CM206" s="29">
        <f>IF(AND($D206&lt;&gt;0,AF206=""),1,IF(AF206&gt;$D206,1,0))</f>
        <v/>
      </c>
      <c r="CN206" s="29">
        <f>IF(AND($E206&lt;&gt;0,AG206=""),1,IF(AG206&gt;$E206,1,0))</f>
        <v/>
      </c>
      <c r="CO206" s="29">
        <f>IF(AND($C206&lt;&gt;0,AH206=""),1,IF(AH206&gt;$C206,1,0))</f>
        <v/>
      </c>
      <c r="CP206" s="29">
        <f>IF(AND($C206&lt;&gt;0,AI206=""),1,IF(AI206&gt;$C206,1,0))</f>
        <v/>
      </c>
    </row>
    <row r="207" ht="15" customHeight="1" s="8286">
      <c r="A207" s="9589" t="n"/>
      <c r="B207" s="1812" t="inlineStr">
        <is>
          <t>Alto riesgo</t>
        </is>
      </c>
      <c r="C207" s="1813">
        <f>SUM(D207+E207)</f>
        <v/>
      </c>
      <c r="D207" s="1814">
        <f>SUM(F207+H207+J207+L207+N207+P207+R207+T207+V207+X207+Z207+AB207)</f>
        <v/>
      </c>
      <c r="E207" s="1815">
        <f>SUM(G207+I207+K207+M207+O207+Q207+S207+U207+W207+Y207+AA207+AC207)</f>
        <v/>
      </c>
      <c r="F207" s="1816" t="n">
        <v>5</v>
      </c>
      <c r="G207" s="1817" t="n">
        <v>1</v>
      </c>
      <c r="H207" s="1816" t="n">
        <v>9</v>
      </c>
      <c r="I207" s="1817" t="n">
        <v>9</v>
      </c>
      <c r="J207" s="1816" t="n">
        <v>6</v>
      </c>
      <c r="K207" s="1817" t="n">
        <v>9</v>
      </c>
      <c r="L207" s="1816" t="n">
        <v>5</v>
      </c>
      <c r="M207" s="1817" t="n">
        <v>5</v>
      </c>
      <c r="N207" s="1816" t="n">
        <v>0</v>
      </c>
      <c r="O207" s="1817" t="n">
        <v>8</v>
      </c>
      <c r="P207" s="1816" t="n">
        <v>8</v>
      </c>
      <c r="Q207" s="1818" t="n">
        <v>6</v>
      </c>
      <c r="R207" s="1816" t="n">
        <v>5</v>
      </c>
      <c r="S207" s="1818" t="n">
        <v>7</v>
      </c>
      <c r="T207" s="1816" t="n">
        <v>7</v>
      </c>
      <c r="U207" s="1817" t="n">
        <v>5</v>
      </c>
      <c r="V207" s="1816" t="n">
        <v>9</v>
      </c>
      <c r="W207" s="1817" t="n">
        <v>11</v>
      </c>
      <c r="X207" s="1816" t="n">
        <v>7</v>
      </c>
      <c r="Y207" s="1818" t="n">
        <v>7</v>
      </c>
      <c r="Z207" s="1816" t="n">
        <v>14</v>
      </c>
      <c r="AA207" s="1818" t="n">
        <v>14</v>
      </c>
      <c r="AB207" s="1816" t="n">
        <v>8</v>
      </c>
      <c r="AC207" s="1819" t="n">
        <v>25</v>
      </c>
      <c r="AD207" s="1820" t="n">
        <v>1</v>
      </c>
      <c r="AE207" s="1818" t="n">
        <v>2</v>
      </c>
      <c r="AF207" s="1820" t="n">
        <v>6</v>
      </c>
      <c r="AG207" s="1818" t="n">
        <v>3</v>
      </c>
      <c r="AH207" s="1892" t="n">
        <v>10</v>
      </c>
      <c r="AI207" s="5322" t="n">
        <v>5</v>
      </c>
      <c r="AJ207" s="1006">
        <f>$CA207&amp;CB207&amp;CC207&amp;CE207&amp;CF207&amp;CD207</f>
        <v/>
      </c>
      <c r="AK207" s="622" t="n"/>
      <c r="AL207" s="622" t="n"/>
      <c r="AM207" s="622" t="n"/>
      <c r="AN207" s="622" t="n"/>
      <c r="AO207" s="622" t="n"/>
      <c r="AP207" s="622" t="n"/>
      <c r="AQ207" s="622" t="n"/>
      <c r="AR207" s="622" t="n"/>
      <c r="AS207" s="622" t="n"/>
      <c r="AT207" s="622" t="n"/>
      <c r="AU207" s="622" t="n"/>
      <c r="AV207" s="622" t="n"/>
      <c r="AW207" s="622" t="n"/>
      <c r="AX207" s="622" t="n"/>
      <c r="AY207" s="622" t="n"/>
      <c r="CA207" s="240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/>
      </c>
      <c r="CL207" s="29">
        <f>IF(AND($E207&lt;&gt;0,AE207=""),1,IF(AE207&gt;$E207,1,0))</f>
        <v/>
      </c>
      <c r="CM207" s="29">
        <f>IF(AND($D207&lt;&gt;0,AF207=""),1,IF(AF207&gt;$D207,1,0))</f>
        <v/>
      </c>
      <c r="CN207" s="29">
        <f>IF(AND($E207&lt;&gt;0,AG207=""),1,IF(AG207&gt;$E207,1,0))</f>
        <v/>
      </c>
      <c r="CO207" s="29">
        <f>IF(AND($C207&lt;&gt;0,AH207=""),1,IF(AH207&gt;$C207,1,0))</f>
        <v/>
      </c>
      <c r="CP207" s="29">
        <f>IF(AND($C207&lt;&gt;0,AI207=""),1,IF(AI207&gt;$C207,1,0))</f>
        <v/>
      </c>
    </row>
    <row r="208" ht="15" customHeight="1" s="8286">
      <c r="A208" s="9786" t="inlineStr">
        <is>
          <t>TOTAL</t>
        </is>
      </c>
      <c r="B208" s="9776" t="n"/>
      <c r="C208" s="1821">
        <f>SUM(D208+E208)</f>
        <v/>
      </c>
      <c r="D208" s="1822">
        <f>SUM(D206+D207)</f>
        <v/>
      </c>
      <c r="E208" s="1823">
        <f>SUM(E206+E207)</f>
        <v/>
      </c>
      <c r="F208" s="1824">
        <f>SUM(F206+F207)</f>
        <v/>
      </c>
      <c r="G208" s="1825">
        <f>SUM(G206+G207)</f>
        <v/>
      </c>
      <c r="H208" s="1824">
        <f>SUM(H206+H207)</f>
        <v/>
      </c>
      <c r="I208" s="1825">
        <f>SUM(I206+I207)</f>
        <v/>
      </c>
      <c r="J208" s="1824">
        <f>SUM(J206+J207)</f>
        <v/>
      </c>
      <c r="K208" s="1825">
        <f>SUM(K206+K207)</f>
        <v/>
      </c>
      <c r="L208" s="1824">
        <f>SUM(L206+L207)</f>
        <v/>
      </c>
      <c r="M208" s="1825">
        <f>SUM(M206+M207)</f>
        <v/>
      </c>
      <c r="N208" s="1824">
        <f>SUM(N206+N207)</f>
        <v/>
      </c>
      <c r="O208" s="1825">
        <f>SUM(O206+O207)</f>
        <v/>
      </c>
      <c r="P208" s="1824">
        <f>SUM(P206+P207)</f>
        <v/>
      </c>
      <c r="Q208" s="1825">
        <f>SUM(Q206+Q207)</f>
        <v/>
      </c>
      <c r="R208" s="1824">
        <f>SUM(R206+R207)</f>
        <v/>
      </c>
      <c r="S208" s="1825">
        <f>SUM(S206+S207)</f>
        <v/>
      </c>
      <c r="T208" s="1824">
        <f>SUM(T206+T207)</f>
        <v/>
      </c>
      <c r="U208" s="1825">
        <f>SUM(U206+U207)</f>
        <v/>
      </c>
      <c r="V208" s="1824">
        <f>SUM(V206+V207)</f>
        <v/>
      </c>
      <c r="W208" s="1825">
        <f>SUM(W206+W207)</f>
        <v/>
      </c>
      <c r="X208" s="1824">
        <f>SUM(X206+X207)</f>
        <v/>
      </c>
      <c r="Y208" s="1825">
        <f>SUM(Y206+Y207)</f>
        <v/>
      </c>
      <c r="Z208" s="1824">
        <f>SUM(Z206+Z207)</f>
        <v/>
      </c>
      <c r="AA208" s="1825">
        <f>SUM(AA206+AA207)</f>
        <v/>
      </c>
      <c r="AB208" s="1824">
        <f>SUM(AB206+AB207)</f>
        <v/>
      </c>
      <c r="AC208" s="1826">
        <f>SUM(AC206+AC207)</f>
        <v/>
      </c>
      <c r="AD208" s="1822">
        <f>SUM(AD206+AD207)</f>
        <v/>
      </c>
      <c r="AE208" s="1825">
        <f>SUM(AE206+AE207)</f>
        <v/>
      </c>
      <c r="AF208" s="1822">
        <f>SUM(AF206+AF207)</f>
        <v/>
      </c>
      <c r="AG208" s="1825">
        <f>SUM(AG206+AG207)</f>
        <v/>
      </c>
      <c r="AH208" s="5320">
        <f>SUM(AH206+AH207)</f>
        <v/>
      </c>
      <c r="AI208" s="5323">
        <f>SUM(AI206+AI207)</f>
        <v/>
      </c>
      <c r="AJ208" s="622" t="n"/>
      <c r="AK208" s="622" t="n"/>
      <c r="AL208" s="622" t="n"/>
      <c r="AM208" s="622" t="n"/>
      <c r="AN208" s="622" t="n"/>
      <c r="AO208" s="622" t="n"/>
      <c r="AP208" s="622" t="n"/>
      <c r="AQ208" s="622" t="n"/>
      <c r="AR208" s="622" t="n"/>
      <c r="AS208" s="622" t="n"/>
      <c r="AT208" s="622" t="n"/>
      <c r="AU208" s="622" t="n"/>
      <c r="AV208" s="622" t="n"/>
      <c r="AW208" s="622" t="n"/>
      <c r="AX208" s="622" t="n"/>
      <c r="AY208" s="622" t="n"/>
    </row>
    <row r="209" ht="18" customHeight="1" s="8286">
      <c r="A209" s="1001" t="inlineStr">
        <is>
          <t>SECCION E: APLICACIÓN DE PAUTA DETECCIÓN DE FACTORES DE RIESGO BIOPSICOSOCIAL INFANTIL</t>
        </is>
      </c>
      <c r="B209" s="1005" t="n"/>
      <c r="C209" s="1005" t="n"/>
      <c r="D209" s="1005" t="n"/>
      <c r="E209" s="1005" t="n"/>
      <c r="F209" s="1005" t="n"/>
      <c r="G209" s="1000" t="n"/>
      <c r="H209" s="1000" t="n"/>
      <c r="I209" s="992" t="n"/>
      <c r="J209" s="992" t="n"/>
      <c r="K209" s="992" t="n"/>
      <c r="L209" s="992" t="n"/>
      <c r="M209" s="992" t="n"/>
      <c r="N209" s="992" t="n"/>
      <c r="O209" s="992" t="n"/>
      <c r="P209" s="992" t="n"/>
      <c r="Q209" s="992" t="n"/>
      <c r="R209" s="1000" t="n"/>
      <c r="S209" s="1000" t="n"/>
      <c r="T209" s="1000" t="n"/>
      <c r="U209" s="1000" t="n"/>
      <c r="V209" s="1000" t="n"/>
      <c r="W209" s="1000" t="n"/>
      <c r="X209" s="622" t="n"/>
      <c r="Y209" s="622" t="n"/>
      <c r="Z209" s="622" t="n"/>
      <c r="AA209" s="622" t="n"/>
      <c r="AB209" s="622" t="n"/>
      <c r="AC209" s="622" t="n"/>
      <c r="AD209" s="622" t="n"/>
      <c r="AE209" s="622" t="n"/>
      <c r="AF209" s="622" t="n"/>
      <c r="AG209" s="622" t="n"/>
      <c r="AH209" s="622" t="n"/>
      <c r="AI209" s="622" t="n"/>
      <c r="AJ209" s="622" t="n"/>
      <c r="AK209" s="622" t="n"/>
      <c r="AL209" s="622" t="n"/>
      <c r="AM209" s="622" t="n"/>
      <c r="AN209" s="622" t="n"/>
      <c r="AO209" s="622" t="n"/>
      <c r="AP209" s="622" t="n"/>
      <c r="AQ209" s="622" t="n"/>
      <c r="AR209" s="622" t="n"/>
      <c r="AS209" s="622" t="n"/>
      <c r="AT209" s="622" t="n"/>
      <c r="AU209" s="622" t="n"/>
      <c r="AV209" s="622" t="n"/>
      <c r="AW209" s="622" t="n"/>
      <c r="AX209" s="622" t="n"/>
      <c r="AY209" s="622" t="n"/>
    </row>
    <row r="210" ht="15" customHeight="1" s="8286">
      <c r="A210" s="9767" t="inlineStr">
        <is>
          <t>EVALUACIÓN</t>
        </is>
      </c>
      <c r="B210" s="9630" t="n"/>
      <c r="C210" s="9787" t="inlineStr">
        <is>
          <t>TOTAL</t>
        </is>
      </c>
      <c r="D210" s="9602" t="n"/>
      <c r="E210" s="9630" t="n"/>
      <c r="F210" s="9788" t="inlineStr">
        <is>
          <t>RANGO ETARIO Y SEXO</t>
        </is>
      </c>
      <c r="G210" s="9617" t="n"/>
      <c r="H210" s="9617" t="n"/>
      <c r="I210" s="9617" t="n"/>
      <c r="J210" s="9617" t="n"/>
      <c r="K210" s="9617" t="n"/>
      <c r="L210" s="9617" t="n"/>
      <c r="M210" s="9617" t="n"/>
      <c r="N210" s="9617" t="n"/>
      <c r="O210" s="9617" t="n"/>
      <c r="P210" s="9789" t="inlineStr">
        <is>
          <t>Derivación</t>
        </is>
      </c>
      <c r="Q210" s="9617" t="n"/>
      <c r="R210" s="9652" t="n"/>
      <c r="S210" s="9790" t="inlineStr">
        <is>
          <t>Pueblos Originarios</t>
        </is>
      </c>
      <c r="T210" s="9791" t="inlineStr">
        <is>
          <t>Migrantes</t>
        </is>
      </c>
      <c r="U210" s="9772" t="inlineStr">
        <is>
          <t xml:space="preserve">CONTROL DE APLICACIÓN DE LA PAUTA </t>
        </is>
      </c>
      <c r="V210" s="9792" t="n"/>
      <c r="W210" s="9792" t="n"/>
      <c r="X210" s="9792" t="n"/>
      <c r="Y210" s="9792" t="n"/>
      <c r="Z210" s="9771" t="n"/>
      <c r="AA210" s="9793" t="inlineStr">
        <is>
          <t xml:space="preserve">PLANES DE EQUIPO DE CABECERA REALIZADOS </t>
        </is>
      </c>
      <c r="AB210" s="9792" t="n"/>
      <c r="AC210" s="9792" t="n"/>
      <c r="AD210" s="9792" t="n"/>
      <c r="AE210" s="9792" t="n"/>
      <c r="AF210" s="9771" t="n"/>
      <c r="AG210" s="622" t="n"/>
      <c r="AH210" s="622" t="n"/>
      <c r="AI210" s="622" t="n"/>
      <c r="AJ210" s="622" t="n"/>
      <c r="AK210" s="622" t="n"/>
      <c r="AL210" s="622" t="n"/>
      <c r="AM210" s="622" t="n"/>
      <c r="AN210" s="622" t="n"/>
      <c r="AO210" s="622" t="n"/>
      <c r="AP210" s="622" t="n"/>
      <c r="AQ210" s="622" t="n"/>
      <c r="AR210" s="622" t="n"/>
      <c r="AS210" s="622" t="n"/>
      <c r="AT210" s="622" t="n"/>
      <c r="AU210" s="622" t="n"/>
      <c r="AV210" s="622" t="n"/>
      <c r="AW210" s="622" t="n"/>
      <c r="AX210" s="622" t="n"/>
      <c r="AY210" s="622" t="n"/>
    </row>
    <row r="211" ht="15" customHeight="1" s="8286">
      <c r="A211" s="642" t="n"/>
      <c r="B211" s="9718" t="n"/>
      <c r="C211" s="9697" t="n"/>
      <c r="D211" s="9697" t="n"/>
      <c r="E211" s="9639" t="n"/>
      <c r="F211" s="7632" t="inlineStr">
        <is>
          <t>Menor 7 meses</t>
        </is>
      </c>
      <c r="G211" s="9582" t="n"/>
      <c r="H211" s="7632" t="inlineStr">
        <is>
          <t>7 - 11 meses</t>
        </is>
      </c>
      <c r="I211" s="9582" t="n"/>
      <c r="J211" s="7632" t="inlineStr">
        <is>
          <t>12 - 23 meses</t>
        </is>
      </c>
      <c r="K211" s="9582" t="n"/>
      <c r="L211" s="7632" t="inlineStr">
        <is>
          <t>24- 48 meses</t>
        </is>
      </c>
      <c r="M211" s="9582" t="n"/>
      <c r="N211" s="7632" t="inlineStr">
        <is>
          <t xml:space="preserve">5 - 9 años </t>
        </is>
      </c>
      <c r="O211" s="9582" t="n"/>
      <c r="P211" s="9794" t="inlineStr">
        <is>
          <t>Derivadas a equipos de cabecera</t>
        </is>
      </c>
      <c r="Q211" s="9795" t="inlineStr">
        <is>
          <t>Derivada a MADI  0 a  4 años</t>
        </is>
      </c>
      <c r="R211" s="9796" t="inlineStr">
        <is>
          <t>Derivado a Salud Mental 5 a 9 años</t>
        </is>
      </c>
      <c r="S211" s="9797" t="n"/>
      <c r="T211" s="9798" t="n"/>
      <c r="U211" s="9780" t="n"/>
      <c r="V211" s="9780" t="n"/>
      <c r="W211" s="9780" t="n"/>
      <c r="X211" s="9780" t="n"/>
      <c r="Y211" s="9780" t="n"/>
      <c r="Z211" s="9779" t="n"/>
      <c r="AA211" s="9799" t="n"/>
      <c r="AB211" s="9780" t="n"/>
      <c r="AC211" s="9780" t="n"/>
      <c r="AD211" s="9780" t="n"/>
      <c r="AE211" s="9780" t="n"/>
      <c r="AF211" s="9779" t="n"/>
      <c r="AG211" s="622" t="n"/>
      <c r="AH211" s="622" t="n"/>
      <c r="AI211" s="622" t="n"/>
      <c r="AJ211" s="622" t="n"/>
      <c r="AK211" s="622" t="n"/>
      <c r="AL211" s="622" t="n"/>
      <c r="AM211" s="622" t="n"/>
      <c r="AN211" s="622" t="n"/>
      <c r="AO211" s="622" t="n"/>
      <c r="AP211" s="622" t="n"/>
      <c r="AQ211" s="622" t="n"/>
      <c r="AR211" s="622" t="n"/>
      <c r="AS211" s="622" t="n"/>
      <c r="AT211" s="622" t="n"/>
      <c r="AU211" s="622" t="n"/>
      <c r="AV211" s="622" t="n"/>
      <c r="AW211" s="622" t="n"/>
      <c r="AX211" s="622" t="n"/>
      <c r="AY211" s="622" t="n"/>
    </row>
    <row r="212" ht="18.75" customHeight="1" s="8286">
      <c r="A212" s="9638" t="n"/>
      <c r="B212" s="9639" t="n"/>
      <c r="C212" s="1799" t="inlineStr">
        <is>
          <t>Ambos sexos</t>
        </is>
      </c>
      <c r="D212" s="1804" t="inlineStr">
        <is>
          <t>Hombres</t>
        </is>
      </c>
      <c r="E212" s="7308" t="inlineStr">
        <is>
          <t>Mujeres</t>
        </is>
      </c>
      <c r="F212" s="1801" t="inlineStr">
        <is>
          <t>Hombres</t>
        </is>
      </c>
      <c r="G212" s="1802" t="inlineStr">
        <is>
          <t>Mujeres</t>
        </is>
      </c>
      <c r="H212" s="1801" t="inlineStr">
        <is>
          <t>Hombres</t>
        </is>
      </c>
      <c r="I212" s="1802" t="inlineStr">
        <is>
          <t>Mujeres</t>
        </is>
      </c>
      <c r="J212" s="1801" t="inlineStr">
        <is>
          <t>Hombres</t>
        </is>
      </c>
      <c r="K212" s="1802" t="inlineStr">
        <is>
          <t>Mujeres</t>
        </is>
      </c>
      <c r="L212" s="1801" t="inlineStr">
        <is>
          <t>Hombres</t>
        </is>
      </c>
      <c r="M212" s="1802" t="inlineStr">
        <is>
          <t>Mujeres</t>
        </is>
      </c>
      <c r="N212" s="1801" t="inlineStr">
        <is>
          <t>Hombres</t>
        </is>
      </c>
      <c r="O212" s="1827" t="inlineStr">
        <is>
          <t>Mujeres</t>
        </is>
      </c>
      <c r="P212" s="9800" t="n"/>
      <c r="Q212" s="9605" t="n"/>
      <c r="R212" s="9591" t="n"/>
      <c r="S212" s="9801" t="n"/>
      <c r="T212" s="9802" t="n"/>
      <c r="U212" s="1828" t="inlineStr">
        <is>
          <t>Diada</t>
        </is>
      </c>
      <c r="V212" s="1829" t="inlineStr">
        <is>
          <t>4 meses</t>
        </is>
      </c>
      <c r="W212" s="1830" t="inlineStr">
        <is>
          <t>12 meses</t>
        </is>
      </c>
      <c r="X212" s="1830" t="inlineStr">
        <is>
          <t>24 meses</t>
        </is>
      </c>
      <c r="Y212" s="1830" t="inlineStr">
        <is>
          <t>36 meses</t>
        </is>
      </c>
      <c r="Z212" s="1831" t="inlineStr">
        <is>
          <t>48 meses</t>
        </is>
      </c>
      <c r="AA212" s="1832" t="inlineStr">
        <is>
          <t>Diada</t>
        </is>
      </c>
      <c r="AB212" s="1829" t="inlineStr">
        <is>
          <t>4 meses</t>
        </is>
      </c>
      <c r="AC212" s="1830" t="inlineStr">
        <is>
          <t>12 meses</t>
        </is>
      </c>
      <c r="AD212" s="1830" t="inlineStr">
        <is>
          <t>24 meses</t>
        </is>
      </c>
      <c r="AE212" s="1830" t="inlineStr">
        <is>
          <t>36 meses</t>
        </is>
      </c>
      <c r="AF212" s="1833" t="inlineStr">
        <is>
          <t>48 meses</t>
        </is>
      </c>
      <c r="AG212" s="622" t="n"/>
      <c r="AH212" s="622" t="n"/>
      <c r="AI212" s="622" t="n"/>
      <c r="AJ212" s="622" t="n"/>
      <c r="AK212" s="622" t="n"/>
      <c r="AL212" s="622" t="n"/>
      <c r="AM212" s="622" t="n"/>
      <c r="AN212" s="622" t="n"/>
      <c r="AO212" s="622" t="n"/>
      <c r="AP212" s="622" t="n"/>
      <c r="AQ212" s="622" t="n"/>
      <c r="AR212" s="622" t="n"/>
      <c r="AS212" s="622" t="n"/>
      <c r="AT212" s="622" t="n"/>
      <c r="AU212" s="622" t="n"/>
      <c r="AV212" s="622" t="n"/>
      <c r="AW212" s="622" t="n"/>
      <c r="AX212" s="622" t="n"/>
      <c r="AY212" s="622" t="n"/>
    </row>
    <row r="213" ht="21.75" customHeight="1" s="8286">
      <c r="A213" s="9803" t="inlineStr">
        <is>
          <t>Total de Aplicaciones Pauta de Riesgo Biopsicosocial en Control de Salud Infantil</t>
        </is>
      </c>
      <c r="B213" s="9804" t="n"/>
      <c r="C213" s="1834">
        <f>SUM(D213+E213)</f>
        <v/>
      </c>
      <c r="D213" s="1835">
        <f>SUM(F213+H213+J213+L213+N213)</f>
        <v/>
      </c>
      <c r="E213" s="1836">
        <f>SUM(G213+I213+K213+M213+O213)</f>
        <v/>
      </c>
      <c r="F213" s="1837" t="n">
        <v>9</v>
      </c>
      <c r="G213" s="1838" t="n">
        <v>8</v>
      </c>
      <c r="H213" s="1837" t="n">
        <v>0</v>
      </c>
      <c r="I213" s="1838" t="n">
        <v>0</v>
      </c>
      <c r="J213" s="1837" t="n">
        <v>5</v>
      </c>
      <c r="K213" s="1838" t="n">
        <v>8</v>
      </c>
      <c r="L213" s="1837" t="n">
        <v>8</v>
      </c>
      <c r="M213" s="1838" t="n">
        <v>15</v>
      </c>
      <c r="N213" s="1837" t="n">
        <v>0</v>
      </c>
      <c r="O213" s="1839" t="n">
        <v>0</v>
      </c>
      <c r="P213" s="1837" t="n">
        <v>0</v>
      </c>
      <c r="Q213" s="1840" t="n">
        <v>8</v>
      </c>
      <c r="R213" s="1841" t="n">
        <v>0</v>
      </c>
      <c r="S213" s="1842" t="n">
        <v>0</v>
      </c>
      <c r="T213" s="1841" t="n">
        <v>1</v>
      </c>
      <c r="U213" s="1007" t="n">
        <v>12</v>
      </c>
      <c r="V213" s="1008" t="n">
        <v>5</v>
      </c>
      <c r="W213" s="1008" t="n">
        <v>13</v>
      </c>
      <c r="X213" s="1008" t="n">
        <v>8</v>
      </c>
      <c r="Y213" s="1008" t="n">
        <v>12</v>
      </c>
      <c r="Z213" s="1843" t="n">
        <v>3</v>
      </c>
      <c r="AA213" s="1837" t="n"/>
      <c r="AB213" s="1840" t="n"/>
      <c r="AC213" s="1840" t="n"/>
      <c r="AD213" s="1840" t="n"/>
      <c r="AE213" s="1840" t="n"/>
      <c r="AF213" s="1838" t="n"/>
      <c r="AG213" s="969">
        <f>CA213&amp;CB213</f>
        <v/>
      </c>
      <c r="AH213" s="939" t="n"/>
      <c r="AI213" s="939" t="n"/>
      <c r="AJ213" s="939" t="n"/>
      <c r="AK213" s="939" t="n"/>
      <c r="AL213" s="939" t="n"/>
      <c r="AM213" s="939" t="n"/>
      <c r="AN213" s="939" t="n"/>
      <c r="AO213" s="939" t="n"/>
      <c r="AP213" s="939" t="n"/>
      <c r="AQ213" s="939" t="n"/>
      <c r="AR213" s="939" t="n"/>
      <c r="AS213" s="939" t="n"/>
      <c r="AT213" s="939" t="n"/>
      <c r="AU213" s="939" t="n"/>
      <c r="AV213" s="939" t="n"/>
      <c r="AW213" s="939" t="n"/>
      <c r="AX213" s="939" t="n"/>
      <c r="AY213" s="939" t="n"/>
      <c r="AZ213" s="239" t="n"/>
      <c r="BA213" s="239" t="n"/>
      <c r="BB213" s="239" t="n"/>
      <c r="BC213" s="239" t="n"/>
      <c r="BD213" s="239" t="n"/>
      <c r="BE213" s="239" t="n"/>
      <c r="BF213" s="239" t="n"/>
      <c r="BG213" s="239" t="n"/>
      <c r="BH213" s="239" t="n"/>
      <c r="BI213" s="239" t="n"/>
      <c r="BJ213" s="239" t="n"/>
      <c r="BK213" s="239" t="n"/>
      <c r="BL213" s="239" t="n"/>
      <c r="BM213" s="239" t="n"/>
      <c r="BN213" s="239" t="n"/>
      <c r="BO213" s="239" t="n"/>
      <c r="BP213" s="239" t="n"/>
      <c r="BQ213" s="239" t="n"/>
      <c r="BR213" s="239" t="n"/>
      <c r="BS213" s="239" t="n"/>
      <c r="BT213" s="239" t="n"/>
      <c r="BU213" s="239" t="n"/>
      <c r="BV213" s="239" t="n"/>
      <c r="BW213" s="239" t="n"/>
      <c r="BX213" s="239" t="n"/>
      <c r="BY213" s="239" t="n"/>
      <c r="BZ213" s="239" t="n"/>
      <c r="CA213" s="240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>
        <f>IF(AND($C213&lt;&gt;0,T213=""),"* No olvide ingresar la variable "&amp;T$210&amp;""&amp;" (Digite CERO si no tiene). ",IF(T213&gt;$C213,"* La variable Migrantes no puede superar el Total Ambos Sexos. ",""))</f>
        <v/>
      </c>
      <c r="CD213" s="239" t="n"/>
      <c r="CE213" s="239" t="n"/>
      <c r="CF213" s="64" t="n"/>
      <c r="CG213" s="64" t="n"/>
      <c r="CH213" s="64" t="n"/>
      <c r="CI213" s="64" t="n"/>
      <c r="CJ213" s="64" t="n"/>
      <c r="CK213" s="29">
        <f>IF(AND($C213&lt;&gt;0,S213=""),1,IF(S213&gt;$C213,1,0))</f>
        <v/>
      </c>
      <c r="CL213" s="29">
        <f>IF(AND($C213&lt;&gt;0,T213=""),1,IF(T213&gt;$C213,1,0))</f>
        <v/>
      </c>
    </row>
    <row r="214" ht="15" customHeight="1" s="8286">
      <c r="A214" s="9805" t="inlineStr">
        <is>
          <t>Con riesgo</t>
        </is>
      </c>
      <c r="B214" s="9806" t="n"/>
      <c r="C214" s="1805">
        <f>SUM(D214+E214)</f>
        <v/>
      </c>
      <c r="D214" s="1806">
        <f>SUM(F214+H214+J214+L214+N214)</f>
        <v/>
      </c>
      <c r="E214" s="1844">
        <f>SUM(G214+I214+K214+M214+O214)</f>
        <v/>
      </c>
      <c r="F214" s="1808" t="n">
        <v>1</v>
      </c>
      <c r="G214" s="1810" t="n">
        <v>1</v>
      </c>
      <c r="H214" s="1808" t="n">
        <v>0</v>
      </c>
      <c r="I214" s="1810" t="n">
        <v>0</v>
      </c>
      <c r="J214" s="1808" t="n">
        <v>1</v>
      </c>
      <c r="K214" s="1810" t="n">
        <v>1</v>
      </c>
      <c r="L214" s="1808" t="n">
        <v>3</v>
      </c>
      <c r="M214" s="1810" t="n">
        <v>1</v>
      </c>
      <c r="N214" s="1808" t="n">
        <v>0</v>
      </c>
      <c r="O214" s="1845" t="n">
        <v>0</v>
      </c>
      <c r="P214" s="1808" t="n">
        <v>0</v>
      </c>
      <c r="Q214" s="1009" t="n">
        <v>8</v>
      </c>
      <c r="R214" s="1811" t="n">
        <v>0</v>
      </c>
      <c r="S214" s="1846" t="n">
        <v>0</v>
      </c>
      <c r="T214" s="1811" t="n">
        <v>0</v>
      </c>
      <c r="U214" s="1846" t="n">
        <v>1</v>
      </c>
      <c r="V214" s="1009" t="n">
        <v>1</v>
      </c>
      <c r="W214" s="1009" t="n">
        <v>2</v>
      </c>
      <c r="X214" s="1009" t="n">
        <v>0</v>
      </c>
      <c r="Y214" s="1009" t="n">
        <v>3</v>
      </c>
      <c r="Z214" s="1847" t="n">
        <v>1</v>
      </c>
      <c r="AA214" s="1808" t="n"/>
      <c r="AB214" s="1009" t="n"/>
      <c r="AC214" s="1009" t="n"/>
      <c r="AD214" s="1009" t="n"/>
      <c r="AE214" s="1009" t="n"/>
      <c r="AF214" s="1810" t="n"/>
      <c r="AG214" s="969">
        <f>CA214&amp;CB214</f>
        <v/>
      </c>
      <c r="AH214" s="939" t="n"/>
      <c r="AI214" s="939" t="n"/>
      <c r="AJ214" s="939" t="n"/>
      <c r="AK214" s="939" t="n"/>
      <c r="AL214" s="939" t="n"/>
      <c r="AM214" s="939" t="n"/>
      <c r="AN214" s="939" t="n"/>
      <c r="AO214" s="939" t="n"/>
      <c r="AP214" s="939" t="n"/>
      <c r="AQ214" s="939" t="n"/>
      <c r="AR214" s="939" t="n"/>
      <c r="AS214" s="939" t="n"/>
      <c r="AT214" s="939" t="n"/>
      <c r="AU214" s="939" t="n"/>
      <c r="AV214" s="939" t="n"/>
      <c r="AW214" s="939" t="n"/>
      <c r="AX214" s="939" t="n"/>
      <c r="AY214" s="939" t="n"/>
      <c r="AZ214" s="239" t="n"/>
      <c r="BA214" s="239" t="n"/>
      <c r="BB214" s="239" t="n"/>
      <c r="BC214" s="239" t="n"/>
      <c r="BD214" s="239" t="n"/>
      <c r="BE214" s="239" t="n"/>
      <c r="BF214" s="239" t="n"/>
      <c r="BG214" s="239" t="n"/>
      <c r="BH214" s="239" t="n"/>
      <c r="BI214" s="239" t="n"/>
      <c r="BJ214" s="239" t="n"/>
      <c r="BK214" s="239" t="n"/>
      <c r="BL214" s="239" t="n"/>
      <c r="BM214" s="239" t="n"/>
      <c r="BN214" s="239" t="n"/>
      <c r="BO214" s="239" t="n"/>
      <c r="BP214" s="239" t="n"/>
      <c r="BQ214" s="239" t="n"/>
      <c r="BR214" s="239" t="n"/>
      <c r="BS214" s="239" t="n"/>
      <c r="BT214" s="239" t="n"/>
      <c r="BU214" s="239" t="n"/>
      <c r="BV214" s="239" t="n"/>
      <c r="BW214" s="239" t="n"/>
      <c r="BX214" s="239" t="n"/>
      <c r="BY214" s="239" t="n"/>
      <c r="BZ214" s="239" t="n"/>
      <c r="CA214" s="240">
        <f>IF(AND($C214&lt;&gt;0,S214=""),"* No olvide ingresar la variable "&amp;S$210&amp;""&amp;" (Digite CERO si no tiene). ",IF(S214&gt;$C214,"* La variable Pueblos Originarios no puede superar el Total Ambos Sexos. ",""))</f>
        <v/>
      </c>
      <c r="CB214" s="240">
        <f>IF(AND($C214&lt;&gt;0,T214=""),"* No olvide ingresar la variable "&amp;T$210&amp;""&amp;" (Digite CERO si no tiene). ",IF(T214&gt;$C214,"* La variable Migrantes no puede superar el Total Ambos Sexos. ",""))</f>
        <v/>
      </c>
      <c r="CD214" s="239" t="n"/>
      <c r="CE214" s="239" t="n"/>
      <c r="CF214" s="64" t="n"/>
      <c r="CG214" s="64" t="n"/>
      <c r="CH214" s="64" t="n"/>
      <c r="CI214" s="64" t="n"/>
      <c r="CJ214" s="64" t="n"/>
      <c r="CK214" s="29">
        <f>IF(AND($C214&lt;&gt;0,S214=""),1,IF(S214&gt;$C214,1,0))</f>
        <v/>
      </c>
      <c r="CL214" s="29">
        <f>IF(AND($C214&lt;&gt;0,T214=""),1,IF(T214&gt;$C214,1,0))</f>
        <v/>
      </c>
    </row>
    <row r="215" ht="15" customHeight="1" s="8286">
      <c r="A215" s="9807" t="inlineStr">
        <is>
          <t>Sin riesgo</t>
        </is>
      </c>
      <c r="B215" s="9808" t="n"/>
      <c r="C215" s="1812">
        <f>SUM(D215+E215)</f>
        <v/>
      </c>
      <c r="D215" s="1848">
        <f>SUM(F215+H215+J215+L215+N215)</f>
        <v/>
      </c>
      <c r="E215" s="1849">
        <f>SUM(G215+I215+K215+M215+O215)</f>
        <v/>
      </c>
      <c r="F215" s="1816" t="n">
        <v>8</v>
      </c>
      <c r="G215" s="1818" t="n">
        <v>7</v>
      </c>
      <c r="H215" s="1816" t="n">
        <v>0</v>
      </c>
      <c r="I215" s="1818" t="n">
        <v>0</v>
      </c>
      <c r="J215" s="1816" t="n">
        <v>4</v>
      </c>
      <c r="K215" s="1818" t="n">
        <v>7</v>
      </c>
      <c r="L215" s="1816" t="n">
        <v>5</v>
      </c>
      <c r="M215" s="1818" t="n">
        <v>14</v>
      </c>
      <c r="N215" s="1816" t="n">
        <v>0</v>
      </c>
      <c r="O215" s="1850" t="n">
        <v>0</v>
      </c>
      <c r="P215" s="1816" t="n">
        <v>0</v>
      </c>
      <c r="Q215" s="1851" t="n">
        <v>0</v>
      </c>
      <c r="R215" s="1819" t="n">
        <v>0</v>
      </c>
      <c r="S215" s="1852" t="n">
        <v>0</v>
      </c>
      <c r="T215" s="1819" t="n">
        <v>1</v>
      </c>
      <c r="U215" s="1852" t="n">
        <v>11</v>
      </c>
      <c r="V215" s="1851" t="n">
        <v>4</v>
      </c>
      <c r="W215" s="1851" t="n">
        <v>11</v>
      </c>
      <c r="X215" s="1851" t="n">
        <v>8</v>
      </c>
      <c r="Y215" s="1851" t="n">
        <v>9</v>
      </c>
      <c r="Z215" s="1853" t="n">
        <v>2</v>
      </c>
      <c r="AA215" s="1816" t="n"/>
      <c r="AB215" s="1851" t="n"/>
      <c r="AC215" s="1851" t="n"/>
      <c r="AD215" s="1851" t="n"/>
      <c r="AE215" s="1851" t="n"/>
      <c r="AF215" s="1818" t="n"/>
      <c r="AG215" s="969">
        <f>CA215&amp;CB215</f>
        <v/>
      </c>
      <c r="AH215" s="939" t="n"/>
      <c r="AI215" s="939" t="n"/>
      <c r="AJ215" s="939" t="n"/>
      <c r="AK215" s="939" t="n"/>
      <c r="AL215" s="939" t="n"/>
      <c r="AM215" s="939" t="n"/>
      <c r="AN215" s="939" t="n"/>
      <c r="AO215" s="939" t="n"/>
      <c r="AP215" s="939" t="n"/>
      <c r="AQ215" s="939" t="n"/>
      <c r="AR215" s="939" t="n"/>
      <c r="AS215" s="939" t="n"/>
      <c r="AT215" s="939" t="n"/>
      <c r="AU215" s="939" t="n"/>
      <c r="AV215" s="939" t="n"/>
      <c r="AW215" s="939" t="n"/>
      <c r="AX215" s="939" t="n"/>
      <c r="AY215" s="939" t="n"/>
      <c r="AZ215" s="239" t="n"/>
      <c r="BA215" s="239" t="n"/>
      <c r="BB215" s="239" t="n"/>
      <c r="BC215" s="239" t="n"/>
      <c r="BD215" s="239" t="n"/>
      <c r="BE215" s="239" t="n"/>
      <c r="BF215" s="239" t="n"/>
      <c r="BG215" s="239" t="n"/>
      <c r="BH215" s="239" t="n"/>
      <c r="BI215" s="239" t="n"/>
      <c r="BJ215" s="239" t="n"/>
      <c r="BK215" s="239" t="n"/>
      <c r="BL215" s="239" t="n"/>
      <c r="BM215" s="239" t="n"/>
      <c r="BN215" s="239" t="n"/>
      <c r="BO215" s="239" t="n"/>
      <c r="BP215" s="239" t="n"/>
      <c r="BQ215" s="239" t="n"/>
      <c r="BR215" s="239" t="n"/>
      <c r="BS215" s="239" t="n"/>
      <c r="BT215" s="239" t="n"/>
      <c r="BU215" s="239" t="n"/>
      <c r="BV215" s="239" t="n"/>
      <c r="BW215" s="239" t="n"/>
      <c r="BX215" s="239" t="n"/>
      <c r="BY215" s="239" t="n"/>
      <c r="BZ215" s="239" t="n"/>
      <c r="CA215" s="240">
        <f>IF(AND($C215&lt;&gt;0,S215=""),"* No olvide ingresar la variable "&amp;S$210&amp;""&amp;" (Digite CERO si no tiene). ",IF(S215&gt;$C215,"* La variable Pueblos Originarios no puede superar el Total Ambos Sexos. ",""))</f>
        <v/>
      </c>
      <c r="CB215" s="240">
        <f>IF(AND($C215&lt;&gt;0,T215=""),"* No olvide ingresar la variable "&amp;T$210&amp;""&amp;" (Digite CERO si no tiene). ",IF(T215&gt;$C215,"* La variable Migrantes no puede superar el Total Ambos Sexos. ",""))</f>
        <v/>
      </c>
      <c r="CD215" s="239" t="n"/>
      <c r="CE215" s="239" t="n"/>
      <c r="CF215" s="64" t="n"/>
      <c r="CG215" s="64" t="n"/>
      <c r="CH215" s="64" t="n"/>
      <c r="CI215" s="64" t="n"/>
      <c r="CJ215" s="64" t="n"/>
      <c r="CK215" s="29">
        <f>IF(AND($C215&lt;&gt;0,S215=""),1,IF(S215&gt;$C215,1,0))</f>
        <v/>
      </c>
      <c r="CL215" s="29">
        <f>IF(AND($C215&lt;&gt;0,T215=""),1,IF(T215&gt;$C215,1,0))</f>
        <v/>
      </c>
    </row>
    <row r="216" ht="18" customHeight="1" s="8286">
      <c r="A216" s="1010" t="inlineStr">
        <is>
          <t>SECCIÓN F: TAMIZAJE TRASTORNO ESPECTRO AUTISTA (M-CHAT R/F) 16 A 30 MESES</t>
        </is>
      </c>
      <c r="B216" s="1010" t="n"/>
      <c r="C216" s="1010" t="n"/>
      <c r="D216" s="1011" t="n"/>
      <c r="E216" s="1011" t="n"/>
      <c r="F216" s="1011" t="n"/>
      <c r="G216" s="1011" t="n"/>
      <c r="H216" s="1012" t="n"/>
      <c r="I216" s="939" t="n"/>
      <c r="J216" s="939" t="n"/>
      <c r="K216" s="939" t="n"/>
      <c r="L216" s="939" t="n"/>
      <c r="M216" s="939" t="n"/>
      <c r="N216" s="939" t="n"/>
      <c r="O216" s="939" t="n"/>
      <c r="P216" s="939" t="n"/>
      <c r="Q216" s="939" t="n"/>
      <c r="R216" s="939" t="n"/>
      <c r="S216" s="939" t="n"/>
      <c r="T216" s="939" t="n"/>
      <c r="U216" s="939" t="n"/>
      <c r="V216" s="939" t="n"/>
      <c r="W216" s="939" t="n"/>
      <c r="X216" s="939" t="n"/>
      <c r="Y216" s="939" t="n"/>
      <c r="Z216" s="939" t="n"/>
      <c r="AA216" s="939" t="n"/>
      <c r="AB216" s="622" t="n"/>
      <c r="AC216" s="622" t="n"/>
      <c r="AD216" s="622" t="n"/>
      <c r="AE216" s="622" t="n"/>
      <c r="AF216" s="622" t="n"/>
      <c r="AG216" s="622" t="n"/>
      <c r="AH216" s="622" t="n"/>
      <c r="AI216" s="622" t="n"/>
      <c r="AJ216" s="622" t="n"/>
      <c r="AK216" s="622" t="n"/>
      <c r="AL216" s="622" t="n"/>
      <c r="AM216" s="622" t="n"/>
      <c r="AN216" s="622" t="n"/>
      <c r="AO216" s="622" t="n"/>
      <c r="AP216" s="622" t="n"/>
      <c r="AQ216" s="622" t="n"/>
      <c r="AR216" s="622" t="n"/>
      <c r="AS216" s="622" t="n"/>
      <c r="AT216" s="622" t="n"/>
      <c r="AU216" s="622" t="n"/>
      <c r="AV216" s="622" t="n"/>
      <c r="AW216" s="622" t="n"/>
      <c r="AX216" s="622" t="n"/>
      <c r="AY216" s="622" t="n"/>
    </row>
    <row r="217" ht="30" customHeight="1" s="8286">
      <c r="A217" s="9809" t="inlineStr">
        <is>
          <t>MOTIVO DE APLICACIÓN DE M-CHAT</t>
        </is>
      </c>
      <c r="B217" s="9602" t="n"/>
      <c r="C217" s="9602" t="n"/>
      <c r="D217" s="9630" t="n"/>
      <c r="E217" s="9810" t="inlineStr">
        <is>
          <t>Hombres</t>
        </is>
      </c>
      <c r="F217" s="9811" t="inlineStr">
        <is>
          <t>Mujeres</t>
        </is>
      </c>
      <c r="G217" s="9812" t="inlineStr">
        <is>
          <t>ATENCIÓN EN QUE SE APLICA M-CHAT-R/F</t>
        </is>
      </c>
      <c r="H217" s="9652" t="n"/>
      <c r="I217" s="7623" t="inlineStr">
        <is>
          <t>Pueblos Originarios</t>
        </is>
      </c>
      <c r="J217" s="7617" t="inlineStr">
        <is>
          <t>Migrantes</t>
        </is>
      </c>
      <c r="K217" s="939" t="n"/>
      <c r="L217" s="939" t="n"/>
      <c r="M217" s="939" t="n"/>
      <c r="N217" s="939" t="n"/>
      <c r="O217" s="939" t="n"/>
      <c r="P217" s="939" t="n"/>
      <c r="Q217" s="939" t="n"/>
      <c r="R217" s="939" t="n"/>
      <c r="S217" s="939" t="n"/>
      <c r="T217" s="939" t="n"/>
      <c r="U217" s="939" t="n"/>
      <c r="V217" s="939" t="n"/>
      <c r="W217" s="939" t="n"/>
      <c r="X217" s="939" t="n"/>
      <c r="Y217" s="939" t="n"/>
      <c r="Z217" s="939" t="n"/>
      <c r="AA217" s="939" t="n"/>
      <c r="AB217" s="622" t="n"/>
      <c r="AC217" s="622" t="n"/>
      <c r="AD217" s="622" t="n"/>
      <c r="AE217" s="622" t="n"/>
      <c r="AF217" s="622" t="n"/>
      <c r="AG217" s="622" t="n"/>
      <c r="AH217" s="622" t="n"/>
      <c r="AI217" s="622" t="n"/>
      <c r="AJ217" s="622" t="n"/>
      <c r="AK217" s="622" t="n"/>
      <c r="AL217" s="622" t="n"/>
      <c r="AM217" s="622" t="n"/>
      <c r="AN217" s="622" t="n"/>
      <c r="AO217" s="622" t="n"/>
      <c r="AP217" s="622" t="n"/>
      <c r="AQ217" s="622" t="n"/>
      <c r="AR217" s="622" t="n"/>
      <c r="AS217" s="622" t="n"/>
      <c r="AT217" s="622" t="n"/>
      <c r="AU217" s="622" t="n"/>
      <c r="AV217" s="622" t="n"/>
      <c r="AW217" s="622" t="n"/>
      <c r="AX217" s="622" t="n"/>
      <c r="AY217" s="622" t="n"/>
    </row>
    <row r="218" ht="29.25" customHeight="1" s="8286">
      <c r="A218" s="9638" t="n"/>
      <c r="B218" s="9697" t="n"/>
      <c r="C218" s="9697" t="n"/>
      <c r="D218" s="9639" t="n"/>
      <c r="E218" s="9698" t="n"/>
      <c r="F218" s="9705" t="n"/>
      <c r="G218" s="1855" t="inlineStr">
        <is>
          <t>Control de Salud de los 18 meses</t>
        </is>
      </c>
      <c r="H218" s="7324" t="inlineStr">
        <is>
          <t>Otros controles o consultas de salud</t>
        </is>
      </c>
      <c r="I218" s="9640" t="n"/>
      <c r="J218" s="9610" t="n"/>
      <c r="K218" s="939" t="n"/>
      <c r="L218" s="939" t="n"/>
      <c r="M218" s="939" t="n"/>
      <c r="N218" s="939" t="n"/>
      <c r="O218" s="939" t="n"/>
      <c r="P218" s="939" t="n"/>
      <c r="Q218" s="939" t="n"/>
      <c r="R218" s="939" t="n"/>
      <c r="S218" s="939" t="n"/>
      <c r="T218" s="939" t="n"/>
      <c r="U218" s="939" t="n"/>
      <c r="V218" s="939" t="n"/>
      <c r="W218" s="939" t="n"/>
      <c r="X218" s="939" t="n"/>
      <c r="Y218" s="939" t="n"/>
      <c r="Z218" s="939" t="n"/>
      <c r="AA218" s="939" t="n"/>
      <c r="AB218" s="622" t="n"/>
      <c r="AC218" s="622" t="n"/>
      <c r="AD218" s="622" t="n"/>
      <c r="AE218" s="622" t="n"/>
      <c r="AF218" s="622" t="n"/>
      <c r="AG218" s="622" t="n"/>
      <c r="AH218" s="622" t="n"/>
      <c r="AI218" s="622" t="n"/>
      <c r="AJ218" s="622" t="n"/>
      <c r="AK218" s="622" t="n"/>
      <c r="AL218" s="622" t="n"/>
      <c r="AM218" s="622" t="n"/>
      <c r="AN218" s="622" t="n"/>
      <c r="AO218" s="622" t="n"/>
      <c r="AP218" s="622" t="n"/>
      <c r="AQ218" s="622" t="n"/>
      <c r="AR218" s="622" t="n"/>
      <c r="AS218" s="622" t="n"/>
      <c r="AT218" s="622" t="n"/>
      <c r="AU218" s="622" t="n"/>
      <c r="AV218" s="622" t="n"/>
      <c r="AW218" s="622" t="n"/>
      <c r="AX218" s="622" t="n"/>
      <c r="AY218" s="622" t="n"/>
    </row>
    <row r="219" ht="15" customHeight="1" s="8286">
      <c r="A219" s="9813" t="inlineStr">
        <is>
          <t>Niños y niñas con EEDP alterado en área Lenguaje y/o Social</t>
        </is>
      </c>
      <c r="B219" s="9814" t="n"/>
      <c r="C219" s="9814" t="n"/>
      <c r="D219" s="9643" t="n"/>
      <c r="E219" s="1856" t="n">
        <v>0</v>
      </c>
      <c r="F219" s="1857" t="n">
        <v>1</v>
      </c>
      <c r="G219" s="1767" t="n">
        <v>1</v>
      </c>
      <c r="H219" s="1858" t="n">
        <v>0</v>
      </c>
      <c r="I219" s="5324" t="n">
        <v>0</v>
      </c>
      <c r="J219" s="5312" t="n">
        <v>0</v>
      </c>
      <c r="K219" s="1006">
        <f>$CA219&amp;CB219</f>
        <v/>
      </c>
      <c r="L219" s="939" t="n"/>
      <c r="M219" s="939" t="n"/>
      <c r="N219" s="939" t="n"/>
      <c r="O219" s="939" t="n"/>
      <c r="P219" s="939" t="n"/>
      <c r="Q219" s="939" t="n"/>
      <c r="R219" s="939" t="n"/>
      <c r="S219" s="939" t="n"/>
      <c r="T219" s="939" t="n"/>
      <c r="U219" s="939" t="n"/>
      <c r="V219" s="939" t="n"/>
      <c r="W219" s="939" t="n"/>
      <c r="X219" s="939" t="n"/>
      <c r="Y219" s="939" t="n"/>
      <c r="Z219" s="939" t="n"/>
      <c r="AA219" s="939" t="n"/>
      <c r="AB219" s="622" t="n"/>
      <c r="AC219" s="622" t="n"/>
      <c r="AD219" s="622" t="n"/>
      <c r="AE219" s="622" t="n"/>
      <c r="AF219" s="622" t="n"/>
      <c r="AG219" s="622" t="n"/>
      <c r="AH219" s="622" t="n"/>
      <c r="AI219" s="622" t="n"/>
      <c r="AJ219" s="622" t="n"/>
      <c r="AK219" s="622" t="n"/>
      <c r="AL219" s="622" t="n"/>
      <c r="AM219" s="622" t="n"/>
      <c r="AN219" s="622" t="n"/>
      <c r="AO219" s="622" t="n"/>
      <c r="AP219" s="622" t="n"/>
      <c r="AQ219" s="622" t="n"/>
      <c r="AR219" s="622" t="n"/>
      <c r="AS219" s="622" t="n"/>
      <c r="AT219" s="622" t="n"/>
      <c r="AU219" s="622" t="n"/>
      <c r="AV219" s="622" t="n"/>
      <c r="AW219" s="622" t="n"/>
      <c r="AX219" s="622" t="n"/>
      <c r="AY219" s="622" t="n"/>
      <c r="CA219" s="240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 t="n"/>
      <c r="CE219" s="239" t="n"/>
      <c r="CF219" s="64" t="n"/>
      <c r="CG219" s="64" t="n"/>
      <c r="CH219" s="64" t="n"/>
      <c r="CI219" s="64" t="n"/>
      <c r="CJ219" s="64" t="n"/>
      <c r="CK219" s="29">
        <f>IF(AND($E219+$F219&lt;&gt;0,I219=""),1,IF(I219&gt;$E219+$F219,1,0))</f>
        <v/>
      </c>
      <c r="CL219" s="29">
        <f>IF(AND($E219+$F219&lt;&gt;0,J219=""),1,IF(J219&gt;$E219+$F219,1,0))</f>
        <v/>
      </c>
    </row>
    <row r="220" ht="15" customHeight="1" s="8286">
      <c r="A220" s="9815" t="inlineStr">
        <is>
          <t>Niños y niñas con factor de riesgo y/o señales de alerta para TEA detectados en la Supervisión de salud</t>
        </is>
      </c>
      <c r="D220" s="9718" t="n"/>
      <c r="E220" s="1770" t="n">
        <v>0</v>
      </c>
      <c r="F220" s="1859" t="n">
        <v>0</v>
      </c>
      <c r="G220" s="1770" t="n">
        <v>0</v>
      </c>
      <c r="H220" s="1727" t="n">
        <v>0</v>
      </c>
      <c r="I220" s="5325" t="n">
        <v>0</v>
      </c>
      <c r="J220" s="5313" t="n">
        <v>0</v>
      </c>
      <c r="K220" s="1006">
        <f>$CA220&amp;CB220</f>
        <v/>
      </c>
      <c r="L220" s="939" t="n"/>
      <c r="M220" s="939" t="n"/>
      <c r="N220" s="939" t="n"/>
      <c r="O220" s="939" t="n"/>
      <c r="P220" s="939" t="n"/>
      <c r="Q220" s="939" t="n"/>
      <c r="R220" s="939" t="n"/>
      <c r="S220" s="939" t="n"/>
      <c r="T220" s="939" t="n"/>
      <c r="U220" s="939" t="n"/>
      <c r="V220" s="939" t="n"/>
      <c r="W220" s="939" t="n"/>
      <c r="X220" s="939" t="n"/>
      <c r="Y220" s="939" t="n"/>
      <c r="Z220" s="939" t="n"/>
      <c r="AA220" s="939" t="n"/>
      <c r="AB220" s="939" t="n"/>
      <c r="AC220" s="939" t="n"/>
      <c r="AD220" s="939" t="n"/>
      <c r="AE220" s="939" t="n"/>
      <c r="AF220" s="939" t="n"/>
      <c r="AG220" s="939" t="n"/>
      <c r="AH220" s="939" t="n"/>
      <c r="AI220" s="939" t="n"/>
      <c r="AJ220" s="939" t="n"/>
      <c r="AK220" s="939" t="n"/>
      <c r="AL220" s="940" t="n"/>
      <c r="AM220" s="940" t="n"/>
      <c r="AN220" s="940" t="n"/>
      <c r="AO220" s="940" t="n"/>
      <c r="AP220" s="940" t="n"/>
      <c r="AQ220" s="940" t="n"/>
      <c r="AR220" s="940" t="n"/>
      <c r="AS220" s="940" t="n"/>
      <c r="AT220" s="940" t="n"/>
      <c r="AU220" s="940" t="n"/>
      <c r="AV220" s="940" t="n"/>
      <c r="AW220" s="940" t="n"/>
      <c r="AX220" s="940" t="n"/>
      <c r="AY220" s="940" t="n"/>
      <c r="AZ220" s="239" t="n"/>
      <c r="BA220" s="239" t="n"/>
      <c r="BB220" s="239" t="n"/>
      <c r="BC220" s="239" t="n"/>
      <c r="BD220" s="239" t="n"/>
      <c r="BE220" s="239" t="n"/>
      <c r="BF220" s="239" t="n"/>
      <c r="BG220" s="239" t="n"/>
      <c r="BH220" s="239" t="n"/>
      <c r="BI220" s="239" t="n"/>
      <c r="BJ220" s="239" t="n"/>
      <c r="BK220" s="239" t="n"/>
      <c r="BL220" s="239" t="n"/>
      <c r="BM220" s="239" t="n"/>
      <c r="BN220" s="239" t="n"/>
      <c r="BO220" s="239" t="n"/>
      <c r="BP220" s="239" t="n"/>
      <c r="BQ220" s="239" t="n"/>
      <c r="BR220" s="239" t="n"/>
      <c r="BS220" s="239" t="n"/>
      <c r="BT220" s="239" t="n"/>
      <c r="BU220" s="239" t="n"/>
      <c r="BV220" s="239" t="n"/>
      <c r="BW220" s="239" t="n"/>
      <c r="BX220" s="239" t="n"/>
      <c r="BY220" s="239" t="n"/>
      <c r="BZ220" s="239" t="n"/>
      <c r="CA220" s="240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 t="n"/>
      <c r="CE220" s="239" t="n"/>
      <c r="CF220" s="64" t="n"/>
      <c r="CG220" s="64" t="n"/>
      <c r="CH220" s="64" t="n"/>
      <c r="CI220" s="64" t="n"/>
      <c r="CJ220" s="64" t="n"/>
      <c r="CK220" s="29">
        <f>IF(AND($E220+$F220&lt;&gt;0,I220=""),1,IF(I220&gt;$E220+$F220,1,0))</f>
        <v/>
      </c>
      <c r="CL220" s="29">
        <f>IF(AND($E220+$F220&lt;&gt;0,J220=""),1,IF(J220&gt;$E220+$F220,1,0))</f>
        <v/>
      </c>
    </row>
    <row r="221" ht="23.25" customHeight="1" s="8286">
      <c r="A221" s="9816" t="inlineStr">
        <is>
          <t>Niños y niñas con EEDP alterado en área Lenguaje y/o Social y con factor de riesgo y/o señales de alerta para TEA detectados en la Supervisión de salud</t>
        </is>
      </c>
      <c r="B221" s="9817" t="n"/>
      <c r="C221" s="9817" t="n"/>
      <c r="D221" s="9720" t="n"/>
      <c r="E221" s="1774" t="n">
        <v>0</v>
      </c>
      <c r="F221" s="1860" t="n">
        <v>1</v>
      </c>
      <c r="G221" s="1013" t="n">
        <v>1</v>
      </c>
      <c r="H221" s="1014" t="n">
        <v>0</v>
      </c>
      <c r="I221" s="5326" t="n">
        <v>0</v>
      </c>
      <c r="J221" s="5332" t="n">
        <v>0</v>
      </c>
      <c r="K221" s="1006">
        <f>$CA221&amp;CB221</f>
        <v/>
      </c>
      <c r="L221" s="939" t="n"/>
      <c r="M221" s="939" t="n"/>
      <c r="N221" s="939" t="n"/>
      <c r="O221" s="939" t="n"/>
      <c r="P221" s="939" t="n"/>
      <c r="Q221" s="939" t="n"/>
      <c r="R221" s="939" t="n"/>
      <c r="S221" s="939" t="n"/>
      <c r="T221" s="939" t="n"/>
      <c r="U221" s="939" t="n"/>
      <c r="V221" s="939" t="n"/>
      <c r="W221" s="939" t="n"/>
      <c r="X221" s="939" t="n"/>
      <c r="Y221" s="939" t="n"/>
      <c r="Z221" s="939" t="n"/>
      <c r="AA221" s="939" t="n"/>
      <c r="AB221" s="939" t="n"/>
      <c r="AC221" s="939" t="n"/>
      <c r="AD221" s="939" t="n"/>
      <c r="AE221" s="939" t="n"/>
      <c r="AF221" s="939" t="n"/>
      <c r="AG221" s="939" t="n"/>
      <c r="AH221" s="939" t="n"/>
      <c r="AI221" s="939" t="n"/>
      <c r="AJ221" s="939" t="n"/>
      <c r="AK221" s="939" t="n"/>
      <c r="AL221" s="940" t="n"/>
      <c r="AM221" s="940" t="n"/>
      <c r="AN221" s="940" t="n"/>
      <c r="AO221" s="940" t="n"/>
      <c r="AP221" s="940" t="n"/>
      <c r="AQ221" s="940" t="n"/>
      <c r="AR221" s="940" t="n"/>
      <c r="AS221" s="940" t="n"/>
      <c r="AT221" s="940" t="n"/>
      <c r="AU221" s="940" t="n"/>
      <c r="AV221" s="940" t="n"/>
      <c r="AW221" s="940" t="n"/>
      <c r="AX221" s="940" t="n"/>
      <c r="AY221" s="940" t="n"/>
      <c r="AZ221" s="239" t="n"/>
      <c r="BA221" s="239" t="n"/>
      <c r="BB221" s="239" t="n"/>
      <c r="BC221" s="239" t="n"/>
      <c r="BD221" s="239" t="n"/>
      <c r="BE221" s="239" t="n"/>
      <c r="BF221" s="239" t="n"/>
      <c r="BG221" s="239" t="n"/>
      <c r="BH221" s="239" t="n"/>
      <c r="BI221" s="239" t="n"/>
      <c r="BJ221" s="239" t="n"/>
      <c r="BK221" s="239" t="n"/>
      <c r="BL221" s="239" t="n"/>
      <c r="BM221" s="239" t="n"/>
      <c r="BN221" s="239" t="n"/>
      <c r="BO221" s="239" t="n"/>
      <c r="BP221" s="239" t="n"/>
      <c r="BQ221" s="239" t="n"/>
      <c r="BR221" s="239" t="n"/>
      <c r="BS221" s="239" t="n"/>
      <c r="BT221" s="239" t="n"/>
      <c r="BU221" s="239" t="n"/>
      <c r="BV221" s="239" t="n"/>
      <c r="BW221" s="239" t="n"/>
      <c r="BX221" s="239" t="n"/>
      <c r="BY221" s="239" t="n"/>
      <c r="BZ221" s="239" t="n"/>
      <c r="CA221" s="240">
        <f>IF(AND($E221+F221&lt;&gt;0,I221=""),"* No olvide ingresar la variable "&amp;I$217&amp;""&amp;" (Digite CERO si no tiene). ",IF(I221&gt;$E221+$F221,"* La variable Pueblos Originarios la suma de Hombres + Mujeres.",""))</f>
        <v/>
      </c>
      <c r="CB221" s="240">
        <f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 t="n"/>
      <c r="CE221" s="239" t="n"/>
      <c r="CF221" s="64" t="n"/>
      <c r="CG221" s="64" t="n"/>
      <c r="CH221" s="64" t="n"/>
      <c r="CI221" s="64" t="n"/>
      <c r="CJ221" s="64" t="n"/>
      <c r="CK221" s="29">
        <f>IF(AND($E221+$F221&lt;&gt;0,I221=""),1,IF(I221&gt;$E221+$F221,1,0))</f>
        <v/>
      </c>
      <c r="CL221" s="29">
        <f>IF(AND($E221+$F221&lt;&gt;0,J221=""),1,IF(J221&gt;$E221+$F221,1,0))</f>
        <v/>
      </c>
    </row>
    <row r="222" ht="18.75" customHeight="1" s="8286">
      <c r="A222" s="9818" t="inlineStr">
        <is>
          <t>TOTAL</t>
        </is>
      </c>
      <c r="B222" s="9617" t="n"/>
      <c r="C222" s="9617" t="n"/>
      <c r="D222" s="9632" t="n"/>
      <c r="E222" s="1862">
        <f>SUM(E219:E221)</f>
        <v/>
      </c>
      <c r="F222" s="1863">
        <f>SUM(F219:F221)</f>
        <v/>
      </c>
      <c r="G222" s="1864">
        <f>SUM(G219:G221)</f>
        <v/>
      </c>
      <c r="H222" s="1865">
        <f>SUM(H219:H221)</f>
        <v/>
      </c>
      <c r="I222" s="5327">
        <f>SUM(I219:I221)</f>
        <v/>
      </c>
      <c r="J222" s="5333">
        <f>SUM(J219:J221)</f>
        <v/>
      </c>
      <c r="K222" s="1006" t="n"/>
      <c r="L222" s="939" t="n"/>
      <c r="M222" s="939" t="n"/>
      <c r="N222" s="939" t="n"/>
      <c r="O222" s="939" t="n"/>
      <c r="P222" s="939" t="n"/>
      <c r="Q222" s="939" t="n"/>
      <c r="R222" s="939" t="n"/>
      <c r="S222" s="939" t="n"/>
      <c r="T222" s="939" t="n"/>
      <c r="U222" s="939" t="n"/>
      <c r="V222" s="939" t="n"/>
      <c r="W222" s="939" t="n"/>
      <c r="X222" s="939" t="n"/>
      <c r="Y222" s="939" t="n"/>
      <c r="Z222" s="939" t="n"/>
      <c r="AA222" s="939" t="n"/>
      <c r="AB222" s="939" t="n"/>
      <c r="AC222" s="939" t="n"/>
      <c r="AD222" s="939" t="n"/>
      <c r="AE222" s="939" t="n"/>
      <c r="AF222" s="939" t="n"/>
      <c r="AG222" s="939" t="n"/>
      <c r="AH222" s="939" t="n"/>
      <c r="AI222" s="939" t="n"/>
      <c r="AJ222" s="939" t="n"/>
      <c r="AK222" s="939" t="n"/>
      <c r="AL222" s="940" t="n"/>
      <c r="AM222" s="940" t="n"/>
      <c r="AN222" s="940" t="n"/>
      <c r="AO222" s="940" t="n"/>
      <c r="AP222" s="940" t="n"/>
      <c r="AQ222" s="940" t="n"/>
      <c r="AR222" s="940" t="n"/>
      <c r="AS222" s="940" t="n"/>
      <c r="AT222" s="940" t="n"/>
      <c r="AU222" s="940" t="n"/>
      <c r="AV222" s="940" t="n"/>
      <c r="AW222" s="940" t="n"/>
      <c r="AX222" s="940" t="n"/>
      <c r="AY222" s="940" t="n"/>
      <c r="AZ222" s="239" t="n"/>
      <c r="BA222" s="239" t="n"/>
      <c r="BB222" s="239" t="n"/>
      <c r="BC222" s="239" t="n"/>
      <c r="BD222" s="239" t="n"/>
      <c r="BE222" s="239" t="n"/>
      <c r="BF222" s="239" t="n"/>
      <c r="BG222" s="239" t="n"/>
      <c r="BH222" s="239" t="n"/>
      <c r="BI222" s="239" t="n"/>
      <c r="BJ222" s="239" t="n"/>
      <c r="BK222" s="239" t="n"/>
      <c r="BL222" s="239" t="n"/>
      <c r="BM222" s="239" t="n"/>
      <c r="BN222" s="239" t="n"/>
      <c r="BO222" s="239" t="n"/>
      <c r="BP222" s="239" t="n"/>
      <c r="BQ222" s="239" t="n"/>
      <c r="BR222" s="239" t="n"/>
      <c r="BS222" s="239" t="n"/>
      <c r="BT222" s="239" t="n"/>
      <c r="BU222" s="239" t="n"/>
      <c r="BV222" s="239" t="n"/>
      <c r="BW222" s="239" t="n"/>
      <c r="BX222" s="239" t="n"/>
      <c r="BY222" s="239" t="n"/>
      <c r="BZ222" s="239" t="n"/>
      <c r="CA222" s="239" t="n"/>
      <c r="CB222" s="239" t="n"/>
      <c r="CD222" s="239" t="n"/>
      <c r="CE222" s="239" t="n"/>
      <c r="CF222" s="64" t="n"/>
      <c r="CG222" s="64" t="n"/>
      <c r="CH222" s="64" t="n"/>
      <c r="CI222" s="64" t="n"/>
      <c r="CJ222" s="64" t="n"/>
    </row>
    <row r="223" ht="15" customHeight="1" s="8286">
      <c r="A223" s="7617" t="inlineStr">
        <is>
          <t>Resultado aplicación M-CHAT R/F</t>
        </is>
      </c>
      <c r="B223" s="9813" t="inlineStr">
        <is>
          <t>Riego Bajo</t>
        </is>
      </c>
      <c r="C223" s="9814" t="n"/>
      <c r="D223" s="9643" t="n"/>
      <c r="E223" s="1866" t="n">
        <v>0</v>
      </c>
      <c r="F223" s="1867" t="n">
        <v>1</v>
      </c>
      <c r="G223" s="1680" t="n"/>
      <c r="H223" s="1868" t="n"/>
      <c r="I223" s="5328" t="n">
        <v>0</v>
      </c>
      <c r="J223" s="5334" t="n">
        <v>0</v>
      </c>
      <c r="K223" s="1006">
        <f>$CA223&amp;CB223</f>
        <v/>
      </c>
      <c r="L223" s="939" t="n"/>
      <c r="M223" s="939" t="n"/>
      <c r="N223" s="939" t="n"/>
      <c r="O223" s="939" t="n"/>
      <c r="P223" s="939" t="n"/>
      <c r="Q223" s="939" t="n"/>
      <c r="R223" s="939" t="n"/>
      <c r="S223" s="939" t="n"/>
      <c r="T223" s="939" t="n"/>
      <c r="U223" s="939" t="n"/>
      <c r="V223" s="939" t="n"/>
      <c r="W223" s="939" t="n"/>
      <c r="X223" s="939" t="n"/>
      <c r="Y223" s="939" t="n"/>
      <c r="Z223" s="939" t="n"/>
      <c r="AA223" s="939" t="n"/>
      <c r="AB223" s="939" t="n"/>
      <c r="AC223" s="939" t="n"/>
      <c r="AD223" s="939" t="n"/>
      <c r="AE223" s="939" t="n"/>
      <c r="AF223" s="939" t="n"/>
      <c r="AG223" s="939" t="n"/>
      <c r="AH223" s="939" t="n"/>
      <c r="AI223" s="939" t="n"/>
      <c r="AJ223" s="939" t="n"/>
      <c r="AK223" s="939" t="n"/>
      <c r="AL223" s="940" t="n"/>
      <c r="AM223" s="940" t="n"/>
      <c r="AN223" s="940" t="n"/>
      <c r="AO223" s="940" t="n"/>
      <c r="AP223" s="940" t="n"/>
      <c r="AQ223" s="940" t="n"/>
      <c r="AR223" s="940" t="n"/>
      <c r="AS223" s="940" t="n"/>
      <c r="AT223" s="940" t="n"/>
      <c r="AU223" s="940" t="n"/>
      <c r="AV223" s="940" t="n"/>
      <c r="AW223" s="940" t="n"/>
      <c r="AX223" s="940" t="n"/>
      <c r="AY223" s="940" t="n"/>
      <c r="AZ223" s="239" t="n"/>
      <c r="BA223" s="239" t="n"/>
      <c r="BB223" s="239" t="n"/>
      <c r="BC223" s="239" t="n"/>
      <c r="BD223" s="239" t="n"/>
      <c r="BE223" s="239" t="n"/>
      <c r="BF223" s="239" t="n"/>
      <c r="BG223" s="239" t="n"/>
      <c r="BH223" s="239" t="n"/>
      <c r="BI223" s="239" t="n"/>
      <c r="BJ223" s="239" t="n"/>
      <c r="BK223" s="239" t="n"/>
      <c r="BL223" s="239" t="n"/>
      <c r="BM223" s="239" t="n"/>
      <c r="BN223" s="239" t="n"/>
      <c r="BO223" s="239" t="n"/>
      <c r="BP223" s="239" t="n"/>
      <c r="BQ223" s="239" t="n"/>
      <c r="BR223" s="239" t="n"/>
      <c r="BS223" s="239" t="n"/>
      <c r="BT223" s="239" t="n"/>
      <c r="BU223" s="239" t="n"/>
      <c r="BV223" s="239" t="n"/>
      <c r="BW223" s="239" t="n"/>
      <c r="BX223" s="239" t="n"/>
      <c r="BY223" s="239" t="n"/>
      <c r="BZ223" s="239" t="n"/>
      <c r="CA223" s="240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 t="n"/>
      <c r="CE223" s="239" t="n"/>
      <c r="CF223" s="64" t="n"/>
      <c r="CG223" s="64" t="n"/>
      <c r="CH223" s="64" t="n"/>
      <c r="CI223" s="64" t="n"/>
      <c r="CJ223" s="64" t="n"/>
      <c r="CK223" s="29">
        <f>IF(AND($E223+$F223&lt;&gt;0,I223=""),1,IF(I223&gt;$E223+$F223,1,0))</f>
        <v/>
      </c>
      <c r="CL223" s="29">
        <f>IF(AND($E223+$F223&lt;&gt;0,J223=""),1,IF(J223&gt;$E223+$F223,1,0))</f>
        <v/>
      </c>
    </row>
    <row r="224" ht="21" customHeight="1" s="8286">
      <c r="A224" s="9614" t="n"/>
      <c r="B224" s="7282" t="inlineStr">
        <is>
          <t>Riesgo medio</t>
        </is>
      </c>
      <c r="C224" s="9815" t="inlineStr">
        <is>
          <t>No requiere derivación a evaluación diagnóstica</t>
        </is>
      </c>
      <c r="D224" s="9718" t="n"/>
      <c r="E224" s="1869" t="n">
        <v>0</v>
      </c>
      <c r="F224" s="1870" t="n">
        <v>0</v>
      </c>
      <c r="G224" s="1680" t="n"/>
      <c r="H224" s="1868" t="n"/>
      <c r="I224" s="5329" t="n">
        <v>0</v>
      </c>
      <c r="J224" s="5335" t="n">
        <v>0</v>
      </c>
      <c r="K224" s="1006">
        <f>$CA224&amp;CB224</f>
        <v/>
      </c>
      <c r="L224" s="939" t="n"/>
      <c r="M224" s="939" t="n"/>
      <c r="N224" s="939" t="n"/>
      <c r="O224" s="939" t="n"/>
      <c r="P224" s="939" t="n"/>
      <c r="Q224" s="939" t="n"/>
      <c r="R224" s="939" t="n"/>
      <c r="S224" s="939" t="n"/>
      <c r="T224" s="939" t="n"/>
      <c r="U224" s="939" t="n"/>
      <c r="V224" s="939" t="n"/>
      <c r="W224" s="939" t="n"/>
      <c r="X224" s="939" t="n"/>
      <c r="Y224" s="939" t="n"/>
      <c r="Z224" s="939" t="n"/>
      <c r="AA224" s="939" t="n"/>
      <c r="AB224" s="939" t="n"/>
      <c r="AC224" s="939" t="n"/>
      <c r="AD224" s="939" t="n"/>
      <c r="AE224" s="939" t="n"/>
      <c r="AF224" s="939" t="n"/>
      <c r="AG224" s="939" t="n"/>
      <c r="AH224" s="939" t="n"/>
      <c r="AI224" s="939" t="n"/>
      <c r="AJ224" s="939" t="n"/>
      <c r="AK224" s="939" t="n"/>
      <c r="AL224" s="940" t="n"/>
      <c r="AM224" s="940" t="n"/>
      <c r="AN224" s="940" t="n"/>
      <c r="AO224" s="940" t="n"/>
      <c r="AP224" s="940" t="n"/>
      <c r="AQ224" s="940" t="n"/>
      <c r="AR224" s="940" t="n"/>
      <c r="AS224" s="940" t="n"/>
      <c r="AT224" s="940" t="n"/>
      <c r="AU224" s="940" t="n"/>
      <c r="AV224" s="940" t="n"/>
      <c r="AW224" s="940" t="n"/>
      <c r="AX224" s="940" t="n"/>
      <c r="AY224" s="940" t="n"/>
      <c r="AZ224" s="239" t="n"/>
      <c r="BA224" s="239" t="n"/>
      <c r="BB224" s="239" t="n"/>
      <c r="BC224" s="239" t="n"/>
      <c r="BD224" s="239" t="n"/>
      <c r="BE224" s="239" t="n"/>
      <c r="BF224" s="239" t="n"/>
      <c r="BG224" s="239" t="n"/>
      <c r="BH224" s="239" t="n"/>
      <c r="BI224" s="239" t="n"/>
      <c r="BJ224" s="239" t="n"/>
      <c r="BK224" s="239" t="n"/>
      <c r="BL224" s="239" t="n"/>
      <c r="BM224" s="239" t="n"/>
      <c r="BN224" s="239" t="n"/>
      <c r="BO224" s="239" t="n"/>
      <c r="BP224" s="239" t="n"/>
      <c r="BQ224" s="239" t="n"/>
      <c r="BR224" s="239" t="n"/>
      <c r="BS224" s="239" t="n"/>
      <c r="BT224" s="239" t="n"/>
      <c r="BU224" s="239" t="n"/>
      <c r="BV224" s="239" t="n"/>
      <c r="BW224" s="239" t="n"/>
      <c r="BX224" s="239" t="n"/>
      <c r="BY224" s="239" t="n"/>
      <c r="BZ224" s="239" t="n"/>
      <c r="CA224" s="240">
        <f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>
        <f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 t="n"/>
      <c r="CE224" s="239" t="n"/>
      <c r="CF224" s="64" t="n"/>
      <c r="CG224" s="64" t="n"/>
      <c r="CH224" s="64" t="n"/>
      <c r="CI224" s="64" t="n"/>
      <c r="CJ224" s="64" t="n"/>
      <c r="CK224" s="29">
        <f>IF(AND($E224+$F224&lt;&gt;0,I224=""),1,IF(I224&gt;$E224+$F224,1,0))</f>
        <v/>
      </c>
      <c r="CL224" s="29">
        <f>IF(AND($E224+$F224&lt;&gt;0,J224=""),1,IF(J224&gt;$E224+$F224,1,0))</f>
        <v/>
      </c>
    </row>
    <row r="225" ht="22.5" customHeight="1" s="8286">
      <c r="A225" s="9614" t="n"/>
      <c r="B225" s="9614" t="n"/>
      <c r="C225" s="9819" t="inlineStr">
        <is>
          <t>Requiere derivación a evaluación diagnóstica</t>
        </is>
      </c>
      <c r="D225" s="9644" t="n"/>
      <c r="E225" s="1871" t="n">
        <v>0</v>
      </c>
      <c r="F225" s="1870" t="n">
        <v>1</v>
      </c>
      <c r="G225" s="1680" t="n"/>
      <c r="H225" s="1868" t="n"/>
      <c r="I225" s="5330" t="n">
        <v>0</v>
      </c>
      <c r="J225" s="5336" t="n">
        <v>0</v>
      </c>
      <c r="K225" s="1006">
        <f>$CA225&amp;CB225</f>
        <v/>
      </c>
      <c r="L225" s="939" t="n"/>
      <c r="M225" s="939" t="n"/>
      <c r="N225" s="939" t="n"/>
      <c r="O225" s="939" t="n"/>
      <c r="P225" s="939" t="n"/>
      <c r="Q225" s="939" t="n"/>
      <c r="R225" s="939" t="n"/>
      <c r="S225" s="939" t="n"/>
      <c r="T225" s="939" t="n"/>
      <c r="U225" s="939" t="n"/>
      <c r="V225" s="939" t="n"/>
      <c r="W225" s="939" t="n"/>
      <c r="X225" s="939" t="n"/>
      <c r="Y225" s="939" t="n"/>
      <c r="Z225" s="939" t="n"/>
      <c r="AA225" s="939" t="n"/>
      <c r="AB225" s="939" t="n"/>
      <c r="AC225" s="939" t="n"/>
      <c r="AD225" s="939" t="n"/>
      <c r="AE225" s="939" t="n"/>
      <c r="AF225" s="939" t="n"/>
      <c r="AG225" s="939" t="n"/>
      <c r="AH225" s="939" t="n"/>
      <c r="AI225" s="939" t="n"/>
      <c r="AJ225" s="939" t="n"/>
      <c r="AK225" s="939" t="n"/>
      <c r="AL225" s="940" t="n"/>
      <c r="AM225" s="940" t="n"/>
      <c r="AN225" s="940" t="n"/>
      <c r="AO225" s="940" t="n"/>
      <c r="AP225" s="940" t="n"/>
      <c r="AQ225" s="940" t="n"/>
      <c r="AR225" s="940" t="n"/>
      <c r="AS225" s="940" t="n"/>
      <c r="AT225" s="940" t="n"/>
      <c r="AU225" s="940" t="n"/>
      <c r="AV225" s="940" t="n"/>
      <c r="AW225" s="940" t="n"/>
      <c r="AX225" s="940" t="n"/>
      <c r="AY225" s="940" t="n"/>
      <c r="AZ225" s="239" t="n"/>
      <c r="BA225" s="239" t="n"/>
      <c r="BB225" s="239" t="n"/>
      <c r="BC225" s="239" t="n"/>
      <c r="BD225" s="239" t="n"/>
      <c r="BE225" s="239" t="n"/>
      <c r="BF225" s="239" t="n"/>
      <c r="BG225" s="239" t="n"/>
      <c r="BH225" s="239" t="n"/>
      <c r="BI225" s="239" t="n"/>
      <c r="BJ225" s="239" t="n"/>
      <c r="BK225" s="239" t="n"/>
      <c r="BL225" s="239" t="n"/>
      <c r="BM225" s="239" t="n"/>
      <c r="BN225" s="239" t="n"/>
      <c r="BO225" s="239" t="n"/>
      <c r="BP225" s="239" t="n"/>
      <c r="BQ225" s="239" t="n"/>
      <c r="BR225" s="239" t="n"/>
      <c r="BS225" s="239" t="n"/>
      <c r="BT225" s="239" t="n"/>
      <c r="BU225" s="239" t="n"/>
      <c r="BV225" s="239" t="n"/>
      <c r="BW225" s="239" t="n"/>
      <c r="BX225" s="239" t="n"/>
      <c r="BY225" s="239" t="n"/>
      <c r="BZ225" s="239" t="n"/>
      <c r="CA225" s="240">
        <f>IF(AND($E225+F225&lt;&gt;0,I225=""),"* No olvide ingresar la variable "&amp;I$217&amp;""&amp;" (Digite CERO si no tiene). ",IF(I225&gt;$E225+$F225,"* La variable Pueblos Originarios no debe ser mayor a la suma de Hombres + Mujeres.",""))</f>
        <v/>
      </c>
      <c r="CB225" s="240">
        <f>IF(AND($E225+F225&lt;&gt;0,J225=""),"* No olvide ingresar la variable "&amp;J$217&amp;""&amp;" (Digite CERO si no tiene). ",IF(J225&gt;$E225+$F225,"* La variable Migrantes no debe ser mayor a la suma de Hombres + Mujeres. ",""))</f>
        <v/>
      </c>
      <c r="CD225" s="239" t="n"/>
      <c r="CE225" s="239" t="n"/>
      <c r="CF225" s="64" t="n"/>
      <c r="CG225" s="64" t="n"/>
      <c r="CH225" s="64" t="n"/>
      <c r="CI225" s="64" t="n"/>
      <c r="CJ225" s="64" t="n"/>
      <c r="CK225" s="29">
        <f>IF(AND($E225+$F225&lt;&gt;0,I225=""),1,IF(I225&gt;$E225+$F225,1,0))</f>
        <v/>
      </c>
      <c r="CL225" s="29">
        <f>IF(AND($E225+$F225&lt;&gt;0,J225=""),1,IF(J225&gt;$E225+$F225,1,0))</f>
        <v/>
      </c>
    </row>
    <row r="226" ht="23.25" customHeight="1" s="8286">
      <c r="A226" s="9610" t="n"/>
      <c r="B226" s="1872" t="inlineStr">
        <is>
          <t>Riesgo Alto</t>
        </is>
      </c>
      <c r="C226" s="9820" t="inlineStr">
        <is>
          <t>Requiere derivación a evaluación diagnóstica</t>
        </is>
      </c>
      <c r="D226" s="9776" t="n"/>
      <c r="E226" s="1873" t="n">
        <v>0</v>
      </c>
      <c r="F226" s="1874" t="n">
        <v>0</v>
      </c>
      <c r="G226" s="1875" t="n"/>
      <c r="H226" s="1876" t="n"/>
      <c r="I226" s="5331" t="n">
        <v>0</v>
      </c>
      <c r="J226" s="5337" t="n">
        <v>0</v>
      </c>
      <c r="K226" s="1006">
        <f>$CA226&amp;CB226</f>
        <v/>
      </c>
      <c r="L226" s="939" t="n"/>
      <c r="M226" s="939" t="n"/>
      <c r="N226" s="939" t="n"/>
      <c r="O226" s="939" t="n"/>
      <c r="P226" s="939" t="n"/>
      <c r="Q226" s="939" t="n"/>
      <c r="R226" s="939" t="n"/>
      <c r="S226" s="939" t="n"/>
      <c r="T226" s="939" t="n"/>
      <c r="U226" s="939" t="n"/>
      <c r="V226" s="939" t="n"/>
      <c r="W226" s="939" t="n"/>
      <c r="X226" s="939" t="n"/>
      <c r="Y226" s="939" t="n"/>
      <c r="Z226" s="939" t="n"/>
      <c r="AA226" s="939" t="n"/>
      <c r="AB226" s="939" t="n"/>
      <c r="AC226" s="939" t="n"/>
      <c r="AD226" s="939" t="n"/>
      <c r="AE226" s="939" t="n"/>
      <c r="AF226" s="939" t="n"/>
      <c r="AG226" s="939" t="n"/>
      <c r="AH226" s="939" t="n"/>
      <c r="AI226" s="939" t="n"/>
      <c r="AJ226" s="939" t="n"/>
      <c r="AK226" s="939" t="n"/>
      <c r="AL226" s="940" t="n"/>
      <c r="AM226" s="940" t="n"/>
      <c r="AN226" s="940" t="n"/>
      <c r="AO226" s="940" t="n"/>
      <c r="AP226" s="940" t="n"/>
      <c r="AQ226" s="940" t="n"/>
      <c r="AR226" s="940" t="n"/>
      <c r="AS226" s="940" t="n"/>
      <c r="AT226" s="940" t="n"/>
      <c r="AU226" s="940" t="n"/>
      <c r="AV226" s="940" t="n"/>
      <c r="AW226" s="940" t="n"/>
      <c r="AX226" s="940" t="n"/>
      <c r="AY226" s="940" t="n"/>
      <c r="AZ226" s="239" t="n"/>
      <c r="BA226" s="239" t="n"/>
      <c r="BB226" s="239" t="n"/>
      <c r="BC226" s="239" t="n"/>
      <c r="BD226" s="239" t="n"/>
      <c r="BE226" s="239" t="n"/>
      <c r="BF226" s="239" t="n"/>
      <c r="BG226" s="239" t="n"/>
      <c r="BH226" s="239" t="n"/>
      <c r="BI226" s="239" t="n"/>
      <c r="BJ226" s="239" t="n"/>
      <c r="BK226" s="239" t="n"/>
      <c r="BL226" s="239" t="n"/>
      <c r="BM226" s="239" t="n"/>
      <c r="BN226" s="239" t="n"/>
      <c r="BO226" s="239" t="n"/>
      <c r="BP226" s="239" t="n"/>
      <c r="BQ226" s="239" t="n"/>
      <c r="BR226" s="239" t="n"/>
      <c r="BS226" s="239" t="n"/>
      <c r="BT226" s="239" t="n"/>
      <c r="BU226" s="239" t="n"/>
      <c r="BV226" s="239" t="n"/>
      <c r="BW226" s="239" t="n"/>
      <c r="BX226" s="239" t="n"/>
      <c r="BY226" s="239" t="n"/>
      <c r="BZ226" s="239" t="n"/>
      <c r="CA226" s="240">
        <f>IF(AND($E226+F226&lt;&gt;0,I226=""),"* No olvide ingresar la variable "&amp;I$217&amp;""&amp;" (Digite CERO si no tiene). ",IF(I226&gt;$E226+$F226,"* La variable Pueblos Originarios no debe ser mayor a la suma de Hombres + Mujeres.",""))</f>
        <v/>
      </c>
      <c r="CB226" s="240">
        <f>IF(AND($E226+F226&lt;&gt;0,J226=""),"* No olvide ingresar la variable "&amp;J$217&amp;""&amp;" (Digite CERO si no tiene). ",IF(J226&gt;$E226+$F226,"* La variable Migrantes no debe ser mayor a la suma de Hombres + Mujeres. ",""))</f>
        <v/>
      </c>
      <c r="CD226" s="239" t="n"/>
      <c r="CE226" s="239" t="n"/>
      <c r="CF226" s="64" t="n"/>
      <c r="CG226" s="64" t="n"/>
      <c r="CH226" s="64" t="n"/>
      <c r="CI226" s="64" t="n"/>
      <c r="CJ226" s="64" t="n"/>
      <c r="CK226" s="29">
        <f>IF(AND($E226+$F226&lt;&gt;0,I226=""),1,IF(I226&gt;$E226+$F226,1,0))</f>
        <v/>
      </c>
      <c r="CL226" s="29">
        <f>IF(AND($E226+$F226&lt;&gt;0,J226=""),1,IF(J226&gt;$E226+$F226,1,0))</f>
        <v/>
      </c>
    </row>
    <row r="227" ht="15" customHeight="1" s="8286">
      <c r="A227" s="9818" t="inlineStr">
        <is>
          <t>TOTAL</t>
        </is>
      </c>
      <c r="B227" s="9617" t="n"/>
      <c r="C227" s="9617" t="n"/>
      <c r="D227" s="9632" t="n"/>
      <c r="E227" s="1862">
        <f>SUM(E223:E226)</f>
        <v/>
      </c>
      <c r="F227" s="1863">
        <f>SUM(F223:F226)</f>
        <v/>
      </c>
      <c r="G227" s="1090" t="n"/>
      <c r="H227" s="1015" t="n"/>
      <c r="I227" s="5327">
        <f>SUM(I223:I226)</f>
        <v/>
      </c>
      <c r="J227" s="5333">
        <f>SUM(J223:J226)</f>
        <v/>
      </c>
      <c r="K227" s="939" t="n"/>
      <c r="L227" s="939" t="n"/>
      <c r="M227" s="939" t="n"/>
      <c r="N227" s="939" t="n"/>
      <c r="O227" s="939" t="n"/>
      <c r="P227" s="939" t="n"/>
      <c r="Q227" s="939" t="n"/>
      <c r="R227" s="939" t="n"/>
      <c r="S227" s="939" t="n"/>
      <c r="T227" s="939" t="n"/>
      <c r="U227" s="939" t="n"/>
      <c r="V227" s="939" t="n"/>
      <c r="W227" s="939" t="n"/>
      <c r="X227" s="939" t="n"/>
      <c r="Y227" s="939" t="n"/>
      <c r="Z227" s="939" t="n"/>
      <c r="AA227" s="939" t="n"/>
      <c r="AB227" s="939" t="n"/>
      <c r="AC227" s="939" t="n"/>
      <c r="AD227" s="939" t="n"/>
      <c r="AE227" s="939" t="n"/>
      <c r="AF227" s="939" t="n"/>
      <c r="AG227" s="939" t="n"/>
      <c r="AH227" s="939" t="n"/>
      <c r="AI227" s="939" t="n"/>
      <c r="AJ227" s="939" t="n"/>
      <c r="AK227" s="939" t="n"/>
      <c r="AL227" s="940" t="n"/>
      <c r="AM227" s="940" t="n"/>
      <c r="AN227" s="940" t="n"/>
      <c r="AO227" s="940" t="n"/>
      <c r="AP227" s="940" t="n"/>
      <c r="AQ227" s="940" t="n"/>
      <c r="AR227" s="940" t="n"/>
      <c r="AS227" s="940" t="n"/>
      <c r="AT227" s="940" t="n"/>
      <c r="AU227" s="940" t="n"/>
      <c r="AV227" s="940" t="n"/>
      <c r="AW227" s="940" t="n"/>
      <c r="AX227" s="940" t="n"/>
      <c r="AY227" s="940" t="n"/>
      <c r="AZ227" s="239" t="n"/>
      <c r="BA227" s="239" t="n"/>
      <c r="BB227" s="239" t="n"/>
      <c r="BC227" s="239" t="n"/>
      <c r="BD227" s="239" t="n"/>
      <c r="BE227" s="239" t="n"/>
      <c r="BF227" s="239" t="n"/>
      <c r="BG227" s="239" t="n"/>
      <c r="BH227" s="239" t="n"/>
      <c r="BI227" s="239" t="n"/>
      <c r="BJ227" s="239" t="n"/>
      <c r="BK227" s="239" t="n"/>
      <c r="BL227" s="239" t="n"/>
      <c r="BM227" s="239" t="n"/>
      <c r="BN227" s="239" t="n"/>
      <c r="BO227" s="239" t="n"/>
      <c r="BP227" s="239" t="n"/>
      <c r="BQ227" s="239" t="n"/>
      <c r="BR227" s="239" t="n"/>
      <c r="BS227" s="239" t="n"/>
      <c r="BT227" s="239" t="n"/>
      <c r="BU227" s="239" t="n"/>
      <c r="BV227" s="239" t="n"/>
      <c r="BW227" s="239" t="n"/>
      <c r="BX227" s="239" t="n"/>
      <c r="BY227" s="239" t="n"/>
      <c r="BZ227" s="239" t="n"/>
      <c r="CA227" s="239" t="n"/>
      <c r="CB227" s="239" t="n"/>
      <c r="CC227" s="239" t="n"/>
      <c r="CD227" s="239" t="n"/>
    </row>
    <row r="228" ht="18" customHeight="1" s="8286">
      <c r="A228" s="1016" t="inlineStr">
        <is>
          <t>SECCIÓN F.1: SOSPECHA DE TRASTORNO ESPECTRO AUTISTA EN NIÑOS Y NIÑAS DE 30 A 59 MESES</t>
        </is>
      </c>
      <c r="B228" s="1016" t="n"/>
      <c r="C228" s="1016" t="n"/>
      <c r="D228" s="1017" t="n"/>
      <c r="E228" s="1017" t="n"/>
      <c r="F228" s="1017" t="n"/>
      <c r="G228" s="1018" t="n"/>
      <c r="H228" s="939" t="n"/>
      <c r="I228" s="939" t="n"/>
      <c r="J228" s="939" t="n"/>
      <c r="K228" s="939" t="n"/>
      <c r="L228" s="939" t="n"/>
      <c r="M228" s="939" t="n"/>
      <c r="N228" s="939" t="n"/>
      <c r="O228" s="939" t="n"/>
      <c r="P228" s="939" t="n"/>
      <c r="Q228" s="939" t="n"/>
      <c r="R228" s="939" t="n"/>
      <c r="S228" s="939" t="n"/>
      <c r="T228" s="939" t="n"/>
      <c r="U228" s="939" t="n"/>
      <c r="V228" s="939" t="n"/>
      <c r="W228" s="939" t="n"/>
      <c r="X228" s="939" t="n"/>
      <c r="Y228" s="939" t="n"/>
      <c r="Z228" s="939" t="n"/>
      <c r="AA228" s="939" t="n"/>
      <c r="AB228" s="939" t="n"/>
      <c r="AC228" s="939" t="n"/>
      <c r="AD228" s="939" t="n"/>
      <c r="AE228" s="939" t="n"/>
      <c r="AF228" s="939" t="n"/>
      <c r="AG228" s="939" t="n"/>
      <c r="AH228" s="939" t="n"/>
      <c r="AI228" s="939" t="n"/>
      <c r="AJ228" s="939" t="n"/>
      <c r="AK228" s="939" t="n"/>
      <c r="AL228" s="940" t="n"/>
      <c r="AM228" s="940" t="n"/>
      <c r="AN228" s="940" t="n"/>
      <c r="AO228" s="940" t="n"/>
      <c r="AP228" s="940" t="n"/>
      <c r="AQ228" s="940" t="n"/>
      <c r="AR228" s="940" t="n"/>
      <c r="AS228" s="940" t="n"/>
      <c r="AT228" s="940" t="n"/>
      <c r="AU228" s="940" t="n"/>
      <c r="AV228" s="940" t="n"/>
      <c r="AW228" s="940" t="n"/>
      <c r="AX228" s="940" t="n"/>
      <c r="AY228" s="940" t="n"/>
      <c r="AZ228" s="239" t="n"/>
      <c r="BA228" s="239" t="n"/>
      <c r="BB228" s="239" t="n"/>
      <c r="BC228" s="239" t="n"/>
      <c r="BD228" s="239" t="n"/>
      <c r="BE228" s="239" t="n"/>
      <c r="BF228" s="239" t="n"/>
      <c r="BG228" s="239" t="n"/>
      <c r="BH228" s="239" t="n"/>
      <c r="BI228" s="239" t="n"/>
      <c r="BJ228" s="239" t="n"/>
      <c r="BK228" s="239" t="n"/>
      <c r="BL228" s="239" t="n"/>
      <c r="BM228" s="239" t="n"/>
      <c r="BN228" s="239" t="n"/>
      <c r="BO228" s="239" t="n"/>
      <c r="BP228" s="239" t="n"/>
      <c r="BQ228" s="239" t="n"/>
      <c r="BR228" s="239" t="n"/>
      <c r="BS228" s="239" t="n"/>
      <c r="BT228" s="239" t="n"/>
      <c r="BU228" s="239" t="n"/>
      <c r="BV228" s="239" t="n"/>
      <c r="BW228" s="239" t="n"/>
      <c r="BX228" s="239" t="n"/>
      <c r="BY228" s="239" t="n"/>
      <c r="BZ228" s="239" t="n"/>
      <c r="CA228" s="239" t="n"/>
      <c r="CB228" s="239" t="n"/>
      <c r="CC228" s="239" t="n"/>
      <c r="CD228" s="239" t="n"/>
    </row>
    <row r="229" ht="24.75" customHeight="1" s="8286">
      <c r="A229" s="9818" t="inlineStr">
        <is>
          <t>EVALUACIÓN</t>
        </is>
      </c>
      <c r="B229" s="9632" t="n"/>
      <c r="C229" s="7396" t="inlineStr">
        <is>
          <t>Hombres</t>
        </is>
      </c>
      <c r="D229" s="1877" t="inlineStr">
        <is>
          <t>Mujeres</t>
        </is>
      </c>
      <c r="E229" s="5338" t="inlineStr">
        <is>
          <t>Pueblos Originarios</t>
        </is>
      </c>
      <c r="F229" s="5340" t="inlineStr">
        <is>
          <t>Migrantes</t>
        </is>
      </c>
      <c r="G229" s="1018" t="n"/>
      <c r="H229" s="939" t="n"/>
      <c r="I229" s="939" t="n"/>
      <c r="J229" s="939" t="n"/>
      <c r="K229" s="939" t="n"/>
      <c r="L229" s="939" t="n"/>
      <c r="M229" s="939" t="n"/>
      <c r="N229" s="939" t="n"/>
      <c r="O229" s="939" t="n"/>
      <c r="P229" s="939" t="n"/>
      <c r="Q229" s="939" t="n"/>
      <c r="R229" s="939" t="n"/>
      <c r="S229" s="939" t="n"/>
      <c r="T229" s="939" t="n"/>
      <c r="U229" s="939" t="n"/>
      <c r="V229" s="939" t="n"/>
      <c r="W229" s="939" t="n"/>
      <c r="X229" s="939" t="n"/>
      <c r="Y229" s="939" t="n"/>
      <c r="Z229" s="939" t="n"/>
      <c r="AA229" s="939" t="n"/>
      <c r="AB229" s="939" t="n"/>
      <c r="AC229" s="939" t="n"/>
      <c r="AD229" s="939" t="n"/>
      <c r="AE229" s="939" t="n"/>
      <c r="AF229" s="939" t="n"/>
      <c r="AG229" s="939" t="n"/>
      <c r="AH229" s="939" t="n"/>
      <c r="AI229" s="939" t="n"/>
      <c r="AJ229" s="939" t="n"/>
      <c r="AK229" s="939" t="n"/>
      <c r="AL229" s="940" t="n"/>
      <c r="AM229" s="940" t="n"/>
      <c r="AN229" s="940" t="n"/>
      <c r="AO229" s="940" t="n"/>
      <c r="AP229" s="940" t="n"/>
      <c r="AQ229" s="940" t="n"/>
      <c r="AR229" s="940" t="n"/>
      <c r="AS229" s="940" t="n"/>
      <c r="AT229" s="940" t="n"/>
      <c r="AU229" s="940" t="n"/>
      <c r="AV229" s="940" t="n"/>
      <c r="AW229" s="940" t="n"/>
      <c r="AX229" s="940" t="n"/>
      <c r="AY229" s="940" t="n"/>
      <c r="AZ229" s="239" t="n"/>
      <c r="BA229" s="239" t="n"/>
      <c r="BB229" s="239" t="n"/>
      <c r="BC229" s="239" t="n"/>
      <c r="BD229" s="239" t="n"/>
      <c r="BE229" s="239" t="n"/>
      <c r="BF229" s="239" t="n"/>
      <c r="BG229" s="239" t="n"/>
      <c r="BH229" s="239" t="n"/>
      <c r="BI229" s="239" t="n"/>
      <c r="BJ229" s="239" t="n"/>
      <c r="BK229" s="239" t="n"/>
      <c r="BL229" s="239" t="n"/>
      <c r="BM229" s="239" t="n"/>
      <c r="BN229" s="239" t="n"/>
      <c r="BO229" s="239" t="n"/>
      <c r="BP229" s="239" t="n"/>
      <c r="BQ229" s="239" t="n"/>
      <c r="BR229" s="239" t="n"/>
      <c r="BS229" s="239" t="n"/>
      <c r="BT229" s="239" t="n"/>
      <c r="BU229" s="239" t="n"/>
      <c r="BV229" s="239" t="n"/>
      <c r="BW229" s="239" t="n"/>
      <c r="BX229" s="239" t="n"/>
      <c r="BY229" s="239" t="n"/>
      <c r="BZ229" s="239" t="n"/>
      <c r="CA229" s="239" t="n"/>
      <c r="CB229" s="239" t="n"/>
      <c r="CC229" s="239" t="n"/>
      <c r="CD229" s="239" t="n"/>
    </row>
    <row r="230" ht="21" customHeight="1" s="8286">
      <c r="A230" s="9821" t="inlineStr">
        <is>
          <t>Sospecha de TEA por señales de alerta y/o factores de riesgo</t>
        </is>
      </c>
      <c r="B230" s="1878" t="inlineStr">
        <is>
          <t>No requiere derivación a evaluación diagnóstica</t>
        </is>
      </c>
      <c r="C230" s="1879" t="n">
        <v>0</v>
      </c>
      <c r="D230" s="1880" t="n">
        <v>0</v>
      </c>
      <c r="E230" s="5344" t="n">
        <v>0</v>
      </c>
      <c r="F230" s="5345" t="n">
        <v>0</v>
      </c>
      <c r="G230" s="1006">
        <f>$CB230&amp;CA230</f>
        <v/>
      </c>
      <c r="H230" s="939" t="n"/>
      <c r="I230" s="939" t="n"/>
      <c r="J230" s="939" t="n"/>
      <c r="K230" s="939" t="n"/>
      <c r="L230" s="939" t="n"/>
      <c r="M230" s="939" t="n"/>
      <c r="N230" s="939" t="n"/>
      <c r="O230" s="939" t="n"/>
      <c r="P230" s="939" t="n"/>
      <c r="Q230" s="939" t="n"/>
      <c r="R230" s="939" t="n"/>
      <c r="S230" s="939" t="n"/>
      <c r="T230" s="939" t="n"/>
      <c r="U230" s="939" t="n"/>
      <c r="V230" s="939" t="n"/>
      <c r="W230" s="939" t="n"/>
      <c r="X230" s="939" t="n"/>
      <c r="Y230" s="939" t="n"/>
      <c r="Z230" s="939" t="n"/>
      <c r="AA230" s="939" t="n"/>
      <c r="AB230" s="939" t="n"/>
      <c r="AC230" s="939" t="n"/>
      <c r="AD230" s="939" t="n"/>
      <c r="AE230" s="939" t="n"/>
      <c r="AF230" s="939" t="n"/>
      <c r="AG230" s="939" t="n"/>
      <c r="AH230" s="939" t="n"/>
      <c r="AI230" s="939" t="n"/>
      <c r="AJ230" s="939" t="n"/>
      <c r="AK230" s="939" t="n"/>
      <c r="AL230" s="940" t="n"/>
      <c r="AM230" s="940" t="n"/>
      <c r="AN230" s="940" t="n"/>
      <c r="AO230" s="940" t="n"/>
      <c r="AP230" s="940" t="n"/>
      <c r="AQ230" s="940" t="n"/>
      <c r="AR230" s="940" t="n"/>
      <c r="AS230" s="940" t="n"/>
      <c r="AT230" s="940" t="n"/>
      <c r="AU230" s="940" t="n"/>
      <c r="AV230" s="940" t="n"/>
      <c r="AW230" s="940" t="n"/>
      <c r="AX230" s="940" t="n"/>
      <c r="AY230" s="940" t="n"/>
      <c r="AZ230" s="239" t="n"/>
      <c r="BA230" s="239" t="n"/>
      <c r="BB230" s="239" t="n"/>
      <c r="BC230" s="239" t="n"/>
      <c r="BD230" s="239" t="n"/>
      <c r="BE230" s="239" t="n"/>
      <c r="BF230" s="239" t="n"/>
      <c r="BG230" s="239" t="n"/>
      <c r="BH230" s="239" t="n"/>
      <c r="BI230" s="239" t="n"/>
      <c r="BJ230" s="239" t="n"/>
      <c r="BK230" s="239" t="n"/>
      <c r="BL230" s="239" t="n"/>
      <c r="BM230" s="239" t="n"/>
      <c r="BN230" s="239" t="n"/>
      <c r="BO230" s="239" t="n"/>
      <c r="BP230" s="239" t="n"/>
      <c r="BQ230" s="239" t="n"/>
      <c r="BR230" s="239" t="n"/>
      <c r="BS230" s="239" t="n"/>
      <c r="BT230" s="239" t="n"/>
      <c r="BU230" s="239" t="n"/>
      <c r="BV230" s="239" t="n"/>
      <c r="BW230" s="239" t="n"/>
      <c r="BX230" s="239" t="n"/>
      <c r="BY230" s="239" t="n"/>
      <c r="BZ230" s="239" t="n"/>
      <c r="CA230" s="240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 t="n"/>
      <c r="CE230" s="239" t="n"/>
      <c r="CF230" s="64" t="n"/>
      <c r="CG230" s="64" t="n"/>
      <c r="CH230" s="64" t="n"/>
      <c r="CI230" s="64" t="n"/>
      <c r="CJ230" s="64" t="n"/>
      <c r="CK230" s="29">
        <f>IF(AND($C230+$D230&lt;&gt;0,E230=""),1,IF(E230&gt;$C230+$D230,1,0))</f>
        <v/>
      </c>
      <c r="CL230" s="29">
        <f>IF(AND($C230+$D230&lt;&gt;0,F230=""),1,IF(F230&gt;$C230+$D230,1,0))</f>
        <v/>
      </c>
    </row>
    <row r="231" ht="21" customHeight="1" s="8286">
      <c r="A231" s="9589" t="n"/>
      <c r="B231" s="1881" t="inlineStr">
        <is>
          <t>Requiere derivación a evaluación diagnóstica</t>
        </is>
      </c>
      <c r="C231" s="1882" t="n">
        <v>3</v>
      </c>
      <c r="D231" s="1883" t="n">
        <v>1</v>
      </c>
      <c r="E231" s="5342" t="n">
        <v>1</v>
      </c>
      <c r="F231" s="5343" t="n">
        <v>0</v>
      </c>
      <c r="G231" s="1006">
        <f>$CB231&amp;CA231</f>
        <v/>
      </c>
      <c r="H231" s="939" t="n"/>
      <c r="I231" s="939" t="n"/>
      <c r="J231" s="939" t="n"/>
      <c r="K231" s="939" t="n"/>
      <c r="L231" s="939" t="n"/>
      <c r="M231" s="939" t="n"/>
      <c r="N231" s="939" t="n"/>
      <c r="O231" s="939" t="n"/>
      <c r="P231" s="939" t="n"/>
      <c r="Q231" s="939" t="n"/>
      <c r="R231" s="939" t="n"/>
      <c r="S231" s="939" t="n"/>
      <c r="T231" s="939" t="n"/>
      <c r="U231" s="939" t="n"/>
      <c r="V231" s="939" t="n"/>
      <c r="W231" s="939" t="n"/>
      <c r="X231" s="939" t="n"/>
      <c r="Y231" s="939" t="n"/>
      <c r="Z231" s="939" t="n"/>
      <c r="AA231" s="939" t="n"/>
      <c r="AB231" s="939" t="n"/>
      <c r="AC231" s="939" t="n"/>
      <c r="AD231" s="939" t="n"/>
      <c r="AE231" s="939" t="n"/>
      <c r="AF231" s="939" t="n"/>
      <c r="AG231" s="939" t="n"/>
      <c r="AH231" s="939" t="n"/>
      <c r="AI231" s="939" t="n"/>
      <c r="AJ231" s="939" t="n"/>
      <c r="AK231" s="939" t="n"/>
      <c r="AL231" s="940" t="n"/>
      <c r="AM231" s="940" t="n"/>
      <c r="AN231" s="940" t="n"/>
      <c r="AO231" s="940" t="n"/>
      <c r="AP231" s="940" t="n"/>
      <c r="AQ231" s="940" t="n"/>
      <c r="AR231" s="940" t="n"/>
      <c r="AS231" s="940" t="n"/>
      <c r="AT231" s="940" t="n"/>
      <c r="AU231" s="940" t="n"/>
      <c r="AV231" s="940" t="n"/>
      <c r="AW231" s="940" t="n"/>
      <c r="AX231" s="940" t="n"/>
      <c r="AY231" s="940" t="n"/>
      <c r="AZ231" s="239" t="n"/>
      <c r="BA231" s="239" t="n"/>
      <c r="BB231" s="239" t="n"/>
      <c r="BC231" s="239" t="n"/>
      <c r="BD231" s="239" t="n"/>
      <c r="BE231" s="239" t="n"/>
      <c r="BF231" s="239" t="n"/>
      <c r="BG231" s="239" t="n"/>
      <c r="BH231" s="239" t="n"/>
      <c r="BI231" s="239" t="n"/>
      <c r="BJ231" s="239" t="n"/>
      <c r="BK231" s="239" t="n"/>
      <c r="BL231" s="239" t="n"/>
      <c r="BM231" s="239" t="n"/>
      <c r="BN231" s="239" t="n"/>
      <c r="BO231" s="239" t="n"/>
      <c r="BP231" s="239" t="n"/>
      <c r="BQ231" s="239" t="n"/>
      <c r="BR231" s="239" t="n"/>
      <c r="BS231" s="239" t="n"/>
      <c r="BT231" s="239" t="n"/>
      <c r="BU231" s="239" t="n"/>
      <c r="BV231" s="239" t="n"/>
      <c r="BW231" s="239" t="n"/>
      <c r="BX231" s="239" t="n"/>
      <c r="BY231" s="239" t="n"/>
      <c r="BZ231" s="239" t="n"/>
      <c r="CA231" s="240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 t="n"/>
      <c r="CE231" s="239" t="n"/>
      <c r="CF231" s="64" t="n"/>
      <c r="CG231" s="64" t="n"/>
      <c r="CH231" s="64" t="n"/>
      <c r="CI231" s="64" t="n"/>
      <c r="CJ231" s="64" t="n"/>
      <c r="CK231" s="29">
        <f>IF(AND($C231+$D231&lt;&gt;0,E231=""),1,IF(E231&gt;$C231+$D231,1,0))</f>
        <v/>
      </c>
      <c r="CL231" s="29">
        <f>IF(AND($C231+$D231&lt;&gt;0,F231=""),1,IF(F231&gt;$C231+$D231,1,0))</f>
        <v/>
      </c>
    </row>
    <row r="232" ht="15" customHeight="1" s="8286">
      <c r="A232" s="9818" t="inlineStr">
        <is>
          <t>TOTAL</t>
        </is>
      </c>
      <c r="B232" s="9632" t="n"/>
      <c r="C232" s="1884">
        <f>SUM(C230:C231)</f>
        <v/>
      </c>
      <c r="D232" s="1885">
        <f>SUM(D230:D231)</f>
        <v/>
      </c>
      <c r="E232" s="5339">
        <f>SUM(E230:E231)</f>
        <v/>
      </c>
      <c r="F232" s="5341">
        <f>SUM(F230:F231)</f>
        <v/>
      </c>
      <c r="G232" s="1018" t="n"/>
      <c r="H232" s="939" t="n"/>
      <c r="I232" s="939" t="n"/>
      <c r="J232" s="939" t="n"/>
      <c r="K232" s="939" t="n"/>
      <c r="L232" s="939" t="n"/>
      <c r="M232" s="939" t="n"/>
      <c r="N232" s="939" t="n"/>
      <c r="O232" s="939" t="n"/>
      <c r="P232" s="939" t="n"/>
      <c r="Q232" s="939" t="n"/>
      <c r="R232" s="939" t="n"/>
      <c r="S232" s="939" t="n"/>
      <c r="T232" s="939" t="n"/>
      <c r="U232" s="939" t="n"/>
      <c r="V232" s="939" t="n"/>
      <c r="W232" s="939" t="n"/>
      <c r="X232" s="939" t="n"/>
      <c r="Y232" s="939" t="n"/>
      <c r="Z232" s="939" t="n"/>
      <c r="AA232" s="939" t="n"/>
      <c r="AB232" s="939" t="n"/>
      <c r="AC232" s="939" t="n"/>
      <c r="AD232" s="939" t="n"/>
      <c r="AE232" s="939" t="n"/>
      <c r="AF232" s="939" t="n"/>
      <c r="AG232" s="939" t="n"/>
      <c r="AH232" s="939" t="n"/>
      <c r="AI232" s="939" t="n"/>
      <c r="AJ232" s="939" t="n"/>
      <c r="AK232" s="939" t="n"/>
      <c r="AL232" s="940" t="n"/>
      <c r="AM232" s="940" t="n"/>
      <c r="AN232" s="940" t="n"/>
      <c r="AO232" s="940" t="n"/>
      <c r="AP232" s="940" t="n"/>
      <c r="AQ232" s="940" t="n"/>
      <c r="AR232" s="940" t="n"/>
      <c r="AS232" s="940" t="n"/>
      <c r="AT232" s="940" t="n"/>
      <c r="AU232" s="940" t="n"/>
      <c r="AV232" s="940" t="n"/>
      <c r="AW232" s="940" t="n"/>
      <c r="AX232" s="940" t="n"/>
      <c r="AY232" s="940" t="n"/>
      <c r="AZ232" s="239" t="n"/>
      <c r="BA232" s="239" t="n"/>
      <c r="BB232" s="239" t="n"/>
      <c r="BC232" s="239" t="n"/>
      <c r="BD232" s="239" t="n"/>
      <c r="BE232" s="239" t="n"/>
      <c r="BF232" s="239" t="n"/>
      <c r="BG232" s="239" t="n"/>
      <c r="BH232" s="239" t="n"/>
      <c r="BI232" s="239" t="n"/>
      <c r="BJ232" s="239" t="n"/>
      <c r="BK232" s="239" t="n"/>
      <c r="BL232" s="239" t="n"/>
      <c r="BM232" s="239" t="n"/>
      <c r="BN232" s="239" t="n"/>
      <c r="BO232" s="239" t="n"/>
      <c r="BP232" s="239" t="n"/>
      <c r="BQ232" s="239" t="n"/>
      <c r="BR232" s="239" t="n"/>
      <c r="BS232" s="239" t="n"/>
      <c r="BT232" s="239" t="n"/>
      <c r="BU232" s="239" t="n"/>
      <c r="BV232" s="239" t="n"/>
      <c r="BW232" s="239" t="n"/>
      <c r="BX232" s="239" t="n"/>
      <c r="BY232" s="239" t="n"/>
      <c r="BZ232" s="239" t="n"/>
      <c r="CA232" s="239" t="n"/>
      <c r="CB232" s="239" t="n"/>
      <c r="CC232" s="239" t="n"/>
      <c r="CD232" s="239" t="n"/>
    </row>
    <row r="233" ht="18" customHeight="1" s="8286">
      <c r="A233" s="1001" t="inlineStr">
        <is>
          <t>SECCIÓN G: APLICACIÓN ESCALA MRS EN MUJERES EN EDAD DE CLIMATERIO</t>
        </is>
      </c>
      <c r="B233" s="1005" t="n"/>
      <c r="C233" s="1005" t="n"/>
      <c r="D233" s="1000" t="n"/>
      <c r="E233" s="622" t="n"/>
      <c r="F233" s="622" t="n"/>
      <c r="G233" s="622" t="n"/>
      <c r="H233" s="622" t="n"/>
      <c r="I233" s="622" t="n"/>
      <c r="J233" s="622" t="n"/>
      <c r="K233" s="622" t="n"/>
      <c r="L233" s="622" t="n"/>
      <c r="M233" s="622" t="n"/>
      <c r="N233" s="622" t="n"/>
      <c r="O233" s="622" t="n"/>
      <c r="P233" s="622" t="n"/>
      <c r="Q233" s="622" t="n"/>
      <c r="R233" s="622" t="n"/>
      <c r="S233" s="622" t="n"/>
      <c r="T233" s="622" t="n"/>
      <c r="U233" s="622" t="n"/>
      <c r="V233" s="622" t="n"/>
      <c r="W233" s="622" t="n"/>
      <c r="X233" s="622" t="n"/>
      <c r="Y233" s="622" t="n"/>
      <c r="Z233" s="622" t="n"/>
      <c r="AA233" s="622" t="n"/>
      <c r="AB233" s="939" t="n"/>
      <c r="AC233" s="939" t="n"/>
      <c r="AD233" s="939" t="n"/>
      <c r="AE233" s="939" t="n"/>
      <c r="AF233" s="939" t="n"/>
      <c r="AG233" s="939" t="n"/>
      <c r="AH233" s="939" t="n"/>
      <c r="AI233" s="939" t="n"/>
      <c r="AJ233" s="939" t="n"/>
      <c r="AK233" s="939" t="n"/>
      <c r="AL233" s="940" t="n"/>
      <c r="AM233" s="940" t="n"/>
      <c r="AN233" s="940" t="n"/>
      <c r="AO233" s="940" t="n"/>
      <c r="AP233" s="940" t="n"/>
      <c r="AQ233" s="940" t="n"/>
      <c r="AR233" s="940" t="n"/>
      <c r="AS233" s="940" t="n"/>
      <c r="AT233" s="940" t="n"/>
      <c r="AU233" s="940" t="n"/>
      <c r="AV233" s="940" t="n"/>
      <c r="AW233" s="940" t="n"/>
      <c r="AX233" s="940" t="n"/>
      <c r="AY233" s="940" t="n"/>
      <c r="AZ233" s="239" t="n"/>
      <c r="BA233" s="239" t="n"/>
      <c r="BB233" s="239" t="n"/>
      <c r="BC233" s="239" t="n"/>
      <c r="BD233" s="239" t="n"/>
      <c r="BE233" s="239" t="n"/>
      <c r="BF233" s="239" t="n"/>
      <c r="BG233" s="239" t="n"/>
      <c r="BH233" s="239" t="n"/>
      <c r="BI233" s="239" t="n"/>
      <c r="BJ233" s="239" t="n"/>
      <c r="BK233" s="239" t="n"/>
      <c r="BL233" s="239" t="n"/>
      <c r="BM233" s="239" t="n"/>
      <c r="BN233" s="239" t="n"/>
      <c r="BO233" s="239" t="n"/>
      <c r="BP233" s="239" t="n"/>
      <c r="BQ233" s="239" t="n"/>
      <c r="BR233" s="239" t="n"/>
      <c r="BS233" s="239" t="n"/>
      <c r="BT233" s="239" t="n"/>
      <c r="BU233" s="239" t="n"/>
      <c r="BV233" s="239" t="n"/>
      <c r="BW233" s="239" t="n"/>
      <c r="BX233" s="239" t="n"/>
      <c r="BY233" s="239" t="n"/>
      <c r="BZ233" s="239" t="n"/>
      <c r="CA233" s="239" t="n"/>
      <c r="CB233" s="239" t="n"/>
      <c r="CC233" s="239" t="n"/>
      <c r="CD233" s="239" t="n"/>
    </row>
    <row r="234" ht="21.75" customHeight="1" s="8286">
      <c r="A234" s="9767" t="inlineStr">
        <is>
          <t xml:space="preserve">
TOTAL DE APLICACIONES SEGÚN AREA DE AFECTACIÓN 
</t>
        </is>
      </c>
      <c r="B234" s="9630" t="n"/>
      <c r="C234" s="9631" t="inlineStr">
        <is>
          <t xml:space="preserve">MOMENTO Y CONDICIONES DE APLICACIÓN </t>
        </is>
      </c>
      <c r="D234" s="9617" t="n"/>
      <c r="E234" s="9632" t="n"/>
      <c r="F234" s="622" t="n"/>
      <c r="G234" s="622" t="n"/>
      <c r="H234" s="622" t="n"/>
      <c r="I234" s="622" t="n"/>
      <c r="J234" s="622" t="n"/>
      <c r="K234" s="622" t="n"/>
      <c r="L234" s="622" t="n"/>
      <c r="M234" s="622" t="n"/>
      <c r="N234" s="622" t="n"/>
      <c r="O234" s="622" t="n"/>
      <c r="P234" s="622" t="n"/>
      <c r="Q234" s="622" t="n"/>
      <c r="R234" s="622" t="n"/>
      <c r="S234" s="622" t="n"/>
      <c r="T234" s="622" t="n"/>
      <c r="U234" s="622" t="n"/>
      <c r="V234" s="622" t="n"/>
      <c r="W234" s="622" t="n"/>
      <c r="X234" s="622" t="n"/>
      <c r="Y234" s="622" t="n"/>
      <c r="Z234" s="622" t="n"/>
      <c r="AA234" s="622" t="n"/>
      <c r="AB234" s="939" t="n"/>
      <c r="AC234" s="939" t="n"/>
      <c r="AD234" s="939" t="n"/>
      <c r="AE234" s="939" t="n"/>
      <c r="AF234" s="939" t="n"/>
      <c r="AG234" s="939" t="n"/>
      <c r="AH234" s="939" t="n"/>
      <c r="AI234" s="939" t="n"/>
      <c r="AJ234" s="939" t="n"/>
      <c r="AK234" s="939" t="n"/>
      <c r="AL234" s="940" t="n"/>
      <c r="AM234" s="940" t="n"/>
      <c r="AN234" s="940" t="n"/>
      <c r="AO234" s="940" t="n"/>
      <c r="AP234" s="940" t="n"/>
      <c r="AQ234" s="940" t="n"/>
      <c r="AR234" s="940" t="n"/>
      <c r="AS234" s="940" t="n"/>
      <c r="AT234" s="940" t="n"/>
      <c r="AU234" s="940" t="n"/>
      <c r="AV234" s="940" t="n"/>
      <c r="AW234" s="940" t="n"/>
      <c r="AX234" s="940" t="n"/>
      <c r="AY234" s="940" t="n"/>
      <c r="AZ234" s="239" t="n"/>
      <c r="BA234" s="239" t="n"/>
      <c r="BB234" s="239" t="n"/>
      <c r="BC234" s="239" t="n"/>
      <c r="BD234" s="239" t="n"/>
      <c r="BE234" s="239" t="n"/>
      <c r="BF234" s="239" t="n"/>
      <c r="BG234" s="239" t="n"/>
      <c r="BH234" s="239" t="n"/>
      <c r="BI234" s="239" t="n"/>
      <c r="BJ234" s="239" t="n"/>
      <c r="BK234" s="239" t="n"/>
      <c r="BL234" s="239" t="n"/>
      <c r="BM234" s="239" t="n"/>
      <c r="BN234" s="239" t="n"/>
      <c r="BO234" s="239" t="n"/>
      <c r="BP234" s="239" t="n"/>
      <c r="BQ234" s="239" t="n"/>
      <c r="BR234" s="239" t="n"/>
      <c r="BS234" s="239" t="n"/>
      <c r="BT234" s="239" t="n"/>
      <c r="BU234" s="239" t="n"/>
      <c r="BV234" s="239" t="n"/>
      <c r="BW234" s="239" t="n"/>
      <c r="BX234" s="239" t="n"/>
      <c r="BY234" s="239" t="n"/>
      <c r="BZ234" s="239" t="n"/>
      <c r="CA234" s="239" t="n"/>
      <c r="CB234" s="239" t="n"/>
      <c r="CC234" s="239" t="n"/>
      <c r="CD234" s="239" t="n"/>
    </row>
    <row r="235" ht="15" customHeight="1" s="8286">
      <c r="A235" s="642" t="n"/>
      <c r="B235" s="9718" t="n"/>
      <c r="C235" s="9822" t="inlineStr">
        <is>
          <t xml:space="preserve">Ingreso </t>
        </is>
      </c>
      <c r="D235" s="9631" t="inlineStr">
        <is>
          <t>MRS Control</t>
        </is>
      </c>
      <c r="E235" s="9632" t="n"/>
      <c r="F235" s="622" t="n"/>
      <c r="G235" s="622" t="n"/>
      <c r="H235" s="622" t="n"/>
      <c r="I235" s="622" t="n"/>
      <c r="J235" s="622" t="n"/>
      <c r="K235" s="622" t="n"/>
      <c r="L235" s="622" t="n"/>
      <c r="M235" s="622" t="n"/>
      <c r="N235" s="622" t="n"/>
      <c r="O235" s="622" t="n"/>
      <c r="P235" s="622" t="n"/>
      <c r="Q235" s="622" t="n"/>
      <c r="R235" s="622" t="n"/>
      <c r="S235" s="622" t="n"/>
      <c r="T235" s="622" t="n"/>
      <c r="U235" s="622" t="n"/>
      <c r="V235" s="622" t="n"/>
      <c r="W235" s="622" t="n"/>
      <c r="X235" s="622" t="n"/>
      <c r="Y235" s="622" t="n"/>
      <c r="Z235" s="622" t="n"/>
      <c r="AA235" s="622" t="n"/>
      <c r="AB235" s="939" t="n"/>
      <c r="AC235" s="939" t="n"/>
      <c r="AD235" s="939" t="n"/>
      <c r="AE235" s="939" t="n"/>
      <c r="AF235" s="939" t="n"/>
      <c r="AG235" s="939" t="n"/>
      <c r="AH235" s="939" t="n"/>
      <c r="AI235" s="939" t="n"/>
      <c r="AJ235" s="939" t="n"/>
      <c r="AK235" s="939" t="n"/>
      <c r="AL235" s="940" t="n"/>
      <c r="AM235" s="940" t="n"/>
      <c r="AN235" s="940" t="n"/>
      <c r="AO235" s="940" t="n"/>
      <c r="AP235" s="940" t="n"/>
      <c r="AQ235" s="940" t="n"/>
      <c r="AR235" s="940" t="n"/>
      <c r="AS235" s="940" t="n"/>
      <c r="AT235" s="940" t="n"/>
      <c r="AU235" s="940" t="n"/>
      <c r="AV235" s="940" t="n"/>
      <c r="AW235" s="940" t="n"/>
      <c r="AX235" s="940" t="n"/>
      <c r="AY235" s="940" t="n"/>
      <c r="AZ235" s="239" t="n"/>
      <c r="BA235" s="239" t="n"/>
      <c r="BB235" s="239" t="n"/>
      <c r="BC235" s="239" t="n"/>
      <c r="BD235" s="239" t="n"/>
      <c r="BE235" s="239" t="n"/>
      <c r="BF235" s="239" t="n"/>
      <c r="BG235" s="239" t="n"/>
      <c r="BH235" s="239" t="n"/>
      <c r="BI235" s="239" t="n"/>
      <c r="BJ235" s="239" t="n"/>
      <c r="BK235" s="239" t="n"/>
      <c r="BL235" s="239" t="n"/>
      <c r="BM235" s="239" t="n"/>
      <c r="BN235" s="239" t="n"/>
      <c r="BO235" s="239" t="n"/>
      <c r="BP235" s="239" t="n"/>
      <c r="BQ235" s="239" t="n"/>
      <c r="BR235" s="239" t="n"/>
      <c r="BS235" s="239" t="n"/>
      <c r="BT235" s="239" t="n"/>
      <c r="BU235" s="239" t="n"/>
      <c r="BV235" s="239" t="n"/>
      <c r="BW235" s="239" t="n"/>
      <c r="BX235" s="239" t="n"/>
      <c r="BY235" s="239" t="n"/>
      <c r="BZ235" s="239" t="n"/>
      <c r="CA235" s="239" t="n"/>
      <c r="CB235" s="239" t="n"/>
      <c r="CC235" s="239" t="n"/>
      <c r="CD235" s="239" t="n"/>
    </row>
    <row r="236" ht="15" customHeight="1" s="8286">
      <c r="A236" s="9638" t="n"/>
      <c r="B236" s="9639" t="n"/>
      <c r="C236" s="9698" t="n"/>
      <c r="D236" s="1886" t="inlineStr">
        <is>
          <t>Control sin THM</t>
        </is>
      </c>
      <c r="E236" s="1802" t="inlineStr">
        <is>
          <t>Control con THM</t>
        </is>
      </c>
      <c r="F236" s="622" t="n"/>
      <c r="G236" s="622" t="n"/>
      <c r="H236" s="622" t="n"/>
      <c r="I236" s="622" t="n"/>
      <c r="J236" s="622" t="n"/>
      <c r="K236" s="622" t="n"/>
      <c r="L236" s="622" t="n"/>
      <c r="M236" s="622" t="n"/>
      <c r="N236" s="622" t="n"/>
      <c r="O236" s="622" t="n"/>
      <c r="P236" s="622" t="n"/>
      <c r="Q236" s="622" t="n"/>
      <c r="R236" s="622" t="n"/>
      <c r="S236" s="622" t="n"/>
      <c r="T236" s="622" t="n"/>
      <c r="U236" s="622" t="n"/>
      <c r="V236" s="622" t="n"/>
      <c r="W236" s="622" t="n"/>
      <c r="X236" s="622" t="n"/>
      <c r="Y236" s="622" t="n"/>
      <c r="Z236" s="622" t="n"/>
      <c r="AA236" s="622" t="n"/>
      <c r="AB236" s="939" t="n"/>
      <c r="AC236" s="939" t="n"/>
      <c r="AD236" s="939" t="n"/>
      <c r="AE236" s="939" t="n"/>
      <c r="AF236" s="939" t="n"/>
      <c r="AG236" s="939" t="n"/>
      <c r="AH236" s="939" t="n"/>
      <c r="AI236" s="939" t="n"/>
      <c r="AJ236" s="939" t="n"/>
      <c r="AK236" s="939" t="n"/>
      <c r="AL236" s="940" t="n"/>
      <c r="AM236" s="940" t="n"/>
      <c r="AN236" s="622" t="n"/>
      <c r="AO236" s="622" t="n"/>
      <c r="AP236" s="622" t="n"/>
      <c r="AQ236" s="622" t="n"/>
      <c r="AR236" s="622" t="n"/>
      <c r="AS236" s="622" t="n"/>
      <c r="AT236" s="622" t="n"/>
      <c r="AU236" s="622" t="n"/>
      <c r="AV236" s="622" t="n"/>
      <c r="AW236" s="622" t="n"/>
      <c r="AX236" s="622" t="n"/>
      <c r="AY236" s="622" t="n"/>
    </row>
    <row r="237" ht="15" customHeight="1" s="8286">
      <c r="A237" s="9823" t="inlineStr">
        <is>
          <t>Total aplicaciones</t>
        </is>
      </c>
      <c r="B237" s="9643" t="n"/>
      <c r="C237" s="1887" t="n">
        <v>3</v>
      </c>
      <c r="D237" s="1808" t="n">
        <v>0</v>
      </c>
      <c r="E237" s="1810" t="n">
        <v>3</v>
      </c>
      <c r="F237" s="622" t="n"/>
      <c r="G237" s="622" t="n"/>
      <c r="H237" s="622" t="n"/>
      <c r="I237" s="622" t="n"/>
      <c r="J237" s="622" t="n"/>
      <c r="K237" s="622" t="n"/>
      <c r="L237" s="622" t="n"/>
      <c r="M237" s="622" t="n"/>
      <c r="N237" s="622" t="n"/>
      <c r="O237" s="622" t="n"/>
      <c r="P237" s="622" t="n"/>
      <c r="Q237" s="622" t="n"/>
      <c r="R237" s="622" t="n"/>
      <c r="S237" s="622" t="n"/>
      <c r="T237" s="622" t="n"/>
      <c r="U237" s="622" t="n"/>
      <c r="V237" s="622" t="n"/>
      <c r="W237" s="622" t="n"/>
      <c r="X237" s="622" t="n"/>
      <c r="Y237" s="622" t="n"/>
      <c r="Z237" s="622" t="n"/>
      <c r="AA237" s="622" t="n"/>
      <c r="AB237" s="939" t="n"/>
      <c r="AC237" s="939" t="n"/>
      <c r="AD237" s="939" t="n"/>
      <c r="AE237" s="939" t="n"/>
      <c r="AF237" s="939" t="n"/>
      <c r="AG237" s="939" t="n"/>
      <c r="AH237" s="939" t="n"/>
      <c r="AI237" s="939" t="n"/>
      <c r="AJ237" s="939" t="n"/>
      <c r="AK237" s="939" t="n"/>
      <c r="AL237" s="940" t="n"/>
      <c r="AM237" s="940" t="n"/>
      <c r="AN237" s="622" t="n"/>
      <c r="AO237" s="622" t="n"/>
      <c r="AP237" s="622" t="n"/>
      <c r="AQ237" s="622" t="n"/>
      <c r="AR237" s="622" t="n"/>
      <c r="AS237" s="622" t="n"/>
      <c r="AT237" s="622" t="n"/>
      <c r="AU237" s="622" t="n"/>
      <c r="AV237" s="622" t="n"/>
      <c r="AW237" s="622" t="n"/>
      <c r="AX237" s="622" t="n"/>
      <c r="AY237" s="622" t="n"/>
    </row>
    <row r="238" ht="15" customHeight="1" s="8286">
      <c r="A238" s="9824" t="inlineStr">
        <is>
          <t xml:space="preserve">Total MRS alto </t>
        </is>
      </c>
      <c r="B238" s="9644" t="n"/>
      <c r="C238" s="1888" t="n">
        <v>3</v>
      </c>
      <c r="D238" s="1889" t="n">
        <v>0</v>
      </c>
      <c r="E238" s="1890" t="n">
        <v>0</v>
      </c>
      <c r="F238" s="622" t="n"/>
      <c r="G238" s="622" t="n"/>
      <c r="H238" s="622" t="n"/>
      <c r="I238" s="622" t="n"/>
      <c r="J238" s="622" t="n"/>
      <c r="K238" s="622" t="n"/>
      <c r="L238" s="622" t="n"/>
      <c r="M238" s="622" t="n"/>
      <c r="N238" s="622" t="n"/>
      <c r="O238" s="622" t="n"/>
      <c r="P238" s="622" t="n"/>
      <c r="Q238" s="622" t="n"/>
      <c r="R238" s="622" t="n"/>
      <c r="S238" s="622" t="n"/>
      <c r="T238" s="622" t="n"/>
      <c r="U238" s="622" t="n"/>
      <c r="V238" s="622" t="n"/>
      <c r="W238" s="622" t="n"/>
      <c r="X238" s="622" t="n"/>
      <c r="Y238" s="622" t="n"/>
      <c r="Z238" s="622" t="n"/>
      <c r="AA238" s="622" t="n"/>
      <c r="AB238" s="939" t="n"/>
      <c r="AC238" s="939" t="n"/>
      <c r="AD238" s="939" t="n"/>
      <c r="AE238" s="939" t="n"/>
      <c r="AF238" s="939" t="n"/>
      <c r="AG238" s="939" t="n"/>
      <c r="AH238" s="939" t="n"/>
      <c r="AI238" s="939" t="n"/>
      <c r="AJ238" s="939" t="n"/>
      <c r="AK238" s="939" t="n"/>
      <c r="AL238" s="940" t="n"/>
      <c r="AM238" s="940" t="n"/>
      <c r="AN238" s="622" t="n"/>
      <c r="AO238" s="622" t="n"/>
      <c r="AP238" s="622" t="n"/>
      <c r="AQ238" s="622" t="n"/>
      <c r="AR238" s="622" t="n"/>
      <c r="AS238" s="622" t="n"/>
      <c r="AT238" s="622" t="n"/>
      <c r="AU238" s="622" t="n"/>
      <c r="AV238" s="622" t="n"/>
      <c r="AW238" s="622" t="n"/>
      <c r="AX238" s="622" t="n"/>
      <c r="AY238" s="622" t="n"/>
    </row>
    <row r="239" ht="18" customHeight="1" s="8286">
      <c r="A239" s="9824" t="inlineStr">
        <is>
          <t xml:space="preserve">Afectación predominio somático </t>
        </is>
      </c>
      <c r="B239" s="9644" t="n"/>
      <c r="C239" s="1889" t="n">
        <v>2</v>
      </c>
      <c r="D239" s="1889" t="n">
        <v>0</v>
      </c>
      <c r="E239" s="1890" t="n">
        <v>0</v>
      </c>
      <c r="F239" s="622" t="n"/>
      <c r="G239" s="622" t="n"/>
      <c r="H239" s="622" t="n"/>
      <c r="I239" s="622" t="n"/>
      <c r="J239" s="622" t="n"/>
      <c r="K239" s="622" t="n"/>
      <c r="L239" s="622" t="n"/>
      <c r="M239" s="622" t="n"/>
      <c r="N239" s="622" t="n"/>
      <c r="O239" s="622" t="n"/>
      <c r="P239" s="622" t="n"/>
      <c r="Q239" s="622" t="n"/>
      <c r="R239" s="622" t="n"/>
      <c r="S239" s="622" t="n"/>
      <c r="T239" s="622" t="n"/>
      <c r="U239" s="622" t="n"/>
      <c r="V239" s="622" t="n"/>
      <c r="W239" s="622" t="n"/>
      <c r="X239" s="622" t="n"/>
      <c r="Y239" s="622" t="n"/>
      <c r="Z239" s="622" t="n"/>
      <c r="AA239" s="622" t="n"/>
      <c r="AB239" s="622" t="n"/>
      <c r="AC239" s="622" t="n"/>
      <c r="AD239" s="622" t="n"/>
      <c r="AE239" s="622" t="n"/>
      <c r="AF239" s="622" t="n"/>
      <c r="AG239" s="622" t="n"/>
      <c r="AH239" s="622" t="n"/>
      <c r="AI239" s="622" t="n"/>
      <c r="AJ239" s="622" t="n"/>
      <c r="AK239" s="622" t="n"/>
      <c r="AL239" s="622" t="n"/>
      <c r="AM239" s="622" t="n"/>
      <c r="AN239" s="622" t="n"/>
      <c r="AO239" s="622" t="n"/>
      <c r="AP239" s="622" t="n"/>
      <c r="AQ239" s="622" t="n"/>
      <c r="AR239" s="622" t="n"/>
      <c r="AS239" s="622" t="n"/>
      <c r="AT239" s="622" t="n"/>
      <c r="AU239" s="622" t="n"/>
      <c r="AV239" s="622" t="n"/>
      <c r="AW239" s="622" t="n"/>
      <c r="AX239" s="622" t="n"/>
      <c r="AY239" s="622" t="n"/>
    </row>
    <row r="240" ht="15" customHeight="1" s="8286">
      <c r="A240" s="9824" t="inlineStr">
        <is>
          <t xml:space="preserve">Afectación predominio psicológico </t>
        </is>
      </c>
      <c r="B240" s="9644" t="n"/>
      <c r="C240" s="1889" t="n">
        <v>3</v>
      </c>
      <c r="D240" s="1889" t="n">
        <v>0</v>
      </c>
      <c r="E240" s="1890" t="n">
        <v>0</v>
      </c>
      <c r="F240" s="622" t="n"/>
      <c r="G240" s="622" t="n"/>
      <c r="H240" s="622" t="n"/>
      <c r="I240" s="622" t="n"/>
      <c r="J240" s="622" t="n"/>
      <c r="K240" s="622" t="n"/>
      <c r="L240" s="622" t="n"/>
      <c r="M240" s="622" t="n"/>
      <c r="N240" s="622" t="n"/>
      <c r="O240" s="622" t="n"/>
      <c r="P240" s="622" t="n"/>
      <c r="Q240" s="622" t="n"/>
      <c r="R240" s="622" t="n"/>
      <c r="S240" s="622" t="n"/>
      <c r="T240" s="622" t="n"/>
      <c r="U240" s="622" t="n"/>
      <c r="V240" s="622" t="n"/>
      <c r="W240" s="622" t="n"/>
      <c r="X240" s="622" t="n"/>
      <c r="Y240" s="622" t="n"/>
      <c r="Z240" s="622" t="n"/>
      <c r="AA240" s="622" t="n"/>
      <c r="AB240" s="622" t="n"/>
      <c r="AC240" s="622" t="n"/>
      <c r="AD240" s="622" t="n"/>
      <c r="AE240" s="622" t="n"/>
      <c r="AF240" s="622" t="n"/>
      <c r="AG240" s="622" t="n"/>
      <c r="AH240" s="622" t="n"/>
      <c r="AI240" s="622" t="n"/>
      <c r="AJ240" s="622" t="n"/>
      <c r="AK240" s="622" t="n"/>
      <c r="AL240" s="622" t="n"/>
      <c r="AM240" s="622" t="n"/>
      <c r="AN240" s="622" t="n"/>
      <c r="AO240" s="622" t="n"/>
      <c r="AP240" s="622" t="n"/>
      <c r="AQ240" s="622" t="n"/>
      <c r="AR240" s="622" t="n"/>
      <c r="AS240" s="622" t="n"/>
      <c r="AT240" s="622" t="n"/>
      <c r="AU240" s="622" t="n"/>
      <c r="AV240" s="622" t="n"/>
      <c r="AW240" s="622" t="n"/>
      <c r="AX240" s="622" t="n"/>
      <c r="AY240" s="622" t="n"/>
    </row>
    <row r="241" ht="15" customHeight="1" s="8286">
      <c r="A241" s="9825" t="inlineStr">
        <is>
          <t xml:space="preserve">Afectación predominio urogenital </t>
        </is>
      </c>
      <c r="B241" s="9720" t="n"/>
      <c r="C241" s="1891" t="n">
        <v>3</v>
      </c>
      <c r="D241" s="1892" t="n">
        <v>0</v>
      </c>
      <c r="E241" s="1853" t="n">
        <v>1</v>
      </c>
      <c r="F241" s="622" t="n"/>
      <c r="G241" s="622" t="n"/>
      <c r="H241" s="622" t="n"/>
      <c r="I241" s="622" t="n"/>
      <c r="J241" s="622" t="n"/>
      <c r="K241" s="622" t="n"/>
      <c r="L241" s="622" t="n"/>
      <c r="M241" s="622" t="n"/>
      <c r="N241" s="622" t="n"/>
      <c r="O241" s="622" t="n"/>
      <c r="P241" s="622" t="n"/>
      <c r="Q241" s="622" t="n"/>
      <c r="R241" s="622" t="n"/>
      <c r="S241" s="622" t="n"/>
      <c r="T241" s="622" t="n"/>
      <c r="U241" s="622" t="n"/>
      <c r="V241" s="622" t="n"/>
      <c r="W241" s="622" t="n"/>
      <c r="X241" s="622" t="n"/>
      <c r="Y241" s="622" t="n"/>
      <c r="Z241" s="622" t="n"/>
      <c r="AA241" s="622" t="n"/>
      <c r="AB241" s="622" t="n"/>
      <c r="AC241" s="622" t="n"/>
      <c r="AD241" s="622" t="n"/>
      <c r="AE241" s="622" t="n"/>
      <c r="AF241" s="622" t="n"/>
      <c r="AG241" s="622" t="n"/>
      <c r="AH241" s="622" t="n"/>
      <c r="AI241" s="622" t="n"/>
      <c r="AJ241" s="622" t="n"/>
      <c r="AK241" s="622" t="n"/>
      <c r="AL241" s="622" t="n"/>
      <c r="AM241" s="622" t="n"/>
      <c r="AN241" s="622" t="n"/>
      <c r="AO241" s="622" t="n"/>
      <c r="AP241" s="622" t="n"/>
      <c r="AQ241" s="622" t="n"/>
      <c r="AR241" s="622" t="n"/>
      <c r="AS241" s="622" t="n"/>
      <c r="AT241" s="622" t="n"/>
      <c r="AU241" s="622" t="n"/>
      <c r="AV241" s="622" t="n"/>
      <c r="AW241" s="622" t="n"/>
      <c r="AX241" s="622" t="n"/>
      <c r="AY241" s="622" t="n"/>
    </row>
    <row r="242" ht="18" customHeight="1" s="8286">
      <c r="A242" s="7284" t="inlineStr">
        <is>
          <t>SECCIÓN H: APLICACIÓN DE TAMIZAJE PARA EVALUAR RIESGO DE TRASTORNOS O PROBLEMAS DE SALUD MENTAL EN APS</t>
        </is>
      </c>
      <c r="N242" s="1019" t="n"/>
      <c r="O242" s="1019" t="n"/>
      <c r="P242" s="1019" t="n"/>
      <c r="Q242" s="1019" t="n"/>
      <c r="R242" s="1019" t="n"/>
      <c r="S242" s="1019" t="n"/>
      <c r="T242" s="1019" t="n"/>
      <c r="U242" s="1019" t="n"/>
      <c r="V242" s="1019" t="n"/>
      <c r="W242" s="1019" t="n"/>
      <c r="X242" s="1019" t="n"/>
      <c r="Y242" s="1019" t="n"/>
      <c r="Z242" s="622" t="n"/>
      <c r="AA242" s="622" t="n"/>
      <c r="AB242" s="622" t="n"/>
      <c r="AC242" s="622" t="n"/>
      <c r="AD242" s="622" t="n"/>
      <c r="AE242" s="622" t="n"/>
      <c r="AF242" s="622" t="n"/>
      <c r="AG242" s="622" t="n"/>
      <c r="AH242" s="622" t="n"/>
      <c r="AI242" s="622" t="n"/>
      <c r="AJ242" s="622" t="n"/>
      <c r="AK242" s="622" t="n"/>
      <c r="AL242" s="622" t="n"/>
      <c r="AM242" s="622" t="n"/>
      <c r="AN242" s="622" t="n"/>
      <c r="AO242" s="622" t="n"/>
      <c r="AP242" s="622" t="n"/>
      <c r="AQ242" s="622" t="n"/>
      <c r="AR242" s="622" t="n"/>
      <c r="AS242" s="622" t="n"/>
      <c r="AT242" s="622" t="n"/>
      <c r="AU242" s="622" t="n"/>
      <c r="AV242" s="622" t="n"/>
      <c r="AW242" s="622" t="n"/>
      <c r="AX242" s="622" t="n"/>
      <c r="AY242" s="622" t="n"/>
    </row>
    <row r="243" ht="15" customHeight="1" s="8286">
      <c r="A243" s="9826" t="inlineStr">
        <is>
          <t>COMPONENTE</t>
        </is>
      </c>
      <c r="B243" s="9827" t="n"/>
      <c r="C243" s="9828" t="inlineStr">
        <is>
          <t xml:space="preserve">TOTAL              </t>
        </is>
      </c>
      <c r="D243" s="9724" t="n"/>
      <c r="E243" s="9827" t="n"/>
      <c r="F243" s="9829" t="inlineStr">
        <is>
          <t>RANGO ETARIO Y SEXO</t>
        </is>
      </c>
      <c r="G243" s="9830" t="n"/>
      <c r="H243" s="9830" t="n"/>
      <c r="I243" s="9830" t="n"/>
      <c r="J243" s="9830" t="n"/>
      <c r="K243" s="9830" t="n"/>
      <c r="L243" s="9830" t="n"/>
      <c r="M243" s="9830" t="n"/>
      <c r="N243" s="9830" t="n"/>
      <c r="O243" s="9830" t="n"/>
      <c r="P243" s="9830" t="n"/>
      <c r="Q243" s="9830" t="n"/>
      <c r="R243" s="9830" t="n"/>
      <c r="S243" s="9830" t="n"/>
      <c r="T243" s="9830" t="n"/>
      <c r="U243" s="9830" t="n"/>
      <c r="V243" s="9830" t="n"/>
      <c r="W243" s="9830" t="n"/>
      <c r="X243" s="9830" t="n"/>
      <c r="Y243" s="9830" t="n"/>
      <c r="Z243" s="9830" t="n"/>
      <c r="AA243" s="9831" t="n"/>
      <c r="AB243" s="622" t="n"/>
      <c r="AC243" s="622" t="n"/>
      <c r="AD243" s="622" t="n"/>
      <c r="AE243" s="622" t="n"/>
      <c r="AF243" s="622" t="n"/>
      <c r="AG243" s="622" t="n"/>
      <c r="AH243" s="622" t="n"/>
      <c r="AI243" s="622" t="n"/>
      <c r="AJ243" s="622" t="n"/>
      <c r="AK243" s="622" t="n"/>
      <c r="AL243" s="622" t="n"/>
      <c r="AM243" s="622" t="n"/>
      <c r="AN243" s="622" t="n"/>
      <c r="AO243" s="622" t="n"/>
      <c r="AP243" s="622" t="n"/>
      <c r="AQ243" s="622" t="n"/>
      <c r="AR243" s="622" t="n"/>
      <c r="AS243" s="622" t="n"/>
      <c r="AT243" s="622" t="n"/>
      <c r="AU243" s="622" t="n"/>
      <c r="AV243" s="622" t="n"/>
      <c r="AW243" s="622" t="n"/>
      <c r="AX243" s="622" t="n"/>
      <c r="AY243" s="622" t="n"/>
    </row>
    <row r="244" ht="15" customHeight="1" s="8286">
      <c r="A244" s="9727" t="n"/>
      <c r="B244" s="9668" t="n"/>
      <c r="C244" s="9832" t="n"/>
      <c r="D244" s="9833" t="n"/>
      <c r="E244" s="9672" t="n"/>
      <c r="F244" s="9834" t="inlineStr">
        <is>
          <t>5 - 9 años</t>
        </is>
      </c>
      <c r="G244" s="9672" t="n"/>
      <c r="H244" s="9834" t="inlineStr">
        <is>
          <t>10 - 14 años</t>
        </is>
      </c>
      <c r="I244" s="9672" t="n"/>
      <c r="J244" s="9834" t="inlineStr">
        <is>
          <t>15 - 19 años</t>
        </is>
      </c>
      <c r="K244" s="9672" t="n"/>
      <c r="L244" s="9834" t="inlineStr">
        <is>
          <t>20 - 24 años</t>
        </is>
      </c>
      <c r="M244" s="9672" t="n"/>
      <c r="N244" s="9834" t="inlineStr">
        <is>
          <t>25 - 29 años</t>
        </is>
      </c>
      <c r="O244" s="9672" t="n"/>
      <c r="P244" s="9834" t="inlineStr">
        <is>
          <t>30 - 44 años</t>
        </is>
      </c>
      <c r="Q244" s="9672" t="n"/>
      <c r="R244" s="9834" t="inlineStr">
        <is>
          <t>45 - 59 años</t>
        </is>
      </c>
      <c r="S244" s="9672" t="n"/>
      <c r="T244" s="9834" t="inlineStr">
        <is>
          <t>60 - 64 años</t>
        </is>
      </c>
      <c r="U244" s="9672" t="n"/>
      <c r="V244" s="9834" t="inlineStr">
        <is>
          <t>65 - 69 años</t>
        </is>
      </c>
      <c r="W244" s="9672" t="n"/>
      <c r="X244" s="9834" t="inlineStr">
        <is>
          <t>70 - 79 años</t>
        </is>
      </c>
      <c r="Y244" s="9672" t="n"/>
      <c r="Z244" s="9834" t="inlineStr">
        <is>
          <t>80 y más años</t>
        </is>
      </c>
      <c r="AA244" s="9672" t="n"/>
      <c r="AB244" s="622" t="n"/>
      <c r="AC244" s="622" t="n"/>
      <c r="AD244" s="622" t="n"/>
      <c r="AE244" s="622" t="n"/>
      <c r="AF244" s="622" t="n"/>
      <c r="AG244" s="622" t="n"/>
      <c r="AH244" s="622" t="n"/>
      <c r="AI244" s="622" t="n"/>
      <c r="AJ244" s="622" t="n"/>
      <c r="AK244" s="622" t="n"/>
      <c r="AL244" s="622" t="n"/>
      <c r="AM244" s="622" t="n"/>
      <c r="AN244" s="622" t="n"/>
      <c r="AO244" s="622" t="n"/>
      <c r="AP244" s="622" t="n"/>
      <c r="AQ244" s="622" t="n"/>
      <c r="AR244" s="622" t="n"/>
      <c r="AS244" s="622" t="n"/>
      <c r="AT244" s="622" t="n"/>
      <c r="AU244" s="622" t="n"/>
      <c r="AV244" s="622" t="n"/>
      <c r="AW244" s="622" t="n"/>
      <c r="AX244" s="622" t="n"/>
      <c r="AY244" s="622" t="n"/>
    </row>
    <row r="245" ht="15" customHeight="1" s="8286">
      <c r="A245" s="9832" t="n"/>
      <c r="B245" s="9672" t="n"/>
      <c r="C245" s="1020" t="inlineStr">
        <is>
          <t>Ambos Sexos</t>
        </is>
      </c>
      <c r="D245" s="1021" t="inlineStr">
        <is>
          <t>Hombres</t>
        </is>
      </c>
      <c r="E245" s="1022" t="inlineStr">
        <is>
          <t>Mujeres</t>
        </is>
      </c>
      <c r="F245" s="1023" t="inlineStr">
        <is>
          <t>Hombres</t>
        </is>
      </c>
      <c r="G245" s="1024" t="inlineStr">
        <is>
          <t>Mujeres</t>
        </is>
      </c>
      <c r="H245" s="1023" t="inlineStr">
        <is>
          <t>Hombres</t>
        </is>
      </c>
      <c r="I245" s="1025" t="inlineStr">
        <is>
          <t>Mujeres</t>
        </is>
      </c>
      <c r="J245" s="1023" t="inlineStr">
        <is>
          <t>Hombres</t>
        </is>
      </c>
      <c r="K245" s="1025" t="inlineStr">
        <is>
          <t>Mujeres</t>
        </is>
      </c>
      <c r="L245" s="1023" t="inlineStr">
        <is>
          <t>Hombres</t>
        </is>
      </c>
      <c r="M245" s="1025" t="inlineStr">
        <is>
          <t>Mujeres</t>
        </is>
      </c>
      <c r="N245" s="1023" t="inlineStr">
        <is>
          <t>Hombres</t>
        </is>
      </c>
      <c r="O245" s="1025" t="inlineStr">
        <is>
          <t>Mujeres</t>
        </is>
      </c>
      <c r="P245" s="1023" t="inlineStr">
        <is>
          <t>Hombres</t>
        </is>
      </c>
      <c r="Q245" s="1025" t="inlineStr">
        <is>
          <t>Mujeres</t>
        </is>
      </c>
      <c r="R245" s="1023" t="inlineStr">
        <is>
          <t>Hombres</t>
        </is>
      </c>
      <c r="S245" s="1025" t="inlineStr">
        <is>
          <t>Mujeres</t>
        </is>
      </c>
      <c r="T245" s="1023" t="inlineStr">
        <is>
          <t>Hombres</t>
        </is>
      </c>
      <c r="U245" s="1025" t="inlineStr">
        <is>
          <t>Mujeres</t>
        </is>
      </c>
      <c r="V245" s="1023" t="inlineStr">
        <is>
          <t>Hombres</t>
        </is>
      </c>
      <c r="W245" s="1025" t="inlineStr">
        <is>
          <t>Mujeres</t>
        </is>
      </c>
      <c r="X245" s="1023" t="inlineStr">
        <is>
          <t>Hombres</t>
        </is>
      </c>
      <c r="Y245" s="1025" t="inlineStr">
        <is>
          <t>Mujeres</t>
        </is>
      </c>
      <c r="Z245" s="1023" t="inlineStr">
        <is>
          <t>Hombres</t>
        </is>
      </c>
      <c r="AA245" s="1025" t="inlineStr">
        <is>
          <t>Mujeres</t>
        </is>
      </c>
      <c r="AB245" s="622" t="n"/>
      <c r="AC245" s="622" t="n"/>
      <c r="AD245" s="622" t="n"/>
      <c r="AE245" s="622" t="n"/>
      <c r="AF245" s="622" t="n"/>
      <c r="AG245" s="622" t="n"/>
      <c r="AH245" s="622" t="n"/>
      <c r="AI245" s="622" t="n"/>
      <c r="AJ245" s="622" t="n"/>
      <c r="AK245" s="622" t="n"/>
      <c r="AL245" s="622" t="n"/>
      <c r="AM245" s="622" t="n"/>
      <c r="AN245" s="622" t="n"/>
      <c r="AO245" s="622" t="n"/>
      <c r="AP245" s="622" t="n"/>
      <c r="AQ245" s="622" t="n"/>
      <c r="AR245" s="622" t="n"/>
      <c r="AS245" s="622" t="n"/>
      <c r="AT245" s="622" t="n"/>
      <c r="AU245" s="622" t="n"/>
      <c r="AV245" s="622" t="n"/>
      <c r="AW245" s="622" t="n"/>
      <c r="AX245" s="622" t="n"/>
      <c r="AY245" s="622" t="n"/>
    </row>
    <row r="246" ht="15" customHeight="1" s="8286">
      <c r="A246" s="9835" t="inlineStr">
        <is>
          <t>Nº de cuestionario PSC-17</t>
        </is>
      </c>
      <c r="B246" s="9836" t="n"/>
      <c r="C246" s="1026">
        <f>SUM(D246+E246)</f>
        <v/>
      </c>
      <c r="D246" s="1027">
        <f>+F246</f>
        <v/>
      </c>
      <c r="E246" s="1028">
        <f>+G246</f>
        <v/>
      </c>
      <c r="F246" s="1029" t="n"/>
      <c r="G246" s="1030" t="n"/>
      <c r="H246" s="1031" t="n"/>
      <c r="I246" s="1032" t="n"/>
      <c r="J246" s="1031" t="n"/>
      <c r="K246" s="1032" t="n"/>
      <c r="L246" s="1031" t="n"/>
      <c r="M246" s="1032" t="n"/>
      <c r="N246" s="1031" t="n"/>
      <c r="O246" s="1032" t="n"/>
      <c r="P246" s="1031" t="n"/>
      <c r="Q246" s="1032" t="n"/>
      <c r="R246" s="1031" t="n"/>
      <c r="S246" s="1032" t="n"/>
      <c r="T246" s="1031" t="n"/>
      <c r="U246" s="1032" t="n"/>
      <c r="V246" s="1031" t="n"/>
      <c r="W246" s="1032" t="n"/>
      <c r="X246" s="1031" t="n"/>
      <c r="Y246" s="1032" t="n"/>
      <c r="Z246" s="1031" t="n"/>
      <c r="AA246" s="1032" t="n"/>
      <c r="AB246" s="622" t="n"/>
      <c r="AC246" s="622" t="n"/>
      <c r="AD246" s="622" t="n"/>
      <c r="AE246" s="622" t="n"/>
      <c r="AF246" s="622" t="n"/>
      <c r="AG246" s="622" t="n"/>
      <c r="AH246" s="622" t="n"/>
      <c r="AI246" s="622" t="n"/>
      <c r="AJ246" s="622" t="n"/>
      <c r="AK246" s="622" t="n"/>
      <c r="AL246" s="622" t="n"/>
      <c r="AM246" s="622" t="n"/>
      <c r="AN246" s="622" t="n"/>
      <c r="AO246" s="622" t="n"/>
      <c r="AP246" s="622" t="n"/>
      <c r="AQ246" s="622" t="n"/>
      <c r="AR246" s="622" t="n"/>
      <c r="AS246" s="622" t="n"/>
      <c r="AT246" s="622" t="n"/>
      <c r="AU246" s="622" t="n"/>
      <c r="AV246" s="622" t="n"/>
      <c r="AW246" s="622" t="n"/>
      <c r="AX246" s="622" t="n"/>
      <c r="AY246" s="622" t="n"/>
    </row>
    <row r="247" ht="15" customHeight="1" s="8286">
      <c r="A247" s="9837" t="inlineStr">
        <is>
          <t>Nº de cuestionario PSC-y-17</t>
        </is>
      </c>
      <c r="B247" s="9838" t="n"/>
      <c r="C247" s="1033">
        <f>SUM(D247+E247)</f>
        <v/>
      </c>
      <c r="D247" s="1034">
        <f>+H247</f>
        <v/>
      </c>
      <c r="E247" s="1035">
        <f>+I247</f>
        <v/>
      </c>
      <c r="F247" s="1036" t="n"/>
      <c r="G247" s="1037" t="n"/>
      <c r="H247" s="1038" t="n"/>
      <c r="I247" s="1039" t="n"/>
      <c r="J247" s="1040" t="n"/>
      <c r="K247" s="1037" t="n"/>
      <c r="L247" s="1040" t="n"/>
      <c r="M247" s="1037" t="n"/>
      <c r="N247" s="1040" t="n"/>
      <c r="O247" s="1037" t="n"/>
      <c r="P247" s="1040" t="n"/>
      <c r="Q247" s="1037" t="n"/>
      <c r="R247" s="1040" t="n"/>
      <c r="S247" s="1037" t="n"/>
      <c r="T247" s="1040" t="n"/>
      <c r="U247" s="1037" t="n"/>
      <c r="V247" s="1040" t="n"/>
      <c r="W247" s="1037" t="n"/>
      <c r="X247" s="1040" t="n"/>
      <c r="Y247" s="1037" t="n"/>
      <c r="Z247" s="1040" t="n"/>
      <c r="AA247" s="1037" t="n"/>
      <c r="AB247" s="622" t="n"/>
      <c r="AC247" s="622" t="n"/>
      <c r="AD247" s="622" t="n"/>
      <c r="AE247" s="622" t="n"/>
      <c r="AF247" s="622" t="n"/>
      <c r="AG247" s="622" t="n"/>
      <c r="AH247" s="622" t="n"/>
      <c r="AI247" s="622" t="n"/>
      <c r="AJ247" s="622" t="n"/>
      <c r="AK247" s="622" t="n"/>
      <c r="AL247" s="622" t="n"/>
      <c r="AM247" s="622" t="n"/>
      <c r="AN247" s="622" t="n"/>
      <c r="AO247" s="622" t="n"/>
      <c r="AP247" s="622" t="n"/>
      <c r="AQ247" s="622" t="n"/>
      <c r="AR247" s="622" t="n"/>
      <c r="AS247" s="622" t="n"/>
      <c r="AT247" s="622" t="n"/>
      <c r="AU247" s="622" t="n"/>
      <c r="AV247" s="622" t="n"/>
      <c r="AW247" s="622" t="n"/>
      <c r="AX247" s="622" t="n"/>
      <c r="AY247" s="622" t="n"/>
    </row>
    <row r="248" ht="18" customHeight="1" s="8286">
      <c r="A248" s="9837" t="inlineStr">
        <is>
          <t xml:space="preserve">N° de cuestionario PHQ-9 modificado para adolescentes </t>
        </is>
      </c>
      <c r="B248" s="9838" t="n"/>
      <c r="C248" s="1033">
        <f>SUM(D248+E248)</f>
        <v/>
      </c>
      <c r="D248" s="1034">
        <f>+J248</f>
        <v/>
      </c>
      <c r="E248" s="1035">
        <f>+K248</f>
        <v/>
      </c>
      <c r="F248" s="1036" t="n"/>
      <c r="G248" s="1037" t="n"/>
      <c r="H248" s="1040" t="n"/>
      <c r="I248" s="1037" t="n"/>
      <c r="J248" s="1038" t="n"/>
      <c r="K248" s="1039" t="n">
        <v>1</v>
      </c>
      <c r="L248" s="1040" t="n"/>
      <c r="M248" s="1037" t="n"/>
      <c r="N248" s="1040" t="n"/>
      <c r="O248" s="1037" t="n"/>
      <c r="P248" s="1040" t="n"/>
      <c r="Q248" s="1037" t="n"/>
      <c r="R248" s="1040" t="n"/>
      <c r="S248" s="1037" t="n"/>
      <c r="T248" s="1040" t="n"/>
      <c r="U248" s="1037" t="n"/>
      <c r="V248" s="1040" t="n"/>
      <c r="W248" s="1037" t="n"/>
      <c r="X248" s="1040" t="n"/>
      <c r="Y248" s="1037" t="n"/>
      <c r="Z248" s="1040" t="n"/>
      <c r="AA248" s="1037" t="n"/>
      <c r="AB248" s="622" t="n"/>
      <c r="AC248" s="622" t="n"/>
      <c r="AD248" s="622" t="n"/>
      <c r="AE248" s="622" t="n"/>
      <c r="AF248" s="622" t="n"/>
      <c r="AG248" s="622" t="n"/>
      <c r="AH248" s="622" t="n"/>
      <c r="AI248" s="622" t="n"/>
      <c r="AJ248" s="622" t="n"/>
      <c r="AK248" s="622" t="n"/>
      <c r="AL248" s="622" t="n"/>
      <c r="AM248" s="622" t="n"/>
      <c r="AN248" s="622" t="n"/>
      <c r="AO248" s="622" t="n"/>
      <c r="AP248" s="622" t="n"/>
      <c r="AQ248" s="622" t="n"/>
      <c r="AR248" s="622" t="n"/>
      <c r="AS248" s="622" t="n"/>
      <c r="AT248" s="622" t="n"/>
      <c r="AU248" s="622" t="n"/>
      <c r="AV248" s="622" t="n"/>
      <c r="AW248" s="622" t="n"/>
      <c r="AX248" s="622" t="n"/>
      <c r="AY248" s="622" t="n"/>
    </row>
    <row r="249" ht="15" customHeight="1" s="8286">
      <c r="A249" s="9837" t="inlineStr">
        <is>
          <t xml:space="preserve">N° de cuestionario PHQ-9 para adultos </t>
        </is>
      </c>
      <c r="B249" s="9838" t="n"/>
      <c r="C249" s="1033">
        <f>SUM(D249+E249)</f>
        <v/>
      </c>
      <c r="D249" s="1034">
        <f>(L249+N249+P249+R249+T249)</f>
        <v/>
      </c>
      <c r="E249" s="1035">
        <f>(M249+O249+Q249+S249+U249)</f>
        <v/>
      </c>
      <c r="F249" s="1036" t="n"/>
      <c r="G249" s="1037" t="n"/>
      <c r="H249" s="1040" t="n"/>
      <c r="I249" s="1037" t="n"/>
      <c r="J249" s="1040" t="n"/>
      <c r="K249" s="1037" t="n"/>
      <c r="L249" s="1038" t="n"/>
      <c r="M249" s="1039" t="n">
        <v>2</v>
      </c>
      <c r="N249" s="1038" t="n"/>
      <c r="O249" s="1039" t="n"/>
      <c r="P249" s="1038" t="n"/>
      <c r="Q249" s="1039" t="n">
        <v>4</v>
      </c>
      <c r="R249" s="1038" t="n"/>
      <c r="S249" s="1039" t="n">
        <v>2</v>
      </c>
      <c r="T249" s="1038" t="n">
        <v>1</v>
      </c>
      <c r="U249" s="1039" t="n">
        <v>2</v>
      </c>
      <c r="V249" s="1040" t="n"/>
      <c r="W249" s="1037" t="n"/>
      <c r="X249" s="1040" t="n"/>
      <c r="Y249" s="1037" t="n"/>
      <c r="Z249" s="1040" t="n"/>
      <c r="AA249" s="1037" t="n"/>
      <c r="AB249" s="622" t="n"/>
      <c r="AC249" s="622" t="n"/>
      <c r="AD249" s="622" t="n"/>
      <c r="AE249" s="622" t="n"/>
      <c r="AF249" s="622" t="n"/>
      <c r="AG249" s="622" t="n"/>
      <c r="AH249" s="622" t="n"/>
      <c r="AI249" s="622" t="n"/>
      <c r="AJ249" s="622" t="n"/>
      <c r="AK249" s="622" t="n"/>
      <c r="AL249" s="622" t="n"/>
      <c r="AM249" s="622" t="n"/>
      <c r="AN249" s="622" t="n"/>
      <c r="AO249" s="622" t="n"/>
      <c r="AP249" s="622" t="n"/>
      <c r="AQ249" s="622" t="n"/>
      <c r="AR249" s="622" t="n"/>
      <c r="AS249" s="622" t="n"/>
      <c r="AT249" s="622" t="n"/>
      <c r="AU249" s="622" t="n"/>
      <c r="AV249" s="622" t="n"/>
      <c r="AW249" s="622" t="n"/>
      <c r="AX249" s="622" t="n"/>
      <c r="AY249" s="622" t="n"/>
    </row>
    <row r="250" ht="15" customHeight="1" s="8286">
      <c r="A250" s="9837" t="inlineStr">
        <is>
          <t>N° de escala CAPE-P15</t>
        </is>
      </c>
      <c r="B250" s="9838" t="n"/>
      <c r="C250" s="1033">
        <f>SUM(D250+E250)</f>
        <v/>
      </c>
      <c r="D250" s="1034">
        <f>+H250+J250+L250+N250</f>
        <v/>
      </c>
      <c r="E250" s="1035">
        <f>+I250+K250+M250+O250</f>
        <v/>
      </c>
      <c r="F250" s="1036" t="n"/>
      <c r="G250" s="1037" t="n"/>
      <c r="H250" s="1038" t="n"/>
      <c r="I250" s="1039" t="n"/>
      <c r="J250" s="1038" t="n"/>
      <c r="K250" s="1039" t="n"/>
      <c r="L250" s="1038" t="n"/>
      <c r="M250" s="1039" t="n"/>
      <c r="N250" s="1038" t="n"/>
      <c r="O250" s="1039" t="n"/>
      <c r="P250" s="1040" t="n"/>
      <c r="Q250" s="1037" t="n"/>
      <c r="R250" s="1040" t="n"/>
      <c r="S250" s="1037" t="n"/>
      <c r="T250" s="1040" t="n"/>
      <c r="U250" s="1037" t="n"/>
      <c r="V250" s="1040" t="n"/>
      <c r="W250" s="1037" t="n"/>
      <c r="X250" s="1040" t="n"/>
      <c r="Y250" s="1037" t="n"/>
      <c r="Z250" s="1040" t="n"/>
      <c r="AA250" s="1037" t="n"/>
      <c r="AB250" s="622" t="n"/>
      <c r="AC250" s="622" t="n"/>
      <c r="AD250" s="622" t="n"/>
      <c r="AE250" s="622" t="n"/>
      <c r="AF250" s="622" t="n"/>
      <c r="AG250" s="622" t="n"/>
      <c r="AH250" s="622" t="n"/>
      <c r="AI250" s="622" t="n"/>
      <c r="AJ250" s="622" t="n"/>
      <c r="AK250" s="622" t="n"/>
      <c r="AL250" s="622" t="n"/>
      <c r="AM250" s="622" t="n"/>
      <c r="AN250" s="622" t="n"/>
      <c r="AO250" s="622" t="n"/>
      <c r="AP250" s="622" t="n"/>
      <c r="AQ250" s="622" t="n"/>
      <c r="AR250" s="622" t="n"/>
      <c r="AS250" s="622" t="n"/>
      <c r="AT250" s="622" t="n"/>
      <c r="AU250" s="622" t="n"/>
      <c r="AV250" s="622" t="n"/>
      <c r="AW250" s="622" t="n"/>
      <c r="AX250" s="622" t="n"/>
      <c r="AY250" s="622" t="n"/>
    </row>
    <row r="251" ht="15" customHeight="1" s="8286">
      <c r="A251" s="9837" t="inlineStr">
        <is>
          <t xml:space="preserve">Escala de Columbia </t>
        </is>
      </c>
      <c r="B251" s="9838" t="n"/>
      <c r="C251" s="1033">
        <f>SUM(D251+E251)</f>
        <v/>
      </c>
      <c r="D251" s="1034">
        <f>+H251+J251+L251+N251+P251+R251+T251+V251+X251+Z251</f>
        <v/>
      </c>
      <c r="E251" s="1035">
        <f>+I251+K251+M251+O251+Q251+S251+U251+W251+Y251+AA251</f>
        <v/>
      </c>
      <c r="F251" s="1036" t="n"/>
      <c r="G251" s="1037" t="n"/>
      <c r="H251" s="1038" t="n"/>
      <c r="I251" s="1029" t="n">
        <v>3</v>
      </c>
      <c r="J251" s="1038" t="n">
        <v>2</v>
      </c>
      <c r="K251" s="1039" t="n">
        <v>4</v>
      </c>
      <c r="L251" s="1038" t="n"/>
      <c r="M251" s="1039" t="n"/>
      <c r="N251" s="1038" t="n"/>
      <c r="O251" s="1039" t="n"/>
      <c r="P251" s="1038" t="n"/>
      <c r="Q251" s="1039" t="n"/>
      <c r="R251" s="1038" t="n">
        <v>1</v>
      </c>
      <c r="S251" s="1039" t="n"/>
      <c r="T251" s="1038" t="n"/>
      <c r="U251" s="1039" t="n"/>
      <c r="V251" s="1038" t="n"/>
      <c r="W251" s="1039" t="n"/>
      <c r="X251" s="1038" t="n"/>
      <c r="Y251" s="1039" t="n"/>
      <c r="Z251" s="1038" t="n"/>
      <c r="AA251" s="1039" t="n"/>
      <c r="AB251" s="622" t="n"/>
      <c r="AC251" s="622" t="n"/>
      <c r="AD251" s="622" t="n"/>
      <c r="AE251" s="622" t="n"/>
      <c r="AF251" s="622" t="n"/>
      <c r="AG251" s="622" t="n"/>
      <c r="AH251" s="622" t="n"/>
      <c r="AI251" s="622" t="n"/>
      <c r="AJ251" s="622" t="n"/>
      <c r="AK251" s="622" t="n"/>
      <c r="AL251" s="622" t="n"/>
      <c r="AM251" s="622" t="n"/>
      <c r="AN251" s="622" t="n"/>
      <c r="AO251" s="622" t="n"/>
      <c r="AP251" s="622" t="n"/>
      <c r="AQ251" s="622" t="n"/>
      <c r="AR251" s="622" t="n"/>
      <c r="AS251" s="622" t="n"/>
      <c r="AT251" s="622" t="n"/>
      <c r="AU251" s="622" t="n"/>
      <c r="AV251" s="622" t="n"/>
      <c r="AW251" s="622" t="n"/>
      <c r="AX251" s="622" t="n"/>
      <c r="AY251" s="622" t="n"/>
    </row>
    <row r="252" ht="15" customHeight="1" s="8286">
      <c r="A252" s="9839" t="inlineStr">
        <is>
          <t>N° de escala de depresión geriátrica de Yesavage GDS-15</t>
        </is>
      </c>
      <c r="B252" s="9840" t="n"/>
      <c r="C252" s="1041">
        <f>SUM(D252+E252)</f>
        <v/>
      </c>
      <c r="D252" s="1042">
        <f>+V252+X252+Z252+T252</f>
        <v/>
      </c>
      <c r="E252" s="1043">
        <f>+W252+Y252+AA252+U252</f>
        <v/>
      </c>
      <c r="F252" s="1044" t="n"/>
      <c r="G252" s="1045" t="n"/>
      <c r="H252" s="1046" t="n"/>
      <c r="I252" s="1044" t="n"/>
      <c r="J252" s="1046" t="n"/>
      <c r="K252" s="1045" t="n"/>
      <c r="L252" s="1046" t="n"/>
      <c r="M252" s="1045" t="n"/>
      <c r="N252" s="1046" t="n"/>
      <c r="O252" s="1045" t="n"/>
      <c r="P252" s="1046" t="n"/>
      <c r="Q252" s="1045" t="n"/>
      <c r="R252" s="1046" t="n"/>
      <c r="S252" s="1045" t="n"/>
      <c r="T252" s="1047" t="n"/>
      <c r="U252" s="1048" t="n"/>
      <c r="V252" s="1049" t="n">
        <v>3</v>
      </c>
      <c r="W252" s="1050" t="n">
        <v>5</v>
      </c>
      <c r="X252" s="1049" t="n">
        <v>5</v>
      </c>
      <c r="Y252" s="1050" t="n">
        <v>12</v>
      </c>
      <c r="Z252" s="1049" t="n">
        <v>2</v>
      </c>
      <c r="AA252" s="1050" t="n">
        <v>10</v>
      </c>
      <c r="AB252" s="622" t="n"/>
      <c r="AC252" s="622" t="n"/>
      <c r="AD252" s="622" t="n"/>
      <c r="AE252" s="622" t="n"/>
      <c r="AF252" s="622" t="n"/>
      <c r="AG252" s="622" t="n"/>
      <c r="AH252" s="622" t="n"/>
      <c r="AI252" s="622" t="n"/>
      <c r="AJ252" s="622" t="n"/>
      <c r="AK252" s="622" t="n"/>
      <c r="AL252" s="622" t="n"/>
      <c r="AM252" s="622" t="n"/>
      <c r="AN252" s="622" t="n"/>
      <c r="AO252" s="622" t="n"/>
      <c r="AP252" s="622" t="n"/>
      <c r="AQ252" s="622" t="n"/>
      <c r="AR252" s="622" t="n"/>
      <c r="AS252" s="622" t="n"/>
      <c r="AT252" s="622" t="n"/>
      <c r="AU252" s="622" t="n"/>
      <c r="AV252" s="622" t="n"/>
      <c r="AW252" s="622" t="n"/>
      <c r="AX252" s="622" t="n"/>
      <c r="AY252" s="622" t="n"/>
    </row>
    <row r="253" ht="15" customHeight="1" s="8286">
      <c r="A253" s="9841" t="inlineStr">
        <is>
          <t xml:space="preserve">Resultados de evaluación </t>
        </is>
      </c>
      <c r="B253" s="1051" t="inlineStr">
        <is>
          <t>Bajo riesgo</t>
        </is>
      </c>
      <c r="C253" s="1052">
        <f>SUM(D253+E253)</f>
        <v/>
      </c>
      <c r="D253" s="1893">
        <f>F253+H253+J253+L253+N253+P253+R253+T253+V253+X253+Z253</f>
        <v/>
      </c>
      <c r="E253" s="1053">
        <f>G253+I253+K253+M253+O253+Q253+S253+U253+W253+Y253+AA253</f>
        <v/>
      </c>
      <c r="F253" s="1054" t="n"/>
      <c r="G253" s="1030" t="n"/>
      <c r="H253" s="1055" t="n"/>
      <c r="I253" s="1030" t="n">
        <v>3</v>
      </c>
      <c r="J253" s="1055" t="n">
        <v>2</v>
      </c>
      <c r="K253" s="1030" t="n">
        <v>4</v>
      </c>
      <c r="L253" s="1055" t="n"/>
      <c r="M253" s="1030" t="n">
        <v>1</v>
      </c>
      <c r="N253" s="1055" t="n"/>
      <c r="O253" s="1056" t="n"/>
      <c r="P253" s="1055" t="n"/>
      <c r="Q253" s="1056" t="n">
        <v>1</v>
      </c>
      <c r="R253" s="1057" t="n"/>
      <c r="S253" s="1058" t="n"/>
      <c r="T253" s="1057" t="n">
        <v>1</v>
      </c>
      <c r="U253" s="1058" t="n">
        <v>2</v>
      </c>
      <c r="V253" s="1054" t="n">
        <v>2</v>
      </c>
      <c r="W253" s="1030" t="n">
        <v>4</v>
      </c>
      <c r="X253" s="1055" t="n">
        <v>5</v>
      </c>
      <c r="Y253" s="1030" t="n">
        <v>9</v>
      </c>
      <c r="Z253" s="1055" t="n">
        <v>2</v>
      </c>
      <c r="AA253" s="1030" t="n">
        <v>6</v>
      </c>
      <c r="AB253" s="622" t="n"/>
      <c r="AC253" s="622" t="n"/>
      <c r="AD253" s="622" t="n"/>
      <c r="AE253" s="622" t="n"/>
      <c r="AF253" s="622" t="n"/>
      <c r="AG253" s="622" t="n"/>
      <c r="AH253" s="622" t="n"/>
      <c r="AI253" s="622" t="n"/>
      <c r="AJ253" s="622" t="n"/>
      <c r="AK253" s="622" t="n"/>
      <c r="AL253" s="622" t="n"/>
      <c r="AM253" s="622" t="n"/>
      <c r="AN253" s="622" t="n"/>
      <c r="AO253" s="622" t="n"/>
      <c r="AP253" s="622" t="n"/>
      <c r="AQ253" s="622" t="n"/>
      <c r="AR253" s="622" t="n"/>
      <c r="AS253" s="622" t="n"/>
      <c r="AT253" s="622" t="n"/>
      <c r="AU253" s="622" t="n"/>
      <c r="AV253" s="622" t="n"/>
      <c r="AW253" s="622" t="n"/>
      <c r="AX253" s="622" t="n"/>
      <c r="AY253" s="622" t="n"/>
    </row>
    <row r="254" ht="15" customHeight="1" s="8286">
      <c r="A254" s="9842" t="n"/>
      <c r="B254" s="1059" t="inlineStr">
        <is>
          <t>Riesgo medio</t>
        </is>
      </c>
      <c r="C254" s="1060">
        <f>SUM(D254+E254)</f>
        <v/>
      </c>
      <c r="D254" s="1893">
        <f>F254+H254+J254+L254+N254+P254+R254+T254+V254+X254+Z254</f>
        <v/>
      </c>
      <c r="E254" s="1053">
        <f>G254+I254+K254+M254+O254+Q254+S254+U254+W254+Y254+AA254</f>
        <v/>
      </c>
      <c r="F254" s="1029" t="n"/>
      <c r="G254" s="1039" t="n"/>
      <c r="H254" s="1038" t="n"/>
      <c r="I254" s="1039" t="n"/>
      <c r="J254" s="1038" t="n"/>
      <c r="K254" s="1039" t="n">
        <v>1</v>
      </c>
      <c r="L254" s="1038" t="n"/>
      <c r="M254" s="1039" t="n">
        <v>1</v>
      </c>
      <c r="N254" s="1038" t="n"/>
      <c r="O254" s="1061" t="n"/>
      <c r="P254" s="1038" t="n"/>
      <c r="Q254" s="1061" t="n">
        <v>2</v>
      </c>
      <c r="R254" s="1062" t="n"/>
      <c r="S254" s="1063" t="n"/>
      <c r="T254" s="1062" t="n"/>
      <c r="U254" s="1063" t="n"/>
      <c r="V254" s="1029" t="n">
        <v>1</v>
      </c>
      <c r="W254" s="1039" t="n">
        <v>1</v>
      </c>
      <c r="X254" s="1038" t="n"/>
      <c r="Y254" s="1039" t="n">
        <v>3</v>
      </c>
      <c r="Z254" s="1038" t="n"/>
      <c r="AA254" s="1039" t="n">
        <v>4</v>
      </c>
      <c r="AB254" s="622" t="n"/>
      <c r="AC254" s="622" t="n"/>
      <c r="AD254" s="622" t="n"/>
      <c r="AE254" s="622" t="n"/>
      <c r="AF254" s="622" t="n"/>
      <c r="AG254" s="622" t="n"/>
      <c r="AH254" s="622" t="n"/>
      <c r="AI254" s="622" t="n"/>
      <c r="AJ254" s="622" t="n"/>
      <c r="AK254" s="622" t="n"/>
      <c r="AL254" s="622" t="n"/>
      <c r="AM254" s="622" t="n"/>
      <c r="AN254" s="622" t="n"/>
      <c r="AO254" s="622" t="n"/>
      <c r="AP254" s="622" t="n"/>
      <c r="AQ254" s="622" t="n"/>
      <c r="AR254" s="622" t="n"/>
      <c r="AS254" s="622" t="n"/>
      <c r="AT254" s="622" t="n"/>
      <c r="AU254" s="622" t="n"/>
      <c r="AV254" s="622" t="n"/>
      <c r="AW254" s="622" t="n"/>
      <c r="AX254" s="622" t="n"/>
      <c r="AY254" s="622" t="n"/>
    </row>
    <row r="255" ht="15" customHeight="1" s="8286">
      <c r="A255" s="9843" t="n"/>
      <c r="B255" s="1064" t="inlineStr">
        <is>
          <t>Alto riesgo</t>
        </is>
      </c>
      <c r="C255" s="1065">
        <f>SUM(D255+E255)</f>
        <v/>
      </c>
      <c r="D255" s="1066">
        <f>F255+H255+J255+L255+N255+P255+R255+T255+V255+X255+Z255</f>
        <v/>
      </c>
      <c r="E255" s="1067">
        <f>G255+I255+K255+M255+O255+Q255+S255+U255+W255+Y255+AA255</f>
        <v/>
      </c>
      <c r="F255" s="1068" t="n"/>
      <c r="G255" s="1050" t="n"/>
      <c r="H255" s="1049" t="n"/>
      <c r="I255" s="1050" t="n"/>
      <c r="J255" s="1049" t="n"/>
      <c r="K255" s="1050" t="n"/>
      <c r="L255" s="1049" t="n"/>
      <c r="M255" s="1050" t="n"/>
      <c r="N255" s="1049" t="n"/>
      <c r="O255" s="1069" t="n"/>
      <c r="P255" s="1049" t="n"/>
      <c r="Q255" s="1069" t="n">
        <v>1</v>
      </c>
      <c r="R255" s="1070" t="n">
        <v>1</v>
      </c>
      <c r="S255" s="1071" t="n">
        <v>2</v>
      </c>
      <c r="T255" s="1070" t="n"/>
      <c r="U255" s="1071" t="n"/>
      <c r="V255" s="1068" t="n"/>
      <c r="W255" s="1050" t="n"/>
      <c r="X255" s="1049" t="n"/>
      <c r="Y255" s="1050" t="n"/>
      <c r="Z255" s="1049" t="n"/>
      <c r="AA255" s="1050" t="n"/>
      <c r="AB255" s="622" t="n"/>
      <c r="AC255" s="622" t="n"/>
      <c r="AD255" s="622" t="n"/>
      <c r="AE255" s="622" t="n"/>
      <c r="AF255" s="622" t="n"/>
      <c r="AG255" s="622" t="n"/>
      <c r="AH255" s="622" t="n"/>
      <c r="AI255" s="622" t="n"/>
      <c r="AJ255" s="622" t="n"/>
      <c r="AK255" s="622" t="n"/>
      <c r="AL255" s="622" t="n"/>
      <c r="AM255" s="622" t="n"/>
      <c r="AN255" s="622" t="n"/>
      <c r="AO255" s="622" t="n"/>
      <c r="AP255" s="622" t="n"/>
      <c r="AQ255" s="622" t="n"/>
      <c r="AR255" s="622" t="n"/>
      <c r="AS255" s="622" t="n"/>
      <c r="AT255" s="622" t="n"/>
      <c r="AU255" s="622" t="n"/>
      <c r="AV255" s="622" t="n"/>
      <c r="AW255" s="622" t="n"/>
      <c r="AX255" s="622" t="n"/>
      <c r="AY255" s="622" t="n"/>
    </row>
    <row r="256" ht="18" customHeight="1" s="8286">
      <c r="A256" s="1010" t="inlineStr">
        <is>
          <t>SECCIÓN I: APLICACIÓN Y RESULTADO DE PAUTA EVALUACIÓN PROGRAMA ACOMPAÑAMIENTO PSICOSOCIAL EN APS</t>
        </is>
      </c>
      <c r="B256" s="622" t="n"/>
      <c r="C256" s="622" t="n"/>
      <c r="D256" s="622" t="n"/>
      <c r="E256" s="622" t="n"/>
      <c r="F256" s="622" t="n"/>
      <c r="G256" s="622" t="n"/>
      <c r="H256" s="622" t="n"/>
      <c r="I256" s="622" t="n"/>
      <c r="J256" s="622" t="n"/>
      <c r="K256" s="1072" t="n"/>
      <c r="L256" s="1072" t="n"/>
      <c r="M256" s="1072" t="n"/>
      <c r="N256" s="1072" t="n"/>
      <c r="O256" s="1072" t="n"/>
      <c r="P256" s="622" t="n"/>
      <c r="Q256" s="622" t="n"/>
      <c r="R256" s="622" t="n"/>
      <c r="S256" s="622" t="n"/>
      <c r="T256" s="622" t="n"/>
      <c r="U256" s="622" t="n"/>
      <c r="V256" s="622" t="n"/>
      <c r="W256" s="622" t="n"/>
      <c r="X256" s="622" t="n"/>
      <c r="Y256" s="622" t="n"/>
      <c r="Z256" s="622" t="n"/>
      <c r="AA256" s="622" t="n"/>
      <c r="AB256" s="622" t="n"/>
      <c r="AC256" s="622" t="n"/>
      <c r="AD256" s="622" t="n"/>
      <c r="AE256" s="622" t="n"/>
      <c r="AF256" s="622" t="n"/>
      <c r="AG256" s="622" t="n"/>
      <c r="AH256" s="622" t="n"/>
      <c r="AI256" s="622" t="n"/>
      <c r="AJ256" s="622" t="n"/>
      <c r="AK256" s="622" t="n"/>
      <c r="AL256" s="622" t="n"/>
      <c r="AM256" s="622" t="n"/>
      <c r="AN256" s="622" t="n"/>
      <c r="AO256" s="622" t="n"/>
      <c r="AP256" s="622" t="n"/>
      <c r="AQ256" s="622" t="n"/>
      <c r="AR256" s="622" t="n"/>
      <c r="AS256" s="622" t="n"/>
      <c r="AT256" s="622" t="n"/>
      <c r="AU256" s="622" t="n"/>
      <c r="AV256" s="622" t="n"/>
      <c r="AW256" s="622" t="n"/>
      <c r="AX256" s="622" t="n"/>
      <c r="AY256" s="622" t="n"/>
    </row>
    <row r="257" ht="15" customHeight="1" s="8286">
      <c r="A257" s="9844" t="inlineStr">
        <is>
          <t>RESULTADOS</t>
        </is>
      </c>
      <c r="B257" s="9630" t="n"/>
      <c r="C257" s="9629" t="inlineStr">
        <is>
          <t>TOTAL</t>
        </is>
      </c>
      <c r="D257" s="9602" t="n"/>
      <c r="E257" s="9630" t="n"/>
      <c r="F257" s="7632" t="inlineStr">
        <is>
          <t>RANGO ETARIO Y SEXO</t>
        </is>
      </c>
      <c r="G257" s="9584" t="n"/>
      <c r="H257" s="9584" t="n"/>
      <c r="I257" s="9584" t="n"/>
      <c r="J257" s="9584" t="n"/>
      <c r="K257" s="9584" t="n"/>
      <c r="L257" s="9584" t="n"/>
      <c r="M257" s="9584" t="n"/>
      <c r="N257" s="9584" t="n"/>
      <c r="O257" s="9582" t="n"/>
      <c r="P257" s="9845" t="inlineStr">
        <is>
          <t xml:space="preserve">Derivación efectiva </t>
        </is>
      </c>
      <c r="Q257" s="1073" t="n"/>
      <c r="R257" s="1073" t="n"/>
      <c r="S257" s="622" t="n"/>
      <c r="T257" s="622" t="n"/>
      <c r="U257" s="622" t="n"/>
      <c r="V257" s="622" t="n"/>
      <c r="W257" s="622" t="n"/>
      <c r="X257" s="622" t="n"/>
      <c r="Y257" s="622" t="n"/>
      <c r="Z257" s="622" t="n"/>
      <c r="AA257" s="622" t="n"/>
      <c r="AB257" s="622" t="n"/>
      <c r="AC257" s="622" t="n"/>
      <c r="AD257" s="622" t="n"/>
      <c r="AE257" s="622" t="n"/>
      <c r="AF257" s="622" t="n"/>
      <c r="AG257" s="622" t="n"/>
      <c r="AH257" s="622" t="n"/>
      <c r="AI257" s="622" t="n"/>
      <c r="AJ257" s="622" t="n"/>
      <c r="AK257" s="622" t="n"/>
      <c r="AL257" s="622" t="n"/>
      <c r="AM257" s="622" t="n"/>
      <c r="AN257" s="622" t="n"/>
      <c r="AO257" s="622" t="n"/>
      <c r="AP257" s="622" t="n"/>
      <c r="AQ257" s="622" t="n"/>
      <c r="AR257" s="622" t="n"/>
      <c r="AS257" s="622" t="n"/>
      <c r="AT257" s="622" t="n"/>
      <c r="AU257" s="622" t="n"/>
      <c r="AV257" s="622" t="n"/>
      <c r="AW257" s="622" t="n"/>
      <c r="AX257" s="622" t="n"/>
      <c r="AY257" s="622" t="n"/>
    </row>
    <row r="258" ht="15" customHeight="1" s="8286">
      <c r="A258" s="642" t="n"/>
      <c r="B258" s="9718" t="n"/>
      <c r="C258" s="9638" t="n"/>
      <c r="D258" s="9697" t="n"/>
      <c r="E258" s="9639" t="n"/>
      <c r="F258" s="9631" t="inlineStr">
        <is>
          <t>0 - 4 años</t>
        </is>
      </c>
      <c r="G258" s="9632" t="n"/>
      <c r="H258" s="9631" t="inlineStr">
        <is>
          <t>5 - 9 años</t>
        </is>
      </c>
      <c r="I258" s="9632" t="n"/>
      <c r="J258" s="9631" t="inlineStr">
        <is>
          <t>10 - 14 años</t>
        </is>
      </c>
      <c r="K258" s="9632" t="n"/>
      <c r="L258" s="1500" t="inlineStr">
        <is>
          <t>15 - 19 años</t>
        </is>
      </c>
      <c r="M258" s="9743" t="n"/>
      <c r="N258" s="6614" t="inlineStr">
        <is>
          <t>20 - 24 años</t>
        </is>
      </c>
      <c r="O258" s="9743" t="n"/>
      <c r="P258" s="9625" t="n"/>
      <c r="Q258" s="1074" t="n"/>
      <c r="R258" s="7402" t="n"/>
      <c r="S258" s="622" t="n"/>
      <c r="T258" s="622" t="n"/>
      <c r="U258" s="622" t="n"/>
      <c r="V258" s="622" t="n"/>
      <c r="W258" s="622" t="n"/>
      <c r="X258" s="622" t="n"/>
      <c r="Y258" s="622" t="n"/>
      <c r="Z258" s="622" t="n"/>
      <c r="AA258" s="622" t="n"/>
      <c r="AB258" s="622" t="n"/>
      <c r="AC258" s="622" t="n"/>
      <c r="AD258" s="622" t="n"/>
      <c r="AE258" s="622" t="n"/>
      <c r="AF258" s="622" t="n"/>
      <c r="AG258" s="622" t="n"/>
      <c r="AH258" s="622" t="n"/>
      <c r="AI258" s="622" t="n"/>
      <c r="AJ258" s="622" t="n"/>
      <c r="AK258" s="622" t="n"/>
      <c r="AL258" s="622" t="n"/>
      <c r="AM258" s="622" t="n"/>
      <c r="AN258" s="622" t="n"/>
      <c r="AO258" s="622" t="n"/>
      <c r="AP258" s="622" t="n"/>
      <c r="AQ258" s="622" t="n"/>
      <c r="AR258" s="622" t="n"/>
      <c r="AS258" s="622" t="n"/>
      <c r="AT258" s="622" t="n"/>
      <c r="AU258" s="622" t="n"/>
      <c r="AV258" s="622" t="n"/>
      <c r="AW258" s="622" t="n"/>
      <c r="AX258" s="622" t="n"/>
      <c r="AY258" s="622" t="n"/>
    </row>
    <row r="259" ht="15" customHeight="1" s="8286">
      <c r="A259" s="9638" t="n"/>
      <c r="B259" s="9639" t="n"/>
      <c r="C259" s="7164" t="inlineStr">
        <is>
          <t>Ambos Sexos</t>
        </is>
      </c>
      <c r="D259" s="1764" t="inlineStr">
        <is>
          <t>Hombres</t>
        </is>
      </c>
      <c r="E259" s="7487" t="inlineStr">
        <is>
          <t>Mujeres</t>
        </is>
      </c>
      <c r="F259" s="1502" t="inlineStr">
        <is>
          <t>Hombres</t>
        </is>
      </c>
      <c r="G259" s="7487" t="inlineStr">
        <is>
          <t>Mujeres</t>
        </is>
      </c>
      <c r="H259" s="1502" t="inlineStr">
        <is>
          <t>Hombres</t>
        </is>
      </c>
      <c r="I259" s="7487" t="inlineStr">
        <is>
          <t>Mujeres</t>
        </is>
      </c>
      <c r="J259" s="1502" t="inlineStr">
        <is>
          <t>Hombres</t>
        </is>
      </c>
      <c r="K259" s="7487" t="inlineStr">
        <is>
          <t>Mujeres</t>
        </is>
      </c>
      <c r="L259" s="1500" t="inlineStr">
        <is>
          <t>Hombres</t>
        </is>
      </c>
      <c r="M259" s="7380" t="inlineStr">
        <is>
          <t>Mujeres</t>
        </is>
      </c>
      <c r="N259" s="7400" t="inlineStr">
        <is>
          <t>Hombres</t>
        </is>
      </c>
      <c r="O259" s="7401" t="inlineStr">
        <is>
          <t>Mujeres</t>
        </is>
      </c>
      <c r="P259" s="9641" t="n"/>
      <c r="Q259" s="1074" t="n"/>
      <c r="S259" s="622" t="n"/>
      <c r="T259" s="622" t="n"/>
      <c r="U259" s="622" t="n"/>
      <c r="V259" s="622" t="n"/>
      <c r="W259" s="622" t="n"/>
      <c r="X259" s="622" t="n"/>
      <c r="Y259" s="622" t="n"/>
      <c r="Z259" s="622" t="n"/>
      <c r="AA259" s="622" t="n"/>
      <c r="AB259" s="622" t="n"/>
      <c r="AC259" s="622" t="n"/>
      <c r="AD259" s="622" t="n"/>
      <c r="AE259" s="622" t="n"/>
      <c r="AF259" s="622" t="n"/>
      <c r="AG259" s="622" t="n"/>
      <c r="AH259" s="622" t="n"/>
      <c r="AI259" s="622" t="n"/>
      <c r="AJ259" s="622" t="n"/>
      <c r="AK259" s="622" t="n"/>
      <c r="AL259" s="622" t="n"/>
      <c r="AM259" s="622" t="n"/>
      <c r="AN259" s="622" t="n"/>
      <c r="AO259" s="622" t="n"/>
      <c r="AP259" s="622" t="n"/>
      <c r="AQ259" s="622" t="n"/>
      <c r="AR259" s="622" t="n"/>
      <c r="AS259" s="622" t="n"/>
      <c r="AT259" s="622" t="n"/>
      <c r="AU259" s="622" t="n"/>
      <c r="AV259" s="622" t="n"/>
      <c r="AW259" s="622" t="n"/>
      <c r="AX259" s="622" t="n"/>
      <c r="AY259" s="622" t="n"/>
    </row>
    <row r="260" ht="15" customHeight="1" s="8286">
      <c r="A260" s="9821" t="inlineStr">
        <is>
          <t>Evaluación al ingreso</t>
        </is>
      </c>
      <c r="B260" s="1878" t="inlineStr">
        <is>
          <t xml:space="preserve">Bajo </t>
        </is>
      </c>
      <c r="C260" s="1721">
        <f>SUM(D260:E260)</f>
        <v/>
      </c>
      <c r="D260" s="1664">
        <f>+F260+H260+J260+L260+N260</f>
        <v/>
      </c>
      <c r="E260" s="1579">
        <f>+G260+I260+K260+M260+O260</f>
        <v/>
      </c>
      <c r="F260" s="1613" t="n"/>
      <c r="G260" s="1554" t="n"/>
      <c r="H260" s="1511" t="n"/>
      <c r="I260" s="1554" t="n"/>
      <c r="J260" s="1511" t="n"/>
      <c r="K260" s="1554" t="n"/>
      <c r="L260" s="1511" t="n"/>
      <c r="M260" s="1554" t="n"/>
      <c r="N260" s="1613" t="n"/>
      <c r="O260" s="1554" t="n"/>
      <c r="P260" s="1895" t="n"/>
      <c r="Q260" s="1006">
        <f>$CA260</f>
        <v/>
      </c>
      <c r="R260" s="1075" t="n"/>
      <c r="S260" s="622" t="n"/>
      <c r="T260" s="622" t="n"/>
      <c r="U260" s="622" t="n"/>
      <c r="V260" s="622" t="n"/>
      <c r="W260" s="622" t="n"/>
      <c r="X260" s="622" t="n"/>
      <c r="Y260" s="622" t="n"/>
      <c r="Z260" s="622" t="n"/>
      <c r="AA260" s="622" t="n"/>
      <c r="AB260" s="622" t="n"/>
      <c r="AC260" s="622" t="n"/>
      <c r="AD260" s="622" t="n"/>
      <c r="AE260" s="622" t="n"/>
      <c r="AF260" s="622" t="n"/>
      <c r="AG260" s="622" t="n"/>
      <c r="AH260" s="622" t="n"/>
      <c r="AI260" s="622" t="n"/>
      <c r="AJ260" s="622" t="n"/>
      <c r="AK260" s="622" t="n"/>
      <c r="AL260" s="622" t="n"/>
      <c r="AM260" s="622" t="n"/>
      <c r="AN260" s="622" t="n"/>
      <c r="AO260" s="622" t="n"/>
      <c r="AP260" s="622" t="n"/>
      <c r="AQ260" s="622" t="n"/>
      <c r="AR260" s="622" t="n"/>
      <c r="AS260" s="622" t="n"/>
      <c r="AT260" s="622" t="n"/>
      <c r="AU260" s="622" t="n"/>
      <c r="AV260" s="622" t="n"/>
      <c r="AW260" s="622" t="n"/>
      <c r="AX260" s="622" t="n"/>
      <c r="AY260" s="622" t="n"/>
      <c r="CA260" s="240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 t="n"/>
      <c r="CD260" s="239" t="n"/>
      <c r="CE260" s="239" t="n"/>
      <c r="CF260" s="64" t="n"/>
      <c r="CG260" s="64" t="n"/>
      <c r="CH260" s="64" t="n"/>
      <c r="CI260" s="64" t="n"/>
      <c r="CJ260" s="64" t="n"/>
      <c r="CK260" s="246">
        <f>IF(AND($C260&lt;&gt;0,P260=""),0,IF(P260&gt;$C260,1,0))</f>
        <v/>
      </c>
    </row>
    <row r="261" ht="15" customHeight="1" s="8286">
      <c r="A261" s="9588" t="n"/>
      <c r="B261" s="1896" t="inlineStr">
        <is>
          <t>Medio</t>
        </is>
      </c>
      <c r="C261" s="1644">
        <f>SUM(D261:E261)</f>
        <v/>
      </c>
      <c r="D261" s="1666">
        <f>+F261+H261+J261+L261+N261</f>
        <v/>
      </c>
      <c r="E261" s="1583">
        <f>+G261+I261+K261+M261+O261</f>
        <v/>
      </c>
      <c r="F261" s="1615" t="n"/>
      <c r="G261" s="1540" t="n"/>
      <c r="H261" s="1539" t="n"/>
      <c r="I261" s="1540" t="n"/>
      <c r="J261" s="1539" t="n"/>
      <c r="K261" s="1540" t="n"/>
      <c r="L261" s="1539" t="n"/>
      <c r="M261" s="1540" t="n"/>
      <c r="N261" s="1615" t="n"/>
      <c r="O261" s="1540" t="n"/>
      <c r="P261" s="1091" t="n"/>
      <c r="Q261" s="1006">
        <f>$CA261</f>
        <v/>
      </c>
      <c r="R261" s="1075" t="n"/>
      <c r="S261" s="622" t="n"/>
      <c r="T261" s="622" t="n"/>
      <c r="U261" s="622" t="n"/>
      <c r="V261" s="622" t="n"/>
      <c r="W261" s="622" t="n"/>
      <c r="X261" s="622" t="n"/>
      <c r="Y261" s="622" t="n"/>
      <c r="Z261" s="622" t="n"/>
      <c r="AA261" s="622" t="n"/>
      <c r="AB261" s="622" t="n"/>
      <c r="AC261" s="622" t="n"/>
      <c r="AD261" s="622" t="n"/>
      <c r="AE261" s="622" t="n"/>
      <c r="AF261" s="622" t="n"/>
      <c r="AG261" s="622" t="n"/>
      <c r="AH261" s="622" t="n"/>
      <c r="AI261" s="622" t="n"/>
      <c r="AJ261" s="622" t="n"/>
      <c r="AK261" s="622" t="n"/>
      <c r="AL261" s="622" t="n"/>
      <c r="AM261" s="622" t="n"/>
      <c r="AN261" s="622" t="n"/>
      <c r="AO261" s="622" t="n"/>
      <c r="AP261" s="622" t="n"/>
      <c r="AQ261" s="622" t="n"/>
      <c r="AR261" s="622" t="n"/>
      <c r="AS261" s="622" t="n"/>
      <c r="AT261" s="622" t="n"/>
      <c r="AU261" s="622" t="n"/>
      <c r="AV261" s="622" t="n"/>
      <c r="AW261" s="622" t="n"/>
      <c r="AX261" s="622" t="n"/>
      <c r="AY261" s="622" t="n"/>
      <c r="CA261" s="240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 t="n"/>
      <c r="CD261" s="239" t="n"/>
      <c r="CE261" s="239" t="n"/>
      <c r="CF261" s="64" t="n"/>
      <c r="CG261" s="64" t="n"/>
      <c r="CH261" s="64" t="n"/>
      <c r="CI261" s="64" t="n"/>
      <c r="CJ261" s="64" t="n"/>
      <c r="CK261" s="246">
        <f>IF(AND($C261&lt;&gt;0,P261=""),0,IF(P261&gt;$C261,1,0))</f>
        <v/>
      </c>
    </row>
    <row r="262" ht="18" customHeight="1" s="8286">
      <c r="A262" s="9589" t="n"/>
      <c r="B262" s="1881" t="inlineStr">
        <is>
          <t>Alto</t>
        </is>
      </c>
      <c r="C262" s="1089">
        <f>SUM(D262:E262)</f>
        <v/>
      </c>
      <c r="D262" s="1773">
        <f>+F262+H262+J262+L262+N262</f>
        <v/>
      </c>
      <c r="E262" s="1589">
        <f>+G262+I262+K262+M262+O262</f>
        <v/>
      </c>
      <c r="F262" s="1627" t="n"/>
      <c r="G262" s="1550" t="n"/>
      <c r="H262" s="1519" t="n"/>
      <c r="I262" s="1550" t="n"/>
      <c r="J262" s="1519" t="n"/>
      <c r="K262" s="1550" t="n"/>
      <c r="L262" s="1519" t="n"/>
      <c r="M262" s="1550" t="n"/>
      <c r="N262" s="1627" t="n"/>
      <c r="O262" s="1550" t="n"/>
      <c r="P262" s="1897" t="n"/>
      <c r="Q262" s="1006">
        <f>$CA262</f>
        <v/>
      </c>
      <c r="R262" s="1075" t="n"/>
      <c r="S262" s="622" t="n"/>
      <c r="T262" s="622" t="n"/>
      <c r="U262" s="622" t="n"/>
      <c r="V262" s="622" t="n"/>
      <c r="W262" s="622" t="n"/>
      <c r="X262" s="622" t="n"/>
      <c r="Y262" s="622" t="n"/>
      <c r="Z262" s="622" t="n"/>
      <c r="AA262" s="622" t="n"/>
      <c r="AB262" s="622" t="n"/>
      <c r="AC262" s="622" t="n"/>
      <c r="AD262" s="622" t="n"/>
      <c r="AE262" s="622" t="n"/>
      <c r="AF262" s="622" t="n"/>
      <c r="AG262" s="622" t="n"/>
      <c r="AH262" s="622" t="n"/>
      <c r="AI262" s="622" t="n"/>
      <c r="AJ262" s="622" t="n"/>
      <c r="AK262" s="622" t="n"/>
      <c r="AL262" s="622" t="n"/>
      <c r="AM262" s="622" t="n"/>
      <c r="AN262" s="622" t="n"/>
      <c r="AO262" s="622" t="n"/>
      <c r="AP262" s="622" t="n"/>
      <c r="AQ262" s="622" t="n"/>
      <c r="AR262" s="622" t="n"/>
      <c r="AS262" s="622" t="n"/>
      <c r="AT262" s="622" t="n"/>
      <c r="AU262" s="622" t="n"/>
      <c r="AV262" s="622" t="n"/>
      <c r="AW262" s="622" t="n"/>
      <c r="AX262" s="622" t="n"/>
      <c r="AY262" s="622" t="n"/>
      <c r="CA262" s="240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 t="n"/>
      <c r="CD262" s="239" t="n"/>
      <c r="CE262" s="239" t="n"/>
      <c r="CF262" s="64" t="n"/>
      <c r="CG262" s="64" t="n"/>
      <c r="CH262" s="64" t="n"/>
      <c r="CI262" s="64" t="n"/>
      <c r="CJ262" s="64" t="n"/>
      <c r="CK262" s="246">
        <f>IF(AND($C262&lt;&gt;0,P262=""),0,IF(P262&gt;$C262,1,0))</f>
        <v/>
      </c>
    </row>
    <row r="263" ht="15" customHeight="1" s="8286">
      <c r="A263" s="9821" t="inlineStr">
        <is>
          <t>Evaluación al egreso</t>
        </is>
      </c>
      <c r="B263" s="1878" t="inlineStr">
        <is>
          <t xml:space="preserve">Bajo </t>
        </is>
      </c>
      <c r="C263" s="1721">
        <f>SUM(D263:E263)</f>
        <v/>
      </c>
      <c r="D263" s="1664">
        <f>+F263+H263+J263+L263+N263</f>
        <v/>
      </c>
      <c r="E263" s="1579">
        <f>+G263+I263+K263+M263+O263</f>
        <v/>
      </c>
      <c r="F263" s="1613" t="n"/>
      <c r="G263" s="1554" t="n"/>
      <c r="H263" s="1511" t="n"/>
      <c r="I263" s="1554" t="n"/>
      <c r="J263" s="1511" t="n"/>
      <c r="K263" s="1554" t="n"/>
      <c r="L263" s="1511" t="n"/>
      <c r="M263" s="1554" t="n"/>
      <c r="N263" s="1613" t="n"/>
      <c r="O263" s="1654" t="n"/>
      <c r="P263" s="1898" t="n"/>
      <c r="Q263" s="622" t="n"/>
      <c r="R263" s="622" t="n"/>
      <c r="S263" s="622" t="n"/>
      <c r="T263" s="622" t="n"/>
      <c r="U263" s="622" t="n"/>
      <c r="V263" s="622" t="n"/>
      <c r="W263" s="622" t="n"/>
      <c r="X263" s="622" t="n"/>
      <c r="Y263" s="622" t="n"/>
      <c r="Z263" s="622" t="n"/>
      <c r="AA263" s="622" t="n"/>
      <c r="AB263" s="622" t="n"/>
      <c r="AC263" s="622" t="n"/>
      <c r="AD263" s="622" t="n"/>
      <c r="AE263" s="622" t="n"/>
      <c r="AF263" s="622" t="n"/>
      <c r="AG263" s="622" t="n"/>
      <c r="AH263" s="622" t="n"/>
      <c r="AI263" s="622" t="n"/>
      <c r="AJ263" s="622" t="n"/>
      <c r="AK263" s="622" t="n"/>
      <c r="AL263" s="622" t="n"/>
      <c r="AM263" s="622" t="n"/>
      <c r="AN263" s="622" t="n"/>
      <c r="AO263" s="622" t="n"/>
      <c r="AP263" s="622" t="n"/>
      <c r="AQ263" s="622" t="n"/>
      <c r="AR263" s="622" t="n"/>
      <c r="AS263" s="622" t="n"/>
      <c r="AT263" s="622" t="n"/>
      <c r="AU263" s="622" t="n"/>
      <c r="AV263" s="622" t="n"/>
      <c r="AW263" s="622" t="n"/>
      <c r="AX263" s="622" t="n"/>
      <c r="AY263" s="622" t="n"/>
    </row>
    <row r="264" ht="15" customHeight="1" s="8286">
      <c r="A264" s="9588" t="n"/>
      <c r="B264" s="1896" t="inlineStr">
        <is>
          <t>Medio</t>
        </is>
      </c>
      <c r="C264" s="1644">
        <f>SUM(D264:E264)</f>
        <v/>
      </c>
      <c r="D264" s="1666">
        <f>+F264+H264+J264+L264+N264</f>
        <v/>
      </c>
      <c r="E264" s="1583">
        <f>+G264+I264+K264+M264+O264</f>
        <v/>
      </c>
      <c r="F264" s="1615" t="n"/>
      <c r="G264" s="1540" t="n"/>
      <c r="H264" s="1539" t="n"/>
      <c r="I264" s="1540" t="n"/>
      <c r="J264" s="1539" t="n"/>
      <c r="K264" s="1540" t="n"/>
      <c r="L264" s="1539" t="n"/>
      <c r="M264" s="1540" t="n"/>
      <c r="N264" s="1615" t="n"/>
      <c r="O264" s="1620" t="n"/>
      <c r="P264" s="1687" t="n"/>
      <c r="Q264" s="622" t="n"/>
      <c r="R264" s="622" t="n"/>
      <c r="S264" s="622" t="n"/>
      <c r="T264" s="622" t="n"/>
      <c r="U264" s="622" t="n"/>
      <c r="V264" s="622" t="n"/>
      <c r="W264" s="622" t="n"/>
      <c r="X264" s="622" t="n"/>
      <c r="Y264" s="622" t="n"/>
      <c r="Z264" s="622" t="n"/>
      <c r="AA264" s="622" t="n"/>
      <c r="AB264" s="622" t="n"/>
      <c r="AC264" s="622" t="n"/>
      <c r="AD264" s="622" t="n"/>
      <c r="AE264" s="622" t="n"/>
      <c r="AF264" s="622" t="n"/>
      <c r="AG264" s="622" t="n"/>
      <c r="AH264" s="622" t="n"/>
      <c r="AI264" s="622" t="n"/>
      <c r="AJ264" s="622" t="n"/>
      <c r="AK264" s="622" t="n"/>
      <c r="AL264" s="622" t="n"/>
      <c r="AM264" s="622" t="n"/>
      <c r="AN264" s="622" t="n"/>
      <c r="AO264" s="622" t="n"/>
      <c r="AP264" s="622" t="n"/>
      <c r="AQ264" s="622" t="n"/>
      <c r="AR264" s="622" t="n"/>
      <c r="AS264" s="622" t="n"/>
      <c r="AT264" s="622" t="n"/>
      <c r="AU264" s="622" t="n"/>
      <c r="AV264" s="622" t="n"/>
      <c r="AW264" s="622" t="n"/>
      <c r="AX264" s="622" t="n"/>
      <c r="AY264" s="622" t="n"/>
    </row>
    <row r="265" ht="15" customHeight="1" s="8286">
      <c r="A265" s="9589" t="n"/>
      <c r="B265" s="1881" t="inlineStr">
        <is>
          <t>Alto</t>
        </is>
      </c>
      <c r="C265" s="1089">
        <f>SUM(D265:E265)</f>
        <v/>
      </c>
      <c r="D265" s="1773">
        <f>+F265+H265+J265+L265+N265</f>
        <v/>
      </c>
      <c r="E265" s="1589">
        <f>+G265+I265+K265+M265+O265</f>
        <v/>
      </c>
      <c r="F265" s="1627" t="n"/>
      <c r="G265" s="1550" t="n"/>
      <c r="H265" s="1519" t="n"/>
      <c r="I265" s="1550" t="n"/>
      <c r="J265" s="1519" t="n"/>
      <c r="K265" s="1550" t="n"/>
      <c r="L265" s="1519" t="n"/>
      <c r="M265" s="1550" t="n"/>
      <c r="N265" s="1627" t="n"/>
      <c r="O265" s="1626" t="n"/>
      <c r="P265" s="1899" t="n"/>
      <c r="Q265" s="622" t="n"/>
      <c r="R265" s="622" t="n"/>
      <c r="S265" s="622" t="n"/>
      <c r="T265" s="622" t="n"/>
      <c r="U265" s="622" t="n"/>
      <c r="V265" s="622" t="n"/>
      <c r="W265" s="622" t="n"/>
      <c r="X265" s="622" t="n"/>
      <c r="Y265" s="622" t="n"/>
      <c r="Z265" s="622" t="n"/>
      <c r="AA265" s="622" t="n"/>
      <c r="AB265" s="622" t="n"/>
      <c r="AC265" s="622" t="n"/>
      <c r="AD265" s="622" t="n"/>
      <c r="AE265" s="622" t="n"/>
      <c r="AF265" s="622" t="n"/>
      <c r="AG265" s="622" t="n"/>
      <c r="AH265" s="622" t="n"/>
      <c r="AI265" s="622" t="n"/>
      <c r="AJ265" s="622" t="n"/>
      <c r="AK265" s="622" t="n"/>
      <c r="AL265" s="622" t="n"/>
      <c r="AM265" s="622" t="n"/>
      <c r="AN265" s="622" t="n"/>
      <c r="AO265" s="622" t="n"/>
      <c r="AP265" s="622" t="n"/>
      <c r="AQ265" s="622" t="n"/>
      <c r="AR265" s="622" t="n"/>
      <c r="AS265" s="622" t="n"/>
      <c r="AT265" s="622" t="n"/>
      <c r="AU265" s="622" t="n"/>
      <c r="AV265" s="622" t="n"/>
      <c r="AW265" s="622" t="n"/>
      <c r="AX265" s="622" t="n"/>
      <c r="AY265" s="622" t="n"/>
    </row>
    <row r="266" ht="18" customHeight="1" s="8286">
      <c r="A266" s="1001" t="inlineStr">
        <is>
          <t xml:space="preserve">SECCIÓN J: CATEGORIZACIÓN AL PROGRAMA DE SALUD MENTAL EN APS SEGÚN CATEGORIA DE RIESGO </t>
        </is>
      </c>
      <c r="B266" s="1076" t="n"/>
      <c r="C266" s="1076" t="n"/>
      <c r="D266" s="1076" t="n"/>
      <c r="E266" s="1076" t="n"/>
      <c r="F266" s="1076" t="n"/>
      <c r="G266" s="1076" t="n"/>
      <c r="H266" s="1076" t="n"/>
      <c r="I266" s="1076" t="n"/>
      <c r="J266" s="1076" t="n"/>
      <c r="K266" s="1076" t="n"/>
      <c r="L266" s="1076" t="n"/>
      <c r="M266" s="1076" t="n"/>
      <c r="N266" s="1076" t="n"/>
      <c r="O266" s="1076" t="n"/>
      <c r="P266" s="1076" t="n"/>
      <c r="Q266" s="1076" t="n"/>
      <c r="R266" s="1076" t="n"/>
      <c r="S266" s="1076" t="n"/>
      <c r="T266" s="1076" t="n"/>
      <c r="U266" s="1076" t="n"/>
      <c r="V266" s="622" t="n"/>
      <c r="W266" s="622" t="n"/>
      <c r="X266" s="622" t="n"/>
      <c r="Y266" s="622" t="n"/>
      <c r="Z266" s="622" t="n"/>
      <c r="AA266" s="622" t="n"/>
      <c r="AB266" s="622" t="n"/>
      <c r="AC266" s="622" t="n"/>
      <c r="AD266" s="622" t="n"/>
      <c r="AE266" s="622" t="n"/>
      <c r="AF266" s="622" t="n"/>
      <c r="AG266" s="622" t="n"/>
      <c r="AH266" s="622" t="n"/>
      <c r="AI266" s="622" t="n"/>
      <c r="AJ266" s="622" t="n"/>
      <c r="AK266" s="622" t="n"/>
      <c r="AL266" s="622" t="n"/>
      <c r="AM266" s="622" t="n"/>
      <c r="AN266" s="622" t="n"/>
      <c r="AO266" s="622" t="n"/>
      <c r="AP266" s="622" t="n"/>
      <c r="AQ266" s="622" t="n"/>
      <c r="AR266" s="622" t="n"/>
      <c r="AS266" s="622" t="n"/>
      <c r="AT266" s="622" t="n"/>
      <c r="AU266" s="622" t="n"/>
      <c r="AV266" s="622" t="n"/>
      <c r="AW266" s="622" t="n"/>
      <c r="AX266" s="622" t="n"/>
      <c r="AY266" s="622" t="n"/>
    </row>
    <row r="267" ht="15" customHeight="1" s="8286">
      <c r="A267" s="9593" t="inlineStr">
        <is>
          <t>ACTIVIDAD</t>
        </is>
      </c>
      <c r="B267" s="9593" t="inlineStr">
        <is>
          <t>RIESGO</t>
        </is>
      </c>
      <c r="C267" s="7632" t="inlineStr">
        <is>
          <t xml:space="preserve">TOTAL               </t>
        </is>
      </c>
      <c r="D267" s="9602" t="n"/>
      <c r="E267" s="9603" t="n"/>
      <c r="F267" s="9651" t="inlineStr">
        <is>
          <t>RANGO ETARIO Y SEXO</t>
        </is>
      </c>
      <c r="G267" s="9617" t="n"/>
      <c r="H267" s="9617" t="n"/>
      <c r="I267" s="9617" t="n"/>
      <c r="J267" s="9617" t="n"/>
      <c r="K267" s="9617" t="n"/>
      <c r="L267" s="9617" t="n"/>
      <c r="M267" s="9617" t="n"/>
      <c r="N267" s="9617" t="n"/>
      <c r="O267" s="9617" t="n"/>
      <c r="P267" s="9617" t="n"/>
      <c r="Q267" s="9617" t="n"/>
      <c r="R267" s="9617" t="n"/>
      <c r="S267" s="9617" t="n"/>
      <c r="T267" s="9617" t="n"/>
      <c r="U267" s="9652" t="n"/>
      <c r="V267" s="9598" t="inlineStr">
        <is>
          <t>Gestantes</t>
        </is>
      </c>
      <c r="W267" s="9846" t="inlineStr">
        <is>
          <t xml:space="preserve">Madre de hijo menor de 5 años </t>
        </is>
      </c>
      <c r="X267" s="9847" t="inlineStr">
        <is>
          <t xml:space="preserve">SENAME/ Servicio Nacional de Reinserción social Juvenil </t>
        </is>
      </c>
      <c r="Y267" s="8158" t="inlineStr">
        <is>
          <t>Servicio Nacional Protección Especializada a la Niñez y Adolescencia</t>
        </is>
      </c>
      <c r="Z267" s="9848" t="inlineStr">
        <is>
          <t>TRANS</t>
        </is>
      </c>
      <c r="AA267" s="9630" t="n"/>
      <c r="AB267" s="9849" t="inlineStr">
        <is>
          <t>Pueblos Originarios</t>
        </is>
      </c>
      <c r="AC267" s="9850" t="inlineStr">
        <is>
          <t>Migrantes</t>
        </is>
      </c>
      <c r="AD267" s="622" t="n"/>
      <c r="AE267" s="622" t="n"/>
      <c r="AF267" s="622" t="n"/>
      <c r="AG267" s="622" t="n"/>
      <c r="AH267" s="622" t="n"/>
      <c r="AI267" s="622" t="n"/>
      <c r="AJ267" s="622" t="n"/>
      <c r="AK267" s="622" t="n"/>
      <c r="AL267" s="622" t="n"/>
      <c r="AM267" s="622" t="n"/>
      <c r="AN267" s="622" t="n"/>
      <c r="AO267" s="622" t="n"/>
      <c r="AP267" s="622" t="n"/>
      <c r="AQ267" s="622" t="n"/>
      <c r="AR267" s="622" t="n"/>
      <c r="AS267" s="622" t="n"/>
      <c r="AT267" s="622" t="n"/>
      <c r="AU267" s="622" t="n"/>
      <c r="AV267" s="622" t="n"/>
      <c r="AW267" s="622" t="n"/>
      <c r="AX267" s="622" t="n"/>
      <c r="AY267" s="622" t="n"/>
    </row>
    <row r="268">
      <c r="A268" s="9588" t="n"/>
      <c r="B268" s="9588" t="n"/>
      <c r="C268" s="9698" t="n"/>
      <c r="D268" s="9591" t="n"/>
      <c r="E268" s="9611" t="n"/>
      <c r="F268" s="9631" t="inlineStr">
        <is>
          <t>0 - 9 años</t>
        </is>
      </c>
      <c r="G268" s="9632" t="n"/>
      <c r="H268" s="9631" t="inlineStr">
        <is>
          <t>10 - 19 años</t>
        </is>
      </c>
      <c r="I268" s="9632" t="n"/>
      <c r="J268" s="9631" t="inlineStr">
        <is>
          <t>20 - 24 años</t>
        </is>
      </c>
      <c r="K268" s="9632" t="n"/>
      <c r="L268" s="9631" t="inlineStr">
        <is>
          <t>25 - 44 años</t>
        </is>
      </c>
      <c r="M268" s="9632" t="n"/>
      <c r="N268" s="9631" t="inlineStr">
        <is>
          <t>45 - 59 años</t>
        </is>
      </c>
      <c r="O268" s="9632" t="n"/>
      <c r="P268" s="9631" t="inlineStr">
        <is>
          <t>60 - 64 años</t>
        </is>
      </c>
      <c r="Q268" s="9632" t="n"/>
      <c r="R268" s="9631" t="inlineStr">
        <is>
          <t>65 - 79 años</t>
        </is>
      </c>
      <c r="S268" s="9632" t="n"/>
      <c r="T268" s="9651" t="inlineStr">
        <is>
          <t>80 y más años</t>
        </is>
      </c>
      <c r="U268" s="9652" t="n"/>
      <c r="V268" s="9683" t="n"/>
      <c r="X268" s="9851" t="n"/>
      <c r="Y268" s="9668" t="n"/>
      <c r="Z268" s="9697" t="n"/>
      <c r="AA268" s="9639" t="n"/>
      <c r="AB268" s="9852" t="n"/>
      <c r="AC268" s="9853" t="n"/>
      <c r="AD268" s="622" t="n"/>
      <c r="AE268" s="622" t="n"/>
      <c r="AF268" s="622" t="n"/>
      <c r="AG268" s="622" t="n"/>
      <c r="AH268" s="622" t="n"/>
      <c r="AI268" s="622" t="n"/>
      <c r="AJ268" s="622" t="n"/>
      <c r="AK268" s="622" t="n"/>
      <c r="AL268" s="622" t="n"/>
      <c r="AM268" s="622" t="n"/>
      <c r="AN268" s="622" t="n"/>
      <c r="AO268" s="622" t="n"/>
      <c r="AP268" s="622" t="n"/>
      <c r="AQ268" s="622" t="n"/>
      <c r="AR268" s="622" t="n"/>
      <c r="AS268" s="622" t="n"/>
      <c r="AT268" s="622" t="n"/>
      <c r="AU268" s="622" t="n"/>
      <c r="AV268" s="622" t="n"/>
      <c r="AW268" s="622" t="n"/>
      <c r="AX268" s="622" t="n"/>
      <c r="AY268" s="622" t="n"/>
    </row>
    <row r="269" ht="47.25" customHeight="1" s="8286">
      <c r="A269" s="9589" t="n"/>
      <c r="B269" s="9589" t="n"/>
      <c r="C269" s="1900" t="inlineStr">
        <is>
          <t>Ambos Sexos</t>
        </is>
      </c>
      <c r="D269" s="1901" t="inlineStr">
        <is>
          <t>Hombres</t>
        </is>
      </c>
      <c r="E269" s="7280" t="inlineStr">
        <is>
          <t>Mujeres</t>
        </is>
      </c>
      <c r="F269" s="1500" t="inlineStr">
        <is>
          <t>Hombres</t>
        </is>
      </c>
      <c r="G269" s="7280" t="inlineStr">
        <is>
          <t>Mujeres</t>
        </is>
      </c>
      <c r="H269" s="1500" t="inlineStr">
        <is>
          <t>Hombres</t>
        </is>
      </c>
      <c r="I269" s="7280" t="inlineStr">
        <is>
          <t>Mujeres</t>
        </is>
      </c>
      <c r="J269" s="1500" t="inlineStr">
        <is>
          <t>Hombres</t>
        </is>
      </c>
      <c r="K269" s="7280" t="inlineStr">
        <is>
          <t>Mujeres</t>
        </is>
      </c>
      <c r="L269" s="1500" t="inlineStr">
        <is>
          <t xml:space="preserve">Hombres </t>
        </is>
      </c>
      <c r="M269" s="7280" t="inlineStr">
        <is>
          <t>Mujeres</t>
        </is>
      </c>
      <c r="N269" s="1500" t="inlineStr">
        <is>
          <t xml:space="preserve">Hombres </t>
        </is>
      </c>
      <c r="O269" s="7280" t="inlineStr">
        <is>
          <t>Mujeres</t>
        </is>
      </c>
      <c r="P269" s="1500" t="inlineStr">
        <is>
          <t xml:space="preserve">Hombres </t>
        </is>
      </c>
      <c r="Q269" s="7280" t="inlineStr">
        <is>
          <t>Mujeres</t>
        </is>
      </c>
      <c r="R269" s="1500" t="inlineStr">
        <is>
          <t xml:space="preserve">Hombres </t>
        </is>
      </c>
      <c r="S269" s="7280" t="inlineStr">
        <is>
          <t>Mujeres</t>
        </is>
      </c>
      <c r="T269" s="1500" t="inlineStr">
        <is>
          <t xml:space="preserve">Hombres </t>
        </is>
      </c>
      <c r="U269" s="7276" t="inlineStr">
        <is>
          <t>Mujeres</t>
        </is>
      </c>
      <c r="V269" s="9604" t="n"/>
      <c r="W269" s="9591" t="n"/>
      <c r="X269" s="9854" t="n"/>
      <c r="Y269" s="9855" t="n"/>
      <c r="Z269" s="7400" t="inlineStr">
        <is>
          <t>Masculino</t>
        </is>
      </c>
      <c r="AA269" s="7542" t="inlineStr">
        <is>
          <t>Femenino</t>
        </is>
      </c>
      <c r="AB269" s="9800" t="n"/>
      <c r="AC269" s="9856" t="n"/>
      <c r="AD269" s="622" t="n"/>
      <c r="AE269" s="622" t="n"/>
      <c r="AF269" s="622" t="n"/>
      <c r="AG269" s="622" t="n"/>
      <c r="AH269" s="622" t="n"/>
      <c r="AI269" s="622" t="n"/>
      <c r="AJ269" s="622" t="n"/>
      <c r="AK269" s="622" t="n"/>
      <c r="AL269" s="622" t="n"/>
      <c r="AM269" s="622" t="n"/>
      <c r="AN269" s="622" t="n"/>
      <c r="AO269" s="622" t="n"/>
      <c r="AP269" s="622" t="n"/>
      <c r="AQ269" s="622" t="n"/>
      <c r="AR269" s="622" t="n"/>
      <c r="AS269" s="622" t="n"/>
      <c r="AT269" s="622" t="n"/>
      <c r="AU269" s="622" t="n"/>
      <c r="AV269" s="622" t="n"/>
      <c r="AW269" s="622" t="n"/>
      <c r="AX269" s="622" t="n"/>
      <c r="AY269" s="622" t="n"/>
    </row>
    <row r="270" ht="21" customHeight="1" s="8286">
      <c r="A270" s="9612" t="inlineStr">
        <is>
          <t>Categorización de los ingresos según nivel de riesgo en salud mental</t>
        </is>
      </c>
      <c r="B270" s="1902" t="inlineStr">
        <is>
          <t>Nivel de riesgo bajo, no requiere ingreso a tratamiento (N0)</t>
        </is>
      </c>
      <c r="C270" s="1611">
        <f>SUM(D270+E270)</f>
        <v/>
      </c>
      <c r="D270" s="1903">
        <f>SUM(F270+H270+J270+L270+N270+P270+R270+T270)</f>
        <v/>
      </c>
      <c r="E270" s="1904">
        <f>SUM(G270+I270+K270+M270+O270+Q270+S270+U270)</f>
        <v/>
      </c>
      <c r="F270" s="1511" t="n"/>
      <c r="G270" s="1512" t="n"/>
      <c r="H270" s="1511" t="n"/>
      <c r="I270" s="1512" t="n"/>
      <c r="J270" s="1511" t="n"/>
      <c r="K270" s="1512" t="n"/>
      <c r="L270" s="1511" t="n"/>
      <c r="M270" s="1512" t="n"/>
      <c r="N270" s="1511" t="n"/>
      <c r="O270" s="1512" t="n"/>
      <c r="P270" s="1511" t="n"/>
      <c r="Q270" s="1512" t="n"/>
      <c r="R270" s="1511" t="n"/>
      <c r="S270" s="1512" t="n"/>
      <c r="T270" s="1511" t="n"/>
      <c r="U270" s="1905" t="n"/>
      <c r="V270" s="1906" t="n"/>
      <c r="W270" s="1907" t="n"/>
      <c r="X270" s="1908" t="n"/>
      <c r="Y270" s="1909" t="n"/>
      <c r="Z270" s="1910" t="n"/>
      <c r="AA270" s="1911" t="n"/>
      <c r="AB270" s="1912" t="n"/>
      <c r="AC270" s="5346" t="n"/>
      <c r="AD270" s="622" t="n"/>
      <c r="AE270" s="622" t="n"/>
      <c r="AF270" s="622" t="n"/>
      <c r="AG270" s="622" t="n"/>
      <c r="AH270" s="622" t="n"/>
      <c r="AI270" s="622" t="n"/>
      <c r="AJ270" s="622" t="n"/>
      <c r="AK270" s="622" t="n"/>
      <c r="AL270" s="622" t="n"/>
      <c r="AM270" s="622" t="n"/>
      <c r="AN270" s="622" t="n"/>
      <c r="AO270" s="622" t="n"/>
      <c r="AP270" s="622" t="n"/>
      <c r="AQ270" s="622" t="n"/>
      <c r="AR270" s="622" t="n"/>
      <c r="AS270" s="622" t="n"/>
      <c r="AT270" s="622" t="n"/>
      <c r="AU270" s="622" t="n"/>
      <c r="AV270" s="622" t="n"/>
      <c r="AW270" s="622" t="n"/>
      <c r="AX270" s="622" t="n"/>
      <c r="AY270" s="622" t="n"/>
    </row>
    <row r="271">
      <c r="A271" s="9588" t="n"/>
      <c r="B271" s="1644" t="inlineStr">
        <is>
          <t>Riesgo Leve (N1)</t>
        </is>
      </c>
      <c r="C271" s="1784">
        <f>SUM(D271+E271)</f>
        <v/>
      </c>
      <c r="D271" s="1785">
        <f>SUM(F271+H271+J271+L271+N271+P271+R271+T271)</f>
        <v/>
      </c>
      <c r="E271" s="1786">
        <f>SUM(G271+I271+K271+M271+O271+Q271+S271+U271)</f>
        <v/>
      </c>
      <c r="F271" s="942" t="n"/>
      <c r="G271" s="1535" t="n"/>
      <c r="H271" s="942" t="n"/>
      <c r="I271" s="1535" t="n"/>
      <c r="J271" s="942" t="n"/>
      <c r="K271" s="1535" t="n"/>
      <c r="L271" s="942" t="n"/>
      <c r="M271" s="1535" t="n"/>
      <c r="N271" s="942" t="n"/>
      <c r="O271" s="1535" t="n"/>
      <c r="P271" s="942" t="n"/>
      <c r="Q271" s="1535" t="n"/>
      <c r="R271" s="942" t="n"/>
      <c r="S271" s="1535" t="n"/>
      <c r="T271" s="942" t="n"/>
      <c r="U271" s="1634" t="n"/>
      <c r="V271" s="1534" t="n"/>
      <c r="W271" s="1077" t="n"/>
      <c r="X271" s="1913" t="n"/>
      <c r="Y271" s="1914" t="n"/>
      <c r="Z271" s="1635" t="n"/>
      <c r="AA271" s="1535" t="n"/>
      <c r="AB271" s="942" t="n"/>
      <c r="AC271" s="954" t="n"/>
      <c r="AD271" s="7478">
        <f>CA271&amp;CB271&amp;CC271&amp;CD271&amp;CE271&amp;CF271&amp;CG271&amp;CH271</f>
        <v/>
      </c>
      <c r="AE271" s="622" t="n"/>
      <c r="AF271" s="622" t="n"/>
      <c r="AG271" s="622" t="n"/>
      <c r="AH271" s="622" t="n"/>
      <c r="AI271" s="622" t="n"/>
      <c r="AJ271" s="622" t="n"/>
      <c r="AK271" s="622" t="n"/>
      <c r="AL271" s="622" t="n"/>
      <c r="AM271" s="622" t="n"/>
      <c r="AN271" s="622" t="n"/>
      <c r="AO271" s="622" t="n"/>
      <c r="AP271" s="622" t="n"/>
      <c r="AQ271" s="622" t="n"/>
      <c r="AR271" s="622" t="n"/>
      <c r="AS271" s="622" t="n"/>
      <c r="AT271" s="622" t="n"/>
      <c r="AU271" s="622" t="n"/>
      <c r="AV271" s="622" t="n"/>
      <c r="AW271" s="622" t="n"/>
      <c r="AX271" s="622" t="n"/>
      <c r="AY271" s="622" t="n"/>
      <c r="CA271" s="240">
        <f>IF(AND($C271&lt;&gt;0,V271=""),"* No olvide ingresar la variable "&amp;V$267&amp;""&amp;". Digite CERO si no tiene. ",IF(V271&gt;$C271,"* La variable Gestantes no debe ser mayor al Total Ambos Sexos. ",""))</f>
        <v/>
      </c>
      <c r="CB271" s="240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>
        <f>IF(AND($C271&lt;&gt;0,AC271=""),"* No olvide ingresar la variable "&amp;AC$267&amp;""&amp;". Digite CERO si no tiene. ",IF(AC271&gt;$C271,"* La variable Migrantes no debe ser mayor al Total Ambos Sexos. ",""))</f>
        <v/>
      </c>
      <c r="CI271" s="64" t="n"/>
      <c r="CK271" s="29">
        <f>IF(AND($C271&lt;&gt;0,V271=""),1,IF(V271&gt;$C271,1,0))</f>
        <v/>
      </c>
      <c r="CL271" s="29">
        <f>IF(AND($C271&lt;&gt;0,W271=""),1,IF(W271&gt;$C271,1,0))</f>
        <v/>
      </c>
      <c r="CM271" s="29">
        <f>IF(AND($C271&lt;&gt;0,X271=""),1,IF(X271&gt;$C271,1,0))</f>
        <v/>
      </c>
      <c r="CN271" s="29">
        <f>IF(AND($C271&lt;&gt;0,Y271=""),1,IF(Y271&gt;$C271,1,0))</f>
        <v/>
      </c>
      <c r="CO271" s="29">
        <f>IF(AND($E271&lt;&gt;0,Z271=""),1,IF(Z271&gt;$E271,1,0))</f>
        <v/>
      </c>
      <c r="CP271" s="29">
        <f>IF(AND($D271&lt;&gt;0,AA271=""),1,IF(AA271&gt;$D271,1,0))</f>
        <v/>
      </c>
      <c r="CQ271" s="29">
        <f>IF(AND($C271&lt;&gt;0,AB271=""),1,IF(AB271&gt;$C271,1,0))</f>
        <v/>
      </c>
      <c r="CR271" s="29">
        <f>IF(AND($C271&lt;&gt;0,AC271=""),1,IF(AC271&gt;$C271,1,0))</f>
        <v/>
      </c>
    </row>
    <row r="272">
      <c r="A272" s="9588" t="n"/>
      <c r="B272" s="1646" t="inlineStr">
        <is>
          <t>Riesgo Moderado (N2)</t>
        </is>
      </c>
      <c r="C272" s="1614">
        <f>SUM(D272+E272)</f>
        <v/>
      </c>
      <c r="D272" s="1605">
        <f>SUM(F272+H272+J272+L272+N272+P272+R272+T272)</f>
        <v/>
      </c>
      <c r="E272" s="1915">
        <f>SUM(G272+I272+K272+M272+O272+Q272+S272+U272)</f>
        <v/>
      </c>
      <c r="F272" s="942" t="n"/>
      <c r="G272" s="1535" t="n"/>
      <c r="H272" s="942" t="n"/>
      <c r="I272" s="1535" t="n"/>
      <c r="J272" s="942" t="n"/>
      <c r="K272" s="1535" t="n"/>
      <c r="L272" s="942" t="n"/>
      <c r="M272" s="1535" t="n"/>
      <c r="N272" s="942" t="n"/>
      <c r="O272" s="1535" t="n"/>
      <c r="P272" s="942" t="n"/>
      <c r="Q272" s="1535" t="n"/>
      <c r="R272" s="942" t="n"/>
      <c r="S272" s="1535" t="n"/>
      <c r="T272" s="942" t="n"/>
      <c r="U272" s="1634" t="n"/>
      <c r="V272" s="1534" t="n"/>
      <c r="W272" s="1077" t="n"/>
      <c r="X272" s="1913" t="n"/>
      <c r="Y272" s="1914" t="n"/>
      <c r="Z272" s="1635" t="n"/>
      <c r="AA272" s="1535" t="n"/>
      <c r="AB272" s="942" t="n"/>
      <c r="AC272" s="954" t="n"/>
      <c r="AD272" s="969">
        <f>CA272&amp;CB272&amp;CC272&amp;CD272&amp;CE272&amp;CF272&amp;CG272&amp;CH272</f>
        <v/>
      </c>
      <c r="AE272" s="622" t="n"/>
      <c r="AF272" s="622" t="n"/>
      <c r="AG272" s="622" t="n"/>
      <c r="AH272" s="622" t="n"/>
      <c r="AI272" s="622" t="n"/>
      <c r="AJ272" s="622" t="n"/>
      <c r="AK272" s="622" t="n"/>
      <c r="AL272" s="622" t="n"/>
      <c r="AM272" s="622" t="n"/>
      <c r="AN272" s="622" t="n"/>
      <c r="AO272" s="622" t="n"/>
      <c r="AP272" s="622" t="n"/>
      <c r="AQ272" s="622" t="n"/>
      <c r="AR272" s="622" t="n"/>
      <c r="AS272" s="622" t="n"/>
      <c r="AT272" s="622" t="n"/>
      <c r="AU272" s="622" t="n"/>
      <c r="AV272" s="622" t="n"/>
      <c r="AW272" s="622" t="n"/>
      <c r="AX272" s="622" t="n"/>
      <c r="AY272" s="622" t="n"/>
      <c r="CA272" s="240">
        <f>IF(AND($C272&lt;&gt;0,V272=""),"* No olvide ingresar la variable "&amp;V$267&amp;""&amp;". Digite CERO si no tiene. ",IF(V272&gt;$C272,"* La variable Gestantes no debe ser mayor al Total Ambos Sexos. ",""))</f>
        <v/>
      </c>
      <c r="CB272" s="240">
        <f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>
        <f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>
        <f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>
        <f>IF(AND($E272&lt;&gt;0,Z272=""),"* No olvide ingresar la variable "&amp;Z$267&amp;""&amp;" Masculino. Digite CERO si no tiene. ",IF(Z272&gt;$E272,"* La variable TRANS Masculino no debe ser mayor al Total Mujeres. ",""))</f>
        <v/>
      </c>
      <c r="CF272" s="240">
        <f>IF(AND($D272&lt;&gt;0,AA272=""),"* No olvide ingresar la variable "&amp;Z$267&amp;""&amp;" Femenino. Digite CERO si no tiene. ",IF(AA272&gt;$D272,"* La variable TRANS Femenino no debe ser mayor al Total Hombres. ",""))</f>
        <v/>
      </c>
      <c r="CG272" s="240">
        <f>IF(AND($C272&lt;&gt;0,AB272=""),"* No olvide ingresar la variable "&amp;AB$267&amp;""&amp;". Digite CERO si no tiene. ",IF(AB272&gt;$C272,"* La variable Pueblos Originarios no debe ser mayor al Total Ambos Sexos. ",""))</f>
        <v/>
      </c>
      <c r="CH272" s="240">
        <f>IF(AND($C272&lt;&gt;0,AC272=""),"* No olvide ingresar la variable "&amp;AC$267&amp;""&amp;". Digite CERO si no tiene. ",IF(AC272&gt;$C272,"* La variable Migrantes no debe ser mayor al Total Ambos Sexos. ",""))</f>
        <v/>
      </c>
      <c r="CI272" s="64" t="n"/>
      <c r="CK272" s="29">
        <f>IF(AND($C272&lt;&gt;0,V272=""),1,IF(V272&gt;$C272,1,0))</f>
        <v/>
      </c>
      <c r="CL272" s="29">
        <f>IF(AND($C272&lt;&gt;0,W272=""),1,IF(W272&gt;$C272,1,0))</f>
        <v/>
      </c>
      <c r="CM272" s="29">
        <f>IF(AND($C272&lt;&gt;0,X272=""),1,IF(X272&gt;$C272,1,0))</f>
        <v/>
      </c>
      <c r="CN272" s="29">
        <f>IF(AND($C272&lt;&gt;0,Y272=""),1,IF(Y272&gt;$C272,1,0))</f>
        <v/>
      </c>
      <c r="CO272" s="29">
        <f>IF(AND($E272&lt;&gt;0,Z272=""),1,IF(Z272&gt;$E272,1,0))</f>
        <v/>
      </c>
      <c r="CP272" s="29">
        <f>IF(AND($D272&lt;&gt;0,AA272=""),1,IF(AA272&gt;$D272,1,0))</f>
        <v/>
      </c>
      <c r="CQ272" s="29">
        <f>IF(AND($C272&lt;&gt;0,AB272=""),1,IF(AB272&gt;$C272,1,0))</f>
        <v/>
      </c>
      <c r="CR272" s="29">
        <f>IF(AND($C272&lt;&gt;0,AC272=""),1,IF(AC272&gt;$C272,1,0))</f>
        <v/>
      </c>
    </row>
    <row r="273">
      <c r="A273" s="9588" t="n"/>
      <c r="B273" s="1783" t="inlineStr">
        <is>
          <t>Riesgo Alto (N3)</t>
        </is>
      </c>
      <c r="C273" s="1614">
        <f>SUM(D273+E273)</f>
        <v/>
      </c>
      <c r="D273" s="1605">
        <f>SUM(F273+H273+J273+L273+N273+P273+R273+T273)</f>
        <v/>
      </c>
      <c r="E273" s="1915">
        <f>SUM(G273+I273+K273+M273+O273+Q273+S273+U273)</f>
        <v/>
      </c>
      <c r="F273" s="1539" t="n"/>
      <c r="G273" s="1544" t="n"/>
      <c r="H273" s="1539" t="n"/>
      <c r="I273" s="1544" t="n"/>
      <c r="J273" s="1539" t="n"/>
      <c r="K273" s="1544" t="n"/>
      <c r="L273" s="1539" t="n"/>
      <c r="M273" s="1544" t="n"/>
      <c r="N273" s="1539" t="n"/>
      <c r="O273" s="1544" t="n"/>
      <c r="P273" s="1539" t="n"/>
      <c r="Q273" s="1544" t="n"/>
      <c r="R273" s="1539" t="n"/>
      <c r="S273" s="1544" t="n"/>
      <c r="T273" s="1539" t="n"/>
      <c r="U273" s="1639" t="n"/>
      <c r="V273" s="1543" t="n"/>
      <c r="W273" s="1726" t="n"/>
      <c r="X273" s="1916" t="n"/>
      <c r="Y273" s="1689" t="n"/>
      <c r="Z273" s="1615" t="n"/>
      <c r="AA273" s="1544" t="n"/>
      <c r="AB273" s="1539" t="n"/>
      <c r="AC273" s="5347" t="n"/>
      <c r="AD273" s="969">
        <f>CA273&amp;CB273&amp;CC273&amp;CD273&amp;CE273&amp;CF273&amp;CG273&amp;CH273</f>
        <v/>
      </c>
      <c r="AE273" s="622" t="n"/>
      <c r="AF273" s="622" t="n"/>
      <c r="AG273" s="622" t="n"/>
      <c r="AH273" s="622" t="n"/>
      <c r="AI273" s="622" t="n"/>
      <c r="AJ273" s="622" t="n"/>
      <c r="AK273" s="622" t="n"/>
      <c r="AL273" s="622" t="n"/>
      <c r="AM273" s="622" t="n"/>
      <c r="AN273" s="622" t="n"/>
      <c r="AO273" s="622" t="n"/>
      <c r="AP273" s="622" t="n"/>
      <c r="AQ273" s="622" t="n"/>
      <c r="AR273" s="622" t="n"/>
      <c r="AS273" s="622" t="n"/>
      <c r="AT273" s="622" t="n"/>
      <c r="AU273" s="622" t="n"/>
      <c r="AV273" s="622" t="n"/>
      <c r="AW273" s="622" t="n"/>
      <c r="AX273" s="622" t="n"/>
      <c r="AY273" s="622" t="n"/>
      <c r="CA273" s="240">
        <f>IF(AND($C273&lt;&gt;0,V273=""),"* No olvide ingresar la variable "&amp;V$267&amp;""&amp;". Digite CERO si no tiene. ",IF(V273&gt;$C273,"* La variable Gestantes no debe ser mayor al Total Ambos Sexos. ",""))</f>
        <v/>
      </c>
      <c r="CB273" s="240">
        <f>IF(AND($C273&lt;&gt;0,W273=""),"* No olvide ingresar la variable "&amp;W$267&amp;""&amp;". Digite CERO si no tiene. ",IF(W273&gt;$C273,"* La variable Madre de hijo menor de 5 años no debe ser mayor al Total Ambos Sexos. ",""))</f>
        <v/>
      </c>
      <c r="CC273" s="240">
        <f>IF(AND($C273&lt;&gt;0,X273=""),"* No olvide ingresar la variable "&amp;X$267&amp;""&amp;". Digite CERO si no tiene. ",IF(X273&gt;$C273,"* La variable SENAME/ Servicio Nacional de Reinserción social Juvenil no debe ser mayor al Total Ambos Sexos. ",""))</f>
        <v/>
      </c>
      <c r="CD273" s="240">
        <f>IF(AND($C273&lt;&gt;0,Y273=""),"* No olvide ingresar la variable "&amp;Y$267&amp;""&amp;". Digite CERO si no tiene. ",IF(Y273&gt;$C273,"* La variable Servicio Nacional Protección Especializada a la Niñez y Adolescencia no debe ser mayor al Total Ambos Sexos. ",""))</f>
        <v/>
      </c>
      <c r="CE273" s="240">
        <f>IF(AND($E273&lt;&gt;0,Z273=""),"* No olvide ingresar la variable "&amp;Z$267&amp;""&amp;" Masculino. Digite CERO si no tiene. ",IF(Z273&gt;$E273,"* La variable TRANS Masculino no debe ser mayor al Total Mujeres. ",""))</f>
        <v/>
      </c>
      <c r="CF273" s="240">
        <f>IF(AND($D273&lt;&gt;0,AA273=""),"* No olvide ingresar la variable "&amp;Z$267&amp;""&amp;" Femenino. Digite CERO si no tiene. ",IF(AA273&gt;$D273,"* La variable TRANS Femenino no debe ser mayor al Total Hombres. ",""))</f>
        <v/>
      </c>
      <c r="CG273" s="240">
        <f>IF(AND($C273&lt;&gt;0,AB273=""),"* No olvide ingresar la variable "&amp;AB$267&amp;""&amp;". Digite CERO si no tiene. ",IF(AB273&gt;$C273,"* La variable Pueblos Originarios no debe ser mayor al Total Ambos Sexos. ",""))</f>
        <v/>
      </c>
      <c r="CH273" s="240">
        <f>IF(AND($C273&lt;&gt;0,AC273=""),"* No olvide ingresar la variable "&amp;AC$267&amp;""&amp;". Digite CERO si no tiene. ",IF(AC273&gt;$C273,"* La variable Migrantes no debe ser mayor al Total Ambos Sexos. ",""))</f>
        <v/>
      </c>
      <c r="CI273" s="64" t="n"/>
      <c r="CK273" s="29">
        <f>IF(AND($C273&lt;&gt;0,V273=""),1,IF(V273&gt;$C273,1,0))</f>
        <v/>
      </c>
      <c r="CL273" s="29">
        <f>IF(AND($C273&lt;&gt;0,W273=""),1,IF(W273&gt;$C273,1,0))</f>
        <v/>
      </c>
      <c r="CM273" s="29">
        <f>IF(AND($C273&lt;&gt;0,X273=""),1,IF(X273&gt;$C273,1,0))</f>
        <v/>
      </c>
      <c r="CN273" s="29">
        <f>IF(AND($C273&lt;&gt;0,Y273=""),1,IF(Y273&gt;$C273,1,0))</f>
        <v/>
      </c>
      <c r="CO273" s="29">
        <f>IF(AND($E273&lt;&gt;0,Z273=""),1,IF(Z273&gt;$E273,1,0))</f>
        <v/>
      </c>
      <c r="CP273" s="29">
        <f>IF(AND($D273&lt;&gt;0,AA273=""),1,IF(AA273&gt;$D273,1,0))</f>
        <v/>
      </c>
      <c r="CQ273" s="29">
        <f>IF(AND($C273&lt;&gt;0,AB273=""),1,IF(AB273&gt;$C273,1,0))</f>
        <v/>
      </c>
      <c r="CR273" s="29">
        <f>IF(AND($C273&lt;&gt;0,AC273=""),1,IF(AC273&gt;$C273,1,0))</f>
        <v/>
      </c>
    </row>
    <row r="274">
      <c r="A274" s="9589" t="n"/>
      <c r="B274" s="1648" t="inlineStr">
        <is>
          <t>Riesgo Alto y Severidad Alta (N4)</t>
        </is>
      </c>
      <c r="C274" s="1621">
        <f>SUM(D274+E274)</f>
        <v/>
      </c>
      <c r="D274" s="1608">
        <f>SUM(F274+H274+J274+L274+N274+P274+R274+T274)</f>
        <v/>
      </c>
      <c r="E274" s="1917">
        <f>SUM(G274+I274+K274+M274+O274+Q274+S274+U274)</f>
        <v/>
      </c>
      <c r="F274" s="1083" t="n"/>
      <c r="G274" s="1590" t="n"/>
      <c r="H274" s="1083" t="n"/>
      <c r="I274" s="1590" t="n"/>
      <c r="J274" s="1083" t="n"/>
      <c r="K274" s="1590" t="n"/>
      <c r="L274" s="1083" t="n"/>
      <c r="M274" s="1590" t="n"/>
      <c r="N274" s="1083" t="n"/>
      <c r="O274" s="1590" t="n"/>
      <c r="P274" s="1083" t="n"/>
      <c r="Q274" s="1590" t="n"/>
      <c r="R274" s="1083" t="n"/>
      <c r="S274" s="1590" t="n"/>
      <c r="T274" s="1083" t="n"/>
      <c r="U274" s="1918" t="n"/>
      <c r="V274" s="951" t="n"/>
      <c r="W274" s="1919" t="n"/>
      <c r="X274" s="1092" t="n"/>
      <c r="Y274" s="1920" t="n"/>
      <c r="Z274" s="1628" t="n"/>
      <c r="AA274" s="1590" t="n"/>
      <c r="AB274" s="1083" t="n"/>
      <c r="AC274" s="954" t="n"/>
      <c r="AD274" s="969">
        <f>CA274&amp;CB274&amp;CC274&amp;CD274&amp;CE274&amp;CF274&amp;CG274&amp;CH274</f>
        <v/>
      </c>
      <c r="AE274" s="622" t="n"/>
      <c r="AF274" s="622" t="n"/>
      <c r="AG274" s="622" t="n"/>
      <c r="AH274" s="622" t="n"/>
      <c r="AI274" s="622" t="n"/>
      <c r="AJ274" s="622" t="n"/>
      <c r="AK274" s="622" t="n"/>
      <c r="AL274" s="622" t="n"/>
      <c r="AM274" s="622" t="n"/>
      <c r="AN274" s="622" t="n"/>
      <c r="AO274" s="622" t="n"/>
      <c r="AP274" s="622" t="n"/>
      <c r="AQ274" s="622" t="n"/>
      <c r="AR274" s="622" t="n"/>
      <c r="AS274" s="622" t="n"/>
      <c r="AT274" s="622" t="n"/>
      <c r="AU274" s="622" t="n"/>
      <c r="AV274" s="622" t="n"/>
      <c r="AW274" s="622" t="n"/>
      <c r="AX274" s="622" t="n"/>
      <c r="AY274" s="622" t="n"/>
      <c r="CA274" s="240">
        <f>IF(AND($C274&lt;&gt;0,V274=""),"* No olvide ingresar la variable "&amp;V$267&amp;""&amp;". Digite CERO si no tiene. ",IF(V274&gt;$C274,"* La variable Gestantes no debe ser mayor al Total Ambos Sexos. ",""))</f>
        <v/>
      </c>
      <c r="CB274" s="240">
        <f>IF(AND($C274&lt;&gt;0,W274=""),"* No olvide ingresar la variable "&amp;W$267&amp;""&amp;". Digite CERO si no tiene. ",IF(W274&gt;$C274,"* La variable Madre de hijo menor de 5 años no debe ser mayor al Total Ambos Sexos. ",""))</f>
        <v/>
      </c>
      <c r="CC274" s="240">
        <f>IF(AND($C274&lt;&gt;0,X274=""),"* No olvide ingresar la variable "&amp;X$267&amp;""&amp;". Digite CERO si no tiene. ",IF(X274&gt;$C274,"* La variable SENAME/ Servicio Nacional de Reinserción social Juvenil no debe ser mayor al Total Ambos Sexos. ",""))</f>
        <v/>
      </c>
      <c r="CD274" s="240">
        <f>IF(AND($C274&lt;&gt;0,Y274=""),"* No olvide ingresar la variable "&amp;Y$267&amp;""&amp;". Digite CERO si no tiene. ",IF(Y274&gt;$C274,"* La variable Servicio Nacional Protección Especializada a la Niñez y Adolescencia no debe ser mayor al Total Ambos Sexos. ",""))</f>
        <v/>
      </c>
      <c r="CE274" s="240">
        <f>IF(AND($E274&lt;&gt;0,Z274=""),"* No olvide ingresar la variable "&amp;Z$267&amp;""&amp;" Masculino. Digite CERO si no tiene. ",IF(Z274&gt;$E274,"* La variable TRANS Masculino no debe ser mayor al Total Mujeres. ",""))</f>
        <v/>
      </c>
      <c r="CF274" s="240">
        <f>IF(AND($D274&lt;&gt;0,AA274=""),"* No olvide ingresar la variable "&amp;Z$267&amp;""&amp;" Femenino. Digite CERO si no tiene. ",IF(AA274&gt;$D274,"* La variable TRANS Femenino no debe ser mayor al Total Hombres. ",""))</f>
        <v/>
      </c>
      <c r="CG274" s="240">
        <f>IF(AND($C274&lt;&gt;0,AB274=""),"* No olvide ingresar la variable "&amp;AB$267&amp;""&amp;". Digite CERO si no tiene. ",IF(AB274&gt;$C274,"* La variable Pueblos Originarios no debe ser mayor al Total Ambos Sexos. ",""))</f>
        <v/>
      </c>
      <c r="CH274" s="240">
        <f>IF(AND($C274&lt;&gt;0,AC274=""),"* No olvide ingresar la variable "&amp;AC$267&amp;""&amp;". Digite CERO si no tiene. ",IF(AC274&gt;$C274,"* La variable Migrantes no debe ser mayor al Total Ambos Sexos. ",""))</f>
        <v/>
      </c>
      <c r="CI274" s="64" t="n"/>
      <c r="CK274" s="29">
        <f>IF(AND($C274&lt;&gt;0,V274=""),1,IF(V274&gt;$C274,1,0))</f>
        <v/>
      </c>
      <c r="CL274" s="29">
        <f>IF(AND($C274&lt;&gt;0,W274=""),1,IF(W274&gt;$C274,1,0))</f>
        <v/>
      </c>
      <c r="CM274" s="29">
        <f>IF(AND($C274&lt;&gt;0,X274=""),1,IF(X274&gt;$C274,1,0))</f>
        <v/>
      </c>
      <c r="CN274" s="29">
        <f>IF(AND($C274&lt;&gt;0,Y274=""),1,IF(Y274&gt;$C274,1,0))</f>
        <v/>
      </c>
      <c r="CO274" s="29">
        <f>IF(AND($E274&lt;&gt;0,Z274=""),1,IF(Z274&gt;$E274,1,0))</f>
        <v/>
      </c>
      <c r="CP274" s="29">
        <f>IF(AND($D274&lt;&gt;0,AA274=""),1,IF(AA274&gt;$D274,1,0))</f>
        <v/>
      </c>
      <c r="CQ274" s="29">
        <f>IF(AND($C274&lt;&gt;0,AB274=""),1,IF(AB274&gt;$C274,1,0))</f>
        <v/>
      </c>
      <c r="CR274" s="29">
        <f>IF(AND($C274&lt;&gt;0,AC274=""),1,IF(AC274&gt;$C274,1,0))</f>
        <v/>
      </c>
    </row>
    <row r="275">
      <c r="A275" s="622" t="n"/>
      <c r="B275" s="622" t="n"/>
      <c r="C275" s="622" t="n"/>
      <c r="D275" s="622" t="n"/>
      <c r="E275" s="622" t="n"/>
      <c r="F275" s="622" t="n"/>
      <c r="G275" s="622" t="n"/>
      <c r="H275" s="622" t="n"/>
      <c r="I275" s="622" t="n"/>
      <c r="J275" s="622" t="n"/>
      <c r="K275" s="622" t="n"/>
      <c r="L275" s="622" t="n"/>
      <c r="M275" s="622" t="n"/>
      <c r="N275" s="622" t="n"/>
      <c r="O275" s="622" t="n"/>
      <c r="P275" s="622" t="n"/>
      <c r="Q275" s="622" t="n"/>
      <c r="R275" s="622" t="n"/>
      <c r="S275" s="622" t="n"/>
      <c r="T275" s="622" t="n"/>
      <c r="U275" s="622" t="n"/>
      <c r="V275" s="622" t="n"/>
      <c r="W275" s="622" t="n"/>
      <c r="X275" s="622" t="n"/>
      <c r="Y275" s="622" t="n"/>
      <c r="Z275" s="622" t="n"/>
      <c r="AA275" s="622" t="n"/>
      <c r="AB275" s="622" t="n"/>
      <c r="AC275" s="622" t="n"/>
      <c r="AD275" s="622" t="n"/>
      <c r="AE275" s="622" t="n"/>
      <c r="AF275" s="622" t="n"/>
      <c r="AG275" s="622" t="n"/>
      <c r="AH275" s="622" t="n"/>
      <c r="AI275" s="622" t="n"/>
      <c r="AJ275" s="622" t="n"/>
      <c r="AK275" s="622" t="n"/>
      <c r="AL275" s="622" t="n"/>
      <c r="AM275" s="622" t="n"/>
      <c r="AN275" s="622" t="n"/>
      <c r="AO275" s="622" t="n"/>
      <c r="AP275" s="622" t="n"/>
      <c r="AQ275" s="622" t="n"/>
      <c r="AR275" s="622" t="n"/>
      <c r="AS275" s="622" t="n"/>
      <c r="AT275" s="622" t="n"/>
      <c r="AU275" s="622" t="n"/>
      <c r="AV275" s="622" t="n"/>
      <c r="AW275" s="622" t="n"/>
      <c r="AX275" s="622" t="n"/>
      <c r="AY275" s="622" t="n"/>
    </row>
    <row r="276">
      <c r="A276" s="622" t="n"/>
      <c r="B276" s="622" t="n"/>
      <c r="C276" s="622" t="n"/>
      <c r="D276" s="622" t="n"/>
      <c r="E276" s="622" t="n"/>
      <c r="F276" s="622" t="n"/>
      <c r="G276" s="622" t="n"/>
      <c r="H276" s="622" t="n"/>
      <c r="I276" s="622" t="n"/>
      <c r="J276" s="622" t="n"/>
      <c r="K276" s="622" t="n"/>
      <c r="L276" s="622" t="n"/>
      <c r="M276" s="622" t="n"/>
      <c r="N276" s="622" t="n"/>
      <c r="O276" s="622" t="n"/>
      <c r="P276" s="622" t="n"/>
      <c r="Q276" s="622" t="n"/>
      <c r="R276" s="622" t="n"/>
      <c r="S276" s="622" t="n"/>
      <c r="T276" s="622" t="n"/>
      <c r="U276" s="622" t="n"/>
      <c r="V276" s="622" t="n"/>
      <c r="W276" s="622" t="n"/>
      <c r="X276" s="622" t="n"/>
      <c r="Y276" s="622" t="n"/>
      <c r="Z276" s="622" t="n"/>
      <c r="AA276" s="622" t="n"/>
      <c r="AB276" s="622" t="n"/>
      <c r="AC276" s="622" t="n"/>
      <c r="AD276" s="622" t="n"/>
      <c r="AE276" s="622" t="n"/>
      <c r="AF276" s="622" t="n"/>
      <c r="AG276" s="622" t="n"/>
      <c r="AH276" s="622" t="n"/>
      <c r="AI276" s="622" t="n"/>
      <c r="AJ276" s="622" t="n"/>
      <c r="AK276" s="622" t="n"/>
      <c r="AL276" s="622" t="n"/>
      <c r="AM276" s="622" t="n"/>
      <c r="AN276" s="622" t="n"/>
      <c r="AO276" s="622" t="n"/>
      <c r="AP276" s="622" t="n"/>
      <c r="AQ276" s="622" t="n"/>
      <c r="AR276" s="622" t="n"/>
      <c r="AS276" s="622" t="n"/>
      <c r="AT276" s="622" t="n"/>
      <c r="AU276" s="622" t="n"/>
      <c r="AV276" s="622" t="n"/>
      <c r="AW276" s="622" t="n"/>
      <c r="AX276" s="622" t="n"/>
      <c r="AY276" s="622" t="n"/>
    </row>
    <row r="277" ht="12" customHeight="1" s="8286">
      <c r="A277" s="622" t="n"/>
      <c r="B277" s="622" t="n"/>
      <c r="C277" s="622" t="n"/>
      <c r="D277" s="622" t="n"/>
      <c r="E277" s="622" t="n"/>
      <c r="F277" s="622" t="n"/>
      <c r="G277" s="622" t="n"/>
      <c r="H277" s="622" t="n"/>
      <c r="I277" s="622" t="n"/>
      <c r="J277" s="622" t="n"/>
      <c r="K277" s="622" t="n"/>
      <c r="L277" s="622" t="n"/>
      <c r="M277" s="622" t="n"/>
      <c r="N277" s="622" t="n"/>
      <c r="O277" s="622" t="n"/>
      <c r="P277" s="622" t="n"/>
      <c r="Q277" s="622" t="n"/>
      <c r="R277" s="622" t="n"/>
      <c r="S277" s="622" t="n"/>
      <c r="T277" s="622" t="n"/>
      <c r="U277" s="622" t="n"/>
      <c r="V277" s="622" t="n"/>
      <c r="W277" s="622" t="n"/>
      <c r="X277" s="622" t="n"/>
      <c r="Y277" s="622" t="n"/>
      <c r="Z277" s="622" t="n"/>
      <c r="AA277" s="622" t="n"/>
      <c r="AB277" s="622" t="n"/>
      <c r="AC277" s="622" t="n"/>
      <c r="AD277" s="622" t="n"/>
      <c r="AE277" s="622" t="n"/>
      <c r="AF277" s="622" t="n"/>
      <c r="AG277" s="622" t="n"/>
      <c r="AH277" s="622" t="n"/>
      <c r="AI277" s="622" t="n"/>
      <c r="AJ277" s="622" t="n"/>
      <c r="AK277" s="622" t="n"/>
      <c r="AL277" s="622" t="n"/>
      <c r="AM277" s="622" t="n"/>
      <c r="AN277" s="622" t="n"/>
      <c r="AO277" s="622" t="n"/>
      <c r="AP277" s="622" t="n"/>
      <c r="AQ277" s="622" t="n"/>
      <c r="AR277" s="622" t="n"/>
      <c r="AS277" s="622" t="n"/>
      <c r="AT277" s="622" t="n"/>
      <c r="AU277" s="622" t="n"/>
      <c r="AV277" s="622" t="n"/>
      <c r="AW277" s="622" t="n"/>
      <c r="AX277" s="622" t="n"/>
      <c r="AY277" s="622" t="n"/>
    </row>
    <row r="278" hidden="1" ht="18" customHeight="1" s="8286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/>
      </c>
      <c r="B278" s="1078">
        <f>SUM(CK20:CR274)</f>
        <v/>
      </c>
      <c r="C278" s="622" t="n"/>
      <c r="D278" s="622" t="n"/>
      <c r="E278" s="622" t="n"/>
      <c r="F278" s="622" t="n"/>
      <c r="G278" s="622" t="n"/>
      <c r="H278" s="622" t="n"/>
      <c r="I278" s="622" t="n"/>
      <c r="J278" s="622" t="n"/>
      <c r="K278" s="622" t="n"/>
      <c r="L278" s="622" t="n"/>
      <c r="M278" s="622" t="n"/>
      <c r="N278" s="622" t="n"/>
      <c r="O278" s="622" t="n"/>
      <c r="P278" s="622" t="n"/>
      <c r="Q278" s="622" t="n"/>
      <c r="R278" s="622" t="n"/>
      <c r="S278" s="622" t="n"/>
      <c r="T278" s="622" t="n"/>
      <c r="U278" s="622" t="n"/>
      <c r="V278" s="622" t="n"/>
      <c r="W278" s="622" t="n"/>
      <c r="X278" s="622" t="n"/>
      <c r="Y278" s="622" t="n"/>
      <c r="Z278" s="622" t="n"/>
      <c r="AA278" s="622" t="n"/>
      <c r="AB278" s="622" t="n"/>
      <c r="AC278" s="622" t="n"/>
      <c r="AD278" s="622" t="n"/>
      <c r="AE278" s="622" t="n"/>
      <c r="AF278" s="622" t="n"/>
      <c r="AG278" s="622" t="n"/>
      <c r="AH278" s="622" t="n"/>
      <c r="AI278" s="622" t="n"/>
      <c r="AJ278" s="622" t="n"/>
      <c r="AK278" s="622" t="n"/>
      <c r="AL278" s="622" t="n"/>
      <c r="AM278" s="622" t="n"/>
      <c r="AN278" s="622" t="n"/>
      <c r="AO278" s="622" t="n"/>
      <c r="AP278" s="622" t="n"/>
      <c r="AQ278" s="622" t="n"/>
      <c r="AR278" s="622" t="n"/>
      <c r="AS278" s="622" t="n"/>
      <c r="AT278" s="622" t="n"/>
      <c r="AU278" s="622" t="n"/>
      <c r="AV278" s="622" t="n"/>
      <c r="AW278" s="622" t="n"/>
      <c r="AX278" s="622" t="n"/>
      <c r="AY278" s="622" t="n"/>
    </row>
    <row r="279">
      <c r="A279" s="622" t="n"/>
      <c r="B279" s="622" t="n"/>
      <c r="C279" s="622" t="n"/>
      <c r="D279" s="622" t="n"/>
      <c r="E279" s="622" t="n"/>
      <c r="F279" s="622" t="n"/>
      <c r="G279" s="622" t="n"/>
      <c r="H279" s="622" t="n"/>
      <c r="I279" s="622" t="n"/>
      <c r="J279" s="622" t="n"/>
      <c r="K279" s="622" t="n"/>
      <c r="L279" s="622" t="n"/>
      <c r="M279" s="622" t="n"/>
      <c r="N279" s="622" t="n"/>
      <c r="O279" s="622" t="n"/>
      <c r="P279" s="622" t="n"/>
      <c r="Q279" s="622" t="n"/>
      <c r="R279" s="622" t="n"/>
      <c r="S279" s="622" t="n"/>
      <c r="T279" s="622" t="n"/>
      <c r="U279" s="622" t="n"/>
      <c r="V279" s="622" t="n"/>
      <c r="W279" s="622" t="n"/>
      <c r="X279" s="622" t="n"/>
      <c r="Y279" s="622" t="n"/>
      <c r="Z279" s="622" t="n"/>
      <c r="AA279" s="622" t="n"/>
      <c r="AB279" s="622" t="n"/>
      <c r="AC279" s="622" t="n"/>
      <c r="AD279" s="622" t="n"/>
      <c r="AE279" s="622" t="n"/>
      <c r="AF279" s="622" t="n"/>
      <c r="AG279" s="622" t="n"/>
      <c r="AH279" s="622" t="n"/>
      <c r="AI279" s="622" t="n"/>
      <c r="AJ279" s="622" t="n"/>
      <c r="AK279" s="622" t="n"/>
      <c r="AL279" s="622" t="n"/>
      <c r="AM279" s="622" t="n"/>
      <c r="AN279" s="622" t="n"/>
      <c r="AO279" s="622" t="n"/>
      <c r="AP279" s="622" t="n"/>
      <c r="AQ279" s="622" t="n"/>
      <c r="AR279" s="622" t="n"/>
      <c r="AS279" s="622" t="n"/>
      <c r="AT279" s="622" t="n"/>
      <c r="AU279" s="622" t="n"/>
      <c r="AV279" s="622" t="n"/>
      <c r="AW279" s="622" t="n"/>
      <c r="AX279" s="622" t="n"/>
      <c r="AY279" s="622" t="n"/>
    </row>
    <row r="280">
      <c r="A280" s="622" t="n"/>
      <c r="B280" s="622" t="n"/>
      <c r="C280" s="622" t="n"/>
      <c r="D280" s="622" t="n"/>
      <c r="E280" s="622" t="n"/>
      <c r="F280" s="622" t="n"/>
      <c r="G280" s="622" t="n"/>
      <c r="H280" s="622" t="n"/>
      <c r="I280" s="622" t="n"/>
      <c r="J280" s="622" t="n"/>
      <c r="K280" s="622" t="n"/>
      <c r="L280" s="622" t="n"/>
      <c r="M280" s="622" t="n"/>
      <c r="N280" s="622" t="n"/>
      <c r="O280" s="622" t="n"/>
      <c r="P280" s="622" t="n"/>
      <c r="Q280" s="622" t="n"/>
      <c r="R280" s="622" t="n"/>
      <c r="S280" s="622" t="n"/>
      <c r="T280" s="622" t="n"/>
      <c r="U280" s="622" t="n"/>
      <c r="V280" s="622" t="n"/>
      <c r="W280" s="622" t="n"/>
      <c r="X280" s="622" t="n"/>
      <c r="Y280" s="622" t="n"/>
      <c r="Z280" s="622" t="n"/>
      <c r="AA280" s="622" t="n"/>
      <c r="AB280" s="622" t="n"/>
      <c r="AC280" s="622" t="n"/>
      <c r="AD280" s="622" t="n"/>
      <c r="AE280" s="622" t="n"/>
      <c r="AF280" s="622" t="n"/>
      <c r="AG280" s="622" t="n"/>
      <c r="AH280" s="622" t="n"/>
      <c r="AI280" s="622" t="n"/>
      <c r="AJ280" s="622" t="n"/>
      <c r="AK280" s="622" t="n"/>
      <c r="AL280" s="622" t="n"/>
      <c r="AM280" s="622" t="n"/>
      <c r="AN280" s="622" t="n"/>
      <c r="AO280" s="622" t="n"/>
      <c r="AP280" s="622" t="n"/>
      <c r="AQ280" s="622" t="n"/>
      <c r="AR280" s="622" t="n"/>
      <c r="AS280" s="622" t="n"/>
      <c r="AT280" s="622" t="n"/>
      <c r="AU280" s="622" t="n"/>
      <c r="AV280" s="622" t="n"/>
      <c r="AW280" s="622" t="n"/>
      <c r="AX280" s="622" t="n"/>
      <c r="AY280" s="622" t="n"/>
    </row>
    <row r="281">
      <c r="A281" s="622" t="n"/>
      <c r="B281" s="622" t="n"/>
      <c r="C281" s="622" t="n"/>
      <c r="D281" s="622" t="n"/>
      <c r="E281" s="622" t="n"/>
      <c r="F281" s="622" t="n"/>
      <c r="G281" s="622" t="n"/>
      <c r="H281" s="622" t="n"/>
      <c r="I281" s="622" t="n"/>
      <c r="J281" s="622" t="n"/>
      <c r="K281" s="622" t="n"/>
      <c r="L281" s="622" t="n"/>
      <c r="M281" s="622" t="n"/>
      <c r="N281" s="622" t="n"/>
      <c r="O281" s="622" t="n"/>
      <c r="P281" s="622" t="n"/>
      <c r="Q281" s="622" t="n"/>
      <c r="R281" s="622" t="n"/>
      <c r="S281" s="622" t="n"/>
      <c r="T281" s="622" t="n"/>
      <c r="U281" s="622" t="n"/>
      <c r="V281" s="622" t="n"/>
      <c r="W281" s="622" t="n"/>
      <c r="X281" s="622" t="n"/>
      <c r="Y281" s="622" t="n"/>
      <c r="Z281" s="622" t="n"/>
      <c r="AA281" s="622" t="n"/>
      <c r="AB281" s="622" t="n"/>
      <c r="AC281" s="622" t="n"/>
      <c r="AD281" s="622" t="n"/>
      <c r="AE281" s="622" t="n"/>
      <c r="AF281" s="622" t="n"/>
      <c r="AG281" s="622" t="n"/>
      <c r="AH281" s="622" t="n"/>
      <c r="AI281" s="622" t="n"/>
      <c r="AJ281" s="622" t="n"/>
      <c r="AK281" s="622" t="n"/>
      <c r="AL281" s="622" t="n"/>
      <c r="AM281" s="622" t="n"/>
      <c r="AN281" s="622" t="n"/>
      <c r="AO281" s="622" t="n"/>
      <c r="AP281" s="622" t="n"/>
      <c r="AQ281" s="622" t="n"/>
      <c r="AR281" s="622" t="n"/>
      <c r="AS281" s="622" t="n"/>
      <c r="AT281" s="622" t="n"/>
      <c r="AU281" s="622" t="n"/>
      <c r="AV281" s="622" t="n"/>
      <c r="AW281" s="622" t="n"/>
      <c r="AX281" s="622" t="n"/>
      <c r="AY281" s="622" t="n"/>
    </row>
    <row r="282">
      <c r="A282" s="622" t="n"/>
      <c r="B282" s="622" t="n"/>
      <c r="C282" s="622" t="n"/>
      <c r="D282" s="622" t="n"/>
      <c r="E282" s="622" t="n"/>
      <c r="F282" s="622" t="n"/>
      <c r="G282" s="622" t="n"/>
      <c r="H282" s="622" t="n"/>
      <c r="I282" s="622" t="n"/>
      <c r="J282" s="622" t="n"/>
      <c r="K282" s="622" t="n"/>
      <c r="L282" s="622" t="n"/>
      <c r="M282" s="622" t="n"/>
      <c r="N282" s="622" t="n"/>
      <c r="O282" s="622" t="n"/>
      <c r="P282" s="622" t="n"/>
      <c r="Q282" s="622" t="n"/>
      <c r="R282" s="622" t="n"/>
      <c r="S282" s="622" t="n"/>
      <c r="T282" s="622" t="n"/>
      <c r="U282" s="622" t="n"/>
      <c r="V282" s="622" t="n"/>
      <c r="W282" s="622" t="n"/>
      <c r="X282" s="622" t="n"/>
      <c r="Y282" s="622" t="n"/>
      <c r="Z282" s="622" t="n"/>
      <c r="AA282" s="622" t="n"/>
      <c r="AB282" s="622" t="n"/>
      <c r="AC282" s="622" t="n"/>
      <c r="AD282" s="622" t="n"/>
      <c r="AE282" s="622" t="n"/>
      <c r="AF282" s="622" t="n"/>
      <c r="AG282" s="622" t="n"/>
      <c r="AH282" s="622" t="n"/>
      <c r="AI282" s="622" t="n"/>
      <c r="AJ282" s="622" t="n"/>
      <c r="AK282" s="622" t="n"/>
      <c r="AL282" s="622" t="n"/>
      <c r="AM282" s="622" t="n"/>
      <c r="AN282" s="622" t="n"/>
      <c r="AO282" s="622" t="n"/>
      <c r="AP282" s="622" t="n"/>
      <c r="AQ282" s="622" t="n"/>
      <c r="AR282" s="622" t="n"/>
      <c r="AS282" s="622" t="n"/>
      <c r="AT282" s="622" t="n"/>
      <c r="AU282" s="622" t="n"/>
      <c r="AV282" s="622" t="n"/>
      <c r="AW282" s="622" t="n"/>
      <c r="AX282" s="622" t="n"/>
      <c r="AY282" s="622" t="n"/>
    </row>
    <row r="283">
      <c r="A283" s="622" t="n"/>
      <c r="B283" s="622" t="n"/>
      <c r="C283" s="622" t="n"/>
      <c r="D283" s="622" t="n"/>
      <c r="E283" s="622" t="n"/>
      <c r="F283" s="622" t="n"/>
      <c r="G283" s="622" t="n"/>
      <c r="H283" s="622" t="n"/>
      <c r="I283" s="622" t="n"/>
      <c r="J283" s="622" t="n"/>
      <c r="K283" s="622" t="n"/>
      <c r="L283" s="622" t="n"/>
      <c r="M283" s="622" t="n"/>
      <c r="N283" s="622" t="n"/>
      <c r="O283" s="622" t="n"/>
      <c r="P283" s="622" t="n"/>
      <c r="Q283" s="622" t="n"/>
      <c r="R283" s="622" t="n"/>
      <c r="S283" s="622" t="n"/>
      <c r="T283" s="622" t="n"/>
      <c r="U283" s="622" t="n"/>
      <c r="V283" s="622" t="n"/>
      <c r="W283" s="622" t="n"/>
      <c r="X283" s="622" t="n"/>
      <c r="Y283" s="622" t="n"/>
      <c r="Z283" s="622" t="n"/>
      <c r="AA283" s="622" t="n"/>
      <c r="AB283" s="622" t="n"/>
      <c r="AC283" s="622" t="n"/>
      <c r="AD283" s="622" t="n"/>
      <c r="AE283" s="622" t="n"/>
      <c r="AF283" s="622" t="n"/>
      <c r="AG283" s="622" t="n"/>
      <c r="AH283" s="622" t="n"/>
      <c r="AI283" s="622" t="n"/>
      <c r="AJ283" s="622" t="n"/>
      <c r="AK283" s="622" t="n"/>
      <c r="AL283" s="622" t="n"/>
      <c r="AM283" s="622" t="n"/>
      <c r="AN283" s="622" t="n"/>
      <c r="AO283" s="622" t="n"/>
      <c r="AP283" s="622" t="n"/>
      <c r="AQ283" s="622" t="n"/>
      <c r="AR283" s="622" t="n"/>
      <c r="AS283" s="622" t="n"/>
      <c r="AT283" s="622" t="n"/>
      <c r="AU283" s="622" t="n"/>
      <c r="AV283" s="622" t="n"/>
      <c r="AW283" s="622" t="n"/>
      <c r="AX283" s="622" t="n"/>
      <c r="AY283" s="622" t="n"/>
    </row>
    <row r="284">
      <c r="A284" s="622" t="n"/>
      <c r="B284" s="622" t="n"/>
      <c r="C284" s="622" t="n"/>
      <c r="D284" s="622" t="n"/>
      <c r="E284" s="622" t="n"/>
      <c r="F284" s="622" t="n"/>
      <c r="G284" s="622" t="n"/>
      <c r="H284" s="622" t="n"/>
      <c r="I284" s="622" t="n"/>
      <c r="J284" s="622" t="n"/>
      <c r="K284" s="622" t="n"/>
      <c r="L284" s="622" t="n"/>
      <c r="M284" s="622" t="n"/>
      <c r="N284" s="622" t="n"/>
      <c r="O284" s="622" t="n"/>
      <c r="P284" s="622" t="n"/>
      <c r="Q284" s="622" t="n"/>
      <c r="R284" s="622" t="n"/>
      <c r="S284" s="622" t="n"/>
      <c r="T284" s="622" t="n"/>
      <c r="U284" s="622" t="n"/>
      <c r="V284" s="622" t="n"/>
      <c r="W284" s="622" t="n"/>
      <c r="X284" s="622" t="n"/>
      <c r="Y284" s="622" t="n"/>
      <c r="Z284" s="622" t="n"/>
      <c r="AA284" s="622" t="n"/>
      <c r="AB284" s="622" t="n"/>
      <c r="AC284" s="622" t="n"/>
      <c r="AD284" s="622" t="n"/>
      <c r="AE284" s="622" t="n"/>
      <c r="AF284" s="622" t="n"/>
      <c r="AG284" s="622" t="n"/>
      <c r="AH284" s="622" t="n"/>
      <c r="AI284" s="622" t="n"/>
      <c r="AJ284" s="622" t="n"/>
      <c r="AK284" s="622" t="n"/>
      <c r="AL284" s="622" t="n"/>
      <c r="AM284" s="622" t="n"/>
      <c r="AN284" s="622" t="n"/>
      <c r="AO284" s="622" t="n"/>
      <c r="AP284" s="622" t="n"/>
      <c r="AQ284" s="622" t="n"/>
      <c r="AR284" s="622" t="n"/>
      <c r="AS284" s="622" t="n"/>
      <c r="AT284" s="622" t="n"/>
      <c r="AU284" s="622" t="n"/>
      <c r="AV284" s="622" t="n"/>
      <c r="AW284" s="622" t="n"/>
      <c r="AX284" s="622" t="n"/>
      <c r="AY284" s="622" t="n"/>
    </row>
    <row r="285">
      <c r="A285" s="622" t="n"/>
      <c r="B285" s="622" t="n"/>
      <c r="C285" s="622" t="n"/>
      <c r="D285" s="622" t="n"/>
      <c r="E285" s="622" t="n"/>
      <c r="F285" s="622" t="n"/>
      <c r="G285" s="622" t="n"/>
      <c r="H285" s="622" t="n"/>
      <c r="I285" s="622" t="n"/>
      <c r="J285" s="622" t="n"/>
      <c r="K285" s="622" t="n"/>
      <c r="L285" s="622" t="n"/>
      <c r="M285" s="622" t="n"/>
      <c r="N285" s="622" t="n"/>
      <c r="O285" s="622" t="n"/>
      <c r="P285" s="622" t="n"/>
      <c r="Q285" s="622" t="n"/>
      <c r="R285" s="622" t="n"/>
      <c r="S285" s="622" t="n"/>
      <c r="T285" s="622" t="n"/>
      <c r="U285" s="622" t="n"/>
      <c r="V285" s="622" t="n"/>
      <c r="W285" s="622" t="n"/>
      <c r="X285" s="622" t="n"/>
      <c r="Y285" s="622" t="n"/>
      <c r="Z285" s="622" t="n"/>
      <c r="AA285" s="622" t="n"/>
      <c r="AB285" s="622" t="n"/>
      <c r="AC285" s="622" t="n"/>
      <c r="AD285" s="622" t="n"/>
      <c r="AE285" s="622" t="n"/>
      <c r="AF285" s="622" t="n"/>
      <c r="AG285" s="622" t="n"/>
      <c r="AH285" s="622" t="n"/>
      <c r="AI285" s="622" t="n"/>
      <c r="AJ285" s="622" t="n"/>
      <c r="AK285" s="622" t="n"/>
      <c r="AL285" s="622" t="n"/>
      <c r="AM285" s="622" t="n"/>
      <c r="AN285" s="622" t="n"/>
      <c r="AO285" s="622" t="n"/>
      <c r="AP285" s="622" t="n"/>
      <c r="AQ285" s="622" t="n"/>
      <c r="AR285" s="622" t="n"/>
      <c r="AS285" s="622" t="n"/>
      <c r="AT285" s="622" t="n"/>
      <c r="AU285" s="622" t="n"/>
      <c r="AV285" s="622" t="n"/>
      <c r="AW285" s="622" t="n"/>
      <c r="AX285" s="622" t="n"/>
      <c r="AY285" s="622" t="n"/>
    </row>
    <row r="286">
      <c r="A286" s="622" t="n"/>
      <c r="B286" s="622" t="n"/>
      <c r="C286" s="622" t="n"/>
      <c r="D286" s="622" t="n"/>
      <c r="E286" s="622" t="n"/>
      <c r="F286" s="622" t="n"/>
      <c r="G286" s="622" t="n"/>
      <c r="H286" s="622" t="n"/>
      <c r="I286" s="622" t="n"/>
      <c r="J286" s="622" t="n"/>
      <c r="K286" s="622" t="n"/>
      <c r="L286" s="622" t="n"/>
      <c r="M286" s="622" t="n"/>
      <c r="N286" s="622" t="n"/>
      <c r="O286" s="622" t="n"/>
      <c r="P286" s="622" t="n"/>
      <c r="Q286" s="622" t="n"/>
      <c r="R286" s="622" t="n"/>
      <c r="S286" s="622" t="n"/>
      <c r="T286" s="622" t="n"/>
      <c r="U286" s="622" t="n"/>
      <c r="V286" s="622" t="n"/>
      <c r="W286" s="622" t="n"/>
      <c r="X286" s="622" t="n"/>
      <c r="Y286" s="622" t="n"/>
      <c r="Z286" s="622" t="n"/>
      <c r="AA286" s="622" t="n"/>
      <c r="AB286" s="622" t="n"/>
      <c r="AC286" s="622" t="n"/>
      <c r="AD286" s="622" t="n"/>
      <c r="AE286" s="622" t="n"/>
      <c r="AF286" s="622" t="n"/>
      <c r="AG286" s="622" t="n"/>
      <c r="AH286" s="622" t="n"/>
      <c r="AI286" s="622" t="n"/>
      <c r="AJ286" s="622" t="n"/>
      <c r="AK286" s="622" t="n"/>
      <c r="AL286" s="622" t="n"/>
      <c r="AM286" s="622" t="n"/>
      <c r="AN286" s="622" t="n"/>
      <c r="AO286" s="622" t="n"/>
      <c r="AP286" s="622" t="n"/>
      <c r="AQ286" s="622" t="n"/>
      <c r="AR286" s="622" t="n"/>
      <c r="AS286" s="622" t="n"/>
      <c r="AT286" s="622" t="n"/>
      <c r="AU286" s="622" t="n"/>
      <c r="AV286" s="622" t="n"/>
      <c r="AW286" s="622" t="n"/>
      <c r="AX286" s="622" t="n"/>
      <c r="AY286" s="622" t="n"/>
    </row>
    <row r="287">
      <c r="A287" s="622" t="n"/>
      <c r="B287" s="622" t="n"/>
      <c r="C287" s="622" t="n"/>
      <c r="D287" s="622" t="n"/>
      <c r="E287" s="622" t="n"/>
      <c r="F287" s="622" t="n"/>
      <c r="G287" s="622" t="n"/>
      <c r="H287" s="622" t="n"/>
      <c r="I287" s="622" t="n"/>
      <c r="J287" s="622" t="n"/>
      <c r="K287" s="622" t="n"/>
      <c r="L287" s="622" t="n"/>
      <c r="M287" s="622" t="n"/>
      <c r="N287" s="622" t="n"/>
      <c r="O287" s="622" t="n"/>
      <c r="P287" s="622" t="n"/>
      <c r="Q287" s="622" t="n"/>
      <c r="R287" s="622" t="n"/>
      <c r="S287" s="622" t="n"/>
      <c r="T287" s="622" t="n"/>
      <c r="U287" s="622" t="n"/>
      <c r="V287" s="622" t="n"/>
      <c r="W287" s="622" t="n"/>
      <c r="X287" s="622" t="n"/>
      <c r="Y287" s="622" t="n"/>
      <c r="Z287" s="622" t="n"/>
      <c r="AA287" s="622" t="n"/>
      <c r="AB287" s="622" t="n"/>
      <c r="AC287" s="622" t="n"/>
      <c r="AD287" s="622" t="n"/>
      <c r="AE287" s="622" t="n"/>
      <c r="AF287" s="622" t="n"/>
      <c r="AG287" s="622" t="n"/>
      <c r="AH287" s="622" t="n"/>
      <c r="AI287" s="622" t="n"/>
      <c r="AJ287" s="622" t="n"/>
      <c r="AK287" s="622" t="n"/>
      <c r="AL287" s="622" t="n"/>
      <c r="AM287" s="622" t="n"/>
      <c r="AN287" s="622" t="n"/>
      <c r="AO287" s="622" t="n"/>
      <c r="AP287" s="622" t="n"/>
      <c r="AQ287" s="622" t="n"/>
      <c r="AR287" s="622" t="n"/>
      <c r="AS287" s="622" t="n"/>
      <c r="AT287" s="622" t="n"/>
      <c r="AU287" s="622" t="n"/>
      <c r="AV287" s="622" t="n"/>
      <c r="AW287" s="622" t="n"/>
      <c r="AX287" s="622" t="n"/>
      <c r="AY287" s="622" t="n"/>
    </row>
    <row r="288">
      <c r="A288" s="622" t="n"/>
      <c r="B288" s="622" t="n"/>
      <c r="C288" s="622" t="n"/>
      <c r="D288" s="622" t="n"/>
      <c r="E288" s="622" t="n"/>
      <c r="F288" s="622" t="n"/>
      <c r="G288" s="622" t="n"/>
      <c r="H288" s="622" t="n"/>
      <c r="I288" s="622" t="n"/>
      <c r="J288" s="622" t="n"/>
      <c r="K288" s="622" t="n"/>
      <c r="L288" s="622" t="n"/>
      <c r="M288" s="622" t="n"/>
      <c r="N288" s="622" t="n"/>
      <c r="O288" s="622" t="n"/>
      <c r="P288" s="622" t="n"/>
      <c r="Q288" s="622" t="n"/>
      <c r="R288" s="622" t="n"/>
      <c r="S288" s="622" t="n"/>
      <c r="T288" s="622" t="n"/>
      <c r="U288" s="622" t="n"/>
      <c r="V288" s="622" t="n"/>
      <c r="W288" s="622" t="n"/>
      <c r="X288" s="622" t="n"/>
      <c r="Y288" s="622" t="n"/>
      <c r="Z288" s="622" t="n"/>
      <c r="AA288" s="622" t="n"/>
      <c r="AB288" s="622" t="n"/>
      <c r="AC288" s="622" t="n"/>
      <c r="AD288" s="622" t="n"/>
      <c r="AE288" s="622" t="n"/>
      <c r="AF288" s="622" t="n"/>
      <c r="AG288" s="622" t="n"/>
      <c r="AH288" s="622" t="n"/>
      <c r="AI288" s="622" t="n"/>
      <c r="AJ288" s="622" t="n"/>
      <c r="AK288" s="622" t="n"/>
      <c r="AL288" s="622" t="n"/>
      <c r="AM288" s="622" t="n"/>
      <c r="AN288" s="622" t="n"/>
      <c r="AO288" s="622" t="n"/>
      <c r="AP288" s="622" t="n"/>
      <c r="AQ288" s="622" t="n"/>
      <c r="AR288" s="622" t="n"/>
      <c r="AS288" s="622" t="n"/>
      <c r="AT288" s="622" t="n"/>
      <c r="AU288" s="622" t="n"/>
      <c r="AV288" s="622" t="n"/>
      <c r="AW288" s="622" t="n"/>
      <c r="AX288" s="622" t="n"/>
      <c r="AY288" s="622" t="n"/>
    </row>
    <row r="289">
      <c r="A289" s="622" t="n"/>
      <c r="B289" s="622" t="n"/>
      <c r="C289" s="622" t="n"/>
      <c r="D289" s="622" t="n"/>
      <c r="E289" s="622" t="n"/>
      <c r="F289" s="622" t="n"/>
      <c r="G289" s="622" t="n"/>
      <c r="H289" s="622" t="n"/>
      <c r="I289" s="622" t="n"/>
      <c r="J289" s="622" t="n"/>
      <c r="K289" s="622" t="n"/>
      <c r="L289" s="622" t="n"/>
      <c r="M289" s="622" t="n"/>
      <c r="N289" s="622" t="n"/>
      <c r="O289" s="622" t="n"/>
      <c r="P289" s="622" t="n"/>
      <c r="Q289" s="622" t="n"/>
      <c r="R289" s="622" t="n"/>
      <c r="S289" s="622" t="n"/>
      <c r="T289" s="622" t="n"/>
      <c r="U289" s="622" t="n"/>
      <c r="V289" s="622" t="n"/>
      <c r="W289" s="622" t="n"/>
      <c r="X289" s="622" t="n"/>
      <c r="Y289" s="622" t="n"/>
      <c r="Z289" s="622" t="n"/>
      <c r="AA289" s="622" t="n"/>
      <c r="AB289" s="622" t="n"/>
      <c r="AC289" s="622" t="n"/>
      <c r="AD289" s="622" t="n"/>
      <c r="AE289" s="622" t="n"/>
      <c r="AF289" s="622" t="n"/>
      <c r="AG289" s="622" t="n"/>
      <c r="AH289" s="622" t="n"/>
      <c r="AI289" s="622" t="n"/>
      <c r="AJ289" s="622" t="n"/>
      <c r="AK289" s="622" t="n"/>
      <c r="AL289" s="622" t="n"/>
      <c r="AM289" s="622" t="n"/>
      <c r="AN289" s="622" t="n"/>
      <c r="AO289" s="622" t="n"/>
      <c r="AP289" s="622" t="n"/>
      <c r="AQ289" s="622" t="n"/>
      <c r="AR289" s="622" t="n"/>
      <c r="AS289" s="622" t="n"/>
      <c r="AT289" s="622" t="n"/>
      <c r="AU289" s="622" t="n"/>
      <c r="AV289" s="622" t="n"/>
      <c r="AW289" s="622" t="n"/>
      <c r="AX289" s="622" t="n"/>
      <c r="AY289" s="622" t="n"/>
    </row>
    <row r="290">
      <c r="A290" s="622" t="n"/>
      <c r="B290" s="622" t="n"/>
      <c r="C290" s="622" t="n"/>
      <c r="D290" s="622" t="n"/>
      <c r="E290" s="622" t="n"/>
      <c r="F290" s="622" t="n"/>
      <c r="G290" s="622" t="n"/>
      <c r="H290" s="622" t="n"/>
      <c r="I290" s="622" t="n"/>
      <c r="J290" s="622" t="n"/>
      <c r="K290" s="622" t="n"/>
      <c r="L290" s="622" t="n"/>
      <c r="M290" s="622" t="n"/>
      <c r="N290" s="622" t="n"/>
      <c r="O290" s="622" t="n"/>
      <c r="P290" s="622" t="n"/>
      <c r="Q290" s="622" t="n"/>
      <c r="R290" s="622" t="n"/>
      <c r="S290" s="622" t="n"/>
      <c r="T290" s="622" t="n"/>
      <c r="U290" s="622" t="n"/>
      <c r="V290" s="622" t="n"/>
      <c r="W290" s="622" t="n"/>
      <c r="X290" s="622" t="n"/>
      <c r="Y290" s="622" t="n"/>
      <c r="Z290" s="622" t="n"/>
      <c r="AA290" s="622" t="n"/>
      <c r="AB290" s="622" t="n"/>
      <c r="AC290" s="622" t="n"/>
      <c r="AD290" s="622" t="n"/>
      <c r="AE290" s="622" t="n"/>
      <c r="AF290" s="622" t="n"/>
      <c r="AG290" s="622" t="n"/>
      <c r="AH290" s="622" t="n"/>
      <c r="AI290" s="622" t="n"/>
      <c r="AJ290" s="622" t="n"/>
      <c r="AK290" s="622" t="n"/>
      <c r="AL290" s="622" t="n"/>
      <c r="AM290" s="622" t="n"/>
      <c r="AN290" s="622" t="n"/>
      <c r="AO290" s="622" t="n"/>
      <c r="AP290" s="622" t="n"/>
      <c r="AQ290" s="622" t="n"/>
      <c r="AR290" s="622" t="n"/>
      <c r="AS290" s="622" t="n"/>
      <c r="AT290" s="622" t="n"/>
      <c r="AU290" s="622" t="n"/>
      <c r="AV290" s="622" t="n"/>
      <c r="AW290" s="622" t="n"/>
      <c r="AX290" s="622" t="n"/>
      <c r="AY290" s="622" t="n"/>
    </row>
    <row r="291">
      <c r="A291" s="622" t="n"/>
      <c r="B291" s="622" t="n"/>
      <c r="C291" s="622" t="n"/>
      <c r="D291" s="622" t="n"/>
      <c r="E291" s="622" t="n"/>
      <c r="F291" s="622" t="n"/>
      <c r="G291" s="622" t="n"/>
      <c r="H291" s="622" t="n"/>
      <c r="I291" s="622" t="n"/>
      <c r="J291" s="622" t="n"/>
      <c r="K291" s="622" t="n"/>
      <c r="L291" s="622" t="n"/>
      <c r="M291" s="622" t="n"/>
      <c r="N291" s="622" t="n"/>
      <c r="O291" s="622" t="n"/>
      <c r="P291" s="622" t="n"/>
      <c r="Q291" s="622" t="n"/>
      <c r="R291" s="622" t="n"/>
      <c r="S291" s="622" t="n"/>
      <c r="T291" s="622" t="n"/>
      <c r="U291" s="622" t="n"/>
      <c r="V291" s="622" t="n"/>
      <c r="W291" s="622" t="n"/>
      <c r="X291" s="622" t="n"/>
      <c r="Y291" s="622" t="n"/>
      <c r="Z291" s="622" t="n"/>
      <c r="AA291" s="622" t="n"/>
      <c r="AB291" s="622" t="n"/>
      <c r="AC291" s="622" t="n"/>
      <c r="AD291" s="622" t="n"/>
      <c r="AE291" s="622" t="n"/>
      <c r="AF291" s="622" t="n"/>
      <c r="AG291" s="622" t="n"/>
      <c r="AH291" s="622" t="n"/>
      <c r="AI291" s="622" t="n"/>
      <c r="AJ291" s="622" t="n"/>
      <c r="AK291" s="622" t="n"/>
      <c r="AL291" s="622" t="n"/>
      <c r="AM291" s="622" t="n"/>
      <c r="AN291" s="622" t="n"/>
      <c r="AO291" s="622" t="n"/>
      <c r="AP291" s="622" t="n"/>
      <c r="AQ291" s="622" t="n"/>
      <c r="AR291" s="622" t="n"/>
      <c r="AS291" s="622" t="n"/>
      <c r="AT291" s="622" t="n"/>
      <c r="AU291" s="622" t="n"/>
      <c r="AV291" s="622" t="n"/>
      <c r="AW291" s="622" t="n"/>
      <c r="AX291" s="622" t="n"/>
      <c r="AY291" s="622" t="n"/>
    </row>
    <row r="292">
      <c r="A292" s="622" t="n"/>
      <c r="B292" s="622" t="n"/>
      <c r="C292" s="622" t="n"/>
      <c r="D292" s="622" t="n"/>
      <c r="E292" s="622" t="n"/>
      <c r="F292" s="622" t="n"/>
      <c r="G292" s="622" t="n"/>
      <c r="H292" s="622" t="n"/>
      <c r="I292" s="622" t="n"/>
      <c r="J292" s="622" t="n"/>
      <c r="K292" s="622" t="n"/>
      <c r="L292" s="622" t="n"/>
      <c r="M292" s="622" t="n"/>
      <c r="N292" s="622" t="n"/>
      <c r="O292" s="622" t="n"/>
      <c r="P292" s="622" t="n"/>
      <c r="Q292" s="622" t="n"/>
      <c r="R292" s="622" t="n"/>
      <c r="S292" s="622" t="n"/>
      <c r="T292" s="622" t="n"/>
      <c r="U292" s="622" t="n"/>
      <c r="V292" s="622" t="n"/>
      <c r="W292" s="622" t="n"/>
      <c r="X292" s="622" t="n"/>
      <c r="Y292" s="622" t="n"/>
      <c r="Z292" s="622" t="n"/>
      <c r="AA292" s="622" t="n"/>
      <c r="AB292" s="622" t="n"/>
      <c r="AC292" s="622" t="n"/>
      <c r="AD292" s="622" t="n"/>
      <c r="AE292" s="622" t="n"/>
      <c r="AF292" s="622" t="n"/>
      <c r="AG292" s="622" t="n"/>
      <c r="AH292" s="622" t="n"/>
      <c r="AI292" s="622" t="n"/>
      <c r="AJ292" s="622" t="n"/>
      <c r="AK292" s="622" t="n"/>
      <c r="AL292" s="622" t="n"/>
      <c r="AM292" s="622" t="n"/>
      <c r="AN292" s="622" t="n"/>
      <c r="AO292" s="622" t="n"/>
      <c r="AP292" s="622" t="n"/>
      <c r="AQ292" s="622" t="n"/>
      <c r="AR292" s="622" t="n"/>
      <c r="AS292" s="622" t="n"/>
      <c r="AT292" s="622" t="n"/>
      <c r="AU292" s="622" t="n"/>
      <c r="AV292" s="622" t="n"/>
      <c r="AW292" s="622" t="n"/>
      <c r="AX292" s="622" t="n"/>
      <c r="AY292" s="622" t="n"/>
    </row>
    <row r="293">
      <c r="A293" s="622" t="n"/>
      <c r="B293" s="622" t="n"/>
      <c r="C293" s="622" t="n"/>
      <c r="D293" s="622" t="n"/>
      <c r="E293" s="622" t="n"/>
      <c r="F293" s="622" t="n"/>
      <c r="G293" s="622" t="n"/>
      <c r="H293" s="622" t="n"/>
      <c r="I293" s="622" t="n"/>
      <c r="J293" s="622" t="n"/>
      <c r="K293" s="622" t="n"/>
      <c r="L293" s="622" t="n"/>
      <c r="M293" s="622" t="n"/>
      <c r="N293" s="622" t="n"/>
      <c r="O293" s="622" t="n"/>
      <c r="P293" s="622" t="n"/>
      <c r="Q293" s="622" t="n"/>
      <c r="R293" s="622" t="n"/>
      <c r="S293" s="622" t="n"/>
      <c r="T293" s="622" t="n"/>
      <c r="U293" s="622" t="n"/>
      <c r="V293" s="622" t="n"/>
      <c r="W293" s="622" t="n"/>
      <c r="X293" s="622" t="n"/>
      <c r="Y293" s="622" t="n"/>
      <c r="Z293" s="622" t="n"/>
      <c r="AA293" s="622" t="n"/>
      <c r="AB293" s="622" t="n"/>
      <c r="AC293" s="622" t="n"/>
      <c r="AD293" s="622" t="n"/>
      <c r="AE293" s="622" t="n"/>
      <c r="AF293" s="622" t="n"/>
      <c r="AG293" s="622" t="n"/>
      <c r="AH293" s="622" t="n"/>
      <c r="AI293" s="622" t="n"/>
      <c r="AJ293" s="622" t="n"/>
      <c r="AK293" s="622" t="n"/>
      <c r="AL293" s="622" t="n"/>
      <c r="AM293" s="622" t="n"/>
      <c r="AN293" s="622" t="n"/>
      <c r="AO293" s="622" t="n"/>
      <c r="AP293" s="622" t="n"/>
      <c r="AQ293" s="622" t="n"/>
      <c r="AR293" s="622" t="n"/>
      <c r="AS293" s="622" t="n"/>
      <c r="AT293" s="622" t="n"/>
      <c r="AU293" s="622" t="n"/>
      <c r="AV293" s="622" t="n"/>
      <c r="AW293" s="622" t="n"/>
      <c r="AX293" s="622" t="n"/>
      <c r="AY293" s="622" t="n"/>
    </row>
    <row r="294">
      <c r="A294" s="622" t="n"/>
      <c r="B294" s="622" t="n"/>
      <c r="C294" s="622" t="n"/>
      <c r="D294" s="622" t="n"/>
      <c r="E294" s="622" t="n"/>
      <c r="F294" s="622" t="n"/>
      <c r="G294" s="622" t="n"/>
      <c r="H294" s="622" t="n"/>
      <c r="I294" s="622" t="n"/>
      <c r="J294" s="622" t="n"/>
      <c r="K294" s="622" t="n"/>
      <c r="L294" s="622" t="n"/>
      <c r="M294" s="622" t="n"/>
      <c r="N294" s="622" t="n"/>
      <c r="O294" s="622" t="n"/>
      <c r="P294" s="622" t="n"/>
      <c r="Q294" s="622" t="n"/>
      <c r="R294" s="622" t="n"/>
      <c r="S294" s="622" t="n"/>
      <c r="T294" s="622" t="n"/>
      <c r="U294" s="622" t="n"/>
      <c r="V294" s="622" t="n"/>
      <c r="W294" s="622" t="n"/>
      <c r="X294" s="622" t="n"/>
      <c r="Y294" s="622" t="n"/>
      <c r="Z294" s="622" t="n"/>
      <c r="AA294" s="622" t="n"/>
      <c r="AB294" s="622" t="n"/>
      <c r="AC294" s="622" t="n"/>
      <c r="AD294" s="622" t="n"/>
      <c r="AE294" s="622" t="n"/>
      <c r="AF294" s="622" t="n"/>
      <c r="AG294" s="622" t="n"/>
      <c r="AH294" s="622" t="n"/>
      <c r="AI294" s="622" t="n"/>
      <c r="AJ294" s="622" t="n"/>
      <c r="AK294" s="622" t="n"/>
      <c r="AL294" s="622" t="n"/>
      <c r="AM294" s="622" t="n"/>
      <c r="AN294" s="622" t="n"/>
      <c r="AO294" s="622" t="n"/>
      <c r="AP294" s="622" t="n"/>
      <c r="AQ294" s="622" t="n"/>
      <c r="AR294" s="622" t="n"/>
      <c r="AS294" s="622" t="n"/>
      <c r="AT294" s="622" t="n"/>
      <c r="AU294" s="622" t="n"/>
      <c r="AV294" s="622" t="n"/>
      <c r="AW294" s="622" t="n"/>
      <c r="AX294" s="622" t="n"/>
      <c r="AY294" s="622" t="n"/>
    </row>
    <row r="295">
      <c r="A295" s="622" t="n"/>
      <c r="B295" s="622" t="n"/>
      <c r="C295" s="622" t="n"/>
      <c r="D295" s="622" t="n"/>
      <c r="E295" s="622" t="n"/>
      <c r="F295" s="622" t="n"/>
      <c r="G295" s="622" t="n"/>
      <c r="H295" s="622" t="n"/>
      <c r="I295" s="622" t="n"/>
      <c r="J295" s="622" t="n"/>
      <c r="K295" s="622" t="n"/>
      <c r="L295" s="622" t="n"/>
      <c r="M295" s="622" t="n"/>
      <c r="N295" s="622" t="n"/>
      <c r="O295" s="622" t="n"/>
      <c r="P295" s="622" t="n"/>
      <c r="Q295" s="622" t="n"/>
      <c r="R295" s="622" t="n"/>
      <c r="S295" s="622" t="n"/>
      <c r="T295" s="622" t="n"/>
      <c r="U295" s="622" t="n"/>
      <c r="V295" s="622" t="n"/>
      <c r="W295" s="622" t="n"/>
      <c r="X295" s="622" t="n"/>
      <c r="Y295" s="622" t="n"/>
      <c r="Z295" s="622" t="n"/>
      <c r="AA295" s="622" t="n"/>
      <c r="AB295" s="622" t="n"/>
      <c r="AC295" s="622" t="n"/>
      <c r="AD295" s="622" t="n"/>
      <c r="AE295" s="622" t="n"/>
      <c r="AF295" s="622" t="n"/>
      <c r="AG295" s="622" t="n"/>
      <c r="AH295" s="622" t="n"/>
      <c r="AI295" s="622" t="n"/>
      <c r="AJ295" s="622" t="n"/>
      <c r="AK295" s="622" t="n"/>
      <c r="AL295" s="622" t="n"/>
      <c r="AM295" s="622" t="n"/>
      <c r="AN295" s="622" t="n"/>
      <c r="AO295" s="622" t="n"/>
      <c r="AP295" s="622" t="n"/>
      <c r="AQ295" s="622" t="n"/>
      <c r="AR295" s="622" t="n"/>
      <c r="AS295" s="622" t="n"/>
      <c r="AT295" s="622" t="n"/>
      <c r="AU295" s="622" t="n"/>
      <c r="AV295" s="622" t="n"/>
      <c r="AW295" s="622" t="n"/>
      <c r="AX295" s="622" t="n"/>
      <c r="AY295" s="622" t="n"/>
    </row>
    <row r="296">
      <c r="A296" s="622" t="n"/>
      <c r="B296" s="622" t="n"/>
      <c r="C296" s="622" t="n"/>
      <c r="D296" s="622" t="n"/>
      <c r="E296" s="622" t="n"/>
      <c r="F296" s="622" t="n"/>
      <c r="G296" s="622" t="n"/>
      <c r="H296" s="622" t="n"/>
      <c r="I296" s="622" t="n"/>
      <c r="J296" s="622" t="n"/>
      <c r="K296" s="622" t="n"/>
      <c r="L296" s="622" t="n"/>
      <c r="M296" s="622" t="n"/>
      <c r="N296" s="622" t="n"/>
      <c r="O296" s="622" t="n"/>
      <c r="P296" s="622" t="n"/>
      <c r="Q296" s="622" t="n"/>
      <c r="R296" s="622" t="n"/>
      <c r="S296" s="622" t="n"/>
      <c r="T296" s="622" t="n"/>
      <c r="U296" s="622" t="n"/>
      <c r="V296" s="622" t="n"/>
      <c r="W296" s="622" t="n"/>
      <c r="X296" s="622" t="n"/>
      <c r="Y296" s="622" t="n"/>
      <c r="Z296" s="622" t="n"/>
      <c r="AA296" s="622" t="n"/>
      <c r="AB296" s="622" t="n"/>
      <c r="AC296" s="622" t="n"/>
      <c r="AD296" s="622" t="n"/>
      <c r="AE296" s="622" t="n"/>
      <c r="AF296" s="622" t="n"/>
      <c r="AG296" s="622" t="n"/>
      <c r="AH296" s="622" t="n"/>
      <c r="AI296" s="622" t="n"/>
      <c r="AJ296" s="622" t="n"/>
      <c r="AK296" s="622" t="n"/>
      <c r="AL296" s="622" t="n"/>
      <c r="AM296" s="622" t="n"/>
      <c r="AN296" s="622" t="n"/>
      <c r="AO296" s="622" t="n"/>
      <c r="AP296" s="622" t="n"/>
      <c r="AQ296" s="622" t="n"/>
      <c r="AR296" s="622" t="n"/>
      <c r="AS296" s="622" t="n"/>
      <c r="AT296" s="622" t="n"/>
      <c r="AU296" s="622" t="n"/>
      <c r="AV296" s="622" t="n"/>
      <c r="AW296" s="622" t="n"/>
      <c r="AX296" s="622" t="n"/>
      <c r="AY296" s="622" t="n"/>
    </row>
    <row r="297">
      <c r="A297" s="622" t="n"/>
      <c r="B297" s="622" t="n"/>
      <c r="C297" s="622" t="n"/>
      <c r="D297" s="622" t="n"/>
      <c r="E297" s="622" t="n"/>
      <c r="F297" s="622" t="n"/>
      <c r="G297" s="622" t="n"/>
      <c r="H297" s="622" t="n"/>
      <c r="I297" s="622" t="n"/>
      <c r="J297" s="622" t="n"/>
      <c r="K297" s="622" t="n"/>
      <c r="L297" s="622" t="n"/>
      <c r="M297" s="622" t="n"/>
      <c r="N297" s="622" t="n"/>
      <c r="O297" s="622" t="n"/>
      <c r="P297" s="622" t="n"/>
      <c r="Q297" s="622" t="n"/>
      <c r="R297" s="622" t="n"/>
      <c r="S297" s="622" t="n"/>
      <c r="T297" s="622" t="n"/>
      <c r="U297" s="622" t="n"/>
      <c r="V297" s="622" t="n"/>
      <c r="W297" s="622" t="n"/>
      <c r="X297" s="622" t="n"/>
      <c r="Y297" s="622" t="n"/>
      <c r="Z297" s="622" t="n"/>
      <c r="AA297" s="622" t="n"/>
      <c r="AB297" s="622" t="n"/>
      <c r="AC297" s="622" t="n"/>
      <c r="AD297" s="622" t="n"/>
      <c r="AE297" s="622" t="n"/>
      <c r="AF297" s="622" t="n"/>
      <c r="AG297" s="622" t="n"/>
      <c r="AH297" s="622" t="n"/>
      <c r="AI297" s="622" t="n"/>
      <c r="AJ297" s="622" t="n"/>
      <c r="AK297" s="622" t="n"/>
      <c r="AL297" s="622" t="n"/>
      <c r="AM297" s="622" t="n"/>
      <c r="AN297" s="622" t="n"/>
      <c r="AO297" s="622" t="n"/>
      <c r="AP297" s="622" t="n"/>
      <c r="AQ297" s="622" t="n"/>
      <c r="AR297" s="622" t="n"/>
      <c r="AS297" s="622" t="n"/>
      <c r="AT297" s="622" t="n"/>
      <c r="AU297" s="622" t="n"/>
      <c r="AV297" s="622" t="n"/>
      <c r="AW297" s="622" t="n"/>
      <c r="AX297" s="622" t="n"/>
      <c r="AY297" s="622" t="n"/>
    </row>
    <row r="298">
      <c r="A298" s="622" t="n"/>
      <c r="B298" s="622" t="n"/>
      <c r="C298" s="622" t="n"/>
      <c r="D298" s="622" t="n"/>
      <c r="E298" s="622" t="n"/>
      <c r="F298" s="622" t="n"/>
      <c r="G298" s="622" t="n"/>
      <c r="H298" s="622" t="n"/>
      <c r="I298" s="622" t="n"/>
      <c r="J298" s="622" t="n"/>
      <c r="K298" s="622" t="n"/>
      <c r="L298" s="622" t="n"/>
      <c r="M298" s="622" t="n"/>
      <c r="N298" s="622" t="n"/>
      <c r="O298" s="622" t="n"/>
      <c r="P298" s="622" t="n"/>
      <c r="Q298" s="622" t="n"/>
      <c r="R298" s="622" t="n"/>
      <c r="S298" s="622" t="n"/>
      <c r="T298" s="622" t="n"/>
      <c r="U298" s="622" t="n"/>
      <c r="V298" s="622" t="n"/>
      <c r="W298" s="622" t="n"/>
      <c r="X298" s="622" t="n"/>
      <c r="Y298" s="622" t="n"/>
      <c r="Z298" s="622" t="n"/>
      <c r="AA298" s="622" t="n"/>
      <c r="AB298" s="622" t="n"/>
      <c r="AC298" s="622" t="n"/>
      <c r="AD298" s="622" t="n"/>
      <c r="AE298" s="622" t="n"/>
      <c r="AF298" s="622" t="n"/>
      <c r="AG298" s="622" t="n"/>
      <c r="AH298" s="622" t="n"/>
      <c r="AI298" s="622" t="n"/>
      <c r="AJ298" s="622" t="n"/>
      <c r="AK298" s="622" t="n"/>
      <c r="AL298" s="622" t="n"/>
      <c r="AM298" s="622" t="n"/>
      <c r="AN298" s="622" t="n"/>
      <c r="AO298" s="622" t="n"/>
      <c r="AP298" s="622" t="n"/>
      <c r="AQ298" s="622" t="n"/>
      <c r="AR298" s="622" t="n"/>
      <c r="AS298" s="622" t="n"/>
      <c r="AT298" s="622" t="n"/>
      <c r="AU298" s="622" t="n"/>
      <c r="AV298" s="622" t="n"/>
      <c r="AW298" s="622" t="n"/>
      <c r="AX298" s="622" t="n"/>
      <c r="AY298" s="622" t="n"/>
    </row>
    <row r="299">
      <c r="A299" s="622" t="n"/>
      <c r="B299" s="622" t="n"/>
      <c r="C299" s="622" t="n"/>
      <c r="D299" s="622" t="n"/>
      <c r="E299" s="622" t="n"/>
      <c r="F299" s="622" t="n"/>
      <c r="G299" s="622" t="n"/>
      <c r="H299" s="622" t="n"/>
      <c r="I299" s="622" t="n"/>
      <c r="J299" s="622" t="n"/>
      <c r="K299" s="622" t="n"/>
      <c r="L299" s="622" t="n"/>
      <c r="M299" s="622" t="n"/>
      <c r="N299" s="622" t="n"/>
      <c r="O299" s="622" t="n"/>
      <c r="P299" s="622" t="n"/>
      <c r="Q299" s="622" t="n"/>
      <c r="R299" s="622" t="n"/>
      <c r="S299" s="622" t="n"/>
      <c r="T299" s="622" t="n"/>
      <c r="U299" s="622" t="n"/>
      <c r="V299" s="622" t="n"/>
      <c r="W299" s="622" t="n"/>
      <c r="X299" s="622" t="n"/>
      <c r="Y299" s="622" t="n"/>
      <c r="Z299" s="622" t="n"/>
      <c r="AA299" s="622" t="n"/>
      <c r="AB299" s="622" t="n"/>
      <c r="AC299" s="622" t="n"/>
      <c r="AD299" s="622" t="n"/>
      <c r="AE299" s="622" t="n"/>
      <c r="AF299" s="622" t="n"/>
      <c r="AG299" s="622" t="n"/>
      <c r="AH299" s="622" t="n"/>
      <c r="AI299" s="622" t="n"/>
      <c r="AJ299" s="622" t="n"/>
      <c r="AK299" s="622" t="n"/>
      <c r="AL299" s="622" t="n"/>
      <c r="AM299" s="622" t="n"/>
      <c r="AN299" s="622" t="n"/>
      <c r="AO299" s="622" t="n"/>
      <c r="AP299" s="622" t="n"/>
      <c r="AQ299" s="622" t="n"/>
      <c r="AR299" s="622" t="n"/>
      <c r="AS299" s="622" t="n"/>
      <c r="AT299" s="622" t="n"/>
      <c r="AU299" s="622" t="n"/>
      <c r="AV299" s="622" t="n"/>
      <c r="AW299" s="622" t="n"/>
      <c r="AX299" s="622" t="n"/>
      <c r="AY299" s="622" t="n"/>
    </row>
    <row r="300">
      <c r="A300" s="622" t="n"/>
      <c r="B300" s="622" t="n"/>
      <c r="C300" s="622" t="n"/>
      <c r="D300" s="622" t="n"/>
      <c r="E300" s="622" t="n"/>
      <c r="F300" s="622" t="n"/>
      <c r="G300" s="622" t="n"/>
      <c r="H300" s="622" t="n"/>
      <c r="I300" s="622" t="n"/>
      <c r="J300" s="622" t="n"/>
      <c r="K300" s="622" t="n"/>
      <c r="L300" s="622" t="n"/>
      <c r="M300" s="622" t="n"/>
      <c r="N300" s="622" t="n"/>
      <c r="O300" s="622" t="n"/>
      <c r="P300" s="622" t="n"/>
      <c r="Q300" s="622" t="n"/>
      <c r="R300" s="622" t="n"/>
      <c r="S300" s="622" t="n"/>
      <c r="T300" s="622" t="n"/>
      <c r="U300" s="622" t="n"/>
      <c r="V300" s="622" t="n"/>
      <c r="W300" s="622" t="n"/>
      <c r="X300" s="622" t="n"/>
      <c r="Y300" s="622" t="n"/>
      <c r="Z300" s="622" t="n"/>
      <c r="AA300" s="622" t="n"/>
      <c r="AB300" s="622" t="n"/>
      <c r="AC300" s="622" t="n"/>
      <c r="AD300" s="622" t="n"/>
      <c r="AE300" s="622" t="n"/>
      <c r="AF300" s="622" t="n"/>
      <c r="AG300" s="622" t="n"/>
      <c r="AH300" s="622" t="n"/>
      <c r="AI300" s="622" t="n"/>
      <c r="AJ300" s="622" t="n"/>
      <c r="AK300" s="622" t="n"/>
      <c r="AL300" s="622" t="n"/>
      <c r="AM300" s="622" t="n"/>
      <c r="AN300" s="622" t="n"/>
      <c r="AO300" s="622" t="n"/>
      <c r="AP300" s="622" t="n"/>
      <c r="AQ300" s="622" t="n"/>
      <c r="AR300" s="622" t="n"/>
      <c r="AS300" s="622" t="n"/>
      <c r="AT300" s="622" t="n"/>
      <c r="AU300" s="622" t="n"/>
      <c r="AV300" s="622" t="n"/>
      <c r="AW300" s="622" t="n"/>
      <c r="AX300" s="622" t="n"/>
      <c r="AY300" s="622" t="n"/>
    </row>
    <row r="301">
      <c r="A301" s="622" t="n"/>
      <c r="B301" s="622" t="n"/>
      <c r="C301" s="622" t="n"/>
      <c r="D301" s="622" t="n"/>
      <c r="E301" s="622" t="n"/>
      <c r="F301" s="622" t="n"/>
      <c r="G301" s="622" t="n"/>
      <c r="H301" s="622" t="n"/>
      <c r="I301" s="622" t="n"/>
      <c r="J301" s="622" t="n"/>
      <c r="K301" s="622" t="n"/>
      <c r="L301" s="622" t="n"/>
      <c r="M301" s="622" t="n"/>
      <c r="N301" s="622" t="n"/>
      <c r="O301" s="622" t="n"/>
      <c r="P301" s="622" t="n"/>
      <c r="Q301" s="622" t="n"/>
      <c r="R301" s="622" t="n"/>
      <c r="S301" s="622" t="n"/>
      <c r="T301" s="622" t="n"/>
      <c r="U301" s="622" t="n"/>
      <c r="V301" s="622" t="n"/>
      <c r="W301" s="622" t="n"/>
      <c r="X301" s="622" t="n"/>
      <c r="Y301" s="622" t="n"/>
      <c r="Z301" s="622" t="n"/>
      <c r="AA301" s="622" t="n"/>
      <c r="AB301" s="622" t="n"/>
      <c r="AC301" s="622" t="n"/>
      <c r="AD301" s="622" t="n"/>
      <c r="AE301" s="622" t="n"/>
      <c r="AF301" s="622" t="n"/>
      <c r="AG301" s="622" t="n"/>
      <c r="AH301" s="622" t="n"/>
      <c r="AI301" s="622" t="n"/>
      <c r="AJ301" s="622" t="n"/>
      <c r="AK301" s="622" t="n"/>
      <c r="AL301" s="622" t="n"/>
      <c r="AM301" s="622" t="n"/>
      <c r="AN301" s="622" t="n"/>
      <c r="AO301" s="622" t="n"/>
      <c r="AP301" s="622" t="n"/>
      <c r="AQ301" s="622" t="n"/>
      <c r="AR301" s="622" t="n"/>
      <c r="AS301" s="622" t="n"/>
      <c r="AT301" s="622" t="n"/>
      <c r="AU301" s="622" t="n"/>
      <c r="AV301" s="622" t="n"/>
      <c r="AW301" s="622" t="n"/>
      <c r="AX301" s="622" t="n"/>
      <c r="AY301" s="622" t="n"/>
    </row>
    <row r="302">
      <c r="A302" s="622" t="n"/>
      <c r="B302" s="622" t="n"/>
      <c r="C302" s="622" t="n"/>
      <c r="D302" s="622" t="n"/>
      <c r="E302" s="622" t="n"/>
      <c r="F302" s="622" t="n"/>
      <c r="G302" s="622" t="n"/>
      <c r="H302" s="622" t="n"/>
      <c r="I302" s="622" t="n"/>
      <c r="J302" s="622" t="n"/>
      <c r="K302" s="622" t="n"/>
      <c r="L302" s="622" t="n"/>
      <c r="M302" s="622" t="n"/>
      <c r="N302" s="622" t="n"/>
      <c r="O302" s="622" t="n"/>
      <c r="P302" s="622" t="n"/>
      <c r="Q302" s="622" t="n"/>
      <c r="R302" s="622" t="n"/>
      <c r="S302" s="622" t="n"/>
      <c r="T302" s="622" t="n"/>
      <c r="U302" s="622" t="n"/>
      <c r="V302" s="622" t="n"/>
      <c r="W302" s="622" t="n"/>
      <c r="X302" s="622" t="n"/>
      <c r="Y302" s="622" t="n"/>
      <c r="Z302" s="622" t="n"/>
      <c r="AA302" s="622" t="n"/>
      <c r="AB302" s="622" t="n"/>
      <c r="AC302" s="622" t="n"/>
      <c r="AD302" s="622" t="n"/>
      <c r="AE302" s="622" t="n"/>
      <c r="AF302" s="622" t="n"/>
      <c r="AG302" s="622" t="n"/>
      <c r="AH302" s="622" t="n"/>
      <c r="AI302" s="622" t="n"/>
      <c r="AJ302" s="622" t="n"/>
      <c r="AK302" s="622" t="n"/>
      <c r="AL302" s="622" t="n"/>
      <c r="AM302" s="622" t="n"/>
      <c r="AN302" s="622" t="n"/>
      <c r="AO302" s="622" t="n"/>
      <c r="AP302" s="622" t="n"/>
      <c r="AQ302" s="622" t="n"/>
      <c r="AR302" s="622" t="n"/>
      <c r="AS302" s="622" t="n"/>
      <c r="AT302" s="622" t="n"/>
      <c r="AU302" s="622" t="n"/>
      <c r="AV302" s="622" t="n"/>
      <c r="AW302" s="622" t="n"/>
      <c r="AX302" s="622" t="n"/>
      <c r="AY302" s="622" t="n"/>
    </row>
    <row r="303">
      <c r="A303" s="622" t="n"/>
      <c r="B303" s="622" t="n"/>
      <c r="C303" s="622" t="n"/>
      <c r="D303" s="622" t="n"/>
      <c r="E303" s="622" t="n"/>
      <c r="F303" s="622" t="n"/>
      <c r="G303" s="622" t="n"/>
      <c r="H303" s="622" t="n"/>
      <c r="I303" s="622" t="n"/>
      <c r="J303" s="622" t="n"/>
      <c r="K303" s="622" t="n"/>
      <c r="L303" s="622" t="n"/>
      <c r="M303" s="622" t="n"/>
      <c r="N303" s="622" t="n"/>
      <c r="O303" s="622" t="n"/>
      <c r="P303" s="622" t="n"/>
      <c r="Q303" s="622" t="n"/>
      <c r="R303" s="622" t="n"/>
      <c r="S303" s="622" t="n"/>
      <c r="T303" s="622" t="n"/>
      <c r="U303" s="622" t="n"/>
      <c r="V303" s="622" t="n"/>
      <c r="W303" s="622" t="n"/>
      <c r="X303" s="622" t="n"/>
      <c r="Y303" s="622" t="n"/>
      <c r="Z303" s="622" t="n"/>
      <c r="AA303" s="622" t="n"/>
      <c r="AB303" s="622" t="n"/>
      <c r="AC303" s="622" t="n"/>
      <c r="AD303" s="622" t="n"/>
      <c r="AE303" s="622" t="n"/>
      <c r="AF303" s="622" t="n"/>
      <c r="AG303" s="622" t="n"/>
      <c r="AH303" s="622" t="n"/>
      <c r="AI303" s="622" t="n"/>
      <c r="AJ303" s="622" t="n"/>
      <c r="AK303" s="622" t="n"/>
      <c r="AL303" s="622" t="n"/>
      <c r="AM303" s="622" t="n"/>
      <c r="AN303" s="622" t="n"/>
      <c r="AO303" s="622" t="n"/>
      <c r="AP303" s="622" t="n"/>
      <c r="AQ303" s="622" t="n"/>
      <c r="AR303" s="622" t="n"/>
      <c r="AS303" s="622" t="n"/>
      <c r="AT303" s="622" t="n"/>
      <c r="AU303" s="622" t="n"/>
      <c r="AV303" s="622" t="n"/>
      <c r="AW303" s="622" t="n"/>
      <c r="AX303" s="622" t="n"/>
      <c r="AY303" s="622" t="n"/>
    </row>
    <row r="304">
      <c r="A304" s="622" t="n"/>
      <c r="B304" s="622" t="n"/>
      <c r="C304" s="622" t="n"/>
      <c r="D304" s="622" t="n"/>
      <c r="E304" s="622" t="n"/>
      <c r="F304" s="622" t="n"/>
      <c r="G304" s="622" t="n"/>
      <c r="H304" s="622" t="n"/>
      <c r="I304" s="622" t="n"/>
      <c r="J304" s="622" t="n"/>
      <c r="K304" s="622" t="n"/>
      <c r="L304" s="622" t="n"/>
      <c r="M304" s="622" t="n"/>
      <c r="N304" s="622" t="n"/>
      <c r="O304" s="622" t="n"/>
      <c r="P304" s="622" t="n"/>
      <c r="Q304" s="622" t="n"/>
      <c r="R304" s="622" t="n"/>
      <c r="S304" s="622" t="n"/>
      <c r="T304" s="622" t="n"/>
      <c r="U304" s="622" t="n"/>
      <c r="V304" s="622" t="n"/>
      <c r="W304" s="622" t="n"/>
      <c r="X304" s="622" t="n"/>
      <c r="Y304" s="622" t="n"/>
      <c r="Z304" s="622" t="n"/>
      <c r="AA304" s="622" t="n"/>
      <c r="AB304" s="622" t="n"/>
      <c r="AC304" s="622" t="n"/>
      <c r="AD304" s="622" t="n"/>
      <c r="AE304" s="622" t="n"/>
      <c r="AF304" s="622" t="n"/>
      <c r="AG304" s="622" t="n"/>
      <c r="AH304" s="622" t="n"/>
      <c r="AI304" s="622" t="n"/>
      <c r="AJ304" s="622" t="n"/>
      <c r="AK304" s="622" t="n"/>
      <c r="AL304" s="622" t="n"/>
      <c r="AM304" s="622" t="n"/>
      <c r="AN304" s="622" t="n"/>
      <c r="AO304" s="622" t="n"/>
      <c r="AP304" s="622" t="n"/>
      <c r="AQ304" s="622" t="n"/>
      <c r="AR304" s="622" t="n"/>
      <c r="AS304" s="622" t="n"/>
      <c r="AT304" s="622" t="n"/>
      <c r="AU304" s="622" t="n"/>
      <c r="AV304" s="622" t="n"/>
      <c r="AW304" s="622" t="n"/>
      <c r="AX304" s="622" t="n"/>
      <c r="AY304" s="622" t="n"/>
    </row>
    <row r="305">
      <c r="A305" s="622" t="n"/>
      <c r="B305" s="622" t="n"/>
      <c r="C305" s="622" t="n"/>
      <c r="D305" s="622" t="n"/>
      <c r="E305" s="622" t="n"/>
      <c r="F305" s="622" t="n"/>
      <c r="G305" s="622" t="n"/>
      <c r="H305" s="622" t="n"/>
      <c r="I305" s="622" t="n"/>
      <c r="J305" s="622" t="n"/>
      <c r="K305" s="622" t="n"/>
      <c r="L305" s="622" t="n"/>
      <c r="M305" s="622" t="n"/>
      <c r="N305" s="622" t="n"/>
      <c r="O305" s="622" t="n"/>
      <c r="P305" s="622" t="n"/>
      <c r="Q305" s="622" t="n"/>
      <c r="R305" s="622" t="n"/>
      <c r="S305" s="622" t="n"/>
      <c r="T305" s="622" t="n"/>
      <c r="U305" s="622" t="n"/>
      <c r="V305" s="622" t="n"/>
      <c r="W305" s="622" t="n"/>
      <c r="X305" s="622" t="n"/>
      <c r="Y305" s="622" t="n"/>
      <c r="Z305" s="622" t="n"/>
      <c r="AA305" s="622" t="n"/>
      <c r="AB305" s="622" t="n"/>
      <c r="AC305" s="622" t="n"/>
      <c r="AD305" s="622" t="n"/>
      <c r="AE305" s="622" t="n"/>
      <c r="AF305" s="622" t="n"/>
      <c r="AG305" s="622" t="n"/>
      <c r="AH305" s="622" t="n"/>
      <c r="AI305" s="622" t="n"/>
      <c r="AJ305" s="622" t="n"/>
      <c r="AK305" s="622" t="n"/>
      <c r="AL305" s="622" t="n"/>
      <c r="AM305" s="622" t="n"/>
      <c r="AN305" s="622" t="n"/>
      <c r="AO305" s="622" t="n"/>
      <c r="AP305" s="622" t="n"/>
      <c r="AQ305" s="622" t="n"/>
      <c r="AR305" s="622" t="n"/>
      <c r="AS305" s="622" t="n"/>
      <c r="AT305" s="622" t="n"/>
      <c r="AU305" s="622" t="n"/>
      <c r="AV305" s="622" t="n"/>
      <c r="AW305" s="622" t="n"/>
      <c r="AX305" s="622" t="n"/>
      <c r="AY305" s="622" t="n"/>
    </row>
    <row r="306">
      <c r="A306" s="622" t="n"/>
      <c r="B306" s="622" t="n"/>
      <c r="C306" s="622" t="n"/>
      <c r="D306" s="622" t="n"/>
      <c r="E306" s="622" t="n"/>
      <c r="F306" s="622" t="n"/>
      <c r="G306" s="622" t="n"/>
      <c r="H306" s="622" t="n"/>
      <c r="I306" s="622" t="n"/>
      <c r="J306" s="622" t="n"/>
      <c r="K306" s="622" t="n"/>
      <c r="L306" s="622" t="n"/>
      <c r="M306" s="622" t="n"/>
      <c r="N306" s="622" t="n"/>
      <c r="O306" s="622" t="n"/>
      <c r="P306" s="622" t="n"/>
      <c r="Q306" s="622" t="n"/>
      <c r="R306" s="622" t="n"/>
      <c r="S306" s="622" t="n"/>
      <c r="T306" s="622" t="n"/>
      <c r="U306" s="622" t="n"/>
      <c r="V306" s="622" t="n"/>
      <c r="W306" s="622" t="n"/>
      <c r="X306" s="622" t="n"/>
      <c r="Y306" s="622" t="n"/>
      <c r="Z306" s="622" t="n"/>
      <c r="AA306" s="622" t="n"/>
      <c r="AB306" s="622" t="n"/>
      <c r="AC306" s="622" t="n"/>
      <c r="AD306" s="622" t="n"/>
      <c r="AE306" s="622" t="n"/>
      <c r="AF306" s="622" t="n"/>
      <c r="AG306" s="622" t="n"/>
      <c r="AH306" s="622" t="n"/>
      <c r="AI306" s="622" t="n"/>
      <c r="AJ306" s="622" t="n"/>
      <c r="AK306" s="622" t="n"/>
      <c r="AL306" s="622" t="n"/>
      <c r="AM306" s="622" t="n"/>
      <c r="AN306" s="622" t="n"/>
      <c r="AO306" s="622" t="n"/>
      <c r="AP306" s="622" t="n"/>
      <c r="AQ306" s="622" t="n"/>
      <c r="AR306" s="622" t="n"/>
      <c r="AS306" s="622" t="n"/>
      <c r="AT306" s="622" t="n"/>
      <c r="AU306" s="622" t="n"/>
      <c r="AV306" s="622" t="n"/>
      <c r="AW306" s="622" t="n"/>
      <c r="AX306" s="622" t="n"/>
      <c r="AY306" s="622" t="n"/>
    </row>
    <row r="307">
      <c r="A307" s="622" t="n"/>
      <c r="B307" s="622" t="n"/>
      <c r="C307" s="622" t="n"/>
      <c r="D307" s="622" t="n"/>
      <c r="E307" s="622" t="n"/>
      <c r="F307" s="622" t="n"/>
      <c r="G307" s="622" t="n"/>
      <c r="H307" s="622" t="n"/>
      <c r="I307" s="622" t="n"/>
      <c r="J307" s="622" t="n"/>
      <c r="K307" s="622" t="n"/>
      <c r="L307" s="622" t="n"/>
      <c r="M307" s="622" t="n"/>
      <c r="N307" s="622" t="n"/>
      <c r="O307" s="622" t="n"/>
      <c r="P307" s="622" t="n"/>
      <c r="Q307" s="622" t="n"/>
      <c r="R307" s="622" t="n"/>
      <c r="S307" s="622" t="n"/>
      <c r="T307" s="622" t="n"/>
      <c r="U307" s="622" t="n"/>
      <c r="V307" s="622" t="n"/>
      <c r="W307" s="622" t="n"/>
      <c r="X307" s="622" t="n"/>
      <c r="Y307" s="622" t="n"/>
      <c r="Z307" s="622" t="n"/>
      <c r="AA307" s="622" t="n"/>
      <c r="AB307" s="622" t="n"/>
      <c r="AC307" s="622" t="n"/>
      <c r="AD307" s="622" t="n"/>
      <c r="AE307" s="622" t="n"/>
      <c r="AF307" s="622" t="n"/>
      <c r="AG307" s="622" t="n"/>
      <c r="AH307" s="622" t="n"/>
      <c r="AI307" s="622" t="n"/>
      <c r="AJ307" s="622" t="n"/>
      <c r="AK307" s="622" t="n"/>
      <c r="AL307" s="622" t="n"/>
      <c r="AM307" s="622" t="n"/>
      <c r="AN307" s="622" t="n"/>
      <c r="AO307" s="622" t="n"/>
      <c r="AP307" s="622" t="n"/>
      <c r="AQ307" s="622" t="n"/>
      <c r="AR307" s="622" t="n"/>
      <c r="AS307" s="622" t="n"/>
      <c r="AT307" s="622" t="n"/>
      <c r="AU307" s="622" t="n"/>
      <c r="AV307" s="622" t="n"/>
      <c r="AW307" s="622" t="n"/>
      <c r="AX307" s="622" t="n"/>
      <c r="AY307" s="622" t="n"/>
    </row>
    <row r="308">
      <c r="A308" s="622" t="n"/>
      <c r="B308" s="622" t="n"/>
      <c r="C308" s="622" t="n"/>
      <c r="D308" s="622" t="n"/>
      <c r="E308" s="622" t="n"/>
      <c r="F308" s="622" t="n"/>
      <c r="G308" s="622" t="n"/>
      <c r="H308" s="622" t="n"/>
      <c r="I308" s="622" t="n"/>
      <c r="J308" s="622" t="n"/>
      <c r="K308" s="622" t="n"/>
      <c r="L308" s="622" t="n"/>
      <c r="M308" s="622" t="n"/>
      <c r="N308" s="622" t="n"/>
      <c r="O308" s="622" t="n"/>
      <c r="P308" s="622" t="n"/>
      <c r="Q308" s="622" t="n"/>
      <c r="R308" s="622" t="n"/>
      <c r="S308" s="622" t="n"/>
      <c r="T308" s="622" t="n"/>
      <c r="U308" s="622" t="n"/>
      <c r="V308" s="622" t="n"/>
      <c r="W308" s="622" t="n"/>
      <c r="X308" s="622" t="n"/>
      <c r="Y308" s="622" t="n"/>
      <c r="Z308" s="622" t="n"/>
      <c r="AA308" s="622" t="n"/>
      <c r="AB308" s="622" t="n"/>
      <c r="AC308" s="622" t="n"/>
      <c r="AD308" s="622" t="n"/>
      <c r="AE308" s="622" t="n"/>
      <c r="AF308" s="622" t="n"/>
      <c r="AG308" s="622" t="n"/>
      <c r="AH308" s="622" t="n"/>
      <c r="AI308" s="622" t="n"/>
      <c r="AJ308" s="622" t="n"/>
      <c r="AK308" s="622" t="n"/>
      <c r="AL308" s="622" t="n"/>
      <c r="AM308" s="622" t="n"/>
      <c r="AN308" s="622" t="n"/>
      <c r="AO308" s="622" t="n"/>
      <c r="AP308" s="622" t="n"/>
      <c r="AQ308" s="622" t="n"/>
      <c r="AR308" s="622" t="n"/>
      <c r="AS308" s="622" t="n"/>
      <c r="AT308" s="622" t="n"/>
      <c r="AU308" s="622" t="n"/>
      <c r="AV308" s="622" t="n"/>
      <c r="AW308" s="622" t="n"/>
      <c r="AX308" s="622" t="n"/>
      <c r="AY308" s="622" t="n"/>
    </row>
    <row r="309">
      <c r="A309" s="622" t="n"/>
      <c r="B309" s="622" t="n"/>
      <c r="C309" s="622" t="n"/>
      <c r="D309" s="622" t="n"/>
      <c r="E309" s="622" t="n"/>
      <c r="F309" s="622" t="n"/>
      <c r="G309" s="622" t="n"/>
      <c r="H309" s="622" t="n"/>
      <c r="I309" s="622" t="n"/>
      <c r="J309" s="622" t="n"/>
      <c r="K309" s="622" t="n"/>
      <c r="L309" s="622" t="n"/>
      <c r="M309" s="622" t="n"/>
      <c r="N309" s="622" t="n"/>
      <c r="O309" s="622" t="n"/>
      <c r="P309" s="622" t="n"/>
      <c r="Q309" s="622" t="n"/>
      <c r="R309" s="622" t="n"/>
      <c r="S309" s="622" t="n"/>
      <c r="T309" s="622" t="n"/>
      <c r="U309" s="622" t="n"/>
      <c r="V309" s="622" t="n"/>
      <c r="W309" s="622" t="n"/>
      <c r="X309" s="622" t="n"/>
      <c r="Y309" s="622" t="n"/>
      <c r="Z309" s="622" t="n"/>
      <c r="AA309" s="622" t="n"/>
      <c r="AB309" s="622" t="n"/>
      <c r="AC309" s="622" t="n"/>
      <c r="AD309" s="622" t="n"/>
      <c r="AE309" s="622" t="n"/>
      <c r="AF309" s="622" t="n"/>
      <c r="AG309" s="622" t="n"/>
      <c r="AH309" s="622" t="n"/>
      <c r="AI309" s="622" t="n"/>
      <c r="AJ309" s="622" t="n"/>
      <c r="AK309" s="622" t="n"/>
      <c r="AL309" s="622" t="n"/>
      <c r="AM309" s="622" t="n"/>
      <c r="AN309" s="622" t="n"/>
      <c r="AO309" s="622" t="n"/>
      <c r="AP309" s="622" t="n"/>
      <c r="AQ309" s="622" t="n"/>
      <c r="AR309" s="622" t="n"/>
      <c r="AS309" s="622" t="n"/>
      <c r="AT309" s="622" t="n"/>
      <c r="AU309" s="622" t="n"/>
      <c r="AV309" s="622" t="n"/>
      <c r="AW309" s="622" t="n"/>
      <c r="AX309" s="622" t="n"/>
      <c r="AY309" s="622" t="n"/>
    </row>
    <row r="310">
      <c r="A310" s="622" t="n"/>
      <c r="B310" s="622" t="n"/>
      <c r="C310" s="622" t="n"/>
      <c r="D310" s="622" t="n"/>
      <c r="E310" s="622" t="n"/>
      <c r="F310" s="622" t="n"/>
      <c r="G310" s="622" t="n"/>
      <c r="H310" s="622" t="n"/>
      <c r="I310" s="622" t="n"/>
      <c r="J310" s="622" t="n"/>
      <c r="K310" s="622" t="n"/>
      <c r="L310" s="622" t="n"/>
      <c r="M310" s="622" t="n"/>
      <c r="N310" s="622" t="n"/>
      <c r="O310" s="622" t="n"/>
      <c r="P310" s="622" t="n"/>
      <c r="Q310" s="622" t="n"/>
      <c r="R310" s="622" t="n"/>
      <c r="S310" s="622" t="n"/>
      <c r="T310" s="622" t="n"/>
      <c r="U310" s="622" t="n"/>
      <c r="V310" s="622" t="n"/>
      <c r="W310" s="622" t="n"/>
      <c r="X310" s="622" t="n"/>
      <c r="Y310" s="622" t="n"/>
      <c r="Z310" s="622" t="n"/>
      <c r="AA310" s="622" t="n"/>
      <c r="AB310" s="622" t="n"/>
      <c r="AC310" s="622" t="n"/>
      <c r="AD310" s="622" t="n"/>
      <c r="AE310" s="622" t="n"/>
      <c r="AF310" s="622" t="n"/>
      <c r="AG310" s="622" t="n"/>
      <c r="AH310" s="622" t="n"/>
      <c r="AI310" s="622" t="n"/>
      <c r="AJ310" s="622" t="n"/>
      <c r="AK310" s="622" t="n"/>
      <c r="AL310" s="622" t="n"/>
      <c r="AM310" s="622" t="n"/>
      <c r="AN310" s="622" t="n"/>
      <c r="AO310" s="622" t="n"/>
      <c r="AP310" s="622" t="n"/>
      <c r="AQ310" s="622" t="n"/>
      <c r="AR310" s="622" t="n"/>
      <c r="AS310" s="622" t="n"/>
      <c r="AT310" s="622" t="n"/>
      <c r="AU310" s="622" t="n"/>
      <c r="AV310" s="622" t="n"/>
      <c r="AW310" s="622" t="n"/>
      <c r="AX310" s="622" t="n"/>
      <c r="AY310" s="622" t="n"/>
    </row>
    <row r="311">
      <c r="A311" s="622" t="n"/>
      <c r="B311" s="622" t="n"/>
      <c r="C311" s="622" t="n"/>
      <c r="D311" s="622" t="n"/>
      <c r="E311" s="622" t="n"/>
      <c r="F311" s="622" t="n"/>
      <c r="G311" s="622" t="n"/>
      <c r="H311" s="622" t="n"/>
      <c r="I311" s="622" t="n"/>
      <c r="J311" s="622" t="n"/>
      <c r="K311" s="622" t="n"/>
      <c r="L311" s="622" t="n"/>
      <c r="M311" s="622" t="n"/>
      <c r="N311" s="622" t="n"/>
      <c r="O311" s="622" t="n"/>
      <c r="P311" s="622" t="n"/>
      <c r="Q311" s="622" t="n"/>
      <c r="R311" s="622" t="n"/>
      <c r="S311" s="622" t="n"/>
      <c r="T311" s="622" t="n"/>
      <c r="U311" s="622" t="n"/>
      <c r="V311" s="622" t="n"/>
      <c r="W311" s="622" t="n"/>
      <c r="X311" s="622" t="n"/>
      <c r="Y311" s="622" t="n"/>
      <c r="Z311" s="622" t="n"/>
      <c r="AA311" s="622" t="n"/>
      <c r="AB311" s="622" t="n"/>
      <c r="AC311" s="622" t="n"/>
      <c r="AD311" s="622" t="n"/>
      <c r="AE311" s="622" t="n"/>
      <c r="AF311" s="622" t="n"/>
      <c r="AG311" s="622" t="n"/>
      <c r="AH311" s="622" t="n"/>
      <c r="AI311" s="622" t="n"/>
      <c r="AJ311" s="622" t="n"/>
      <c r="AK311" s="622" t="n"/>
      <c r="AL311" s="622" t="n"/>
      <c r="AM311" s="622" t="n"/>
      <c r="AN311" s="622" t="n"/>
      <c r="AO311" s="622" t="n"/>
      <c r="AP311" s="622" t="n"/>
      <c r="AQ311" s="622" t="n"/>
      <c r="AR311" s="622" t="n"/>
      <c r="AS311" s="622" t="n"/>
      <c r="AT311" s="622" t="n"/>
      <c r="AU311" s="622" t="n"/>
      <c r="AV311" s="622" t="n"/>
      <c r="AW311" s="622" t="n"/>
      <c r="AX311" s="622" t="n"/>
      <c r="AY311" s="622" t="n"/>
    </row>
    <row r="312">
      <c r="A312" s="622" t="n"/>
      <c r="B312" s="622" t="n"/>
      <c r="C312" s="622" t="n"/>
      <c r="D312" s="622" t="n"/>
      <c r="E312" s="622" t="n"/>
      <c r="F312" s="622" t="n"/>
      <c r="G312" s="622" t="n"/>
      <c r="H312" s="622" t="n"/>
      <c r="I312" s="622" t="n"/>
      <c r="J312" s="622" t="n"/>
      <c r="K312" s="622" t="n"/>
      <c r="L312" s="622" t="n"/>
      <c r="M312" s="622" t="n"/>
      <c r="N312" s="622" t="n"/>
      <c r="O312" s="622" t="n"/>
      <c r="P312" s="622" t="n"/>
      <c r="Q312" s="622" t="n"/>
      <c r="R312" s="622" t="n"/>
      <c r="S312" s="622" t="n"/>
      <c r="T312" s="622" t="n"/>
      <c r="U312" s="622" t="n"/>
      <c r="V312" s="622" t="n"/>
      <c r="W312" s="622" t="n"/>
      <c r="X312" s="622" t="n"/>
      <c r="Y312" s="622" t="n"/>
      <c r="Z312" s="622" t="n"/>
      <c r="AA312" s="622" t="n"/>
      <c r="AB312" s="622" t="n"/>
      <c r="AC312" s="622" t="n"/>
      <c r="AD312" s="622" t="n"/>
      <c r="AE312" s="622" t="n"/>
      <c r="AF312" s="622" t="n"/>
      <c r="AG312" s="622" t="n"/>
      <c r="AH312" s="622" t="n"/>
      <c r="AI312" s="622" t="n"/>
      <c r="AJ312" s="622" t="n"/>
      <c r="AK312" s="622" t="n"/>
      <c r="AL312" s="622" t="n"/>
      <c r="AM312" s="622" t="n"/>
      <c r="AN312" s="622" t="n"/>
      <c r="AO312" s="622" t="n"/>
      <c r="AP312" s="622" t="n"/>
      <c r="AQ312" s="622" t="n"/>
      <c r="AR312" s="622" t="n"/>
      <c r="AS312" s="622" t="n"/>
      <c r="AT312" s="622" t="n"/>
      <c r="AU312" s="622" t="n"/>
      <c r="AV312" s="622" t="n"/>
      <c r="AW312" s="622" t="n"/>
      <c r="AX312" s="622" t="n"/>
      <c r="AY312" s="622" t="n"/>
    </row>
    <row r="313">
      <c r="A313" s="622" t="n"/>
      <c r="B313" s="622" t="n"/>
      <c r="C313" s="622" t="n"/>
      <c r="D313" s="622" t="n"/>
      <c r="E313" s="622" t="n"/>
      <c r="F313" s="622" t="n"/>
      <c r="G313" s="622" t="n"/>
      <c r="H313" s="622" t="n"/>
      <c r="I313" s="622" t="n"/>
      <c r="J313" s="622" t="n"/>
      <c r="K313" s="622" t="n"/>
      <c r="L313" s="622" t="n"/>
      <c r="M313" s="622" t="n"/>
      <c r="N313" s="622" t="n"/>
      <c r="O313" s="622" t="n"/>
      <c r="P313" s="622" t="n"/>
      <c r="Q313" s="622" t="n"/>
      <c r="R313" s="622" t="n"/>
      <c r="S313" s="622" t="n"/>
      <c r="T313" s="622" t="n"/>
      <c r="U313" s="622" t="n"/>
      <c r="V313" s="622" t="n"/>
      <c r="W313" s="622" t="n"/>
      <c r="X313" s="622" t="n"/>
      <c r="Y313" s="622" t="n"/>
      <c r="Z313" s="622" t="n"/>
      <c r="AA313" s="622" t="n"/>
      <c r="AB313" s="622" t="n"/>
      <c r="AC313" s="622" t="n"/>
      <c r="AD313" s="622" t="n"/>
      <c r="AE313" s="622" t="n"/>
      <c r="AF313" s="622" t="n"/>
      <c r="AG313" s="622" t="n"/>
      <c r="AH313" s="622" t="n"/>
      <c r="AI313" s="622" t="n"/>
      <c r="AJ313" s="622" t="n"/>
      <c r="AK313" s="622" t="n"/>
      <c r="AL313" s="622" t="n"/>
      <c r="AM313" s="622" t="n"/>
      <c r="AN313" s="622" t="n"/>
      <c r="AO313" s="622" t="n"/>
      <c r="AP313" s="622" t="n"/>
      <c r="AQ313" s="622" t="n"/>
      <c r="AR313" s="622" t="n"/>
      <c r="AS313" s="622" t="n"/>
      <c r="AT313" s="622" t="n"/>
      <c r="AU313" s="622" t="n"/>
      <c r="AV313" s="622" t="n"/>
      <c r="AW313" s="622" t="n"/>
      <c r="AX313" s="622" t="n"/>
      <c r="AY313" s="622" t="n"/>
    </row>
    <row r="314">
      <c r="A314" s="622" t="n"/>
      <c r="B314" s="622" t="n"/>
      <c r="C314" s="622" t="n"/>
      <c r="D314" s="622" t="n"/>
      <c r="E314" s="622" t="n"/>
      <c r="F314" s="622" t="n"/>
      <c r="G314" s="622" t="n"/>
      <c r="H314" s="622" t="n"/>
      <c r="I314" s="622" t="n"/>
      <c r="J314" s="622" t="n"/>
      <c r="K314" s="622" t="n"/>
      <c r="L314" s="622" t="n"/>
      <c r="M314" s="622" t="n"/>
      <c r="N314" s="622" t="n"/>
      <c r="O314" s="622" t="n"/>
      <c r="P314" s="622" t="n"/>
      <c r="Q314" s="622" t="n"/>
      <c r="R314" s="622" t="n"/>
      <c r="S314" s="622" t="n"/>
      <c r="T314" s="622" t="n"/>
      <c r="U314" s="622" t="n"/>
      <c r="V314" s="622" t="n"/>
      <c r="W314" s="622" t="n"/>
      <c r="X314" s="622" t="n"/>
      <c r="Y314" s="622" t="n"/>
      <c r="Z314" s="622" t="n"/>
      <c r="AA314" s="622" t="n"/>
      <c r="AB314" s="622" t="n"/>
      <c r="AC314" s="622" t="n"/>
      <c r="AD314" s="622" t="n"/>
      <c r="AE314" s="622" t="n"/>
      <c r="AF314" s="622" t="n"/>
      <c r="AG314" s="622" t="n"/>
      <c r="AH314" s="622" t="n"/>
      <c r="AI314" s="622" t="n"/>
      <c r="AJ314" s="622" t="n"/>
      <c r="AK314" s="622" t="n"/>
      <c r="AL314" s="622" t="n"/>
      <c r="AM314" s="622" t="n"/>
      <c r="AN314" s="622" t="n"/>
      <c r="AO314" s="622" t="n"/>
      <c r="AP314" s="622" t="n"/>
      <c r="AQ314" s="622" t="n"/>
      <c r="AR314" s="622" t="n"/>
      <c r="AS314" s="622" t="n"/>
      <c r="AT314" s="622" t="n"/>
      <c r="AU314" s="622" t="n"/>
      <c r="AV314" s="622" t="n"/>
      <c r="AW314" s="622" t="n"/>
      <c r="AX314" s="622" t="n"/>
      <c r="AY314" s="622" t="n"/>
    </row>
    <row r="315">
      <c r="A315" s="622" t="n"/>
      <c r="B315" s="622" t="n"/>
      <c r="C315" s="622" t="n"/>
      <c r="D315" s="622" t="n"/>
      <c r="E315" s="622" t="n"/>
      <c r="F315" s="622" t="n"/>
      <c r="G315" s="622" t="n"/>
      <c r="H315" s="622" t="n"/>
      <c r="I315" s="622" t="n"/>
      <c r="J315" s="622" t="n"/>
      <c r="K315" s="622" t="n"/>
      <c r="L315" s="622" t="n"/>
      <c r="M315" s="622" t="n"/>
      <c r="N315" s="622" t="n"/>
      <c r="O315" s="622" t="n"/>
      <c r="P315" s="622" t="n"/>
      <c r="Q315" s="622" t="n"/>
      <c r="R315" s="622" t="n"/>
      <c r="S315" s="622" t="n"/>
      <c r="T315" s="622" t="n"/>
      <c r="U315" s="622" t="n"/>
      <c r="V315" s="622" t="n"/>
      <c r="W315" s="622" t="n"/>
      <c r="X315" s="622" t="n"/>
      <c r="Y315" s="622" t="n"/>
      <c r="Z315" s="622" t="n"/>
      <c r="AA315" s="622" t="n"/>
      <c r="AB315" s="622" t="n"/>
      <c r="AC315" s="622" t="n"/>
      <c r="AD315" s="622" t="n"/>
      <c r="AE315" s="622" t="n"/>
      <c r="AF315" s="622" t="n"/>
      <c r="AG315" s="622" t="n"/>
      <c r="AH315" s="622" t="n"/>
      <c r="AI315" s="622" t="n"/>
      <c r="AJ315" s="622" t="n"/>
      <c r="AK315" s="622" t="n"/>
      <c r="AL315" s="622" t="n"/>
      <c r="AM315" s="622" t="n"/>
      <c r="AN315" s="622" t="n"/>
      <c r="AO315" s="622" t="n"/>
      <c r="AP315" s="622" t="n"/>
      <c r="AQ315" s="622" t="n"/>
      <c r="AR315" s="622" t="n"/>
      <c r="AS315" s="622" t="n"/>
      <c r="AT315" s="622" t="n"/>
      <c r="AU315" s="622" t="n"/>
      <c r="AV315" s="622" t="n"/>
      <c r="AW315" s="622" t="n"/>
      <c r="AX315" s="622" t="n"/>
      <c r="AY315" s="622" t="n"/>
    </row>
    <row r="316">
      <c r="A316" s="622" t="n"/>
      <c r="B316" s="622" t="n"/>
      <c r="C316" s="622" t="n"/>
      <c r="D316" s="622" t="n"/>
      <c r="E316" s="622" t="n"/>
      <c r="F316" s="622" t="n"/>
      <c r="G316" s="622" t="n"/>
      <c r="H316" s="622" t="n"/>
      <c r="I316" s="622" t="n"/>
      <c r="J316" s="622" t="n"/>
      <c r="K316" s="622" t="n"/>
      <c r="L316" s="622" t="n"/>
      <c r="M316" s="622" t="n"/>
      <c r="N316" s="622" t="n"/>
      <c r="O316" s="622" t="n"/>
      <c r="P316" s="622" t="n"/>
      <c r="Q316" s="622" t="n"/>
      <c r="R316" s="622" t="n"/>
      <c r="S316" s="622" t="n"/>
      <c r="T316" s="622" t="n"/>
      <c r="U316" s="622" t="n"/>
      <c r="V316" s="622" t="n"/>
      <c r="W316" s="622" t="n"/>
      <c r="X316" s="622" t="n"/>
      <c r="Y316" s="622" t="n"/>
      <c r="Z316" s="622" t="n"/>
      <c r="AA316" s="622" t="n"/>
      <c r="AB316" s="622" t="n"/>
      <c r="AC316" s="622" t="n"/>
      <c r="AD316" s="622" t="n"/>
      <c r="AE316" s="622" t="n"/>
      <c r="AF316" s="622" t="n"/>
      <c r="AG316" s="622" t="n"/>
      <c r="AH316" s="622" t="n"/>
      <c r="AI316" s="622" t="n"/>
      <c r="AJ316" s="622" t="n"/>
      <c r="AK316" s="622" t="n"/>
      <c r="AL316" s="622" t="n"/>
      <c r="AM316" s="622" t="n"/>
      <c r="AN316" s="622" t="n"/>
      <c r="AO316" s="622" t="n"/>
      <c r="AP316" s="622" t="n"/>
      <c r="AQ316" s="622" t="n"/>
      <c r="AR316" s="622" t="n"/>
      <c r="AS316" s="622" t="n"/>
      <c r="AT316" s="622" t="n"/>
      <c r="AU316" s="622" t="n"/>
      <c r="AV316" s="622" t="n"/>
      <c r="AW316" s="622" t="n"/>
      <c r="AX316" s="622" t="n"/>
      <c r="AY316" s="622" t="n"/>
    </row>
    <row r="317">
      <c r="A317" s="622" t="n"/>
      <c r="B317" s="622" t="n"/>
      <c r="C317" s="622" t="n"/>
      <c r="D317" s="622" t="n"/>
      <c r="E317" s="622" t="n"/>
      <c r="F317" s="622" t="n"/>
      <c r="G317" s="622" t="n"/>
      <c r="H317" s="622" t="n"/>
      <c r="I317" s="622" t="n"/>
      <c r="J317" s="622" t="n"/>
      <c r="K317" s="622" t="n"/>
      <c r="L317" s="622" t="n"/>
      <c r="M317" s="622" t="n"/>
      <c r="N317" s="622" t="n"/>
      <c r="O317" s="622" t="n"/>
      <c r="P317" s="622" t="n"/>
      <c r="Q317" s="622" t="n"/>
      <c r="R317" s="622" t="n"/>
      <c r="S317" s="622" t="n"/>
      <c r="T317" s="622" t="n"/>
      <c r="U317" s="622" t="n"/>
      <c r="V317" s="622" t="n"/>
      <c r="W317" s="622" t="n"/>
      <c r="X317" s="622" t="n"/>
      <c r="Y317" s="622" t="n"/>
      <c r="Z317" s="622" t="n"/>
      <c r="AA317" s="622" t="n"/>
      <c r="AB317" s="622" t="n"/>
      <c r="AC317" s="622" t="n"/>
      <c r="AD317" s="622" t="n"/>
      <c r="AE317" s="622" t="n"/>
      <c r="AF317" s="622" t="n"/>
      <c r="AG317" s="622" t="n"/>
      <c r="AH317" s="622" t="n"/>
      <c r="AI317" s="622" t="n"/>
      <c r="AJ317" s="622" t="n"/>
      <c r="AK317" s="622" t="n"/>
      <c r="AL317" s="622" t="n"/>
      <c r="AM317" s="622" t="n"/>
      <c r="AN317" s="622" t="n"/>
      <c r="AO317" s="622" t="n"/>
      <c r="AP317" s="622" t="n"/>
      <c r="AQ317" s="622" t="n"/>
      <c r="AR317" s="622" t="n"/>
      <c r="AS317" s="622" t="n"/>
      <c r="AT317" s="622" t="n"/>
      <c r="AU317" s="622" t="n"/>
      <c r="AV317" s="622" t="n"/>
      <c r="AW317" s="622" t="n"/>
      <c r="AX317" s="622" t="n"/>
      <c r="AY317" s="622" t="n"/>
    </row>
    <row r="318">
      <c r="A318" s="622" t="n"/>
      <c r="B318" s="622" t="n"/>
      <c r="C318" s="622" t="n"/>
      <c r="D318" s="622" t="n"/>
      <c r="E318" s="622" t="n"/>
      <c r="F318" s="622" t="n"/>
      <c r="G318" s="622" t="n"/>
      <c r="H318" s="622" t="n"/>
      <c r="I318" s="622" t="n"/>
      <c r="J318" s="622" t="n"/>
      <c r="K318" s="622" t="n"/>
      <c r="L318" s="622" t="n"/>
      <c r="M318" s="622" t="n"/>
      <c r="N318" s="622" t="n"/>
      <c r="O318" s="622" t="n"/>
      <c r="P318" s="622" t="n"/>
      <c r="Q318" s="622" t="n"/>
      <c r="R318" s="622" t="n"/>
      <c r="S318" s="622" t="n"/>
      <c r="T318" s="622" t="n"/>
      <c r="U318" s="622" t="n"/>
      <c r="V318" s="622" t="n"/>
      <c r="W318" s="622" t="n"/>
      <c r="X318" s="622" t="n"/>
      <c r="Y318" s="622" t="n"/>
      <c r="Z318" s="622" t="n"/>
      <c r="AA318" s="622" t="n"/>
      <c r="AB318" s="622" t="n"/>
      <c r="AC318" s="622" t="n"/>
      <c r="AD318" s="622" t="n"/>
      <c r="AE318" s="622" t="n"/>
      <c r="AF318" s="622" t="n"/>
      <c r="AG318" s="622" t="n"/>
      <c r="AH318" s="622" t="n"/>
      <c r="AI318" s="622" t="n"/>
      <c r="AJ318" s="622" t="n"/>
      <c r="AK318" s="622" t="n"/>
      <c r="AL318" s="622" t="n"/>
      <c r="AM318" s="622" t="n"/>
      <c r="AN318" s="622" t="n"/>
      <c r="AO318" s="622" t="n"/>
      <c r="AP318" s="622" t="n"/>
      <c r="AQ318" s="622" t="n"/>
      <c r="AR318" s="622" t="n"/>
      <c r="AS318" s="622" t="n"/>
      <c r="AT318" s="622" t="n"/>
      <c r="AU318" s="622" t="n"/>
      <c r="AV318" s="622" t="n"/>
      <c r="AW318" s="622" t="n"/>
      <c r="AX318" s="622" t="n"/>
      <c r="AY318" s="622" t="n"/>
    </row>
    <row r="319">
      <c r="A319" s="622" t="n"/>
      <c r="B319" s="622" t="n"/>
      <c r="C319" s="622" t="n"/>
      <c r="D319" s="622" t="n"/>
      <c r="E319" s="622" t="n"/>
      <c r="F319" s="622" t="n"/>
      <c r="G319" s="622" t="n"/>
      <c r="H319" s="622" t="n"/>
      <c r="I319" s="622" t="n"/>
      <c r="J319" s="622" t="n"/>
      <c r="K319" s="622" t="n"/>
      <c r="L319" s="622" t="n"/>
      <c r="M319" s="622" t="n"/>
      <c r="N319" s="622" t="n"/>
      <c r="O319" s="622" t="n"/>
      <c r="P319" s="622" t="n"/>
      <c r="Q319" s="622" t="n"/>
      <c r="R319" s="622" t="n"/>
      <c r="S319" s="622" t="n"/>
      <c r="T319" s="622" t="n"/>
      <c r="U319" s="622" t="n"/>
      <c r="V319" s="622" t="n"/>
      <c r="W319" s="622" t="n"/>
      <c r="X319" s="622" t="n"/>
      <c r="Y319" s="622" t="n"/>
      <c r="Z319" s="622" t="n"/>
      <c r="AA319" s="622" t="n"/>
      <c r="AB319" s="622" t="n"/>
      <c r="AC319" s="622" t="n"/>
      <c r="AD319" s="622" t="n"/>
      <c r="AE319" s="622" t="n"/>
      <c r="AF319" s="622" t="n"/>
      <c r="AG319" s="622" t="n"/>
      <c r="AH319" s="622" t="n"/>
      <c r="AI319" s="622" t="n"/>
      <c r="AJ319" s="622" t="n"/>
      <c r="AK319" s="622" t="n"/>
      <c r="AL319" s="622" t="n"/>
      <c r="AM319" s="622" t="n"/>
      <c r="AN319" s="622" t="n"/>
      <c r="AO319" s="622" t="n"/>
      <c r="AP319" s="622" t="n"/>
      <c r="AQ319" s="622" t="n"/>
      <c r="AR319" s="622" t="n"/>
      <c r="AS319" s="622" t="n"/>
      <c r="AT319" s="622" t="n"/>
      <c r="AU319" s="622" t="n"/>
      <c r="AV319" s="622" t="n"/>
      <c r="AW319" s="622" t="n"/>
      <c r="AX319" s="622" t="n"/>
      <c r="AY319" s="622" t="n"/>
    </row>
    <row r="320">
      <c r="A320" s="622" t="n"/>
      <c r="B320" s="622" t="n"/>
      <c r="C320" s="622" t="n"/>
      <c r="D320" s="622" t="n"/>
      <c r="E320" s="622" t="n"/>
      <c r="F320" s="622" t="n"/>
      <c r="G320" s="622" t="n"/>
      <c r="H320" s="622" t="n"/>
      <c r="I320" s="622" t="n"/>
      <c r="J320" s="622" t="n"/>
      <c r="K320" s="622" t="n"/>
      <c r="L320" s="622" t="n"/>
      <c r="M320" s="622" t="n"/>
      <c r="N320" s="622" t="n"/>
      <c r="O320" s="622" t="n"/>
      <c r="P320" s="622" t="n"/>
      <c r="Q320" s="622" t="n"/>
      <c r="R320" s="622" t="n"/>
      <c r="S320" s="622" t="n"/>
      <c r="T320" s="622" t="n"/>
      <c r="U320" s="622" t="n"/>
      <c r="V320" s="622" t="n"/>
      <c r="W320" s="622" t="n"/>
      <c r="X320" s="622" t="n"/>
      <c r="Y320" s="622" t="n"/>
      <c r="Z320" s="622" t="n"/>
      <c r="AA320" s="622" t="n"/>
      <c r="AB320" s="622" t="n"/>
      <c r="AC320" s="622" t="n"/>
      <c r="AD320" s="622" t="n"/>
      <c r="AE320" s="622" t="n"/>
      <c r="AF320" s="622" t="n"/>
      <c r="AG320" s="622" t="n"/>
      <c r="AH320" s="622" t="n"/>
      <c r="AI320" s="622" t="n"/>
      <c r="AJ320" s="622" t="n"/>
      <c r="AK320" s="622" t="n"/>
      <c r="AL320" s="622" t="n"/>
      <c r="AM320" s="622" t="n"/>
      <c r="AN320" s="622" t="n"/>
      <c r="AO320" s="622" t="n"/>
      <c r="AP320" s="622" t="n"/>
      <c r="AQ320" s="622" t="n"/>
      <c r="AR320" s="622" t="n"/>
      <c r="AS320" s="622" t="n"/>
      <c r="AT320" s="622" t="n"/>
      <c r="AU320" s="622" t="n"/>
      <c r="AV320" s="622" t="n"/>
      <c r="AW320" s="622" t="n"/>
      <c r="AX320" s="622" t="n"/>
      <c r="AY320" s="622" t="n"/>
    </row>
    <row r="321">
      <c r="A321" s="622" t="n"/>
      <c r="B321" s="622" t="n"/>
      <c r="C321" s="622" t="n"/>
      <c r="D321" s="622" t="n"/>
      <c r="E321" s="622" t="n"/>
      <c r="F321" s="622" t="n"/>
      <c r="G321" s="622" t="n"/>
      <c r="H321" s="622" t="n"/>
      <c r="I321" s="622" t="n"/>
      <c r="J321" s="622" t="n"/>
      <c r="K321" s="622" t="n"/>
      <c r="L321" s="622" t="n"/>
      <c r="M321" s="622" t="n"/>
      <c r="N321" s="622" t="n"/>
      <c r="O321" s="622" t="n"/>
      <c r="P321" s="622" t="n"/>
      <c r="Q321" s="622" t="n"/>
      <c r="R321" s="622" t="n"/>
      <c r="S321" s="622" t="n"/>
      <c r="T321" s="622" t="n"/>
      <c r="U321" s="622" t="n"/>
      <c r="V321" s="622" t="n"/>
      <c r="W321" s="622" t="n"/>
      <c r="X321" s="622" t="n"/>
      <c r="Y321" s="622" t="n"/>
      <c r="Z321" s="622" t="n"/>
      <c r="AA321" s="622" t="n"/>
      <c r="AB321" s="622" t="n"/>
      <c r="AC321" s="622" t="n"/>
      <c r="AD321" s="622" t="n"/>
      <c r="AE321" s="622" t="n"/>
      <c r="AF321" s="622" t="n"/>
      <c r="AG321" s="622" t="n"/>
      <c r="AH321" s="622" t="n"/>
      <c r="AI321" s="622" t="n"/>
      <c r="AJ321" s="622" t="n"/>
      <c r="AK321" s="622" t="n"/>
      <c r="AL321" s="622" t="n"/>
      <c r="AM321" s="622" t="n"/>
      <c r="AN321" s="622" t="n"/>
      <c r="AO321" s="622" t="n"/>
      <c r="AP321" s="622" t="n"/>
      <c r="AQ321" s="622" t="n"/>
      <c r="AR321" s="622" t="n"/>
      <c r="AS321" s="622" t="n"/>
      <c r="AT321" s="622" t="n"/>
      <c r="AU321" s="622" t="n"/>
      <c r="AV321" s="622" t="n"/>
      <c r="AW321" s="622" t="n"/>
      <c r="AX321" s="622" t="n"/>
      <c r="AY321" s="622" t="n"/>
    </row>
    <row r="322">
      <c r="A322" s="622" t="n"/>
      <c r="B322" s="622" t="n"/>
      <c r="C322" s="622" t="n"/>
      <c r="D322" s="622" t="n"/>
      <c r="E322" s="622" t="n"/>
      <c r="F322" s="622" t="n"/>
      <c r="G322" s="622" t="n"/>
      <c r="H322" s="622" t="n"/>
      <c r="I322" s="622" t="n"/>
      <c r="J322" s="622" t="n"/>
      <c r="K322" s="622" t="n"/>
      <c r="L322" s="622" t="n"/>
      <c r="M322" s="622" t="n"/>
      <c r="N322" s="622" t="n"/>
      <c r="O322" s="622" t="n"/>
      <c r="P322" s="622" t="n"/>
      <c r="Q322" s="622" t="n"/>
      <c r="R322" s="622" t="n"/>
      <c r="S322" s="622" t="n"/>
      <c r="T322" s="622" t="n"/>
      <c r="U322" s="622" t="n"/>
      <c r="V322" s="622" t="n"/>
      <c r="W322" s="622" t="n"/>
      <c r="X322" s="622" t="n"/>
      <c r="Y322" s="622" t="n"/>
      <c r="Z322" s="622" t="n"/>
      <c r="AA322" s="622" t="n"/>
      <c r="AB322" s="622" t="n"/>
      <c r="AC322" s="622" t="n"/>
      <c r="AD322" s="622" t="n"/>
      <c r="AE322" s="622" t="n"/>
      <c r="AF322" s="622" t="n"/>
      <c r="AG322" s="622" t="n"/>
      <c r="AH322" s="622" t="n"/>
      <c r="AI322" s="622" t="n"/>
      <c r="AJ322" s="622" t="n"/>
      <c r="AK322" s="622" t="n"/>
      <c r="AL322" s="622" t="n"/>
      <c r="AM322" s="622" t="n"/>
      <c r="AN322" s="622" t="n"/>
      <c r="AO322" s="622" t="n"/>
      <c r="AP322" s="622" t="n"/>
      <c r="AQ322" s="622" t="n"/>
      <c r="AR322" s="622" t="n"/>
      <c r="AS322" s="622" t="n"/>
      <c r="AT322" s="622" t="n"/>
      <c r="AU322" s="622" t="n"/>
      <c r="AV322" s="622" t="n"/>
      <c r="AW322" s="622" t="n"/>
      <c r="AX322" s="622" t="n"/>
      <c r="AY322" s="622" t="n"/>
    </row>
    <row r="323">
      <c r="A323" s="622" t="n"/>
      <c r="B323" s="622" t="n"/>
      <c r="C323" s="622" t="n"/>
      <c r="D323" s="622" t="n"/>
      <c r="E323" s="622" t="n"/>
      <c r="F323" s="622" t="n"/>
      <c r="G323" s="622" t="n"/>
      <c r="H323" s="622" t="n"/>
      <c r="I323" s="622" t="n"/>
      <c r="J323" s="622" t="n"/>
      <c r="K323" s="622" t="n"/>
      <c r="L323" s="622" t="n"/>
      <c r="M323" s="622" t="n"/>
      <c r="N323" s="622" t="n"/>
      <c r="O323" s="622" t="n"/>
      <c r="P323" s="622" t="n"/>
      <c r="Q323" s="622" t="n"/>
      <c r="R323" s="622" t="n"/>
      <c r="S323" s="622" t="n"/>
      <c r="T323" s="622" t="n"/>
      <c r="U323" s="622" t="n"/>
      <c r="V323" s="622" t="n"/>
      <c r="W323" s="622" t="n"/>
      <c r="X323" s="622" t="n"/>
      <c r="Y323" s="622" t="n"/>
      <c r="Z323" s="622" t="n"/>
      <c r="AA323" s="622" t="n"/>
      <c r="AB323" s="622" t="n"/>
      <c r="AC323" s="622" t="n"/>
      <c r="AD323" s="622" t="n"/>
      <c r="AE323" s="622" t="n"/>
      <c r="AF323" s="622" t="n"/>
      <c r="AG323" s="622" t="n"/>
      <c r="AH323" s="622" t="n"/>
      <c r="AI323" s="622" t="n"/>
      <c r="AJ323" s="622" t="n"/>
      <c r="AK323" s="622" t="n"/>
      <c r="AL323" s="622" t="n"/>
      <c r="AM323" s="622" t="n"/>
      <c r="AN323" s="622" t="n"/>
      <c r="AO323" s="622" t="n"/>
      <c r="AP323" s="622" t="n"/>
      <c r="AQ323" s="622" t="n"/>
      <c r="AR323" s="622" t="n"/>
      <c r="AS323" s="622" t="n"/>
      <c r="AT323" s="622" t="n"/>
      <c r="AU323" s="622" t="n"/>
      <c r="AV323" s="622" t="n"/>
      <c r="AW323" s="622" t="n"/>
      <c r="AX323" s="622" t="n"/>
      <c r="AY323" s="622" t="n"/>
    </row>
    <row r="324">
      <c r="A324" s="622" t="n"/>
      <c r="B324" s="622" t="n"/>
      <c r="C324" s="622" t="n"/>
      <c r="D324" s="622" t="n"/>
      <c r="E324" s="622" t="n"/>
      <c r="F324" s="622" t="n"/>
      <c r="G324" s="622" t="n"/>
      <c r="H324" s="622" t="n"/>
      <c r="I324" s="622" t="n"/>
      <c r="J324" s="622" t="n"/>
      <c r="K324" s="622" t="n"/>
      <c r="L324" s="622" t="n"/>
      <c r="M324" s="622" t="n"/>
      <c r="N324" s="622" t="n"/>
      <c r="O324" s="622" t="n"/>
      <c r="P324" s="622" t="n"/>
      <c r="Q324" s="622" t="n"/>
      <c r="R324" s="622" t="n"/>
      <c r="S324" s="622" t="n"/>
      <c r="T324" s="622" t="n"/>
      <c r="U324" s="622" t="n"/>
      <c r="V324" s="622" t="n"/>
      <c r="W324" s="622" t="n"/>
      <c r="X324" s="622" t="n"/>
      <c r="Y324" s="622" t="n"/>
      <c r="Z324" s="622" t="n"/>
      <c r="AA324" s="622" t="n"/>
      <c r="AB324" s="622" t="n"/>
      <c r="AC324" s="622" t="n"/>
      <c r="AD324" s="622" t="n"/>
      <c r="AE324" s="622" t="n"/>
      <c r="AF324" s="622" t="n"/>
      <c r="AG324" s="622" t="n"/>
      <c r="AH324" s="622" t="n"/>
      <c r="AI324" s="622" t="n"/>
      <c r="AJ324" s="622" t="n"/>
      <c r="AK324" s="622" t="n"/>
      <c r="AL324" s="622" t="n"/>
      <c r="AM324" s="622" t="n"/>
      <c r="AN324" s="622" t="n"/>
      <c r="AO324" s="622" t="n"/>
      <c r="AP324" s="622" t="n"/>
      <c r="AQ324" s="622" t="n"/>
      <c r="AR324" s="622" t="n"/>
      <c r="AS324" s="622" t="n"/>
      <c r="AT324" s="622" t="n"/>
      <c r="AU324" s="622" t="n"/>
      <c r="AV324" s="622" t="n"/>
      <c r="AW324" s="622" t="n"/>
      <c r="AX324" s="622" t="n"/>
      <c r="AY324" s="622" t="n"/>
    </row>
    <row r="325">
      <c r="A325" s="622" t="n"/>
      <c r="B325" s="622" t="n"/>
      <c r="C325" s="622" t="n"/>
      <c r="D325" s="622" t="n"/>
      <c r="E325" s="622" t="n"/>
      <c r="F325" s="622" t="n"/>
      <c r="G325" s="622" t="n"/>
      <c r="H325" s="622" t="n"/>
      <c r="I325" s="622" t="n"/>
      <c r="J325" s="622" t="n"/>
      <c r="K325" s="622" t="n"/>
      <c r="L325" s="622" t="n"/>
      <c r="M325" s="622" t="n"/>
      <c r="N325" s="622" t="n"/>
      <c r="O325" s="622" t="n"/>
      <c r="P325" s="622" t="n"/>
      <c r="Q325" s="622" t="n"/>
      <c r="R325" s="622" t="n"/>
      <c r="S325" s="622" t="n"/>
      <c r="T325" s="622" t="n"/>
      <c r="U325" s="622" t="n"/>
      <c r="V325" s="622" t="n"/>
      <c r="W325" s="622" t="n"/>
      <c r="X325" s="622" t="n"/>
      <c r="Y325" s="622" t="n"/>
      <c r="Z325" s="622" t="n"/>
      <c r="AA325" s="622" t="n"/>
      <c r="AB325" s="622" t="n"/>
      <c r="AC325" s="622" t="n"/>
      <c r="AD325" s="622" t="n"/>
      <c r="AE325" s="622" t="n"/>
      <c r="AF325" s="622" t="n"/>
      <c r="AG325" s="622" t="n"/>
      <c r="AH325" s="622" t="n"/>
      <c r="AI325" s="622" t="n"/>
      <c r="AJ325" s="622" t="n"/>
      <c r="AK325" s="622" t="n"/>
      <c r="AL325" s="622" t="n"/>
      <c r="AM325" s="622" t="n"/>
      <c r="AN325" s="622" t="n"/>
      <c r="AO325" s="622" t="n"/>
      <c r="AP325" s="622" t="n"/>
      <c r="AQ325" s="622" t="n"/>
      <c r="AR325" s="622" t="n"/>
      <c r="AS325" s="622" t="n"/>
      <c r="AT325" s="622" t="n"/>
      <c r="AU325" s="622" t="n"/>
      <c r="AV325" s="622" t="n"/>
      <c r="AW325" s="622" t="n"/>
      <c r="AX325" s="622" t="n"/>
      <c r="AY325" s="622" t="n"/>
    </row>
    <row r="326">
      <c r="A326" s="622" t="n"/>
      <c r="B326" s="622" t="n"/>
      <c r="C326" s="622" t="n"/>
      <c r="D326" s="622" t="n"/>
      <c r="E326" s="622" t="n"/>
      <c r="F326" s="622" t="n"/>
      <c r="G326" s="622" t="n"/>
      <c r="H326" s="622" t="n"/>
      <c r="I326" s="622" t="n"/>
      <c r="J326" s="622" t="n"/>
      <c r="K326" s="622" t="n"/>
      <c r="L326" s="622" t="n"/>
      <c r="M326" s="622" t="n"/>
      <c r="N326" s="622" t="n"/>
      <c r="O326" s="622" t="n"/>
      <c r="P326" s="622" t="n"/>
      <c r="Q326" s="622" t="n"/>
      <c r="R326" s="622" t="n"/>
      <c r="S326" s="622" t="n"/>
      <c r="T326" s="622" t="n"/>
      <c r="U326" s="622" t="n"/>
      <c r="V326" s="622" t="n"/>
      <c r="W326" s="622" t="n"/>
      <c r="X326" s="622" t="n"/>
      <c r="Y326" s="622" t="n"/>
      <c r="Z326" s="622" t="n"/>
      <c r="AA326" s="622" t="n"/>
      <c r="AB326" s="622" t="n"/>
      <c r="AC326" s="622" t="n"/>
      <c r="AD326" s="622" t="n"/>
      <c r="AE326" s="622" t="n"/>
      <c r="AF326" s="622" t="n"/>
      <c r="AG326" s="622" t="n"/>
      <c r="AH326" s="622" t="n"/>
      <c r="AI326" s="622" t="n"/>
      <c r="AJ326" s="622" t="n"/>
      <c r="AK326" s="622" t="n"/>
      <c r="AL326" s="622" t="n"/>
      <c r="AM326" s="622" t="n"/>
      <c r="AN326" s="622" t="n"/>
      <c r="AO326" s="622" t="n"/>
      <c r="AP326" s="622" t="n"/>
      <c r="AQ326" s="622" t="n"/>
      <c r="AR326" s="622" t="n"/>
      <c r="AS326" s="622" t="n"/>
      <c r="AT326" s="622" t="n"/>
      <c r="AU326" s="622" t="n"/>
      <c r="AV326" s="622" t="n"/>
      <c r="AW326" s="622" t="n"/>
      <c r="AX326" s="622" t="n"/>
      <c r="AY326" s="622" t="n"/>
    </row>
    <row r="327">
      <c r="A327" s="622" t="n"/>
      <c r="B327" s="622" t="n"/>
      <c r="C327" s="622" t="n"/>
      <c r="D327" s="622" t="n"/>
      <c r="E327" s="622" t="n"/>
      <c r="F327" s="622" t="n"/>
      <c r="G327" s="622" t="n"/>
      <c r="H327" s="622" t="n"/>
      <c r="I327" s="622" t="n"/>
      <c r="J327" s="622" t="n"/>
      <c r="K327" s="622" t="n"/>
      <c r="L327" s="622" t="n"/>
      <c r="M327" s="622" t="n"/>
      <c r="N327" s="622" t="n"/>
      <c r="O327" s="622" t="n"/>
      <c r="P327" s="622" t="n"/>
      <c r="Q327" s="622" t="n"/>
      <c r="R327" s="622" t="n"/>
      <c r="S327" s="622" t="n"/>
      <c r="T327" s="622" t="n"/>
      <c r="U327" s="622" t="n"/>
      <c r="V327" s="622" t="n"/>
      <c r="W327" s="622" t="n"/>
      <c r="X327" s="622" t="n"/>
      <c r="Y327" s="622" t="n"/>
      <c r="Z327" s="622" t="n"/>
      <c r="AA327" s="622" t="n"/>
      <c r="AB327" s="622" t="n"/>
      <c r="AC327" s="622" t="n"/>
      <c r="AD327" s="622" t="n"/>
      <c r="AE327" s="622" t="n"/>
      <c r="AF327" s="622" t="n"/>
      <c r="AG327" s="622" t="n"/>
      <c r="AH327" s="622" t="n"/>
      <c r="AI327" s="622" t="n"/>
      <c r="AJ327" s="622" t="n"/>
      <c r="AK327" s="622" t="n"/>
      <c r="AL327" s="622" t="n"/>
      <c r="AM327" s="622" t="n"/>
      <c r="AN327" s="622" t="n"/>
      <c r="AO327" s="622" t="n"/>
      <c r="AP327" s="622" t="n"/>
      <c r="AQ327" s="622" t="n"/>
      <c r="AR327" s="622" t="n"/>
      <c r="AS327" s="622" t="n"/>
      <c r="AT327" s="622" t="n"/>
      <c r="AU327" s="622" t="n"/>
      <c r="AV327" s="622" t="n"/>
      <c r="AW327" s="622" t="n"/>
      <c r="AX327" s="622" t="n"/>
      <c r="AY327" s="622" t="n"/>
    </row>
    <row r="328">
      <c r="A328" s="622" t="n"/>
      <c r="B328" s="622" t="n"/>
      <c r="C328" s="622" t="n"/>
      <c r="D328" s="622" t="n"/>
      <c r="E328" s="622" t="n"/>
      <c r="F328" s="622" t="n"/>
      <c r="G328" s="622" t="n"/>
      <c r="H328" s="622" t="n"/>
      <c r="I328" s="622" t="n"/>
      <c r="J328" s="622" t="n"/>
      <c r="K328" s="622" t="n"/>
      <c r="L328" s="622" t="n"/>
      <c r="M328" s="622" t="n"/>
      <c r="N328" s="622" t="n"/>
      <c r="O328" s="622" t="n"/>
      <c r="P328" s="622" t="n"/>
      <c r="Q328" s="622" t="n"/>
      <c r="R328" s="622" t="n"/>
      <c r="S328" s="622" t="n"/>
      <c r="T328" s="622" t="n"/>
      <c r="U328" s="622" t="n"/>
      <c r="V328" s="622" t="n"/>
      <c r="W328" s="622" t="n"/>
      <c r="X328" s="622" t="n"/>
      <c r="Y328" s="622" t="n"/>
      <c r="Z328" s="622" t="n"/>
      <c r="AA328" s="622" t="n"/>
      <c r="AB328" s="622" t="n"/>
      <c r="AC328" s="622" t="n"/>
      <c r="AD328" s="622" t="n"/>
      <c r="AE328" s="622" t="n"/>
      <c r="AF328" s="622" t="n"/>
      <c r="AG328" s="622" t="n"/>
      <c r="AH328" s="622" t="n"/>
      <c r="AI328" s="622" t="n"/>
      <c r="AJ328" s="622" t="n"/>
      <c r="AK328" s="622" t="n"/>
      <c r="AL328" s="622" t="n"/>
      <c r="AM328" s="622" t="n"/>
      <c r="AN328" s="622" t="n"/>
      <c r="AO328" s="622" t="n"/>
      <c r="AP328" s="622" t="n"/>
      <c r="AQ328" s="622" t="n"/>
      <c r="AR328" s="622" t="n"/>
      <c r="AS328" s="622" t="n"/>
      <c r="AT328" s="622" t="n"/>
      <c r="AU328" s="622" t="n"/>
      <c r="AV328" s="622" t="n"/>
      <c r="AW328" s="622" t="n"/>
      <c r="AX328" s="622" t="n"/>
      <c r="AY328" s="622" t="n"/>
    </row>
    <row r="329">
      <c r="A329" s="622" t="n"/>
      <c r="B329" s="622" t="n"/>
      <c r="C329" s="622" t="n"/>
      <c r="D329" s="622" t="n"/>
      <c r="E329" s="622" t="n"/>
      <c r="F329" s="622" t="n"/>
      <c r="G329" s="622" t="n"/>
      <c r="H329" s="622" t="n"/>
      <c r="I329" s="622" t="n"/>
      <c r="J329" s="622" t="n"/>
      <c r="K329" s="622" t="n"/>
      <c r="L329" s="622" t="n"/>
      <c r="M329" s="622" t="n"/>
      <c r="N329" s="622" t="n"/>
      <c r="O329" s="622" t="n"/>
      <c r="P329" s="622" t="n"/>
      <c r="Q329" s="622" t="n"/>
      <c r="R329" s="622" t="n"/>
      <c r="S329" s="622" t="n"/>
      <c r="T329" s="622" t="n"/>
      <c r="U329" s="622" t="n"/>
      <c r="V329" s="622" t="n"/>
      <c r="W329" s="622" t="n"/>
      <c r="X329" s="622" t="n"/>
      <c r="Y329" s="622" t="n"/>
      <c r="Z329" s="622" t="n"/>
      <c r="AA329" s="622" t="n"/>
      <c r="AB329" s="622" t="n"/>
      <c r="AC329" s="622" t="n"/>
      <c r="AD329" s="622" t="n"/>
      <c r="AE329" s="622" t="n"/>
      <c r="AF329" s="622" t="n"/>
      <c r="AG329" s="622" t="n"/>
      <c r="AH329" s="622" t="n"/>
      <c r="AI329" s="622" t="n"/>
      <c r="AJ329" s="622" t="n"/>
      <c r="AK329" s="622" t="n"/>
      <c r="AL329" s="622" t="n"/>
      <c r="AM329" s="622" t="n"/>
      <c r="AN329" s="622" t="n"/>
      <c r="AO329" s="622" t="n"/>
      <c r="AP329" s="622" t="n"/>
      <c r="AQ329" s="622" t="n"/>
      <c r="AR329" s="622" t="n"/>
      <c r="AS329" s="622" t="n"/>
      <c r="AT329" s="622" t="n"/>
      <c r="AU329" s="622" t="n"/>
      <c r="AV329" s="622" t="n"/>
      <c r="AW329" s="622" t="n"/>
      <c r="AX329" s="622" t="n"/>
      <c r="AY329" s="622" t="n"/>
    </row>
    <row r="330">
      <c r="A330" s="622" t="n"/>
      <c r="B330" s="622" t="n"/>
      <c r="C330" s="622" t="n"/>
      <c r="D330" s="622" t="n"/>
      <c r="E330" s="622" t="n"/>
      <c r="F330" s="622" t="n"/>
      <c r="G330" s="622" t="n"/>
      <c r="H330" s="622" t="n"/>
      <c r="I330" s="622" t="n"/>
      <c r="J330" s="622" t="n"/>
      <c r="K330" s="622" t="n"/>
      <c r="L330" s="622" t="n"/>
      <c r="M330" s="622" t="n"/>
      <c r="N330" s="622" t="n"/>
      <c r="O330" s="622" t="n"/>
      <c r="P330" s="622" t="n"/>
      <c r="Q330" s="622" t="n"/>
      <c r="R330" s="622" t="n"/>
      <c r="S330" s="622" t="n"/>
      <c r="T330" s="622" t="n"/>
      <c r="U330" s="622" t="n"/>
      <c r="V330" s="622" t="n"/>
      <c r="W330" s="622" t="n"/>
      <c r="X330" s="622" t="n"/>
      <c r="Y330" s="622" t="n"/>
      <c r="Z330" s="622" t="n"/>
      <c r="AA330" s="622" t="n"/>
      <c r="AB330" s="622" t="n"/>
      <c r="AC330" s="622" t="n"/>
      <c r="AD330" s="622" t="n"/>
      <c r="AE330" s="622" t="n"/>
      <c r="AF330" s="622" t="n"/>
      <c r="AG330" s="622" t="n"/>
      <c r="AH330" s="622" t="n"/>
      <c r="AI330" s="622" t="n"/>
      <c r="AJ330" s="622" t="n"/>
      <c r="AK330" s="622" t="n"/>
      <c r="AL330" s="622" t="n"/>
      <c r="AM330" s="622" t="n"/>
      <c r="AN330" s="622" t="n"/>
      <c r="AO330" s="622" t="n"/>
      <c r="AP330" s="622" t="n"/>
      <c r="AQ330" s="622" t="n"/>
      <c r="AR330" s="622" t="n"/>
      <c r="AS330" s="622" t="n"/>
      <c r="AT330" s="622" t="n"/>
      <c r="AU330" s="622" t="n"/>
      <c r="AV330" s="622" t="n"/>
      <c r="AW330" s="622" t="n"/>
      <c r="AX330" s="622" t="n"/>
      <c r="AY330" s="622" t="n"/>
    </row>
    <row r="331">
      <c r="A331" s="622" t="n"/>
      <c r="B331" s="622" t="n"/>
      <c r="C331" s="622" t="n"/>
      <c r="D331" s="622" t="n"/>
      <c r="E331" s="622" t="n"/>
      <c r="F331" s="622" t="n"/>
      <c r="G331" s="622" t="n"/>
      <c r="H331" s="622" t="n"/>
      <c r="I331" s="622" t="n"/>
      <c r="J331" s="622" t="n"/>
      <c r="K331" s="622" t="n"/>
      <c r="L331" s="622" t="n"/>
      <c r="M331" s="622" t="n"/>
      <c r="N331" s="622" t="n"/>
      <c r="O331" s="622" t="n"/>
      <c r="P331" s="622" t="n"/>
      <c r="Q331" s="622" t="n"/>
      <c r="R331" s="622" t="n"/>
      <c r="S331" s="622" t="n"/>
      <c r="T331" s="622" t="n"/>
      <c r="U331" s="622" t="n"/>
      <c r="V331" s="622" t="n"/>
      <c r="W331" s="622" t="n"/>
      <c r="X331" s="622" t="n"/>
      <c r="Y331" s="622" t="n"/>
      <c r="Z331" s="622" t="n"/>
      <c r="AA331" s="622" t="n"/>
      <c r="AB331" s="622" t="n"/>
      <c r="AC331" s="622" t="n"/>
      <c r="AD331" s="622" t="n"/>
      <c r="AE331" s="622" t="n"/>
      <c r="AF331" s="622" t="n"/>
      <c r="AG331" s="622" t="n"/>
      <c r="AH331" s="622" t="n"/>
      <c r="AI331" s="622" t="n"/>
      <c r="AJ331" s="622" t="n"/>
      <c r="AK331" s="622" t="n"/>
      <c r="AL331" s="622" t="n"/>
      <c r="AM331" s="622" t="n"/>
      <c r="AN331" s="622" t="n"/>
      <c r="AO331" s="622" t="n"/>
      <c r="AP331" s="622" t="n"/>
      <c r="AQ331" s="622" t="n"/>
      <c r="AR331" s="622" t="n"/>
      <c r="AS331" s="622" t="n"/>
      <c r="AT331" s="622" t="n"/>
      <c r="AU331" s="622" t="n"/>
      <c r="AV331" s="622" t="n"/>
      <c r="AW331" s="622" t="n"/>
      <c r="AX331" s="622" t="n"/>
      <c r="AY331" s="622" t="n"/>
    </row>
    <row r="332">
      <c r="A332" s="622" t="n"/>
      <c r="B332" s="622" t="n"/>
      <c r="C332" s="622" t="n"/>
      <c r="D332" s="622" t="n"/>
      <c r="E332" s="622" t="n"/>
      <c r="F332" s="622" t="n"/>
      <c r="G332" s="622" t="n"/>
      <c r="H332" s="622" t="n"/>
      <c r="I332" s="622" t="n"/>
      <c r="J332" s="622" t="n"/>
      <c r="K332" s="622" t="n"/>
      <c r="L332" s="622" t="n"/>
      <c r="M332" s="622" t="n"/>
      <c r="N332" s="622" t="n"/>
      <c r="O332" s="622" t="n"/>
      <c r="P332" s="622" t="n"/>
      <c r="Q332" s="622" t="n"/>
      <c r="R332" s="622" t="n"/>
      <c r="S332" s="622" t="n"/>
      <c r="T332" s="622" t="n"/>
      <c r="U332" s="622" t="n"/>
      <c r="V332" s="622" t="n"/>
      <c r="W332" s="622" t="n"/>
      <c r="X332" s="622" t="n"/>
      <c r="Y332" s="622" t="n"/>
      <c r="Z332" s="622" t="n"/>
      <c r="AA332" s="622" t="n"/>
      <c r="AB332" s="622" t="n"/>
      <c r="AC332" s="622" t="n"/>
      <c r="AD332" s="622" t="n"/>
      <c r="AE332" s="622" t="n"/>
      <c r="AF332" s="622" t="n"/>
      <c r="AG332" s="622" t="n"/>
      <c r="AH332" s="622" t="n"/>
      <c r="AI332" s="622" t="n"/>
      <c r="AJ332" s="622" t="n"/>
      <c r="AK332" s="622" t="n"/>
      <c r="AL332" s="622" t="n"/>
      <c r="AM332" s="622" t="n"/>
      <c r="AN332" s="622" t="n"/>
      <c r="AO332" s="622" t="n"/>
      <c r="AP332" s="622" t="n"/>
      <c r="AQ332" s="622" t="n"/>
      <c r="AR332" s="622" t="n"/>
      <c r="AS332" s="622" t="n"/>
      <c r="AT332" s="622" t="n"/>
      <c r="AU332" s="622" t="n"/>
      <c r="AV332" s="622" t="n"/>
      <c r="AW332" s="622" t="n"/>
      <c r="AX332" s="622" t="n"/>
      <c r="AY332" s="622" t="n"/>
    </row>
    <row r="333">
      <c r="A333" s="622" t="n"/>
      <c r="B333" s="622" t="n"/>
      <c r="C333" s="622" t="n"/>
      <c r="D333" s="622" t="n"/>
      <c r="E333" s="622" t="n"/>
      <c r="F333" s="622" t="n"/>
      <c r="G333" s="622" t="n"/>
      <c r="H333" s="622" t="n"/>
      <c r="I333" s="622" t="n"/>
      <c r="J333" s="622" t="n"/>
      <c r="K333" s="622" t="n"/>
      <c r="L333" s="622" t="n"/>
      <c r="M333" s="622" t="n"/>
      <c r="N333" s="622" t="n"/>
      <c r="O333" s="622" t="n"/>
      <c r="P333" s="622" t="n"/>
      <c r="Q333" s="622" t="n"/>
      <c r="R333" s="622" t="n"/>
      <c r="S333" s="622" t="n"/>
      <c r="T333" s="622" t="n"/>
      <c r="U333" s="622" t="n"/>
      <c r="V333" s="622" t="n"/>
      <c r="W333" s="622" t="n"/>
      <c r="X333" s="622" t="n"/>
      <c r="Y333" s="622" t="n"/>
      <c r="Z333" s="622" t="n"/>
      <c r="AA333" s="622" t="n"/>
      <c r="AB333" s="622" t="n"/>
      <c r="AC333" s="622" t="n"/>
      <c r="AD333" s="622" t="n"/>
      <c r="AE333" s="622" t="n"/>
      <c r="AF333" s="622" t="n"/>
      <c r="AG333" s="622" t="n"/>
      <c r="AH333" s="622" t="n"/>
      <c r="AI333" s="622" t="n"/>
      <c r="AJ333" s="622" t="n"/>
      <c r="AK333" s="622" t="n"/>
      <c r="AL333" s="622" t="n"/>
      <c r="AM333" s="622" t="n"/>
      <c r="AN333" s="622" t="n"/>
      <c r="AO333" s="622" t="n"/>
      <c r="AP333" s="622" t="n"/>
      <c r="AQ333" s="622" t="n"/>
      <c r="AR333" s="622" t="n"/>
      <c r="AS333" s="622" t="n"/>
      <c r="AT333" s="622" t="n"/>
      <c r="AU333" s="622" t="n"/>
      <c r="AV333" s="622" t="n"/>
      <c r="AW333" s="622" t="n"/>
      <c r="AX333" s="622" t="n"/>
      <c r="AY333" s="622" t="n"/>
    </row>
    <row r="334">
      <c r="A334" s="622" t="n"/>
      <c r="B334" s="622" t="n"/>
      <c r="C334" s="622" t="n"/>
      <c r="D334" s="622" t="n"/>
      <c r="E334" s="622" t="n"/>
      <c r="F334" s="622" t="n"/>
      <c r="G334" s="622" t="n"/>
      <c r="H334" s="622" t="n"/>
      <c r="I334" s="622" t="n"/>
      <c r="J334" s="622" t="n"/>
      <c r="K334" s="622" t="n"/>
      <c r="L334" s="622" t="n"/>
      <c r="M334" s="622" t="n"/>
      <c r="N334" s="622" t="n"/>
      <c r="O334" s="622" t="n"/>
      <c r="P334" s="622" t="n"/>
      <c r="Q334" s="622" t="n"/>
      <c r="R334" s="622" t="n"/>
      <c r="S334" s="622" t="n"/>
      <c r="T334" s="622" t="n"/>
      <c r="U334" s="622" t="n"/>
      <c r="V334" s="622" t="n"/>
      <c r="W334" s="622" t="n"/>
      <c r="X334" s="622" t="n"/>
      <c r="Y334" s="622" t="n"/>
      <c r="Z334" s="622" t="n"/>
      <c r="AA334" s="622" t="n"/>
      <c r="AB334" s="622" t="n"/>
      <c r="AC334" s="622" t="n"/>
      <c r="AD334" s="622" t="n"/>
      <c r="AE334" s="622" t="n"/>
      <c r="AF334" s="622" t="n"/>
      <c r="AG334" s="622" t="n"/>
      <c r="AH334" s="622" t="n"/>
      <c r="AI334" s="622" t="n"/>
      <c r="AJ334" s="622" t="n"/>
      <c r="AK334" s="622" t="n"/>
      <c r="AL334" s="622" t="n"/>
      <c r="AM334" s="622" t="n"/>
      <c r="AN334" s="622" t="n"/>
      <c r="AO334" s="622" t="n"/>
      <c r="AP334" s="622" t="n"/>
      <c r="AQ334" s="622" t="n"/>
      <c r="AR334" s="622" t="n"/>
      <c r="AS334" s="622" t="n"/>
      <c r="AT334" s="622" t="n"/>
      <c r="AU334" s="622" t="n"/>
      <c r="AV334" s="622" t="n"/>
      <c r="AW334" s="622" t="n"/>
      <c r="AX334" s="622" t="n"/>
      <c r="AY334" s="622" t="n"/>
    </row>
    <row r="335">
      <c r="A335" s="622" t="n"/>
      <c r="B335" s="622" t="n"/>
      <c r="C335" s="622" t="n"/>
      <c r="D335" s="622" t="n"/>
      <c r="E335" s="622" t="n"/>
      <c r="F335" s="622" t="n"/>
      <c r="G335" s="622" t="n"/>
      <c r="H335" s="622" t="n"/>
      <c r="I335" s="622" t="n"/>
      <c r="J335" s="622" t="n"/>
      <c r="K335" s="622" t="n"/>
      <c r="L335" s="622" t="n"/>
      <c r="M335" s="622" t="n"/>
      <c r="N335" s="622" t="n"/>
      <c r="O335" s="622" t="n"/>
      <c r="P335" s="622" t="n"/>
      <c r="Q335" s="622" t="n"/>
      <c r="R335" s="622" t="n"/>
      <c r="S335" s="622" t="n"/>
      <c r="T335" s="622" t="n"/>
      <c r="U335" s="622" t="n"/>
      <c r="V335" s="622" t="n"/>
      <c r="W335" s="622" t="n"/>
      <c r="X335" s="622" t="n"/>
      <c r="Y335" s="622" t="n"/>
      <c r="Z335" s="622" t="n"/>
      <c r="AA335" s="622" t="n"/>
      <c r="AB335" s="622" t="n"/>
      <c r="AC335" s="622" t="n"/>
      <c r="AD335" s="622" t="n"/>
      <c r="AE335" s="622" t="n"/>
      <c r="AF335" s="622" t="n"/>
      <c r="AG335" s="622" t="n"/>
      <c r="AH335" s="622" t="n"/>
      <c r="AI335" s="622" t="n"/>
      <c r="AJ335" s="622" t="n"/>
      <c r="AK335" s="622" t="n"/>
      <c r="AL335" s="622" t="n"/>
      <c r="AM335" s="622" t="n"/>
      <c r="AN335" s="622" t="n"/>
      <c r="AO335" s="622" t="n"/>
      <c r="AP335" s="622" t="n"/>
      <c r="AQ335" s="622" t="n"/>
      <c r="AR335" s="622" t="n"/>
      <c r="AS335" s="622" t="n"/>
      <c r="AT335" s="622" t="n"/>
      <c r="AU335" s="622" t="n"/>
      <c r="AV335" s="622" t="n"/>
      <c r="AW335" s="622" t="n"/>
      <c r="AX335" s="622" t="n"/>
      <c r="AY335" s="622" t="n"/>
    </row>
    <row r="336">
      <c r="A336" s="622" t="n"/>
      <c r="B336" s="622" t="n"/>
      <c r="C336" s="622" t="n"/>
      <c r="D336" s="622" t="n"/>
      <c r="E336" s="622" t="n"/>
      <c r="F336" s="622" t="n"/>
      <c r="G336" s="622" t="n"/>
      <c r="H336" s="622" t="n"/>
      <c r="I336" s="622" t="n"/>
      <c r="J336" s="622" t="n"/>
      <c r="K336" s="622" t="n"/>
      <c r="L336" s="622" t="n"/>
      <c r="M336" s="622" t="n"/>
      <c r="N336" s="622" t="n"/>
      <c r="O336" s="622" t="n"/>
      <c r="P336" s="622" t="n"/>
      <c r="Q336" s="622" t="n"/>
      <c r="R336" s="622" t="n"/>
      <c r="S336" s="622" t="n"/>
      <c r="T336" s="622" t="n"/>
      <c r="U336" s="622" t="n"/>
      <c r="V336" s="622" t="n"/>
      <c r="W336" s="622" t="n"/>
      <c r="X336" s="622" t="n"/>
      <c r="Y336" s="622" t="n"/>
      <c r="Z336" s="622" t="n"/>
      <c r="AA336" s="622" t="n"/>
      <c r="AB336" s="622" t="n"/>
      <c r="AC336" s="622" t="n"/>
      <c r="AD336" s="622" t="n"/>
      <c r="AE336" s="622" t="n"/>
      <c r="AF336" s="622" t="n"/>
      <c r="AG336" s="622" t="n"/>
      <c r="AH336" s="622" t="n"/>
      <c r="AI336" s="622" t="n"/>
      <c r="AJ336" s="622" t="n"/>
      <c r="AK336" s="622" t="n"/>
      <c r="AL336" s="622" t="n"/>
      <c r="AM336" s="622" t="n"/>
      <c r="AN336" s="622" t="n"/>
      <c r="AO336" s="622" t="n"/>
      <c r="AP336" s="622" t="n"/>
      <c r="AQ336" s="622" t="n"/>
      <c r="AR336" s="622" t="n"/>
      <c r="AS336" s="622" t="n"/>
      <c r="AT336" s="622" t="n"/>
      <c r="AU336" s="622" t="n"/>
      <c r="AV336" s="622" t="n"/>
      <c r="AW336" s="622" t="n"/>
      <c r="AX336" s="622" t="n"/>
      <c r="AY336" s="622" t="n"/>
    </row>
    <row r="337">
      <c r="A337" s="622" t="n"/>
      <c r="B337" s="622" t="n"/>
      <c r="C337" s="622" t="n"/>
      <c r="D337" s="622" t="n"/>
      <c r="E337" s="622" t="n"/>
      <c r="F337" s="622" t="n"/>
      <c r="G337" s="622" t="n"/>
      <c r="H337" s="622" t="n"/>
      <c r="I337" s="622" t="n"/>
      <c r="J337" s="622" t="n"/>
      <c r="K337" s="622" t="n"/>
      <c r="L337" s="622" t="n"/>
      <c r="M337" s="622" t="n"/>
      <c r="N337" s="622" t="n"/>
      <c r="O337" s="622" t="n"/>
      <c r="P337" s="622" t="n"/>
      <c r="Q337" s="622" t="n"/>
      <c r="R337" s="622" t="n"/>
      <c r="S337" s="622" t="n"/>
      <c r="T337" s="622" t="n"/>
      <c r="U337" s="622" t="n"/>
      <c r="V337" s="622" t="n"/>
      <c r="W337" s="622" t="n"/>
      <c r="X337" s="622" t="n"/>
      <c r="Y337" s="622" t="n"/>
      <c r="Z337" s="622" t="n"/>
      <c r="AA337" s="622" t="n"/>
      <c r="AB337" s="622" t="n"/>
      <c r="AC337" s="622" t="n"/>
      <c r="AD337" s="622" t="n"/>
      <c r="AE337" s="622" t="n"/>
      <c r="AF337" s="622" t="n"/>
      <c r="AG337" s="622" t="n"/>
      <c r="AH337" s="622" t="n"/>
      <c r="AI337" s="622" t="n"/>
      <c r="AJ337" s="622" t="n"/>
      <c r="AK337" s="622" t="n"/>
      <c r="AL337" s="622" t="n"/>
      <c r="AM337" s="622" t="n"/>
      <c r="AN337" s="622" t="n"/>
      <c r="AO337" s="622" t="n"/>
      <c r="AP337" s="622" t="n"/>
      <c r="AQ337" s="622" t="n"/>
      <c r="AR337" s="622" t="n"/>
      <c r="AS337" s="622" t="n"/>
      <c r="AT337" s="622" t="n"/>
      <c r="AU337" s="622" t="n"/>
      <c r="AV337" s="622" t="n"/>
      <c r="AW337" s="622" t="n"/>
      <c r="AX337" s="622" t="n"/>
      <c r="AY337" s="622" t="n"/>
    </row>
    <row r="338">
      <c r="A338" s="622" t="n"/>
      <c r="B338" s="622" t="n"/>
      <c r="C338" s="622" t="n"/>
      <c r="D338" s="622" t="n"/>
      <c r="E338" s="622" t="n"/>
      <c r="F338" s="622" t="n"/>
      <c r="G338" s="622" t="n"/>
      <c r="H338" s="622" t="n"/>
      <c r="I338" s="622" t="n"/>
      <c r="J338" s="622" t="n"/>
      <c r="K338" s="622" t="n"/>
      <c r="L338" s="622" t="n"/>
      <c r="M338" s="622" t="n"/>
      <c r="N338" s="622" t="n"/>
      <c r="O338" s="622" t="n"/>
      <c r="P338" s="622" t="n"/>
      <c r="Q338" s="622" t="n"/>
      <c r="R338" s="622" t="n"/>
      <c r="S338" s="622" t="n"/>
      <c r="T338" s="622" t="n"/>
      <c r="U338" s="622" t="n"/>
      <c r="V338" s="622" t="n"/>
      <c r="W338" s="622" t="n"/>
      <c r="X338" s="622" t="n"/>
      <c r="Y338" s="622" t="n"/>
      <c r="Z338" s="622" t="n"/>
      <c r="AA338" s="622" t="n"/>
      <c r="AB338" s="622" t="n"/>
      <c r="AC338" s="622" t="n"/>
      <c r="AD338" s="622" t="n"/>
      <c r="AE338" s="622" t="n"/>
      <c r="AF338" s="622" t="n"/>
      <c r="AG338" s="622" t="n"/>
      <c r="AH338" s="622" t="n"/>
      <c r="AI338" s="622" t="n"/>
      <c r="AJ338" s="622" t="n"/>
      <c r="AK338" s="622" t="n"/>
      <c r="AL338" s="622" t="n"/>
      <c r="AM338" s="622" t="n"/>
      <c r="AN338" s="622" t="n"/>
      <c r="AO338" s="622" t="n"/>
      <c r="AP338" s="622" t="n"/>
      <c r="AQ338" s="622" t="n"/>
      <c r="AR338" s="622" t="n"/>
      <c r="AS338" s="622" t="n"/>
      <c r="AT338" s="622" t="n"/>
      <c r="AU338" s="622" t="n"/>
      <c r="AV338" s="622" t="n"/>
      <c r="AW338" s="622" t="n"/>
      <c r="AX338" s="622" t="n"/>
      <c r="AY338" s="622" t="n"/>
    </row>
    <row r="339">
      <c r="A339" s="622" t="n"/>
      <c r="B339" s="622" t="n"/>
      <c r="C339" s="622" t="n"/>
      <c r="D339" s="622" t="n"/>
      <c r="E339" s="622" t="n"/>
      <c r="F339" s="622" t="n"/>
      <c r="G339" s="622" t="n"/>
      <c r="H339" s="622" t="n"/>
      <c r="I339" s="622" t="n"/>
      <c r="J339" s="622" t="n"/>
      <c r="K339" s="622" t="n"/>
      <c r="L339" s="622" t="n"/>
      <c r="M339" s="622" t="n"/>
      <c r="N339" s="622" t="n"/>
      <c r="O339" s="622" t="n"/>
      <c r="P339" s="622" t="n"/>
      <c r="Q339" s="622" t="n"/>
      <c r="R339" s="622" t="n"/>
      <c r="S339" s="622" t="n"/>
      <c r="T339" s="622" t="n"/>
      <c r="U339" s="622" t="n"/>
      <c r="V339" s="622" t="n"/>
      <c r="W339" s="622" t="n"/>
      <c r="X339" s="622" t="n"/>
      <c r="Y339" s="622" t="n"/>
      <c r="Z339" s="622" t="n"/>
      <c r="AA339" s="622" t="n"/>
      <c r="AB339" s="622" t="n"/>
      <c r="AC339" s="622" t="n"/>
      <c r="AD339" s="622" t="n"/>
      <c r="AE339" s="622" t="n"/>
      <c r="AF339" s="622" t="n"/>
      <c r="AG339" s="622" t="n"/>
      <c r="AH339" s="622" t="n"/>
      <c r="AI339" s="622" t="n"/>
      <c r="AJ339" s="622" t="n"/>
      <c r="AK339" s="622" t="n"/>
      <c r="AL339" s="622" t="n"/>
      <c r="AM339" s="622" t="n"/>
      <c r="AN339" s="622" t="n"/>
      <c r="AO339" s="622" t="n"/>
      <c r="AP339" s="622" t="n"/>
      <c r="AQ339" s="622" t="n"/>
      <c r="AR339" s="622" t="n"/>
      <c r="AS339" s="622" t="n"/>
      <c r="AT339" s="622" t="n"/>
      <c r="AU339" s="622" t="n"/>
      <c r="AV339" s="622" t="n"/>
      <c r="AW339" s="622" t="n"/>
      <c r="AX339" s="622" t="n"/>
      <c r="AY339" s="622" t="n"/>
    </row>
    <row r="340">
      <c r="A340" s="622" t="n"/>
      <c r="B340" s="622" t="n"/>
      <c r="C340" s="622" t="n"/>
      <c r="D340" s="622" t="n"/>
      <c r="E340" s="622" t="n"/>
      <c r="F340" s="622" t="n"/>
      <c r="G340" s="622" t="n"/>
      <c r="H340" s="622" t="n"/>
      <c r="I340" s="622" t="n"/>
      <c r="J340" s="622" t="n"/>
      <c r="K340" s="622" t="n"/>
      <c r="L340" s="622" t="n"/>
      <c r="M340" s="622" t="n"/>
      <c r="N340" s="622" t="n"/>
      <c r="O340" s="622" t="n"/>
      <c r="P340" s="622" t="n"/>
      <c r="Q340" s="622" t="n"/>
      <c r="R340" s="622" t="n"/>
      <c r="S340" s="622" t="n"/>
      <c r="T340" s="622" t="n"/>
      <c r="U340" s="622" t="n"/>
      <c r="V340" s="622" t="n"/>
      <c r="W340" s="622" t="n"/>
      <c r="X340" s="622" t="n"/>
      <c r="Y340" s="622" t="n"/>
      <c r="Z340" s="622" t="n"/>
      <c r="AA340" s="622" t="n"/>
      <c r="AB340" s="622" t="n"/>
      <c r="AC340" s="622" t="n"/>
      <c r="AD340" s="622" t="n"/>
      <c r="AE340" s="622" t="n"/>
      <c r="AF340" s="622" t="n"/>
      <c r="AG340" s="622" t="n"/>
      <c r="AH340" s="622" t="n"/>
      <c r="AI340" s="622" t="n"/>
      <c r="AJ340" s="622" t="n"/>
      <c r="AK340" s="622" t="n"/>
      <c r="AL340" s="622" t="n"/>
      <c r="AM340" s="622" t="n"/>
      <c r="AN340" s="622" t="n"/>
      <c r="AO340" s="622" t="n"/>
      <c r="AP340" s="622" t="n"/>
      <c r="AQ340" s="622" t="n"/>
      <c r="AR340" s="622" t="n"/>
      <c r="AS340" s="622" t="n"/>
      <c r="AT340" s="622" t="n"/>
      <c r="AU340" s="622" t="n"/>
      <c r="AV340" s="622" t="n"/>
      <c r="AW340" s="622" t="n"/>
      <c r="AX340" s="622" t="n"/>
      <c r="AY340" s="622" t="n"/>
    </row>
    <row r="341">
      <c r="A341" s="622" t="n"/>
      <c r="B341" s="622" t="n"/>
      <c r="C341" s="622" t="n"/>
      <c r="D341" s="622" t="n"/>
      <c r="E341" s="622" t="n"/>
      <c r="F341" s="622" t="n"/>
      <c r="G341" s="622" t="n"/>
      <c r="H341" s="622" t="n"/>
      <c r="I341" s="622" t="n"/>
      <c r="J341" s="622" t="n"/>
      <c r="K341" s="622" t="n"/>
      <c r="L341" s="622" t="n"/>
      <c r="M341" s="622" t="n"/>
      <c r="N341" s="622" t="n"/>
      <c r="O341" s="622" t="n"/>
      <c r="P341" s="622" t="n"/>
      <c r="Q341" s="622" t="n"/>
      <c r="R341" s="622" t="n"/>
      <c r="S341" s="622" t="n"/>
      <c r="T341" s="622" t="n"/>
      <c r="U341" s="622" t="n"/>
      <c r="V341" s="622" t="n"/>
      <c r="W341" s="622" t="n"/>
      <c r="X341" s="622" t="n"/>
      <c r="Y341" s="622" t="n"/>
      <c r="Z341" s="622" t="n"/>
      <c r="AA341" s="622" t="n"/>
      <c r="AB341" s="622" t="n"/>
      <c r="AC341" s="622" t="n"/>
      <c r="AD341" s="622" t="n"/>
      <c r="AE341" s="622" t="n"/>
      <c r="AF341" s="622" t="n"/>
      <c r="AG341" s="622" t="n"/>
      <c r="AH341" s="622" t="n"/>
      <c r="AI341" s="622" t="n"/>
      <c r="AJ341" s="622" t="n"/>
      <c r="AK341" s="622" t="n"/>
      <c r="AL341" s="622" t="n"/>
      <c r="AM341" s="622" t="n"/>
      <c r="AN341" s="622" t="n"/>
      <c r="AO341" s="622" t="n"/>
      <c r="AP341" s="622" t="n"/>
      <c r="AQ341" s="622" t="n"/>
      <c r="AR341" s="622" t="n"/>
      <c r="AS341" s="622" t="n"/>
      <c r="AT341" s="622" t="n"/>
      <c r="AU341" s="622" t="n"/>
      <c r="AV341" s="622" t="n"/>
      <c r="AW341" s="622" t="n"/>
      <c r="AX341" s="622" t="n"/>
      <c r="AY341" s="622" t="n"/>
    </row>
    <row r="342">
      <c r="A342" s="622" t="n"/>
      <c r="B342" s="622" t="n"/>
      <c r="C342" s="622" t="n"/>
      <c r="D342" s="622" t="n"/>
      <c r="E342" s="622" t="n"/>
      <c r="F342" s="622" t="n"/>
      <c r="G342" s="622" t="n"/>
      <c r="H342" s="622" t="n"/>
      <c r="I342" s="622" t="n"/>
      <c r="J342" s="622" t="n"/>
      <c r="K342" s="622" t="n"/>
      <c r="L342" s="622" t="n"/>
      <c r="M342" s="622" t="n"/>
      <c r="N342" s="622" t="n"/>
      <c r="O342" s="622" t="n"/>
      <c r="P342" s="622" t="n"/>
      <c r="Q342" s="622" t="n"/>
      <c r="R342" s="622" t="n"/>
      <c r="S342" s="622" t="n"/>
      <c r="T342" s="622" t="n"/>
      <c r="U342" s="622" t="n"/>
      <c r="V342" s="622" t="n"/>
      <c r="W342" s="622" t="n"/>
      <c r="X342" s="622" t="n"/>
      <c r="Y342" s="622" t="n"/>
      <c r="Z342" s="622" t="n"/>
      <c r="AA342" s="622" t="n"/>
      <c r="AB342" s="622" t="n"/>
      <c r="AC342" s="622" t="n"/>
      <c r="AD342" s="622" t="n"/>
      <c r="AE342" s="622" t="n"/>
      <c r="AF342" s="622" t="n"/>
      <c r="AG342" s="622" t="n"/>
      <c r="AH342" s="622" t="n"/>
      <c r="AI342" s="622" t="n"/>
      <c r="AJ342" s="622" t="n"/>
      <c r="AK342" s="622" t="n"/>
      <c r="AL342" s="622" t="n"/>
      <c r="AM342" s="622" t="n"/>
      <c r="AN342" s="622" t="n"/>
      <c r="AO342" s="622" t="n"/>
      <c r="AP342" s="622" t="n"/>
      <c r="AQ342" s="622" t="n"/>
      <c r="AR342" s="622" t="n"/>
      <c r="AS342" s="622" t="n"/>
      <c r="AT342" s="622" t="n"/>
      <c r="AU342" s="622" t="n"/>
      <c r="AV342" s="622" t="n"/>
      <c r="AW342" s="622" t="n"/>
      <c r="AX342" s="622" t="n"/>
      <c r="AY342" s="622" t="n"/>
    </row>
    <row r="343">
      <c r="A343" s="622" t="n"/>
      <c r="B343" s="622" t="n"/>
      <c r="C343" s="622" t="n"/>
      <c r="D343" s="622" t="n"/>
      <c r="E343" s="622" t="n"/>
      <c r="F343" s="622" t="n"/>
      <c r="G343" s="622" t="n"/>
      <c r="H343" s="622" t="n"/>
      <c r="I343" s="622" t="n"/>
      <c r="J343" s="622" t="n"/>
      <c r="K343" s="622" t="n"/>
      <c r="L343" s="622" t="n"/>
      <c r="M343" s="622" t="n"/>
      <c r="N343" s="622" t="n"/>
      <c r="O343" s="622" t="n"/>
      <c r="P343" s="622" t="n"/>
      <c r="Q343" s="622" t="n"/>
      <c r="R343" s="622" t="n"/>
      <c r="S343" s="622" t="n"/>
      <c r="T343" s="622" t="n"/>
      <c r="U343" s="622" t="n"/>
      <c r="V343" s="622" t="n"/>
      <c r="W343" s="622" t="n"/>
      <c r="X343" s="622" t="n"/>
      <c r="Y343" s="622" t="n"/>
      <c r="Z343" s="622" t="n"/>
      <c r="AA343" s="622" t="n"/>
      <c r="AB343" s="622" t="n"/>
      <c r="AC343" s="622" t="n"/>
      <c r="AD343" s="622" t="n"/>
      <c r="AE343" s="622" t="n"/>
      <c r="AF343" s="622" t="n"/>
      <c r="AG343" s="622" t="n"/>
      <c r="AH343" s="622" t="n"/>
      <c r="AI343" s="622" t="n"/>
      <c r="AJ343" s="622" t="n"/>
      <c r="AK343" s="622" t="n"/>
      <c r="AL343" s="622" t="n"/>
      <c r="AM343" s="622" t="n"/>
      <c r="AN343" s="622" t="n"/>
      <c r="AO343" s="622" t="n"/>
      <c r="AP343" s="622" t="n"/>
      <c r="AQ343" s="622" t="n"/>
      <c r="AR343" s="622" t="n"/>
      <c r="AS343" s="622" t="n"/>
      <c r="AT343" s="622" t="n"/>
      <c r="AU343" s="622" t="n"/>
      <c r="AV343" s="622" t="n"/>
      <c r="AW343" s="622" t="n"/>
      <c r="AX343" s="622" t="n"/>
      <c r="AY343" s="622" t="n"/>
    </row>
    <row r="344">
      <c r="A344" s="622" t="n"/>
      <c r="B344" s="622" t="n"/>
      <c r="C344" s="622" t="n"/>
      <c r="D344" s="622" t="n"/>
      <c r="E344" s="622" t="n"/>
      <c r="F344" s="622" t="n"/>
      <c r="G344" s="622" t="n"/>
      <c r="H344" s="622" t="n"/>
      <c r="I344" s="622" t="n"/>
      <c r="J344" s="622" t="n"/>
      <c r="K344" s="622" t="n"/>
      <c r="L344" s="622" t="n"/>
      <c r="M344" s="622" t="n"/>
      <c r="N344" s="622" t="n"/>
      <c r="O344" s="622" t="n"/>
      <c r="P344" s="622" t="n"/>
      <c r="Q344" s="622" t="n"/>
      <c r="R344" s="622" t="n"/>
      <c r="S344" s="622" t="n"/>
      <c r="T344" s="622" t="n"/>
      <c r="U344" s="622" t="n"/>
      <c r="V344" s="622" t="n"/>
      <c r="W344" s="622" t="n"/>
      <c r="X344" s="622" t="n"/>
      <c r="Y344" s="622" t="n"/>
      <c r="Z344" s="622" t="n"/>
      <c r="AA344" s="622" t="n"/>
      <c r="AB344" s="622" t="n"/>
      <c r="AC344" s="622" t="n"/>
      <c r="AD344" s="622" t="n"/>
      <c r="AE344" s="622" t="n"/>
      <c r="AF344" s="622" t="n"/>
      <c r="AG344" s="622" t="n"/>
      <c r="AH344" s="622" t="n"/>
      <c r="AI344" s="622" t="n"/>
      <c r="AJ344" s="622" t="n"/>
      <c r="AK344" s="622" t="n"/>
      <c r="AL344" s="622" t="n"/>
      <c r="AM344" s="622" t="n"/>
      <c r="AN344" s="622" t="n"/>
      <c r="AO344" s="622" t="n"/>
      <c r="AP344" s="622" t="n"/>
      <c r="AQ344" s="622" t="n"/>
      <c r="AR344" s="622" t="n"/>
      <c r="AS344" s="622" t="n"/>
      <c r="AT344" s="622" t="n"/>
      <c r="AU344" s="622" t="n"/>
      <c r="AV344" s="622" t="n"/>
      <c r="AW344" s="622" t="n"/>
      <c r="AX344" s="622" t="n"/>
      <c r="AY344" s="622" t="n"/>
    </row>
    <row r="345">
      <c r="A345" s="622" t="n"/>
      <c r="B345" s="622" t="n"/>
      <c r="C345" s="622" t="n"/>
      <c r="D345" s="622" t="n"/>
      <c r="E345" s="622" t="n"/>
      <c r="F345" s="622" t="n"/>
      <c r="G345" s="622" t="n"/>
      <c r="H345" s="622" t="n"/>
      <c r="I345" s="622" t="n"/>
      <c r="J345" s="622" t="n"/>
      <c r="K345" s="622" t="n"/>
      <c r="L345" s="622" t="n"/>
      <c r="M345" s="622" t="n"/>
      <c r="N345" s="622" t="n"/>
      <c r="O345" s="622" t="n"/>
      <c r="P345" s="622" t="n"/>
      <c r="Q345" s="622" t="n"/>
      <c r="R345" s="622" t="n"/>
      <c r="S345" s="622" t="n"/>
      <c r="T345" s="622" t="n"/>
      <c r="U345" s="622" t="n"/>
      <c r="V345" s="622" t="n"/>
      <c r="W345" s="622" t="n"/>
      <c r="X345" s="622" t="n"/>
      <c r="Y345" s="622" t="n"/>
      <c r="Z345" s="622" t="n"/>
      <c r="AA345" s="622" t="n"/>
      <c r="AB345" s="622" t="n"/>
      <c r="AC345" s="622" t="n"/>
      <c r="AD345" s="622" t="n"/>
      <c r="AE345" s="622" t="n"/>
      <c r="AF345" s="622" t="n"/>
      <c r="AG345" s="622" t="n"/>
      <c r="AH345" s="622" t="n"/>
      <c r="AI345" s="622" t="n"/>
      <c r="AJ345" s="622" t="n"/>
      <c r="AK345" s="622" t="n"/>
      <c r="AL345" s="622" t="n"/>
      <c r="AM345" s="622" t="n"/>
      <c r="AN345" s="622" t="n"/>
      <c r="AO345" s="622" t="n"/>
      <c r="AP345" s="622" t="n"/>
      <c r="AQ345" s="622" t="n"/>
      <c r="AR345" s="622" t="n"/>
      <c r="AS345" s="622" t="n"/>
      <c r="AT345" s="622" t="n"/>
      <c r="AU345" s="622" t="n"/>
      <c r="AV345" s="622" t="n"/>
      <c r="AW345" s="622" t="n"/>
      <c r="AX345" s="622" t="n"/>
      <c r="AY345" s="622" t="n"/>
    </row>
    <row r="346">
      <c r="A346" s="622" t="n"/>
      <c r="B346" s="622" t="n"/>
      <c r="C346" s="622" t="n"/>
      <c r="D346" s="622" t="n"/>
      <c r="E346" s="622" t="n"/>
      <c r="F346" s="622" t="n"/>
      <c r="G346" s="622" t="n"/>
      <c r="H346" s="622" t="n"/>
      <c r="I346" s="622" t="n"/>
      <c r="J346" s="622" t="n"/>
      <c r="K346" s="622" t="n"/>
      <c r="L346" s="622" t="n"/>
      <c r="M346" s="622" t="n"/>
      <c r="N346" s="622" t="n"/>
      <c r="O346" s="622" t="n"/>
      <c r="P346" s="622" t="n"/>
      <c r="Q346" s="622" t="n"/>
      <c r="R346" s="622" t="n"/>
      <c r="S346" s="622" t="n"/>
      <c r="T346" s="622" t="n"/>
      <c r="U346" s="622" t="n"/>
      <c r="V346" s="622" t="n"/>
      <c r="W346" s="622" t="n"/>
      <c r="X346" s="622" t="n"/>
      <c r="Y346" s="622" t="n"/>
      <c r="Z346" s="622" t="n"/>
      <c r="AA346" s="622" t="n"/>
      <c r="AB346" s="622" t="n"/>
      <c r="AC346" s="622" t="n"/>
      <c r="AD346" s="622" t="n"/>
      <c r="AE346" s="622" t="n"/>
      <c r="AF346" s="622" t="n"/>
      <c r="AG346" s="622" t="n"/>
      <c r="AH346" s="622" t="n"/>
      <c r="AI346" s="622" t="n"/>
      <c r="AJ346" s="622" t="n"/>
      <c r="AK346" s="622" t="n"/>
      <c r="AL346" s="622" t="n"/>
      <c r="AM346" s="622" t="n"/>
      <c r="AN346" s="622" t="n"/>
      <c r="AO346" s="622" t="n"/>
      <c r="AP346" s="622" t="n"/>
      <c r="AQ346" s="622" t="n"/>
      <c r="AR346" s="622" t="n"/>
      <c r="AS346" s="622" t="n"/>
      <c r="AT346" s="622" t="n"/>
      <c r="AU346" s="622" t="n"/>
      <c r="AV346" s="622" t="n"/>
      <c r="AW346" s="622" t="n"/>
      <c r="AX346" s="622" t="n"/>
      <c r="AY346" s="622" t="n"/>
    </row>
    <row r="347">
      <c r="A347" s="622" t="n"/>
      <c r="B347" s="622" t="n"/>
      <c r="C347" s="622" t="n"/>
      <c r="D347" s="622" t="n"/>
      <c r="E347" s="622" t="n"/>
      <c r="F347" s="622" t="n"/>
      <c r="G347" s="622" t="n"/>
      <c r="H347" s="622" t="n"/>
      <c r="I347" s="622" t="n"/>
      <c r="J347" s="622" t="n"/>
      <c r="K347" s="622" t="n"/>
      <c r="L347" s="622" t="n"/>
      <c r="M347" s="622" t="n"/>
      <c r="N347" s="622" t="n"/>
      <c r="O347" s="622" t="n"/>
      <c r="P347" s="622" t="n"/>
      <c r="Q347" s="622" t="n"/>
      <c r="R347" s="622" t="n"/>
      <c r="S347" s="622" t="n"/>
      <c r="T347" s="622" t="n"/>
      <c r="U347" s="622" t="n"/>
      <c r="V347" s="622" t="n"/>
      <c r="W347" s="622" t="n"/>
      <c r="X347" s="622" t="n"/>
      <c r="Y347" s="622" t="n"/>
      <c r="Z347" s="622" t="n"/>
      <c r="AA347" s="622" t="n"/>
      <c r="AB347" s="622" t="n"/>
      <c r="AC347" s="622" t="n"/>
      <c r="AD347" s="622" t="n"/>
      <c r="AE347" s="622" t="n"/>
      <c r="AF347" s="622" t="n"/>
      <c r="AG347" s="622" t="n"/>
      <c r="AH347" s="622" t="n"/>
      <c r="AI347" s="622" t="n"/>
      <c r="AJ347" s="622" t="n"/>
      <c r="AK347" s="622" t="n"/>
      <c r="AL347" s="622" t="n"/>
      <c r="AM347" s="622" t="n"/>
      <c r="AN347" s="622" t="n"/>
      <c r="AO347" s="622" t="n"/>
      <c r="AP347" s="622" t="n"/>
      <c r="AQ347" s="622" t="n"/>
      <c r="AR347" s="622" t="n"/>
      <c r="AS347" s="622" t="n"/>
      <c r="AT347" s="622" t="n"/>
      <c r="AU347" s="622" t="n"/>
      <c r="AV347" s="622" t="n"/>
      <c r="AW347" s="622" t="n"/>
      <c r="AX347" s="622" t="n"/>
      <c r="AY347" s="622" t="n"/>
    </row>
    <row r="348">
      <c r="A348" s="622" t="n"/>
      <c r="B348" s="622" t="n"/>
      <c r="C348" s="622" t="n"/>
      <c r="D348" s="622" t="n"/>
      <c r="E348" s="622" t="n"/>
      <c r="F348" s="622" t="n"/>
      <c r="G348" s="622" t="n"/>
      <c r="H348" s="622" t="n"/>
      <c r="I348" s="622" t="n"/>
      <c r="J348" s="622" t="n"/>
      <c r="K348" s="622" t="n"/>
      <c r="L348" s="622" t="n"/>
      <c r="M348" s="622" t="n"/>
      <c r="N348" s="622" t="n"/>
      <c r="O348" s="622" t="n"/>
      <c r="P348" s="622" t="n"/>
      <c r="Q348" s="622" t="n"/>
      <c r="R348" s="622" t="n"/>
      <c r="S348" s="622" t="n"/>
      <c r="T348" s="622" t="n"/>
      <c r="U348" s="622" t="n"/>
      <c r="V348" s="622" t="n"/>
      <c r="W348" s="622" t="n"/>
      <c r="X348" s="622" t="n"/>
      <c r="Y348" s="622" t="n"/>
      <c r="Z348" s="622" t="n"/>
      <c r="AA348" s="622" t="n"/>
      <c r="AB348" s="622" t="n"/>
      <c r="AC348" s="622" t="n"/>
      <c r="AD348" s="622" t="n"/>
      <c r="AE348" s="622" t="n"/>
      <c r="AF348" s="622" t="n"/>
      <c r="AG348" s="622" t="n"/>
      <c r="AH348" s="622" t="n"/>
      <c r="AI348" s="622" t="n"/>
      <c r="AJ348" s="622" t="n"/>
      <c r="AK348" s="622" t="n"/>
      <c r="AL348" s="622" t="n"/>
      <c r="AM348" s="622" t="n"/>
      <c r="AN348" s="622" t="n"/>
      <c r="AO348" s="622" t="n"/>
      <c r="AP348" s="622" t="n"/>
      <c r="AQ348" s="622" t="n"/>
      <c r="AR348" s="622" t="n"/>
      <c r="AS348" s="622" t="n"/>
      <c r="AT348" s="622" t="n"/>
      <c r="AU348" s="622" t="n"/>
      <c r="AV348" s="622" t="n"/>
      <c r="AW348" s="622" t="n"/>
      <c r="AX348" s="622" t="n"/>
      <c r="AY348" s="622" t="n"/>
    </row>
    <row r="349">
      <c r="A349" s="622" t="n"/>
      <c r="B349" s="622" t="n"/>
      <c r="C349" s="622" t="n"/>
      <c r="D349" s="622" t="n"/>
      <c r="E349" s="622" t="n"/>
      <c r="F349" s="622" t="n"/>
      <c r="G349" s="622" t="n"/>
      <c r="H349" s="622" t="n"/>
      <c r="I349" s="622" t="n"/>
      <c r="J349" s="622" t="n"/>
      <c r="K349" s="622" t="n"/>
      <c r="L349" s="622" t="n"/>
      <c r="M349" s="622" t="n"/>
      <c r="N349" s="622" t="n"/>
      <c r="O349" s="622" t="n"/>
      <c r="P349" s="622" t="n"/>
      <c r="Q349" s="622" t="n"/>
      <c r="R349" s="622" t="n"/>
      <c r="S349" s="622" t="n"/>
      <c r="T349" s="622" t="n"/>
      <c r="U349" s="622" t="n"/>
      <c r="V349" s="622" t="n"/>
      <c r="W349" s="622" t="n"/>
      <c r="X349" s="622" t="n"/>
      <c r="Y349" s="622" t="n"/>
      <c r="Z349" s="622" t="n"/>
      <c r="AA349" s="622" t="n"/>
      <c r="AB349" s="622" t="n"/>
      <c r="AC349" s="622" t="n"/>
      <c r="AD349" s="622" t="n"/>
      <c r="AE349" s="622" t="n"/>
      <c r="AF349" s="622" t="n"/>
      <c r="AG349" s="622" t="n"/>
      <c r="AH349" s="622" t="n"/>
      <c r="AI349" s="622" t="n"/>
      <c r="AJ349" s="622" t="n"/>
      <c r="AK349" s="622" t="n"/>
      <c r="AL349" s="622" t="n"/>
      <c r="AM349" s="622" t="n"/>
      <c r="AN349" s="622" t="n"/>
      <c r="AO349" s="622" t="n"/>
      <c r="AP349" s="622" t="n"/>
      <c r="AQ349" s="622" t="n"/>
      <c r="AR349" s="622" t="n"/>
      <c r="AS349" s="622" t="n"/>
      <c r="AT349" s="622" t="n"/>
      <c r="AU349" s="622" t="n"/>
      <c r="AV349" s="622" t="n"/>
      <c r="AW349" s="622" t="n"/>
      <c r="AX349" s="622" t="n"/>
      <c r="AY349" s="622" t="n"/>
    </row>
    <row r="350">
      <c r="A350" s="622" t="n"/>
      <c r="B350" s="622" t="n"/>
      <c r="C350" s="622" t="n"/>
      <c r="D350" s="622" t="n"/>
      <c r="E350" s="622" t="n"/>
      <c r="F350" s="622" t="n"/>
      <c r="G350" s="622" t="n"/>
      <c r="H350" s="622" t="n"/>
      <c r="I350" s="622" t="n"/>
      <c r="J350" s="622" t="n"/>
      <c r="K350" s="622" t="n"/>
      <c r="L350" s="622" t="n"/>
      <c r="M350" s="622" t="n"/>
      <c r="N350" s="622" t="n"/>
      <c r="O350" s="622" t="n"/>
      <c r="P350" s="622" t="n"/>
      <c r="Q350" s="622" t="n"/>
      <c r="R350" s="622" t="n"/>
      <c r="S350" s="622" t="n"/>
      <c r="T350" s="622" t="n"/>
      <c r="U350" s="622" t="n"/>
      <c r="V350" s="622" t="n"/>
      <c r="W350" s="622" t="n"/>
      <c r="X350" s="622" t="n"/>
      <c r="Y350" s="622" t="n"/>
      <c r="Z350" s="622" t="n"/>
      <c r="AA350" s="622" t="n"/>
      <c r="AB350" s="622" t="n"/>
      <c r="AC350" s="622" t="n"/>
      <c r="AD350" s="622" t="n"/>
      <c r="AE350" s="622" t="n"/>
      <c r="AF350" s="622" t="n"/>
      <c r="AG350" s="622" t="n"/>
      <c r="AH350" s="622" t="n"/>
      <c r="AI350" s="622" t="n"/>
      <c r="AJ350" s="622" t="n"/>
      <c r="AK350" s="622" t="n"/>
      <c r="AL350" s="622" t="n"/>
      <c r="AM350" s="622" t="n"/>
      <c r="AN350" s="622" t="n"/>
      <c r="AO350" s="622" t="n"/>
      <c r="AP350" s="622" t="n"/>
      <c r="AQ350" s="622" t="n"/>
      <c r="AR350" s="622" t="n"/>
      <c r="AS350" s="622" t="n"/>
      <c r="AT350" s="622" t="n"/>
      <c r="AU350" s="622" t="n"/>
      <c r="AV350" s="622" t="n"/>
      <c r="AW350" s="622" t="n"/>
      <c r="AX350" s="622" t="n"/>
      <c r="AY350" s="622" t="n"/>
    </row>
    <row r="351">
      <c r="A351" s="622" t="n"/>
      <c r="B351" s="622" t="n"/>
      <c r="C351" s="622" t="n"/>
      <c r="D351" s="622" t="n"/>
      <c r="E351" s="622" t="n"/>
      <c r="F351" s="622" t="n"/>
      <c r="G351" s="622" t="n"/>
      <c r="H351" s="622" t="n"/>
      <c r="I351" s="622" t="n"/>
      <c r="J351" s="622" t="n"/>
      <c r="K351" s="622" t="n"/>
      <c r="L351" s="622" t="n"/>
      <c r="M351" s="622" t="n"/>
      <c r="N351" s="622" t="n"/>
      <c r="O351" s="622" t="n"/>
      <c r="P351" s="622" t="n"/>
      <c r="Q351" s="622" t="n"/>
      <c r="R351" s="622" t="n"/>
      <c r="S351" s="622" t="n"/>
      <c r="T351" s="622" t="n"/>
      <c r="U351" s="622" t="n"/>
      <c r="V351" s="622" t="n"/>
      <c r="W351" s="622" t="n"/>
      <c r="X351" s="622" t="n"/>
      <c r="Y351" s="622" t="n"/>
      <c r="Z351" s="622" t="n"/>
      <c r="AA351" s="622" t="n"/>
      <c r="AB351" s="622" t="n"/>
      <c r="AC351" s="622" t="n"/>
      <c r="AD351" s="622" t="n"/>
      <c r="AE351" s="622" t="n"/>
      <c r="AF351" s="622" t="n"/>
      <c r="AG351" s="622" t="n"/>
      <c r="AH351" s="622" t="n"/>
      <c r="AI351" s="622" t="n"/>
      <c r="AJ351" s="622" t="n"/>
      <c r="AK351" s="622" t="n"/>
      <c r="AL351" s="622" t="n"/>
      <c r="AM351" s="622" t="n"/>
      <c r="AN351" s="622" t="n"/>
      <c r="AO351" s="622" t="n"/>
      <c r="AP351" s="622" t="n"/>
      <c r="AQ351" s="622" t="n"/>
      <c r="AR351" s="622" t="n"/>
      <c r="AS351" s="622" t="n"/>
      <c r="AT351" s="622" t="n"/>
      <c r="AU351" s="622" t="n"/>
      <c r="AV351" s="622" t="n"/>
      <c r="AW351" s="622" t="n"/>
      <c r="AX351" s="622" t="n"/>
      <c r="AY351" s="622" t="n"/>
    </row>
    <row r="352">
      <c r="A352" s="622" t="n"/>
      <c r="B352" s="622" t="n"/>
      <c r="C352" s="622" t="n"/>
      <c r="D352" s="622" t="n"/>
      <c r="E352" s="622" t="n"/>
      <c r="F352" s="622" t="n"/>
      <c r="G352" s="622" t="n"/>
      <c r="H352" s="622" t="n"/>
      <c r="I352" s="622" t="n"/>
      <c r="J352" s="622" t="n"/>
      <c r="K352" s="622" t="n"/>
      <c r="L352" s="622" t="n"/>
      <c r="M352" s="622" t="n"/>
      <c r="N352" s="622" t="n"/>
      <c r="O352" s="622" t="n"/>
      <c r="P352" s="622" t="n"/>
      <c r="Q352" s="622" t="n"/>
      <c r="R352" s="622" t="n"/>
      <c r="S352" s="622" t="n"/>
      <c r="T352" s="622" t="n"/>
      <c r="U352" s="622" t="n"/>
      <c r="V352" s="622" t="n"/>
      <c r="W352" s="622" t="n"/>
      <c r="X352" s="622" t="n"/>
      <c r="Y352" s="622" t="n"/>
      <c r="Z352" s="622" t="n"/>
      <c r="AA352" s="622" t="n"/>
      <c r="AB352" s="622" t="n"/>
      <c r="AC352" s="622" t="n"/>
      <c r="AD352" s="622" t="n"/>
      <c r="AE352" s="622" t="n"/>
      <c r="AF352" s="622" t="n"/>
      <c r="AG352" s="622" t="n"/>
      <c r="AH352" s="622" t="n"/>
      <c r="AI352" s="622" t="n"/>
      <c r="AJ352" s="622" t="n"/>
      <c r="AK352" s="622" t="n"/>
      <c r="AL352" s="622" t="n"/>
      <c r="AM352" s="622" t="n"/>
      <c r="AN352" s="622" t="n"/>
      <c r="AO352" s="622" t="n"/>
      <c r="AP352" s="622" t="n"/>
      <c r="AQ352" s="622" t="n"/>
      <c r="AR352" s="622" t="n"/>
      <c r="AS352" s="622" t="n"/>
      <c r="AT352" s="622" t="n"/>
      <c r="AU352" s="622" t="n"/>
      <c r="AV352" s="622" t="n"/>
      <c r="AW352" s="622" t="n"/>
      <c r="AX352" s="622" t="n"/>
      <c r="AY352" s="622" t="n"/>
    </row>
    <row r="353">
      <c r="A353" s="622" t="n"/>
      <c r="B353" s="622" t="n"/>
      <c r="C353" s="622" t="n"/>
      <c r="D353" s="622" t="n"/>
      <c r="E353" s="622" t="n"/>
      <c r="F353" s="622" t="n"/>
      <c r="G353" s="622" t="n"/>
      <c r="H353" s="622" t="n"/>
      <c r="I353" s="622" t="n"/>
      <c r="J353" s="622" t="n"/>
      <c r="K353" s="622" t="n"/>
      <c r="L353" s="622" t="n"/>
      <c r="M353" s="622" t="n"/>
      <c r="N353" s="622" t="n"/>
      <c r="O353" s="622" t="n"/>
      <c r="P353" s="622" t="n"/>
      <c r="Q353" s="622" t="n"/>
      <c r="R353" s="622" t="n"/>
      <c r="S353" s="622" t="n"/>
      <c r="T353" s="622" t="n"/>
      <c r="U353" s="622" t="n"/>
      <c r="V353" s="622" t="n"/>
      <c r="W353" s="622" t="n"/>
      <c r="X353" s="622" t="n"/>
      <c r="Y353" s="622" t="n"/>
      <c r="Z353" s="622" t="n"/>
      <c r="AA353" s="622" t="n"/>
      <c r="AB353" s="622" t="n"/>
      <c r="AC353" s="622" t="n"/>
      <c r="AD353" s="622" t="n"/>
      <c r="AE353" s="622" t="n"/>
      <c r="AF353" s="622" t="n"/>
      <c r="AG353" s="622" t="n"/>
      <c r="AH353" s="622" t="n"/>
      <c r="AI353" s="622" t="n"/>
      <c r="AJ353" s="622" t="n"/>
      <c r="AK353" s="622" t="n"/>
      <c r="AL353" s="622" t="n"/>
      <c r="AM353" s="622" t="n"/>
      <c r="AN353" s="622" t="n"/>
      <c r="AO353" s="622" t="n"/>
      <c r="AP353" s="622" t="n"/>
      <c r="AQ353" s="622" t="n"/>
      <c r="AR353" s="622" t="n"/>
      <c r="AS353" s="622" t="n"/>
      <c r="AT353" s="622" t="n"/>
      <c r="AU353" s="622" t="n"/>
      <c r="AV353" s="622" t="n"/>
      <c r="AW353" s="622" t="n"/>
      <c r="AX353" s="622" t="n"/>
      <c r="AY353" s="622" t="n"/>
    </row>
    <row r="354">
      <c r="A354" s="622" t="n"/>
      <c r="B354" s="622" t="n"/>
      <c r="C354" s="622" t="n"/>
      <c r="D354" s="622" t="n"/>
      <c r="E354" s="622" t="n"/>
      <c r="F354" s="622" t="n"/>
      <c r="G354" s="622" t="n"/>
      <c r="H354" s="622" t="n"/>
      <c r="I354" s="622" t="n"/>
      <c r="J354" s="622" t="n"/>
      <c r="K354" s="622" t="n"/>
      <c r="L354" s="622" t="n"/>
      <c r="M354" s="622" t="n"/>
      <c r="N354" s="622" t="n"/>
      <c r="O354" s="622" t="n"/>
      <c r="P354" s="622" t="n"/>
      <c r="Q354" s="622" t="n"/>
      <c r="R354" s="622" t="n"/>
      <c r="S354" s="622" t="n"/>
      <c r="T354" s="622" t="n"/>
      <c r="U354" s="622" t="n"/>
      <c r="V354" s="622" t="n"/>
      <c r="W354" s="622" t="n"/>
      <c r="X354" s="622" t="n"/>
      <c r="Y354" s="622" t="n"/>
      <c r="Z354" s="622" t="n"/>
      <c r="AA354" s="622" t="n"/>
      <c r="AB354" s="622" t="n"/>
      <c r="AC354" s="622" t="n"/>
      <c r="AD354" s="622" t="n"/>
      <c r="AE354" s="622" t="n"/>
      <c r="AF354" s="622" t="n"/>
      <c r="AG354" s="622" t="n"/>
      <c r="AH354" s="622" t="n"/>
      <c r="AI354" s="622" t="n"/>
      <c r="AJ354" s="622" t="n"/>
      <c r="AK354" s="622" t="n"/>
      <c r="AL354" s="622" t="n"/>
      <c r="AM354" s="622" t="n"/>
      <c r="AN354" s="622" t="n"/>
      <c r="AO354" s="622" t="n"/>
      <c r="AP354" s="622" t="n"/>
      <c r="AQ354" s="622" t="n"/>
      <c r="AR354" s="622" t="n"/>
      <c r="AS354" s="622" t="n"/>
      <c r="AT354" s="622" t="n"/>
      <c r="AU354" s="622" t="n"/>
      <c r="AV354" s="622" t="n"/>
      <c r="AW354" s="622" t="n"/>
      <c r="AX354" s="622" t="n"/>
      <c r="AY354" s="622" t="n"/>
    </row>
    <row r="355">
      <c r="A355" s="622" t="n"/>
      <c r="B355" s="622" t="n"/>
      <c r="C355" s="622" t="n"/>
      <c r="D355" s="622" t="n"/>
      <c r="E355" s="622" t="n"/>
      <c r="F355" s="622" t="n"/>
      <c r="G355" s="622" t="n"/>
      <c r="H355" s="622" t="n"/>
      <c r="I355" s="622" t="n"/>
      <c r="J355" s="622" t="n"/>
      <c r="K355" s="622" t="n"/>
      <c r="L355" s="622" t="n"/>
      <c r="M355" s="622" t="n"/>
      <c r="N355" s="622" t="n"/>
      <c r="O355" s="622" t="n"/>
      <c r="P355" s="622" t="n"/>
      <c r="Q355" s="622" t="n"/>
      <c r="R355" s="622" t="n"/>
      <c r="S355" s="622" t="n"/>
      <c r="T355" s="622" t="n"/>
      <c r="U355" s="622" t="n"/>
      <c r="V355" s="622" t="n"/>
      <c r="W355" s="622" t="n"/>
      <c r="X355" s="622" t="n"/>
      <c r="Y355" s="622" t="n"/>
      <c r="Z355" s="622" t="n"/>
      <c r="AA355" s="622" t="n"/>
      <c r="AB355" s="622" t="n"/>
      <c r="AC355" s="622" t="n"/>
      <c r="AD355" s="622" t="n"/>
      <c r="AE355" s="622" t="n"/>
      <c r="AF355" s="622" t="n"/>
      <c r="AG355" s="622" t="n"/>
      <c r="AH355" s="622" t="n"/>
      <c r="AI355" s="622" t="n"/>
      <c r="AJ355" s="622" t="n"/>
      <c r="AK355" s="622" t="n"/>
      <c r="AL355" s="622" t="n"/>
      <c r="AM355" s="622" t="n"/>
      <c r="AN355" s="622" t="n"/>
      <c r="AO355" s="622" t="n"/>
      <c r="AP355" s="622" t="n"/>
      <c r="AQ355" s="622" t="n"/>
      <c r="AR355" s="622" t="n"/>
      <c r="AS355" s="622" t="n"/>
      <c r="AT355" s="622" t="n"/>
      <c r="AU355" s="622" t="n"/>
      <c r="AV355" s="622" t="n"/>
      <c r="AW355" s="622" t="n"/>
      <c r="AX355" s="622" t="n"/>
      <c r="AY355" s="622" t="n"/>
    </row>
    <row r="356">
      <c r="A356" s="622" t="n"/>
      <c r="B356" s="622" t="n"/>
      <c r="C356" s="622" t="n"/>
      <c r="D356" s="622" t="n"/>
      <c r="E356" s="622" t="n"/>
      <c r="F356" s="622" t="n"/>
      <c r="G356" s="622" t="n"/>
      <c r="H356" s="622" t="n"/>
      <c r="I356" s="622" t="n"/>
      <c r="J356" s="622" t="n"/>
      <c r="K356" s="622" t="n"/>
      <c r="L356" s="622" t="n"/>
      <c r="M356" s="622" t="n"/>
      <c r="N356" s="622" t="n"/>
      <c r="O356" s="622" t="n"/>
      <c r="P356" s="622" t="n"/>
      <c r="Q356" s="622" t="n"/>
      <c r="R356" s="622" t="n"/>
      <c r="S356" s="622" t="n"/>
      <c r="T356" s="622" t="n"/>
      <c r="U356" s="622" t="n"/>
      <c r="V356" s="622" t="n"/>
      <c r="W356" s="622" t="n"/>
      <c r="X356" s="622" t="n"/>
      <c r="Y356" s="622" t="n"/>
      <c r="Z356" s="622" t="n"/>
      <c r="AA356" s="622" t="n"/>
      <c r="AB356" s="622" t="n"/>
      <c r="AC356" s="622" t="n"/>
      <c r="AD356" s="622" t="n"/>
      <c r="AE356" s="622" t="n"/>
      <c r="AF356" s="622" t="n"/>
      <c r="AG356" s="622" t="n"/>
      <c r="AH356" s="622" t="n"/>
      <c r="AI356" s="622" t="n"/>
      <c r="AJ356" s="622" t="n"/>
      <c r="AK356" s="622" t="n"/>
      <c r="AL356" s="622" t="n"/>
      <c r="AM356" s="622" t="n"/>
      <c r="AN356" s="622" t="n"/>
      <c r="AO356" s="622" t="n"/>
      <c r="AP356" s="622" t="n"/>
      <c r="AQ356" s="622" t="n"/>
      <c r="AR356" s="622" t="n"/>
      <c r="AS356" s="622" t="n"/>
      <c r="AT356" s="622" t="n"/>
      <c r="AU356" s="622" t="n"/>
      <c r="AV356" s="622" t="n"/>
      <c r="AW356" s="622" t="n"/>
      <c r="AX356" s="622" t="n"/>
      <c r="AY356" s="622" t="n"/>
    </row>
    <row r="357">
      <c r="A357" s="622" t="n"/>
      <c r="B357" s="622" t="n"/>
      <c r="C357" s="622" t="n"/>
      <c r="D357" s="622" t="n"/>
      <c r="E357" s="622" t="n"/>
      <c r="F357" s="622" t="n"/>
      <c r="G357" s="622" t="n"/>
      <c r="H357" s="622" t="n"/>
      <c r="I357" s="622" t="n"/>
      <c r="J357" s="622" t="n"/>
      <c r="K357" s="622" t="n"/>
      <c r="L357" s="622" t="n"/>
      <c r="M357" s="622" t="n"/>
      <c r="N357" s="622" t="n"/>
      <c r="O357" s="622" t="n"/>
      <c r="P357" s="622" t="n"/>
      <c r="Q357" s="622" t="n"/>
      <c r="R357" s="622" t="n"/>
      <c r="S357" s="622" t="n"/>
      <c r="T357" s="622" t="n"/>
      <c r="U357" s="622" t="n"/>
      <c r="V357" s="622" t="n"/>
      <c r="W357" s="622" t="n"/>
      <c r="X357" s="622" t="n"/>
      <c r="Y357" s="622" t="n"/>
      <c r="Z357" s="622" t="n"/>
      <c r="AA357" s="622" t="n"/>
      <c r="AB357" s="622" t="n"/>
      <c r="AC357" s="622" t="n"/>
      <c r="AD357" s="622" t="n"/>
      <c r="AE357" s="622" t="n"/>
      <c r="AF357" s="622" t="n"/>
      <c r="AG357" s="622" t="n"/>
      <c r="AH357" s="622" t="n"/>
      <c r="AI357" s="622" t="n"/>
      <c r="AJ357" s="622" t="n"/>
      <c r="AK357" s="622" t="n"/>
      <c r="AL357" s="622" t="n"/>
      <c r="AM357" s="622" t="n"/>
      <c r="AN357" s="622" t="n"/>
      <c r="AO357" s="622" t="n"/>
      <c r="AP357" s="622" t="n"/>
      <c r="AQ357" s="622" t="n"/>
      <c r="AR357" s="622" t="n"/>
      <c r="AS357" s="622" t="n"/>
      <c r="AT357" s="622" t="n"/>
      <c r="AU357" s="622" t="n"/>
      <c r="AV357" s="622" t="n"/>
      <c r="AW357" s="622" t="n"/>
      <c r="AX357" s="622" t="n"/>
      <c r="AY357" s="622" t="n"/>
    </row>
    <row r="358">
      <c r="A358" s="622" t="n"/>
      <c r="B358" s="622" t="n"/>
      <c r="C358" s="622" t="n"/>
      <c r="D358" s="622" t="n"/>
      <c r="E358" s="622" t="n"/>
      <c r="F358" s="622" t="n"/>
      <c r="G358" s="622" t="n"/>
      <c r="H358" s="622" t="n"/>
      <c r="I358" s="622" t="n"/>
      <c r="J358" s="622" t="n"/>
      <c r="K358" s="622" t="n"/>
      <c r="L358" s="622" t="n"/>
      <c r="M358" s="622" t="n"/>
      <c r="N358" s="622" t="n"/>
      <c r="O358" s="622" t="n"/>
      <c r="P358" s="622" t="n"/>
      <c r="Q358" s="622" t="n"/>
      <c r="R358" s="622" t="n"/>
      <c r="S358" s="622" t="n"/>
      <c r="T358" s="622" t="n"/>
      <c r="U358" s="622" t="n"/>
      <c r="V358" s="622" t="n"/>
      <c r="W358" s="622" t="n"/>
      <c r="X358" s="622" t="n"/>
      <c r="Y358" s="622" t="n"/>
      <c r="Z358" s="622" t="n"/>
      <c r="AA358" s="622" t="n"/>
      <c r="AB358" s="622" t="n"/>
      <c r="AC358" s="622" t="n"/>
      <c r="AD358" s="622" t="n"/>
      <c r="AE358" s="622" t="n"/>
      <c r="AF358" s="622" t="n"/>
      <c r="AG358" s="622" t="n"/>
      <c r="AH358" s="622" t="n"/>
      <c r="AI358" s="622" t="n"/>
      <c r="AJ358" s="622" t="n"/>
      <c r="AK358" s="622" t="n"/>
      <c r="AL358" s="622" t="n"/>
      <c r="AM358" s="622" t="n"/>
      <c r="AN358" s="622" t="n"/>
      <c r="AO358" s="622" t="n"/>
      <c r="AP358" s="622" t="n"/>
      <c r="AQ358" s="622" t="n"/>
      <c r="AR358" s="622" t="n"/>
      <c r="AS358" s="622" t="n"/>
      <c r="AT358" s="622" t="n"/>
      <c r="AU358" s="622" t="n"/>
      <c r="AV358" s="622" t="n"/>
      <c r="AW358" s="622" t="n"/>
      <c r="AX358" s="622" t="n"/>
      <c r="AY358" s="622" t="n"/>
    </row>
    <row r="359">
      <c r="A359" s="622" t="n"/>
      <c r="B359" s="622" t="n"/>
      <c r="C359" s="622" t="n"/>
      <c r="D359" s="622" t="n"/>
      <c r="E359" s="622" t="n"/>
      <c r="F359" s="622" t="n"/>
      <c r="G359" s="622" t="n"/>
      <c r="H359" s="622" t="n"/>
      <c r="I359" s="622" t="n"/>
      <c r="J359" s="622" t="n"/>
      <c r="K359" s="622" t="n"/>
      <c r="L359" s="622" t="n"/>
      <c r="M359" s="622" t="n"/>
      <c r="N359" s="622" t="n"/>
      <c r="O359" s="622" t="n"/>
      <c r="P359" s="622" t="n"/>
      <c r="Q359" s="622" t="n"/>
      <c r="R359" s="622" t="n"/>
      <c r="S359" s="622" t="n"/>
      <c r="T359" s="622" t="n"/>
      <c r="U359" s="622" t="n"/>
      <c r="V359" s="622" t="n"/>
      <c r="W359" s="622" t="n"/>
      <c r="X359" s="622" t="n"/>
      <c r="Y359" s="622" t="n"/>
      <c r="Z359" s="622" t="n"/>
      <c r="AA359" s="622" t="n"/>
      <c r="AB359" s="622" t="n"/>
      <c r="AC359" s="622" t="n"/>
      <c r="AD359" s="622" t="n"/>
      <c r="AE359" s="622" t="n"/>
      <c r="AF359" s="622" t="n"/>
      <c r="AG359" s="622" t="n"/>
      <c r="AH359" s="622" t="n"/>
      <c r="AI359" s="622" t="n"/>
      <c r="AJ359" s="622" t="n"/>
      <c r="AK359" s="622" t="n"/>
      <c r="AL359" s="622" t="n"/>
      <c r="AM359" s="622" t="n"/>
      <c r="AN359" s="622" t="n"/>
      <c r="AO359" s="622" t="n"/>
      <c r="AP359" s="622" t="n"/>
      <c r="AQ359" s="622" t="n"/>
      <c r="AR359" s="622" t="n"/>
      <c r="AS359" s="622" t="n"/>
      <c r="AT359" s="622" t="n"/>
      <c r="AU359" s="622" t="n"/>
      <c r="AV359" s="622" t="n"/>
      <c r="AW359" s="622" t="n"/>
      <c r="AX359" s="622" t="n"/>
      <c r="AY359" s="622" t="n"/>
    </row>
    <row r="360">
      <c r="A360" s="622" t="n"/>
      <c r="B360" s="622" t="n"/>
      <c r="C360" s="622" t="n"/>
      <c r="D360" s="622" t="n"/>
      <c r="E360" s="622" t="n"/>
      <c r="F360" s="622" t="n"/>
      <c r="G360" s="622" t="n"/>
      <c r="H360" s="622" t="n"/>
      <c r="I360" s="622" t="n"/>
      <c r="J360" s="622" t="n"/>
      <c r="K360" s="622" t="n"/>
      <c r="L360" s="622" t="n"/>
      <c r="M360" s="622" t="n"/>
      <c r="N360" s="622" t="n"/>
      <c r="O360" s="622" t="n"/>
      <c r="P360" s="622" t="n"/>
      <c r="Q360" s="622" t="n"/>
      <c r="R360" s="622" t="n"/>
      <c r="S360" s="622" t="n"/>
      <c r="T360" s="622" t="n"/>
      <c r="U360" s="622" t="n"/>
      <c r="V360" s="622" t="n"/>
      <c r="W360" s="622" t="n"/>
      <c r="X360" s="622" t="n"/>
      <c r="Y360" s="622" t="n"/>
      <c r="Z360" s="622" t="n"/>
      <c r="AA360" s="622" t="n"/>
      <c r="AB360" s="622" t="n"/>
      <c r="AC360" s="622" t="n"/>
      <c r="AD360" s="622" t="n"/>
      <c r="AE360" s="622" t="n"/>
      <c r="AF360" s="622" t="n"/>
      <c r="AG360" s="622" t="n"/>
      <c r="AH360" s="622" t="n"/>
      <c r="AI360" s="622" t="n"/>
      <c r="AJ360" s="622" t="n"/>
      <c r="AK360" s="622" t="n"/>
      <c r="AL360" s="622" t="n"/>
      <c r="AM360" s="622" t="n"/>
      <c r="AN360" s="622" t="n"/>
      <c r="AO360" s="622" t="n"/>
      <c r="AP360" s="622" t="n"/>
      <c r="AQ360" s="622" t="n"/>
      <c r="AR360" s="622" t="n"/>
      <c r="AS360" s="622" t="n"/>
      <c r="AT360" s="622" t="n"/>
      <c r="AU360" s="622" t="n"/>
      <c r="AV360" s="622" t="n"/>
      <c r="AW360" s="622" t="n"/>
      <c r="AX360" s="622" t="n"/>
      <c r="AY360" s="622" t="n"/>
    </row>
    <row r="361">
      <c r="A361" s="622" t="n"/>
      <c r="B361" s="622" t="n"/>
      <c r="C361" s="622" t="n"/>
      <c r="D361" s="622" t="n"/>
      <c r="E361" s="622" t="n"/>
      <c r="F361" s="622" t="n"/>
      <c r="G361" s="622" t="n"/>
      <c r="H361" s="622" t="n"/>
      <c r="I361" s="622" t="n"/>
      <c r="J361" s="622" t="n"/>
      <c r="K361" s="622" t="n"/>
      <c r="L361" s="622" t="n"/>
      <c r="M361" s="622" t="n"/>
      <c r="N361" s="622" t="n"/>
      <c r="O361" s="622" t="n"/>
      <c r="P361" s="622" t="n"/>
      <c r="Q361" s="622" t="n"/>
      <c r="R361" s="622" t="n"/>
      <c r="S361" s="622" t="n"/>
      <c r="T361" s="622" t="n"/>
      <c r="U361" s="622" t="n"/>
      <c r="V361" s="622" t="n"/>
      <c r="W361" s="622" t="n"/>
      <c r="X361" s="622" t="n"/>
      <c r="Y361" s="622" t="n"/>
      <c r="Z361" s="622" t="n"/>
      <c r="AA361" s="622" t="n"/>
      <c r="AB361" s="622" t="n"/>
      <c r="AC361" s="622" t="n"/>
      <c r="AD361" s="622" t="n"/>
      <c r="AE361" s="622" t="n"/>
      <c r="AF361" s="622" t="n"/>
      <c r="AG361" s="622" t="n"/>
      <c r="AH361" s="622" t="n"/>
      <c r="AI361" s="622" t="n"/>
      <c r="AJ361" s="622" t="n"/>
      <c r="AK361" s="622" t="n"/>
      <c r="AL361" s="622" t="n"/>
      <c r="AM361" s="622" t="n"/>
      <c r="AN361" s="622" t="n"/>
      <c r="AO361" s="622" t="n"/>
      <c r="AP361" s="622" t="n"/>
      <c r="AQ361" s="622" t="n"/>
      <c r="AR361" s="622" t="n"/>
      <c r="AS361" s="622" t="n"/>
      <c r="AT361" s="622" t="n"/>
      <c r="AU361" s="622" t="n"/>
      <c r="AV361" s="622" t="n"/>
      <c r="AW361" s="622" t="n"/>
      <c r="AX361" s="622" t="n"/>
      <c r="AY361" s="622" t="n"/>
    </row>
    <row r="362">
      <c r="A362" s="622" t="n"/>
      <c r="B362" s="622" t="n"/>
      <c r="C362" s="622" t="n"/>
      <c r="D362" s="622" t="n"/>
      <c r="E362" s="622" t="n"/>
      <c r="F362" s="622" t="n"/>
      <c r="G362" s="622" t="n"/>
      <c r="H362" s="622" t="n"/>
      <c r="I362" s="622" t="n"/>
      <c r="J362" s="622" t="n"/>
      <c r="K362" s="622" t="n"/>
      <c r="L362" s="622" t="n"/>
      <c r="M362" s="622" t="n"/>
      <c r="N362" s="622" t="n"/>
      <c r="O362" s="622" t="n"/>
      <c r="P362" s="622" t="n"/>
      <c r="Q362" s="622" t="n"/>
      <c r="R362" s="622" t="n"/>
      <c r="S362" s="622" t="n"/>
      <c r="T362" s="622" t="n"/>
      <c r="U362" s="622" t="n"/>
      <c r="V362" s="622" t="n"/>
      <c r="W362" s="622" t="n"/>
      <c r="X362" s="622" t="n"/>
      <c r="Y362" s="622" t="n"/>
      <c r="Z362" s="622" t="n"/>
      <c r="AA362" s="622" t="n"/>
      <c r="AB362" s="622" t="n"/>
      <c r="AC362" s="622" t="n"/>
      <c r="AD362" s="622" t="n"/>
      <c r="AE362" s="622" t="n"/>
      <c r="AF362" s="622" t="n"/>
      <c r="AG362" s="622" t="n"/>
      <c r="AH362" s="622" t="n"/>
      <c r="AI362" s="622" t="n"/>
      <c r="AJ362" s="622" t="n"/>
      <c r="AK362" s="622" t="n"/>
      <c r="AL362" s="622" t="n"/>
      <c r="AM362" s="622" t="n"/>
      <c r="AN362" s="622" t="n"/>
      <c r="AO362" s="622" t="n"/>
      <c r="AP362" s="622" t="n"/>
      <c r="AQ362" s="622" t="n"/>
      <c r="AR362" s="622" t="n"/>
      <c r="AS362" s="622" t="n"/>
      <c r="AT362" s="622" t="n"/>
      <c r="AU362" s="622" t="n"/>
      <c r="AV362" s="622" t="n"/>
      <c r="AW362" s="622" t="n"/>
      <c r="AX362" s="622" t="n"/>
      <c r="AY362" s="622" t="n"/>
    </row>
    <row r="363">
      <c r="A363" s="622" t="n"/>
      <c r="B363" s="622" t="n"/>
      <c r="C363" s="622" t="n"/>
      <c r="D363" s="622" t="n"/>
      <c r="E363" s="622" t="n"/>
      <c r="F363" s="622" t="n"/>
      <c r="G363" s="622" t="n"/>
      <c r="H363" s="622" t="n"/>
      <c r="I363" s="622" t="n"/>
      <c r="J363" s="622" t="n"/>
      <c r="K363" s="622" t="n"/>
      <c r="L363" s="622" t="n"/>
      <c r="M363" s="622" t="n"/>
      <c r="N363" s="622" t="n"/>
      <c r="O363" s="622" t="n"/>
      <c r="P363" s="622" t="n"/>
      <c r="Q363" s="622" t="n"/>
      <c r="R363" s="622" t="n"/>
      <c r="S363" s="622" t="n"/>
      <c r="T363" s="622" t="n"/>
      <c r="U363" s="622" t="n"/>
      <c r="V363" s="622" t="n"/>
      <c r="W363" s="622" t="n"/>
      <c r="X363" s="622" t="n"/>
      <c r="Y363" s="622" t="n"/>
      <c r="Z363" s="622" t="n"/>
      <c r="AA363" s="622" t="n"/>
      <c r="AB363" s="622" t="n"/>
      <c r="AC363" s="622" t="n"/>
      <c r="AD363" s="622" t="n"/>
      <c r="AE363" s="622" t="n"/>
      <c r="AF363" s="622" t="n"/>
      <c r="AG363" s="622" t="n"/>
      <c r="AH363" s="622" t="n"/>
      <c r="AI363" s="622" t="n"/>
      <c r="AJ363" s="622" t="n"/>
      <c r="AK363" s="622" t="n"/>
      <c r="AL363" s="622" t="n"/>
      <c r="AM363" s="622" t="n"/>
      <c r="AN363" s="622" t="n"/>
      <c r="AO363" s="622" t="n"/>
      <c r="AP363" s="622" t="n"/>
      <c r="AQ363" s="622" t="n"/>
      <c r="AR363" s="622" t="n"/>
      <c r="AS363" s="622" t="n"/>
      <c r="AT363" s="622" t="n"/>
      <c r="AU363" s="622" t="n"/>
      <c r="AV363" s="622" t="n"/>
      <c r="AW363" s="622" t="n"/>
      <c r="AX363" s="622" t="n"/>
      <c r="AY363" s="622" t="n"/>
    </row>
    <row r="364">
      <c r="A364" s="622" t="n"/>
      <c r="B364" s="622" t="n"/>
      <c r="C364" s="622" t="n"/>
      <c r="D364" s="622" t="n"/>
      <c r="E364" s="622" t="n"/>
      <c r="F364" s="622" t="n"/>
      <c r="G364" s="622" t="n"/>
      <c r="H364" s="622" t="n"/>
      <c r="I364" s="622" t="n"/>
      <c r="J364" s="622" t="n"/>
      <c r="K364" s="622" t="n"/>
      <c r="L364" s="622" t="n"/>
      <c r="M364" s="622" t="n"/>
      <c r="N364" s="622" t="n"/>
      <c r="O364" s="622" t="n"/>
      <c r="P364" s="622" t="n"/>
      <c r="Q364" s="622" t="n"/>
      <c r="R364" s="622" t="n"/>
      <c r="S364" s="622" t="n"/>
      <c r="T364" s="622" t="n"/>
      <c r="U364" s="622" t="n"/>
      <c r="V364" s="622" t="n"/>
      <c r="W364" s="622" t="n"/>
      <c r="X364" s="622" t="n"/>
      <c r="Y364" s="622" t="n"/>
      <c r="Z364" s="622" t="n"/>
      <c r="AA364" s="622" t="n"/>
      <c r="AB364" s="622" t="n"/>
      <c r="AC364" s="622" t="n"/>
      <c r="AD364" s="622" t="n"/>
      <c r="AE364" s="622" t="n"/>
      <c r="AF364" s="622" t="n"/>
      <c r="AG364" s="622" t="n"/>
      <c r="AH364" s="622" t="n"/>
      <c r="AI364" s="622" t="n"/>
      <c r="AJ364" s="622" t="n"/>
      <c r="AK364" s="622" t="n"/>
      <c r="AL364" s="622" t="n"/>
      <c r="AM364" s="622" t="n"/>
      <c r="AN364" s="622" t="n"/>
      <c r="AO364" s="622" t="n"/>
      <c r="AP364" s="622" t="n"/>
      <c r="AQ364" s="622" t="n"/>
      <c r="AR364" s="622" t="n"/>
      <c r="AS364" s="622" t="n"/>
      <c r="AT364" s="622" t="n"/>
      <c r="AU364" s="622" t="n"/>
      <c r="AV364" s="622" t="n"/>
      <c r="AW364" s="622" t="n"/>
      <c r="AX364" s="622" t="n"/>
      <c r="AY364" s="622" t="n"/>
    </row>
    <row r="365">
      <c r="A365" s="622" t="n"/>
      <c r="B365" s="622" t="n"/>
      <c r="C365" s="622" t="n"/>
      <c r="D365" s="622" t="n"/>
      <c r="E365" s="622" t="n"/>
      <c r="F365" s="622" t="n"/>
      <c r="G365" s="622" t="n"/>
      <c r="H365" s="622" t="n"/>
      <c r="I365" s="622" t="n"/>
      <c r="J365" s="622" t="n"/>
      <c r="K365" s="622" t="n"/>
      <c r="L365" s="622" t="n"/>
      <c r="M365" s="622" t="n"/>
      <c r="N365" s="622" t="n"/>
      <c r="O365" s="622" t="n"/>
      <c r="P365" s="622" t="n"/>
      <c r="Q365" s="622" t="n"/>
      <c r="R365" s="622" t="n"/>
      <c r="S365" s="622" t="n"/>
      <c r="T365" s="622" t="n"/>
      <c r="U365" s="622" t="n"/>
      <c r="V365" s="622" t="n"/>
      <c r="W365" s="622" t="n"/>
      <c r="X365" s="622" t="n"/>
      <c r="Y365" s="622" t="n"/>
      <c r="Z365" s="622" t="n"/>
      <c r="AA365" s="622" t="n"/>
      <c r="AB365" s="622" t="n"/>
      <c r="AC365" s="622" t="n"/>
      <c r="AD365" s="622" t="n"/>
      <c r="AE365" s="622" t="n"/>
      <c r="AF365" s="622" t="n"/>
      <c r="AG365" s="622" t="n"/>
      <c r="AH365" s="622" t="n"/>
      <c r="AI365" s="622" t="n"/>
      <c r="AJ365" s="622" t="n"/>
      <c r="AK365" s="622" t="n"/>
      <c r="AL365" s="622" t="n"/>
      <c r="AM365" s="622" t="n"/>
      <c r="AN365" s="622" t="n"/>
      <c r="AO365" s="622" t="n"/>
      <c r="AP365" s="622" t="n"/>
      <c r="AQ365" s="622" t="n"/>
      <c r="AR365" s="622" t="n"/>
      <c r="AS365" s="622" t="n"/>
      <c r="AT365" s="622" t="n"/>
      <c r="AU365" s="622" t="n"/>
      <c r="AV365" s="622" t="n"/>
      <c r="AW365" s="622" t="n"/>
      <c r="AX365" s="622" t="n"/>
      <c r="AY365" s="622" t="n"/>
    </row>
    <row r="366">
      <c r="A366" s="622" t="n"/>
      <c r="B366" s="622" t="n"/>
      <c r="C366" s="622" t="n"/>
      <c r="D366" s="622" t="n"/>
      <c r="E366" s="622" t="n"/>
      <c r="F366" s="622" t="n"/>
      <c r="G366" s="622" t="n"/>
      <c r="H366" s="622" t="n"/>
      <c r="I366" s="622" t="n"/>
      <c r="J366" s="622" t="n"/>
      <c r="K366" s="622" t="n"/>
      <c r="L366" s="622" t="n"/>
      <c r="M366" s="622" t="n"/>
      <c r="N366" s="622" t="n"/>
      <c r="O366" s="622" t="n"/>
      <c r="P366" s="622" t="n"/>
      <c r="Q366" s="622" t="n"/>
      <c r="R366" s="622" t="n"/>
      <c r="S366" s="622" t="n"/>
      <c r="T366" s="622" t="n"/>
      <c r="U366" s="622" t="n"/>
      <c r="V366" s="622" t="n"/>
      <c r="W366" s="622" t="n"/>
      <c r="X366" s="622" t="n"/>
      <c r="Y366" s="622" t="n"/>
      <c r="Z366" s="622" t="n"/>
      <c r="AA366" s="622" t="n"/>
      <c r="AB366" s="622" t="n"/>
      <c r="AC366" s="622" t="n"/>
      <c r="AD366" s="622" t="n"/>
      <c r="AE366" s="622" t="n"/>
      <c r="AF366" s="622" t="n"/>
      <c r="AG366" s="622" t="n"/>
      <c r="AH366" s="622" t="n"/>
      <c r="AI366" s="622" t="n"/>
      <c r="AJ366" s="622" t="n"/>
      <c r="AK366" s="622" t="n"/>
      <c r="AL366" s="622" t="n"/>
      <c r="AM366" s="622" t="n"/>
      <c r="AN366" s="622" t="n"/>
      <c r="AO366" s="622" t="n"/>
      <c r="AP366" s="622" t="n"/>
      <c r="AQ366" s="622" t="n"/>
      <c r="AR366" s="622" t="n"/>
      <c r="AS366" s="622" t="n"/>
      <c r="AT366" s="622" t="n"/>
      <c r="AU366" s="622" t="n"/>
      <c r="AV366" s="622" t="n"/>
      <c r="AW366" s="622" t="n"/>
      <c r="AX366" s="622" t="n"/>
      <c r="AY366" s="622" t="n"/>
    </row>
    <row r="367">
      <c r="A367" s="622" t="n"/>
      <c r="B367" s="622" t="n"/>
      <c r="C367" s="622" t="n"/>
      <c r="D367" s="622" t="n"/>
      <c r="E367" s="622" t="n"/>
      <c r="F367" s="622" t="n"/>
      <c r="G367" s="622" t="n"/>
      <c r="H367" s="622" t="n"/>
      <c r="I367" s="622" t="n"/>
      <c r="J367" s="622" t="n"/>
      <c r="K367" s="622" t="n"/>
      <c r="L367" s="622" t="n"/>
      <c r="M367" s="622" t="n"/>
      <c r="N367" s="622" t="n"/>
      <c r="O367" s="622" t="n"/>
      <c r="P367" s="622" t="n"/>
      <c r="Q367" s="622" t="n"/>
      <c r="R367" s="622" t="n"/>
      <c r="S367" s="622" t="n"/>
      <c r="T367" s="622" t="n"/>
      <c r="U367" s="622" t="n"/>
      <c r="V367" s="622" t="n"/>
      <c r="W367" s="622" t="n"/>
      <c r="X367" s="622" t="n"/>
      <c r="Y367" s="622" t="n"/>
      <c r="Z367" s="622" t="n"/>
      <c r="AA367" s="622" t="n"/>
      <c r="AB367" s="622" t="n"/>
      <c r="AC367" s="622" t="n"/>
      <c r="AD367" s="622" t="n"/>
      <c r="AE367" s="622" t="n"/>
      <c r="AF367" s="622" t="n"/>
      <c r="AG367" s="622" t="n"/>
      <c r="AH367" s="622" t="n"/>
      <c r="AI367" s="622" t="n"/>
      <c r="AJ367" s="622" t="n"/>
      <c r="AK367" s="622" t="n"/>
      <c r="AL367" s="622" t="n"/>
      <c r="AM367" s="622" t="n"/>
      <c r="AN367" s="622" t="n"/>
      <c r="AO367" s="622" t="n"/>
      <c r="AP367" s="622" t="n"/>
      <c r="AQ367" s="622" t="n"/>
      <c r="AR367" s="622" t="n"/>
      <c r="AS367" s="622" t="n"/>
      <c r="AT367" s="622" t="n"/>
      <c r="AU367" s="622" t="n"/>
      <c r="AV367" s="622" t="n"/>
      <c r="AW367" s="622" t="n"/>
      <c r="AX367" s="622" t="n"/>
      <c r="AY367" s="622" t="n"/>
    </row>
    <row r="368">
      <c r="A368" s="622" t="n"/>
      <c r="B368" s="622" t="n"/>
      <c r="C368" s="622" t="n"/>
      <c r="D368" s="622" t="n"/>
      <c r="E368" s="622" t="n"/>
      <c r="F368" s="622" t="n"/>
      <c r="G368" s="622" t="n"/>
      <c r="H368" s="622" t="n"/>
      <c r="I368" s="622" t="n"/>
      <c r="J368" s="622" t="n"/>
      <c r="K368" s="622" t="n"/>
      <c r="L368" s="622" t="n"/>
      <c r="M368" s="622" t="n"/>
      <c r="N368" s="622" t="n"/>
      <c r="O368" s="622" t="n"/>
      <c r="P368" s="622" t="n"/>
      <c r="Q368" s="622" t="n"/>
      <c r="R368" s="622" t="n"/>
      <c r="S368" s="622" t="n"/>
      <c r="T368" s="622" t="n"/>
      <c r="U368" s="622" t="n"/>
      <c r="V368" s="622" t="n"/>
      <c r="W368" s="622" t="n"/>
      <c r="X368" s="622" t="n"/>
      <c r="Y368" s="622" t="n"/>
      <c r="Z368" s="622" t="n"/>
      <c r="AA368" s="622" t="n"/>
      <c r="AB368" s="622" t="n"/>
      <c r="AC368" s="622" t="n"/>
      <c r="AD368" s="622" t="n"/>
      <c r="AE368" s="622" t="n"/>
      <c r="AF368" s="622" t="n"/>
      <c r="AG368" s="622" t="n"/>
      <c r="AH368" s="622" t="n"/>
      <c r="AI368" s="622" t="n"/>
      <c r="AJ368" s="622" t="n"/>
      <c r="AK368" s="622" t="n"/>
      <c r="AL368" s="622" t="n"/>
      <c r="AM368" s="622" t="n"/>
      <c r="AN368" s="622" t="n"/>
      <c r="AO368" s="622" t="n"/>
      <c r="AP368" s="622" t="n"/>
      <c r="AQ368" s="622" t="n"/>
      <c r="AR368" s="622" t="n"/>
      <c r="AS368" s="622" t="n"/>
      <c r="AT368" s="622" t="n"/>
      <c r="AU368" s="622" t="n"/>
      <c r="AV368" s="622" t="n"/>
      <c r="AW368" s="622" t="n"/>
      <c r="AX368" s="622" t="n"/>
      <c r="AY368" s="622" t="n"/>
    </row>
    <row r="369">
      <c r="A369" s="622" t="n"/>
      <c r="B369" s="622" t="n"/>
      <c r="C369" s="622" t="n"/>
      <c r="D369" s="622" t="n"/>
      <c r="E369" s="622" t="n"/>
      <c r="F369" s="622" t="n"/>
      <c r="G369" s="622" t="n"/>
      <c r="H369" s="622" t="n"/>
      <c r="I369" s="622" t="n"/>
      <c r="J369" s="622" t="n"/>
      <c r="K369" s="622" t="n"/>
      <c r="L369" s="622" t="n"/>
      <c r="M369" s="622" t="n"/>
      <c r="N369" s="622" t="n"/>
      <c r="O369" s="622" t="n"/>
      <c r="P369" s="622" t="n"/>
      <c r="Q369" s="622" t="n"/>
      <c r="R369" s="622" t="n"/>
      <c r="S369" s="622" t="n"/>
      <c r="T369" s="622" t="n"/>
      <c r="U369" s="622" t="n"/>
      <c r="V369" s="622" t="n"/>
      <c r="W369" s="622" t="n"/>
      <c r="X369" s="622" t="n"/>
      <c r="Y369" s="622" t="n"/>
      <c r="Z369" s="622" t="n"/>
      <c r="AA369" s="622" t="n"/>
      <c r="AB369" s="622" t="n"/>
      <c r="AC369" s="622" t="n"/>
      <c r="AD369" s="622" t="n"/>
      <c r="AE369" s="622" t="n"/>
      <c r="AF369" s="622" t="n"/>
      <c r="AG369" s="622" t="n"/>
      <c r="AH369" s="622" t="n"/>
      <c r="AI369" s="622" t="n"/>
      <c r="AJ369" s="622" t="n"/>
      <c r="AK369" s="622" t="n"/>
      <c r="AL369" s="622" t="n"/>
      <c r="AM369" s="622" t="n"/>
      <c r="AN369" s="622" t="n"/>
      <c r="AO369" s="622" t="n"/>
      <c r="AP369" s="622" t="n"/>
      <c r="AQ369" s="622" t="n"/>
      <c r="AR369" s="622" t="n"/>
      <c r="AS369" s="622" t="n"/>
      <c r="AT369" s="622" t="n"/>
      <c r="AU369" s="622" t="n"/>
      <c r="AV369" s="622" t="n"/>
      <c r="AW369" s="622" t="n"/>
      <c r="AX369" s="622" t="n"/>
      <c r="AY369" s="622" t="n"/>
    </row>
    <row r="370">
      <c r="A370" s="622" t="n"/>
      <c r="B370" s="622" t="n"/>
      <c r="C370" s="622" t="n"/>
      <c r="D370" s="622" t="n"/>
      <c r="E370" s="622" t="n"/>
      <c r="F370" s="622" t="n"/>
      <c r="G370" s="622" t="n"/>
      <c r="H370" s="622" t="n"/>
      <c r="I370" s="622" t="n"/>
      <c r="J370" s="622" t="n"/>
      <c r="K370" s="622" t="n"/>
      <c r="L370" s="622" t="n"/>
      <c r="M370" s="622" t="n"/>
      <c r="N370" s="622" t="n"/>
      <c r="O370" s="622" t="n"/>
      <c r="P370" s="622" t="n"/>
      <c r="Q370" s="622" t="n"/>
      <c r="R370" s="622" t="n"/>
      <c r="S370" s="622" t="n"/>
      <c r="T370" s="622" t="n"/>
      <c r="U370" s="622" t="n"/>
      <c r="V370" s="622" t="n"/>
      <c r="W370" s="622" t="n"/>
      <c r="X370" s="622" t="n"/>
      <c r="Y370" s="622" t="n"/>
      <c r="Z370" s="622" t="n"/>
      <c r="AA370" s="622" t="n"/>
      <c r="AB370" s="622" t="n"/>
      <c r="AC370" s="622" t="n"/>
      <c r="AD370" s="622" t="n"/>
      <c r="AE370" s="622" t="n"/>
      <c r="AF370" s="622" t="n"/>
      <c r="AG370" s="622" t="n"/>
      <c r="AH370" s="622" t="n"/>
      <c r="AI370" s="622" t="n"/>
      <c r="AJ370" s="622" t="n"/>
      <c r="AK370" s="622" t="n"/>
      <c r="AL370" s="622" t="n"/>
      <c r="AM370" s="622" t="n"/>
      <c r="AN370" s="622" t="n"/>
      <c r="AO370" s="622" t="n"/>
      <c r="AP370" s="622" t="n"/>
      <c r="AQ370" s="622" t="n"/>
      <c r="AR370" s="622" t="n"/>
      <c r="AS370" s="622" t="n"/>
      <c r="AT370" s="622" t="n"/>
      <c r="AU370" s="622" t="n"/>
      <c r="AV370" s="622" t="n"/>
      <c r="AW370" s="622" t="n"/>
      <c r="AX370" s="622" t="n"/>
      <c r="AY370" s="622" t="n"/>
    </row>
    <row r="371">
      <c r="A371" s="622" t="n"/>
      <c r="B371" s="622" t="n"/>
      <c r="C371" s="622" t="n"/>
      <c r="D371" s="622" t="n"/>
      <c r="E371" s="622" t="n"/>
      <c r="F371" s="622" t="n"/>
      <c r="G371" s="622" t="n"/>
      <c r="H371" s="622" t="n"/>
      <c r="I371" s="622" t="n"/>
      <c r="J371" s="622" t="n"/>
      <c r="K371" s="622" t="n"/>
      <c r="L371" s="622" t="n"/>
      <c r="M371" s="622" t="n"/>
      <c r="N371" s="622" t="n"/>
      <c r="O371" s="622" t="n"/>
      <c r="P371" s="622" t="n"/>
      <c r="Q371" s="622" t="n"/>
      <c r="R371" s="622" t="n"/>
      <c r="S371" s="622" t="n"/>
      <c r="T371" s="622" t="n"/>
      <c r="U371" s="622" t="n"/>
      <c r="V371" s="622" t="n"/>
      <c r="W371" s="622" t="n"/>
      <c r="X371" s="622" t="n"/>
      <c r="Y371" s="622" t="n"/>
      <c r="Z371" s="622" t="n"/>
      <c r="AA371" s="622" t="n"/>
      <c r="AB371" s="622" t="n"/>
      <c r="AC371" s="622" t="n"/>
      <c r="AD371" s="622" t="n"/>
      <c r="AE371" s="622" t="n"/>
      <c r="AF371" s="622" t="n"/>
      <c r="AG371" s="622" t="n"/>
      <c r="AH371" s="622" t="n"/>
      <c r="AI371" s="622" t="n"/>
      <c r="AJ371" s="622" t="n"/>
      <c r="AK371" s="622" t="n"/>
      <c r="AL371" s="622" t="n"/>
      <c r="AM371" s="622" t="n"/>
      <c r="AN371" s="622" t="n"/>
      <c r="AO371" s="622" t="n"/>
      <c r="AP371" s="622" t="n"/>
      <c r="AQ371" s="622" t="n"/>
      <c r="AR371" s="622" t="n"/>
      <c r="AS371" s="622" t="n"/>
      <c r="AT371" s="622" t="n"/>
      <c r="AU371" s="622" t="n"/>
      <c r="AV371" s="622" t="n"/>
      <c r="AW371" s="622" t="n"/>
      <c r="AX371" s="622" t="n"/>
      <c r="AY371" s="622" t="n"/>
    </row>
    <row r="372">
      <c r="A372" s="622" t="n"/>
      <c r="B372" s="622" t="n"/>
      <c r="C372" s="622" t="n"/>
      <c r="D372" s="622" t="n"/>
      <c r="E372" s="622" t="n"/>
      <c r="F372" s="622" t="n"/>
      <c r="G372" s="622" t="n"/>
      <c r="H372" s="622" t="n"/>
      <c r="I372" s="622" t="n"/>
      <c r="J372" s="622" t="n"/>
      <c r="K372" s="622" t="n"/>
      <c r="L372" s="622" t="n"/>
      <c r="M372" s="622" t="n"/>
      <c r="N372" s="622" t="n"/>
      <c r="O372" s="622" t="n"/>
      <c r="P372" s="622" t="n"/>
      <c r="Q372" s="622" t="n"/>
      <c r="R372" s="622" t="n"/>
      <c r="S372" s="622" t="n"/>
      <c r="T372" s="622" t="n"/>
      <c r="U372" s="622" t="n"/>
      <c r="V372" s="622" t="n"/>
      <c r="W372" s="622" t="n"/>
      <c r="X372" s="622" t="n"/>
      <c r="Y372" s="622" t="n"/>
      <c r="Z372" s="622" t="n"/>
      <c r="AA372" s="622" t="n"/>
      <c r="AB372" s="622" t="n"/>
      <c r="AC372" s="622" t="n"/>
      <c r="AD372" s="622" t="n"/>
      <c r="AE372" s="622" t="n"/>
      <c r="AF372" s="622" t="n"/>
      <c r="AG372" s="622" t="n"/>
      <c r="AH372" s="622" t="n"/>
      <c r="AI372" s="622" t="n"/>
      <c r="AJ372" s="622" t="n"/>
      <c r="AK372" s="622" t="n"/>
      <c r="AL372" s="622" t="n"/>
      <c r="AM372" s="622" t="n"/>
      <c r="AN372" s="622" t="n"/>
      <c r="AO372" s="622" t="n"/>
      <c r="AP372" s="622" t="n"/>
      <c r="AQ372" s="622" t="n"/>
      <c r="AR372" s="622" t="n"/>
      <c r="AS372" s="622" t="n"/>
      <c r="AT372" s="622" t="n"/>
      <c r="AU372" s="622" t="n"/>
      <c r="AV372" s="622" t="n"/>
      <c r="AW372" s="622" t="n"/>
      <c r="AX372" s="622" t="n"/>
      <c r="AY372" s="622" t="n"/>
    </row>
    <row r="373">
      <c r="A373" s="622" t="n"/>
      <c r="B373" s="622" t="n"/>
      <c r="C373" s="622" t="n"/>
      <c r="D373" s="622" t="n"/>
      <c r="E373" s="622" t="n"/>
      <c r="F373" s="622" t="n"/>
      <c r="G373" s="622" t="n"/>
      <c r="H373" s="622" t="n"/>
      <c r="I373" s="622" t="n"/>
      <c r="J373" s="622" t="n"/>
      <c r="K373" s="622" t="n"/>
      <c r="L373" s="622" t="n"/>
      <c r="M373" s="622" t="n"/>
      <c r="N373" s="622" t="n"/>
      <c r="O373" s="622" t="n"/>
      <c r="P373" s="622" t="n"/>
      <c r="Q373" s="622" t="n"/>
      <c r="R373" s="622" t="n"/>
      <c r="S373" s="622" t="n"/>
      <c r="T373" s="622" t="n"/>
      <c r="U373" s="622" t="n"/>
      <c r="V373" s="622" t="n"/>
      <c r="W373" s="622" t="n"/>
      <c r="X373" s="622" t="n"/>
      <c r="Y373" s="622" t="n"/>
      <c r="Z373" s="622" t="n"/>
      <c r="AA373" s="622" t="n"/>
      <c r="AB373" s="622" t="n"/>
      <c r="AC373" s="622" t="n"/>
      <c r="AD373" s="622" t="n"/>
      <c r="AE373" s="622" t="n"/>
      <c r="AF373" s="622" t="n"/>
      <c r="AG373" s="622" t="n"/>
      <c r="AH373" s="622" t="n"/>
      <c r="AI373" s="622" t="n"/>
      <c r="AJ373" s="622" t="n"/>
      <c r="AK373" s="622" t="n"/>
      <c r="AL373" s="622" t="n"/>
      <c r="AM373" s="622" t="n"/>
      <c r="AN373" s="622" t="n"/>
      <c r="AO373" s="622" t="n"/>
      <c r="AP373" s="622" t="n"/>
      <c r="AQ373" s="622" t="n"/>
      <c r="AR373" s="622" t="n"/>
      <c r="AS373" s="622" t="n"/>
      <c r="AT373" s="622" t="n"/>
      <c r="AU373" s="622" t="n"/>
      <c r="AV373" s="622" t="n"/>
      <c r="AW373" s="622" t="n"/>
      <c r="AX373" s="622" t="n"/>
      <c r="AY373" s="622" t="n"/>
    </row>
    <row r="374">
      <c r="A374" s="622" t="n"/>
      <c r="B374" s="622" t="n"/>
      <c r="C374" s="622" t="n"/>
      <c r="D374" s="622" t="n"/>
      <c r="E374" s="622" t="n"/>
      <c r="F374" s="622" t="n"/>
      <c r="G374" s="622" t="n"/>
      <c r="H374" s="622" t="n"/>
      <c r="I374" s="622" t="n"/>
      <c r="J374" s="622" t="n"/>
      <c r="K374" s="622" t="n"/>
      <c r="L374" s="622" t="n"/>
      <c r="M374" s="622" t="n"/>
      <c r="N374" s="622" t="n"/>
      <c r="O374" s="622" t="n"/>
      <c r="P374" s="622" t="n"/>
      <c r="Q374" s="622" t="n"/>
      <c r="R374" s="622" t="n"/>
      <c r="S374" s="622" t="n"/>
      <c r="T374" s="622" t="n"/>
      <c r="U374" s="622" t="n"/>
      <c r="V374" s="622" t="n"/>
      <c r="W374" s="622" t="n"/>
      <c r="X374" s="622" t="n"/>
      <c r="Y374" s="622" t="n"/>
      <c r="Z374" s="622" t="n"/>
      <c r="AA374" s="622" t="n"/>
      <c r="AB374" s="622" t="n"/>
      <c r="AC374" s="622" t="n"/>
      <c r="AD374" s="622" t="n"/>
      <c r="AE374" s="622" t="n"/>
      <c r="AF374" s="622" t="n"/>
      <c r="AG374" s="622" t="n"/>
      <c r="AH374" s="622" t="n"/>
      <c r="AI374" s="622" t="n"/>
      <c r="AJ374" s="622" t="n"/>
      <c r="AK374" s="622" t="n"/>
      <c r="AL374" s="622" t="n"/>
      <c r="AM374" s="622" t="n"/>
      <c r="AN374" s="622" t="n"/>
      <c r="AO374" s="622" t="n"/>
      <c r="AP374" s="622" t="n"/>
      <c r="AQ374" s="622" t="n"/>
      <c r="AR374" s="622" t="n"/>
      <c r="AS374" s="622" t="n"/>
      <c r="AT374" s="622" t="n"/>
      <c r="AU374" s="622" t="n"/>
      <c r="AV374" s="622" t="n"/>
      <c r="AW374" s="622" t="n"/>
      <c r="AX374" s="622" t="n"/>
      <c r="AY374" s="622" t="n"/>
    </row>
    <row r="375">
      <c r="A375" s="622" t="n"/>
      <c r="B375" s="622" t="n"/>
      <c r="C375" s="622" t="n"/>
      <c r="D375" s="622" t="n"/>
      <c r="E375" s="622" t="n"/>
      <c r="F375" s="622" t="n"/>
      <c r="G375" s="622" t="n"/>
      <c r="H375" s="622" t="n"/>
      <c r="I375" s="622" t="n"/>
      <c r="J375" s="622" t="n"/>
      <c r="K375" s="622" t="n"/>
      <c r="L375" s="622" t="n"/>
      <c r="M375" s="622" t="n"/>
      <c r="N375" s="622" t="n"/>
      <c r="O375" s="622" t="n"/>
      <c r="P375" s="622" t="n"/>
      <c r="Q375" s="622" t="n"/>
      <c r="R375" s="622" t="n"/>
      <c r="S375" s="622" t="n"/>
      <c r="T375" s="622" t="n"/>
      <c r="U375" s="622" t="n"/>
      <c r="V375" s="622" t="n"/>
      <c r="W375" s="622" t="n"/>
      <c r="X375" s="622" t="n"/>
      <c r="Y375" s="622" t="n"/>
      <c r="Z375" s="622" t="n"/>
      <c r="AA375" s="622" t="n"/>
      <c r="AB375" s="622" t="n"/>
      <c r="AC375" s="622" t="n"/>
      <c r="AD375" s="622" t="n"/>
      <c r="AE375" s="622" t="n"/>
      <c r="AF375" s="622" t="n"/>
      <c r="AG375" s="622" t="n"/>
      <c r="AH375" s="622" t="n"/>
      <c r="AI375" s="622" t="n"/>
      <c r="AJ375" s="622" t="n"/>
      <c r="AK375" s="622" t="n"/>
      <c r="AL375" s="622" t="n"/>
      <c r="AM375" s="622" t="n"/>
      <c r="AN375" s="622" t="n"/>
      <c r="AO375" s="622" t="n"/>
      <c r="AP375" s="622" t="n"/>
      <c r="AQ375" s="622" t="n"/>
      <c r="AR375" s="622" t="n"/>
      <c r="AS375" s="622" t="n"/>
      <c r="AT375" s="622" t="n"/>
      <c r="AU375" s="622" t="n"/>
      <c r="AV375" s="622" t="n"/>
      <c r="AW375" s="622" t="n"/>
      <c r="AX375" s="622" t="n"/>
      <c r="AY375" s="622" t="n"/>
    </row>
    <row r="376">
      <c r="A376" s="622" t="n"/>
      <c r="B376" s="622" t="n"/>
      <c r="C376" s="622" t="n"/>
      <c r="D376" s="622" t="n"/>
      <c r="E376" s="622" t="n"/>
      <c r="F376" s="622" t="n"/>
      <c r="G376" s="622" t="n"/>
      <c r="H376" s="622" t="n"/>
      <c r="I376" s="622" t="n"/>
      <c r="J376" s="622" t="n"/>
      <c r="K376" s="622" t="n"/>
      <c r="L376" s="622" t="n"/>
      <c r="M376" s="622" t="n"/>
      <c r="N376" s="622" t="n"/>
      <c r="O376" s="622" t="n"/>
      <c r="P376" s="622" t="n"/>
      <c r="Q376" s="622" t="n"/>
      <c r="R376" s="622" t="n"/>
      <c r="S376" s="622" t="n"/>
      <c r="T376" s="622" t="n"/>
      <c r="U376" s="622" t="n"/>
      <c r="V376" s="622" t="n"/>
      <c r="W376" s="622" t="n"/>
      <c r="X376" s="622" t="n"/>
      <c r="Y376" s="622" t="n"/>
      <c r="Z376" s="622" t="n"/>
      <c r="AA376" s="622" t="n"/>
      <c r="AB376" s="622" t="n"/>
      <c r="AC376" s="622" t="n"/>
      <c r="AD376" s="622" t="n"/>
      <c r="AE376" s="622" t="n"/>
      <c r="AF376" s="622" t="n"/>
      <c r="AG376" s="622" t="n"/>
      <c r="AH376" s="622" t="n"/>
      <c r="AI376" s="622" t="n"/>
      <c r="AJ376" s="622" t="n"/>
      <c r="AK376" s="622" t="n"/>
      <c r="AL376" s="622" t="n"/>
      <c r="AM376" s="622" t="n"/>
      <c r="AN376" s="622" t="n"/>
      <c r="AO376" s="622" t="n"/>
      <c r="AP376" s="622" t="n"/>
      <c r="AQ376" s="622" t="n"/>
      <c r="AR376" s="622" t="n"/>
      <c r="AS376" s="622" t="n"/>
      <c r="AT376" s="622" t="n"/>
      <c r="AU376" s="622" t="n"/>
      <c r="AV376" s="622" t="n"/>
      <c r="AW376" s="622" t="n"/>
      <c r="AX376" s="622" t="n"/>
      <c r="AY376" s="622" t="n"/>
    </row>
    <row r="377">
      <c r="A377" s="622" t="n"/>
      <c r="B377" s="622" t="n"/>
      <c r="C377" s="622" t="n"/>
      <c r="D377" s="622" t="n"/>
      <c r="E377" s="622" t="n"/>
      <c r="F377" s="622" t="n"/>
      <c r="G377" s="622" t="n"/>
      <c r="H377" s="622" t="n"/>
      <c r="I377" s="622" t="n"/>
      <c r="J377" s="622" t="n"/>
      <c r="K377" s="622" t="n"/>
      <c r="L377" s="622" t="n"/>
      <c r="M377" s="622" t="n"/>
      <c r="N377" s="622" t="n"/>
      <c r="O377" s="622" t="n"/>
      <c r="P377" s="622" t="n"/>
      <c r="Q377" s="622" t="n"/>
      <c r="R377" s="622" t="n"/>
      <c r="S377" s="622" t="n"/>
      <c r="T377" s="622" t="n"/>
      <c r="U377" s="622" t="n"/>
      <c r="V377" s="622" t="n"/>
      <c r="W377" s="622" t="n"/>
      <c r="X377" s="622" t="n"/>
      <c r="Y377" s="622" t="n"/>
      <c r="Z377" s="622" t="n"/>
      <c r="AA377" s="622" t="n"/>
      <c r="AB377" s="622" t="n"/>
      <c r="AC377" s="622" t="n"/>
      <c r="AD377" s="622" t="n"/>
      <c r="AE377" s="622" t="n"/>
      <c r="AF377" s="622" t="n"/>
      <c r="AG377" s="622" t="n"/>
      <c r="AH377" s="622" t="n"/>
      <c r="AI377" s="622" t="n"/>
      <c r="AJ377" s="622" t="n"/>
      <c r="AK377" s="622" t="n"/>
      <c r="AL377" s="622" t="n"/>
      <c r="AM377" s="622" t="n"/>
      <c r="AN377" s="622" t="n"/>
      <c r="AO377" s="622" t="n"/>
      <c r="AP377" s="622" t="n"/>
      <c r="AQ377" s="622" t="n"/>
      <c r="AR377" s="622" t="n"/>
      <c r="AS377" s="622" t="n"/>
      <c r="AT377" s="622" t="n"/>
      <c r="AU377" s="622" t="n"/>
      <c r="AV377" s="622" t="n"/>
      <c r="AW377" s="622" t="n"/>
      <c r="AX377" s="622" t="n"/>
      <c r="AY377" s="622" t="n"/>
    </row>
    <row r="378">
      <c r="A378" s="622" t="n"/>
      <c r="B378" s="622" t="n"/>
      <c r="C378" s="622" t="n"/>
      <c r="D378" s="622" t="n"/>
      <c r="E378" s="622" t="n"/>
      <c r="F378" s="622" t="n"/>
      <c r="G378" s="622" t="n"/>
      <c r="H378" s="622" t="n"/>
      <c r="I378" s="622" t="n"/>
      <c r="J378" s="622" t="n"/>
      <c r="K378" s="622" t="n"/>
      <c r="L378" s="622" t="n"/>
      <c r="M378" s="622" t="n"/>
      <c r="N378" s="622" t="n"/>
      <c r="O378" s="622" t="n"/>
      <c r="P378" s="622" t="n"/>
      <c r="Q378" s="622" t="n"/>
      <c r="R378" s="622" t="n"/>
      <c r="S378" s="622" t="n"/>
      <c r="T378" s="622" t="n"/>
      <c r="U378" s="622" t="n"/>
      <c r="V378" s="622" t="n"/>
      <c r="W378" s="622" t="n"/>
      <c r="X378" s="622" t="n"/>
      <c r="Y378" s="622" t="n"/>
      <c r="Z378" s="622" t="n"/>
      <c r="AA378" s="622" t="n"/>
      <c r="AB378" s="622" t="n"/>
      <c r="AC378" s="622" t="n"/>
      <c r="AD378" s="622" t="n"/>
      <c r="AE378" s="622" t="n"/>
      <c r="AF378" s="622" t="n"/>
      <c r="AG378" s="622" t="n"/>
      <c r="AH378" s="622" t="n"/>
      <c r="AI378" s="622" t="n"/>
      <c r="AJ378" s="622" t="n"/>
      <c r="AK378" s="622" t="n"/>
      <c r="AL378" s="622" t="n"/>
      <c r="AM378" s="622" t="n"/>
      <c r="AN378" s="622" t="n"/>
      <c r="AO378" s="622" t="n"/>
      <c r="AP378" s="622" t="n"/>
      <c r="AQ378" s="622" t="n"/>
      <c r="AR378" s="622" t="n"/>
      <c r="AS378" s="622" t="n"/>
      <c r="AT378" s="622" t="n"/>
      <c r="AU378" s="622" t="n"/>
      <c r="AV378" s="622" t="n"/>
      <c r="AW378" s="622" t="n"/>
      <c r="AX378" s="622" t="n"/>
      <c r="AY378" s="622" t="n"/>
    </row>
    <row r="379">
      <c r="A379" s="622" t="n"/>
      <c r="B379" s="622" t="n"/>
      <c r="C379" s="622" t="n"/>
      <c r="D379" s="622" t="n"/>
      <c r="E379" s="622" t="n"/>
      <c r="F379" s="622" t="n"/>
      <c r="G379" s="622" t="n"/>
      <c r="H379" s="622" t="n"/>
      <c r="I379" s="622" t="n"/>
      <c r="J379" s="622" t="n"/>
      <c r="K379" s="622" t="n"/>
      <c r="L379" s="622" t="n"/>
      <c r="M379" s="622" t="n"/>
      <c r="N379" s="622" t="n"/>
      <c r="O379" s="622" t="n"/>
      <c r="P379" s="622" t="n"/>
      <c r="Q379" s="622" t="n"/>
      <c r="R379" s="622" t="n"/>
      <c r="S379" s="622" t="n"/>
      <c r="T379" s="622" t="n"/>
      <c r="U379" s="622" t="n"/>
      <c r="V379" s="622" t="n"/>
      <c r="W379" s="622" t="n"/>
      <c r="X379" s="622" t="n"/>
      <c r="Y379" s="622" t="n"/>
      <c r="Z379" s="622" t="n"/>
      <c r="AA379" s="622" t="n"/>
      <c r="AB379" s="622" t="n"/>
      <c r="AC379" s="622" t="n"/>
      <c r="AD379" s="622" t="n"/>
      <c r="AE379" s="622" t="n"/>
      <c r="AF379" s="622" t="n"/>
      <c r="AG379" s="622" t="n"/>
      <c r="AH379" s="622" t="n"/>
      <c r="AI379" s="622" t="n"/>
      <c r="AJ379" s="622" t="n"/>
      <c r="AK379" s="622" t="n"/>
      <c r="AL379" s="622" t="n"/>
      <c r="AM379" s="622" t="n"/>
      <c r="AN379" s="622" t="n"/>
      <c r="AO379" s="622" t="n"/>
      <c r="AP379" s="622" t="n"/>
      <c r="AQ379" s="622" t="n"/>
      <c r="AR379" s="622" t="n"/>
      <c r="AS379" s="622" t="n"/>
      <c r="AT379" s="622" t="n"/>
      <c r="AU379" s="622" t="n"/>
      <c r="AV379" s="622" t="n"/>
      <c r="AW379" s="622" t="n"/>
      <c r="AX379" s="622" t="n"/>
      <c r="AY379" s="622" t="n"/>
    </row>
    <row r="380">
      <c r="A380" s="622" t="n"/>
      <c r="B380" s="622" t="n"/>
      <c r="C380" s="622" t="n"/>
      <c r="D380" s="622" t="n"/>
      <c r="E380" s="622" t="n"/>
      <c r="F380" s="622" t="n"/>
      <c r="G380" s="622" t="n"/>
      <c r="H380" s="622" t="n"/>
      <c r="I380" s="622" t="n"/>
      <c r="J380" s="622" t="n"/>
      <c r="K380" s="622" t="n"/>
      <c r="L380" s="622" t="n"/>
      <c r="M380" s="622" t="n"/>
      <c r="N380" s="622" t="n"/>
      <c r="O380" s="622" t="n"/>
      <c r="P380" s="622" t="n"/>
      <c r="Q380" s="622" t="n"/>
      <c r="R380" s="622" t="n"/>
      <c r="S380" s="622" t="n"/>
      <c r="T380" s="622" t="n"/>
      <c r="U380" s="622" t="n"/>
      <c r="V380" s="622" t="n"/>
      <c r="W380" s="622" t="n"/>
      <c r="X380" s="622" t="n"/>
      <c r="Y380" s="622" t="n"/>
      <c r="Z380" s="622" t="n"/>
      <c r="AA380" s="622" t="n"/>
      <c r="AB380" s="622" t="n"/>
      <c r="AC380" s="622" t="n"/>
      <c r="AD380" s="622" t="n"/>
      <c r="AE380" s="622" t="n"/>
      <c r="AF380" s="622" t="n"/>
      <c r="AG380" s="622" t="n"/>
      <c r="AH380" s="622" t="n"/>
      <c r="AI380" s="622" t="n"/>
      <c r="AJ380" s="622" t="n"/>
      <c r="AK380" s="622" t="n"/>
      <c r="AL380" s="622" t="n"/>
      <c r="AM380" s="622" t="n"/>
      <c r="AN380" s="622" t="n"/>
      <c r="AO380" s="622" t="n"/>
      <c r="AP380" s="622" t="n"/>
      <c r="AQ380" s="622" t="n"/>
      <c r="AR380" s="622" t="n"/>
      <c r="AS380" s="622" t="n"/>
      <c r="AT380" s="622" t="n"/>
      <c r="AU380" s="622" t="n"/>
      <c r="AV380" s="622" t="n"/>
      <c r="AW380" s="622" t="n"/>
      <c r="AX380" s="622" t="n"/>
      <c r="AY380" s="622" t="n"/>
    </row>
    <row r="381">
      <c r="A381" s="622" t="n"/>
      <c r="B381" s="622" t="n"/>
      <c r="C381" s="622" t="n"/>
      <c r="D381" s="622" t="n"/>
      <c r="E381" s="622" t="n"/>
      <c r="F381" s="622" t="n"/>
      <c r="G381" s="622" t="n"/>
      <c r="H381" s="622" t="n"/>
      <c r="I381" s="622" t="n"/>
      <c r="J381" s="622" t="n"/>
      <c r="K381" s="622" t="n"/>
      <c r="L381" s="622" t="n"/>
      <c r="M381" s="622" t="n"/>
      <c r="N381" s="622" t="n"/>
      <c r="O381" s="622" t="n"/>
      <c r="P381" s="622" t="n"/>
      <c r="Q381" s="622" t="n"/>
      <c r="R381" s="622" t="n"/>
      <c r="S381" s="622" t="n"/>
      <c r="T381" s="622" t="n"/>
      <c r="U381" s="622" t="n"/>
      <c r="V381" s="622" t="n"/>
      <c r="W381" s="622" t="n"/>
      <c r="X381" s="622" t="n"/>
      <c r="Y381" s="622" t="n"/>
      <c r="Z381" s="622" t="n"/>
      <c r="AA381" s="622" t="n"/>
      <c r="AB381" s="622" t="n"/>
      <c r="AC381" s="622" t="n"/>
      <c r="AD381" s="622" t="n"/>
      <c r="AE381" s="622" t="n"/>
      <c r="AF381" s="622" t="n"/>
      <c r="AG381" s="622" t="n"/>
      <c r="AH381" s="622" t="n"/>
      <c r="AI381" s="622" t="n"/>
      <c r="AJ381" s="622" t="n"/>
      <c r="AK381" s="622" t="n"/>
      <c r="AL381" s="622" t="n"/>
      <c r="AM381" s="622" t="n"/>
      <c r="AN381" s="622" t="n"/>
      <c r="AO381" s="622" t="n"/>
      <c r="AP381" s="622" t="n"/>
      <c r="AQ381" s="622" t="n"/>
      <c r="AR381" s="622" t="n"/>
      <c r="AS381" s="622" t="n"/>
      <c r="AT381" s="622" t="n"/>
      <c r="AU381" s="622" t="n"/>
      <c r="AV381" s="622" t="n"/>
      <c r="AW381" s="622" t="n"/>
      <c r="AX381" s="622" t="n"/>
      <c r="AY381" s="622" t="n"/>
    </row>
    <row r="382">
      <c r="A382" s="622" t="n"/>
      <c r="B382" s="622" t="n"/>
      <c r="C382" s="622" t="n"/>
      <c r="D382" s="622" t="n"/>
      <c r="E382" s="622" t="n"/>
      <c r="F382" s="622" t="n"/>
      <c r="G382" s="622" t="n"/>
      <c r="H382" s="622" t="n"/>
      <c r="I382" s="622" t="n"/>
      <c r="J382" s="622" t="n"/>
      <c r="K382" s="622" t="n"/>
      <c r="L382" s="622" t="n"/>
      <c r="M382" s="622" t="n"/>
      <c r="N382" s="622" t="n"/>
      <c r="O382" s="622" t="n"/>
      <c r="P382" s="622" t="n"/>
      <c r="Q382" s="622" t="n"/>
      <c r="R382" s="622" t="n"/>
      <c r="S382" s="622" t="n"/>
      <c r="T382" s="622" t="n"/>
      <c r="U382" s="622" t="n"/>
      <c r="V382" s="622" t="n"/>
      <c r="W382" s="622" t="n"/>
      <c r="X382" s="622" t="n"/>
      <c r="Y382" s="622" t="n"/>
      <c r="Z382" s="622" t="n"/>
      <c r="AA382" s="622" t="n"/>
      <c r="AB382" s="622" t="n"/>
      <c r="AC382" s="622" t="n"/>
      <c r="AD382" s="622" t="n"/>
      <c r="AE382" s="622" t="n"/>
      <c r="AF382" s="622" t="n"/>
      <c r="AG382" s="622" t="n"/>
      <c r="AH382" s="622" t="n"/>
      <c r="AI382" s="622" t="n"/>
      <c r="AJ382" s="622" t="n"/>
      <c r="AK382" s="622" t="n"/>
      <c r="AL382" s="622" t="n"/>
      <c r="AM382" s="622" t="n"/>
      <c r="AN382" s="622" t="n"/>
      <c r="AO382" s="622" t="n"/>
      <c r="AP382" s="622" t="n"/>
      <c r="AQ382" s="622" t="n"/>
      <c r="AR382" s="622" t="n"/>
      <c r="AS382" s="622" t="n"/>
      <c r="AT382" s="622" t="n"/>
      <c r="AU382" s="622" t="n"/>
      <c r="AV382" s="622" t="n"/>
      <c r="AW382" s="622" t="n"/>
      <c r="AX382" s="622" t="n"/>
      <c r="AY382" s="622" t="n"/>
    </row>
    <row r="383">
      <c r="A383" s="622" t="n"/>
      <c r="B383" s="622" t="n"/>
      <c r="C383" s="622" t="n"/>
      <c r="D383" s="622" t="n"/>
      <c r="E383" s="622" t="n"/>
      <c r="F383" s="622" t="n"/>
      <c r="G383" s="622" t="n"/>
      <c r="H383" s="622" t="n"/>
      <c r="I383" s="622" t="n"/>
      <c r="J383" s="622" t="n"/>
      <c r="K383" s="622" t="n"/>
      <c r="L383" s="622" t="n"/>
      <c r="M383" s="622" t="n"/>
      <c r="N383" s="622" t="n"/>
      <c r="O383" s="622" t="n"/>
      <c r="P383" s="622" t="n"/>
      <c r="Q383" s="622" t="n"/>
      <c r="R383" s="622" t="n"/>
      <c r="S383" s="622" t="n"/>
      <c r="T383" s="622" t="n"/>
      <c r="U383" s="622" t="n"/>
      <c r="V383" s="622" t="n"/>
      <c r="W383" s="622" t="n"/>
      <c r="X383" s="622" t="n"/>
      <c r="Y383" s="622" t="n"/>
      <c r="Z383" s="622" t="n"/>
      <c r="AA383" s="622" t="n"/>
      <c r="AB383" s="622" t="n"/>
      <c r="AC383" s="622" t="n"/>
      <c r="AD383" s="622" t="n"/>
      <c r="AE383" s="622" t="n"/>
      <c r="AF383" s="622" t="n"/>
      <c r="AG383" s="622" t="n"/>
      <c r="AH383" s="622" t="n"/>
      <c r="AI383" s="622" t="n"/>
      <c r="AJ383" s="622" t="n"/>
      <c r="AK383" s="622" t="n"/>
      <c r="AL383" s="622" t="n"/>
      <c r="AM383" s="622" t="n"/>
      <c r="AN383" s="622" t="n"/>
      <c r="AO383" s="622" t="n"/>
      <c r="AP383" s="622" t="n"/>
      <c r="AQ383" s="622" t="n"/>
      <c r="AR383" s="622" t="n"/>
      <c r="AS383" s="622" t="n"/>
      <c r="AT383" s="622" t="n"/>
      <c r="AU383" s="622" t="n"/>
      <c r="AV383" s="622" t="n"/>
      <c r="AW383" s="622" t="n"/>
      <c r="AX383" s="622" t="n"/>
      <c r="AY383" s="622" t="n"/>
    </row>
    <row r="384">
      <c r="A384" s="622" t="n"/>
      <c r="B384" s="622" t="n"/>
      <c r="C384" s="622" t="n"/>
      <c r="D384" s="622" t="n"/>
      <c r="E384" s="622" t="n"/>
      <c r="F384" s="622" t="n"/>
      <c r="G384" s="622" t="n"/>
      <c r="H384" s="622" t="n"/>
      <c r="I384" s="622" t="n"/>
      <c r="J384" s="622" t="n"/>
      <c r="K384" s="622" t="n"/>
      <c r="L384" s="622" t="n"/>
      <c r="M384" s="622" t="n"/>
      <c r="N384" s="622" t="n"/>
      <c r="O384" s="622" t="n"/>
      <c r="P384" s="622" t="n"/>
      <c r="Q384" s="622" t="n"/>
      <c r="R384" s="622" t="n"/>
      <c r="S384" s="622" t="n"/>
      <c r="T384" s="622" t="n"/>
      <c r="U384" s="622" t="n"/>
      <c r="V384" s="622" t="n"/>
      <c r="W384" s="622" t="n"/>
      <c r="X384" s="622" t="n"/>
      <c r="Y384" s="622" t="n"/>
      <c r="Z384" s="622" t="n"/>
      <c r="AA384" s="622" t="n"/>
      <c r="AB384" s="622" t="n"/>
      <c r="AC384" s="622" t="n"/>
      <c r="AD384" s="622" t="n"/>
      <c r="AE384" s="622" t="n"/>
      <c r="AF384" s="622" t="n"/>
      <c r="AG384" s="622" t="n"/>
      <c r="AH384" s="622" t="n"/>
      <c r="AI384" s="622" t="n"/>
      <c r="AJ384" s="622" t="n"/>
      <c r="AK384" s="622" t="n"/>
      <c r="AL384" s="622" t="n"/>
      <c r="AM384" s="622" t="n"/>
      <c r="AN384" s="622" t="n"/>
      <c r="AO384" s="622" t="n"/>
      <c r="AP384" s="622" t="n"/>
      <c r="AQ384" s="622" t="n"/>
      <c r="AR384" s="622" t="n"/>
      <c r="AS384" s="622" t="n"/>
      <c r="AT384" s="622" t="n"/>
      <c r="AU384" s="622" t="n"/>
      <c r="AV384" s="622" t="n"/>
      <c r="AW384" s="622" t="n"/>
      <c r="AX384" s="622" t="n"/>
      <c r="AY384" s="622" t="n"/>
    </row>
    <row r="385">
      <c r="A385" s="622" t="n"/>
      <c r="B385" s="622" t="n"/>
      <c r="C385" s="622" t="n"/>
      <c r="D385" s="622" t="n"/>
      <c r="E385" s="622" t="n"/>
      <c r="F385" s="622" t="n"/>
      <c r="G385" s="622" t="n"/>
      <c r="H385" s="622" t="n"/>
      <c r="I385" s="622" t="n"/>
      <c r="J385" s="622" t="n"/>
      <c r="K385" s="622" t="n"/>
      <c r="L385" s="622" t="n"/>
      <c r="M385" s="622" t="n"/>
      <c r="N385" s="622" t="n"/>
      <c r="O385" s="622" t="n"/>
      <c r="P385" s="622" t="n"/>
      <c r="Q385" s="622" t="n"/>
      <c r="R385" s="622" t="n"/>
      <c r="S385" s="622" t="n"/>
      <c r="T385" s="622" t="n"/>
      <c r="U385" s="622" t="n"/>
      <c r="V385" s="622" t="n"/>
      <c r="W385" s="622" t="n"/>
      <c r="X385" s="622" t="n"/>
      <c r="Y385" s="622" t="n"/>
      <c r="Z385" s="622" t="n"/>
      <c r="AA385" s="622" t="n"/>
      <c r="AB385" s="622" t="n"/>
      <c r="AC385" s="622" t="n"/>
      <c r="AD385" s="622" t="n"/>
      <c r="AE385" s="622" t="n"/>
      <c r="AF385" s="622" t="n"/>
      <c r="AG385" s="622" t="n"/>
      <c r="AH385" s="622" t="n"/>
      <c r="AI385" s="622" t="n"/>
      <c r="AJ385" s="622" t="n"/>
      <c r="AK385" s="622" t="n"/>
      <c r="AL385" s="622" t="n"/>
      <c r="AM385" s="622" t="n"/>
      <c r="AN385" s="622" t="n"/>
      <c r="AO385" s="622" t="n"/>
      <c r="AP385" s="622" t="n"/>
      <c r="AQ385" s="622" t="n"/>
      <c r="AR385" s="622" t="n"/>
      <c r="AS385" s="622" t="n"/>
      <c r="AT385" s="622" t="n"/>
      <c r="AU385" s="622" t="n"/>
      <c r="AV385" s="622" t="n"/>
      <c r="AW385" s="622" t="n"/>
      <c r="AX385" s="622" t="n"/>
      <c r="AY385" s="622" t="n"/>
    </row>
    <row r="386">
      <c r="A386" s="622" t="n"/>
      <c r="B386" s="622" t="n"/>
      <c r="C386" s="622" t="n"/>
      <c r="D386" s="622" t="n"/>
      <c r="E386" s="622" t="n"/>
      <c r="F386" s="622" t="n"/>
      <c r="G386" s="622" t="n"/>
      <c r="H386" s="622" t="n"/>
      <c r="I386" s="622" t="n"/>
      <c r="J386" s="622" t="n"/>
      <c r="K386" s="622" t="n"/>
      <c r="L386" s="622" t="n"/>
      <c r="M386" s="622" t="n"/>
      <c r="N386" s="622" t="n"/>
      <c r="O386" s="622" t="n"/>
      <c r="P386" s="622" t="n"/>
      <c r="Q386" s="622" t="n"/>
      <c r="R386" s="622" t="n"/>
      <c r="S386" s="622" t="n"/>
      <c r="T386" s="622" t="n"/>
      <c r="U386" s="622" t="n"/>
      <c r="V386" s="622" t="n"/>
      <c r="W386" s="622" t="n"/>
      <c r="X386" s="622" t="n"/>
      <c r="Y386" s="622" t="n"/>
      <c r="Z386" s="622" t="n"/>
      <c r="AA386" s="622" t="n"/>
      <c r="AB386" s="622" t="n"/>
      <c r="AC386" s="622" t="n"/>
      <c r="AD386" s="622" t="n"/>
      <c r="AE386" s="622" t="n"/>
      <c r="AF386" s="622" t="n"/>
      <c r="AG386" s="622" t="n"/>
      <c r="AH386" s="622" t="n"/>
      <c r="AI386" s="622" t="n"/>
      <c r="AJ386" s="622" t="n"/>
      <c r="AK386" s="622" t="n"/>
      <c r="AL386" s="622" t="n"/>
      <c r="AM386" s="622" t="n"/>
      <c r="AN386" s="622" t="n"/>
      <c r="AO386" s="622" t="n"/>
      <c r="AP386" s="622" t="n"/>
      <c r="AQ386" s="622" t="n"/>
      <c r="AR386" s="622" t="n"/>
      <c r="AS386" s="622" t="n"/>
      <c r="AT386" s="622" t="n"/>
      <c r="AU386" s="622" t="n"/>
      <c r="AV386" s="622" t="n"/>
      <c r="AW386" s="622" t="n"/>
      <c r="AX386" s="622" t="n"/>
      <c r="AY386" s="622" t="n"/>
    </row>
    <row r="387">
      <c r="A387" s="622" t="n"/>
      <c r="B387" s="622" t="n"/>
      <c r="C387" s="622" t="n"/>
      <c r="D387" s="622" t="n"/>
      <c r="E387" s="622" t="n"/>
      <c r="F387" s="622" t="n"/>
      <c r="G387" s="622" t="n"/>
      <c r="H387" s="622" t="n"/>
      <c r="I387" s="622" t="n"/>
      <c r="J387" s="622" t="n"/>
      <c r="K387" s="622" t="n"/>
      <c r="L387" s="622" t="n"/>
      <c r="M387" s="622" t="n"/>
      <c r="N387" s="622" t="n"/>
      <c r="O387" s="622" t="n"/>
      <c r="P387" s="622" t="n"/>
      <c r="Q387" s="622" t="n"/>
      <c r="R387" s="622" t="n"/>
      <c r="S387" s="622" t="n"/>
      <c r="T387" s="622" t="n"/>
      <c r="U387" s="622" t="n"/>
      <c r="V387" s="622" t="n"/>
      <c r="W387" s="622" t="n"/>
      <c r="X387" s="622" t="n"/>
      <c r="Y387" s="622" t="n"/>
      <c r="Z387" s="622" t="n"/>
      <c r="AA387" s="622" t="n"/>
      <c r="AB387" s="622" t="n"/>
      <c r="AC387" s="622" t="n"/>
      <c r="AD387" s="622" t="n"/>
      <c r="AE387" s="622" t="n"/>
      <c r="AF387" s="622" t="n"/>
      <c r="AG387" s="622" t="n"/>
      <c r="AH387" s="622" t="n"/>
      <c r="AI387" s="622" t="n"/>
      <c r="AJ387" s="622" t="n"/>
      <c r="AK387" s="622" t="n"/>
      <c r="AL387" s="622" t="n"/>
      <c r="AM387" s="622" t="n"/>
      <c r="AN387" s="622" t="n"/>
      <c r="AO387" s="622" t="n"/>
      <c r="AP387" s="622" t="n"/>
      <c r="AQ387" s="622" t="n"/>
      <c r="AR387" s="622" t="n"/>
      <c r="AS387" s="622" t="n"/>
      <c r="AT387" s="622" t="n"/>
      <c r="AU387" s="622" t="n"/>
      <c r="AV387" s="622" t="n"/>
      <c r="AW387" s="622" t="n"/>
      <c r="AX387" s="622" t="n"/>
      <c r="AY387" s="622" t="n"/>
    </row>
    <row r="388">
      <c r="A388" s="622" t="n"/>
      <c r="B388" s="622" t="n"/>
      <c r="C388" s="622" t="n"/>
      <c r="D388" s="622" t="n"/>
      <c r="E388" s="622" t="n"/>
      <c r="F388" s="622" t="n"/>
      <c r="G388" s="622" t="n"/>
      <c r="H388" s="622" t="n"/>
      <c r="I388" s="622" t="n"/>
      <c r="J388" s="622" t="n"/>
      <c r="K388" s="622" t="n"/>
      <c r="L388" s="622" t="n"/>
      <c r="M388" s="622" t="n"/>
      <c r="N388" s="622" t="n"/>
      <c r="O388" s="622" t="n"/>
      <c r="P388" s="622" t="n"/>
      <c r="Q388" s="622" t="n"/>
      <c r="R388" s="622" t="n"/>
      <c r="S388" s="622" t="n"/>
      <c r="T388" s="622" t="n"/>
      <c r="U388" s="622" t="n"/>
      <c r="V388" s="622" t="n"/>
      <c r="W388" s="622" t="n"/>
      <c r="X388" s="622" t="n"/>
      <c r="Y388" s="622" t="n"/>
      <c r="Z388" s="622" t="n"/>
      <c r="AA388" s="622" t="n"/>
      <c r="AB388" s="622" t="n"/>
      <c r="AC388" s="622" t="n"/>
      <c r="AD388" s="622" t="n"/>
      <c r="AE388" s="622" t="n"/>
      <c r="AF388" s="622" t="n"/>
      <c r="AG388" s="622" t="n"/>
      <c r="AH388" s="622" t="n"/>
      <c r="AI388" s="622" t="n"/>
      <c r="AJ388" s="622" t="n"/>
      <c r="AK388" s="622" t="n"/>
      <c r="AL388" s="622" t="n"/>
      <c r="AM388" s="622" t="n"/>
      <c r="AN388" s="622" t="n"/>
      <c r="AO388" s="622" t="n"/>
      <c r="AP388" s="622" t="n"/>
      <c r="AQ388" s="622" t="n"/>
      <c r="AR388" s="622" t="n"/>
      <c r="AS388" s="622" t="n"/>
      <c r="AT388" s="622" t="n"/>
      <c r="AU388" s="622" t="n"/>
      <c r="AV388" s="622" t="n"/>
      <c r="AW388" s="622" t="n"/>
      <c r="AX388" s="622" t="n"/>
      <c r="AY388" s="622" t="n"/>
    </row>
    <row r="389">
      <c r="A389" s="622" t="n"/>
      <c r="B389" s="622" t="n"/>
      <c r="C389" s="622" t="n"/>
      <c r="D389" s="622" t="n"/>
      <c r="E389" s="622" t="n"/>
      <c r="F389" s="622" t="n"/>
      <c r="G389" s="622" t="n"/>
      <c r="H389" s="622" t="n"/>
      <c r="I389" s="622" t="n"/>
      <c r="J389" s="622" t="n"/>
      <c r="K389" s="622" t="n"/>
      <c r="L389" s="622" t="n"/>
      <c r="M389" s="622" t="n"/>
      <c r="N389" s="622" t="n"/>
      <c r="O389" s="622" t="n"/>
      <c r="P389" s="622" t="n"/>
      <c r="Q389" s="622" t="n"/>
      <c r="R389" s="622" t="n"/>
      <c r="S389" s="622" t="n"/>
      <c r="T389" s="622" t="n"/>
      <c r="U389" s="622" t="n"/>
      <c r="V389" s="622" t="n"/>
      <c r="W389" s="622" t="n"/>
      <c r="X389" s="622" t="n"/>
      <c r="Y389" s="622" t="n"/>
      <c r="Z389" s="622" t="n"/>
      <c r="AA389" s="622" t="n"/>
      <c r="AB389" s="622" t="n"/>
      <c r="AC389" s="622" t="n"/>
      <c r="AD389" s="622" t="n"/>
      <c r="AE389" s="622" t="n"/>
      <c r="AF389" s="622" t="n"/>
      <c r="AG389" s="622" t="n"/>
      <c r="AH389" s="622" t="n"/>
      <c r="AI389" s="622" t="n"/>
      <c r="AJ389" s="622" t="n"/>
      <c r="AK389" s="622" t="n"/>
      <c r="AL389" s="622" t="n"/>
      <c r="AM389" s="622" t="n"/>
      <c r="AN389" s="622" t="n"/>
      <c r="AO389" s="622" t="n"/>
      <c r="AP389" s="622" t="n"/>
      <c r="AQ389" s="622" t="n"/>
      <c r="AR389" s="622" t="n"/>
      <c r="AS389" s="622" t="n"/>
      <c r="AT389" s="622" t="n"/>
      <c r="AU389" s="622" t="n"/>
      <c r="AV389" s="622" t="n"/>
      <c r="AW389" s="622" t="n"/>
      <c r="AX389" s="622" t="n"/>
      <c r="AY389" s="622" t="n"/>
    </row>
    <row r="390">
      <c r="A390" s="622" t="n"/>
      <c r="B390" s="622" t="n"/>
      <c r="C390" s="622" t="n"/>
      <c r="D390" s="622" t="n"/>
      <c r="E390" s="622" t="n"/>
      <c r="F390" s="622" t="n"/>
      <c r="G390" s="622" t="n"/>
      <c r="H390" s="622" t="n"/>
      <c r="I390" s="622" t="n"/>
      <c r="J390" s="622" t="n"/>
      <c r="K390" s="622" t="n"/>
      <c r="L390" s="622" t="n"/>
      <c r="M390" s="622" t="n"/>
      <c r="N390" s="622" t="n"/>
      <c r="O390" s="622" t="n"/>
      <c r="P390" s="622" t="n"/>
      <c r="Q390" s="622" t="n"/>
      <c r="R390" s="622" t="n"/>
      <c r="S390" s="622" t="n"/>
      <c r="T390" s="622" t="n"/>
      <c r="U390" s="622" t="n"/>
      <c r="V390" s="622" t="n"/>
      <c r="W390" s="622" t="n"/>
      <c r="X390" s="622" t="n"/>
      <c r="Y390" s="622" t="n"/>
      <c r="Z390" s="622" t="n"/>
      <c r="AA390" s="622" t="n"/>
      <c r="AB390" s="622" t="n"/>
      <c r="AC390" s="622" t="n"/>
      <c r="AD390" s="622" t="n"/>
      <c r="AE390" s="622" t="n"/>
      <c r="AF390" s="622" t="n"/>
      <c r="AG390" s="622" t="n"/>
      <c r="AH390" s="622" t="n"/>
      <c r="AI390" s="622" t="n"/>
      <c r="AJ390" s="622" t="n"/>
      <c r="AK390" s="622" t="n"/>
      <c r="AL390" s="622" t="n"/>
      <c r="AM390" s="622" t="n"/>
      <c r="AN390" s="622" t="n"/>
      <c r="AO390" s="622" t="n"/>
      <c r="AP390" s="622" t="n"/>
      <c r="AQ390" s="622" t="n"/>
      <c r="AR390" s="622" t="n"/>
      <c r="AS390" s="622" t="n"/>
      <c r="AT390" s="622" t="n"/>
      <c r="AU390" s="622" t="n"/>
      <c r="AV390" s="622" t="n"/>
      <c r="AW390" s="622" t="n"/>
      <c r="AX390" s="622" t="n"/>
      <c r="AY390" s="622" t="n"/>
    </row>
    <row r="391">
      <c r="A391" s="622" t="n"/>
      <c r="B391" s="622" t="n"/>
      <c r="C391" s="622" t="n"/>
      <c r="D391" s="622" t="n"/>
      <c r="E391" s="622" t="n"/>
      <c r="F391" s="622" t="n"/>
      <c r="G391" s="622" t="n"/>
      <c r="H391" s="622" t="n"/>
      <c r="I391" s="622" t="n"/>
      <c r="J391" s="622" t="n"/>
      <c r="K391" s="622" t="n"/>
      <c r="L391" s="622" t="n"/>
      <c r="M391" s="622" t="n"/>
      <c r="N391" s="622" t="n"/>
      <c r="O391" s="622" t="n"/>
      <c r="P391" s="622" t="n"/>
      <c r="Q391" s="622" t="n"/>
      <c r="R391" s="622" t="n"/>
      <c r="S391" s="622" t="n"/>
      <c r="T391" s="622" t="n"/>
      <c r="U391" s="622" t="n"/>
      <c r="V391" s="622" t="n"/>
      <c r="W391" s="622" t="n"/>
      <c r="X391" s="622" t="n"/>
      <c r="Y391" s="622" t="n"/>
      <c r="Z391" s="622" t="n"/>
      <c r="AA391" s="622" t="n"/>
      <c r="AB391" s="622" t="n"/>
      <c r="AC391" s="622" t="n"/>
      <c r="AD391" s="622" t="n"/>
      <c r="AE391" s="622" t="n"/>
      <c r="AF391" s="622" t="n"/>
      <c r="AG391" s="622" t="n"/>
      <c r="AH391" s="622" t="n"/>
      <c r="AI391" s="622" t="n"/>
      <c r="AJ391" s="622" t="n"/>
      <c r="AK391" s="622" t="n"/>
      <c r="AL391" s="622" t="n"/>
      <c r="AM391" s="622" t="n"/>
      <c r="AN391" s="622" t="n"/>
      <c r="AO391" s="622" t="n"/>
      <c r="AP391" s="622" t="n"/>
      <c r="AQ391" s="622" t="n"/>
      <c r="AR391" s="622" t="n"/>
      <c r="AS391" s="622" t="n"/>
      <c r="AT391" s="622" t="n"/>
      <c r="AU391" s="622" t="n"/>
      <c r="AV391" s="622" t="n"/>
      <c r="AW391" s="622" t="n"/>
      <c r="AX391" s="622" t="n"/>
      <c r="AY391" s="622" t="n"/>
    </row>
    <row r="392">
      <c r="A392" s="622" t="n"/>
      <c r="B392" s="622" t="n"/>
      <c r="C392" s="622" t="n"/>
      <c r="D392" s="622" t="n"/>
      <c r="E392" s="622" t="n"/>
      <c r="F392" s="622" t="n"/>
      <c r="G392" s="622" t="n"/>
      <c r="H392" s="622" t="n"/>
      <c r="I392" s="622" t="n"/>
      <c r="J392" s="622" t="n"/>
      <c r="K392" s="622" t="n"/>
      <c r="L392" s="622" t="n"/>
      <c r="M392" s="622" t="n"/>
      <c r="N392" s="622" t="n"/>
      <c r="O392" s="622" t="n"/>
      <c r="P392" s="622" t="n"/>
      <c r="Q392" s="622" t="n"/>
      <c r="R392" s="622" t="n"/>
      <c r="S392" s="622" t="n"/>
      <c r="T392" s="622" t="n"/>
      <c r="U392" s="622" t="n"/>
      <c r="V392" s="622" t="n"/>
      <c r="W392" s="622" t="n"/>
      <c r="X392" s="622" t="n"/>
      <c r="Y392" s="622" t="n"/>
      <c r="Z392" s="622" t="n"/>
      <c r="AA392" s="622" t="n"/>
      <c r="AB392" s="622" t="n"/>
      <c r="AC392" s="622" t="n"/>
      <c r="AD392" s="622" t="n"/>
      <c r="AE392" s="622" t="n"/>
      <c r="AF392" s="622" t="n"/>
      <c r="AG392" s="622" t="n"/>
      <c r="AH392" s="622" t="n"/>
      <c r="AI392" s="622" t="n"/>
      <c r="AJ392" s="622" t="n"/>
      <c r="AK392" s="622" t="n"/>
      <c r="AL392" s="622" t="n"/>
      <c r="AM392" s="622" t="n"/>
      <c r="AN392" s="622" t="n"/>
      <c r="AO392" s="622" t="n"/>
      <c r="AP392" s="622" t="n"/>
      <c r="AQ392" s="622" t="n"/>
      <c r="AR392" s="622" t="n"/>
      <c r="AS392" s="622" t="n"/>
      <c r="AT392" s="622" t="n"/>
      <c r="AU392" s="622" t="n"/>
      <c r="AV392" s="622" t="n"/>
      <c r="AW392" s="622" t="n"/>
      <c r="AX392" s="622" t="n"/>
      <c r="AY392" s="622" t="n"/>
    </row>
    <row r="393">
      <c r="A393" s="622" t="n"/>
      <c r="B393" s="622" t="n"/>
      <c r="C393" s="622" t="n"/>
      <c r="D393" s="622" t="n"/>
      <c r="E393" s="622" t="n"/>
      <c r="F393" s="622" t="n"/>
      <c r="G393" s="622" t="n"/>
      <c r="H393" s="622" t="n"/>
      <c r="I393" s="622" t="n"/>
      <c r="J393" s="622" t="n"/>
      <c r="K393" s="622" t="n"/>
      <c r="L393" s="622" t="n"/>
      <c r="M393" s="622" t="n"/>
      <c r="N393" s="622" t="n"/>
      <c r="O393" s="622" t="n"/>
      <c r="P393" s="622" t="n"/>
      <c r="Q393" s="622" t="n"/>
      <c r="R393" s="622" t="n"/>
      <c r="S393" s="622" t="n"/>
      <c r="T393" s="622" t="n"/>
      <c r="U393" s="622" t="n"/>
      <c r="V393" s="622" t="n"/>
      <c r="W393" s="622" t="n"/>
      <c r="X393" s="622" t="n"/>
      <c r="Y393" s="622" t="n"/>
      <c r="Z393" s="622" t="n"/>
      <c r="AA393" s="622" t="n"/>
      <c r="AB393" s="622" t="n"/>
      <c r="AC393" s="622" t="n"/>
      <c r="AD393" s="622" t="n"/>
      <c r="AE393" s="622" t="n"/>
      <c r="AF393" s="622" t="n"/>
      <c r="AG393" s="622" t="n"/>
      <c r="AH393" s="622" t="n"/>
      <c r="AI393" s="622" t="n"/>
      <c r="AJ393" s="622" t="n"/>
      <c r="AK393" s="622" t="n"/>
      <c r="AL393" s="622" t="n"/>
      <c r="AM393" s="622" t="n"/>
      <c r="AN393" s="622" t="n"/>
      <c r="AO393" s="622" t="n"/>
      <c r="AP393" s="622" t="n"/>
      <c r="AQ393" s="622" t="n"/>
      <c r="AR393" s="622" t="n"/>
      <c r="AS393" s="622" t="n"/>
      <c r="AT393" s="622" t="n"/>
      <c r="AU393" s="622" t="n"/>
      <c r="AV393" s="622" t="n"/>
      <c r="AW393" s="622" t="n"/>
      <c r="AX393" s="622" t="n"/>
      <c r="AY393" s="622" t="n"/>
    </row>
    <row r="394">
      <c r="A394" s="622" t="n"/>
      <c r="B394" s="622" t="n"/>
      <c r="C394" s="622" t="n"/>
      <c r="D394" s="622" t="n"/>
      <c r="E394" s="622" t="n"/>
      <c r="F394" s="622" t="n"/>
      <c r="G394" s="622" t="n"/>
      <c r="H394" s="622" t="n"/>
      <c r="I394" s="622" t="n"/>
      <c r="J394" s="622" t="n"/>
      <c r="K394" s="622" t="n"/>
      <c r="L394" s="622" t="n"/>
      <c r="M394" s="622" t="n"/>
      <c r="N394" s="622" t="n"/>
      <c r="O394" s="622" t="n"/>
      <c r="P394" s="622" t="n"/>
      <c r="Q394" s="622" t="n"/>
      <c r="R394" s="622" t="n"/>
      <c r="S394" s="622" t="n"/>
      <c r="T394" s="622" t="n"/>
      <c r="U394" s="622" t="n"/>
      <c r="V394" s="622" t="n"/>
      <c r="W394" s="622" t="n"/>
      <c r="X394" s="622" t="n"/>
      <c r="Y394" s="622" t="n"/>
      <c r="Z394" s="622" t="n"/>
      <c r="AA394" s="622" t="n"/>
      <c r="AB394" s="622" t="n"/>
      <c r="AC394" s="622" t="n"/>
      <c r="AD394" s="622" t="n"/>
      <c r="AE394" s="622" t="n"/>
      <c r="AF394" s="622" t="n"/>
      <c r="AG394" s="622" t="n"/>
      <c r="AH394" s="622" t="n"/>
      <c r="AI394" s="622" t="n"/>
      <c r="AJ394" s="622" t="n"/>
      <c r="AK394" s="622" t="n"/>
      <c r="AL394" s="622" t="n"/>
      <c r="AM394" s="622" t="n"/>
      <c r="AN394" s="622" t="n"/>
      <c r="AO394" s="622" t="n"/>
      <c r="AP394" s="622" t="n"/>
      <c r="AQ394" s="622" t="n"/>
      <c r="AR394" s="622" t="n"/>
      <c r="AS394" s="622" t="n"/>
      <c r="AT394" s="622" t="n"/>
      <c r="AU394" s="622" t="n"/>
      <c r="AV394" s="622" t="n"/>
      <c r="AW394" s="622" t="n"/>
      <c r="AX394" s="622" t="n"/>
      <c r="AY394" s="622" t="n"/>
    </row>
    <row r="395">
      <c r="A395" s="622" t="n"/>
      <c r="B395" s="622" t="n"/>
      <c r="C395" s="622" t="n"/>
      <c r="D395" s="622" t="n"/>
      <c r="E395" s="622" t="n"/>
      <c r="F395" s="622" t="n"/>
      <c r="G395" s="622" t="n"/>
      <c r="H395" s="622" t="n"/>
      <c r="I395" s="622" t="n"/>
      <c r="J395" s="622" t="n"/>
      <c r="K395" s="622" t="n"/>
      <c r="L395" s="622" t="n"/>
      <c r="M395" s="622" t="n"/>
      <c r="N395" s="622" t="n"/>
      <c r="O395" s="622" t="n"/>
      <c r="P395" s="622" t="n"/>
      <c r="Q395" s="622" t="n"/>
      <c r="R395" s="622" t="n"/>
      <c r="S395" s="622" t="n"/>
      <c r="T395" s="622" t="n"/>
      <c r="U395" s="622" t="n"/>
      <c r="V395" s="622" t="n"/>
      <c r="W395" s="622" t="n"/>
      <c r="X395" s="622" t="n"/>
      <c r="Y395" s="622" t="n"/>
      <c r="Z395" s="622" t="n"/>
      <c r="AA395" s="622" t="n"/>
      <c r="AB395" s="622" t="n"/>
      <c r="AC395" s="622" t="n"/>
      <c r="AD395" s="622" t="n"/>
      <c r="AE395" s="622" t="n"/>
      <c r="AF395" s="622" t="n"/>
      <c r="AG395" s="622" t="n"/>
      <c r="AH395" s="622" t="n"/>
      <c r="AI395" s="622" t="n"/>
      <c r="AJ395" s="622" t="n"/>
      <c r="AK395" s="622" t="n"/>
      <c r="AL395" s="622" t="n"/>
      <c r="AM395" s="622" t="n"/>
      <c r="AN395" s="622" t="n"/>
      <c r="AO395" s="622" t="n"/>
      <c r="AP395" s="622" t="n"/>
      <c r="AQ395" s="622" t="n"/>
      <c r="AR395" s="622" t="n"/>
      <c r="AS395" s="622" t="n"/>
      <c r="AT395" s="622" t="n"/>
      <c r="AU395" s="622" t="n"/>
      <c r="AV395" s="622" t="n"/>
      <c r="AW395" s="622" t="n"/>
      <c r="AX395" s="622" t="n"/>
      <c r="AY395" s="622" t="n"/>
    </row>
    <row r="396">
      <c r="A396" s="622" t="n"/>
      <c r="B396" s="622" t="n"/>
      <c r="C396" s="622" t="n"/>
      <c r="D396" s="622" t="n"/>
      <c r="E396" s="622" t="n"/>
      <c r="F396" s="622" t="n"/>
      <c r="G396" s="622" t="n"/>
      <c r="H396" s="622" t="n"/>
      <c r="I396" s="622" t="n"/>
      <c r="J396" s="622" t="n"/>
      <c r="K396" s="622" t="n"/>
      <c r="L396" s="622" t="n"/>
      <c r="M396" s="622" t="n"/>
      <c r="N396" s="622" t="n"/>
      <c r="O396" s="622" t="n"/>
      <c r="P396" s="622" t="n"/>
      <c r="Q396" s="622" t="n"/>
      <c r="R396" s="622" t="n"/>
      <c r="S396" s="622" t="n"/>
      <c r="T396" s="622" t="n"/>
      <c r="U396" s="622" t="n"/>
      <c r="V396" s="622" t="n"/>
      <c r="W396" s="622" t="n"/>
      <c r="X396" s="622" t="n"/>
      <c r="Y396" s="622" t="n"/>
      <c r="Z396" s="622" t="n"/>
      <c r="AA396" s="622" t="n"/>
      <c r="AB396" s="622" t="n"/>
      <c r="AC396" s="622" t="n"/>
      <c r="AD396" s="622" t="n"/>
      <c r="AE396" s="622" t="n"/>
      <c r="AF396" s="622" t="n"/>
      <c r="AG396" s="622" t="n"/>
      <c r="AH396" s="622" t="n"/>
      <c r="AI396" s="622" t="n"/>
      <c r="AJ396" s="622" t="n"/>
      <c r="AK396" s="622" t="n"/>
      <c r="AL396" s="622" t="n"/>
      <c r="AM396" s="622" t="n"/>
      <c r="AN396" s="622" t="n"/>
      <c r="AO396" s="622" t="n"/>
      <c r="AP396" s="622" t="n"/>
      <c r="AQ396" s="622" t="n"/>
      <c r="AR396" s="622" t="n"/>
      <c r="AS396" s="622" t="n"/>
      <c r="AT396" s="622" t="n"/>
      <c r="AU396" s="622" t="n"/>
      <c r="AV396" s="622" t="n"/>
      <c r="AW396" s="622" t="n"/>
      <c r="AX396" s="622" t="n"/>
      <c r="AY396" s="622" t="n"/>
    </row>
    <row r="397">
      <c r="A397" s="622" t="n"/>
      <c r="B397" s="622" t="n"/>
      <c r="C397" s="622" t="n"/>
      <c r="D397" s="622" t="n"/>
      <c r="E397" s="622" t="n"/>
      <c r="F397" s="622" t="n"/>
      <c r="G397" s="622" t="n"/>
      <c r="H397" s="622" t="n"/>
      <c r="I397" s="622" t="n"/>
      <c r="J397" s="622" t="n"/>
      <c r="K397" s="622" t="n"/>
      <c r="L397" s="622" t="n"/>
      <c r="M397" s="622" t="n"/>
      <c r="N397" s="622" t="n"/>
      <c r="O397" s="622" t="n"/>
      <c r="P397" s="622" t="n"/>
      <c r="Q397" s="622" t="n"/>
      <c r="R397" s="622" t="n"/>
      <c r="S397" s="622" t="n"/>
      <c r="T397" s="622" t="n"/>
      <c r="U397" s="622" t="n"/>
      <c r="V397" s="622" t="n"/>
      <c r="W397" s="622" t="n"/>
      <c r="X397" s="622" t="n"/>
      <c r="Y397" s="622" t="n"/>
      <c r="Z397" s="622" t="n"/>
      <c r="AA397" s="622" t="n"/>
      <c r="AB397" s="622" t="n"/>
      <c r="AC397" s="622" t="n"/>
      <c r="AD397" s="622" t="n"/>
      <c r="AE397" s="622" t="n"/>
      <c r="AF397" s="622" t="n"/>
      <c r="AG397" s="622" t="n"/>
      <c r="AH397" s="622" t="n"/>
      <c r="AI397" s="622" t="n"/>
      <c r="AJ397" s="622" t="n"/>
      <c r="AK397" s="622" t="n"/>
      <c r="AL397" s="622" t="n"/>
      <c r="AM397" s="622" t="n"/>
      <c r="AN397" s="622" t="n"/>
      <c r="AO397" s="622" t="n"/>
      <c r="AP397" s="622" t="n"/>
      <c r="AQ397" s="622" t="n"/>
      <c r="AR397" s="622" t="n"/>
      <c r="AS397" s="622" t="n"/>
      <c r="AT397" s="622" t="n"/>
      <c r="AU397" s="622" t="n"/>
      <c r="AV397" s="622" t="n"/>
      <c r="AW397" s="622" t="n"/>
      <c r="AX397" s="622" t="n"/>
      <c r="AY397" s="622" t="n"/>
    </row>
    <row r="398">
      <c r="A398" s="622" t="n"/>
      <c r="B398" s="622" t="n"/>
      <c r="C398" s="622" t="n"/>
      <c r="D398" s="622" t="n"/>
      <c r="E398" s="622" t="n"/>
      <c r="F398" s="622" t="n"/>
      <c r="G398" s="622" t="n"/>
      <c r="H398" s="622" t="n"/>
      <c r="I398" s="622" t="n"/>
      <c r="J398" s="622" t="n"/>
      <c r="K398" s="622" t="n"/>
      <c r="L398" s="622" t="n"/>
      <c r="M398" s="622" t="n"/>
      <c r="N398" s="622" t="n"/>
      <c r="O398" s="622" t="n"/>
      <c r="P398" s="622" t="n"/>
      <c r="Q398" s="622" t="n"/>
      <c r="R398" s="622" t="n"/>
      <c r="S398" s="622" t="n"/>
      <c r="T398" s="622" t="n"/>
      <c r="U398" s="622" t="n"/>
      <c r="V398" s="622" t="n"/>
      <c r="W398" s="622" t="n"/>
      <c r="X398" s="622" t="n"/>
      <c r="Y398" s="622" t="n"/>
      <c r="Z398" s="622" t="n"/>
      <c r="AA398" s="622" t="n"/>
      <c r="AB398" s="622" t="n"/>
      <c r="AC398" s="622" t="n"/>
      <c r="AD398" s="622" t="n"/>
      <c r="AE398" s="622" t="n"/>
      <c r="AF398" s="622" t="n"/>
      <c r="AG398" s="622" t="n"/>
      <c r="AH398" s="622" t="n"/>
      <c r="AI398" s="622" t="n"/>
      <c r="AJ398" s="622" t="n"/>
      <c r="AK398" s="622" t="n"/>
      <c r="AL398" s="622" t="n"/>
      <c r="AM398" s="622" t="n"/>
      <c r="AN398" s="622" t="n"/>
      <c r="AO398" s="622" t="n"/>
      <c r="AP398" s="622" t="n"/>
      <c r="AQ398" s="622" t="n"/>
      <c r="AR398" s="622" t="n"/>
      <c r="AS398" s="622" t="n"/>
      <c r="AT398" s="622" t="n"/>
      <c r="AU398" s="622" t="n"/>
      <c r="AV398" s="622" t="n"/>
      <c r="AW398" s="622" t="n"/>
      <c r="AX398" s="622" t="n"/>
      <c r="AY398" s="622" t="n"/>
    </row>
    <row r="399">
      <c r="A399" s="622" t="n"/>
      <c r="B399" s="622" t="n"/>
      <c r="C399" s="622" t="n"/>
      <c r="D399" s="622" t="n"/>
      <c r="E399" s="622" t="n"/>
      <c r="F399" s="622" t="n"/>
      <c r="G399" s="622" t="n"/>
      <c r="H399" s="622" t="n"/>
      <c r="I399" s="622" t="n"/>
      <c r="J399" s="622" t="n"/>
      <c r="K399" s="622" t="n"/>
      <c r="L399" s="622" t="n"/>
      <c r="M399" s="622" t="n"/>
      <c r="N399" s="622" t="n"/>
      <c r="O399" s="622" t="n"/>
      <c r="P399" s="622" t="n"/>
      <c r="Q399" s="622" t="n"/>
      <c r="R399" s="622" t="n"/>
      <c r="S399" s="622" t="n"/>
      <c r="T399" s="622" t="n"/>
      <c r="U399" s="622" t="n"/>
      <c r="V399" s="622" t="n"/>
      <c r="W399" s="622" t="n"/>
      <c r="X399" s="622" t="n"/>
      <c r="Y399" s="622" t="n"/>
      <c r="Z399" s="622" t="n"/>
      <c r="AA399" s="622" t="n"/>
      <c r="AB399" s="622" t="n"/>
      <c r="AC399" s="622" t="n"/>
      <c r="AD399" s="622" t="n"/>
      <c r="AE399" s="622" t="n"/>
      <c r="AF399" s="622" t="n"/>
      <c r="AG399" s="622" t="n"/>
      <c r="AH399" s="622" t="n"/>
      <c r="AI399" s="622" t="n"/>
      <c r="AJ399" s="622" t="n"/>
      <c r="AK399" s="622" t="n"/>
      <c r="AL399" s="622" t="n"/>
      <c r="AM399" s="622" t="n"/>
      <c r="AN399" s="622" t="n"/>
      <c r="AO399" s="622" t="n"/>
      <c r="AP399" s="622" t="n"/>
      <c r="AQ399" s="622" t="n"/>
      <c r="AR399" s="622" t="n"/>
      <c r="AS399" s="622" t="n"/>
      <c r="AT399" s="622" t="n"/>
      <c r="AU399" s="622" t="n"/>
      <c r="AV399" s="622" t="n"/>
      <c r="AW399" s="622" t="n"/>
      <c r="AX399" s="622" t="n"/>
      <c r="AY399" s="622" t="n"/>
    </row>
    <row r="400">
      <c r="A400" s="622" t="n"/>
      <c r="B400" s="622" t="n"/>
      <c r="C400" s="622" t="n"/>
      <c r="D400" s="622" t="n"/>
      <c r="E400" s="622" t="n"/>
      <c r="F400" s="622" t="n"/>
      <c r="G400" s="622" t="n"/>
      <c r="H400" s="622" t="n"/>
      <c r="I400" s="622" t="n"/>
      <c r="J400" s="622" t="n"/>
      <c r="K400" s="622" t="n"/>
      <c r="L400" s="622" t="n"/>
      <c r="M400" s="622" t="n"/>
      <c r="N400" s="622" t="n"/>
      <c r="O400" s="622" t="n"/>
      <c r="P400" s="622" t="n"/>
      <c r="Q400" s="622" t="n"/>
      <c r="R400" s="622" t="n"/>
      <c r="S400" s="622" t="n"/>
      <c r="T400" s="622" t="n"/>
      <c r="U400" s="622" t="n"/>
      <c r="V400" s="622" t="n"/>
      <c r="W400" s="622" t="n"/>
      <c r="X400" s="622" t="n"/>
      <c r="Y400" s="622" t="n"/>
      <c r="Z400" s="622" t="n"/>
      <c r="AA400" s="622" t="n"/>
      <c r="AB400" s="622" t="n"/>
      <c r="AC400" s="622" t="n"/>
      <c r="AD400" s="622" t="n"/>
      <c r="AE400" s="622" t="n"/>
      <c r="AF400" s="622" t="n"/>
      <c r="AG400" s="622" t="n"/>
      <c r="AH400" s="622" t="n"/>
      <c r="AI400" s="622" t="n"/>
      <c r="AJ400" s="622" t="n"/>
      <c r="AK400" s="622" t="n"/>
      <c r="AL400" s="622" t="n"/>
      <c r="AM400" s="622" t="n"/>
      <c r="AN400" s="622" t="n"/>
      <c r="AO400" s="622" t="n"/>
      <c r="AP400" s="622" t="n"/>
      <c r="AQ400" s="622" t="n"/>
      <c r="AR400" s="622" t="n"/>
      <c r="AS400" s="622" t="n"/>
      <c r="AT400" s="622" t="n"/>
      <c r="AU400" s="622" t="n"/>
      <c r="AV400" s="622" t="n"/>
      <c r="AW400" s="622" t="n"/>
      <c r="AX400" s="622" t="n"/>
      <c r="AY400" s="622" t="n"/>
    </row>
    <row r="401">
      <c r="A401" s="622" t="n"/>
      <c r="B401" s="622" t="n"/>
      <c r="C401" s="622" t="n"/>
      <c r="D401" s="622" t="n"/>
      <c r="E401" s="622" t="n"/>
      <c r="F401" s="622" t="n"/>
      <c r="G401" s="622" t="n"/>
      <c r="H401" s="622" t="n"/>
      <c r="I401" s="622" t="n"/>
      <c r="J401" s="622" t="n"/>
      <c r="K401" s="622" t="n"/>
      <c r="L401" s="622" t="n"/>
      <c r="M401" s="622" t="n"/>
      <c r="N401" s="622" t="n"/>
      <c r="O401" s="622" t="n"/>
      <c r="P401" s="622" t="n"/>
      <c r="Q401" s="622" t="n"/>
      <c r="R401" s="622" t="n"/>
      <c r="S401" s="622" t="n"/>
      <c r="T401" s="622" t="n"/>
      <c r="U401" s="622" t="n"/>
      <c r="V401" s="622" t="n"/>
      <c r="W401" s="622" t="n"/>
      <c r="X401" s="622" t="n"/>
      <c r="Y401" s="622" t="n"/>
      <c r="Z401" s="622" t="n"/>
      <c r="AA401" s="622" t="n"/>
      <c r="AB401" s="622" t="n"/>
      <c r="AC401" s="622" t="n"/>
      <c r="AD401" s="622" t="n"/>
      <c r="AE401" s="622" t="n"/>
      <c r="AF401" s="622" t="n"/>
      <c r="AG401" s="622" t="n"/>
      <c r="AH401" s="622" t="n"/>
      <c r="AI401" s="622" t="n"/>
      <c r="AJ401" s="622" t="n"/>
      <c r="AK401" s="622" t="n"/>
      <c r="AL401" s="622" t="n"/>
      <c r="AM401" s="622" t="n"/>
      <c r="AN401" s="622" t="n"/>
      <c r="AO401" s="622" t="n"/>
      <c r="AP401" s="622" t="n"/>
      <c r="AQ401" s="622" t="n"/>
      <c r="AR401" s="622" t="n"/>
      <c r="AS401" s="622" t="n"/>
      <c r="AT401" s="622" t="n"/>
      <c r="AU401" s="622" t="n"/>
      <c r="AV401" s="622" t="n"/>
      <c r="AW401" s="622" t="n"/>
      <c r="AX401" s="622" t="n"/>
      <c r="AY401" s="622" t="n"/>
    </row>
    <row r="402">
      <c r="A402" s="622" t="n"/>
      <c r="B402" s="622" t="n"/>
      <c r="C402" s="622" t="n"/>
      <c r="D402" s="622" t="n"/>
      <c r="E402" s="622" t="n"/>
      <c r="F402" s="622" t="n"/>
      <c r="G402" s="622" t="n"/>
      <c r="H402" s="622" t="n"/>
      <c r="I402" s="622" t="n"/>
      <c r="J402" s="622" t="n"/>
      <c r="K402" s="622" t="n"/>
      <c r="L402" s="622" t="n"/>
      <c r="M402" s="622" t="n"/>
      <c r="N402" s="622" t="n"/>
      <c r="O402" s="622" t="n"/>
      <c r="P402" s="622" t="n"/>
      <c r="Q402" s="622" t="n"/>
      <c r="R402" s="622" t="n"/>
      <c r="S402" s="622" t="n"/>
      <c r="T402" s="622" t="n"/>
      <c r="U402" s="622" t="n"/>
      <c r="V402" s="622" t="n"/>
      <c r="W402" s="622" t="n"/>
      <c r="X402" s="622" t="n"/>
      <c r="Y402" s="622" t="n"/>
      <c r="Z402" s="622" t="n"/>
      <c r="AA402" s="622" t="n"/>
      <c r="AB402" s="622" t="n"/>
      <c r="AC402" s="622" t="n"/>
      <c r="AD402" s="622" t="n"/>
      <c r="AE402" s="622" t="n"/>
      <c r="AF402" s="622" t="n"/>
      <c r="AG402" s="622" t="n"/>
      <c r="AH402" s="622" t="n"/>
      <c r="AI402" s="622" t="n"/>
      <c r="AJ402" s="622" t="n"/>
      <c r="AK402" s="622" t="n"/>
      <c r="AL402" s="622" t="n"/>
      <c r="AM402" s="622" t="n"/>
      <c r="AN402" s="622" t="n"/>
      <c r="AO402" s="622" t="n"/>
      <c r="AP402" s="622" t="n"/>
      <c r="AQ402" s="622" t="n"/>
      <c r="AR402" s="622" t="n"/>
      <c r="AS402" s="622" t="n"/>
      <c r="AT402" s="622" t="n"/>
      <c r="AU402" s="622" t="n"/>
      <c r="AV402" s="622" t="n"/>
      <c r="AW402" s="622" t="n"/>
      <c r="AX402" s="622" t="n"/>
      <c r="AY402" s="622" t="n"/>
    </row>
    <row r="403">
      <c r="A403" s="622" t="n"/>
      <c r="B403" s="622" t="n"/>
      <c r="C403" s="622" t="n"/>
      <c r="D403" s="622" t="n"/>
      <c r="E403" s="622" t="n"/>
      <c r="F403" s="622" t="n"/>
      <c r="G403" s="622" t="n"/>
      <c r="H403" s="622" t="n"/>
      <c r="I403" s="622" t="n"/>
      <c r="J403" s="622" t="n"/>
      <c r="K403" s="622" t="n"/>
      <c r="L403" s="622" t="n"/>
      <c r="M403" s="622" t="n"/>
      <c r="N403" s="622" t="n"/>
      <c r="O403" s="622" t="n"/>
      <c r="P403" s="622" t="n"/>
      <c r="Q403" s="622" t="n"/>
      <c r="R403" s="622" t="n"/>
      <c r="S403" s="622" t="n"/>
      <c r="T403" s="622" t="n"/>
      <c r="U403" s="622" t="n"/>
      <c r="V403" s="622" t="n"/>
      <c r="W403" s="622" t="n"/>
      <c r="X403" s="622" t="n"/>
      <c r="Y403" s="622" t="n"/>
      <c r="Z403" s="622" t="n"/>
      <c r="AA403" s="622" t="n"/>
      <c r="AB403" s="622" t="n"/>
      <c r="AC403" s="622" t="n"/>
      <c r="AD403" s="622" t="n"/>
      <c r="AE403" s="622" t="n"/>
      <c r="AF403" s="622" t="n"/>
      <c r="AG403" s="622" t="n"/>
      <c r="AH403" s="622" t="n"/>
      <c r="AI403" s="622" t="n"/>
      <c r="AJ403" s="622" t="n"/>
      <c r="AK403" s="622" t="n"/>
      <c r="AL403" s="622" t="n"/>
      <c r="AM403" s="622" t="n"/>
      <c r="AN403" s="622" t="n"/>
      <c r="AO403" s="622" t="n"/>
      <c r="AP403" s="622" t="n"/>
      <c r="AQ403" s="622" t="n"/>
      <c r="AR403" s="622" t="n"/>
      <c r="AS403" s="622" t="n"/>
      <c r="AT403" s="622" t="n"/>
      <c r="AU403" s="622" t="n"/>
      <c r="AV403" s="622" t="n"/>
      <c r="AW403" s="622" t="n"/>
      <c r="AX403" s="622" t="n"/>
      <c r="AY403" s="622" t="n"/>
    </row>
    <row r="404">
      <c r="A404" s="622" t="n"/>
      <c r="B404" s="622" t="n"/>
      <c r="C404" s="622" t="n"/>
      <c r="D404" s="622" t="n"/>
      <c r="E404" s="622" t="n"/>
      <c r="F404" s="622" t="n"/>
      <c r="G404" s="622" t="n"/>
      <c r="H404" s="622" t="n"/>
      <c r="I404" s="622" t="n"/>
      <c r="J404" s="622" t="n"/>
      <c r="K404" s="622" t="n"/>
      <c r="L404" s="622" t="n"/>
      <c r="M404" s="622" t="n"/>
      <c r="N404" s="622" t="n"/>
      <c r="O404" s="622" t="n"/>
      <c r="P404" s="622" t="n"/>
      <c r="Q404" s="622" t="n"/>
      <c r="R404" s="622" t="n"/>
      <c r="S404" s="622" t="n"/>
      <c r="T404" s="622" t="n"/>
      <c r="U404" s="622" t="n"/>
      <c r="V404" s="622" t="n"/>
      <c r="W404" s="622" t="n"/>
      <c r="X404" s="622" t="n"/>
      <c r="Y404" s="622" t="n"/>
      <c r="Z404" s="622" t="n"/>
      <c r="AA404" s="622" t="n"/>
      <c r="AB404" s="622" t="n"/>
      <c r="AC404" s="622" t="n"/>
      <c r="AD404" s="622" t="n"/>
      <c r="AE404" s="622" t="n"/>
      <c r="AF404" s="622" t="n"/>
      <c r="AG404" s="622" t="n"/>
      <c r="AH404" s="622" t="n"/>
      <c r="AI404" s="622" t="n"/>
      <c r="AJ404" s="622" t="n"/>
      <c r="AK404" s="622" t="n"/>
      <c r="AL404" s="622" t="n"/>
      <c r="AM404" s="622" t="n"/>
      <c r="AN404" s="622" t="n"/>
      <c r="AO404" s="622" t="n"/>
      <c r="AP404" s="622" t="n"/>
      <c r="AQ404" s="622" t="n"/>
      <c r="AR404" s="622" t="n"/>
      <c r="AS404" s="622" t="n"/>
      <c r="AT404" s="622" t="n"/>
      <c r="AU404" s="622" t="n"/>
      <c r="AV404" s="622" t="n"/>
      <c r="AW404" s="622" t="n"/>
      <c r="AX404" s="622" t="n"/>
      <c r="AY404" s="622" t="n"/>
    </row>
    <row r="405">
      <c r="A405" s="622" t="n"/>
      <c r="B405" s="622" t="n"/>
      <c r="C405" s="622" t="n"/>
      <c r="D405" s="622" t="n"/>
      <c r="E405" s="622" t="n"/>
      <c r="F405" s="622" t="n"/>
      <c r="G405" s="622" t="n"/>
      <c r="H405" s="622" t="n"/>
      <c r="I405" s="622" t="n"/>
      <c r="J405" s="622" t="n"/>
      <c r="K405" s="622" t="n"/>
      <c r="L405" s="622" t="n"/>
      <c r="M405" s="622" t="n"/>
      <c r="N405" s="622" t="n"/>
      <c r="O405" s="622" t="n"/>
      <c r="P405" s="622" t="n"/>
      <c r="Q405" s="622" t="n"/>
      <c r="R405" s="622" t="n"/>
      <c r="S405" s="622" t="n"/>
      <c r="T405" s="622" t="n"/>
      <c r="U405" s="622" t="n"/>
      <c r="V405" s="622" t="n"/>
      <c r="W405" s="622" t="n"/>
      <c r="X405" s="622" t="n"/>
      <c r="Y405" s="622" t="n"/>
      <c r="Z405" s="622" t="n"/>
      <c r="AA405" s="622" t="n"/>
      <c r="AB405" s="622" t="n"/>
      <c r="AC405" s="622" t="n"/>
      <c r="AD405" s="622" t="n"/>
      <c r="AE405" s="622" t="n"/>
      <c r="AF405" s="622" t="n"/>
      <c r="AG405" s="622" t="n"/>
      <c r="AH405" s="622" t="n"/>
      <c r="AI405" s="622" t="n"/>
      <c r="AJ405" s="622" t="n"/>
      <c r="AK405" s="622" t="n"/>
      <c r="AL405" s="622" t="n"/>
      <c r="AM405" s="622" t="n"/>
      <c r="AN405" s="622" t="n"/>
      <c r="AO405" s="622" t="n"/>
      <c r="AP405" s="622" t="n"/>
      <c r="AQ405" s="622" t="n"/>
      <c r="AR405" s="622" t="n"/>
      <c r="AS405" s="622" t="n"/>
      <c r="AT405" s="622" t="n"/>
      <c r="AU405" s="622" t="n"/>
      <c r="AV405" s="622" t="n"/>
      <c r="AW405" s="622" t="n"/>
      <c r="AX405" s="622" t="n"/>
      <c r="AY405" s="622" t="n"/>
    </row>
    <row r="406">
      <c r="A406" s="622" t="n"/>
      <c r="B406" s="622" t="n"/>
      <c r="C406" s="622" t="n"/>
      <c r="D406" s="622" t="n"/>
      <c r="E406" s="622" t="n"/>
      <c r="F406" s="622" t="n"/>
      <c r="G406" s="622" t="n"/>
      <c r="H406" s="622" t="n"/>
      <c r="I406" s="622" t="n"/>
      <c r="J406" s="622" t="n"/>
      <c r="K406" s="622" t="n"/>
      <c r="L406" s="622" t="n"/>
      <c r="M406" s="622" t="n"/>
      <c r="N406" s="622" t="n"/>
      <c r="O406" s="622" t="n"/>
      <c r="P406" s="622" t="n"/>
      <c r="Q406" s="622" t="n"/>
      <c r="R406" s="622" t="n"/>
      <c r="S406" s="622" t="n"/>
      <c r="T406" s="622" t="n"/>
      <c r="U406" s="622" t="n"/>
      <c r="V406" s="622" t="n"/>
      <c r="W406" s="622" t="n"/>
      <c r="X406" s="622" t="n"/>
      <c r="Y406" s="622" t="n"/>
      <c r="Z406" s="622" t="n"/>
      <c r="AA406" s="622" t="n"/>
      <c r="AB406" s="622" t="n"/>
      <c r="AC406" s="622" t="n"/>
      <c r="AD406" s="622" t="n"/>
      <c r="AE406" s="622" t="n"/>
      <c r="AF406" s="622" t="n"/>
      <c r="AG406" s="622" t="n"/>
      <c r="AH406" s="622" t="n"/>
      <c r="AI406" s="622" t="n"/>
      <c r="AJ406" s="622" t="n"/>
      <c r="AK406" s="622" t="n"/>
      <c r="AL406" s="622" t="n"/>
      <c r="AM406" s="622" t="n"/>
      <c r="AN406" s="622" t="n"/>
      <c r="AO406" s="622" t="n"/>
      <c r="AP406" s="622" t="n"/>
      <c r="AQ406" s="622" t="n"/>
      <c r="AR406" s="622" t="n"/>
      <c r="AS406" s="622" t="n"/>
      <c r="AT406" s="622" t="n"/>
      <c r="AU406" s="622" t="n"/>
      <c r="AV406" s="622" t="n"/>
      <c r="AW406" s="622" t="n"/>
      <c r="AX406" s="622" t="n"/>
      <c r="AY406" s="622" t="n"/>
    </row>
    <row r="407">
      <c r="A407" s="622" t="n"/>
      <c r="B407" s="622" t="n"/>
      <c r="C407" s="622" t="n"/>
      <c r="D407" s="622" t="n"/>
      <c r="E407" s="622" t="n"/>
      <c r="F407" s="622" t="n"/>
      <c r="G407" s="622" t="n"/>
      <c r="H407" s="622" t="n"/>
      <c r="I407" s="622" t="n"/>
      <c r="J407" s="622" t="n"/>
      <c r="K407" s="622" t="n"/>
      <c r="L407" s="622" t="n"/>
      <c r="M407" s="622" t="n"/>
      <c r="N407" s="622" t="n"/>
      <c r="O407" s="622" t="n"/>
      <c r="P407" s="622" t="n"/>
      <c r="Q407" s="622" t="n"/>
      <c r="R407" s="622" t="n"/>
      <c r="S407" s="622" t="n"/>
      <c r="T407" s="622" t="n"/>
      <c r="U407" s="622" t="n"/>
      <c r="V407" s="622" t="n"/>
      <c r="W407" s="622" t="n"/>
      <c r="X407" s="622" t="n"/>
      <c r="Y407" s="622" t="n"/>
      <c r="Z407" s="622" t="n"/>
      <c r="AA407" s="622" t="n"/>
      <c r="AB407" s="622" t="n"/>
      <c r="AC407" s="622" t="n"/>
      <c r="AD407" s="622" t="n"/>
      <c r="AE407" s="622" t="n"/>
      <c r="AF407" s="622" t="n"/>
      <c r="AG407" s="622" t="n"/>
      <c r="AH407" s="622" t="n"/>
      <c r="AI407" s="622" t="n"/>
      <c r="AJ407" s="622" t="n"/>
      <c r="AK407" s="622" t="n"/>
      <c r="AL407" s="622" t="n"/>
      <c r="AM407" s="622" t="n"/>
      <c r="AN407" s="622" t="n"/>
      <c r="AO407" s="622" t="n"/>
      <c r="AP407" s="622" t="n"/>
      <c r="AQ407" s="622" t="n"/>
      <c r="AR407" s="622" t="n"/>
      <c r="AS407" s="622" t="n"/>
      <c r="AT407" s="622" t="n"/>
      <c r="AU407" s="622" t="n"/>
      <c r="AV407" s="622" t="n"/>
      <c r="AW407" s="622" t="n"/>
      <c r="AX407" s="622" t="n"/>
      <c r="AY407" s="622" t="n"/>
    </row>
    <row r="408">
      <c r="A408" s="622" t="n"/>
      <c r="B408" s="622" t="n"/>
      <c r="C408" s="622" t="n"/>
      <c r="D408" s="622" t="n"/>
      <c r="E408" s="622" t="n"/>
      <c r="F408" s="622" t="n"/>
      <c r="G408" s="622" t="n"/>
      <c r="H408" s="622" t="n"/>
      <c r="I408" s="622" t="n"/>
      <c r="J408" s="622" t="n"/>
      <c r="K408" s="622" t="n"/>
      <c r="L408" s="622" t="n"/>
      <c r="M408" s="622" t="n"/>
      <c r="N408" s="622" t="n"/>
      <c r="O408" s="622" t="n"/>
      <c r="P408" s="622" t="n"/>
      <c r="Q408" s="622" t="n"/>
      <c r="R408" s="622" t="n"/>
      <c r="S408" s="622" t="n"/>
      <c r="T408" s="622" t="n"/>
      <c r="U408" s="622" t="n"/>
      <c r="V408" s="622" t="n"/>
      <c r="W408" s="622" t="n"/>
      <c r="X408" s="622" t="n"/>
      <c r="Y408" s="622" t="n"/>
      <c r="Z408" s="622" t="n"/>
      <c r="AA408" s="622" t="n"/>
      <c r="AB408" s="622" t="n"/>
      <c r="AC408" s="622" t="n"/>
      <c r="AD408" s="622" t="n"/>
      <c r="AE408" s="622" t="n"/>
      <c r="AF408" s="622" t="n"/>
      <c r="AG408" s="622" t="n"/>
      <c r="AH408" s="622" t="n"/>
      <c r="AI408" s="622" t="n"/>
      <c r="AJ408" s="622" t="n"/>
      <c r="AK408" s="622" t="n"/>
      <c r="AL408" s="622" t="n"/>
      <c r="AM408" s="622" t="n"/>
      <c r="AN408" s="622" t="n"/>
      <c r="AO408" s="622" t="n"/>
      <c r="AP408" s="622" t="n"/>
      <c r="AQ408" s="622" t="n"/>
      <c r="AR408" s="622" t="n"/>
      <c r="AS408" s="622" t="n"/>
      <c r="AT408" s="622" t="n"/>
      <c r="AU408" s="622" t="n"/>
      <c r="AV408" s="622" t="n"/>
      <c r="AW408" s="622" t="n"/>
      <c r="AX408" s="622" t="n"/>
      <c r="AY408" s="622" t="n"/>
    </row>
    <row r="409">
      <c r="A409" s="622" t="n"/>
      <c r="B409" s="622" t="n"/>
      <c r="C409" s="622" t="n"/>
      <c r="D409" s="622" t="n"/>
      <c r="E409" s="622" t="n"/>
      <c r="F409" s="622" t="n"/>
      <c r="G409" s="622" t="n"/>
      <c r="H409" s="622" t="n"/>
      <c r="I409" s="622" t="n"/>
      <c r="J409" s="622" t="n"/>
      <c r="K409" s="622" t="n"/>
      <c r="L409" s="622" t="n"/>
      <c r="M409" s="622" t="n"/>
      <c r="N409" s="622" t="n"/>
      <c r="O409" s="622" t="n"/>
      <c r="P409" s="622" t="n"/>
      <c r="Q409" s="622" t="n"/>
      <c r="R409" s="622" t="n"/>
      <c r="S409" s="622" t="n"/>
      <c r="T409" s="622" t="n"/>
      <c r="U409" s="622" t="n"/>
      <c r="V409" s="622" t="n"/>
      <c r="W409" s="622" t="n"/>
      <c r="X409" s="622" t="n"/>
      <c r="Y409" s="622" t="n"/>
      <c r="Z409" s="622" t="n"/>
      <c r="AA409" s="622" t="n"/>
      <c r="AB409" s="622" t="n"/>
      <c r="AC409" s="622" t="n"/>
      <c r="AD409" s="622" t="n"/>
      <c r="AE409" s="622" t="n"/>
      <c r="AF409" s="622" t="n"/>
      <c r="AG409" s="622" t="n"/>
      <c r="AH409" s="622" t="n"/>
      <c r="AI409" s="622" t="n"/>
      <c r="AJ409" s="622" t="n"/>
      <c r="AK409" s="622" t="n"/>
      <c r="AL409" s="622" t="n"/>
      <c r="AM409" s="622" t="n"/>
      <c r="AN409" s="622" t="n"/>
      <c r="AO409" s="622" t="n"/>
      <c r="AP409" s="622" t="n"/>
      <c r="AQ409" s="622" t="n"/>
      <c r="AR409" s="622" t="n"/>
      <c r="AS409" s="622" t="n"/>
      <c r="AT409" s="622" t="n"/>
      <c r="AU409" s="622" t="n"/>
      <c r="AV409" s="622" t="n"/>
      <c r="AW409" s="622" t="n"/>
      <c r="AX409" s="622" t="n"/>
      <c r="AY409" s="622" t="n"/>
    </row>
    <row r="410">
      <c r="A410" s="622" t="n"/>
      <c r="B410" s="622" t="n"/>
      <c r="C410" s="622" t="n"/>
      <c r="D410" s="622" t="n"/>
      <c r="E410" s="622" t="n"/>
      <c r="F410" s="622" t="n"/>
      <c r="G410" s="622" t="n"/>
      <c r="H410" s="622" t="n"/>
      <c r="I410" s="622" t="n"/>
      <c r="J410" s="622" t="n"/>
      <c r="K410" s="622" t="n"/>
      <c r="L410" s="622" t="n"/>
      <c r="M410" s="622" t="n"/>
      <c r="N410" s="622" t="n"/>
      <c r="O410" s="622" t="n"/>
      <c r="P410" s="622" t="n"/>
      <c r="Q410" s="622" t="n"/>
      <c r="R410" s="622" t="n"/>
      <c r="S410" s="622" t="n"/>
      <c r="T410" s="622" t="n"/>
      <c r="U410" s="622" t="n"/>
      <c r="V410" s="622" t="n"/>
      <c r="W410" s="622" t="n"/>
      <c r="X410" s="622" t="n"/>
      <c r="Y410" s="622" t="n"/>
      <c r="Z410" s="622" t="n"/>
      <c r="AA410" s="622" t="n"/>
      <c r="AB410" s="622" t="n"/>
      <c r="AC410" s="622" t="n"/>
      <c r="AD410" s="622" t="n"/>
      <c r="AE410" s="622" t="n"/>
      <c r="AF410" s="622" t="n"/>
      <c r="AG410" s="622" t="n"/>
      <c r="AH410" s="622" t="n"/>
      <c r="AI410" s="622" t="n"/>
      <c r="AJ410" s="622" t="n"/>
      <c r="AK410" s="622" t="n"/>
      <c r="AL410" s="622" t="n"/>
      <c r="AM410" s="622" t="n"/>
      <c r="AN410" s="622" t="n"/>
      <c r="AO410" s="622" t="n"/>
      <c r="AP410" s="622" t="n"/>
      <c r="AQ410" s="622" t="n"/>
      <c r="AR410" s="622" t="n"/>
      <c r="AS410" s="622" t="n"/>
      <c r="AT410" s="622" t="n"/>
      <c r="AU410" s="622" t="n"/>
      <c r="AV410" s="622" t="n"/>
      <c r="AW410" s="622" t="n"/>
      <c r="AX410" s="622" t="n"/>
      <c r="AY410" s="622" t="n"/>
    </row>
    <row r="411">
      <c r="A411" s="622" t="n"/>
      <c r="B411" s="622" t="n"/>
      <c r="C411" s="622" t="n"/>
      <c r="D411" s="622" t="n"/>
      <c r="E411" s="622" t="n"/>
      <c r="F411" s="622" t="n"/>
      <c r="G411" s="622" t="n"/>
      <c r="H411" s="622" t="n"/>
      <c r="I411" s="622" t="n"/>
      <c r="J411" s="622" t="n"/>
      <c r="K411" s="622" t="n"/>
      <c r="L411" s="622" t="n"/>
      <c r="M411" s="622" t="n"/>
      <c r="N411" s="622" t="n"/>
      <c r="O411" s="622" t="n"/>
      <c r="P411" s="622" t="n"/>
      <c r="Q411" s="622" t="n"/>
      <c r="R411" s="622" t="n"/>
      <c r="S411" s="622" t="n"/>
      <c r="T411" s="622" t="n"/>
      <c r="U411" s="622" t="n"/>
      <c r="V411" s="622" t="n"/>
      <c r="W411" s="622" t="n"/>
      <c r="X411" s="622" t="n"/>
      <c r="Y411" s="622" t="n"/>
      <c r="Z411" s="622" t="n"/>
      <c r="AA411" s="622" t="n"/>
      <c r="AB411" s="622" t="n"/>
      <c r="AC411" s="622" t="n"/>
      <c r="AD411" s="622" t="n"/>
      <c r="AE411" s="622" t="n"/>
      <c r="AF411" s="622" t="n"/>
      <c r="AG411" s="622" t="n"/>
      <c r="AH411" s="622" t="n"/>
      <c r="AI411" s="622" t="n"/>
      <c r="AJ411" s="622" t="n"/>
      <c r="AK411" s="622" t="n"/>
      <c r="AL411" s="622" t="n"/>
      <c r="AM411" s="622" t="n"/>
      <c r="AN411" s="622" t="n"/>
      <c r="AO411" s="622" t="n"/>
      <c r="AP411" s="622" t="n"/>
      <c r="AQ411" s="622" t="n"/>
      <c r="AR411" s="622" t="n"/>
      <c r="AS411" s="622" t="n"/>
      <c r="AT411" s="622" t="n"/>
      <c r="AU411" s="622" t="n"/>
      <c r="AV411" s="622" t="n"/>
      <c r="AW411" s="622" t="n"/>
      <c r="AX411" s="622" t="n"/>
      <c r="AY411" s="622" t="n"/>
    </row>
    <row r="412">
      <c r="A412" s="622" t="n"/>
      <c r="B412" s="622" t="n"/>
      <c r="C412" s="622" t="n"/>
      <c r="D412" s="622" t="n"/>
      <c r="E412" s="622" t="n"/>
      <c r="F412" s="622" t="n"/>
      <c r="G412" s="622" t="n"/>
      <c r="H412" s="622" t="n"/>
      <c r="I412" s="622" t="n"/>
      <c r="J412" s="622" t="n"/>
      <c r="K412" s="622" t="n"/>
      <c r="L412" s="622" t="n"/>
      <c r="M412" s="622" t="n"/>
      <c r="N412" s="622" t="n"/>
      <c r="O412" s="622" t="n"/>
      <c r="P412" s="622" t="n"/>
      <c r="Q412" s="622" t="n"/>
      <c r="R412" s="622" t="n"/>
      <c r="S412" s="622" t="n"/>
      <c r="T412" s="622" t="n"/>
      <c r="U412" s="622" t="n"/>
      <c r="V412" s="622" t="n"/>
      <c r="W412" s="622" t="n"/>
      <c r="X412" s="622" t="n"/>
      <c r="Y412" s="622" t="n"/>
      <c r="Z412" s="622" t="n"/>
      <c r="AA412" s="622" t="n"/>
      <c r="AB412" s="622" t="n"/>
      <c r="AC412" s="622" t="n"/>
      <c r="AD412" s="622" t="n"/>
      <c r="AE412" s="622" t="n"/>
      <c r="AF412" s="622" t="n"/>
      <c r="AG412" s="622" t="n"/>
      <c r="AH412" s="622" t="n"/>
      <c r="AI412" s="622" t="n"/>
      <c r="AJ412" s="622" t="n"/>
      <c r="AK412" s="622" t="n"/>
      <c r="AL412" s="622" t="n"/>
      <c r="AM412" s="622" t="n"/>
      <c r="AN412" s="622" t="n"/>
      <c r="AO412" s="622" t="n"/>
      <c r="AP412" s="622" t="n"/>
      <c r="AQ412" s="622" t="n"/>
      <c r="AR412" s="622" t="n"/>
      <c r="AS412" s="622" t="n"/>
      <c r="AT412" s="622" t="n"/>
      <c r="AU412" s="622" t="n"/>
      <c r="AV412" s="622" t="n"/>
      <c r="AW412" s="622" t="n"/>
      <c r="AX412" s="622" t="n"/>
      <c r="AY412" s="622" t="n"/>
    </row>
    <row r="413">
      <c r="A413" s="622" t="n"/>
      <c r="B413" s="622" t="n"/>
      <c r="C413" s="622" t="n"/>
      <c r="D413" s="622" t="n"/>
      <c r="E413" s="622" t="n"/>
      <c r="F413" s="622" t="n"/>
      <c r="G413" s="622" t="n"/>
      <c r="H413" s="622" t="n"/>
      <c r="I413" s="622" t="n"/>
      <c r="J413" s="622" t="n"/>
      <c r="K413" s="622" t="n"/>
      <c r="L413" s="622" t="n"/>
      <c r="M413" s="622" t="n"/>
      <c r="N413" s="622" t="n"/>
      <c r="O413" s="622" t="n"/>
      <c r="P413" s="622" t="n"/>
      <c r="Q413" s="622" t="n"/>
      <c r="R413" s="622" t="n"/>
      <c r="S413" s="622" t="n"/>
      <c r="T413" s="622" t="n"/>
      <c r="U413" s="622" t="n"/>
      <c r="V413" s="622" t="n"/>
      <c r="W413" s="622" t="n"/>
      <c r="X413" s="622" t="n"/>
      <c r="Y413" s="622" t="n"/>
      <c r="Z413" s="622" t="n"/>
      <c r="AA413" s="622" t="n"/>
      <c r="AB413" s="622" t="n"/>
      <c r="AC413" s="622" t="n"/>
      <c r="AD413" s="622" t="n"/>
      <c r="AE413" s="622" t="n"/>
      <c r="AF413" s="622" t="n"/>
      <c r="AG413" s="622" t="n"/>
      <c r="AH413" s="622" t="n"/>
      <c r="AI413" s="622" t="n"/>
      <c r="AJ413" s="622" t="n"/>
      <c r="AK413" s="622" t="n"/>
      <c r="AL413" s="622" t="n"/>
      <c r="AM413" s="622" t="n"/>
      <c r="AN413" s="622" t="n"/>
      <c r="AO413" s="622" t="n"/>
      <c r="AP413" s="622" t="n"/>
      <c r="AQ413" s="622" t="n"/>
      <c r="AR413" s="622" t="n"/>
      <c r="AS413" s="622" t="n"/>
      <c r="AT413" s="622" t="n"/>
      <c r="AU413" s="622" t="n"/>
      <c r="AV413" s="622" t="n"/>
      <c r="AW413" s="622" t="n"/>
      <c r="AX413" s="622" t="n"/>
      <c r="AY413" s="622" t="n"/>
    </row>
    <row r="414">
      <c r="A414" s="622" t="n"/>
      <c r="B414" s="622" t="n"/>
      <c r="C414" s="622" t="n"/>
      <c r="D414" s="622" t="n"/>
      <c r="E414" s="622" t="n"/>
      <c r="F414" s="622" t="n"/>
      <c r="G414" s="622" t="n"/>
      <c r="H414" s="622" t="n"/>
      <c r="I414" s="622" t="n"/>
      <c r="J414" s="622" t="n"/>
      <c r="K414" s="622" t="n"/>
      <c r="L414" s="622" t="n"/>
      <c r="M414" s="622" t="n"/>
      <c r="N414" s="622" t="n"/>
      <c r="O414" s="622" t="n"/>
      <c r="P414" s="622" t="n"/>
      <c r="Q414" s="622" t="n"/>
      <c r="R414" s="622" t="n"/>
      <c r="S414" s="622" t="n"/>
      <c r="T414" s="622" t="n"/>
      <c r="U414" s="622" t="n"/>
      <c r="V414" s="622" t="n"/>
      <c r="W414" s="622" t="n"/>
      <c r="X414" s="622" t="n"/>
      <c r="Y414" s="622" t="n"/>
      <c r="Z414" s="622" t="n"/>
      <c r="AA414" s="622" t="n"/>
      <c r="AB414" s="622" t="n"/>
      <c r="AC414" s="622" t="n"/>
      <c r="AD414" s="622" t="n"/>
      <c r="AE414" s="622" t="n"/>
      <c r="AF414" s="622" t="n"/>
      <c r="AG414" s="622" t="n"/>
      <c r="AH414" s="622" t="n"/>
      <c r="AI414" s="622" t="n"/>
      <c r="AJ414" s="622" t="n"/>
      <c r="AK414" s="622" t="n"/>
      <c r="AL414" s="622" t="n"/>
      <c r="AM414" s="622" t="n"/>
      <c r="AN414" s="622" t="n"/>
      <c r="AO414" s="622" t="n"/>
      <c r="AP414" s="622" t="n"/>
      <c r="AQ414" s="622" t="n"/>
      <c r="AR414" s="622" t="n"/>
      <c r="AS414" s="622" t="n"/>
      <c r="AT414" s="622" t="n"/>
      <c r="AU414" s="622" t="n"/>
      <c r="AV414" s="622" t="n"/>
      <c r="AW414" s="622" t="n"/>
      <c r="AX414" s="622" t="n"/>
      <c r="AY414" s="622" t="n"/>
    </row>
    <row r="415">
      <c r="A415" s="622" t="n"/>
      <c r="B415" s="622" t="n"/>
      <c r="C415" s="622" t="n"/>
      <c r="D415" s="622" t="n"/>
      <c r="E415" s="622" t="n"/>
      <c r="F415" s="622" t="n"/>
      <c r="G415" s="622" t="n"/>
      <c r="H415" s="622" t="n"/>
      <c r="I415" s="622" t="n"/>
      <c r="J415" s="622" t="n"/>
      <c r="K415" s="622" t="n"/>
      <c r="L415" s="622" t="n"/>
      <c r="M415" s="622" t="n"/>
      <c r="N415" s="622" t="n"/>
      <c r="O415" s="622" t="n"/>
      <c r="P415" s="622" t="n"/>
      <c r="Q415" s="622" t="n"/>
      <c r="R415" s="622" t="n"/>
      <c r="S415" s="622" t="n"/>
      <c r="T415" s="622" t="n"/>
      <c r="U415" s="622" t="n"/>
      <c r="V415" s="622" t="n"/>
      <c r="W415" s="622" t="n"/>
      <c r="X415" s="622" t="n"/>
      <c r="Y415" s="622" t="n"/>
      <c r="Z415" s="622" t="n"/>
      <c r="AA415" s="622" t="n"/>
      <c r="AB415" s="622" t="n"/>
      <c r="AC415" s="622" t="n"/>
      <c r="AD415" s="622" t="n"/>
      <c r="AE415" s="622" t="n"/>
      <c r="AF415" s="622" t="n"/>
      <c r="AG415" s="622" t="n"/>
      <c r="AH415" s="622" t="n"/>
      <c r="AI415" s="622" t="n"/>
      <c r="AJ415" s="622" t="n"/>
      <c r="AK415" s="622" t="n"/>
      <c r="AL415" s="622" t="n"/>
      <c r="AM415" s="622" t="n"/>
      <c r="AN415" s="622" t="n"/>
      <c r="AO415" s="622" t="n"/>
      <c r="AP415" s="622" t="n"/>
      <c r="AQ415" s="622" t="n"/>
      <c r="AR415" s="622" t="n"/>
      <c r="AS415" s="622" t="n"/>
      <c r="AT415" s="622" t="n"/>
      <c r="AU415" s="622" t="n"/>
      <c r="AV415" s="622" t="n"/>
      <c r="AW415" s="622" t="n"/>
      <c r="AX415" s="622" t="n"/>
      <c r="AY415" s="622" t="n"/>
    </row>
    <row r="416">
      <c r="A416" s="622" t="n"/>
      <c r="B416" s="622" t="n"/>
      <c r="C416" s="622" t="n"/>
      <c r="D416" s="622" t="n"/>
      <c r="E416" s="622" t="n"/>
      <c r="F416" s="622" t="n"/>
      <c r="G416" s="622" t="n"/>
      <c r="H416" s="622" t="n"/>
      <c r="I416" s="622" t="n"/>
      <c r="J416" s="622" t="n"/>
      <c r="K416" s="622" t="n"/>
      <c r="L416" s="622" t="n"/>
      <c r="M416" s="622" t="n"/>
      <c r="N416" s="622" t="n"/>
      <c r="O416" s="622" t="n"/>
      <c r="P416" s="622" t="n"/>
      <c r="Q416" s="622" t="n"/>
      <c r="R416" s="622" t="n"/>
      <c r="S416" s="622" t="n"/>
      <c r="T416" s="622" t="n"/>
      <c r="U416" s="622" t="n"/>
      <c r="V416" s="622" t="n"/>
      <c r="W416" s="622" t="n"/>
      <c r="X416" s="622" t="n"/>
      <c r="Y416" s="622" t="n"/>
      <c r="Z416" s="622" t="n"/>
      <c r="AA416" s="622" t="n"/>
      <c r="AB416" s="622" t="n"/>
      <c r="AC416" s="622" t="n"/>
      <c r="AD416" s="622" t="n"/>
      <c r="AE416" s="622" t="n"/>
      <c r="AF416" s="622" t="n"/>
      <c r="AG416" s="622" t="n"/>
      <c r="AH416" s="622" t="n"/>
      <c r="AI416" s="622" t="n"/>
      <c r="AJ416" s="622" t="n"/>
      <c r="AK416" s="622" t="n"/>
      <c r="AL416" s="622" t="n"/>
      <c r="AM416" s="622" t="n"/>
      <c r="AN416" s="622" t="n"/>
      <c r="AO416" s="622" t="n"/>
      <c r="AP416" s="622" t="n"/>
      <c r="AQ416" s="622" t="n"/>
      <c r="AR416" s="622" t="n"/>
      <c r="AS416" s="622" t="n"/>
      <c r="AT416" s="622" t="n"/>
      <c r="AU416" s="622" t="n"/>
      <c r="AV416" s="622" t="n"/>
      <c r="AW416" s="622" t="n"/>
      <c r="AX416" s="622" t="n"/>
      <c r="AY416" s="622" t="n"/>
    </row>
    <row r="417">
      <c r="A417" s="622" t="n"/>
      <c r="B417" s="622" t="n"/>
      <c r="C417" s="622" t="n"/>
      <c r="D417" s="622" t="n"/>
      <c r="E417" s="622" t="n"/>
      <c r="F417" s="622" t="n"/>
      <c r="G417" s="622" t="n"/>
      <c r="H417" s="622" t="n"/>
      <c r="I417" s="622" t="n"/>
      <c r="J417" s="622" t="n"/>
      <c r="K417" s="622" t="n"/>
      <c r="L417" s="622" t="n"/>
      <c r="M417" s="622" t="n"/>
      <c r="N417" s="622" t="n"/>
      <c r="O417" s="622" t="n"/>
      <c r="P417" s="622" t="n"/>
      <c r="Q417" s="622" t="n"/>
      <c r="R417" s="622" t="n"/>
      <c r="S417" s="622" t="n"/>
      <c r="T417" s="622" t="n"/>
      <c r="U417" s="622" t="n"/>
      <c r="V417" s="622" t="n"/>
      <c r="W417" s="622" t="n"/>
      <c r="X417" s="622" t="n"/>
      <c r="Y417" s="622" t="n"/>
      <c r="Z417" s="622" t="n"/>
      <c r="AA417" s="622" t="n"/>
      <c r="AB417" s="622" t="n"/>
      <c r="AC417" s="622" t="n"/>
      <c r="AD417" s="622" t="n"/>
      <c r="AE417" s="622" t="n"/>
      <c r="AF417" s="622" t="n"/>
      <c r="AG417" s="622" t="n"/>
      <c r="AH417" s="622" t="n"/>
      <c r="AI417" s="622" t="n"/>
      <c r="AJ417" s="622" t="n"/>
      <c r="AK417" s="622" t="n"/>
      <c r="AL417" s="622" t="n"/>
      <c r="AM417" s="622" t="n"/>
      <c r="AN417" s="622" t="n"/>
      <c r="AO417" s="622" t="n"/>
      <c r="AP417" s="622" t="n"/>
      <c r="AQ417" s="622" t="n"/>
      <c r="AR417" s="622" t="n"/>
      <c r="AS417" s="622" t="n"/>
      <c r="AT417" s="622" t="n"/>
      <c r="AU417" s="622" t="n"/>
      <c r="AV417" s="622" t="n"/>
      <c r="AW417" s="622" t="n"/>
      <c r="AX417" s="622" t="n"/>
      <c r="AY417" s="622" t="n"/>
    </row>
    <row r="418">
      <c r="A418" s="622" t="n"/>
      <c r="B418" s="622" t="n"/>
      <c r="C418" s="622" t="n"/>
      <c r="D418" s="622" t="n"/>
      <c r="E418" s="622" t="n"/>
      <c r="F418" s="622" t="n"/>
      <c r="G418" s="622" t="n"/>
      <c r="H418" s="622" t="n"/>
      <c r="I418" s="622" t="n"/>
      <c r="J418" s="622" t="n"/>
      <c r="K418" s="622" t="n"/>
      <c r="L418" s="622" t="n"/>
      <c r="M418" s="622" t="n"/>
      <c r="N418" s="622" t="n"/>
      <c r="O418" s="622" t="n"/>
      <c r="P418" s="622" t="n"/>
      <c r="Q418" s="622" t="n"/>
      <c r="R418" s="622" t="n"/>
      <c r="S418" s="622" t="n"/>
      <c r="T418" s="622" t="n"/>
      <c r="U418" s="622" t="n"/>
      <c r="V418" s="622" t="n"/>
      <c r="W418" s="622" t="n"/>
      <c r="X418" s="622" t="n"/>
      <c r="Y418" s="622" t="n"/>
      <c r="Z418" s="622" t="n"/>
      <c r="AA418" s="622" t="n"/>
      <c r="AB418" s="622" t="n"/>
      <c r="AC418" s="622" t="n"/>
      <c r="AD418" s="622" t="n"/>
      <c r="AE418" s="622" t="n"/>
      <c r="AF418" s="622" t="n"/>
      <c r="AG418" s="622" t="n"/>
      <c r="AH418" s="622" t="n"/>
      <c r="AI418" s="622" t="n"/>
      <c r="AJ418" s="622" t="n"/>
      <c r="AK418" s="622" t="n"/>
      <c r="AL418" s="622" t="n"/>
      <c r="AM418" s="622" t="n"/>
      <c r="AN418" s="622" t="n"/>
      <c r="AO418" s="622" t="n"/>
      <c r="AP418" s="622" t="n"/>
      <c r="AQ418" s="622" t="n"/>
      <c r="AR418" s="622" t="n"/>
      <c r="AS418" s="622" t="n"/>
      <c r="AT418" s="622" t="n"/>
      <c r="AU418" s="622" t="n"/>
      <c r="AV418" s="622" t="n"/>
      <c r="AW418" s="622" t="n"/>
      <c r="AX418" s="622" t="n"/>
      <c r="AY418" s="622" t="n"/>
    </row>
    <row r="419">
      <c r="A419" s="622" t="n"/>
      <c r="B419" s="622" t="n"/>
      <c r="C419" s="622" t="n"/>
      <c r="D419" s="622" t="n"/>
      <c r="E419" s="622" t="n"/>
      <c r="F419" s="622" t="n"/>
      <c r="G419" s="622" t="n"/>
      <c r="H419" s="622" t="n"/>
      <c r="I419" s="622" t="n"/>
      <c r="J419" s="622" t="n"/>
      <c r="K419" s="622" t="n"/>
      <c r="L419" s="622" t="n"/>
      <c r="M419" s="622" t="n"/>
      <c r="N419" s="622" t="n"/>
      <c r="O419" s="622" t="n"/>
      <c r="P419" s="622" t="n"/>
      <c r="Q419" s="622" t="n"/>
      <c r="R419" s="622" t="n"/>
      <c r="S419" s="622" t="n"/>
      <c r="T419" s="622" t="n"/>
      <c r="U419" s="622" t="n"/>
      <c r="V419" s="622" t="n"/>
      <c r="W419" s="622" t="n"/>
      <c r="X419" s="622" t="n"/>
      <c r="Y419" s="622" t="n"/>
      <c r="Z419" s="622" t="n"/>
      <c r="AA419" s="622" t="n"/>
      <c r="AB419" s="622" t="n"/>
      <c r="AC419" s="622" t="n"/>
      <c r="AD419" s="622" t="n"/>
      <c r="AE419" s="622" t="n"/>
      <c r="AF419" s="622" t="n"/>
      <c r="AG419" s="622" t="n"/>
      <c r="AH419" s="622" t="n"/>
      <c r="AI419" s="622" t="n"/>
      <c r="AJ419" s="622" t="n"/>
      <c r="AK419" s="622" t="n"/>
      <c r="AL419" s="622" t="n"/>
      <c r="AM419" s="622" t="n"/>
      <c r="AN419" s="622" t="n"/>
      <c r="AO419" s="622" t="n"/>
      <c r="AP419" s="622" t="n"/>
      <c r="AQ419" s="622" t="n"/>
      <c r="AR419" s="622" t="n"/>
      <c r="AS419" s="622" t="n"/>
      <c r="AT419" s="622" t="n"/>
      <c r="AU419" s="622" t="n"/>
      <c r="AV419" s="622" t="n"/>
      <c r="AW419" s="622" t="n"/>
      <c r="AX419" s="622" t="n"/>
      <c r="AY419" s="622" t="n"/>
    </row>
    <row r="420">
      <c r="A420" s="622" t="n"/>
      <c r="B420" s="622" t="n"/>
      <c r="C420" s="622" t="n"/>
      <c r="D420" s="622" t="n"/>
      <c r="E420" s="622" t="n"/>
      <c r="F420" s="622" t="n"/>
      <c r="G420" s="622" t="n"/>
      <c r="H420" s="622" t="n"/>
      <c r="I420" s="622" t="n"/>
      <c r="J420" s="622" t="n"/>
      <c r="K420" s="622" t="n"/>
      <c r="L420" s="622" t="n"/>
      <c r="M420" s="622" t="n"/>
      <c r="N420" s="622" t="n"/>
      <c r="O420" s="622" t="n"/>
      <c r="P420" s="622" t="n"/>
      <c r="Q420" s="622" t="n"/>
      <c r="R420" s="622" t="n"/>
      <c r="S420" s="622" t="n"/>
      <c r="T420" s="622" t="n"/>
      <c r="U420" s="622" t="n"/>
      <c r="V420" s="622" t="n"/>
      <c r="W420" s="622" t="n"/>
      <c r="X420" s="622" t="n"/>
      <c r="Y420" s="622" t="n"/>
      <c r="Z420" s="622" t="n"/>
      <c r="AA420" s="622" t="n"/>
      <c r="AB420" s="622" t="n"/>
      <c r="AC420" s="622" t="n"/>
      <c r="AD420" s="622" t="n"/>
      <c r="AE420" s="622" t="n"/>
      <c r="AF420" s="622" t="n"/>
      <c r="AG420" s="622" t="n"/>
      <c r="AH420" s="622" t="n"/>
      <c r="AI420" s="622" t="n"/>
      <c r="AJ420" s="622" t="n"/>
      <c r="AK420" s="622" t="n"/>
      <c r="AL420" s="622" t="n"/>
      <c r="AM420" s="622" t="n"/>
      <c r="AN420" s="622" t="n"/>
      <c r="AO420" s="622" t="n"/>
      <c r="AP420" s="622" t="n"/>
      <c r="AQ420" s="622" t="n"/>
      <c r="AR420" s="622" t="n"/>
      <c r="AS420" s="622" t="n"/>
      <c r="AT420" s="622" t="n"/>
      <c r="AU420" s="622" t="n"/>
      <c r="AV420" s="622" t="n"/>
      <c r="AW420" s="622" t="n"/>
      <c r="AX420" s="622" t="n"/>
      <c r="AY420" s="622" t="n"/>
    </row>
    <row r="421">
      <c r="A421" s="622" t="n"/>
      <c r="B421" s="622" t="n"/>
      <c r="C421" s="622" t="n"/>
      <c r="D421" s="622" t="n"/>
      <c r="E421" s="622" t="n"/>
      <c r="F421" s="622" t="n"/>
      <c r="G421" s="622" t="n"/>
      <c r="H421" s="622" t="n"/>
      <c r="I421" s="622" t="n"/>
      <c r="J421" s="622" t="n"/>
      <c r="K421" s="622" t="n"/>
      <c r="L421" s="622" t="n"/>
      <c r="M421" s="622" t="n"/>
      <c r="N421" s="622" t="n"/>
      <c r="O421" s="622" t="n"/>
      <c r="P421" s="622" t="n"/>
      <c r="Q421" s="622" t="n"/>
      <c r="R421" s="622" t="n"/>
      <c r="S421" s="622" t="n"/>
      <c r="T421" s="622" t="n"/>
      <c r="U421" s="622" t="n"/>
      <c r="V421" s="622" t="n"/>
      <c r="W421" s="622" t="n"/>
      <c r="X421" s="622" t="n"/>
      <c r="Y421" s="622" t="n"/>
      <c r="Z421" s="622" t="n"/>
      <c r="AA421" s="622" t="n"/>
      <c r="AB421" s="622" t="n"/>
      <c r="AC421" s="622" t="n"/>
      <c r="AD421" s="622" t="n"/>
      <c r="AE421" s="622" t="n"/>
      <c r="AF421" s="622" t="n"/>
      <c r="AG421" s="622" t="n"/>
      <c r="AH421" s="622" t="n"/>
      <c r="AI421" s="622" t="n"/>
      <c r="AJ421" s="622" t="n"/>
      <c r="AK421" s="622" t="n"/>
      <c r="AL421" s="622" t="n"/>
      <c r="AM421" s="622" t="n"/>
      <c r="AN421" s="622" t="n"/>
      <c r="AO421" s="622" t="n"/>
      <c r="AP421" s="622" t="n"/>
      <c r="AQ421" s="622" t="n"/>
      <c r="AR421" s="622" t="n"/>
      <c r="AS421" s="622" t="n"/>
      <c r="AT421" s="622" t="n"/>
      <c r="AU421" s="622" t="n"/>
      <c r="AV421" s="622" t="n"/>
      <c r="AW421" s="622" t="n"/>
      <c r="AX421" s="622" t="n"/>
      <c r="AY421" s="622" t="n"/>
    </row>
    <row r="422">
      <c r="A422" s="622" t="n"/>
      <c r="B422" s="622" t="n"/>
      <c r="C422" s="622" t="n"/>
      <c r="D422" s="622" t="n"/>
      <c r="E422" s="622" t="n"/>
      <c r="F422" s="622" t="n"/>
      <c r="G422" s="622" t="n"/>
      <c r="H422" s="622" t="n"/>
      <c r="I422" s="622" t="n"/>
      <c r="J422" s="622" t="n"/>
      <c r="K422" s="622" t="n"/>
      <c r="L422" s="622" t="n"/>
      <c r="M422" s="622" t="n"/>
      <c r="N422" s="622" t="n"/>
      <c r="O422" s="622" t="n"/>
      <c r="P422" s="622" t="n"/>
      <c r="Q422" s="622" t="n"/>
      <c r="R422" s="622" t="n"/>
      <c r="S422" s="622" t="n"/>
      <c r="T422" s="622" t="n"/>
      <c r="U422" s="622" t="n"/>
      <c r="V422" s="622" t="n"/>
      <c r="W422" s="622" t="n"/>
      <c r="X422" s="622" t="n"/>
      <c r="Y422" s="622" t="n"/>
      <c r="Z422" s="622" t="n"/>
      <c r="AA422" s="622" t="n"/>
      <c r="AB422" s="622" t="n"/>
      <c r="AC422" s="622" t="n"/>
      <c r="AD422" s="622" t="n"/>
      <c r="AE422" s="622" t="n"/>
      <c r="AF422" s="622" t="n"/>
      <c r="AG422" s="622" t="n"/>
      <c r="AH422" s="622" t="n"/>
      <c r="AI422" s="622" t="n"/>
      <c r="AJ422" s="622" t="n"/>
      <c r="AK422" s="622" t="n"/>
      <c r="AL422" s="622" t="n"/>
      <c r="AM422" s="622" t="n"/>
      <c r="AN422" s="622" t="n"/>
      <c r="AO422" s="622" t="n"/>
      <c r="AP422" s="622" t="n"/>
      <c r="AQ422" s="622" t="n"/>
      <c r="AR422" s="622" t="n"/>
      <c r="AS422" s="622" t="n"/>
      <c r="AT422" s="622" t="n"/>
      <c r="AU422" s="622" t="n"/>
      <c r="AV422" s="622" t="n"/>
      <c r="AW422" s="622" t="n"/>
      <c r="AX422" s="622" t="n"/>
      <c r="AY422" s="622" t="n"/>
    </row>
    <row r="423">
      <c r="A423" s="622" t="n"/>
      <c r="B423" s="622" t="n"/>
      <c r="C423" s="622" t="n"/>
      <c r="D423" s="622" t="n"/>
      <c r="E423" s="622" t="n"/>
      <c r="F423" s="622" t="n"/>
      <c r="G423" s="622" t="n"/>
      <c r="H423" s="622" t="n"/>
      <c r="I423" s="622" t="n"/>
      <c r="J423" s="622" t="n"/>
      <c r="K423" s="622" t="n"/>
      <c r="L423" s="622" t="n"/>
      <c r="M423" s="622" t="n"/>
      <c r="N423" s="622" t="n"/>
      <c r="O423" s="622" t="n"/>
      <c r="P423" s="622" t="n"/>
      <c r="Q423" s="622" t="n"/>
      <c r="R423" s="622" t="n"/>
      <c r="S423" s="622" t="n"/>
      <c r="T423" s="622" t="n"/>
      <c r="U423" s="622" t="n"/>
      <c r="V423" s="622" t="n"/>
      <c r="W423" s="622" t="n"/>
      <c r="X423" s="622" t="n"/>
      <c r="Y423" s="622" t="n"/>
      <c r="Z423" s="622" t="n"/>
      <c r="AA423" s="622" t="n"/>
      <c r="AB423" s="622" t="n"/>
      <c r="AC423" s="622" t="n"/>
      <c r="AD423" s="622" t="n"/>
      <c r="AE423" s="622" t="n"/>
      <c r="AF423" s="622" t="n"/>
      <c r="AG423" s="622" t="n"/>
      <c r="AH423" s="622" t="n"/>
      <c r="AI423" s="622" t="n"/>
      <c r="AJ423" s="622" t="n"/>
      <c r="AK423" s="622" t="n"/>
      <c r="AL423" s="622" t="n"/>
      <c r="AM423" s="622" t="n"/>
      <c r="AN423" s="622" t="n"/>
      <c r="AO423" s="622" t="n"/>
      <c r="AP423" s="622" t="n"/>
      <c r="AQ423" s="622" t="n"/>
      <c r="AR423" s="622" t="n"/>
      <c r="AS423" s="622" t="n"/>
      <c r="AT423" s="622" t="n"/>
      <c r="AU423" s="622" t="n"/>
      <c r="AV423" s="622" t="n"/>
      <c r="AW423" s="622" t="n"/>
      <c r="AX423" s="622" t="n"/>
      <c r="AY423" s="622" t="n"/>
    </row>
    <row r="424">
      <c r="A424" s="622" t="n"/>
      <c r="B424" s="622" t="n"/>
      <c r="C424" s="622" t="n"/>
      <c r="D424" s="622" t="n"/>
      <c r="E424" s="622" t="n"/>
      <c r="F424" s="622" t="n"/>
      <c r="G424" s="622" t="n"/>
      <c r="H424" s="622" t="n"/>
      <c r="I424" s="622" t="n"/>
      <c r="J424" s="622" t="n"/>
      <c r="K424" s="622" t="n"/>
      <c r="L424" s="622" t="n"/>
      <c r="M424" s="622" t="n"/>
      <c r="N424" s="622" t="n"/>
      <c r="O424" s="622" t="n"/>
      <c r="P424" s="622" t="n"/>
      <c r="Q424" s="622" t="n"/>
      <c r="R424" s="622" t="n"/>
      <c r="S424" s="622" t="n"/>
      <c r="T424" s="622" t="n"/>
      <c r="U424" s="622" t="n"/>
      <c r="V424" s="622" t="n"/>
      <c r="W424" s="622" t="n"/>
      <c r="X424" s="622" t="n"/>
      <c r="Y424" s="622" t="n"/>
      <c r="Z424" s="622" t="n"/>
      <c r="AA424" s="622" t="n"/>
      <c r="AB424" s="622" t="n"/>
      <c r="AC424" s="622" t="n"/>
      <c r="AD424" s="622" t="n"/>
      <c r="AE424" s="622" t="n"/>
      <c r="AF424" s="622" t="n"/>
      <c r="AG424" s="622" t="n"/>
      <c r="AH424" s="622" t="n"/>
      <c r="AI424" s="622" t="n"/>
      <c r="AJ424" s="622" t="n"/>
      <c r="AK424" s="622" t="n"/>
      <c r="AL424" s="622" t="n"/>
      <c r="AM424" s="622" t="n"/>
      <c r="AN424" s="622" t="n"/>
      <c r="AO424" s="622" t="n"/>
      <c r="AP424" s="622" t="n"/>
      <c r="AQ424" s="622" t="n"/>
      <c r="AR424" s="622" t="n"/>
      <c r="AS424" s="622" t="n"/>
      <c r="AT424" s="622" t="n"/>
      <c r="AU424" s="622" t="n"/>
      <c r="AV424" s="622" t="n"/>
      <c r="AW424" s="622" t="n"/>
      <c r="AX424" s="622" t="n"/>
      <c r="AY424" s="622" t="n"/>
    </row>
    <row r="425">
      <c r="A425" s="622" t="n"/>
      <c r="B425" s="622" t="n"/>
      <c r="C425" s="622" t="n"/>
      <c r="D425" s="622" t="n"/>
      <c r="E425" s="622" t="n"/>
      <c r="F425" s="622" t="n"/>
      <c r="G425" s="622" t="n"/>
      <c r="H425" s="622" t="n"/>
      <c r="I425" s="622" t="n"/>
      <c r="J425" s="622" t="n"/>
      <c r="K425" s="622" t="n"/>
      <c r="L425" s="622" t="n"/>
      <c r="M425" s="622" t="n"/>
      <c r="N425" s="622" t="n"/>
      <c r="O425" s="622" t="n"/>
      <c r="P425" s="622" t="n"/>
      <c r="Q425" s="622" t="n"/>
      <c r="R425" s="622" t="n"/>
      <c r="S425" s="622" t="n"/>
      <c r="T425" s="622" t="n"/>
      <c r="U425" s="622" t="n"/>
      <c r="V425" s="622" t="n"/>
      <c r="W425" s="622" t="n"/>
      <c r="X425" s="622" t="n"/>
      <c r="Y425" s="622" t="n"/>
      <c r="Z425" s="622" t="n"/>
      <c r="AA425" s="622" t="n"/>
      <c r="AB425" s="622" t="n"/>
      <c r="AC425" s="622" t="n"/>
      <c r="AD425" s="622" t="n"/>
      <c r="AE425" s="622" t="n"/>
      <c r="AF425" s="622" t="n"/>
      <c r="AG425" s="622" t="n"/>
      <c r="AH425" s="622" t="n"/>
      <c r="AI425" s="622" t="n"/>
      <c r="AJ425" s="622" t="n"/>
      <c r="AK425" s="622" t="n"/>
      <c r="AL425" s="622" t="n"/>
      <c r="AM425" s="622" t="n"/>
      <c r="AN425" s="622" t="n"/>
      <c r="AO425" s="622" t="n"/>
      <c r="AP425" s="622" t="n"/>
      <c r="AQ425" s="622" t="n"/>
      <c r="AR425" s="622" t="n"/>
      <c r="AS425" s="622" t="n"/>
      <c r="AT425" s="622" t="n"/>
      <c r="AU425" s="622" t="n"/>
      <c r="AV425" s="622" t="n"/>
      <c r="AW425" s="622" t="n"/>
      <c r="AX425" s="622" t="n"/>
      <c r="AY425" s="622" t="n"/>
    </row>
    <row r="426">
      <c r="A426" s="622" t="n"/>
      <c r="B426" s="622" t="n"/>
      <c r="C426" s="622" t="n"/>
      <c r="D426" s="622" t="n"/>
      <c r="E426" s="622" t="n"/>
      <c r="F426" s="622" t="n"/>
      <c r="G426" s="622" t="n"/>
      <c r="H426" s="622" t="n"/>
      <c r="I426" s="622" t="n"/>
      <c r="J426" s="622" t="n"/>
      <c r="K426" s="622" t="n"/>
      <c r="L426" s="622" t="n"/>
      <c r="M426" s="622" t="n"/>
      <c r="N426" s="622" t="n"/>
      <c r="O426" s="622" t="n"/>
      <c r="P426" s="622" t="n"/>
      <c r="Q426" s="622" t="n"/>
      <c r="R426" s="622" t="n"/>
      <c r="S426" s="622" t="n"/>
      <c r="T426" s="622" t="n"/>
      <c r="U426" s="622" t="n"/>
      <c r="V426" s="622" t="n"/>
      <c r="W426" s="622" t="n"/>
      <c r="X426" s="622" t="n"/>
      <c r="Y426" s="622" t="n"/>
      <c r="Z426" s="622" t="n"/>
      <c r="AA426" s="622" t="n"/>
      <c r="AB426" s="622" t="n"/>
      <c r="AC426" s="622" t="n"/>
      <c r="AD426" s="622" t="n"/>
      <c r="AE426" s="622" t="n"/>
      <c r="AF426" s="622" t="n"/>
      <c r="AG426" s="622" t="n"/>
      <c r="AH426" s="622" t="n"/>
      <c r="AI426" s="622" t="n"/>
      <c r="AJ426" s="622" t="n"/>
      <c r="AK426" s="622" t="n"/>
      <c r="AL426" s="622" t="n"/>
      <c r="AM426" s="622" t="n"/>
      <c r="AN426" s="622" t="n"/>
      <c r="AO426" s="622" t="n"/>
      <c r="AP426" s="622" t="n"/>
      <c r="AQ426" s="622" t="n"/>
      <c r="AR426" s="622" t="n"/>
      <c r="AS426" s="622" t="n"/>
      <c r="AT426" s="622" t="n"/>
      <c r="AU426" s="622" t="n"/>
      <c r="AV426" s="622" t="n"/>
      <c r="AW426" s="622" t="n"/>
      <c r="AX426" s="622" t="n"/>
      <c r="AY426" s="622" t="n"/>
    </row>
    <row r="427">
      <c r="A427" s="622" t="n"/>
      <c r="B427" s="622" t="n"/>
      <c r="C427" s="622" t="n"/>
      <c r="D427" s="622" t="n"/>
      <c r="E427" s="622" t="n"/>
      <c r="F427" s="622" t="n"/>
      <c r="G427" s="622" t="n"/>
      <c r="H427" s="622" t="n"/>
      <c r="I427" s="622" t="n"/>
      <c r="J427" s="622" t="n"/>
      <c r="K427" s="622" t="n"/>
      <c r="L427" s="622" t="n"/>
      <c r="M427" s="622" t="n"/>
      <c r="N427" s="622" t="n"/>
      <c r="O427" s="622" t="n"/>
      <c r="P427" s="622" t="n"/>
      <c r="Q427" s="622" t="n"/>
      <c r="R427" s="622" t="n"/>
      <c r="S427" s="622" t="n"/>
      <c r="T427" s="622" t="n"/>
      <c r="U427" s="622" t="n"/>
      <c r="V427" s="622" t="n"/>
      <c r="W427" s="622" t="n"/>
      <c r="X427" s="622" t="n"/>
      <c r="Y427" s="622" t="n"/>
      <c r="Z427" s="622" t="n"/>
      <c r="AA427" s="622" t="n"/>
      <c r="AB427" s="622" t="n"/>
      <c r="AC427" s="622" t="n"/>
      <c r="AD427" s="622" t="n"/>
      <c r="AE427" s="622" t="n"/>
      <c r="AF427" s="622" t="n"/>
      <c r="AG427" s="622" t="n"/>
      <c r="AH427" s="622" t="n"/>
      <c r="AI427" s="622" t="n"/>
      <c r="AJ427" s="622" t="n"/>
      <c r="AK427" s="622" t="n"/>
      <c r="AL427" s="622" t="n"/>
      <c r="AM427" s="622" t="n"/>
      <c r="AN427" s="622" t="n"/>
      <c r="AO427" s="622" t="n"/>
      <c r="AP427" s="622" t="n"/>
      <c r="AQ427" s="622" t="n"/>
      <c r="AR427" s="622" t="n"/>
      <c r="AS427" s="622" t="n"/>
      <c r="AT427" s="622" t="n"/>
      <c r="AU427" s="622" t="n"/>
      <c r="AV427" s="622" t="n"/>
      <c r="AW427" s="622" t="n"/>
      <c r="AX427" s="622" t="n"/>
      <c r="AY427" s="622" t="n"/>
    </row>
    <row r="428">
      <c r="A428" s="622" t="n"/>
      <c r="B428" s="622" t="n"/>
      <c r="C428" s="622" t="n"/>
      <c r="D428" s="622" t="n"/>
      <c r="E428" s="622" t="n"/>
      <c r="F428" s="622" t="n"/>
      <c r="G428" s="622" t="n"/>
      <c r="H428" s="622" t="n"/>
      <c r="I428" s="622" t="n"/>
      <c r="J428" s="622" t="n"/>
      <c r="K428" s="622" t="n"/>
      <c r="L428" s="622" t="n"/>
      <c r="M428" s="622" t="n"/>
      <c r="N428" s="622" t="n"/>
      <c r="O428" s="622" t="n"/>
      <c r="P428" s="622" t="n"/>
      <c r="Q428" s="622" t="n"/>
      <c r="R428" s="622" t="n"/>
      <c r="S428" s="622" t="n"/>
      <c r="T428" s="622" t="n"/>
      <c r="U428" s="622" t="n"/>
      <c r="V428" s="622" t="n"/>
      <c r="W428" s="622" t="n"/>
      <c r="X428" s="622" t="n"/>
      <c r="Y428" s="622" t="n"/>
      <c r="Z428" s="622" t="n"/>
      <c r="AA428" s="622" t="n"/>
      <c r="AB428" s="622" t="n"/>
      <c r="AC428" s="622" t="n"/>
      <c r="AD428" s="622" t="n"/>
      <c r="AE428" s="622" t="n"/>
      <c r="AF428" s="622" t="n"/>
      <c r="AG428" s="622" t="n"/>
      <c r="AH428" s="622" t="n"/>
      <c r="AI428" s="622" t="n"/>
      <c r="AJ428" s="622" t="n"/>
      <c r="AK428" s="622" t="n"/>
      <c r="AL428" s="622" t="n"/>
      <c r="AM428" s="622" t="n"/>
      <c r="AN428" s="622" t="n"/>
      <c r="AO428" s="622" t="n"/>
      <c r="AP428" s="622" t="n"/>
      <c r="AQ428" s="622" t="n"/>
      <c r="AR428" s="622" t="n"/>
      <c r="AS428" s="622" t="n"/>
      <c r="AT428" s="622" t="n"/>
      <c r="AU428" s="622" t="n"/>
      <c r="AV428" s="622" t="n"/>
      <c r="AW428" s="622" t="n"/>
      <c r="AX428" s="622" t="n"/>
      <c r="AY428" s="622" t="n"/>
    </row>
    <row r="429">
      <c r="A429" s="622" t="n"/>
      <c r="B429" s="622" t="n"/>
      <c r="C429" s="622" t="n"/>
      <c r="D429" s="622" t="n"/>
      <c r="E429" s="622" t="n"/>
      <c r="F429" s="622" t="n"/>
      <c r="G429" s="622" t="n"/>
      <c r="H429" s="622" t="n"/>
      <c r="I429" s="622" t="n"/>
      <c r="J429" s="622" t="n"/>
      <c r="K429" s="622" t="n"/>
      <c r="L429" s="622" t="n"/>
      <c r="M429" s="622" t="n"/>
      <c r="N429" s="622" t="n"/>
      <c r="O429" s="622" t="n"/>
      <c r="P429" s="622" t="n"/>
      <c r="Q429" s="622" t="n"/>
      <c r="R429" s="622" t="n"/>
      <c r="S429" s="622" t="n"/>
      <c r="T429" s="622" t="n"/>
      <c r="U429" s="622" t="n"/>
      <c r="V429" s="622" t="n"/>
      <c r="W429" s="622" t="n"/>
      <c r="X429" s="622" t="n"/>
      <c r="Y429" s="622" t="n"/>
      <c r="Z429" s="622" t="n"/>
      <c r="AA429" s="622" t="n"/>
      <c r="AB429" s="622" t="n"/>
      <c r="AC429" s="622" t="n"/>
      <c r="AD429" s="622" t="n"/>
      <c r="AE429" s="622" t="n"/>
      <c r="AF429" s="622" t="n"/>
      <c r="AG429" s="622" t="n"/>
      <c r="AH429" s="622" t="n"/>
      <c r="AI429" s="622" t="n"/>
      <c r="AJ429" s="622" t="n"/>
      <c r="AK429" s="622" t="n"/>
      <c r="AL429" s="622" t="n"/>
      <c r="AM429" s="622" t="n"/>
      <c r="AN429" s="622" t="n"/>
      <c r="AO429" s="622" t="n"/>
      <c r="AP429" s="622" t="n"/>
      <c r="AQ429" s="622" t="n"/>
      <c r="AR429" s="622" t="n"/>
      <c r="AS429" s="622" t="n"/>
      <c r="AT429" s="622" t="n"/>
      <c r="AU429" s="622" t="n"/>
      <c r="AV429" s="622" t="n"/>
      <c r="AW429" s="622" t="n"/>
      <c r="AX429" s="622" t="n"/>
      <c r="AY429" s="622" t="n"/>
    </row>
    <row r="430">
      <c r="A430" s="622" t="n"/>
      <c r="B430" s="622" t="n"/>
      <c r="C430" s="622" t="n"/>
      <c r="D430" s="622" t="n"/>
      <c r="E430" s="622" t="n"/>
      <c r="F430" s="622" t="n"/>
      <c r="G430" s="622" t="n"/>
      <c r="H430" s="622" t="n"/>
      <c r="I430" s="622" t="n"/>
      <c r="J430" s="622" t="n"/>
      <c r="K430" s="622" t="n"/>
      <c r="L430" s="622" t="n"/>
      <c r="M430" s="622" t="n"/>
      <c r="N430" s="622" t="n"/>
      <c r="O430" s="622" t="n"/>
      <c r="P430" s="622" t="n"/>
      <c r="Q430" s="622" t="n"/>
      <c r="R430" s="622" t="n"/>
      <c r="S430" s="622" t="n"/>
      <c r="T430" s="622" t="n"/>
      <c r="U430" s="622" t="n"/>
      <c r="V430" s="622" t="n"/>
      <c r="W430" s="622" t="n"/>
      <c r="X430" s="622" t="n"/>
      <c r="Y430" s="622" t="n"/>
      <c r="Z430" s="622" t="n"/>
      <c r="AA430" s="622" t="n"/>
      <c r="AB430" s="622" t="n"/>
      <c r="AC430" s="622" t="n"/>
      <c r="AD430" s="622" t="n"/>
      <c r="AE430" s="622" t="n"/>
      <c r="AF430" s="622" t="n"/>
      <c r="AG430" s="622" t="n"/>
      <c r="AH430" s="622" t="n"/>
      <c r="AI430" s="622" t="n"/>
      <c r="AJ430" s="622" t="n"/>
      <c r="AK430" s="622" t="n"/>
      <c r="AL430" s="622" t="n"/>
      <c r="AM430" s="622" t="n"/>
      <c r="AN430" s="622" t="n"/>
      <c r="AO430" s="622" t="n"/>
      <c r="AP430" s="622" t="n"/>
      <c r="AQ430" s="622" t="n"/>
      <c r="AR430" s="622" t="n"/>
      <c r="AS430" s="622" t="n"/>
      <c r="AT430" s="622" t="n"/>
      <c r="AU430" s="622" t="n"/>
      <c r="AV430" s="622" t="n"/>
      <c r="AW430" s="622" t="n"/>
      <c r="AX430" s="622" t="n"/>
      <c r="AY430" s="622" t="n"/>
    </row>
    <row r="431">
      <c r="A431" s="622" t="n"/>
      <c r="B431" s="622" t="n"/>
      <c r="C431" s="622" t="n"/>
      <c r="D431" s="622" t="n"/>
      <c r="E431" s="622" t="n"/>
      <c r="F431" s="622" t="n"/>
      <c r="G431" s="622" t="n"/>
      <c r="H431" s="622" t="n"/>
      <c r="I431" s="622" t="n"/>
      <c r="J431" s="622" t="n"/>
      <c r="K431" s="622" t="n"/>
      <c r="L431" s="622" t="n"/>
      <c r="M431" s="622" t="n"/>
      <c r="N431" s="622" t="n"/>
      <c r="O431" s="622" t="n"/>
      <c r="P431" s="622" t="n"/>
      <c r="Q431" s="622" t="n"/>
      <c r="R431" s="622" t="n"/>
      <c r="S431" s="622" t="n"/>
      <c r="T431" s="622" t="n"/>
      <c r="U431" s="622" t="n"/>
      <c r="V431" s="622" t="n"/>
      <c r="W431" s="622" t="n"/>
      <c r="X431" s="622" t="n"/>
      <c r="Y431" s="622" t="n"/>
      <c r="Z431" s="622" t="n"/>
      <c r="AA431" s="622" t="n"/>
      <c r="AB431" s="622" t="n"/>
      <c r="AC431" s="622" t="n"/>
      <c r="AD431" s="622" t="n"/>
      <c r="AE431" s="622" t="n"/>
      <c r="AF431" s="622" t="n"/>
      <c r="AG431" s="622" t="n"/>
      <c r="AH431" s="622" t="n"/>
      <c r="AI431" s="622" t="n"/>
      <c r="AJ431" s="622" t="n"/>
      <c r="AK431" s="622" t="n"/>
      <c r="AL431" s="622" t="n"/>
      <c r="AM431" s="622" t="n"/>
      <c r="AN431" s="622" t="n"/>
      <c r="AO431" s="622" t="n"/>
      <c r="AP431" s="622" t="n"/>
      <c r="AQ431" s="622" t="n"/>
      <c r="AR431" s="622" t="n"/>
      <c r="AS431" s="622" t="n"/>
      <c r="AT431" s="622" t="n"/>
      <c r="AU431" s="622" t="n"/>
      <c r="AV431" s="622" t="n"/>
      <c r="AW431" s="622" t="n"/>
      <c r="AX431" s="622" t="n"/>
      <c r="AY431" s="622" t="n"/>
    </row>
    <row r="432">
      <c r="A432" s="622" t="n"/>
      <c r="B432" s="622" t="n"/>
      <c r="C432" s="622" t="n"/>
      <c r="D432" s="622" t="n"/>
      <c r="E432" s="622" t="n"/>
      <c r="F432" s="622" t="n"/>
      <c r="G432" s="622" t="n"/>
      <c r="H432" s="622" t="n"/>
      <c r="I432" s="622" t="n"/>
      <c r="J432" s="622" t="n"/>
      <c r="K432" s="622" t="n"/>
      <c r="L432" s="622" t="n"/>
      <c r="M432" s="622" t="n"/>
      <c r="N432" s="622" t="n"/>
      <c r="O432" s="622" t="n"/>
      <c r="P432" s="622" t="n"/>
      <c r="Q432" s="622" t="n"/>
      <c r="R432" s="622" t="n"/>
      <c r="S432" s="622" t="n"/>
      <c r="T432" s="622" t="n"/>
      <c r="U432" s="622" t="n"/>
      <c r="V432" s="622" t="n"/>
      <c r="W432" s="622" t="n"/>
      <c r="X432" s="622" t="n"/>
      <c r="Y432" s="622" t="n"/>
      <c r="Z432" s="622" t="n"/>
      <c r="AA432" s="622" t="n"/>
      <c r="AB432" s="622" t="n"/>
      <c r="AC432" s="622" t="n"/>
      <c r="AD432" s="622" t="n"/>
      <c r="AE432" s="622" t="n"/>
      <c r="AF432" s="622" t="n"/>
      <c r="AG432" s="622" t="n"/>
      <c r="AH432" s="622" t="n"/>
      <c r="AI432" s="622" t="n"/>
      <c r="AJ432" s="622" t="n"/>
      <c r="AK432" s="622" t="n"/>
      <c r="AL432" s="622" t="n"/>
      <c r="AM432" s="622" t="n"/>
      <c r="AN432" s="622" t="n"/>
      <c r="AO432" s="622" t="n"/>
      <c r="AP432" s="622" t="n"/>
      <c r="AQ432" s="622" t="n"/>
      <c r="AR432" s="622" t="n"/>
      <c r="AS432" s="622" t="n"/>
      <c r="AT432" s="622" t="n"/>
      <c r="AU432" s="622" t="n"/>
      <c r="AV432" s="622" t="n"/>
      <c r="AW432" s="622" t="n"/>
      <c r="AX432" s="622" t="n"/>
      <c r="AY432" s="622" t="n"/>
    </row>
    <row r="433">
      <c r="A433" s="622" t="n"/>
      <c r="B433" s="622" t="n"/>
      <c r="C433" s="622" t="n"/>
      <c r="D433" s="622" t="n"/>
      <c r="E433" s="622" t="n"/>
      <c r="F433" s="622" t="n"/>
      <c r="G433" s="622" t="n"/>
      <c r="H433" s="622" t="n"/>
      <c r="I433" s="622" t="n"/>
      <c r="J433" s="622" t="n"/>
      <c r="K433" s="622" t="n"/>
      <c r="L433" s="622" t="n"/>
      <c r="M433" s="622" t="n"/>
      <c r="N433" s="622" t="n"/>
      <c r="O433" s="622" t="n"/>
      <c r="P433" s="622" t="n"/>
      <c r="Q433" s="622" t="n"/>
      <c r="R433" s="622" t="n"/>
      <c r="S433" s="622" t="n"/>
      <c r="T433" s="622" t="n"/>
      <c r="U433" s="622" t="n"/>
      <c r="V433" s="622" t="n"/>
      <c r="W433" s="622" t="n"/>
      <c r="X433" s="622" t="n"/>
      <c r="Y433" s="622" t="n"/>
      <c r="Z433" s="622" t="n"/>
      <c r="AA433" s="622" t="n"/>
      <c r="AB433" s="622" t="n"/>
      <c r="AC433" s="622" t="n"/>
      <c r="AD433" s="622" t="n"/>
      <c r="AE433" s="622" t="n"/>
      <c r="AF433" s="622" t="n"/>
      <c r="AG433" s="622" t="n"/>
      <c r="AH433" s="622" t="n"/>
      <c r="AI433" s="622" t="n"/>
      <c r="AJ433" s="622" t="n"/>
      <c r="AK433" s="622" t="n"/>
      <c r="AL433" s="622" t="n"/>
      <c r="AM433" s="622" t="n"/>
      <c r="AN433" s="622" t="n"/>
      <c r="AO433" s="622" t="n"/>
      <c r="AP433" s="622" t="n"/>
      <c r="AQ433" s="622" t="n"/>
      <c r="AR433" s="622" t="n"/>
      <c r="AS433" s="622" t="n"/>
      <c r="AT433" s="622" t="n"/>
      <c r="AU433" s="622" t="n"/>
      <c r="AV433" s="622" t="n"/>
      <c r="AW433" s="622" t="n"/>
      <c r="AX433" s="622" t="n"/>
      <c r="AY433" s="622" t="n"/>
    </row>
    <row r="434">
      <c r="A434" s="622" t="n"/>
      <c r="B434" s="622" t="n"/>
      <c r="C434" s="622" t="n"/>
      <c r="D434" s="622" t="n"/>
      <c r="E434" s="622" t="n"/>
      <c r="F434" s="622" t="n"/>
      <c r="G434" s="622" t="n"/>
      <c r="H434" s="622" t="n"/>
      <c r="I434" s="622" t="n"/>
      <c r="J434" s="622" t="n"/>
      <c r="K434" s="622" t="n"/>
      <c r="L434" s="622" t="n"/>
      <c r="M434" s="622" t="n"/>
      <c r="N434" s="622" t="n"/>
      <c r="O434" s="622" t="n"/>
      <c r="P434" s="622" t="n"/>
      <c r="Q434" s="622" t="n"/>
      <c r="R434" s="622" t="n"/>
      <c r="S434" s="622" t="n"/>
      <c r="T434" s="622" t="n"/>
      <c r="U434" s="622" t="n"/>
      <c r="V434" s="622" t="n"/>
      <c r="W434" s="622" t="n"/>
      <c r="X434" s="622" t="n"/>
      <c r="Y434" s="622" t="n"/>
      <c r="Z434" s="622" t="n"/>
      <c r="AA434" s="622" t="n"/>
      <c r="AB434" s="622" t="n"/>
      <c r="AC434" s="622" t="n"/>
      <c r="AD434" s="622" t="n"/>
      <c r="AE434" s="622" t="n"/>
      <c r="AF434" s="622" t="n"/>
      <c r="AG434" s="622" t="n"/>
      <c r="AH434" s="622" t="n"/>
      <c r="AI434" s="622" t="n"/>
      <c r="AJ434" s="622" t="n"/>
      <c r="AK434" s="622" t="n"/>
      <c r="AL434" s="622" t="n"/>
      <c r="AM434" s="622" t="n"/>
      <c r="AN434" s="622" t="n"/>
      <c r="AO434" s="622" t="n"/>
      <c r="AP434" s="622" t="n"/>
      <c r="AQ434" s="622" t="n"/>
      <c r="AR434" s="622" t="n"/>
      <c r="AS434" s="622" t="n"/>
      <c r="AT434" s="622" t="n"/>
      <c r="AU434" s="622" t="n"/>
      <c r="AV434" s="622" t="n"/>
      <c r="AW434" s="622" t="n"/>
      <c r="AX434" s="622" t="n"/>
      <c r="AY434" s="622" t="n"/>
    </row>
    <row r="435">
      <c r="A435" s="622" t="n"/>
      <c r="B435" s="622" t="n"/>
      <c r="C435" s="622" t="n"/>
      <c r="D435" s="622" t="n"/>
      <c r="E435" s="622" t="n"/>
      <c r="F435" s="622" t="n"/>
      <c r="G435" s="622" t="n"/>
      <c r="H435" s="622" t="n"/>
      <c r="I435" s="622" t="n"/>
      <c r="J435" s="622" t="n"/>
      <c r="K435" s="622" t="n"/>
      <c r="L435" s="622" t="n"/>
      <c r="M435" s="622" t="n"/>
      <c r="N435" s="622" t="n"/>
      <c r="O435" s="622" t="n"/>
      <c r="P435" s="622" t="n"/>
      <c r="Q435" s="622" t="n"/>
      <c r="R435" s="622" t="n"/>
      <c r="S435" s="622" t="n"/>
      <c r="T435" s="622" t="n"/>
      <c r="U435" s="622" t="n"/>
      <c r="V435" s="622" t="n"/>
      <c r="W435" s="622" t="n"/>
      <c r="X435" s="622" t="n"/>
      <c r="Y435" s="622" t="n"/>
      <c r="Z435" s="622" t="n"/>
      <c r="AA435" s="622" t="n"/>
      <c r="AB435" s="622" t="n"/>
      <c r="AC435" s="622" t="n"/>
      <c r="AD435" s="622" t="n"/>
      <c r="AE435" s="622" t="n"/>
      <c r="AF435" s="622" t="n"/>
      <c r="AG435" s="622" t="n"/>
      <c r="AH435" s="622" t="n"/>
      <c r="AI435" s="622" t="n"/>
      <c r="AJ435" s="622" t="n"/>
      <c r="AK435" s="622" t="n"/>
      <c r="AL435" s="622" t="n"/>
      <c r="AM435" s="622" t="n"/>
      <c r="AN435" s="622" t="n"/>
      <c r="AO435" s="622" t="n"/>
      <c r="AP435" s="622" t="n"/>
      <c r="AQ435" s="622" t="n"/>
      <c r="AR435" s="622" t="n"/>
      <c r="AS435" s="622" t="n"/>
      <c r="AT435" s="622" t="n"/>
      <c r="AU435" s="622" t="n"/>
      <c r="AV435" s="622" t="n"/>
      <c r="AW435" s="622" t="n"/>
      <c r="AX435" s="622" t="n"/>
      <c r="AY435" s="622" t="n"/>
    </row>
    <row r="436">
      <c r="A436" s="622" t="n"/>
      <c r="B436" s="622" t="n"/>
      <c r="C436" s="622" t="n"/>
      <c r="D436" s="622" t="n"/>
      <c r="E436" s="622" t="n"/>
      <c r="F436" s="622" t="n"/>
      <c r="G436" s="622" t="n"/>
      <c r="H436" s="622" t="n"/>
      <c r="I436" s="622" t="n"/>
      <c r="J436" s="622" t="n"/>
      <c r="K436" s="622" t="n"/>
      <c r="L436" s="622" t="n"/>
      <c r="M436" s="622" t="n"/>
      <c r="N436" s="622" t="n"/>
      <c r="O436" s="622" t="n"/>
      <c r="P436" s="622" t="n"/>
      <c r="Q436" s="622" t="n"/>
      <c r="R436" s="622" t="n"/>
      <c r="S436" s="622" t="n"/>
      <c r="T436" s="622" t="n"/>
      <c r="U436" s="622" t="n"/>
      <c r="V436" s="622" t="n"/>
      <c r="W436" s="622" t="n"/>
      <c r="X436" s="622" t="n"/>
      <c r="Y436" s="622" t="n"/>
      <c r="Z436" s="622" t="n"/>
      <c r="AA436" s="622" t="n"/>
      <c r="AB436" s="622" t="n"/>
      <c r="AC436" s="622" t="n"/>
      <c r="AD436" s="622" t="n"/>
      <c r="AE436" s="622" t="n"/>
      <c r="AF436" s="622" t="n"/>
      <c r="AG436" s="622" t="n"/>
      <c r="AH436" s="622" t="n"/>
      <c r="AI436" s="622" t="n"/>
      <c r="AJ436" s="622" t="n"/>
      <c r="AK436" s="622" t="n"/>
      <c r="AL436" s="622" t="n"/>
      <c r="AM436" s="622" t="n"/>
      <c r="AN436" s="622" t="n"/>
      <c r="AO436" s="622" t="n"/>
      <c r="AP436" s="622" t="n"/>
      <c r="AQ436" s="622" t="n"/>
      <c r="AR436" s="622" t="n"/>
      <c r="AS436" s="622" t="n"/>
      <c r="AT436" s="622" t="n"/>
      <c r="AU436" s="622" t="n"/>
      <c r="AV436" s="622" t="n"/>
      <c r="AW436" s="622" t="n"/>
      <c r="AX436" s="622" t="n"/>
      <c r="AY436" s="622" t="n"/>
    </row>
    <row r="437">
      <c r="A437" s="622" t="n"/>
      <c r="B437" s="622" t="n"/>
      <c r="C437" s="622" t="n"/>
      <c r="D437" s="622" t="n"/>
      <c r="E437" s="622" t="n"/>
      <c r="F437" s="622" t="n"/>
      <c r="G437" s="622" t="n"/>
      <c r="H437" s="622" t="n"/>
      <c r="I437" s="622" t="n"/>
      <c r="J437" s="622" t="n"/>
      <c r="K437" s="622" t="n"/>
      <c r="L437" s="622" t="n"/>
      <c r="M437" s="622" t="n"/>
      <c r="N437" s="622" t="n"/>
      <c r="O437" s="622" t="n"/>
      <c r="P437" s="622" t="n"/>
      <c r="Q437" s="622" t="n"/>
      <c r="R437" s="622" t="n"/>
      <c r="S437" s="622" t="n"/>
      <c r="T437" s="622" t="n"/>
      <c r="U437" s="622" t="n"/>
      <c r="V437" s="622" t="n"/>
      <c r="W437" s="622" t="n"/>
      <c r="X437" s="622" t="n"/>
      <c r="Y437" s="622" t="n"/>
      <c r="Z437" s="622" t="n"/>
      <c r="AA437" s="622" t="n"/>
      <c r="AB437" s="622" t="n"/>
      <c r="AC437" s="622" t="n"/>
      <c r="AD437" s="622" t="n"/>
      <c r="AE437" s="622" t="n"/>
      <c r="AF437" s="622" t="n"/>
      <c r="AG437" s="622" t="n"/>
      <c r="AH437" s="622" t="n"/>
      <c r="AI437" s="622" t="n"/>
      <c r="AJ437" s="622" t="n"/>
      <c r="AK437" s="622" t="n"/>
      <c r="AL437" s="622" t="n"/>
      <c r="AM437" s="622" t="n"/>
      <c r="AN437" s="622" t="n"/>
      <c r="AO437" s="622" t="n"/>
      <c r="AP437" s="622" t="n"/>
      <c r="AQ437" s="622" t="n"/>
      <c r="AR437" s="622" t="n"/>
      <c r="AS437" s="622" t="n"/>
      <c r="AT437" s="622" t="n"/>
      <c r="AU437" s="622" t="n"/>
      <c r="AV437" s="622" t="n"/>
      <c r="AW437" s="622" t="n"/>
      <c r="AX437" s="622" t="n"/>
      <c r="AY437" s="622" t="n"/>
    </row>
    <row r="438">
      <c r="A438" s="622" t="n"/>
      <c r="B438" s="622" t="n"/>
      <c r="C438" s="622" t="n"/>
      <c r="D438" s="622" t="n"/>
      <c r="E438" s="622" t="n"/>
      <c r="F438" s="622" t="n"/>
      <c r="G438" s="622" t="n"/>
      <c r="H438" s="622" t="n"/>
      <c r="I438" s="622" t="n"/>
      <c r="J438" s="622" t="n"/>
      <c r="K438" s="622" t="n"/>
      <c r="L438" s="622" t="n"/>
      <c r="M438" s="622" t="n"/>
      <c r="N438" s="622" t="n"/>
      <c r="O438" s="622" t="n"/>
      <c r="P438" s="622" t="n"/>
      <c r="Q438" s="622" t="n"/>
      <c r="R438" s="622" t="n"/>
      <c r="S438" s="622" t="n"/>
      <c r="T438" s="622" t="n"/>
      <c r="U438" s="622" t="n"/>
      <c r="V438" s="622" t="n"/>
      <c r="W438" s="622" t="n"/>
      <c r="X438" s="622" t="n"/>
      <c r="Y438" s="622" t="n"/>
      <c r="Z438" s="622" t="n"/>
      <c r="AA438" s="622" t="n"/>
      <c r="AB438" s="622" t="n"/>
      <c r="AC438" s="622" t="n"/>
      <c r="AD438" s="622" t="n"/>
      <c r="AE438" s="622" t="n"/>
      <c r="AF438" s="622" t="n"/>
      <c r="AG438" s="622" t="n"/>
      <c r="AH438" s="622" t="n"/>
      <c r="AI438" s="622" t="n"/>
      <c r="AJ438" s="622" t="n"/>
      <c r="AK438" s="622" t="n"/>
      <c r="AL438" s="622" t="n"/>
      <c r="AM438" s="622" t="n"/>
      <c r="AN438" s="622" t="n"/>
      <c r="AO438" s="622" t="n"/>
      <c r="AP438" s="622" t="n"/>
      <c r="AQ438" s="622" t="n"/>
      <c r="AR438" s="622" t="n"/>
      <c r="AS438" s="622" t="n"/>
      <c r="AT438" s="622" t="n"/>
      <c r="AU438" s="622" t="n"/>
      <c r="AV438" s="622" t="n"/>
      <c r="AW438" s="622" t="n"/>
      <c r="AX438" s="622" t="n"/>
      <c r="AY438" s="622" t="n"/>
    </row>
    <row r="439">
      <c r="A439" s="622" t="n"/>
      <c r="B439" s="622" t="n"/>
      <c r="C439" s="622" t="n"/>
      <c r="D439" s="622" t="n"/>
      <c r="E439" s="622" t="n"/>
      <c r="F439" s="622" t="n"/>
      <c r="G439" s="622" t="n"/>
      <c r="H439" s="622" t="n"/>
      <c r="I439" s="622" t="n"/>
      <c r="J439" s="622" t="n"/>
      <c r="K439" s="622" t="n"/>
      <c r="L439" s="622" t="n"/>
      <c r="M439" s="622" t="n"/>
      <c r="N439" s="622" t="n"/>
      <c r="O439" s="622" t="n"/>
      <c r="P439" s="622" t="n"/>
      <c r="Q439" s="622" t="n"/>
      <c r="R439" s="622" t="n"/>
      <c r="S439" s="622" t="n"/>
      <c r="T439" s="622" t="n"/>
      <c r="U439" s="622" t="n"/>
      <c r="V439" s="622" t="n"/>
      <c r="W439" s="622" t="n"/>
      <c r="X439" s="622" t="n"/>
      <c r="Y439" s="622" t="n"/>
      <c r="Z439" s="622" t="n"/>
      <c r="AA439" s="622" t="n"/>
      <c r="AB439" s="622" t="n"/>
      <c r="AC439" s="622" t="n"/>
      <c r="AD439" s="622" t="n"/>
      <c r="AE439" s="622" t="n"/>
      <c r="AF439" s="622" t="n"/>
      <c r="AG439" s="622" t="n"/>
      <c r="AH439" s="622" t="n"/>
      <c r="AI439" s="622" t="n"/>
      <c r="AJ439" s="622" t="n"/>
      <c r="AK439" s="622" t="n"/>
      <c r="AL439" s="622" t="n"/>
      <c r="AM439" s="622" t="n"/>
      <c r="AN439" s="622" t="n"/>
      <c r="AO439" s="622" t="n"/>
      <c r="AP439" s="622" t="n"/>
      <c r="AQ439" s="622" t="n"/>
      <c r="AR439" s="622" t="n"/>
      <c r="AS439" s="622" t="n"/>
      <c r="AT439" s="622" t="n"/>
      <c r="AU439" s="622" t="n"/>
      <c r="AV439" s="622" t="n"/>
      <c r="AW439" s="622" t="n"/>
      <c r="AX439" s="622" t="n"/>
      <c r="AY439" s="622" t="n"/>
    </row>
    <row r="440">
      <c r="A440" s="622" t="n"/>
      <c r="B440" s="622" t="n"/>
      <c r="C440" s="622" t="n"/>
      <c r="D440" s="622" t="n"/>
      <c r="E440" s="622" t="n"/>
      <c r="F440" s="622" t="n"/>
      <c r="G440" s="622" t="n"/>
      <c r="H440" s="622" t="n"/>
      <c r="I440" s="622" t="n"/>
      <c r="J440" s="622" t="n"/>
      <c r="K440" s="622" t="n"/>
      <c r="L440" s="622" t="n"/>
      <c r="M440" s="622" t="n"/>
      <c r="N440" s="622" t="n"/>
      <c r="O440" s="622" t="n"/>
      <c r="P440" s="622" t="n"/>
      <c r="Q440" s="622" t="n"/>
      <c r="R440" s="622" t="n"/>
      <c r="S440" s="622" t="n"/>
      <c r="T440" s="622" t="n"/>
      <c r="U440" s="622" t="n"/>
      <c r="V440" s="622" t="n"/>
      <c r="W440" s="622" t="n"/>
      <c r="X440" s="622" t="n"/>
      <c r="Y440" s="622" t="n"/>
      <c r="Z440" s="622" t="n"/>
      <c r="AA440" s="622" t="n"/>
      <c r="AB440" s="622" t="n"/>
      <c r="AC440" s="622" t="n"/>
      <c r="AD440" s="622" t="n"/>
      <c r="AE440" s="622" t="n"/>
      <c r="AF440" s="622" t="n"/>
      <c r="AG440" s="622" t="n"/>
      <c r="AH440" s="622" t="n"/>
      <c r="AI440" s="622" t="n"/>
      <c r="AJ440" s="622" t="n"/>
      <c r="AK440" s="622" t="n"/>
      <c r="AL440" s="622" t="n"/>
      <c r="AM440" s="622" t="n"/>
      <c r="AN440" s="622" t="n"/>
      <c r="AO440" s="622" t="n"/>
      <c r="AP440" s="622" t="n"/>
      <c r="AQ440" s="622" t="n"/>
      <c r="AR440" s="622" t="n"/>
      <c r="AS440" s="622" t="n"/>
      <c r="AT440" s="622" t="n"/>
      <c r="AU440" s="622" t="n"/>
      <c r="AV440" s="622" t="n"/>
      <c r="AW440" s="622" t="n"/>
      <c r="AX440" s="622" t="n"/>
      <c r="AY440" s="622" t="n"/>
    </row>
    <row r="441">
      <c r="A441" s="622" t="n"/>
      <c r="B441" s="622" t="n"/>
      <c r="C441" s="622" t="n"/>
      <c r="D441" s="622" t="n"/>
      <c r="E441" s="622" t="n"/>
      <c r="F441" s="622" t="n"/>
      <c r="G441" s="622" t="n"/>
      <c r="H441" s="622" t="n"/>
      <c r="I441" s="622" t="n"/>
      <c r="J441" s="622" t="n"/>
      <c r="K441" s="622" t="n"/>
      <c r="L441" s="622" t="n"/>
      <c r="M441" s="622" t="n"/>
      <c r="N441" s="622" t="n"/>
      <c r="O441" s="622" t="n"/>
      <c r="P441" s="622" t="n"/>
      <c r="Q441" s="622" t="n"/>
      <c r="R441" s="622" t="n"/>
      <c r="S441" s="622" t="n"/>
      <c r="T441" s="622" t="n"/>
      <c r="U441" s="622" t="n"/>
      <c r="V441" s="622" t="n"/>
      <c r="W441" s="622" t="n"/>
      <c r="X441" s="622" t="n"/>
      <c r="Y441" s="622" t="n"/>
      <c r="Z441" s="622" t="n"/>
      <c r="AA441" s="622" t="n"/>
      <c r="AB441" s="622" t="n"/>
      <c r="AC441" s="622" t="n"/>
      <c r="AD441" s="622" t="n"/>
      <c r="AE441" s="622" t="n"/>
      <c r="AF441" s="622" t="n"/>
      <c r="AG441" s="622" t="n"/>
      <c r="AH441" s="622" t="n"/>
      <c r="AI441" s="622" t="n"/>
      <c r="AJ441" s="622" t="n"/>
      <c r="AK441" s="622" t="n"/>
      <c r="AL441" s="622" t="n"/>
      <c r="AM441" s="622" t="n"/>
      <c r="AN441" s="622" t="n"/>
      <c r="AO441" s="622" t="n"/>
      <c r="AP441" s="622" t="n"/>
      <c r="AQ441" s="622" t="n"/>
      <c r="AR441" s="622" t="n"/>
      <c r="AS441" s="622" t="n"/>
      <c r="AT441" s="622" t="n"/>
      <c r="AU441" s="622" t="n"/>
      <c r="AV441" s="622" t="n"/>
      <c r="AW441" s="622" t="n"/>
      <c r="AX441" s="622" t="n"/>
      <c r="AY441" s="622" t="n"/>
    </row>
    <row r="442">
      <c r="A442" s="622" t="n"/>
      <c r="B442" s="622" t="n"/>
      <c r="C442" s="622" t="n"/>
      <c r="D442" s="622" t="n"/>
      <c r="E442" s="622" t="n"/>
      <c r="F442" s="622" t="n"/>
      <c r="G442" s="622" t="n"/>
      <c r="H442" s="622" t="n"/>
      <c r="I442" s="622" t="n"/>
      <c r="J442" s="622" t="n"/>
      <c r="K442" s="622" t="n"/>
      <c r="L442" s="622" t="n"/>
      <c r="M442" s="622" t="n"/>
      <c r="N442" s="622" t="n"/>
      <c r="O442" s="622" t="n"/>
      <c r="P442" s="622" t="n"/>
      <c r="Q442" s="622" t="n"/>
      <c r="R442" s="622" t="n"/>
      <c r="S442" s="622" t="n"/>
      <c r="T442" s="622" t="n"/>
      <c r="U442" s="622" t="n"/>
      <c r="V442" s="622" t="n"/>
      <c r="W442" s="622" t="n"/>
      <c r="X442" s="622" t="n"/>
      <c r="Y442" s="622" t="n"/>
      <c r="Z442" s="622" t="n"/>
      <c r="AA442" s="622" t="n"/>
      <c r="AB442" s="622" t="n"/>
      <c r="AC442" s="622" t="n"/>
      <c r="AD442" s="622" t="n"/>
      <c r="AE442" s="622" t="n"/>
      <c r="AF442" s="622" t="n"/>
      <c r="AG442" s="622" t="n"/>
      <c r="AH442" s="622" t="n"/>
      <c r="AI442" s="622" t="n"/>
      <c r="AJ442" s="622" t="n"/>
      <c r="AK442" s="622" t="n"/>
      <c r="AL442" s="622" t="n"/>
      <c r="AM442" s="622" t="n"/>
      <c r="AN442" s="622" t="n"/>
      <c r="AO442" s="622" t="n"/>
      <c r="AP442" s="622" t="n"/>
      <c r="AQ442" s="622" t="n"/>
      <c r="AR442" s="622" t="n"/>
      <c r="AS442" s="622" t="n"/>
      <c r="AT442" s="622" t="n"/>
      <c r="AU442" s="622" t="n"/>
      <c r="AV442" s="622" t="n"/>
      <c r="AW442" s="622" t="n"/>
      <c r="AX442" s="622" t="n"/>
      <c r="AY442" s="622" t="n"/>
    </row>
    <row r="443">
      <c r="A443" s="622" t="n"/>
      <c r="B443" s="622" t="n"/>
      <c r="C443" s="622" t="n"/>
      <c r="D443" s="622" t="n"/>
      <c r="E443" s="622" t="n"/>
      <c r="F443" s="622" t="n"/>
      <c r="G443" s="622" t="n"/>
      <c r="H443" s="622" t="n"/>
      <c r="I443" s="622" t="n"/>
      <c r="J443" s="622" t="n"/>
      <c r="K443" s="622" t="n"/>
      <c r="L443" s="622" t="n"/>
      <c r="M443" s="622" t="n"/>
      <c r="N443" s="622" t="n"/>
      <c r="O443" s="622" t="n"/>
      <c r="P443" s="622" t="n"/>
      <c r="Q443" s="622" t="n"/>
      <c r="R443" s="622" t="n"/>
      <c r="S443" s="622" t="n"/>
      <c r="T443" s="622" t="n"/>
      <c r="U443" s="622" t="n"/>
      <c r="V443" s="622" t="n"/>
      <c r="W443" s="622" t="n"/>
      <c r="X443" s="622" t="n"/>
      <c r="Y443" s="622" t="n"/>
      <c r="Z443" s="622" t="n"/>
      <c r="AA443" s="622" t="n"/>
      <c r="AB443" s="622" t="n"/>
      <c r="AC443" s="622" t="n"/>
      <c r="AD443" s="622" t="n"/>
      <c r="AE443" s="622" t="n"/>
      <c r="AF443" s="622" t="n"/>
      <c r="AG443" s="622" t="n"/>
      <c r="AH443" s="622" t="n"/>
      <c r="AI443" s="622" t="n"/>
      <c r="AJ443" s="622" t="n"/>
      <c r="AK443" s="622" t="n"/>
      <c r="AL443" s="622" t="n"/>
      <c r="AM443" s="622" t="n"/>
      <c r="AN443" s="622" t="n"/>
      <c r="AO443" s="622" t="n"/>
      <c r="AP443" s="622" t="n"/>
      <c r="AQ443" s="622" t="n"/>
      <c r="AR443" s="622" t="n"/>
      <c r="AS443" s="622" t="n"/>
      <c r="AT443" s="622" t="n"/>
      <c r="AU443" s="622" t="n"/>
      <c r="AV443" s="622" t="n"/>
      <c r="AW443" s="622" t="n"/>
      <c r="AX443" s="622" t="n"/>
      <c r="AY443" s="622" t="n"/>
    </row>
    <row r="444">
      <c r="A444" s="622" t="n"/>
      <c r="B444" s="622" t="n"/>
      <c r="C444" s="622" t="n"/>
      <c r="D444" s="622" t="n"/>
      <c r="E444" s="622" t="n"/>
      <c r="F444" s="622" t="n"/>
      <c r="G444" s="622" t="n"/>
      <c r="H444" s="622" t="n"/>
      <c r="I444" s="622" t="n"/>
      <c r="J444" s="622" t="n"/>
      <c r="K444" s="622" t="n"/>
      <c r="L444" s="622" t="n"/>
      <c r="M444" s="622" t="n"/>
      <c r="N444" s="622" t="n"/>
      <c r="O444" s="622" t="n"/>
      <c r="P444" s="622" t="n"/>
      <c r="Q444" s="622" t="n"/>
      <c r="R444" s="622" t="n"/>
      <c r="S444" s="622" t="n"/>
      <c r="T444" s="622" t="n"/>
      <c r="U444" s="622" t="n"/>
      <c r="V444" s="622" t="n"/>
      <c r="W444" s="622" t="n"/>
      <c r="X444" s="622" t="n"/>
      <c r="Y444" s="622" t="n"/>
      <c r="Z444" s="622" t="n"/>
      <c r="AA444" s="622" t="n"/>
      <c r="AB444" s="622" t="n"/>
      <c r="AC444" s="622" t="n"/>
      <c r="AD444" s="622" t="n"/>
      <c r="AE444" s="622" t="n"/>
      <c r="AF444" s="622" t="n"/>
      <c r="AG444" s="622" t="n"/>
      <c r="AH444" s="622" t="n"/>
      <c r="AI444" s="622" t="n"/>
      <c r="AJ444" s="622" t="n"/>
      <c r="AK444" s="622" t="n"/>
      <c r="AL444" s="622" t="n"/>
      <c r="AM444" s="622" t="n"/>
      <c r="AN444" s="622" t="n"/>
      <c r="AO444" s="622" t="n"/>
      <c r="AP444" s="622" t="n"/>
      <c r="AQ444" s="622" t="n"/>
      <c r="AR444" s="622" t="n"/>
      <c r="AS444" s="622" t="n"/>
      <c r="AT444" s="622" t="n"/>
      <c r="AU444" s="622" t="n"/>
      <c r="AV444" s="622" t="n"/>
      <c r="AW444" s="622" t="n"/>
      <c r="AX444" s="622" t="n"/>
      <c r="AY444" s="622" t="n"/>
    </row>
    <row r="445">
      <c r="A445" s="622" t="n"/>
      <c r="B445" s="622" t="n"/>
      <c r="C445" s="622" t="n"/>
      <c r="D445" s="622" t="n"/>
      <c r="E445" s="622" t="n"/>
      <c r="F445" s="622" t="n"/>
      <c r="G445" s="622" t="n"/>
      <c r="H445" s="622" t="n"/>
      <c r="I445" s="622" t="n"/>
      <c r="J445" s="622" t="n"/>
      <c r="K445" s="622" t="n"/>
      <c r="L445" s="622" t="n"/>
      <c r="M445" s="622" t="n"/>
      <c r="N445" s="622" t="n"/>
      <c r="O445" s="622" t="n"/>
      <c r="P445" s="622" t="n"/>
      <c r="Q445" s="622" t="n"/>
      <c r="R445" s="622" t="n"/>
      <c r="S445" s="622" t="n"/>
      <c r="T445" s="622" t="n"/>
      <c r="U445" s="622" t="n"/>
      <c r="V445" s="622" t="n"/>
      <c r="W445" s="622" t="n"/>
      <c r="X445" s="622" t="n"/>
      <c r="Y445" s="622" t="n"/>
      <c r="Z445" s="622" t="n"/>
      <c r="AA445" s="622" t="n"/>
      <c r="AB445" s="622" t="n"/>
      <c r="AC445" s="622" t="n"/>
      <c r="AD445" s="622" t="n"/>
      <c r="AE445" s="622" t="n"/>
      <c r="AF445" s="622" t="n"/>
      <c r="AG445" s="622" t="n"/>
      <c r="AH445" s="622" t="n"/>
      <c r="AI445" s="622" t="n"/>
      <c r="AJ445" s="622" t="n"/>
      <c r="AK445" s="622" t="n"/>
      <c r="AL445" s="622" t="n"/>
      <c r="AM445" s="622" t="n"/>
      <c r="AN445" s="622" t="n"/>
      <c r="AO445" s="622" t="n"/>
      <c r="AP445" s="622" t="n"/>
      <c r="AQ445" s="622" t="n"/>
      <c r="AR445" s="622" t="n"/>
      <c r="AS445" s="622" t="n"/>
      <c r="AT445" s="622" t="n"/>
      <c r="AU445" s="622" t="n"/>
      <c r="AV445" s="622" t="n"/>
      <c r="AW445" s="622" t="n"/>
      <c r="AX445" s="622" t="n"/>
      <c r="AY445" s="622" t="n"/>
    </row>
    <row r="446">
      <c r="A446" s="622" t="n"/>
      <c r="B446" s="622" t="n"/>
      <c r="C446" s="622" t="n"/>
      <c r="D446" s="622" t="n"/>
      <c r="E446" s="622" t="n"/>
      <c r="F446" s="622" t="n"/>
      <c r="G446" s="622" t="n"/>
      <c r="H446" s="622" t="n"/>
      <c r="I446" s="622" t="n"/>
      <c r="J446" s="622" t="n"/>
      <c r="K446" s="622" t="n"/>
      <c r="L446" s="622" t="n"/>
      <c r="M446" s="622" t="n"/>
      <c r="N446" s="622" t="n"/>
      <c r="O446" s="622" t="n"/>
      <c r="P446" s="622" t="n"/>
      <c r="Q446" s="622" t="n"/>
      <c r="R446" s="622" t="n"/>
      <c r="S446" s="622" t="n"/>
      <c r="T446" s="622" t="n"/>
      <c r="U446" s="622" t="n"/>
      <c r="V446" s="622" t="n"/>
      <c r="W446" s="622" t="n"/>
      <c r="X446" s="622" t="n"/>
      <c r="Y446" s="622" t="n"/>
      <c r="Z446" s="622" t="n"/>
      <c r="AA446" s="622" t="n"/>
      <c r="AB446" s="622" t="n"/>
      <c r="AC446" s="622" t="n"/>
      <c r="AD446" s="622" t="n"/>
      <c r="AE446" s="622" t="n"/>
      <c r="AF446" s="622" t="n"/>
      <c r="AG446" s="622" t="n"/>
      <c r="AH446" s="622" t="n"/>
      <c r="AI446" s="622" t="n"/>
      <c r="AJ446" s="622" t="n"/>
      <c r="AK446" s="622" t="n"/>
      <c r="AL446" s="622" t="n"/>
      <c r="AM446" s="622" t="n"/>
      <c r="AN446" s="622" t="n"/>
      <c r="AO446" s="622" t="n"/>
      <c r="AP446" s="622" t="n"/>
      <c r="AQ446" s="622" t="n"/>
      <c r="AR446" s="622" t="n"/>
      <c r="AS446" s="622" t="n"/>
      <c r="AT446" s="622" t="n"/>
      <c r="AU446" s="622" t="n"/>
      <c r="AV446" s="622" t="n"/>
      <c r="AW446" s="622" t="n"/>
      <c r="AX446" s="622" t="n"/>
      <c r="AY446" s="622" t="n"/>
    </row>
    <row r="447">
      <c r="A447" s="622" t="n"/>
      <c r="B447" s="622" t="n"/>
      <c r="C447" s="622" t="n"/>
      <c r="D447" s="622" t="n"/>
      <c r="E447" s="622" t="n"/>
      <c r="F447" s="622" t="n"/>
      <c r="G447" s="622" t="n"/>
      <c r="H447" s="622" t="n"/>
      <c r="I447" s="622" t="n"/>
      <c r="J447" s="622" t="n"/>
      <c r="K447" s="622" t="n"/>
      <c r="L447" s="622" t="n"/>
      <c r="M447" s="622" t="n"/>
      <c r="N447" s="622" t="n"/>
      <c r="O447" s="622" t="n"/>
      <c r="P447" s="622" t="n"/>
      <c r="Q447" s="622" t="n"/>
      <c r="R447" s="622" t="n"/>
      <c r="S447" s="622" t="n"/>
      <c r="T447" s="622" t="n"/>
      <c r="U447" s="622" t="n"/>
      <c r="V447" s="622" t="n"/>
      <c r="W447" s="622" t="n"/>
      <c r="X447" s="622" t="n"/>
      <c r="Y447" s="622" t="n"/>
      <c r="Z447" s="622" t="n"/>
      <c r="AA447" s="622" t="n"/>
      <c r="AB447" s="622" t="n"/>
      <c r="AC447" s="622" t="n"/>
      <c r="AD447" s="622" t="n"/>
      <c r="AE447" s="622" t="n"/>
      <c r="AF447" s="622" t="n"/>
      <c r="AG447" s="622" t="n"/>
      <c r="AH447" s="622" t="n"/>
      <c r="AI447" s="622" t="n"/>
      <c r="AJ447" s="622" t="n"/>
      <c r="AK447" s="622" t="n"/>
      <c r="AL447" s="622" t="n"/>
      <c r="AM447" s="622" t="n"/>
      <c r="AN447" s="622" t="n"/>
      <c r="AO447" s="622" t="n"/>
      <c r="AP447" s="622" t="n"/>
      <c r="AQ447" s="622" t="n"/>
      <c r="AR447" s="622" t="n"/>
      <c r="AS447" s="622" t="n"/>
      <c r="AT447" s="622" t="n"/>
      <c r="AU447" s="622" t="n"/>
      <c r="AV447" s="622" t="n"/>
      <c r="AW447" s="622" t="n"/>
      <c r="AX447" s="622" t="n"/>
      <c r="AY447" s="622" t="n"/>
    </row>
    <row r="448">
      <c r="A448" s="622" t="n"/>
      <c r="B448" s="622" t="n"/>
      <c r="C448" s="622" t="n"/>
      <c r="D448" s="622" t="n"/>
      <c r="E448" s="622" t="n"/>
      <c r="F448" s="622" t="n"/>
      <c r="G448" s="622" t="n"/>
      <c r="H448" s="622" t="n"/>
      <c r="I448" s="622" t="n"/>
      <c r="J448" s="622" t="n"/>
      <c r="K448" s="622" t="n"/>
      <c r="L448" s="622" t="n"/>
      <c r="M448" s="622" t="n"/>
      <c r="N448" s="622" t="n"/>
      <c r="O448" s="622" t="n"/>
      <c r="P448" s="622" t="n"/>
      <c r="Q448" s="622" t="n"/>
      <c r="R448" s="622" t="n"/>
      <c r="S448" s="622" t="n"/>
      <c r="T448" s="622" t="n"/>
      <c r="U448" s="622" t="n"/>
      <c r="V448" s="622" t="n"/>
      <c r="W448" s="622" t="n"/>
      <c r="X448" s="622" t="n"/>
      <c r="Y448" s="622" t="n"/>
      <c r="Z448" s="622" t="n"/>
      <c r="AA448" s="622" t="n"/>
      <c r="AB448" s="622" t="n"/>
      <c r="AC448" s="622" t="n"/>
      <c r="AD448" s="622" t="n"/>
      <c r="AE448" s="622" t="n"/>
      <c r="AF448" s="622" t="n"/>
      <c r="AG448" s="622" t="n"/>
      <c r="AH448" s="622" t="n"/>
      <c r="AI448" s="622" t="n"/>
      <c r="AJ448" s="622" t="n"/>
      <c r="AK448" s="622" t="n"/>
      <c r="AL448" s="622" t="n"/>
      <c r="AM448" s="622" t="n"/>
      <c r="AN448" s="622" t="n"/>
      <c r="AO448" s="622" t="n"/>
      <c r="AP448" s="622" t="n"/>
      <c r="AQ448" s="622" t="n"/>
      <c r="AR448" s="622" t="n"/>
      <c r="AS448" s="622" t="n"/>
      <c r="AT448" s="622" t="n"/>
      <c r="AU448" s="622" t="n"/>
      <c r="AV448" s="622" t="n"/>
      <c r="AW448" s="622" t="n"/>
      <c r="AX448" s="622" t="n"/>
      <c r="AY448" s="622" t="n"/>
    </row>
    <row r="449">
      <c r="A449" s="622" t="n"/>
      <c r="B449" s="622" t="n"/>
      <c r="C449" s="622" t="n"/>
      <c r="D449" s="622" t="n"/>
      <c r="E449" s="622" t="n"/>
      <c r="F449" s="622" t="n"/>
      <c r="G449" s="622" t="n"/>
      <c r="H449" s="622" t="n"/>
      <c r="I449" s="622" t="n"/>
      <c r="J449" s="622" t="n"/>
      <c r="K449" s="622" t="n"/>
      <c r="L449" s="622" t="n"/>
      <c r="M449" s="622" t="n"/>
      <c r="N449" s="622" t="n"/>
      <c r="O449" s="622" t="n"/>
      <c r="P449" s="622" t="n"/>
      <c r="Q449" s="622" t="n"/>
      <c r="R449" s="622" t="n"/>
      <c r="S449" s="622" t="n"/>
      <c r="T449" s="622" t="n"/>
      <c r="U449" s="622" t="n"/>
      <c r="V449" s="622" t="n"/>
      <c r="W449" s="622" t="n"/>
      <c r="X449" s="622" t="n"/>
      <c r="Y449" s="622" t="n"/>
      <c r="Z449" s="622" t="n"/>
      <c r="AA449" s="622" t="n"/>
      <c r="AB449" s="622" t="n"/>
      <c r="AC449" s="622" t="n"/>
      <c r="AD449" s="622" t="n"/>
      <c r="AE449" s="622" t="n"/>
      <c r="AF449" s="622" t="n"/>
      <c r="AG449" s="622" t="n"/>
      <c r="AH449" s="622" t="n"/>
      <c r="AI449" s="622" t="n"/>
      <c r="AJ449" s="622" t="n"/>
      <c r="AK449" s="622" t="n"/>
      <c r="AL449" s="622" t="n"/>
      <c r="AM449" s="622" t="n"/>
      <c r="AN449" s="622" t="n"/>
      <c r="AO449" s="622" t="n"/>
      <c r="AP449" s="622" t="n"/>
      <c r="AQ449" s="622" t="n"/>
      <c r="AR449" s="622" t="n"/>
      <c r="AS449" s="622" t="n"/>
      <c r="AT449" s="622" t="n"/>
      <c r="AU449" s="622" t="n"/>
      <c r="AV449" s="622" t="n"/>
      <c r="AW449" s="622" t="n"/>
      <c r="AX449" s="622" t="n"/>
      <c r="AY449" s="622" t="n"/>
    </row>
    <row r="450">
      <c r="A450" s="622" t="n"/>
      <c r="B450" s="622" t="n"/>
      <c r="C450" s="622" t="n"/>
      <c r="D450" s="622" t="n"/>
      <c r="E450" s="622" t="n"/>
      <c r="F450" s="622" t="n"/>
      <c r="G450" s="622" t="n"/>
      <c r="H450" s="622" t="n"/>
      <c r="I450" s="622" t="n"/>
      <c r="J450" s="622" t="n"/>
      <c r="K450" s="622" t="n"/>
      <c r="L450" s="622" t="n"/>
      <c r="M450" s="622" t="n"/>
      <c r="N450" s="622" t="n"/>
      <c r="O450" s="622" t="n"/>
      <c r="P450" s="622" t="n"/>
      <c r="Q450" s="622" t="n"/>
      <c r="R450" s="622" t="n"/>
      <c r="S450" s="622" t="n"/>
      <c r="T450" s="622" t="n"/>
      <c r="U450" s="622" t="n"/>
      <c r="V450" s="622" t="n"/>
      <c r="W450" s="622" t="n"/>
      <c r="X450" s="622" t="n"/>
      <c r="Y450" s="622" t="n"/>
      <c r="Z450" s="622" t="n"/>
      <c r="AA450" s="622" t="n"/>
      <c r="AB450" s="622" t="n"/>
      <c r="AC450" s="622" t="n"/>
      <c r="AD450" s="622" t="n"/>
      <c r="AE450" s="622" t="n"/>
      <c r="AF450" s="622" t="n"/>
      <c r="AG450" s="622" t="n"/>
      <c r="AH450" s="622" t="n"/>
      <c r="AI450" s="622" t="n"/>
      <c r="AJ450" s="622" t="n"/>
      <c r="AK450" s="622" t="n"/>
      <c r="AL450" s="622" t="n"/>
      <c r="AM450" s="622" t="n"/>
      <c r="AN450" s="622" t="n"/>
      <c r="AO450" s="622" t="n"/>
      <c r="AP450" s="622" t="n"/>
      <c r="AQ450" s="622" t="n"/>
      <c r="AR450" s="622" t="n"/>
      <c r="AS450" s="622" t="n"/>
      <c r="AT450" s="622" t="n"/>
      <c r="AU450" s="622" t="n"/>
      <c r="AV450" s="622" t="n"/>
      <c r="AW450" s="622" t="n"/>
      <c r="AX450" s="622" t="n"/>
      <c r="AY450" s="622" t="n"/>
    </row>
    <row r="451">
      <c r="A451" s="622" t="n"/>
      <c r="B451" s="622" t="n"/>
      <c r="C451" s="622" t="n"/>
      <c r="D451" s="622" t="n"/>
      <c r="E451" s="622" t="n"/>
      <c r="F451" s="622" t="n"/>
      <c r="G451" s="622" t="n"/>
      <c r="H451" s="622" t="n"/>
      <c r="I451" s="622" t="n"/>
      <c r="J451" s="622" t="n"/>
      <c r="K451" s="622" t="n"/>
      <c r="L451" s="622" t="n"/>
      <c r="M451" s="622" t="n"/>
      <c r="N451" s="622" t="n"/>
      <c r="O451" s="622" t="n"/>
      <c r="P451" s="622" t="n"/>
      <c r="Q451" s="622" t="n"/>
      <c r="R451" s="622" t="n"/>
      <c r="S451" s="622" t="n"/>
      <c r="T451" s="622" t="n"/>
      <c r="U451" s="622" t="n"/>
      <c r="V451" s="622" t="n"/>
      <c r="W451" s="622" t="n"/>
      <c r="X451" s="622" t="n"/>
      <c r="Y451" s="622" t="n"/>
      <c r="Z451" s="622" t="n"/>
      <c r="AA451" s="622" t="n"/>
      <c r="AB451" s="622" t="n"/>
      <c r="AC451" s="622" t="n"/>
      <c r="AD451" s="622" t="n"/>
      <c r="AE451" s="622" t="n"/>
      <c r="AF451" s="622" t="n"/>
      <c r="AG451" s="622" t="n"/>
      <c r="AH451" s="622" t="n"/>
      <c r="AI451" s="622" t="n"/>
      <c r="AJ451" s="622" t="n"/>
      <c r="AK451" s="622" t="n"/>
      <c r="AL451" s="622" t="n"/>
      <c r="AM451" s="622" t="n"/>
      <c r="AN451" s="622" t="n"/>
      <c r="AO451" s="622" t="n"/>
      <c r="AP451" s="622" t="n"/>
      <c r="AQ451" s="622" t="n"/>
      <c r="AR451" s="622" t="n"/>
      <c r="AS451" s="622" t="n"/>
      <c r="AT451" s="622" t="n"/>
      <c r="AU451" s="622" t="n"/>
      <c r="AV451" s="622" t="n"/>
      <c r="AW451" s="622" t="n"/>
      <c r="AX451" s="622" t="n"/>
      <c r="AY451" s="622" t="n"/>
    </row>
    <row r="452">
      <c r="A452" s="622" t="n"/>
      <c r="B452" s="622" t="n"/>
      <c r="C452" s="622" t="n"/>
      <c r="D452" s="622" t="n"/>
      <c r="E452" s="622" t="n"/>
      <c r="F452" s="622" t="n"/>
      <c r="G452" s="622" t="n"/>
      <c r="H452" s="622" t="n"/>
      <c r="I452" s="622" t="n"/>
      <c r="J452" s="622" t="n"/>
      <c r="K452" s="622" t="n"/>
      <c r="L452" s="622" t="n"/>
      <c r="M452" s="622" t="n"/>
      <c r="N452" s="622" t="n"/>
      <c r="O452" s="622" t="n"/>
      <c r="P452" s="622" t="n"/>
      <c r="Q452" s="622" t="n"/>
      <c r="R452" s="622" t="n"/>
      <c r="S452" s="622" t="n"/>
      <c r="T452" s="622" t="n"/>
      <c r="U452" s="622" t="n"/>
      <c r="V452" s="622" t="n"/>
      <c r="W452" s="622" t="n"/>
      <c r="X452" s="622" t="n"/>
      <c r="Y452" s="622" t="n"/>
      <c r="Z452" s="622" t="n"/>
      <c r="AA452" s="622" t="n"/>
      <c r="AB452" s="622" t="n"/>
      <c r="AC452" s="622" t="n"/>
      <c r="AD452" s="622" t="n"/>
      <c r="AE452" s="622" t="n"/>
      <c r="AF452" s="622" t="n"/>
      <c r="AG452" s="622" t="n"/>
      <c r="AH452" s="622" t="n"/>
      <c r="AI452" s="622" t="n"/>
      <c r="AJ452" s="622" t="n"/>
      <c r="AK452" s="622" t="n"/>
      <c r="AL452" s="622" t="n"/>
      <c r="AM452" s="622" t="n"/>
      <c r="AN452" s="622" t="n"/>
      <c r="AO452" s="622" t="n"/>
      <c r="AP452" s="622" t="n"/>
      <c r="AQ452" s="622" t="n"/>
      <c r="AR452" s="622" t="n"/>
      <c r="AS452" s="622" t="n"/>
      <c r="AT452" s="622" t="n"/>
      <c r="AU452" s="622" t="n"/>
      <c r="AV452" s="622" t="n"/>
      <c r="AW452" s="622" t="n"/>
      <c r="AX452" s="622" t="n"/>
      <c r="AY452" s="622" t="n"/>
    </row>
    <row r="453">
      <c r="A453" s="622" t="n"/>
      <c r="B453" s="622" t="n"/>
      <c r="C453" s="622" t="n"/>
      <c r="D453" s="622" t="n"/>
      <c r="E453" s="622" t="n"/>
      <c r="F453" s="622" t="n"/>
      <c r="G453" s="622" t="n"/>
      <c r="H453" s="622" t="n"/>
      <c r="I453" s="622" t="n"/>
      <c r="J453" s="622" t="n"/>
      <c r="K453" s="622" t="n"/>
      <c r="L453" s="622" t="n"/>
      <c r="M453" s="622" t="n"/>
      <c r="N453" s="622" t="n"/>
      <c r="O453" s="622" t="n"/>
      <c r="P453" s="622" t="n"/>
      <c r="Q453" s="622" t="n"/>
      <c r="R453" s="622" t="n"/>
      <c r="S453" s="622" t="n"/>
      <c r="T453" s="622" t="n"/>
      <c r="U453" s="622" t="n"/>
      <c r="V453" s="622" t="n"/>
      <c r="W453" s="622" t="n"/>
      <c r="X453" s="622" t="n"/>
      <c r="Y453" s="622" t="n"/>
      <c r="Z453" s="622" t="n"/>
      <c r="AA453" s="622" t="n"/>
      <c r="AB453" s="622" t="n"/>
      <c r="AC453" s="622" t="n"/>
      <c r="AD453" s="622" t="n"/>
      <c r="AE453" s="622" t="n"/>
      <c r="AF453" s="622" t="n"/>
      <c r="AG453" s="622" t="n"/>
      <c r="AH453" s="622" t="n"/>
      <c r="AI453" s="622" t="n"/>
      <c r="AJ453" s="622" t="n"/>
      <c r="AK453" s="622" t="n"/>
      <c r="AL453" s="622" t="n"/>
      <c r="AM453" s="622" t="n"/>
      <c r="AN453" s="622" t="n"/>
      <c r="AO453" s="622" t="n"/>
      <c r="AP453" s="622" t="n"/>
      <c r="AQ453" s="622" t="n"/>
      <c r="AR453" s="622" t="n"/>
      <c r="AS453" s="622" t="n"/>
      <c r="AT453" s="622" t="n"/>
      <c r="AU453" s="622" t="n"/>
      <c r="AV453" s="622" t="n"/>
      <c r="AW453" s="622" t="n"/>
      <c r="AX453" s="622" t="n"/>
      <c r="AY453" s="622" t="n"/>
    </row>
    <row r="454">
      <c r="A454" s="622" t="n"/>
      <c r="B454" s="622" t="n"/>
      <c r="C454" s="622" t="n"/>
      <c r="D454" s="622" t="n"/>
      <c r="E454" s="622" t="n"/>
      <c r="F454" s="622" t="n"/>
      <c r="G454" s="622" t="n"/>
      <c r="H454" s="622" t="n"/>
      <c r="I454" s="622" t="n"/>
      <c r="J454" s="622" t="n"/>
      <c r="K454" s="622" t="n"/>
      <c r="L454" s="622" t="n"/>
      <c r="M454" s="622" t="n"/>
      <c r="N454" s="622" t="n"/>
      <c r="O454" s="622" t="n"/>
      <c r="P454" s="622" t="n"/>
      <c r="Q454" s="622" t="n"/>
      <c r="R454" s="622" t="n"/>
      <c r="S454" s="622" t="n"/>
      <c r="T454" s="622" t="n"/>
      <c r="U454" s="622" t="n"/>
      <c r="V454" s="622" t="n"/>
      <c r="W454" s="622" t="n"/>
      <c r="X454" s="622" t="n"/>
      <c r="Y454" s="622" t="n"/>
      <c r="Z454" s="622" t="n"/>
      <c r="AA454" s="622" t="n"/>
      <c r="AB454" s="622" t="n"/>
      <c r="AC454" s="622" t="n"/>
      <c r="AD454" s="622" t="n"/>
      <c r="AE454" s="622" t="n"/>
      <c r="AF454" s="622" t="n"/>
      <c r="AG454" s="622" t="n"/>
      <c r="AH454" s="622" t="n"/>
      <c r="AI454" s="622" t="n"/>
      <c r="AJ454" s="622" t="n"/>
      <c r="AK454" s="622" t="n"/>
      <c r="AL454" s="622" t="n"/>
      <c r="AM454" s="622" t="n"/>
      <c r="AN454" s="622" t="n"/>
      <c r="AO454" s="622" t="n"/>
      <c r="AP454" s="622" t="n"/>
      <c r="AQ454" s="622" t="n"/>
      <c r="AR454" s="622" t="n"/>
      <c r="AS454" s="622" t="n"/>
      <c r="AT454" s="622" t="n"/>
      <c r="AU454" s="622" t="n"/>
      <c r="AV454" s="622" t="n"/>
      <c r="AW454" s="622" t="n"/>
      <c r="AX454" s="622" t="n"/>
      <c r="AY454" s="622" t="n"/>
    </row>
    <row r="455">
      <c r="A455" s="622" t="n"/>
      <c r="B455" s="622" t="n"/>
      <c r="C455" s="622" t="n"/>
      <c r="D455" s="622" t="n"/>
      <c r="E455" s="622" t="n"/>
      <c r="F455" s="622" t="n"/>
      <c r="G455" s="622" t="n"/>
      <c r="H455" s="622" t="n"/>
      <c r="I455" s="622" t="n"/>
      <c r="J455" s="622" t="n"/>
      <c r="K455" s="622" t="n"/>
      <c r="L455" s="622" t="n"/>
      <c r="M455" s="622" t="n"/>
      <c r="N455" s="622" t="n"/>
      <c r="O455" s="622" t="n"/>
      <c r="P455" s="622" t="n"/>
      <c r="Q455" s="622" t="n"/>
      <c r="R455" s="622" t="n"/>
      <c r="S455" s="622" t="n"/>
      <c r="T455" s="622" t="n"/>
      <c r="U455" s="622" t="n"/>
      <c r="V455" s="622" t="n"/>
      <c r="W455" s="622" t="n"/>
      <c r="X455" s="622" t="n"/>
      <c r="Y455" s="622" t="n"/>
      <c r="Z455" s="622" t="n"/>
      <c r="AA455" s="622" t="n"/>
      <c r="AB455" s="622" t="n"/>
      <c r="AC455" s="622" t="n"/>
      <c r="AD455" s="622" t="n"/>
      <c r="AE455" s="622" t="n"/>
      <c r="AF455" s="622" t="n"/>
      <c r="AG455" s="622" t="n"/>
      <c r="AH455" s="622" t="n"/>
      <c r="AI455" s="622" t="n"/>
      <c r="AJ455" s="622" t="n"/>
      <c r="AK455" s="622" t="n"/>
      <c r="AL455" s="622" t="n"/>
      <c r="AM455" s="622" t="n"/>
      <c r="AN455" s="622" t="n"/>
      <c r="AO455" s="622" t="n"/>
      <c r="AP455" s="622" t="n"/>
      <c r="AQ455" s="622" t="n"/>
      <c r="AR455" s="622" t="n"/>
      <c r="AS455" s="622" t="n"/>
      <c r="AT455" s="622" t="n"/>
      <c r="AU455" s="622" t="n"/>
      <c r="AV455" s="622" t="n"/>
      <c r="AW455" s="622" t="n"/>
      <c r="AX455" s="622" t="n"/>
      <c r="AY455" s="622" t="n"/>
    </row>
    <row r="456">
      <c r="A456" s="622" t="n"/>
      <c r="B456" s="622" t="n"/>
      <c r="C456" s="622" t="n"/>
      <c r="D456" s="622" t="n"/>
      <c r="E456" s="622" t="n"/>
      <c r="F456" s="622" t="n"/>
      <c r="G456" s="622" t="n"/>
      <c r="H456" s="622" t="n"/>
      <c r="I456" s="622" t="n"/>
      <c r="J456" s="622" t="n"/>
      <c r="K456" s="622" t="n"/>
      <c r="L456" s="622" t="n"/>
      <c r="M456" s="622" t="n"/>
      <c r="N456" s="622" t="n"/>
      <c r="O456" s="622" t="n"/>
      <c r="P456" s="622" t="n"/>
      <c r="Q456" s="622" t="n"/>
      <c r="R456" s="622" t="n"/>
      <c r="S456" s="622" t="n"/>
      <c r="T456" s="622" t="n"/>
      <c r="U456" s="622" t="n"/>
      <c r="V456" s="622" t="n"/>
      <c r="W456" s="622" t="n"/>
      <c r="X456" s="622" t="n"/>
      <c r="Y456" s="622" t="n"/>
      <c r="Z456" s="622" t="n"/>
      <c r="AA456" s="622" t="n"/>
      <c r="AB456" s="622" t="n"/>
      <c r="AC456" s="622" t="n"/>
      <c r="AD456" s="622" t="n"/>
      <c r="AE456" s="622" t="n"/>
      <c r="AF456" s="622" t="n"/>
      <c r="AG456" s="622" t="n"/>
      <c r="AH456" s="622" t="n"/>
      <c r="AI456" s="622" t="n"/>
      <c r="AJ456" s="622" t="n"/>
      <c r="AK456" s="622" t="n"/>
      <c r="AL456" s="622" t="n"/>
      <c r="AM456" s="622" t="n"/>
      <c r="AN456" s="622" t="n"/>
      <c r="AO456" s="622" t="n"/>
      <c r="AP456" s="622" t="n"/>
      <c r="AQ456" s="622" t="n"/>
      <c r="AR456" s="622" t="n"/>
      <c r="AS456" s="622" t="n"/>
      <c r="AT456" s="622" t="n"/>
      <c r="AU456" s="622" t="n"/>
      <c r="AV456" s="622" t="n"/>
      <c r="AW456" s="622" t="n"/>
      <c r="AX456" s="622" t="n"/>
      <c r="AY456" s="622" t="n"/>
    </row>
    <row r="457">
      <c r="A457" s="622" t="n"/>
      <c r="B457" s="622" t="n"/>
      <c r="C457" s="622" t="n"/>
      <c r="D457" s="622" t="n"/>
      <c r="E457" s="622" t="n"/>
      <c r="F457" s="622" t="n"/>
      <c r="G457" s="622" t="n"/>
      <c r="H457" s="622" t="n"/>
      <c r="I457" s="622" t="n"/>
      <c r="J457" s="622" t="n"/>
      <c r="K457" s="622" t="n"/>
      <c r="L457" s="622" t="n"/>
      <c r="M457" s="622" t="n"/>
      <c r="N457" s="622" t="n"/>
      <c r="O457" s="622" t="n"/>
      <c r="P457" s="622" t="n"/>
      <c r="Q457" s="622" t="n"/>
      <c r="R457" s="622" t="n"/>
      <c r="S457" s="622" t="n"/>
      <c r="T457" s="622" t="n"/>
      <c r="U457" s="622" t="n"/>
      <c r="V457" s="622" t="n"/>
      <c r="W457" s="622" t="n"/>
      <c r="X457" s="622" t="n"/>
      <c r="Y457" s="622" t="n"/>
      <c r="Z457" s="622" t="n"/>
      <c r="AA457" s="622" t="n"/>
      <c r="AB457" s="622" t="n"/>
      <c r="AC457" s="622" t="n"/>
      <c r="AD457" s="622" t="n"/>
      <c r="AE457" s="622" t="n"/>
      <c r="AF457" s="622" t="n"/>
      <c r="AG457" s="622" t="n"/>
      <c r="AH457" s="622" t="n"/>
      <c r="AI457" s="622" t="n"/>
      <c r="AJ457" s="622" t="n"/>
      <c r="AK457" s="622" t="n"/>
      <c r="AL457" s="622" t="n"/>
      <c r="AM457" s="622" t="n"/>
      <c r="AN457" s="622" t="n"/>
      <c r="AO457" s="622" t="n"/>
      <c r="AP457" s="622" t="n"/>
      <c r="AQ457" s="622" t="n"/>
      <c r="AR457" s="622" t="n"/>
      <c r="AS457" s="622" t="n"/>
      <c r="AT457" s="622" t="n"/>
      <c r="AU457" s="622" t="n"/>
      <c r="AV457" s="622" t="n"/>
      <c r="AW457" s="622" t="n"/>
      <c r="AX457" s="622" t="n"/>
      <c r="AY457" s="622" t="n"/>
    </row>
    <row r="458">
      <c r="A458" s="622" t="n"/>
      <c r="B458" s="622" t="n"/>
      <c r="C458" s="622" t="n"/>
      <c r="D458" s="622" t="n"/>
      <c r="E458" s="622" t="n"/>
      <c r="F458" s="622" t="n"/>
      <c r="G458" s="622" t="n"/>
      <c r="H458" s="622" t="n"/>
      <c r="I458" s="622" t="n"/>
      <c r="J458" s="622" t="n"/>
      <c r="K458" s="622" t="n"/>
      <c r="L458" s="622" t="n"/>
      <c r="M458" s="622" t="n"/>
      <c r="N458" s="622" t="n"/>
      <c r="O458" s="622" t="n"/>
      <c r="P458" s="622" t="n"/>
      <c r="Q458" s="622" t="n"/>
      <c r="R458" s="622" t="n"/>
      <c r="S458" s="622" t="n"/>
      <c r="T458" s="622" t="n"/>
      <c r="U458" s="622" t="n"/>
      <c r="V458" s="622" t="n"/>
      <c r="W458" s="622" t="n"/>
      <c r="X458" s="622" t="n"/>
      <c r="Y458" s="622" t="n"/>
      <c r="Z458" s="622" t="n"/>
      <c r="AA458" s="622" t="n"/>
      <c r="AB458" s="622" t="n"/>
      <c r="AC458" s="622" t="n"/>
      <c r="AD458" s="622" t="n"/>
      <c r="AE458" s="622" t="n"/>
      <c r="AF458" s="622" t="n"/>
      <c r="AG458" s="622" t="n"/>
      <c r="AH458" s="622" t="n"/>
      <c r="AI458" s="622" t="n"/>
      <c r="AJ458" s="622" t="n"/>
      <c r="AK458" s="622" t="n"/>
      <c r="AL458" s="622" t="n"/>
      <c r="AM458" s="622" t="n"/>
      <c r="AN458" s="622" t="n"/>
      <c r="AO458" s="622" t="n"/>
      <c r="AP458" s="622" t="n"/>
      <c r="AQ458" s="622" t="n"/>
      <c r="AR458" s="622" t="n"/>
      <c r="AS458" s="622" t="n"/>
      <c r="AT458" s="622" t="n"/>
      <c r="AU458" s="622" t="n"/>
      <c r="AV458" s="622" t="n"/>
      <c r="AW458" s="622" t="n"/>
      <c r="AX458" s="622" t="n"/>
      <c r="AY458" s="622" t="n"/>
    </row>
    <row r="459">
      <c r="A459" s="622" t="n"/>
      <c r="B459" s="622" t="n"/>
      <c r="C459" s="622" t="n"/>
      <c r="D459" s="622" t="n"/>
      <c r="E459" s="622" t="n"/>
      <c r="F459" s="622" t="n"/>
      <c r="G459" s="622" t="n"/>
      <c r="H459" s="622" t="n"/>
      <c r="I459" s="622" t="n"/>
      <c r="J459" s="622" t="n"/>
      <c r="K459" s="622" t="n"/>
      <c r="L459" s="622" t="n"/>
      <c r="M459" s="622" t="n"/>
      <c r="N459" s="622" t="n"/>
      <c r="O459" s="622" t="n"/>
      <c r="P459" s="622" t="n"/>
      <c r="Q459" s="622" t="n"/>
      <c r="R459" s="622" t="n"/>
      <c r="S459" s="622" t="n"/>
      <c r="T459" s="622" t="n"/>
      <c r="U459" s="622" t="n"/>
      <c r="V459" s="622" t="n"/>
      <c r="W459" s="622" t="n"/>
      <c r="X459" s="622" t="n"/>
      <c r="Y459" s="622" t="n"/>
      <c r="Z459" s="622" t="n"/>
      <c r="AA459" s="622" t="n"/>
      <c r="AB459" s="622" t="n"/>
      <c r="AC459" s="622" t="n"/>
      <c r="AD459" s="622" t="n"/>
      <c r="AE459" s="622" t="n"/>
      <c r="AF459" s="622" t="n"/>
      <c r="AG459" s="622" t="n"/>
      <c r="AH459" s="622" t="n"/>
      <c r="AI459" s="622" t="n"/>
      <c r="AJ459" s="622" t="n"/>
      <c r="AK459" s="622" t="n"/>
      <c r="AL459" s="622" t="n"/>
      <c r="AM459" s="622" t="n"/>
      <c r="AN459" s="622" t="n"/>
      <c r="AO459" s="622" t="n"/>
      <c r="AP459" s="622" t="n"/>
      <c r="AQ459" s="622" t="n"/>
      <c r="AR459" s="622" t="n"/>
      <c r="AS459" s="622" t="n"/>
      <c r="AT459" s="622" t="n"/>
      <c r="AU459" s="622" t="n"/>
      <c r="AV459" s="622" t="n"/>
      <c r="AW459" s="622" t="n"/>
      <c r="AX459" s="622" t="n"/>
      <c r="AY459" s="622" t="n"/>
    </row>
    <row r="460">
      <c r="A460" s="622" t="n"/>
      <c r="B460" s="622" t="n"/>
      <c r="C460" s="622" t="n"/>
      <c r="D460" s="622" t="n"/>
      <c r="E460" s="622" t="n"/>
      <c r="F460" s="622" t="n"/>
      <c r="G460" s="622" t="n"/>
      <c r="H460" s="622" t="n"/>
      <c r="I460" s="622" t="n"/>
      <c r="J460" s="622" t="n"/>
      <c r="K460" s="622" t="n"/>
      <c r="L460" s="622" t="n"/>
      <c r="M460" s="622" t="n"/>
      <c r="N460" s="622" t="n"/>
      <c r="O460" s="622" t="n"/>
      <c r="P460" s="622" t="n"/>
      <c r="Q460" s="622" t="n"/>
      <c r="R460" s="622" t="n"/>
      <c r="S460" s="622" t="n"/>
      <c r="T460" s="622" t="n"/>
      <c r="U460" s="622" t="n"/>
      <c r="V460" s="622" t="n"/>
      <c r="W460" s="622" t="n"/>
      <c r="X460" s="622" t="n"/>
      <c r="Y460" s="622" t="n"/>
      <c r="Z460" s="622" t="n"/>
      <c r="AA460" s="622" t="n"/>
      <c r="AB460" s="622" t="n"/>
      <c r="AC460" s="622" t="n"/>
      <c r="AD460" s="622" t="n"/>
      <c r="AE460" s="622" t="n"/>
      <c r="AF460" s="622" t="n"/>
      <c r="AG460" s="622" t="n"/>
      <c r="AH460" s="622" t="n"/>
      <c r="AI460" s="622" t="n"/>
      <c r="AJ460" s="622" t="n"/>
      <c r="AK460" s="622" t="n"/>
      <c r="AL460" s="622" t="n"/>
      <c r="AM460" s="622" t="n"/>
      <c r="AN460" s="622" t="n"/>
      <c r="AO460" s="622" t="n"/>
      <c r="AP460" s="622" t="n"/>
      <c r="AQ460" s="622" t="n"/>
      <c r="AR460" s="622" t="n"/>
      <c r="AS460" s="622" t="n"/>
      <c r="AT460" s="622" t="n"/>
      <c r="AU460" s="622" t="n"/>
      <c r="AV460" s="622" t="n"/>
      <c r="AW460" s="622" t="n"/>
      <c r="AX460" s="622" t="n"/>
      <c r="AY460" s="622" t="n"/>
    </row>
    <row r="461">
      <c r="A461" s="622" t="n"/>
      <c r="B461" s="622" t="n"/>
      <c r="C461" s="622" t="n"/>
      <c r="D461" s="622" t="n"/>
      <c r="E461" s="622" t="n"/>
      <c r="F461" s="622" t="n"/>
      <c r="G461" s="622" t="n"/>
      <c r="H461" s="622" t="n"/>
      <c r="I461" s="622" t="n"/>
      <c r="J461" s="622" t="n"/>
      <c r="K461" s="622" t="n"/>
      <c r="L461" s="622" t="n"/>
      <c r="M461" s="622" t="n"/>
      <c r="N461" s="622" t="n"/>
      <c r="O461" s="622" t="n"/>
      <c r="P461" s="622" t="n"/>
      <c r="Q461" s="622" t="n"/>
      <c r="R461" s="622" t="n"/>
      <c r="S461" s="622" t="n"/>
      <c r="T461" s="622" t="n"/>
      <c r="U461" s="622" t="n"/>
      <c r="V461" s="622" t="n"/>
      <c r="W461" s="622" t="n"/>
      <c r="X461" s="622" t="n"/>
      <c r="Y461" s="622" t="n"/>
      <c r="Z461" s="622" t="n"/>
      <c r="AA461" s="622" t="n"/>
      <c r="AB461" s="622" t="n"/>
      <c r="AC461" s="622" t="n"/>
      <c r="AD461" s="622" t="n"/>
      <c r="AE461" s="622" t="n"/>
      <c r="AF461" s="622" t="n"/>
      <c r="AG461" s="622" t="n"/>
      <c r="AH461" s="622" t="n"/>
      <c r="AI461" s="622" t="n"/>
      <c r="AJ461" s="622" t="n"/>
      <c r="AK461" s="622" t="n"/>
      <c r="AL461" s="622" t="n"/>
      <c r="AM461" s="622" t="n"/>
      <c r="AN461" s="622" t="n"/>
      <c r="AO461" s="622" t="n"/>
      <c r="AP461" s="622" t="n"/>
      <c r="AQ461" s="622" t="n"/>
      <c r="AR461" s="622" t="n"/>
      <c r="AS461" s="622" t="n"/>
      <c r="AT461" s="622" t="n"/>
      <c r="AU461" s="622" t="n"/>
      <c r="AV461" s="622" t="n"/>
      <c r="AW461" s="622" t="n"/>
      <c r="AX461" s="622" t="n"/>
      <c r="AY461" s="622" t="n"/>
    </row>
    <row r="462">
      <c r="A462" s="622" t="n"/>
      <c r="B462" s="622" t="n"/>
      <c r="C462" s="622" t="n"/>
      <c r="D462" s="622" t="n"/>
      <c r="E462" s="622" t="n"/>
      <c r="F462" s="622" t="n"/>
      <c r="G462" s="622" t="n"/>
      <c r="H462" s="622" t="n"/>
      <c r="I462" s="622" t="n"/>
      <c r="J462" s="622" t="n"/>
      <c r="K462" s="622" t="n"/>
      <c r="L462" s="622" t="n"/>
      <c r="M462" s="622" t="n"/>
      <c r="N462" s="622" t="n"/>
      <c r="O462" s="622" t="n"/>
      <c r="P462" s="622" t="n"/>
      <c r="Q462" s="622" t="n"/>
      <c r="R462" s="622" t="n"/>
      <c r="S462" s="622" t="n"/>
      <c r="T462" s="622" t="n"/>
      <c r="U462" s="622" t="n"/>
      <c r="V462" s="622" t="n"/>
      <c r="W462" s="622" t="n"/>
      <c r="X462" s="622" t="n"/>
      <c r="Y462" s="622" t="n"/>
      <c r="Z462" s="622" t="n"/>
      <c r="AA462" s="622" t="n"/>
      <c r="AB462" s="622" t="n"/>
      <c r="AC462" s="622" t="n"/>
      <c r="AD462" s="622" t="n"/>
      <c r="AE462" s="622" t="n"/>
      <c r="AF462" s="622" t="n"/>
      <c r="AG462" s="622" t="n"/>
      <c r="AH462" s="622" t="n"/>
      <c r="AI462" s="622" t="n"/>
      <c r="AJ462" s="622" t="n"/>
      <c r="AK462" s="622" t="n"/>
      <c r="AL462" s="622" t="n"/>
      <c r="AM462" s="622" t="n"/>
      <c r="AN462" s="622" t="n"/>
      <c r="AO462" s="622" t="n"/>
      <c r="AP462" s="622" t="n"/>
      <c r="AQ462" s="622" t="n"/>
      <c r="AR462" s="622" t="n"/>
      <c r="AS462" s="622" t="n"/>
      <c r="AT462" s="622" t="n"/>
      <c r="AU462" s="622" t="n"/>
      <c r="AV462" s="622" t="n"/>
      <c r="AW462" s="622" t="n"/>
      <c r="AX462" s="622" t="n"/>
      <c r="AY462" s="622" t="n"/>
    </row>
    <row r="463">
      <c r="A463" s="622" t="n"/>
      <c r="B463" s="622" t="n"/>
      <c r="C463" s="622" t="n"/>
      <c r="D463" s="622" t="n"/>
      <c r="E463" s="622" t="n"/>
      <c r="F463" s="622" t="n"/>
      <c r="G463" s="622" t="n"/>
      <c r="H463" s="622" t="n"/>
      <c r="I463" s="622" t="n"/>
      <c r="J463" s="622" t="n"/>
      <c r="K463" s="622" t="n"/>
      <c r="L463" s="622" t="n"/>
      <c r="M463" s="622" t="n"/>
      <c r="N463" s="622" t="n"/>
      <c r="O463" s="622" t="n"/>
      <c r="P463" s="622" t="n"/>
      <c r="Q463" s="622" t="n"/>
      <c r="R463" s="622" t="n"/>
      <c r="S463" s="622" t="n"/>
      <c r="T463" s="622" t="n"/>
      <c r="U463" s="622" t="n"/>
      <c r="V463" s="622" t="n"/>
      <c r="W463" s="622" t="n"/>
      <c r="X463" s="622" t="n"/>
      <c r="Y463" s="622" t="n"/>
      <c r="Z463" s="622" t="n"/>
      <c r="AA463" s="622" t="n"/>
      <c r="AB463" s="622" t="n"/>
      <c r="AC463" s="622" t="n"/>
      <c r="AD463" s="622" t="n"/>
      <c r="AE463" s="622" t="n"/>
      <c r="AF463" s="622" t="n"/>
      <c r="AG463" s="622" t="n"/>
      <c r="AH463" s="622" t="n"/>
      <c r="AI463" s="622" t="n"/>
      <c r="AJ463" s="622" t="n"/>
      <c r="AK463" s="622" t="n"/>
      <c r="AL463" s="622" t="n"/>
      <c r="AM463" s="622" t="n"/>
      <c r="AN463" s="622" t="n"/>
      <c r="AO463" s="622" t="n"/>
      <c r="AP463" s="622" t="n"/>
      <c r="AQ463" s="622" t="n"/>
      <c r="AR463" s="622" t="n"/>
      <c r="AS463" s="622" t="n"/>
      <c r="AT463" s="622" t="n"/>
      <c r="AU463" s="622" t="n"/>
      <c r="AV463" s="622" t="n"/>
      <c r="AW463" s="622" t="n"/>
      <c r="AX463" s="622" t="n"/>
      <c r="AY463" s="622" t="n"/>
    </row>
    <row r="464">
      <c r="A464" s="622" t="n"/>
      <c r="B464" s="622" t="n"/>
      <c r="C464" s="622" t="n"/>
      <c r="D464" s="622" t="n"/>
      <c r="E464" s="622" t="n"/>
      <c r="F464" s="622" t="n"/>
      <c r="G464" s="622" t="n"/>
      <c r="H464" s="622" t="n"/>
      <c r="I464" s="622" t="n"/>
      <c r="J464" s="622" t="n"/>
      <c r="K464" s="622" t="n"/>
      <c r="L464" s="622" t="n"/>
      <c r="M464" s="622" t="n"/>
      <c r="N464" s="622" t="n"/>
      <c r="O464" s="622" t="n"/>
      <c r="P464" s="622" t="n"/>
      <c r="Q464" s="622" t="n"/>
      <c r="R464" s="622" t="n"/>
      <c r="S464" s="622" t="n"/>
      <c r="T464" s="622" t="n"/>
      <c r="U464" s="622" t="n"/>
      <c r="V464" s="622" t="n"/>
      <c r="W464" s="622" t="n"/>
      <c r="X464" s="622" t="n"/>
      <c r="Y464" s="622" t="n"/>
      <c r="Z464" s="622" t="n"/>
      <c r="AA464" s="622" t="n"/>
      <c r="AB464" s="622" t="n"/>
      <c r="AC464" s="622" t="n"/>
      <c r="AD464" s="622" t="n"/>
      <c r="AE464" s="622" t="n"/>
      <c r="AF464" s="622" t="n"/>
      <c r="AG464" s="622" t="n"/>
      <c r="AH464" s="622" t="n"/>
      <c r="AI464" s="622" t="n"/>
      <c r="AJ464" s="622" t="n"/>
      <c r="AK464" s="622" t="n"/>
      <c r="AL464" s="622" t="n"/>
      <c r="AM464" s="622" t="n"/>
      <c r="AN464" s="622" t="n"/>
      <c r="AO464" s="622" t="n"/>
      <c r="AP464" s="622" t="n"/>
      <c r="AQ464" s="622" t="n"/>
      <c r="AR464" s="622" t="n"/>
      <c r="AS464" s="622" t="n"/>
      <c r="AT464" s="622" t="n"/>
      <c r="AU464" s="622" t="n"/>
      <c r="AV464" s="622" t="n"/>
      <c r="AW464" s="622" t="n"/>
      <c r="AX464" s="622" t="n"/>
      <c r="AY464" s="622" t="n"/>
    </row>
    <row r="465">
      <c r="A465" s="622" t="n"/>
      <c r="B465" s="622" t="n"/>
      <c r="C465" s="622" t="n"/>
      <c r="D465" s="622" t="n"/>
      <c r="E465" s="622" t="n"/>
      <c r="F465" s="622" t="n"/>
      <c r="G465" s="622" t="n"/>
      <c r="H465" s="622" t="n"/>
      <c r="I465" s="622" t="n"/>
      <c r="J465" s="622" t="n"/>
      <c r="K465" s="622" t="n"/>
      <c r="L465" s="622" t="n"/>
      <c r="M465" s="622" t="n"/>
      <c r="N465" s="622" t="n"/>
      <c r="O465" s="622" t="n"/>
      <c r="P465" s="622" t="n"/>
      <c r="Q465" s="622" t="n"/>
      <c r="R465" s="622" t="n"/>
      <c r="S465" s="622" t="n"/>
      <c r="T465" s="622" t="n"/>
      <c r="U465" s="622" t="n"/>
      <c r="V465" s="622" t="n"/>
      <c r="W465" s="622" t="n"/>
      <c r="X465" s="622" t="n"/>
      <c r="Y465" s="622" t="n"/>
      <c r="Z465" s="622" t="n"/>
      <c r="AA465" s="622" t="n"/>
      <c r="AB465" s="622" t="n"/>
      <c r="AC465" s="622" t="n"/>
      <c r="AD465" s="622" t="n"/>
      <c r="AE465" s="622" t="n"/>
      <c r="AF465" s="622" t="n"/>
      <c r="AG465" s="622" t="n"/>
      <c r="AH465" s="622" t="n"/>
      <c r="AI465" s="622" t="n"/>
      <c r="AJ465" s="622" t="n"/>
      <c r="AK465" s="622" t="n"/>
      <c r="AL465" s="622" t="n"/>
      <c r="AM465" s="622" t="n"/>
      <c r="AN465" s="622" t="n"/>
      <c r="AO465" s="622" t="n"/>
      <c r="AP465" s="622" t="n"/>
      <c r="AQ465" s="622" t="n"/>
      <c r="AR465" s="622" t="n"/>
      <c r="AS465" s="622" t="n"/>
      <c r="AT465" s="622" t="n"/>
      <c r="AU465" s="622" t="n"/>
      <c r="AV465" s="622" t="n"/>
      <c r="AW465" s="622" t="n"/>
      <c r="AX465" s="622" t="n"/>
      <c r="AY465" s="622" t="n"/>
    </row>
    <row r="466">
      <c r="A466" s="622" t="n"/>
      <c r="B466" s="622" t="n"/>
      <c r="C466" s="622" t="n"/>
      <c r="D466" s="622" t="n"/>
      <c r="E466" s="622" t="n"/>
      <c r="F466" s="622" t="n"/>
      <c r="G466" s="622" t="n"/>
      <c r="H466" s="622" t="n"/>
      <c r="I466" s="622" t="n"/>
      <c r="J466" s="622" t="n"/>
      <c r="K466" s="622" t="n"/>
      <c r="L466" s="622" t="n"/>
      <c r="M466" s="622" t="n"/>
      <c r="N466" s="622" t="n"/>
      <c r="O466" s="622" t="n"/>
      <c r="P466" s="622" t="n"/>
      <c r="Q466" s="622" t="n"/>
      <c r="R466" s="622" t="n"/>
      <c r="S466" s="622" t="n"/>
      <c r="T466" s="622" t="n"/>
      <c r="U466" s="622" t="n"/>
      <c r="V466" s="622" t="n"/>
      <c r="W466" s="622" t="n"/>
      <c r="X466" s="622" t="n"/>
      <c r="Y466" s="622" t="n"/>
      <c r="Z466" s="622" t="n"/>
      <c r="AA466" s="622" t="n"/>
      <c r="AB466" s="622" t="n"/>
      <c r="AC466" s="622" t="n"/>
      <c r="AD466" s="622" t="n"/>
      <c r="AE466" s="622" t="n"/>
      <c r="AF466" s="622" t="n"/>
      <c r="AG466" s="622" t="n"/>
      <c r="AH466" s="622" t="n"/>
      <c r="AI466" s="622" t="n"/>
      <c r="AJ466" s="622" t="n"/>
      <c r="AK466" s="622" t="n"/>
      <c r="AL466" s="622" t="n"/>
      <c r="AM466" s="622" t="n"/>
      <c r="AN466" s="622" t="n"/>
      <c r="AO466" s="622" t="n"/>
      <c r="AP466" s="622" t="n"/>
      <c r="AQ466" s="622" t="n"/>
      <c r="AR466" s="622" t="n"/>
      <c r="AS466" s="622" t="n"/>
      <c r="AT466" s="622" t="n"/>
      <c r="AU466" s="622" t="n"/>
      <c r="AV466" s="622" t="n"/>
      <c r="AW466" s="622" t="n"/>
      <c r="AX466" s="622" t="n"/>
      <c r="AY466" s="622" t="n"/>
    </row>
    <row r="467">
      <c r="A467" s="622" t="n"/>
      <c r="B467" s="622" t="n"/>
      <c r="C467" s="622" t="n"/>
      <c r="D467" s="622" t="n"/>
      <c r="E467" s="622" t="n"/>
      <c r="F467" s="622" t="n"/>
      <c r="G467" s="622" t="n"/>
      <c r="H467" s="622" t="n"/>
      <c r="I467" s="622" t="n"/>
      <c r="J467" s="622" t="n"/>
      <c r="K467" s="622" t="n"/>
      <c r="L467" s="622" t="n"/>
      <c r="M467" s="622" t="n"/>
      <c r="N467" s="622" t="n"/>
      <c r="O467" s="622" t="n"/>
      <c r="P467" s="622" t="n"/>
      <c r="Q467" s="622" t="n"/>
      <c r="R467" s="622" t="n"/>
      <c r="S467" s="622" t="n"/>
      <c r="T467" s="622" t="n"/>
      <c r="U467" s="622" t="n"/>
      <c r="V467" s="622" t="n"/>
      <c r="W467" s="622" t="n"/>
      <c r="X467" s="622" t="n"/>
      <c r="Y467" s="622" t="n"/>
      <c r="Z467" s="622" t="n"/>
      <c r="AA467" s="622" t="n"/>
      <c r="AB467" s="622" t="n"/>
      <c r="AC467" s="622" t="n"/>
      <c r="AD467" s="622" t="n"/>
      <c r="AE467" s="622" t="n"/>
      <c r="AF467" s="622" t="n"/>
      <c r="AG467" s="622" t="n"/>
      <c r="AH467" s="622" t="n"/>
      <c r="AI467" s="622" t="n"/>
      <c r="AJ467" s="622" t="n"/>
      <c r="AK467" s="622" t="n"/>
      <c r="AL467" s="622" t="n"/>
      <c r="AM467" s="622" t="n"/>
      <c r="AN467" s="622" t="n"/>
      <c r="AO467" s="622" t="n"/>
      <c r="AP467" s="622" t="n"/>
      <c r="AQ467" s="622" t="n"/>
      <c r="AR467" s="622" t="n"/>
      <c r="AS467" s="622" t="n"/>
      <c r="AT467" s="622" t="n"/>
      <c r="AU467" s="622" t="n"/>
      <c r="AV467" s="622" t="n"/>
      <c r="AW467" s="622" t="n"/>
      <c r="AX467" s="622" t="n"/>
      <c r="AY467" s="622" t="n"/>
    </row>
    <row r="468">
      <c r="A468" s="622" t="n"/>
      <c r="B468" s="622" t="n"/>
      <c r="C468" s="622" t="n"/>
      <c r="D468" s="622" t="n"/>
      <c r="E468" s="622" t="n"/>
      <c r="F468" s="622" t="n"/>
      <c r="G468" s="622" t="n"/>
      <c r="H468" s="622" t="n"/>
      <c r="I468" s="622" t="n"/>
      <c r="J468" s="622" t="n"/>
      <c r="K468" s="622" t="n"/>
      <c r="L468" s="622" t="n"/>
      <c r="M468" s="622" t="n"/>
      <c r="N468" s="622" t="n"/>
      <c r="O468" s="622" t="n"/>
      <c r="P468" s="622" t="n"/>
      <c r="Q468" s="622" t="n"/>
      <c r="R468" s="622" t="n"/>
      <c r="S468" s="622" t="n"/>
      <c r="T468" s="622" t="n"/>
      <c r="U468" s="622" t="n"/>
      <c r="V468" s="622" t="n"/>
      <c r="W468" s="622" t="n"/>
      <c r="X468" s="622" t="n"/>
      <c r="Y468" s="622" t="n"/>
      <c r="Z468" s="622" t="n"/>
      <c r="AA468" s="622" t="n"/>
      <c r="AB468" s="622" t="n"/>
      <c r="AC468" s="622" t="n"/>
      <c r="AD468" s="622" t="n"/>
      <c r="AE468" s="622" t="n"/>
      <c r="AF468" s="622" t="n"/>
      <c r="AG468" s="622" t="n"/>
      <c r="AH468" s="622" t="n"/>
      <c r="AI468" s="622" t="n"/>
      <c r="AJ468" s="622" t="n"/>
      <c r="AK468" s="622" t="n"/>
      <c r="AL468" s="622" t="n"/>
      <c r="AM468" s="622" t="n"/>
      <c r="AN468" s="622" t="n"/>
      <c r="AO468" s="622" t="n"/>
      <c r="AP468" s="622" t="n"/>
      <c r="AQ468" s="622" t="n"/>
      <c r="AR468" s="622" t="n"/>
      <c r="AS468" s="622" t="n"/>
      <c r="AT468" s="622" t="n"/>
      <c r="AU468" s="622" t="n"/>
      <c r="AV468" s="622" t="n"/>
      <c r="AW468" s="622" t="n"/>
      <c r="AX468" s="622" t="n"/>
      <c r="AY468" s="622" t="n"/>
    </row>
    <row r="469">
      <c r="A469" s="622" t="n"/>
      <c r="B469" s="622" t="n"/>
      <c r="C469" s="622" t="n"/>
      <c r="D469" s="622" t="n"/>
      <c r="E469" s="622" t="n"/>
      <c r="F469" s="622" t="n"/>
      <c r="G469" s="622" t="n"/>
      <c r="H469" s="622" t="n"/>
      <c r="I469" s="622" t="n"/>
      <c r="J469" s="622" t="n"/>
      <c r="K469" s="622" t="n"/>
      <c r="L469" s="622" t="n"/>
      <c r="M469" s="622" t="n"/>
      <c r="N469" s="622" t="n"/>
      <c r="O469" s="622" t="n"/>
      <c r="P469" s="622" t="n"/>
      <c r="Q469" s="622" t="n"/>
      <c r="R469" s="622" t="n"/>
      <c r="S469" s="622" t="n"/>
      <c r="T469" s="622" t="n"/>
      <c r="U469" s="622" t="n"/>
      <c r="V469" s="622" t="n"/>
      <c r="W469" s="622" t="n"/>
      <c r="X469" s="622" t="n"/>
      <c r="Y469" s="622" t="n"/>
      <c r="Z469" s="622" t="n"/>
      <c r="AA469" s="622" t="n"/>
      <c r="AB469" s="622" t="n"/>
      <c r="AC469" s="622" t="n"/>
      <c r="AD469" s="622" t="n"/>
      <c r="AE469" s="622" t="n"/>
      <c r="AF469" s="622" t="n"/>
      <c r="AG469" s="622" t="n"/>
      <c r="AH469" s="622" t="n"/>
      <c r="AI469" s="622" t="n"/>
      <c r="AJ469" s="622" t="n"/>
      <c r="AK469" s="622" t="n"/>
      <c r="AL469" s="622" t="n"/>
      <c r="AM469" s="622" t="n"/>
      <c r="AN469" s="622" t="n"/>
      <c r="AO469" s="622" t="n"/>
      <c r="AP469" s="622" t="n"/>
      <c r="AQ469" s="622" t="n"/>
      <c r="AR469" s="622" t="n"/>
      <c r="AS469" s="622" t="n"/>
      <c r="AT469" s="622" t="n"/>
      <c r="AU469" s="622" t="n"/>
      <c r="AV469" s="622" t="n"/>
      <c r="AW469" s="622" t="n"/>
      <c r="AX469" s="622" t="n"/>
      <c r="AY469" s="622" t="n"/>
    </row>
    <row r="470">
      <c r="A470" s="622" t="n"/>
      <c r="B470" s="622" t="n"/>
      <c r="C470" s="622" t="n"/>
      <c r="D470" s="622" t="n"/>
      <c r="E470" s="622" t="n"/>
      <c r="F470" s="622" t="n"/>
      <c r="G470" s="622" t="n"/>
      <c r="H470" s="622" t="n"/>
      <c r="I470" s="622" t="n"/>
      <c r="J470" s="622" t="n"/>
      <c r="K470" s="622" t="n"/>
      <c r="L470" s="622" t="n"/>
      <c r="M470" s="622" t="n"/>
      <c r="N470" s="622" t="n"/>
      <c r="O470" s="622" t="n"/>
      <c r="P470" s="622" t="n"/>
      <c r="Q470" s="622" t="n"/>
      <c r="R470" s="622" t="n"/>
      <c r="S470" s="622" t="n"/>
      <c r="T470" s="622" t="n"/>
      <c r="U470" s="622" t="n"/>
      <c r="V470" s="622" t="n"/>
      <c r="W470" s="622" t="n"/>
      <c r="X470" s="622" t="n"/>
      <c r="Y470" s="622" t="n"/>
      <c r="Z470" s="622" t="n"/>
      <c r="AA470" s="622" t="n"/>
      <c r="AB470" s="622" t="n"/>
      <c r="AC470" s="622" t="n"/>
      <c r="AD470" s="622" t="n"/>
      <c r="AE470" s="622" t="n"/>
      <c r="AF470" s="622" t="n"/>
      <c r="AG470" s="622" t="n"/>
      <c r="AH470" s="622" t="n"/>
      <c r="AI470" s="622" t="n"/>
      <c r="AJ470" s="622" t="n"/>
      <c r="AK470" s="622" t="n"/>
      <c r="AL470" s="622" t="n"/>
      <c r="AM470" s="622" t="n"/>
      <c r="AN470" s="622" t="n"/>
      <c r="AO470" s="622" t="n"/>
      <c r="AP470" s="622" t="n"/>
      <c r="AQ470" s="622" t="n"/>
      <c r="AR470" s="622" t="n"/>
      <c r="AS470" s="622" t="n"/>
      <c r="AT470" s="622" t="n"/>
      <c r="AU470" s="622" t="n"/>
      <c r="AV470" s="622" t="n"/>
      <c r="AW470" s="622" t="n"/>
      <c r="AX470" s="622" t="n"/>
      <c r="AY470" s="622" t="n"/>
    </row>
    <row r="471">
      <c r="A471" s="622" t="n"/>
      <c r="B471" s="622" t="n"/>
      <c r="C471" s="622" t="n"/>
      <c r="D471" s="622" t="n"/>
      <c r="E471" s="622" t="n"/>
      <c r="F471" s="622" t="n"/>
      <c r="G471" s="622" t="n"/>
      <c r="H471" s="622" t="n"/>
      <c r="I471" s="622" t="n"/>
      <c r="J471" s="622" t="n"/>
      <c r="K471" s="622" t="n"/>
      <c r="L471" s="622" t="n"/>
      <c r="M471" s="622" t="n"/>
      <c r="N471" s="622" t="n"/>
      <c r="O471" s="622" t="n"/>
      <c r="P471" s="622" t="n"/>
      <c r="Q471" s="622" t="n"/>
      <c r="R471" s="622" t="n"/>
      <c r="S471" s="622" t="n"/>
      <c r="T471" s="622" t="n"/>
      <c r="U471" s="622" t="n"/>
      <c r="V471" s="622" t="n"/>
      <c r="W471" s="622" t="n"/>
      <c r="X471" s="622" t="n"/>
      <c r="Y471" s="622" t="n"/>
      <c r="Z471" s="622" t="n"/>
      <c r="AA471" s="622" t="n"/>
      <c r="AB471" s="622" t="n"/>
      <c r="AC471" s="622" t="n"/>
      <c r="AD471" s="622" t="n"/>
      <c r="AE471" s="622" t="n"/>
      <c r="AF471" s="622" t="n"/>
      <c r="AG471" s="622" t="n"/>
      <c r="AH471" s="622" t="n"/>
      <c r="AI471" s="622" t="n"/>
      <c r="AJ471" s="622" t="n"/>
      <c r="AK471" s="622" t="n"/>
      <c r="AL471" s="622" t="n"/>
      <c r="AM471" s="622" t="n"/>
      <c r="AN471" s="622" t="n"/>
      <c r="AO471" s="622" t="n"/>
      <c r="AP471" s="622" t="n"/>
      <c r="AQ471" s="622" t="n"/>
      <c r="AR471" s="622" t="n"/>
      <c r="AS471" s="622" t="n"/>
      <c r="AT471" s="622" t="n"/>
      <c r="AU471" s="622" t="n"/>
      <c r="AV471" s="622" t="n"/>
      <c r="AW471" s="622" t="n"/>
      <c r="AX471" s="622" t="n"/>
      <c r="AY471" s="622" t="n"/>
    </row>
    <row r="472">
      <c r="A472" s="622" t="n"/>
      <c r="B472" s="622" t="n"/>
      <c r="C472" s="622" t="n"/>
      <c r="D472" s="622" t="n"/>
      <c r="E472" s="622" t="n"/>
      <c r="F472" s="622" t="n"/>
      <c r="G472" s="622" t="n"/>
      <c r="H472" s="622" t="n"/>
      <c r="I472" s="622" t="n"/>
      <c r="J472" s="622" t="n"/>
      <c r="K472" s="622" t="n"/>
      <c r="L472" s="622" t="n"/>
      <c r="M472" s="622" t="n"/>
      <c r="N472" s="622" t="n"/>
      <c r="O472" s="622" t="n"/>
      <c r="P472" s="622" t="n"/>
      <c r="Q472" s="622" t="n"/>
      <c r="R472" s="622" t="n"/>
      <c r="S472" s="622" t="n"/>
      <c r="T472" s="622" t="n"/>
      <c r="U472" s="622" t="n"/>
      <c r="V472" s="622" t="n"/>
      <c r="W472" s="622" t="n"/>
      <c r="X472" s="622" t="n"/>
      <c r="Y472" s="622" t="n"/>
      <c r="Z472" s="622" t="n"/>
      <c r="AA472" s="622" t="n"/>
      <c r="AB472" s="622" t="n"/>
      <c r="AC472" s="622" t="n"/>
      <c r="AD472" s="622" t="n"/>
      <c r="AE472" s="622" t="n"/>
      <c r="AF472" s="622" t="n"/>
      <c r="AG472" s="622" t="n"/>
      <c r="AH472" s="622" t="n"/>
      <c r="AI472" s="622" t="n"/>
      <c r="AJ472" s="622" t="n"/>
      <c r="AK472" s="622" t="n"/>
      <c r="AL472" s="622" t="n"/>
      <c r="AM472" s="622" t="n"/>
      <c r="AN472" s="622" t="n"/>
      <c r="AO472" s="622" t="n"/>
      <c r="AP472" s="622" t="n"/>
      <c r="AQ472" s="622" t="n"/>
      <c r="AR472" s="622" t="n"/>
      <c r="AS472" s="622" t="n"/>
      <c r="AT472" s="622" t="n"/>
      <c r="AU472" s="622" t="n"/>
      <c r="AV472" s="622" t="n"/>
      <c r="AW472" s="622" t="n"/>
      <c r="AX472" s="622" t="n"/>
      <c r="AY472" s="622" t="n"/>
    </row>
    <row r="473">
      <c r="A473" s="622" t="n"/>
      <c r="B473" s="622" t="n"/>
      <c r="C473" s="622" t="n"/>
      <c r="D473" s="622" t="n"/>
      <c r="E473" s="622" t="n"/>
      <c r="F473" s="622" t="n"/>
      <c r="G473" s="622" t="n"/>
      <c r="H473" s="622" t="n"/>
      <c r="I473" s="622" t="n"/>
      <c r="J473" s="622" t="n"/>
      <c r="K473" s="622" t="n"/>
      <c r="L473" s="622" t="n"/>
      <c r="M473" s="622" t="n"/>
      <c r="N473" s="622" t="n"/>
      <c r="O473" s="622" t="n"/>
      <c r="P473" s="622" t="n"/>
      <c r="Q473" s="622" t="n"/>
      <c r="R473" s="622" t="n"/>
      <c r="S473" s="622" t="n"/>
      <c r="T473" s="622" t="n"/>
      <c r="U473" s="622" t="n"/>
      <c r="V473" s="622" t="n"/>
      <c r="W473" s="622" t="n"/>
      <c r="X473" s="622" t="n"/>
      <c r="Y473" s="622" t="n"/>
      <c r="Z473" s="622" t="n"/>
      <c r="AA473" s="622" t="n"/>
      <c r="AB473" s="622" t="n"/>
      <c r="AC473" s="622" t="n"/>
      <c r="AD473" s="622" t="n"/>
      <c r="AE473" s="622" t="n"/>
      <c r="AF473" s="622" t="n"/>
      <c r="AG473" s="622" t="n"/>
      <c r="AH473" s="622" t="n"/>
      <c r="AI473" s="622" t="n"/>
      <c r="AJ473" s="622" t="n"/>
      <c r="AK473" s="622" t="n"/>
      <c r="AL473" s="622" t="n"/>
      <c r="AM473" s="622" t="n"/>
      <c r="AN473" s="622" t="n"/>
      <c r="AO473" s="622" t="n"/>
      <c r="AP473" s="622" t="n"/>
      <c r="AQ473" s="622" t="n"/>
      <c r="AR473" s="622" t="n"/>
      <c r="AS473" s="622" t="n"/>
      <c r="AT473" s="622" t="n"/>
      <c r="AU473" s="622" t="n"/>
      <c r="AV473" s="622" t="n"/>
      <c r="AW473" s="622" t="n"/>
      <c r="AX473" s="622" t="n"/>
      <c r="AY473" s="622" t="n"/>
    </row>
    <row r="474">
      <c r="A474" s="622" t="n"/>
      <c r="B474" s="622" t="n"/>
      <c r="C474" s="622" t="n"/>
      <c r="D474" s="622" t="n"/>
      <c r="E474" s="622" t="n"/>
      <c r="F474" s="622" t="n"/>
      <c r="G474" s="622" t="n"/>
      <c r="H474" s="622" t="n"/>
      <c r="I474" s="622" t="n"/>
      <c r="J474" s="622" t="n"/>
      <c r="K474" s="622" t="n"/>
      <c r="L474" s="622" t="n"/>
      <c r="M474" s="622" t="n"/>
      <c r="N474" s="622" t="n"/>
      <c r="O474" s="622" t="n"/>
      <c r="P474" s="622" t="n"/>
      <c r="Q474" s="622" t="n"/>
      <c r="R474" s="622" t="n"/>
      <c r="S474" s="622" t="n"/>
      <c r="T474" s="622" t="n"/>
      <c r="U474" s="622" t="n"/>
      <c r="V474" s="622" t="n"/>
      <c r="W474" s="622" t="n"/>
      <c r="X474" s="622" t="n"/>
      <c r="Y474" s="622" t="n"/>
      <c r="Z474" s="622" t="n"/>
      <c r="AA474" s="622" t="n"/>
      <c r="AB474" s="622" t="n"/>
      <c r="AC474" s="622" t="n"/>
      <c r="AD474" s="622" t="n"/>
      <c r="AE474" s="622" t="n"/>
      <c r="AF474" s="622" t="n"/>
      <c r="AG474" s="622" t="n"/>
      <c r="AH474" s="622" t="n"/>
      <c r="AI474" s="622" t="n"/>
      <c r="AJ474" s="622" t="n"/>
      <c r="AK474" s="622" t="n"/>
      <c r="AL474" s="622" t="n"/>
      <c r="AM474" s="622" t="n"/>
      <c r="AN474" s="622" t="n"/>
      <c r="AO474" s="622" t="n"/>
      <c r="AP474" s="622" t="n"/>
      <c r="AQ474" s="622" t="n"/>
      <c r="AR474" s="622" t="n"/>
      <c r="AS474" s="622" t="n"/>
      <c r="AT474" s="622" t="n"/>
      <c r="AU474" s="622" t="n"/>
      <c r="AV474" s="622" t="n"/>
      <c r="AW474" s="622" t="n"/>
      <c r="AX474" s="622" t="n"/>
      <c r="AY474" s="622" t="n"/>
    </row>
    <row r="475">
      <c r="A475" s="622" t="n"/>
      <c r="B475" s="622" t="n"/>
      <c r="C475" s="622" t="n"/>
      <c r="D475" s="622" t="n"/>
      <c r="E475" s="622" t="n"/>
      <c r="F475" s="622" t="n"/>
      <c r="G475" s="622" t="n"/>
      <c r="H475" s="622" t="n"/>
      <c r="I475" s="622" t="n"/>
      <c r="J475" s="622" t="n"/>
      <c r="K475" s="622" t="n"/>
      <c r="L475" s="622" t="n"/>
      <c r="M475" s="622" t="n"/>
      <c r="N475" s="622" t="n"/>
      <c r="O475" s="622" t="n"/>
      <c r="P475" s="622" t="n"/>
      <c r="Q475" s="622" t="n"/>
      <c r="R475" s="622" t="n"/>
      <c r="S475" s="622" t="n"/>
      <c r="T475" s="622" t="n"/>
      <c r="U475" s="622" t="n"/>
      <c r="V475" s="622" t="n"/>
      <c r="W475" s="622" t="n"/>
      <c r="X475" s="622" t="n"/>
      <c r="Y475" s="622" t="n"/>
      <c r="Z475" s="622" t="n"/>
      <c r="AA475" s="622" t="n"/>
      <c r="AB475" s="622" t="n"/>
      <c r="AC475" s="622" t="n"/>
      <c r="AD475" s="622" t="n"/>
      <c r="AE475" s="622" t="n"/>
      <c r="AF475" s="622" t="n"/>
      <c r="AG475" s="622" t="n"/>
      <c r="AH475" s="622" t="n"/>
      <c r="AI475" s="622" t="n"/>
      <c r="AJ475" s="622" t="n"/>
      <c r="AK475" s="622" t="n"/>
      <c r="AL475" s="622" t="n"/>
      <c r="AM475" s="622" t="n"/>
      <c r="AN475" s="622" t="n"/>
      <c r="AO475" s="622" t="n"/>
      <c r="AP475" s="622" t="n"/>
      <c r="AQ475" s="622" t="n"/>
      <c r="AR475" s="622" t="n"/>
      <c r="AS475" s="622" t="n"/>
      <c r="AT475" s="622" t="n"/>
      <c r="AU475" s="622" t="n"/>
      <c r="AV475" s="622" t="n"/>
      <c r="AW475" s="622" t="n"/>
      <c r="AX475" s="622" t="n"/>
      <c r="AY475" s="622" t="n"/>
    </row>
    <row r="476">
      <c r="A476" s="622" t="n"/>
      <c r="B476" s="622" t="n"/>
      <c r="C476" s="622" t="n"/>
      <c r="D476" s="622" t="n"/>
      <c r="E476" s="622" t="n"/>
      <c r="F476" s="622" t="n"/>
      <c r="G476" s="622" t="n"/>
      <c r="H476" s="622" t="n"/>
      <c r="I476" s="622" t="n"/>
      <c r="J476" s="622" t="n"/>
      <c r="K476" s="622" t="n"/>
      <c r="L476" s="622" t="n"/>
      <c r="M476" s="622" t="n"/>
      <c r="N476" s="622" t="n"/>
      <c r="O476" s="622" t="n"/>
      <c r="P476" s="622" t="n"/>
      <c r="Q476" s="622" t="n"/>
      <c r="R476" s="622" t="n"/>
      <c r="S476" s="622" t="n"/>
      <c r="T476" s="622" t="n"/>
      <c r="U476" s="622" t="n"/>
      <c r="V476" s="622" t="n"/>
      <c r="W476" s="622" t="n"/>
      <c r="X476" s="622" t="n"/>
      <c r="Y476" s="622" t="n"/>
      <c r="Z476" s="622" t="n"/>
      <c r="AA476" s="622" t="n"/>
      <c r="AB476" s="622" t="n"/>
      <c r="AC476" s="622" t="n"/>
      <c r="AD476" s="622" t="n"/>
      <c r="AE476" s="622" t="n"/>
      <c r="AF476" s="622" t="n"/>
      <c r="AG476" s="622" t="n"/>
      <c r="AH476" s="622" t="n"/>
      <c r="AI476" s="622" t="n"/>
      <c r="AJ476" s="622" t="n"/>
      <c r="AK476" s="622" t="n"/>
      <c r="AL476" s="622" t="n"/>
      <c r="AM476" s="622" t="n"/>
      <c r="AN476" s="622" t="n"/>
      <c r="AO476" s="622" t="n"/>
      <c r="AP476" s="622" t="n"/>
      <c r="AQ476" s="622" t="n"/>
      <c r="AR476" s="622" t="n"/>
      <c r="AS476" s="622" t="n"/>
      <c r="AT476" s="622" t="n"/>
      <c r="AU476" s="622" t="n"/>
      <c r="AV476" s="622" t="n"/>
      <c r="AW476" s="622" t="n"/>
      <c r="AX476" s="622" t="n"/>
      <c r="AY476" s="622" t="n"/>
    </row>
    <row r="477">
      <c r="A477" s="622" t="n"/>
      <c r="B477" s="622" t="n"/>
      <c r="C477" s="622" t="n"/>
      <c r="D477" s="622" t="n"/>
      <c r="E477" s="622" t="n"/>
      <c r="F477" s="622" t="n"/>
      <c r="G477" s="622" t="n"/>
      <c r="H477" s="622" t="n"/>
      <c r="I477" s="622" t="n"/>
      <c r="J477" s="622" t="n"/>
      <c r="K477" s="622" t="n"/>
      <c r="L477" s="622" t="n"/>
      <c r="M477" s="622" t="n"/>
      <c r="N477" s="622" t="n"/>
      <c r="O477" s="622" t="n"/>
      <c r="P477" s="622" t="n"/>
      <c r="Q477" s="622" t="n"/>
      <c r="R477" s="622" t="n"/>
      <c r="S477" s="622" t="n"/>
      <c r="T477" s="622" t="n"/>
      <c r="U477" s="622" t="n"/>
      <c r="V477" s="622" t="n"/>
      <c r="W477" s="622" t="n"/>
      <c r="X477" s="622" t="n"/>
      <c r="Y477" s="622" t="n"/>
      <c r="Z477" s="622" t="n"/>
      <c r="AA477" s="622" t="n"/>
      <c r="AB477" s="622" t="n"/>
      <c r="AC477" s="622" t="n"/>
      <c r="AD477" s="622" t="n"/>
      <c r="AE477" s="622" t="n"/>
      <c r="AF477" s="622" t="n"/>
      <c r="AG477" s="622" t="n"/>
      <c r="AH477" s="622" t="n"/>
      <c r="AI477" s="622" t="n"/>
      <c r="AJ477" s="622" t="n"/>
      <c r="AK477" s="622" t="n"/>
      <c r="AL477" s="622" t="n"/>
      <c r="AM477" s="622" t="n"/>
      <c r="AN477" s="622" t="n"/>
      <c r="AO477" s="622" t="n"/>
      <c r="AP477" s="622" t="n"/>
      <c r="AQ477" s="622" t="n"/>
      <c r="AR477" s="622" t="n"/>
      <c r="AS477" s="622" t="n"/>
      <c r="AT477" s="622" t="n"/>
      <c r="AU477" s="622" t="n"/>
      <c r="AV477" s="622" t="n"/>
      <c r="AW477" s="622" t="n"/>
      <c r="AX477" s="622" t="n"/>
      <c r="AY477" s="622" t="n"/>
    </row>
    <row r="478">
      <c r="A478" s="622" t="n"/>
      <c r="B478" s="622" t="n"/>
      <c r="C478" s="622" t="n"/>
      <c r="D478" s="622" t="n"/>
      <c r="E478" s="622" t="n"/>
      <c r="F478" s="622" t="n"/>
      <c r="G478" s="622" t="n"/>
      <c r="H478" s="622" t="n"/>
      <c r="I478" s="622" t="n"/>
      <c r="J478" s="622" t="n"/>
      <c r="K478" s="622" t="n"/>
      <c r="L478" s="622" t="n"/>
      <c r="M478" s="622" t="n"/>
      <c r="N478" s="622" t="n"/>
      <c r="O478" s="622" t="n"/>
      <c r="P478" s="622" t="n"/>
      <c r="Q478" s="622" t="n"/>
      <c r="R478" s="622" t="n"/>
      <c r="S478" s="622" t="n"/>
      <c r="T478" s="622" t="n"/>
      <c r="U478" s="622" t="n"/>
      <c r="V478" s="622" t="n"/>
      <c r="W478" s="622" t="n"/>
      <c r="X478" s="622" t="n"/>
      <c r="Y478" s="622" t="n"/>
      <c r="Z478" s="622" t="n"/>
      <c r="AA478" s="622" t="n"/>
      <c r="AB478" s="622" t="n"/>
      <c r="AC478" s="622" t="n"/>
      <c r="AD478" s="622" t="n"/>
      <c r="AE478" s="622" t="n"/>
      <c r="AF478" s="622" t="n"/>
      <c r="AG478" s="622" t="n"/>
      <c r="AH478" s="622" t="n"/>
      <c r="AI478" s="622" t="n"/>
      <c r="AJ478" s="622" t="n"/>
      <c r="AK478" s="622" t="n"/>
      <c r="AL478" s="622" t="n"/>
      <c r="AM478" s="622" t="n"/>
      <c r="AN478" s="622" t="n"/>
      <c r="AO478" s="622" t="n"/>
      <c r="AP478" s="622" t="n"/>
      <c r="AQ478" s="622" t="n"/>
      <c r="AR478" s="622" t="n"/>
      <c r="AS478" s="622" t="n"/>
      <c r="AT478" s="622" t="n"/>
      <c r="AU478" s="622" t="n"/>
      <c r="AV478" s="622" t="n"/>
      <c r="AW478" s="622" t="n"/>
      <c r="AX478" s="622" t="n"/>
      <c r="AY478" s="622" t="n"/>
    </row>
    <row r="479">
      <c r="A479" s="622" t="n"/>
      <c r="B479" s="622" t="n"/>
      <c r="C479" s="622" t="n"/>
      <c r="D479" s="622" t="n"/>
      <c r="E479" s="622" t="n"/>
      <c r="F479" s="622" t="n"/>
      <c r="G479" s="622" t="n"/>
      <c r="H479" s="622" t="n"/>
      <c r="I479" s="622" t="n"/>
      <c r="J479" s="622" t="n"/>
      <c r="K479" s="622" t="n"/>
      <c r="L479" s="622" t="n"/>
      <c r="M479" s="622" t="n"/>
      <c r="N479" s="622" t="n"/>
      <c r="O479" s="622" t="n"/>
      <c r="P479" s="622" t="n"/>
      <c r="Q479" s="622" t="n"/>
      <c r="R479" s="622" t="n"/>
      <c r="S479" s="622" t="n"/>
      <c r="T479" s="622" t="n"/>
      <c r="U479" s="622" t="n"/>
      <c r="V479" s="622" t="n"/>
      <c r="W479" s="622" t="n"/>
      <c r="X479" s="622" t="n"/>
      <c r="Y479" s="622" t="n"/>
      <c r="Z479" s="622" t="n"/>
      <c r="AA479" s="622" t="n"/>
      <c r="AB479" s="622" t="n"/>
      <c r="AC479" s="622" t="n"/>
      <c r="AD479" s="622" t="n"/>
      <c r="AE479" s="622" t="n"/>
      <c r="AF479" s="622" t="n"/>
      <c r="AG479" s="622" t="n"/>
      <c r="AH479" s="622" t="n"/>
      <c r="AI479" s="622" t="n"/>
      <c r="AJ479" s="622" t="n"/>
      <c r="AK479" s="622" t="n"/>
      <c r="AL479" s="622" t="n"/>
      <c r="AM479" s="622" t="n"/>
      <c r="AN479" s="622" t="n"/>
      <c r="AO479" s="622" t="n"/>
      <c r="AP479" s="622" t="n"/>
      <c r="AQ479" s="622" t="n"/>
      <c r="AR479" s="622" t="n"/>
      <c r="AS479" s="622" t="n"/>
      <c r="AT479" s="622" t="n"/>
      <c r="AU479" s="622" t="n"/>
      <c r="AV479" s="622" t="n"/>
      <c r="AW479" s="622" t="n"/>
      <c r="AX479" s="622" t="n"/>
      <c r="AY479" s="622" t="n"/>
    </row>
    <row r="480">
      <c r="A480" s="622" t="n"/>
      <c r="B480" s="622" t="n"/>
      <c r="C480" s="622" t="n"/>
      <c r="D480" s="622" t="n"/>
      <c r="E480" s="622" t="n"/>
      <c r="F480" s="622" t="n"/>
      <c r="G480" s="622" t="n"/>
      <c r="H480" s="622" t="n"/>
      <c r="I480" s="622" t="n"/>
      <c r="J480" s="622" t="n"/>
      <c r="K480" s="622" t="n"/>
      <c r="L480" s="622" t="n"/>
      <c r="M480" s="622" t="n"/>
      <c r="N480" s="622" t="n"/>
      <c r="O480" s="622" t="n"/>
      <c r="P480" s="622" t="n"/>
      <c r="Q480" s="622" t="n"/>
      <c r="R480" s="622" t="n"/>
      <c r="S480" s="622" t="n"/>
      <c r="T480" s="622" t="n"/>
      <c r="U480" s="622" t="n"/>
      <c r="V480" s="622" t="n"/>
      <c r="W480" s="622" t="n"/>
      <c r="X480" s="622" t="n"/>
      <c r="Y480" s="622" t="n"/>
      <c r="Z480" s="622" t="n"/>
      <c r="AA480" s="622" t="n"/>
      <c r="AB480" s="622" t="n"/>
      <c r="AC480" s="622" t="n"/>
      <c r="AD480" s="622" t="n"/>
      <c r="AE480" s="622" t="n"/>
      <c r="AF480" s="622" t="n"/>
      <c r="AG480" s="622" t="n"/>
      <c r="AH480" s="622" t="n"/>
      <c r="AI480" s="622" t="n"/>
      <c r="AJ480" s="622" t="n"/>
      <c r="AK480" s="622" t="n"/>
      <c r="AL480" s="622" t="n"/>
      <c r="AM480" s="622" t="n"/>
      <c r="AN480" s="622" t="n"/>
      <c r="AO480" s="622" t="n"/>
      <c r="AP480" s="622" t="n"/>
      <c r="AQ480" s="622" t="n"/>
      <c r="AR480" s="622" t="n"/>
      <c r="AS480" s="622" t="n"/>
      <c r="AT480" s="622" t="n"/>
      <c r="AU480" s="622" t="n"/>
      <c r="AV480" s="622" t="n"/>
      <c r="AW480" s="622" t="n"/>
      <c r="AX480" s="622" t="n"/>
      <c r="AY480" s="622" t="n"/>
    </row>
    <row r="481">
      <c r="A481" s="622" t="n"/>
      <c r="B481" s="622" t="n"/>
      <c r="C481" s="622" t="n"/>
      <c r="D481" s="622" t="n"/>
      <c r="E481" s="622" t="n"/>
      <c r="F481" s="622" t="n"/>
      <c r="G481" s="622" t="n"/>
      <c r="H481" s="622" t="n"/>
      <c r="I481" s="622" t="n"/>
      <c r="J481" s="622" t="n"/>
      <c r="K481" s="622" t="n"/>
      <c r="L481" s="622" t="n"/>
      <c r="M481" s="622" t="n"/>
      <c r="N481" s="622" t="n"/>
      <c r="O481" s="622" t="n"/>
      <c r="P481" s="622" t="n"/>
      <c r="Q481" s="622" t="n"/>
      <c r="R481" s="622" t="n"/>
      <c r="S481" s="622" t="n"/>
      <c r="T481" s="622" t="n"/>
      <c r="U481" s="622" t="n"/>
      <c r="V481" s="622" t="n"/>
      <c r="W481" s="622" t="n"/>
      <c r="X481" s="622" t="n"/>
      <c r="Y481" s="622" t="n"/>
      <c r="Z481" s="622" t="n"/>
      <c r="AA481" s="622" t="n"/>
      <c r="AB481" s="622" t="n"/>
      <c r="AC481" s="622" t="n"/>
      <c r="AD481" s="622" t="n"/>
      <c r="AE481" s="622" t="n"/>
      <c r="AF481" s="622" t="n"/>
      <c r="AG481" s="622" t="n"/>
      <c r="AH481" s="622" t="n"/>
      <c r="AI481" s="622" t="n"/>
      <c r="AJ481" s="622" t="n"/>
      <c r="AK481" s="622" t="n"/>
      <c r="AL481" s="622" t="n"/>
      <c r="AM481" s="622" t="n"/>
      <c r="AN481" s="622" t="n"/>
      <c r="AO481" s="622" t="n"/>
      <c r="AP481" s="622" t="n"/>
      <c r="AQ481" s="622" t="n"/>
      <c r="AR481" s="622" t="n"/>
      <c r="AS481" s="622" t="n"/>
      <c r="AT481" s="622" t="n"/>
      <c r="AU481" s="622" t="n"/>
      <c r="AV481" s="622" t="n"/>
      <c r="AW481" s="622" t="n"/>
      <c r="AX481" s="622" t="n"/>
      <c r="AY481" s="622" t="n"/>
    </row>
    <row r="482">
      <c r="A482" s="622" t="n"/>
      <c r="B482" s="622" t="n"/>
      <c r="C482" s="622" t="n"/>
      <c r="D482" s="622" t="n"/>
      <c r="E482" s="622" t="n"/>
      <c r="F482" s="622" t="n"/>
      <c r="G482" s="622" t="n"/>
      <c r="H482" s="622" t="n"/>
      <c r="I482" s="622" t="n"/>
      <c r="J482" s="622" t="n"/>
      <c r="K482" s="622" t="n"/>
      <c r="L482" s="622" t="n"/>
      <c r="M482" s="622" t="n"/>
      <c r="N482" s="622" t="n"/>
      <c r="O482" s="622" t="n"/>
      <c r="P482" s="622" t="n"/>
      <c r="Q482" s="622" t="n"/>
      <c r="R482" s="622" t="n"/>
      <c r="S482" s="622" t="n"/>
      <c r="T482" s="622" t="n"/>
      <c r="U482" s="622" t="n"/>
      <c r="V482" s="622" t="n"/>
      <c r="W482" s="622" t="n"/>
      <c r="X482" s="622" t="n"/>
      <c r="Y482" s="622" t="n"/>
      <c r="Z482" s="622" t="n"/>
      <c r="AA482" s="622" t="n"/>
      <c r="AB482" s="622" t="n"/>
      <c r="AC482" s="622" t="n"/>
      <c r="AD482" s="622" t="n"/>
      <c r="AE482" s="622" t="n"/>
      <c r="AF482" s="622" t="n"/>
      <c r="AG482" s="622" t="n"/>
      <c r="AH482" s="622" t="n"/>
      <c r="AI482" s="622" t="n"/>
      <c r="AJ482" s="622" t="n"/>
      <c r="AK482" s="622" t="n"/>
      <c r="AL482" s="622" t="n"/>
      <c r="AM482" s="622" t="n"/>
      <c r="AN482" s="622" t="n"/>
      <c r="AO482" s="622" t="n"/>
      <c r="AP482" s="622" t="n"/>
      <c r="AQ482" s="622" t="n"/>
      <c r="AR482" s="622" t="n"/>
      <c r="AS482" s="622" t="n"/>
      <c r="AT482" s="622" t="n"/>
      <c r="AU482" s="622" t="n"/>
      <c r="AV482" s="622" t="n"/>
      <c r="AW482" s="622" t="n"/>
      <c r="AX482" s="622" t="n"/>
      <c r="AY482" s="622" t="n"/>
    </row>
    <row r="483">
      <c r="A483" s="622" t="n"/>
      <c r="B483" s="622" t="n"/>
      <c r="C483" s="622" t="n"/>
      <c r="D483" s="622" t="n"/>
      <c r="E483" s="622" t="n"/>
      <c r="F483" s="622" t="n"/>
      <c r="G483" s="622" t="n"/>
      <c r="H483" s="622" t="n"/>
      <c r="I483" s="622" t="n"/>
      <c r="J483" s="622" t="n"/>
      <c r="K483" s="622" t="n"/>
      <c r="L483" s="622" t="n"/>
      <c r="M483" s="622" t="n"/>
      <c r="N483" s="622" t="n"/>
      <c r="O483" s="622" t="n"/>
      <c r="P483" s="622" t="n"/>
      <c r="Q483" s="622" t="n"/>
      <c r="R483" s="622" t="n"/>
      <c r="S483" s="622" t="n"/>
      <c r="T483" s="622" t="n"/>
      <c r="U483" s="622" t="n"/>
      <c r="V483" s="622" t="n"/>
      <c r="W483" s="622" t="n"/>
      <c r="X483" s="622" t="n"/>
      <c r="Y483" s="622" t="n"/>
      <c r="Z483" s="622" t="n"/>
      <c r="AA483" s="622" t="n"/>
      <c r="AB483" s="622" t="n"/>
      <c r="AC483" s="622" t="n"/>
      <c r="AD483" s="622" t="n"/>
      <c r="AE483" s="622" t="n"/>
      <c r="AF483" s="622" t="n"/>
      <c r="AG483" s="622" t="n"/>
      <c r="AH483" s="622" t="n"/>
      <c r="AI483" s="622" t="n"/>
      <c r="AJ483" s="622" t="n"/>
      <c r="AK483" s="622" t="n"/>
      <c r="AL483" s="622" t="n"/>
      <c r="AM483" s="622" t="n"/>
      <c r="AN483" s="622" t="n"/>
      <c r="AO483" s="622" t="n"/>
      <c r="AP483" s="622" t="n"/>
      <c r="AQ483" s="622" t="n"/>
      <c r="AR483" s="622" t="n"/>
      <c r="AS483" s="622" t="n"/>
      <c r="AT483" s="622" t="n"/>
      <c r="AU483" s="622" t="n"/>
      <c r="AV483" s="622" t="n"/>
      <c r="AW483" s="622" t="n"/>
      <c r="AX483" s="622" t="n"/>
      <c r="AY483" s="622" t="n"/>
    </row>
    <row r="484">
      <c r="A484" s="622" t="n"/>
      <c r="B484" s="622" t="n"/>
      <c r="C484" s="622" t="n"/>
      <c r="D484" s="622" t="n"/>
      <c r="E484" s="622" t="n"/>
      <c r="F484" s="622" t="n"/>
      <c r="G484" s="622" t="n"/>
      <c r="H484" s="622" t="n"/>
      <c r="I484" s="622" t="n"/>
      <c r="J484" s="622" t="n"/>
      <c r="K484" s="622" t="n"/>
      <c r="L484" s="622" t="n"/>
      <c r="M484" s="622" t="n"/>
      <c r="N484" s="622" t="n"/>
      <c r="O484" s="622" t="n"/>
      <c r="P484" s="622" t="n"/>
      <c r="Q484" s="622" t="n"/>
      <c r="R484" s="622" t="n"/>
      <c r="S484" s="622" t="n"/>
      <c r="T484" s="622" t="n"/>
      <c r="U484" s="622" t="n"/>
      <c r="V484" s="622" t="n"/>
      <c r="W484" s="622" t="n"/>
      <c r="X484" s="622" t="n"/>
      <c r="Y484" s="622" t="n"/>
      <c r="Z484" s="622" t="n"/>
      <c r="AA484" s="622" t="n"/>
      <c r="AB484" s="622" t="n"/>
      <c r="AC484" s="622" t="n"/>
      <c r="AD484" s="622" t="n"/>
      <c r="AE484" s="622" t="n"/>
      <c r="AF484" s="622" t="n"/>
      <c r="AG484" s="622" t="n"/>
      <c r="AH484" s="622" t="n"/>
      <c r="AI484" s="622" t="n"/>
      <c r="AJ484" s="622" t="n"/>
      <c r="AK484" s="622" t="n"/>
      <c r="AL484" s="622" t="n"/>
      <c r="AM484" s="622" t="n"/>
      <c r="AN484" s="622" t="n"/>
      <c r="AO484" s="622" t="n"/>
      <c r="AP484" s="622" t="n"/>
      <c r="AQ484" s="622" t="n"/>
      <c r="AR484" s="622" t="n"/>
      <c r="AS484" s="622" t="n"/>
      <c r="AT484" s="622" t="n"/>
      <c r="AU484" s="622" t="n"/>
      <c r="AV484" s="622" t="n"/>
      <c r="AW484" s="622" t="n"/>
      <c r="AX484" s="622" t="n"/>
      <c r="AY484" s="622" t="n"/>
    </row>
    <row r="485">
      <c r="A485" s="622" t="n"/>
      <c r="B485" s="622" t="n"/>
      <c r="C485" s="622" t="n"/>
      <c r="D485" s="622" t="n"/>
      <c r="E485" s="622" t="n"/>
      <c r="F485" s="622" t="n"/>
      <c r="G485" s="622" t="n"/>
      <c r="H485" s="622" t="n"/>
      <c r="I485" s="622" t="n"/>
      <c r="J485" s="622" t="n"/>
      <c r="K485" s="622" t="n"/>
      <c r="L485" s="622" t="n"/>
      <c r="M485" s="622" t="n"/>
      <c r="N485" s="622" t="n"/>
      <c r="O485" s="622" t="n"/>
      <c r="P485" s="622" t="n"/>
      <c r="Q485" s="622" t="n"/>
      <c r="R485" s="622" t="n"/>
      <c r="S485" s="622" t="n"/>
      <c r="T485" s="622" t="n"/>
      <c r="U485" s="622" t="n"/>
      <c r="V485" s="622" t="n"/>
      <c r="W485" s="622" t="n"/>
      <c r="X485" s="622" t="n"/>
      <c r="Y485" s="622" t="n"/>
      <c r="Z485" s="622" t="n"/>
      <c r="AA485" s="622" t="n"/>
      <c r="AB485" s="622" t="n"/>
      <c r="AC485" s="622" t="n"/>
      <c r="AD485" s="622" t="n"/>
      <c r="AE485" s="622" t="n"/>
      <c r="AF485" s="622" t="n"/>
      <c r="AG485" s="622" t="n"/>
      <c r="AH485" s="622" t="n"/>
      <c r="AI485" s="622" t="n"/>
      <c r="AJ485" s="622" t="n"/>
      <c r="AK485" s="622" t="n"/>
      <c r="AL485" s="622" t="n"/>
      <c r="AM485" s="622" t="n"/>
      <c r="AN485" s="622" t="n"/>
      <c r="AO485" s="622" t="n"/>
      <c r="AP485" s="622" t="n"/>
      <c r="AQ485" s="622" t="n"/>
      <c r="AR485" s="622" t="n"/>
      <c r="AS485" s="622" t="n"/>
      <c r="AT485" s="622" t="n"/>
      <c r="AU485" s="622" t="n"/>
      <c r="AV485" s="622" t="n"/>
      <c r="AW485" s="622" t="n"/>
      <c r="AX485" s="622" t="n"/>
      <c r="AY485" s="622" t="n"/>
    </row>
    <row r="486">
      <c r="A486" s="622" t="n"/>
      <c r="B486" s="622" t="n"/>
      <c r="C486" s="622" t="n"/>
      <c r="D486" s="622" t="n"/>
      <c r="E486" s="622" t="n"/>
      <c r="F486" s="622" t="n"/>
      <c r="G486" s="622" t="n"/>
      <c r="H486" s="622" t="n"/>
      <c r="I486" s="622" t="n"/>
      <c r="J486" s="622" t="n"/>
      <c r="K486" s="622" t="n"/>
      <c r="L486" s="622" t="n"/>
      <c r="M486" s="622" t="n"/>
      <c r="N486" s="622" t="n"/>
      <c r="O486" s="622" t="n"/>
      <c r="P486" s="622" t="n"/>
      <c r="Q486" s="622" t="n"/>
      <c r="R486" s="622" t="n"/>
      <c r="S486" s="622" t="n"/>
      <c r="T486" s="622" t="n"/>
      <c r="U486" s="622" t="n"/>
      <c r="V486" s="622" t="n"/>
      <c r="W486" s="622" t="n"/>
      <c r="X486" s="622" t="n"/>
      <c r="Y486" s="622" t="n"/>
      <c r="Z486" s="622" t="n"/>
      <c r="AA486" s="622" t="n"/>
      <c r="AB486" s="622" t="n"/>
      <c r="AC486" s="622" t="n"/>
      <c r="AD486" s="622" t="n"/>
      <c r="AE486" s="622" t="n"/>
      <c r="AF486" s="622" t="n"/>
      <c r="AG486" s="622" t="n"/>
      <c r="AH486" s="622" t="n"/>
      <c r="AI486" s="622" t="n"/>
      <c r="AJ486" s="622" t="n"/>
      <c r="AK486" s="622" t="n"/>
      <c r="AL486" s="622" t="n"/>
      <c r="AM486" s="622" t="n"/>
      <c r="AN486" s="622" t="n"/>
      <c r="AO486" s="622" t="n"/>
      <c r="AP486" s="622" t="n"/>
      <c r="AQ486" s="622" t="n"/>
      <c r="AR486" s="622" t="n"/>
      <c r="AS486" s="622" t="n"/>
      <c r="AT486" s="622" t="n"/>
      <c r="AU486" s="622" t="n"/>
      <c r="AV486" s="622" t="n"/>
      <c r="AW486" s="622" t="n"/>
      <c r="AX486" s="622" t="n"/>
      <c r="AY486" s="622" t="n"/>
    </row>
    <row r="487">
      <c r="A487" s="622" t="n"/>
      <c r="B487" s="622" t="n"/>
      <c r="C487" s="622" t="n"/>
      <c r="D487" s="622" t="n"/>
      <c r="E487" s="622" t="n"/>
      <c r="F487" s="622" t="n"/>
      <c r="G487" s="622" t="n"/>
      <c r="H487" s="622" t="n"/>
      <c r="I487" s="622" t="n"/>
      <c r="J487" s="622" t="n"/>
      <c r="K487" s="622" t="n"/>
      <c r="L487" s="622" t="n"/>
      <c r="M487" s="622" t="n"/>
      <c r="N487" s="622" t="n"/>
      <c r="O487" s="622" t="n"/>
      <c r="P487" s="622" t="n"/>
      <c r="Q487" s="622" t="n"/>
      <c r="R487" s="622" t="n"/>
      <c r="S487" s="622" t="n"/>
      <c r="T487" s="622" t="n"/>
      <c r="U487" s="622" t="n"/>
      <c r="V487" s="622" t="n"/>
      <c r="W487" s="622" t="n"/>
      <c r="X487" s="622" t="n"/>
      <c r="Y487" s="622" t="n"/>
      <c r="Z487" s="622" t="n"/>
      <c r="AA487" s="622" t="n"/>
      <c r="AB487" s="622" t="n"/>
      <c r="AC487" s="622" t="n"/>
      <c r="AD487" s="622" t="n"/>
      <c r="AE487" s="622" t="n"/>
      <c r="AF487" s="622" t="n"/>
      <c r="AG487" s="622" t="n"/>
      <c r="AH487" s="622" t="n"/>
      <c r="AI487" s="622" t="n"/>
      <c r="AJ487" s="622" t="n"/>
      <c r="AK487" s="622" t="n"/>
      <c r="AL487" s="622" t="n"/>
      <c r="AM487" s="622" t="n"/>
      <c r="AN487" s="622" t="n"/>
      <c r="AO487" s="622" t="n"/>
      <c r="AP487" s="622" t="n"/>
      <c r="AQ487" s="622" t="n"/>
      <c r="AR487" s="622" t="n"/>
      <c r="AS487" s="622" t="n"/>
      <c r="AT487" s="622" t="n"/>
      <c r="AU487" s="622" t="n"/>
      <c r="AV487" s="622" t="n"/>
      <c r="AW487" s="622" t="n"/>
      <c r="AX487" s="622" t="n"/>
      <c r="AY487" s="622" t="n"/>
    </row>
    <row r="488">
      <c r="A488" s="622" t="n"/>
      <c r="B488" s="622" t="n"/>
      <c r="C488" s="622" t="n"/>
      <c r="D488" s="622" t="n"/>
      <c r="E488" s="622" t="n"/>
      <c r="F488" s="622" t="n"/>
      <c r="G488" s="622" t="n"/>
      <c r="H488" s="622" t="n"/>
      <c r="I488" s="622" t="n"/>
      <c r="J488" s="622" t="n"/>
      <c r="K488" s="622" t="n"/>
      <c r="L488" s="622" t="n"/>
      <c r="M488" s="622" t="n"/>
      <c r="N488" s="622" t="n"/>
      <c r="O488" s="622" t="n"/>
      <c r="P488" s="622" t="n"/>
      <c r="Q488" s="622" t="n"/>
      <c r="R488" s="622" t="n"/>
      <c r="S488" s="622" t="n"/>
      <c r="T488" s="622" t="n"/>
      <c r="U488" s="622" t="n"/>
      <c r="V488" s="622" t="n"/>
      <c r="W488" s="622" t="n"/>
      <c r="X488" s="622" t="n"/>
      <c r="Y488" s="622" t="n"/>
      <c r="Z488" s="622" t="n"/>
      <c r="AA488" s="622" t="n"/>
      <c r="AB488" s="622" t="n"/>
      <c r="AC488" s="622" t="n"/>
      <c r="AD488" s="622" t="n"/>
      <c r="AE488" s="622" t="n"/>
      <c r="AF488" s="622" t="n"/>
      <c r="AG488" s="622" t="n"/>
      <c r="AH488" s="622" t="n"/>
      <c r="AI488" s="622" t="n"/>
      <c r="AJ488" s="622" t="n"/>
      <c r="AK488" s="622" t="n"/>
      <c r="AL488" s="622" t="n"/>
      <c r="AM488" s="622" t="n"/>
      <c r="AN488" s="622" t="n"/>
      <c r="AO488" s="622" t="n"/>
      <c r="AP488" s="622" t="n"/>
      <c r="AQ488" s="622" t="n"/>
      <c r="AR488" s="622" t="n"/>
      <c r="AS488" s="622" t="n"/>
      <c r="AT488" s="622" t="n"/>
      <c r="AU488" s="622" t="n"/>
      <c r="AV488" s="622" t="n"/>
      <c r="AW488" s="622" t="n"/>
      <c r="AX488" s="622" t="n"/>
      <c r="AY488" s="622" t="n"/>
    </row>
    <row r="489">
      <c r="A489" s="622" t="n"/>
      <c r="B489" s="622" t="n"/>
      <c r="C489" s="622" t="n"/>
      <c r="D489" s="622" t="n"/>
      <c r="E489" s="622" t="n"/>
      <c r="F489" s="622" t="n"/>
      <c r="G489" s="622" t="n"/>
      <c r="H489" s="622" t="n"/>
      <c r="I489" s="622" t="n"/>
      <c r="J489" s="622" t="n"/>
      <c r="K489" s="622" t="n"/>
      <c r="L489" s="622" t="n"/>
      <c r="M489" s="622" t="n"/>
      <c r="N489" s="622" t="n"/>
      <c r="O489" s="622" t="n"/>
      <c r="P489" s="622" t="n"/>
      <c r="Q489" s="622" t="n"/>
      <c r="R489" s="622" t="n"/>
      <c r="S489" s="622" t="n"/>
      <c r="T489" s="622" t="n"/>
      <c r="U489" s="622" t="n"/>
      <c r="V489" s="622" t="n"/>
      <c r="W489" s="622" t="n"/>
      <c r="X489" s="622" t="n"/>
      <c r="Y489" s="622" t="n"/>
      <c r="Z489" s="622" t="n"/>
      <c r="AA489" s="622" t="n"/>
      <c r="AB489" s="622" t="n"/>
      <c r="AC489" s="622" t="n"/>
      <c r="AD489" s="622" t="n"/>
      <c r="AE489" s="622" t="n"/>
      <c r="AF489" s="622" t="n"/>
      <c r="AG489" s="622" t="n"/>
      <c r="AH489" s="622" t="n"/>
      <c r="AI489" s="622" t="n"/>
      <c r="AJ489" s="622" t="n"/>
      <c r="AK489" s="622" t="n"/>
      <c r="AL489" s="622" t="n"/>
      <c r="AM489" s="622" t="n"/>
      <c r="AN489" s="622" t="n"/>
      <c r="AO489" s="622" t="n"/>
      <c r="AP489" s="622" t="n"/>
      <c r="AQ489" s="622" t="n"/>
      <c r="AR489" s="622" t="n"/>
      <c r="AS489" s="622" t="n"/>
      <c r="AT489" s="622" t="n"/>
      <c r="AU489" s="622" t="n"/>
      <c r="AV489" s="622" t="n"/>
      <c r="AW489" s="622" t="n"/>
      <c r="AX489" s="622" t="n"/>
      <c r="AY489" s="622" t="n"/>
    </row>
    <row r="490">
      <c r="A490" s="622" t="n"/>
      <c r="B490" s="622" t="n"/>
      <c r="C490" s="622" t="n"/>
      <c r="D490" s="622" t="n"/>
      <c r="E490" s="622" t="n"/>
      <c r="F490" s="622" t="n"/>
      <c r="G490" s="622" t="n"/>
      <c r="H490" s="622" t="n"/>
      <c r="I490" s="622" t="n"/>
      <c r="J490" s="622" t="n"/>
      <c r="K490" s="622" t="n"/>
      <c r="L490" s="622" t="n"/>
      <c r="M490" s="622" t="n"/>
      <c r="N490" s="622" t="n"/>
      <c r="O490" s="622" t="n"/>
      <c r="P490" s="622" t="n"/>
      <c r="Q490" s="622" t="n"/>
      <c r="R490" s="622" t="n"/>
      <c r="S490" s="622" t="n"/>
      <c r="T490" s="622" t="n"/>
      <c r="U490" s="622" t="n"/>
      <c r="V490" s="622" t="n"/>
      <c r="W490" s="622" t="n"/>
      <c r="X490" s="622" t="n"/>
      <c r="Y490" s="622" t="n"/>
      <c r="Z490" s="622" t="n"/>
      <c r="AA490" s="622" t="n"/>
      <c r="AB490" s="622" t="n"/>
      <c r="AC490" s="622" t="n"/>
      <c r="AD490" s="622" t="n"/>
      <c r="AE490" s="622" t="n"/>
      <c r="AF490" s="622" t="n"/>
      <c r="AG490" s="622" t="n"/>
      <c r="AH490" s="622" t="n"/>
      <c r="AI490" s="622" t="n"/>
      <c r="AJ490" s="622" t="n"/>
      <c r="AK490" s="622" t="n"/>
      <c r="AL490" s="622" t="n"/>
      <c r="AM490" s="622" t="n"/>
      <c r="AN490" s="622" t="n"/>
      <c r="AO490" s="622" t="n"/>
      <c r="AP490" s="622" t="n"/>
      <c r="AQ490" s="622" t="n"/>
      <c r="AR490" s="622" t="n"/>
      <c r="AS490" s="622" t="n"/>
      <c r="AT490" s="622" t="n"/>
      <c r="AU490" s="622" t="n"/>
      <c r="AV490" s="622" t="n"/>
      <c r="AW490" s="622" t="n"/>
      <c r="AX490" s="622" t="n"/>
      <c r="AY490" s="622" t="n"/>
    </row>
    <row r="491">
      <c r="A491" s="622" t="n"/>
      <c r="B491" s="622" t="n"/>
      <c r="C491" s="622" t="n"/>
      <c r="D491" s="622" t="n"/>
      <c r="E491" s="622" t="n"/>
      <c r="F491" s="622" t="n"/>
      <c r="G491" s="622" t="n"/>
      <c r="H491" s="622" t="n"/>
      <c r="I491" s="622" t="n"/>
      <c r="J491" s="622" t="n"/>
      <c r="K491" s="622" t="n"/>
      <c r="L491" s="622" t="n"/>
      <c r="M491" s="622" t="n"/>
      <c r="N491" s="622" t="n"/>
      <c r="O491" s="622" t="n"/>
      <c r="P491" s="622" t="n"/>
      <c r="Q491" s="622" t="n"/>
      <c r="R491" s="622" t="n"/>
      <c r="S491" s="622" t="n"/>
      <c r="T491" s="622" t="n"/>
      <c r="U491" s="622" t="n"/>
      <c r="V491" s="622" t="n"/>
      <c r="W491" s="622" t="n"/>
      <c r="X491" s="622" t="n"/>
      <c r="Y491" s="622" t="n"/>
      <c r="Z491" s="622" t="n"/>
      <c r="AA491" s="622" t="n"/>
      <c r="AB491" s="622" t="n"/>
      <c r="AC491" s="622" t="n"/>
      <c r="AD491" s="622" t="n"/>
      <c r="AE491" s="622" t="n"/>
      <c r="AF491" s="622" t="n"/>
      <c r="AG491" s="622" t="n"/>
      <c r="AH491" s="622" t="n"/>
      <c r="AI491" s="622" t="n"/>
      <c r="AJ491" s="622" t="n"/>
      <c r="AK491" s="622" t="n"/>
      <c r="AL491" s="622" t="n"/>
      <c r="AM491" s="622" t="n"/>
      <c r="AN491" s="622" t="n"/>
      <c r="AO491" s="622" t="n"/>
      <c r="AP491" s="622" t="n"/>
      <c r="AQ491" s="622" t="n"/>
      <c r="AR491" s="622" t="n"/>
      <c r="AS491" s="622" t="n"/>
      <c r="AT491" s="622" t="n"/>
      <c r="AU491" s="622" t="n"/>
      <c r="AV491" s="622" t="n"/>
      <c r="AW491" s="622" t="n"/>
      <c r="AX491" s="622" t="n"/>
      <c r="AY491" s="622" t="n"/>
    </row>
    <row r="492">
      <c r="A492" s="622" t="n"/>
      <c r="B492" s="622" t="n"/>
      <c r="C492" s="622" t="n"/>
      <c r="D492" s="622" t="n"/>
      <c r="E492" s="622" t="n"/>
      <c r="F492" s="622" t="n"/>
      <c r="G492" s="622" t="n"/>
      <c r="H492" s="622" t="n"/>
      <c r="I492" s="622" t="n"/>
      <c r="J492" s="622" t="n"/>
      <c r="K492" s="622" t="n"/>
      <c r="L492" s="622" t="n"/>
      <c r="M492" s="622" t="n"/>
      <c r="N492" s="622" t="n"/>
      <c r="O492" s="622" t="n"/>
      <c r="P492" s="622" t="n"/>
      <c r="Q492" s="622" t="n"/>
      <c r="R492" s="622" t="n"/>
      <c r="S492" s="622" t="n"/>
      <c r="T492" s="622" t="n"/>
      <c r="U492" s="622" t="n"/>
      <c r="V492" s="622" t="n"/>
      <c r="W492" s="622" t="n"/>
      <c r="X492" s="622" t="n"/>
      <c r="Y492" s="622" t="n"/>
      <c r="Z492" s="622" t="n"/>
      <c r="AA492" s="622" t="n"/>
      <c r="AB492" s="622" t="n"/>
      <c r="AC492" s="622" t="n"/>
      <c r="AD492" s="622" t="n"/>
      <c r="AE492" s="622" t="n"/>
      <c r="AF492" s="622" t="n"/>
      <c r="AG492" s="622" t="n"/>
      <c r="AH492" s="622" t="n"/>
      <c r="AI492" s="622" t="n"/>
      <c r="AJ492" s="622" t="n"/>
      <c r="AK492" s="622" t="n"/>
      <c r="AL492" s="622" t="n"/>
      <c r="AM492" s="622" t="n"/>
      <c r="AN492" s="622" t="n"/>
      <c r="AO492" s="622" t="n"/>
      <c r="AP492" s="622" t="n"/>
      <c r="AQ492" s="622" t="n"/>
      <c r="AR492" s="622" t="n"/>
      <c r="AS492" s="622" t="n"/>
      <c r="AT492" s="622" t="n"/>
      <c r="AU492" s="622" t="n"/>
      <c r="AV492" s="622" t="n"/>
      <c r="AW492" s="622" t="n"/>
      <c r="AX492" s="622" t="n"/>
      <c r="AY492" s="622" t="n"/>
    </row>
    <row r="493">
      <c r="A493" s="622" t="n"/>
      <c r="B493" s="622" t="n"/>
      <c r="C493" s="622" t="n"/>
      <c r="D493" s="622" t="n"/>
      <c r="E493" s="622" t="n"/>
      <c r="F493" s="622" t="n"/>
      <c r="G493" s="622" t="n"/>
      <c r="H493" s="622" t="n"/>
      <c r="I493" s="622" t="n"/>
      <c r="J493" s="622" t="n"/>
      <c r="K493" s="622" t="n"/>
      <c r="L493" s="622" t="n"/>
      <c r="M493" s="622" t="n"/>
      <c r="N493" s="622" t="n"/>
      <c r="O493" s="622" t="n"/>
      <c r="P493" s="622" t="n"/>
      <c r="Q493" s="622" t="n"/>
      <c r="R493" s="622" t="n"/>
      <c r="S493" s="622" t="n"/>
      <c r="T493" s="622" t="n"/>
      <c r="U493" s="622" t="n"/>
      <c r="V493" s="622" t="n"/>
      <c r="W493" s="622" t="n"/>
      <c r="X493" s="622" t="n"/>
      <c r="Y493" s="622" t="n"/>
      <c r="Z493" s="622" t="n"/>
      <c r="AA493" s="622" t="n"/>
      <c r="AB493" s="622" t="n"/>
      <c r="AC493" s="622" t="n"/>
      <c r="AD493" s="622" t="n"/>
      <c r="AE493" s="622" t="n"/>
      <c r="AF493" s="622" t="n"/>
      <c r="AG493" s="622" t="n"/>
      <c r="AH493" s="622" t="n"/>
      <c r="AI493" s="622" t="n"/>
      <c r="AJ493" s="622" t="n"/>
      <c r="AK493" s="622" t="n"/>
      <c r="AL493" s="622" t="n"/>
      <c r="AM493" s="622" t="n"/>
      <c r="AN493" s="622" t="n"/>
      <c r="AO493" s="622" t="n"/>
      <c r="AP493" s="622" t="n"/>
      <c r="AQ493" s="622" t="n"/>
      <c r="AR493" s="622" t="n"/>
      <c r="AS493" s="622" t="n"/>
      <c r="AT493" s="622" t="n"/>
      <c r="AU493" s="622" t="n"/>
      <c r="AV493" s="622" t="n"/>
      <c r="AW493" s="622" t="n"/>
      <c r="AX493" s="622" t="n"/>
      <c r="AY493" s="622" t="n"/>
    </row>
    <row r="494">
      <c r="A494" s="622" t="n"/>
      <c r="B494" s="622" t="n"/>
      <c r="C494" s="622" t="n"/>
      <c r="D494" s="622" t="n"/>
      <c r="E494" s="622" t="n"/>
      <c r="F494" s="622" t="n"/>
      <c r="G494" s="622" t="n"/>
      <c r="H494" s="622" t="n"/>
      <c r="I494" s="622" t="n"/>
      <c r="J494" s="622" t="n"/>
      <c r="K494" s="622" t="n"/>
      <c r="L494" s="622" t="n"/>
      <c r="M494" s="622" t="n"/>
      <c r="N494" s="622" t="n"/>
      <c r="O494" s="622" t="n"/>
      <c r="P494" s="622" t="n"/>
      <c r="Q494" s="622" t="n"/>
      <c r="R494" s="622" t="n"/>
      <c r="S494" s="622" t="n"/>
      <c r="T494" s="622" t="n"/>
      <c r="U494" s="622" t="n"/>
      <c r="V494" s="622" t="n"/>
      <c r="W494" s="622" t="n"/>
      <c r="X494" s="622" t="n"/>
      <c r="Y494" s="622" t="n"/>
      <c r="Z494" s="622" t="n"/>
      <c r="AA494" s="622" t="n"/>
      <c r="AB494" s="622" t="n"/>
      <c r="AC494" s="622" t="n"/>
      <c r="AD494" s="622" t="n"/>
      <c r="AE494" s="622" t="n"/>
      <c r="AF494" s="622" t="n"/>
      <c r="AG494" s="622" t="n"/>
      <c r="AH494" s="622" t="n"/>
      <c r="AI494" s="622" t="n"/>
      <c r="AJ494" s="622" t="n"/>
      <c r="AK494" s="622" t="n"/>
      <c r="AL494" s="622" t="n"/>
      <c r="AM494" s="622" t="n"/>
      <c r="AN494" s="622" t="n"/>
      <c r="AO494" s="622" t="n"/>
      <c r="AP494" s="622" t="n"/>
      <c r="AQ494" s="622" t="n"/>
      <c r="AR494" s="622" t="n"/>
      <c r="AS494" s="622" t="n"/>
      <c r="AT494" s="622" t="n"/>
      <c r="AU494" s="622" t="n"/>
      <c r="AV494" s="622" t="n"/>
      <c r="AW494" s="622" t="n"/>
      <c r="AX494" s="622" t="n"/>
      <c r="AY494" s="622" t="n"/>
    </row>
    <row r="495">
      <c r="A495" s="622" t="n"/>
      <c r="B495" s="622" t="n"/>
      <c r="C495" s="622" t="n"/>
      <c r="D495" s="622" t="n"/>
      <c r="E495" s="622" t="n"/>
      <c r="F495" s="622" t="n"/>
      <c r="G495" s="622" t="n"/>
      <c r="H495" s="622" t="n"/>
      <c r="I495" s="622" t="n"/>
      <c r="J495" s="622" t="n"/>
      <c r="K495" s="622" t="n"/>
      <c r="L495" s="622" t="n"/>
      <c r="M495" s="622" t="n"/>
      <c r="N495" s="622" t="n"/>
      <c r="O495" s="622" t="n"/>
      <c r="P495" s="622" t="n"/>
      <c r="Q495" s="622" t="n"/>
      <c r="R495" s="622" t="n"/>
      <c r="S495" s="622" t="n"/>
      <c r="T495" s="622" t="n"/>
      <c r="U495" s="622" t="n"/>
      <c r="V495" s="622" t="n"/>
      <c r="W495" s="622" t="n"/>
      <c r="X495" s="622" t="n"/>
      <c r="Y495" s="622" t="n"/>
      <c r="Z495" s="622" t="n"/>
      <c r="AA495" s="622" t="n"/>
      <c r="AB495" s="622" t="n"/>
      <c r="AC495" s="622" t="n"/>
      <c r="AD495" s="622" t="n"/>
      <c r="AE495" s="622" t="n"/>
      <c r="AF495" s="622" t="n"/>
      <c r="AG495" s="622" t="n"/>
      <c r="AH495" s="622" t="n"/>
      <c r="AI495" s="622" t="n"/>
      <c r="AJ495" s="622" t="n"/>
      <c r="AK495" s="622" t="n"/>
      <c r="AL495" s="622" t="n"/>
      <c r="AM495" s="622" t="n"/>
      <c r="AN495" s="622" t="n"/>
      <c r="AO495" s="622" t="n"/>
      <c r="AP495" s="622" t="n"/>
      <c r="AQ495" s="622" t="n"/>
      <c r="AR495" s="622" t="n"/>
      <c r="AS495" s="622" t="n"/>
      <c r="AT495" s="622" t="n"/>
      <c r="AU495" s="622" t="n"/>
      <c r="AV495" s="622" t="n"/>
      <c r="AW495" s="622" t="n"/>
      <c r="AX495" s="622" t="n"/>
      <c r="AY495" s="622" t="n"/>
    </row>
    <row r="496">
      <c r="A496" s="622" t="n"/>
      <c r="B496" s="622" t="n"/>
      <c r="C496" s="622" t="n"/>
      <c r="D496" s="622" t="n"/>
      <c r="E496" s="622" t="n"/>
      <c r="F496" s="622" t="n"/>
      <c r="G496" s="622" t="n"/>
      <c r="H496" s="622" t="n"/>
      <c r="I496" s="622" t="n"/>
      <c r="J496" s="622" t="n"/>
      <c r="K496" s="622" t="n"/>
      <c r="L496" s="622" t="n"/>
      <c r="M496" s="622" t="n"/>
      <c r="N496" s="622" t="n"/>
      <c r="O496" s="622" t="n"/>
      <c r="P496" s="622" t="n"/>
      <c r="Q496" s="622" t="n"/>
      <c r="R496" s="622" t="n"/>
      <c r="S496" s="622" t="n"/>
      <c r="T496" s="622" t="n"/>
      <c r="U496" s="622" t="n"/>
      <c r="V496" s="622" t="n"/>
      <c r="W496" s="622" t="n"/>
      <c r="X496" s="622" t="n"/>
      <c r="Y496" s="622" t="n"/>
      <c r="Z496" s="622" t="n"/>
      <c r="AA496" s="622" t="n"/>
      <c r="AB496" s="622" t="n"/>
      <c r="AC496" s="622" t="n"/>
      <c r="AD496" s="622" t="n"/>
      <c r="AE496" s="622" t="n"/>
      <c r="AF496" s="622" t="n"/>
      <c r="AG496" s="622" t="n"/>
      <c r="AH496" s="622" t="n"/>
      <c r="AI496" s="622" t="n"/>
      <c r="AJ496" s="622" t="n"/>
      <c r="AK496" s="622" t="n"/>
      <c r="AL496" s="622" t="n"/>
      <c r="AM496" s="622" t="n"/>
      <c r="AN496" s="622" t="n"/>
      <c r="AO496" s="622" t="n"/>
      <c r="AP496" s="622" t="n"/>
      <c r="AQ496" s="622" t="n"/>
      <c r="AR496" s="622" t="n"/>
      <c r="AS496" s="622" t="n"/>
      <c r="AT496" s="622" t="n"/>
      <c r="AU496" s="622" t="n"/>
      <c r="AV496" s="622" t="n"/>
      <c r="AW496" s="622" t="n"/>
      <c r="AX496" s="622" t="n"/>
      <c r="AY496" s="622" t="n"/>
    </row>
    <row r="497">
      <c r="A497" s="622" t="n"/>
      <c r="B497" s="622" t="n"/>
      <c r="C497" s="622" t="n"/>
      <c r="D497" s="622" t="n"/>
      <c r="E497" s="622" t="n"/>
      <c r="F497" s="622" t="n"/>
      <c r="G497" s="622" t="n"/>
      <c r="H497" s="622" t="n"/>
      <c r="I497" s="622" t="n"/>
      <c r="J497" s="622" t="n"/>
      <c r="K497" s="622" t="n"/>
      <c r="L497" s="622" t="n"/>
      <c r="M497" s="622" t="n"/>
      <c r="N497" s="622" t="n"/>
      <c r="O497" s="622" t="n"/>
      <c r="P497" s="622" t="n"/>
      <c r="Q497" s="622" t="n"/>
      <c r="R497" s="622" t="n"/>
      <c r="S497" s="622" t="n"/>
      <c r="T497" s="622" t="n"/>
      <c r="U497" s="622" t="n"/>
      <c r="V497" s="622" t="n"/>
      <c r="W497" s="622" t="n"/>
      <c r="X497" s="622" t="n"/>
      <c r="Y497" s="622" t="n"/>
      <c r="Z497" s="622" t="n"/>
      <c r="AA497" s="622" t="n"/>
      <c r="AB497" s="622" t="n"/>
      <c r="AC497" s="622" t="n"/>
      <c r="AD497" s="622" t="n"/>
      <c r="AE497" s="622" t="n"/>
      <c r="AF497" s="622" t="n"/>
      <c r="AG497" s="622" t="n"/>
      <c r="AH497" s="622" t="n"/>
      <c r="AI497" s="622" t="n"/>
      <c r="AJ497" s="622" t="n"/>
      <c r="AK497" s="622" t="n"/>
      <c r="AL497" s="622" t="n"/>
      <c r="AM497" s="622" t="n"/>
      <c r="AN497" s="622" t="n"/>
      <c r="AO497" s="622" t="n"/>
      <c r="AP497" s="622" t="n"/>
      <c r="AQ497" s="622" t="n"/>
      <c r="AR497" s="622" t="n"/>
      <c r="AS497" s="622" t="n"/>
      <c r="AT497" s="622" t="n"/>
      <c r="AU497" s="622" t="n"/>
      <c r="AV497" s="622" t="n"/>
      <c r="AW497" s="622" t="n"/>
      <c r="AX497" s="622" t="n"/>
      <c r="AY497" s="622" t="n"/>
    </row>
    <row r="498">
      <c r="A498" s="622" t="n"/>
      <c r="B498" s="622" t="n"/>
      <c r="C498" s="622" t="n"/>
      <c r="D498" s="622" t="n"/>
      <c r="E498" s="622" t="n"/>
      <c r="F498" s="622" t="n"/>
      <c r="G498" s="622" t="n"/>
      <c r="H498" s="622" t="n"/>
      <c r="I498" s="622" t="n"/>
      <c r="J498" s="622" t="n"/>
      <c r="K498" s="622" t="n"/>
      <c r="L498" s="622" t="n"/>
      <c r="M498" s="622" t="n"/>
      <c r="N498" s="622" t="n"/>
      <c r="O498" s="622" t="n"/>
      <c r="P498" s="622" t="n"/>
      <c r="Q498" s="622" t="n"/>
      <c r="R498" s="622" t="n"/>
      <c r="S498" s="622" t="n"/>
      <c r="T498" s="622" t="n"/>
      <c r="U498" s="622" t="n"/>
      <c r="V498" s="622" t="n"/>
      <c r="W498" s="622" t="n"/>
      <c r="X498" s="622" t="n"/>
      <c r="Y498" s="622" t="n"/>
      <c r="Z498" s="622" t="n"/>
      <c r="AA498" s="622" t="n"/>
      <c r="AB498" s="622" t="n"/>
      <c r="AC498" s="622" t="n"/>
      <c r="AD498" s="622" t="n"/>
      <c r="AE498" s="622" t="n"/>
      <c r="AF498" s="622" t="n"/>
      <c r="AG498" s="622" t="n"/>
      <c r="AH498" s="622" t="n"/>
      <c r="AI498" s="622" t="n"/>
      <c r="AJ498" s="622" t="n"/>
      <c r="AK498" s="622" t="n"/>
      <c r="AL498" s="622" t="n"/>
      <c r="AM498" s="622" t="n"/>
      <c r="AN498" s="622" t="n"/>
      <c r="AO498" s="622" t="n"/>
      <c r="AP498" s="622" t="n"/>
      <c r="AQ498" s="622" t="n"/>
      <c r="AR498" s="622" t="n"/>
      <c r="AS498" s="622" t="n"/>
      <c r="AT498" s="622" t="n"/>
      <c r="AU498" s="622" t="n"/>
      <c r="AV498" s="622" t="n"/>
      <c r="AW498" s="622" t="n"/>
      <c r="AX498" s="622" t="n"/>
      <c r="AY498" s="622" t="n"/>
    </row>
    <row r="499">
      <c r="A499" s="622" t="n"/>
      <c r="B499" s="622" t="n"/>
      <c r="C499" s="622" t="n"/>
      <c r="D499" s="622" t="n"/>
      <c r="E499" s="622" t="n"/>
      <c r="F499" s="622" t="n"/>
      <c r="G499" s="622" t="n"/>
      <c r="H499" s="622" t="n"/>
      <c r="I499" s="622" t="n"/>
      <c r="J499" s="622" t="n"/>
      <c r="K499" s="622" t="n"/>
      <c r="L499" s="622" t="n"/>
      <c r="M499" s="622" t="n"/>
      <c r="N499" s="622" t="n"/>
      <c r="O499" s="622" t="n"/>
      <c r="P499" s="622" t="n"/>
      <c r="Q499" s="622" t="n"/>
      <c r="R499" s="622" t="n"/>
      <c r="S499" s="622" t="n"/>
      <c r="T499" s="622" t="n"/>
      <c r="U499" s="622" t="n"/>
      <c r="V499" s="622" t="n"/>
      <c r="W499" s="622" t="n"/>
      <c r="X499" s="622" t="n"/>
      <c r="Y499" s="622" t="n"/>
      <c r="Z499" s="622" t="n"/>
      <c r="AA499" s="622" t="n"/>
      <c r="AB499" s="622" t="n"/>
      <c r="AC499" s="622" t="n"/>
      <c r="AD499" s="622" t="n"/>
      <c r="AE499" s="622" t="n"/>
      <c r="AF499" s="622" t="n"/>
      <c r="AG499" s="622" t="n"/>
      <c r="AH499" s="622" t="n"/>
      <c r="AI499" s="622" t="n"/>
      <c r="AJ499" s="622" t="n"/>
      <c r="AK499" s="622" t="n"/>
      <c r="AL499" s="622" t="n"/>
      <c r="AM499" s="622" t="n"/>
      <c r="AN499" s="622" t="n"/>
      <c r="AO499" s="622" t="n"/>
      <c r="AP499" s="622" t="n"/>
      <c r="AQ499" s="622" t="n"/>
      <c r="AR499" s="622" t="n"/>
      <c r="AS499" s="622" t="n"/>
      <c r="AT499" s="622" t="n"/>
      <c r="AU499" s="622" t="n"/>
      <c r="AV499" s="622" t="n"/>
      <c r="AW499" s="622" t="n"/>
      <c r="AX499" s="622" t="n"/>
      <c r="AY499" s="622" t="n"/>
    </row>
    <row r="500">
      <c r="A500" s="622" t="n"/>
      <c r="B500" s="622" t="n"/>
      <c r="C500" s="622" t="n"/>
      <c r="D500" s="622" t="n"/>
      <c r="E500" s="622" t="n"/>
      <c r="F500" s="622" t="n"/>
      <c r="G500" s="622" t="n"/>
      <c r="H500" s="622" t="n"/>
      <c r="I500" s="622" t="n"/>
      <c r="J500" s="622" t="n"/>
      <c r="K500" s="622" t="n"/>
      <c r="L500" s="622" t="n"/>
      <c r="M500" s="622" t="n"/>
      <c r="N500" s="622" t="n"/>
      <c r="O500" s="622" t="n"/>
      <c r="P500" s="622" t="n"/>
      <c r="Q500" s="622" t="n"/>
      <c r="R500" s="622" t="n"/>
      <c r="S500" s="622" t="n"/>
      <c r="T500" s="622" t="n"/>
      <c r="U500" s="622" t="n"/>
      <c r="V500" s="622" t="n"/>
      <c r="W500" s="622" t="n"/>
      <c r="X500" s="622" t="n"/>
      <c r="Y500" s="622" t="n"/>
      <c r="Z500" s="622" t="n"/>
      <c r="AA500" s="622" t="n"/>
      <c r="AB500" s="622" t="n"/>
      <c r="AC500" s="622" t="n"/>
      <c r="AD500" s="622" t="n"/>
      <c r="AE500" s="622" t="n"/>
      <c r="AF500" s="622" t="n"/>
      <c r="AG500" s="622" t="n"/>
      <c r="AH500" s="622" t="n"/>
      <c r="AI500" s="622" t="n"/>
      <c r="AJ500" s="622" t="n"/>
      <c r="AK500" s="622" t="n"/>
      <c r="AL500" s="622" t="n"/>
      <c r="AM500" s="622" t="n"/>
      <c r="AN500" s="622" t="n"/>
      <c r="AO500" s="622" t="n"/>
      <c r="AP500" s="622" t="n"/>
      <c r="AQ500" s="622" t="n"/>
      <c r="AR500" s="622" t="n"/>
      <c r="AS500" s="622" t="n"/>
      <c r="AT500" s="622" t="n"/>
      <c r="AU500" s="622" t="n"/>
      <c r="AV500" s="622" t="n"/>
      <c r="AW500" s="622" t="n"/>
      <c r="AX500" s="622" t="n"/>
      <c r="AY500" s="622" t="n"/>
    </row>
    <row r="501">
      <c r="A501" s="622" t="n"/>
      <c r="B501" s="622" t="n"/>
      <c r="C501" s="622" t="n"/>
      <c r="D501" s="622" t="n"/>
      <c r="E501" s="622" t="n"/>
      <c r="F501" s="622" t="n"/>
      <c r="G501" s="622" t="n"/>
      <c r="H501" s="622" t="n"/>
      <c r="I501" s="622" t="n"/>
      <c r="J501" s="622" t="n"/>
      <c r="K501" s="622" t="n"/>
      <c r="L501" s="622" t="n"/>
      <c r="M501" s="622" t="n"/>
      <c r="N501" s="622" t="n"/>
      <c r="O501" s="622" t="n"/>
      <c r="P501" s="622" t="n"/>
      <c r="Q501" s="622" t="n"/>
      <c r="R501" s="622" t="n"/>
      <c r="S501" s="622" t="n"/>
      <c r="T501" s="622" t="n"/>
      <c r="U501" s="622" t="n"/>
      <c r="V501" s="622" t="n"/>
      <c r="W501" s="622" t="n"/>
      <c r="X501" s="622" t="n"/>
      <c r="Y501" s="622" t="n"/>
      <c r="Z501" s="622" t="n"/>
      <c r="AA501" s="622" t="n"/>
      <c r="AB501" s="622" t="n"/>
      <c r="AC501" s="622" t="n"/>
      <c r="AD501" s="622" t="n"/>
      <c r="AE501" s="622" t="n"/>
      <c r="AF501" s="622" t="n"/>
      <c r="AG501" s="622" t="n"/>
      <c r="AH501" s="622" t="n"/>
      <c r="AI501" s="622" t="n"/>
      <c r="AJ501" s="622" t="n"/>
      <c r="AK501" s="622" t="n"/>
      <c r="AL501" s="622" t="n"/>
      <c r="AM501" s="622" t="n"/>
      <c r="AN501" s="622" t="n"/>
      <c r="AO501" s="622" t="n"/>
      <c r="AP501" s="622" t="n"/>
      <c r="AQ501" s="622" t="n"/>
      <c r="AR501" s="622" t="n"/>
      <c r="AS501" s="622" t="n"/>
      <c r="AT501" s="622" t="n"/>
      <c r="AU501" s="622" t="n"/>
      <c r="AV501" s="622" t="n"/>
      <c r="AW501" s="622" t="n"/>
      <c r="AX501" s="622" t="n"/>
      <c r="AY501" s="622" t="n"/>
    </row>
    <row r="502">
      <c r="A502" s="622" t="n"/>
      <c r="B502" s="622" t="n"/>
      <c r="C502" s="622" t="n"/>
      <c r="D502" s="622" t="n"/>
      <c r="E502" s="622" t="n"/>
      <c r="F502" s="622" t="n"/>
      <c r="G502" s="622" t="n"/>
      <c r="H502" s="622" t="n"/>
      <c r="I502" s="622" t="n"/>
      <c r="J502" s="622" t="n"/>
      <c r="K502" s="622" t="n"/>
      <c r="L502" s="622" t="n"/>
      <c r="M502" s="622" t="n"/>
      <c r="N502" s="622" t="n"/>
      <c r="O502" s="622" t="n"/>
      <c r="P502" s="622" t="n"/>
      <c r="Q502" s="622" t="n"/>
      <c r="R502" s="622" t="n"/>
      <c r="S502" s="622" t="n"/>
      <c r="T502" s="622" t="n"/>
      <c r="U502" s="622" t="n"/>
      <c r="V502" s="622" t="n"/>
      <c r="W502" s="622" t="n"/>
      <c r="X502" s="622" t="n"/>
      <c r="Y502" s="622" t="n"/>
      <c r="Z502" s="622" t="n"/>
      <c r="AA502" s="622" t="n"/>
      <c r="AB502" s="622" t="n"/>
      <c r="AC502" s="622" t="n"/>
      <c r="AD502" s="622" t="n"/>
      <c r="AE502" s="622" t="n"/>
      <c r="AF502" s="622" t="n"/>
      <c r="AG502" s="622" t="n"/>
      <c r="AH502" s="622" t="n"/>
      <c r="AI502" s="622" t="n"/>
      <c r="AJ502" s="622" t="n"/>
      <c r="AK502" s="622" t="n"/>
      <c r="AL502" s="622" t="n"/>
      <c r="AM502" s="622" t="n"/>
      <c r="AN502" s="622" t="n"/>
      <c r="AO502" s="622" t="n"/>
      <c r="AP502" s="622" t="n"/>
      <c r="AQ502" s="622" t="n"/>
      <c r="AR502" s="622" t="n"/>
      <c r="AS502" s="622" t="n"/>
      <c r="AT502" s="622" t="n"/>
      <c r="AU502" s="622" t="n"/>
      <c r="AV502" s="622" t="n"/>
      <c r="AW502" s="622" t="n"/>
      <c r="AX502" s="622" t="n"/>
      <c r="AY502" s="622" t="n"/>
    </row>
    <row r="503">
      <c r="A503" s="622" t="n"/>
      <c r="B503" s="622" t="n"/>
      <c r="C503" s="622" t="n"/>
      <c r="D503" s="622" t="n"/>
      <c r="E503" s="622" t="n"/>
      <c r="F503" s="622" t="n"/>
      <c r="G503" s="622" t="n"/>
      <c r="H503" s="622" t="n"/>
      <c r="I503" s="622" t="n"/>
      <c r="J503" s="622" t="n"/>
      <c r="K503" s="622" t="n"/>
      <c r="L503" s="622" t="n"/>
      <c r="M503" s="622" t="n"/>
      <c r="N503" s="622" t="n"/>
      <c r="O503" s="622" t="n"/>
      <c r="P503" s="622" t="n"/>
      <c r="Q503" s="622" t="n"/>
      <c r="R503" s="622" t="n"/>
      <c r="S503" s="622" t="n"/>
      <c r="T503" s="622" t="n"/>
      <c r="U503" s="622" t="n"/>
      <c r="V503" s="622" t="n"/>
      <c r="W503" s="622" t="n"/>
      <c r="X503" s="622" t="n"/>
      <c r="Y503" s="622" t="n"/>
      <c r="Z503" s="622" t="n"/>
      <c r="AA503" s="622" t="n"/>
      <c r="AB503" s="622" t="n"/>
      <c r="AC503" s="622" t="n"/>
      <c r="AD503" s="622" t="n"/>
      <c r="AE503" s="622" t="n"/>
      <c r="AF503" s="622" t="n"/>
      <c r="AG503" s="622" t="n"/>
      <c r="AH503" s="622" t="n"/>
      <c r="AI503" s="622" t="n"/>
      <c r="AJ503" s="622" t="n"/>
      <c r="AK503" s="622" t="n"/>
      <c r="AL503" s="622" t="n"/>
      <c r="AM503" s="622" t="n"/>
      <c r="AN503" s="622" t="n"/>
      <c r="AO503" s="622" t="n"/>
      <c r="AP503" s="622" t="n"/>
      <c r="AQ503" s="622" t="n"/>
      <c r="AR503" s="622" t="n"/>
      <c r="AS503" s="622" t="n"/>
      <c r="AT503" s="622" t="n"/>
      <c r="AU503" s="622" t="n"/>
      <c r="AV503" s="622" t="n"/>
      <c r="AW503" s="622" t="n"/>
      <c r="AX503" s="622" t="n"/>
      <c r="AY503" s="622" t="n"/>
    </row>
    <row r="504">
      <c r="A504" s="622" t="n"/>
      <c r="B504" s="622" t="n"/>
      <c r="C504" s="622" t="n"/>
      <c r="D504" s="622" t="n"/>
      <c r="E504" s="622" t="n"/>
      <c r="F504" s="622" t="n"/>
      <c r="G504" s="622" t="n"/>
      <c r="H504" s="622" t="n"/>
      <c r="I504" s="622" t="n"/>
      <c r="J504" s="622" t="n"/>
      <c r="K504" s="622" t="n"/>
      <c r="L504" s="622" t="n"/>
      <c r="M504" s="622" t="n"/>
      <c r="N504" s="622" t="n"/>
      <c r="O504" s="622" t="n"/>
      <c r="P504" s="622" t="n"/>
      <c r="Q504" s="622" t="n"/>
      <c r="R504" s="622" t="n"/>
      <c r="S504" s="622" t="n"/>
      <c r="T504" s="622" t="n"/>
      <c r="U504" s="622" t="n"/>
      <c r="V504" s="622" t="n"/>
      <c r="W504" s="622" t="n"/>
      <c r="X504" s="622" t="n"/>
      <c r="Y504" s="622" t="n"/>
      <c r="Z504" s="622" t="n"/>
      <c r="AA504" s="622" t="n"/>
      <c r="AB504" s="622" t="n"/>
      <c r="AC504" s="622" t="n"/>
      <c r="AD504" s="622" t="n"/>
      <c r="AE504" s="622" t="n"/>
      <c r="AF504" s="622" t="n"/>
      <c r="AG504" s="622" t="n"/>
      <c r="AH504" s="622" t="n"/>
      <c r="AI504" s="622" t="n"/>
      <c r="AJ504" s="622" t="n"/>
      <c r="AK504" s="622" t="n"/>
      <c r="AL504" s="622" t="n"/>
      <c r="AM504" s="622" t="n"/>
      <c r="AN504" s="622" t="n"/>
      <c r="AO504" s="622" t="n"/>
      <c r="AP504" s="622" t="n"/>
      <c r="AQ504" s="622" t="n"/>
      <c r="AR504" s="622" t="n"/>
      <c r="AS504" s="622" t="n"/>
      <c r="AT504" s="622" t="n"/>
      <c r="AU504" s="622" t="n"/>
      <c r="AV504" s="622" t="n"/>
      <c r="AW504" s="622" t="n"/>
      <c r="AX504" s="622" t="n"/>
      <c r="AY504" s="622" t="n"/>
    </row>
    <row r="505">
      <c r="A505" s="622" t="n"/>
      <c r="B505" s="622" t="n"/>
      <c r="C505" s="622" t="n"/>
      <c r="D505" s="622" t="n"/>
      <c r="E505" s="622" t="n"/>
      <c r="F505" s="622" t="n"/>
      <c r="G505" s="622" t="n"/>
      <c r="H505" s="622" t="n"/>
      <c r="I505" s="622" t="n"/>
      <c r="J505" s="622" t="n"/>
      <c r="K505" s="622" t="n"/>
      <c r="L505" s="622" t="n"/>
      <c r="M505" s="622" t="n"/>
      <c r="N505" s="622" t="n"/>
      <c r="O505" s="622" t="n"/>
      <c r="P505" s="622" t="n"/>
      <c r="Q505" s="622" t="n"/>
      <c r="R505" s="622" t="n"/>
      <c r="S505" s="622" t="n"/>
      <c r="T505" s="622" t="n"/>
      <c r="U505" s="622" t="n"/>
      <c r="V505" s="622" t="n"/>
      <c r="W505" s="622" t="n"/>
      <c r="X505" s="622" t="n"/>
      <c r="Y505" s="622" t="n"/>
      <c r="Z505" s="622" t="n"/>
      <c r="AA505" s="622" t="n"/>
      <c r="AB505" s="622" t="n"/>
      <c r="AC505" s="622" t="n"/>
      <c r="AD505" s="622" t="n"/>
      <c r="AE505" s="622" t="n"/>
      <c r="AF505" s="622" t="n"/>
      <c r="AG505" s="622" t="n"/>
      <c r="AH505" s="622" t="n"/>
      <c r="AI505" s="622" t="n"/>
      <c r="AJ505" s="622" t="n"/>
      <c r="AK505" s="622" t="n"/>
      <c r="AL505" s="622" t="n"/>
      <c r="AM505" s="622" t="n"/>
      <c r="AN505" s="622" t="n"/>
      <c r="AO505" s="622" t="n"/>
      <c r="AP505" s="622" t="n"/>
      <c r="AQ505" s="622" t="n"/>
      <c r="AR505" s="622" t="n"/>
      <c r="AS505" s="622" t="n"/>
      <c r="AT505" s="622" t="n"/>
      <c r="AU505" s="622" t="n"/>
      <c r="AV505" s="622" t="n"/>
      <c r="AW505" s="622" t="n"/>
      <c r="AX505" s="622" t="n"/>
      <c r="AY505" s="622" t="n"/>
    </row>
    <row r="506">
      <c r="A506" s="622" t="n"/>
      <c r="B506" s="622" t="n"/>
      <c r="C506" s="622" t="n"/>
      <c r="D506" s="622" t="n"/>
      <c r="E506" s="622" t="n"/>
      <c r="F506" s="622" t="n"/>
      <c r="G506" s="622" t="n"/>
      <c r="H506" s="622" t="n"/>
      <c r="I506" s="622" t="n"/>
      <c r="J506" s="622" t="n"/>
      <c r="K506" s="622" t="n"/>
      <c r="L506" s="622" t="n"/>
      <c r="M506" s="622" t="n"/>
      <c r="N506" s="622" t="n"/>
      <c r="O506" s="622" t="n"/>
      <c r="P506" s="622" t="n"/>
      <c r="Q506" s="622" t="n"/>
      <c r="R506" s="622" t="n"/>
      <c r="S506" s="622" t="n"/>
      <c r="T506" s="622" t="n"/>
      <c r="U506" s="622" t="n"/>
      <c r="V506" s="622" t="n"/>
      <c r="W506" s="622" t="n"/>
      <c r="X506" s="622" t="n"/>
      <c r="Y506" s="622" t="n"/>
      <c r="Z506" s="622" t="n"/>
      <c r="AA506" s="622" t="n"/>
      <c r="AB506" s="622" t="n"/>
      <c r="AC506" s="622" t="n"/>
      <c r="AD506" s="622" t="n"/>
      <c r="AE506" s="622" t="n"/>
      <c r="AF506" s="622" t="n"/>
      <c r="AG506" s="622" t="n"/>
      <c r="AH506" s="622" t="n"/>
      <c r="AI506" s="622" t="n"/>
      <c r="AJ506" s="622" t="n"/>
      <c r="AK506" s="622" t="n"/>
      <c r="AL506" s="622" t="n"/>
      <c r="AM506" s="622" t="n"/>
      <c r="AN506" s="622" t="n"/>
      <c r="AO506" s="622" t="n"/>
      <c r="AP506" s="622" t="n"/>
      <c r="AQ506" s="622" t="n"/>
      <c r="AR506" s="622" t="n"/>
      <c r="AS506" s="622" t="n"/>
      <c r="AT506" s="622" t="n"/>
      <c r="AU506" s="622" t="n"/>
      <c r="AV506" s="622" t="n"/>
      <c r="AW506" s="622" t="n"/>
      <c r="AX506" s="622" t="n"/>
      <c r="AY506" s="622" t="n"/>
    </row>
    <row r="507">
      <c r="A507" s="622" t="n"/>
      <c r="B507" s="622" t="n"/>
      <c r="C507" s="622" t="n"/>
      <c r="D507" s="622" t="n"/>
      <c r="E507" s="622" t="n"/>
      <c r="F507" s="622" t="n"/>
      <c r="G507" s="622" t="n"/>
      <c r="H507" s="622" t="n"/>
      <c r="I507" s="622" t="n"/>
      <c r="J507" s="622" t="n"/>
      <c r="K507" s="622" t="n"/>
      <c r="L507" s="622" t="n"/>
      <c r="M507" s="622" t="n"/>
      <c r="N507" s="622" t="n"/>
      <c r="O507" s="622" t="n"/>
      <c r="P507" s="622" t="n"/>
      <c r="Q507" s="622" t="n"/>
      <c r="R507" s="622" t="n"/>
      <c r="S507" s="622" t="n"/>
      <c r="T507" s="622" t="n"/>
      <c r="U507" s="622" t="n"/>
      <c r="V507" s="622" t="n"/>
      <c r="W507" s="622" t="n"/>
      <c r="X507" s="622" t="n"/>
      <c r="Y507" s="622" t="n"/>
      <c r="Z507" s="622" t="n"/>
      <c r="AA507" s="622" t="n"/>
      <c r="AB507" s="622" t="n"/>
      <c r="AC507" s="622" t="n"/>
      <c r="AD507" s="622" t="n"/>
      <c r="AE507" s="622" t="n"/>
      <c r="AF507" s="622" t="n"/>
      <c r="AG507" s="622" t="n"/>
      <c r="AH507" s="622" t="n"/>
      <c r="AI507" s="622" t="n"/>
      <c r="AJ507" s="622" t="n"/>
      <c r="AK507" s="622" t="n"/>
      <c r="AL507" s="622" t="n"/>
      <c r="AM507" s="622" t="n"/>
      <c r="AN507" s="622" t="n"/>
      <c r="AO507" s="622" t="n"/>
      <c r="AP507" s="622" t="n"/>
      <c r="AQ507" s="622" t="n"/>
      <c r="AR507" s="622" t="n"/>
      <c r="AS507" s="622" t="n"/>
      <c r="AT507" s="622" t="n"/>
      <c r="AU507" s="622" t="n"/>
      <c r="AV507" s="622" t="n"/>
      <c r="AW507" s="622" t="n"/>
      <c r="AX507" s="622" t="n"/>
      <c r="AY507" s="622" t="n"/>
    </row>
    <row r="508">
      <c r="A508" s="622" t="n"/>
      <c r="B508" s="622" t="n"/>
      <c r="C508" s="622" t="n"/>
      <c r="D508" s="622" t="n"/>
      <c r="E508" s="622" t="n"/>
      <c r="F508" s="622" t="n"/>
      <c r="G508" s="622" t="n"/>
      <c r="H508" s="622" t="n"/>
      <c r="I508" s="622" t="n"/>
      <c r="J508" s="622" t="n"/>
      <c r="K508" s="622" t="n"/>
      <c r="L508" s="622" t="n"/>
      <c r="M508" s="622" t="n"/>
      <c r="N508" s="622" t="n"/>
      <c r="O508" s="622" t="n"/>
      <c r="P508" s="622" t="n"/>
      <c r="Q508" s="622" t="n"/>
      <c r="R508" s="622" t="n"/>
      <c r="S508" s="622" t="n"/>
      <c r="T508" s="622" t="n"/>
      <c r="U508" s="622" t="n"/>
      <c r="V508" s="622" t="n"/>
      <c r="W508" s="622" t="n"/>
      <c r="X508" s="622" t="n"/>
      <c r="Y508" s="622" t="n"/>
      <c r="Z508" s="622" t="n"/>
      <c r="AA508" s="622" t="n"/>
      <c r="AB508" s="622" t="n"/>
      <c r="AC508" s="622" t="n"/>
      <c r="AD508" s="622" t="n"/>
      <c r="AE508" s="622" t="n"/>
      <c r="AF508" s="622" t="n"/>
      <c r="AG508" s="622" t="n"/>
      <c r="AH508" s="622" t="n"/>
      <c r="AI508" s="622" t="n"/>
      <c r="AJ508" s="622" t="n"/>
      <c r="AK508" s="622" t="n"/>
      <c r="AL508" s="622" t="n"/>
      <c r="AM508" s="622" t="n"/>
      <c r="AN508" s="622" t="n"/>
      <c r="AO508" s="622" t="n"/>
      <c r="AP508" s="622" t="n"/>
      <c r="AQ508" s="622" t="n"/>
      <c r="AR508" s="622" t="n"/>
      <c r="AS508" s="622" t="n"/>
      <c r="AT508" s="622" t="n"/>
      <c r="AU508" s="622" t="n"/>
      <c r="AV508" s="622" t="n"/>
      <c r="AW508" s="622" t="n"/>
      <c r="AX508" s="622" t="n"/>
      <c r="AY508" s="622" t="n"/>
    </row>
    <row r="509">
      <c r="A509" s="622" t="n"/>
      <c r="B509" s="622" t="n"/>
      <c r="C509" s="622" t="n"/>
      <c r="D509" s="622" t="n"/>
      <c r="E509" s="622" t="n"/>
      <c r="F509" s="622" t="n"/>
      <c r="G509" s="622" t="n"/>
      <c r="H509" s="622" t="n"/>
      <c r="I509" s="622" t="n"/>
      <c r="J509" s="622" t="n"/>
      <c r="K509" s="622" t="n"/>
      <c r="L509" s="622" t="n"/>
      <c r="M509" s="622" t="n"/>
      <c r="N509" s="622" t="n"/>
      <c r="O509" s="622" t="n"/>
      <c r="P509" s="622" t="n"/>
      <c r="Q509" s="622" t="n"/>
      <c r="R509" s="622" t="n"/>
      <c r="S509" s="622" t="n"/>
      <c r="T509" s="622" t="n"/>
      <c r="U509" s="622" t="n"/>
      <c r="V509" s="622" t="n"/>
      <c r="W509" s="622" t="n"/>
      <c r="X509" s="622" t="n"/>
      <c r="Y509" s="622" t="n"/>
      <c r="Z509" s="622" t="n"/>
      <c r="AA509" s="622" t="n"/>
      <c r="AB509" s="622" t="n"/>
      <c r="AC509" s="622" t="n"/>
      <c r="AD509" s="622" t="n"/>
      <c r="AE509" s="622" t="n"/>
      <c r="AF509" s="622" t="n"/>
      <c r="AG509" s="622" t="n"/>
      <c r="AH509" s="622" t="n"/>
      <c r="AI509" s="622" t="n"/>
      <c r="AJ509" s="622" t="n"/>
      <c r="AK509" s="622" t="n"/>
      <c r="AL509" s="622" t="n"/>
      <c r="AM509" s="622" t="n"/>
      <c r="AN509" s="622" t="n"/>
      <c r="AO509" s="622" t="n"/>
      <c r="AP509" s="622" t="n"/>
      <c r="AQ509" s="622" t="n"/>
      <c r="AR509" s="622" t="n"/>
      <c r="AS509" s="622" t="n"/>
      <c r="AT509" s="622" t="n"/>
      <c r="AU509" s="622" t="n"/>
      <c r="AV509" s="622" t="n"/>
      <c r="AW509" s="622" t="n"/>
      <c r="AX509" s="622" t="n"/>
      <c r="AY509" s="622" t="n"/>
    </row>
    <row r="510">
      <c r="A510" s="622" t="n"/>
      <c r="B510" s="622" t="n"/>
      <c r="C510" s="622" t="n"/>
      <c r="D510" s="622" t="n"/>
      <c r="E510" s="622" t="n"/>
      <c r="F510" s="622" t="n"/>
      <c r="G510" s="622" t="n"/>
      <c r="H510" s="622" t="n"/>
      <c r="I510" s="622" t="n"/>
      <c r="J510" s="622" t="n"/>
      <c r="K510" s="622" t="n"/>
      <c r="L510" s="622" t="n"/>
      <c r="M510" s="622" t="n"/>
      <c r="N510" s="622" t="n"/>
      <c r="O510" s="622" t="n"/>
      <c r="P510" s="622" t="n"/>
      <c r="Q510" s="622" t="n"/>
      <c r="R510" s="622" t="n"/>
      <c r="S510" s="622" t="n"/>
      <c r="T510" s="622" t="n"/>
      <c r="U510" s="622" t="n"/>
      <c r="V510" s="622" t="n"/>
      <c r="W510" s="622" t="n"/>
      <c r="X510" s="622" t="n"/>
      <c r="Y510" s="622" t="n"/>
      <c r="Z510" s="622" t="n"/>
      <c r="AA510" s="622" t="n"/>
      <c r="AB510" s="622" t="n"/>
      <c r="AC510" s="622" t="n"/>
      <c r="AD510" s="622" t="n"/>
      <c r="AE510" s="622" t="n"/>
      <c r="AF510" s="622" t="n"/>
      <c r="AG510" s="622" t="n"/>
      <c r="AH510" s="622" t="n"/>
      <c r="AI510" s="622" t="n"/>
      <c r="AJ510" s="622" t="n"/>
      <c r="AK510" s="622" t="n"/>
      <c r="AL510" s="622" t="n"/>
      <c r="AM510" s="622" t="n"/>
      <c r="AN510" s="622" t="n"/>
      <c r="AO510" s="622" t="n"/>
      <c r="AP510" s="622" t="n"/>
      <c r="AQ510" s="622" t="n"/>
      <c r="AR510" s="622" t="n"/>
      <c r="AS510" s="622" t="n"/>
      <c r="AT510" s="622" t="n"/>
      <c r="AU510" s="622" t="n"/>
      <c r="AV510" s="622" t="n"/>
      <c r="AW510" s="622" t="n"/>
      <c r="AX510" s="622" t="n"/>
      <c r="AY510" s="622" t="n"/>
    </row>
    <row r="511">
      <c r="A511" s="622" t="n"/>
      <c r="B511" s="622" t="n"/>
      <c r="C511" s="622" t="n"/>
      <c r="D511" s="622" t="n"/>
      <c r="E511" s="622" t="n"/>
      <c r="F511" s="622" t="n"/>
      <c r="G511" s="622" t="n"/>
      <c r="H511" s="622" t="n"/>
      <c r="I511" s="622" t="n"/>
      <c r="J511" s="622" t="n"/>
      <c r="K511" s="622" t="n"/>
      <c r="L511" s="622" t="n"/>
      <c r="M511" s="622" t="n"/>
      <c r="N511" s="622" t="n"/>
      <c r="O511" s="622" t="n"/>
      <c r="P511" s="622" t="n"/>
      <c r="Q511" s="622" t="n"/>
      <c r="R511" s="622" t="n"/>
      <c r="S511" s="622" t="n"/>
      <c r="T511" s="622" t="n"/>
      <c r="U511" s="622" t="n"/>
      <c r="V511" s="622" t="n"/>
      <c r="W511" s="622" t="n"/>
      <c r="X511" s="622" t="n"/>
      <c r="Y511" s="622" t="n"/>
      <c r="Z511" s="622" t="n"/>
      <c r="AA511" s="622" t="n"/>
      <c r="AB511" s="622" t="n"/>
      <c r="AC511" s="622" t="n"/>
      <c r="AD511" s="622" t="n"/>
      <c r="AE511" s="622" t="n"/>
      <c r="AF511" s="622" t="n"/>
      <c r="AG511" s="622" t="n"/>
      <c r="AH511" s="622" t="n"/>
      <c r="AI511" s="622" t="n"/>
      <c r="AJ511" s="622" t="n"/>
      <c r="AK511" s="622" t="n"/>
      <c r="AL511" s="622" t="n"/>
      <c r="AM511" s="622" t="n"/>
      <c r="AN511" s="622" t="n"/>
      <c r="AO511" s="622" t="n"/>
      <c r="AP511" s="622" t="n"/>
      <c r="AQ511" s="622" t="n"/>
      <c r="AR511" s="622" t="n"/>
      <c r="AS511" s="622" t="n"/>
      <c r="AT511" s="622" t="n"/>
      <c r="AU511" s="622" t="n"/>
      <c r="AV511" s="622" t="n"/>
      <c r="AW511" s="622" t="n"/>
      <c r="AX511" s="622" t="n"/>
      <c r="AY511" s="622" t="n"/>
    </row>
    <row r="512">
      <c r="A512" s="622" t="n"/>
      <c r="B512" s="622" t="n"/>
      <c r="C512" s="622" t="n"/>
      <c r="D512" s="622" t="n"/>
      <c r="E512" s="622" t="n"/>
      <c r="F512" s="622" t="n"/>
      <c r="G512" s="622" t="n"/>
      <c r="H512" s="622" t="n"/>
      <c r="I512" s="622" t="n"/>
      <c r="J512" s="622" t="n"/>
      <c r="K512" s="622" t="n"/>
      <c r="L512" s="622" t="n"/>
      <c r="M512" s="622" t="n"/>
      <c r="N512" s="622" t="n"/>
      <c r="O512" s="622" t="n"/>
      <c r="P512" s="622" t="n"/>
      <c r="Q512" s="622" t="n"/>
      <c r="R512" s="622" t="n"/>
      <c r="S512" s="622" t="n"/>
      <c r="T512" s="622" t="n"/>
      <c r="U512" s="622" t="n"/>
      <c r="V512" s="622" t="n"/>
      <c r="W512" s="622" t="n"/>
      <c r="X512" s="622" t="n"/>
      <c r="Y512" s="622" t="n"/>
      <c r="Z512" s="622" t="n"/>
      <c r="AA512" s="622" t="n"/>
      <c r="AB512" s="622" t="n"/>
      <c r="AC512" s="622" t="n"/>
      <c r="AD512" s="622" t="n"/>
      <c r="AE512" s="622" t="n"/>
      <c r="AF512" s="622" t="n"/>
      <c r="AG512" s="622" t="n"/>
      <c r="AH512" s="622" t="n"/>
      <c r="AI512" s="622" t="n"/>
      <c r="AJ512" s="622" t="n"/>
      <c r="AK512" s="622" t="n"/>
      <c r="AL512" s="622" t="n"/>
      <c r="AM512" s="622" t="n"/>
      <c r="AN512" s="622" t="n"/>
      <c r="AO512" s="622" t="n"/>
      <c r="AP512" s="622" t="n"/>
      <c r="AQ512" s="622" t="n"/>
      <c r="AR512" s="622" t="n"/>
      <c r="AS512" s="622" t="n"/>
      <c r="AT512" s="622" t="n"/>
      <c r="AU512" s="622" t="n"/>
      <c r="AV512" s="622" t="n"/>
      <c r="AW512" s="622" t="n"/>
      <c r="AX512" s="622" t="n"/>
      <c r="AY512" s="622" t="n"/>
    </row>
    <row r="513">
      <c r="A513" s="622" t="n"/>
      <c r="B513" s="622" t="n"/>
      <c r="C513" s="622" t="n"/>
      <c r="D513" s="622" t="n"/>
      <c r="E513" s="622" t="n"/>
      <c r="F513" s="622" t="n"/>
      <c r="G513" s="622" t="n"/>
      <c r="H513" s="622" t="n"/>
      <c r="I513" s="622" t="n"/>
      <c r="J513" s="622" t="n"/>
      <c r="K513" s="622" t="n"/>
      <c r="L513" s="622" t="n"/>
      <c r="M513" s="622" t="n"/>
      <c r="N513" s="622" t="n"/>
      <c r="O513" s="622" t="n"/>
      <c r="P513" s="622" t="n"/>
      <c r="Q513" s="622" t="n"/>
      <c r="R513" s="622" t="n"/>
      <c r="S513" s="622" t="n"/>
      <c r="T513" s="622" t="n"/>
      <c r="U513" s="622" t="n"/>
      <c r="V513" s="622" t="n"/>
      <c r="W513" s="622" t="n"/>
      <c r="X513" s="622" t="n"/>
      <c r="Y513" s="622" t="n"/>
      <c r="Z513" s="622" t="n"/>
      <c r="AA513" s="622" t="n"/>
      <c r="AB513" s="622" t="n"/>
      <c r="AC513" s="622" t="n"/>
      <c r="AD513" s="622" t="n"/>
      <c r="AE513" s="622" t="n"/>
      <c r="AF513" s="622" t="n"/>
      <c r="AG513" s="622" t="n"/>
      <c r="AH513" s="622" t="n"/>
      <c r="AI513" s="622" t="n"/>
      <c r="AJ513" s="622" t="n"/>
      <c r="AK513" s="622" t="n"/>
      <c r="AL513" s="622" t="n"/>
      <c r="AM513" s="622" t="n"/>
      <c r="AN513" s="622" t="n"/>
      <c r="AO513" s="622" t="n"/>
      <c r="AP513" s="622" t="n"/>
      <c r="AQ513" s="622" t="n"/>
      <c r="AR513" s="622" t="n"/>
      <c r="AS513" s="622" t="n"/>
      <c r="AT513" s="622" t="n"/>
      <c r="AU513" s="622" t="n"/>
      <c r="AV513" s="622" t="n"/>
      <c r="AW513" s="622" t="n"/>
      <c r="AX513" s="622" t="n"/>
      <c r="AY513" s="622" t="n"/>
    </row>
    <row r="514">
      <c r="A514" s="622" t="n"/>
      <c r="B514" s="622" t="n"/>
      <c r="C514" s="622" t="n"/>
      <c r="D514" s="622" t="n"/>
      <c r="E514" s="622" t="n"/>
      <c r="F514" s="622" t="n"/>
      <c r="G514" s="622" t="n"/>
      <c r="H514" s="622" t="n"/>
      <c r="I514" s="622" t="n"/>
      <c r="J514" s="622" t="n"/>
      <c r="K514" s="622" t="n"/>
      <c r="L514" s="622" t="n"/>
      <c r="M514" s="622" t="n"/>
      <c r="N514" s="622" t="n"/>
      <c r="O514" s="622" t="n"/>
      <c r="P514" s="622" t="n"/>
      <c r="Q514" s="622" t="n"/>
      <c r="R514" s="622" t="n"/>
      <c r="S514" s="622" t="n"/>
      <c r="T514" s="622" t="n"/>
      <c r="U514" s="622" t="n"/>
      <c r="V514" s="622" t="n"/>
      <c r="W514" s="622" t="n"/>
      <c r="X514" s="622" t="n"/>
      <c r="Y514" s="622" t="n"/>
      <c r="Z514" s="622" t="n"/>
      <c r="AA514" s="622" t="n"/>
      <c r="AB514" s="622" t="n"/>
      <c r="AC514" s="622" t="n"/>
      <c r="AD514" s="622" t="n"/>
      <c r="AE514" s="622" t="n"/>
      <c r="AF514" s="622" t="n"/>
      <c r="AG514" s="622" t="n"/>
      <c r="AH514" s="622" t="n"/>
      <c r="AI514" s="622" t="n"/>
      <c r="AJ514" s="622" t="n"/>
      <c r="AK514" s="622" t="n"/>
      <c r="AL514" s="622" t="n"/>
      <c r="AM514" s="622" t="n"/>
      <c r="AN514" s="622" t="n"/>
      <c r="AO514" s="622" t="n"/>
      <c r="AP514" s="622" t="n"/>
      <c r="AQ514" s="622" t="n"/>
      <c r="AR514" s="622" t="n"/>
      <c r="AS514" s="622" t="n"/>
      <c r="AT514" s="622" t="n"/>
      <c r="AU514" s="622" t="n"/>
      <c r="AV514" s="622" t="n"/>
      <c r="AW514" s="622" t="n"/>
      <c r="AX514" s="622" t="n"/>
      <c r="AY514" s="622" t="n"/>
    </row>
    <row r="515">
      <c r="A515" s="622" t="n"/>
      <c r="B515" s="622" t="n"/>
      <c r="C515" s="622" t="n"/>
      <c r="D515" s="622" t="n"/>
      <c r="E515" s="622" t="n"/>
      <c r="F515" s="622" t="n"/>
      <c r="G515" s="622" t="n"/>
      <c r="H515" s="622" t="n"/>
      <c r="I515" s="622" t="n"/>
      <c r="J515" s="622" t="n"/>
      <c r="K515" s="622" t="n"/>
      <c r="L515" s="622" t="n"/>
      <c r="M515" s="622" t="n"/>
      <c r="N515" s="622" t="n"/>
      <c r="O515" s="622" t="n"/>
      <c r="P515" s="622" t="n"/>
      <c r="Q515" s="622" t="n"/>
      <c r="R515" s="622" t="n"/>
      <c r="S515" s="622" t="n"/>
      <c r="T515" s="622" t="n"/>
      <c r="U515" s="622" t="n"/>
      <c r="V515" s="622" t="n"/>
      <c r="W515" s="622" t="n"/>
      <c r="X515" s="622" t="n"/>
      <c r="Y515" s="622" t="n"/>
      <c r="Z515" s="622" t="n"/>
      <c r="AA515" s="622" t="n"/>
      <c r="AB515" s="622" t="n"/>
      <c r="AC515" s="622" t="n"/>
      <c r="AD515" s="622" t="n"/>
      <c r="AE515" s="622" t="n"/>
      <c r="AF515" s="622" t="n"/>
      <c r="AG515" s="622" t="n"/>
      <c r="AH515" s="622" t="n"/>
      <c r="AI515" s="622" t="n"/>
      <c r="AJ515" s="622" t="n"/>
      <c r="AK515" s="622" t="n"/>
      <c r="AL515" s="622" t="n"/>
      <c r="AM515" s="622" t="n"/>
      <c r="AN515" s="622" t="n"/>
      <c r="AO515" s="622" t="n"/>
      <c r="AP515" s="622" t="n"/>
      <c r="AQ515" s="622" t="n"/>
      <c r="AR515" s="622" t="n"/>
      <c r="AS515" s="622" t="n"/>
      <c r="AT515" s="622" t="n"/>
      <c r="AU515" s="622" t="n"/>
      <c r="AV515" s="622" t="n"/>
      <c r="AW515" s="622" t="n"/>
      <c r="AX515" s="622" t="n"/>
      <c r="AY515" s="622" t="n"/>
    </row>
    <row r="516">
      <c r="A516" s="622" t="n"/>
      <c r="B516" s="622" t="n"/>
      <c r="C516" s="622" t="n"/>
      <c r="D516" s="622" t="n"/>
      <c r="E516" s="622" t="n"/>
      <c r="F516" s="622" t="n"/>
      <c r="G516" s="622" t="n"/>
      <c r="H516" s="622" t="n"/>
      <c r="I516" s="622" t="n"/>
      <c r="J516" s="622" t="n"/>
      <c r="K516" s="622" t="n"/>
      <c r="L516" s="622" t="n"/>
      <c r="M516" s="622" t="n"/>
      <c r="N516" s="622" t="n"/>
      <c r="O516" s="622" t="n"/>
      <c r="P516" s="622" t="n"/>
      <c r="Q516" s="622" t="n"/>
      <c r="R516" s="622" t="n"/>
      <c r="S516" s="622" t="n"/>
      <c r="T516" s="622" t="n"/>
      <c r="U516" s="622" t="n"/>
      <c r="V516" s="622" t="n"/>
      <c r="W516" s="622" t="n"/>
      <c r="X516" s="622" t="n"/>
      <c r="Y516" s="622" t="n"/>
      <c r="Z516" s="622" t="n"/>
      <c r="AA516" s="622" t="n"/>
      <c r="AB516" s="622" t="n"/>
      <c r="AC516" s="622" t="n"/>
      <c r="AD516" s="622" t="n"/>
      <c r="AE516" s="622" t="n"/>
      <c r="AF516" s="622" t="n"/>
      <c r="AG516" s="622" t="n"/>
      <c r="AH516" s="622" t="n"/>
      <c r="AI516" s="622" t="n"/>
      <c r="AJ516" s="622" t="n"/>
      <c r="AK516" s="622" t="n"/>
      <c r="AL516" s="622" t="n"/>
      <c r="AM516" s="622" t="n"/>
      <c r="AN516" s="622" t="n"/>
      <c r="AO516" s="622" t="n"/>
      <c r="AP516" s="622" t="n"/>
      <c r="AQ516" s="622" t="n"/>
      <c r="AR516" s="622" t="n"/>
      <c r="AS516" s="622" t="n"/>
      <c r="AT516" s="622" t="n"/>
      <c r="AU516" s="622" t="n"/>
      <c r="AV516" s="622" t="n"/>
      <c r="AW516" s="622" t="n"/>
      <c r="AX516" s="622" t="n"/>
      <c r="AY516" s="622" t="n"/>
    </row>
    <row r="517">
      <c r="A517" s="622" t="n"/>
      <c r="B517" s="622" t="n"/>
      <c r="C517" s="622" t="n"/>
      <c r="D517" s="622" t="n"/>
      <c r="E517" s="622" t="n"/>
      <c r="F517" s="622" t="n"/>
      <c r="G517" s="622" t="n"/>
      <c r="H517" s="622" t="n"/>
      <c r="I517" s="622" t="n"/>
      <c r="J517" s="622" t="n"/>
      <c r="K517" s="622" t="n"/>
      <c r="L517" s="622" t="n"/>
      <c r="M517" s="622" t="n"/>
      <c r="N517" s="622" t="n"/>
      <c r="O517" s="622" t="n"/>
      <c r="P517" s="622" t="n"/>
      <c r="Q517" s="622" t="n"/>
      <c r="R517" s="622" t="n"/>
      <c r="S517" s="622" t="n"/>
      <c r="T517" s="622" t="n"/>
      <c r="U517" s="622" t="n"/>
      <c r="V517" s="622" t="n"/>
      <c r="W517" s="622" t="n"/>
      <c r="X517" s="622" t="n"/>
      <c r="Y517" s="622" t="n"/>
      <c r="Z517" s="622" t="n"/>
      <c r="AA517" s="622" t="n"/>
      <c r="AB517" s="622" t="n"/>
      <c r="AC517" s="622" t="n"/>
      <c r="AD517" s="622" t="n"/>
      <c r="AE517" s="622" t="n"/>
      <c r="AF517" s="622" t="n"/>
      <c r="AG517" s="622" t="n"/>
      <c r="AH517" s="622" t="n"/>
      <c r="AI517" s="622" t="n"/>
      <c r="AJ517" s="622" t="n"/>
      <c r="AK517" s="622" t="n"/>
      <c r="AL517" s="622" t="n"/>
      <c r="AM517" s="622" t="n"/>
      <c r="AN517" s="622" t="n"/>
      <c r="AO517" s="622" t="n"/>
      <c r="AP517" s="622" t="n"/>
      <c r="AQ517" s="622" t="n"/>
      <c r="AR517" s="622" t="n"/>
      <c r="AS517" s="622" t="n"/>
      <c r="AT517" s="622" t="n"/>
      <c r="AU517" s="622" t="n"/>
      <c r="AV517" s="622" t="n"/>
      <c r="AW517" s="622" t="n"/>
      <c r="AX517" s="622" t="n"/>
      <c r="AY517" s="622" t="n"/>
    </row>
    <row r="518">
      <c r="A518" s="622" t="n"/>
      <c r="B518" s="622" t="n"/>
      <c r="C518" s="622" t="n"/>
      <c r="D518" s="622" t="n"/>
      <c r="E518" s="622" t="n"/>
      <c r="F518" s="622" t="n"/>
      <c r="G518" s="622" t="n"/>
      <c r="H518" s="622" t="n"/>
      <c r="I518" s="622" t="n"/>
      <c r="J518" s="622" t="n"/>
      <c r="K518" s="622" t="n"/>
      <c r="L518" s="622" t="n"/>
      <c r="M518" s="622" t="n"/>
      <c r="N518" s="622" t="n"/>
      <c r="O518" s="622" t="n"/>
      <c r="P518" s="622" t="n"/>
      <c r="Q518" s="622" t="n"/>
      <c r="R518" s="622" t="n"/>
      <c r="S518" s="622" t="n"/>
      <c r="T518" s="622" t="n"/>
      <c r="U518" s="622" t="n"/>
      <c r="V518" s="622" t="n"/>
      <c r="W518" s="622" t="n"/>
      <c r="X518" s="622" t="n"/>
      <c r="Y518" s="622" t="n"/>
      <c r="Z518" s="622" t="n"/>
      <c r="AA518" s="622" t="n"/>
      <c r="AB518" s="622" t="n"/>
      <c r="AC518" s="622" t="n"/>
      <c r="AD518" s="622" t="n"/>
      <c r="AE518" s="622" t="n"/>
      <c r="AF518" s="622" t="n"/>
      <c r="AG518" s="622" t="n"/>
      <c r="AH518" s="622" t="n"/>
      <c r="AI518" s="622" t="n"/>
      <c r="AJ518" s="622" t="n"/>
      <c r="AK518" s="622" t="n"/>
      <c r="AL518" s="622" t="n"/>
      <c r="AM518" s="622" t="n"/>
      <c r="AN518" s="622" t="n"/>
      <c r="AO518" s="622" t="n"/>
      <c r="AP518" s="622" t="n"/>
      <c r="AQ518" s="622" t="n"/>
      <c r="AR518" s="622" t="n"/>
      <c r="AS518" s="622" t="n"/>
      <c r="AT518" s="622" t="n"/>
      <c r="AU518" s="622" t="n"/>
      <c r="AV518" s="622" t="n"/>
      <c r="AW518" s="622" t="n"/>
      <c r="AX518" s="622" t="n"/>
      <c r="AY518" s="622" t="n"/>
    </row>
    <row r="519">
      <c r="A519" s="622" t="n"/>
      <c r="B519" s="622" t="n"/>
      <c r="C519" s="622" t="n"/>
      <c r="D519" s="622" t="n"/>
      <c r="E519" s="622" t="n"/>
      <c r="F519" s="622" t="n"/>
      <c r="G519" s="622" t="n"/>
      <c r="H519" s="622" t="n"/>
      <c r="I519" s="622" t="n"/>
      <c r="J519" s="622" t="n"/>
      <c r="K519" s="622" t="n"/>
      <c r="L519" s="622" t="n"/>
      <c r="M519" s="622" t="n"/>
      <c r="N519" s="622" t="n"/>
      <c r="O519" s="622" t="n"/>
      <c r="P519" s="622" t="n"/>
      <c r="Q519" s="622" t="n"/>
      <c r="R519" s="622" t="n"/>
      <c r="S519" s="622" t="n"/>
      <c r="T519" s="622" t="n"/>
      <c r="U519" s="622" t="n"/>
      <c r="V519" s="622" t="n"/>
      <c r="W519" s="622" t="n"/>
      <c r="X519" s="622" t="n"/>
      <c r="Y519" s="622" t="n"/>
      <c r="Z519" s="622" t="n"/>
      <c r="AA519" s="622" t="n"/>
      <c r="AB519" s="622" t="n"/>
      <c r="AC519" s="622" t="n"/>
      <c r="AD519" s="622" t="n"/>
      <c r="AE519" s="622" t="n"/>
      <c r="AF519" s="622" t="n"/>
      <c r="AG519" s="622" t="n"/>
      <c r="AH519" s="622" t="n"/>
      <c r="AI519" s="622" t="n"/>
      <c r="AJ519" s="622" t="n"/>
      <c r="AK519" s="622" t="n"/>
      <c r="AL519" s="622" t="n"/>
      <c r="AM519" s="622" t="n"/>
      <c r="AN519" s="622" t="n"/>
      <c r="AO519" s="622" t="n"/>
      <c r="AP519" s="622" t="n"/>
      <c r="AQ519" s="622" t="n"/>
      <c r="AR519" s="622" t="n"/>
      <c r="AS519" s="622" t="n"/>
      <c r="AT519" s="622" t="n"/>
      <c r="AU519" s="622" t="n"/>
      <c r="AV519" s="622" t="n"/>
      <c r="AW519" s="622" t="n"/>
      <c r="AX519" s="622" t="n"/>
      <c r="AY519" s="622" t="n"/>
    </row>
    <row r="520">
      <c r="A520" s="622" t="n"/>
      <c r="B520" s="622" t="n"/>
      <c r="C520" s="622" t="n"/>
      <c r="D520" s="622" t="n"/>
      <c r="E520" s="622" t="n"/>
      <c r="F520" s="622" t="n"/>
      <c r="G520" s="622" t="n"/>
      <c r="H520" s="622" t="n"/>
      <c r="I520" s="622" t="n"/>
      <c r="J520" s="622" t="n"/>
      <c r="K520" s="622" t="n"/>
      <c r="L520" s="622" t="n"/>
      <c r="M520" s="622" t="n"/>
      <c r="N520" s="622" t="n"/>
      <c r="O520" s="622" t="n"/>
      <c r="P520" s="622" t="n"/>
      <c r="Q520" s="622" t="n"/>
      <c r="R520" s="622" t="n"/>
      <c r="S520" s="622" t="n"/>
      <c r="T520" s="622" t="n"/>
      <c r="U520" s="622" t="n"/>
      <c r="V520" s="622" t="n"/>
      <c r="W520" s="622" t="n"/>
      <c r="X520" s="622" t="n"/>
      <c r="Y520" s="622" t="n"/>
      <c r="Z520" s="622" t="n"/>
      <c r="AA520" s="622" t="n"/>
      <c r="AB520" s="622" t="n"/>
      <c r="AC520" s="622" t="n"/>
      <c r="AD520" s="622" t="n"/>
      <c r="AE520" s="622" t="n"/>
      <c r="AF520" s="622" t="n"/>
      <c r="AG520" s="622" t="n"/>
      <c r="AH520" s="622" t="n"/>
      <c r="AI520" s="622" t="n"/>
      <c r="AJ520" s="622" t="n"/>
      <c r="AK520" s="622" t="n"/>
      <c r="AL520" s="622" t="n"/>
      <c r="AM520" s="622" t="n"/>
      <c r="AN520" s="622" t="n"/>
      <c r="AO520" s="622" t="n"/>
      <c r="AP520" s="622" t="n"/>
      <c r="AQ520" s="622" t="n"/>
      <c r="AR520" s="622" t="n"/>
      <c r="AS520" s="622" t="n"/>
      <c r="AT520" s="622" t="n"/>
      <c r="AU520" s="622" t="n"/>
      <c r="AV520" s="622" t="n"/>
      <c r="AW520" s="622" t="n"/>
      <c r="AX520" s="622" t="n"/>
      <c r="AY520" s="622" t="n"/>
    </row>
    <row r="521">
      <c r="A521" s="622" t="n"/>
      <c r="B521" s="622" t="n"/>
      <c r="C521" s="622" t="n"/>
      <c r="D521" s="622" t="n"/>
      <c r="E521" s="622" t="n"/>
      <c r="F521" s="622" t="n"/>
      <c r="G521" s="622" t="n"/>
      <c r="H521" s="622" t="n"/>
      <c r="I521" s="622" t="n"/>
      <c r="J521" s="622" t="n"/>
      <c r="K521" s="622" t="n"/>
      <c r="L521" s="622" t="n"/>
      <c r="M521" s="622" t="n"/>
      <c r="N521" s="622" t="n"/>
      <c r="O521" s="622" t="n"/>
      <c r="P521" s="622" t="n"/>
      <c r="Q521" s="622" t="n"/>
      <c r="R521" s="622" t="n"/>
      <c r="S521" s="622" t="n"/>
      <c r="T521" s="622" t="n"/>
      <c r="U521" s="622" t="n"/>
      <c r="V521" s="622" t="n"/>
      <c r="W521" s="622" t="n"/>
      <c r="X521" s="622" t="n"/>
      <c r="Y521" s="622" t="n"/>
      <c r="Z521" s="622" t="n"/>
      <c r="AA521" s="622" t="n"/>
      <c r="AB521" s="622" t="n"/>
      <c r="AC521" s="622" t="n"/>
      <c r="AD521" s="622" t="n"/>
      <c r="AE521" s="622" t="n"/>
      <c r="AF521" s="622" t="n"/>
      <c r="AG521" s="622" t="n"/>
      <c r="AH521" s="622" t="n"/>
      <c r="AI521" s="622" t="n"/>
      <c r="AJ521" s="622" t="n"/>
      <c r="AK521" s="622" t="n"/>
      <c r="AL521" s="622" t="n"/>
      <c r="AM521" s="622" t="n"/>
      <c r="AN521" s="622" t="n"/>
      <c r="AO521" s="622" t="n"/>
      <c r="AP521" s="622" t="n"/>
      <c r="AQ521" s="622" t="n"/>
      <c r="AR521" s="622" t="n"/>
      <c r="AS521" s="622" t="n"/>
      <c r="AT521" s="622" t="n"/>
      <c r="AU521" s="622" t="n"/>
      <c r="AV521" s="622" t="n"/>
      <c r="AW521" s="622" t="n"/>
      <c r="AX521" s="622" t="n"/>
      <c r="AY521" s="622" t="n"/>
    </row>
    <row r="522">
      <c r="A522" s="622" t="n"/>
      <c r="B522" s="622" t="n"/>
      <c r="C522" s="622" t="n"/>
      <c r="D522" s="622" t="n"/>
      <c r="E522" s="622" t="n"/>
      <c r="F522" s="622" t="n"/>
      <c r="G522" s="622" t="n"/>
      <c r="H522" s="622" t="n"/>
      <c r="I522" s="622" t="n"/>
      <c r="J522" s="622" t="n"/>
      <c r="K522" s="622" t="n"/>
      <c r="L522" s="622" t="n"/>
      <c r="M522" s="622" t="n"/>
      <c r="N522" s="622" t="n"/>
      <c r="O522" s="622" t="n"/>
      <c r="P522" s="622" t="n"/>
      <c r="Q522" s="622" t="n"/>
      <c r="R522" s="622" t="n"/>
      <c r="S522" s="622" t="n"/>
      <c r="T522" s="622" t="n"/>
      <c r="U522" s="622" t="n"/>
      <c r="V522" s="622" t="n"/>
      <c r="W522" s="622" t="n"/>
      <c r="X522" s="622" t="n"/>
      <c r="Y522" s="622" t="n"/>
      <c r="Z522" s="622" t="n"/>
      <c r="AA522" s="622" t="n"/>
      <c r="AB522" s="622" t="n"/>
      <c r="AC522" s="622" t="n"/>
      <c r="AD522" s="622" t="n"/>
      <c r="AE522" s="622" t="n"/>
      <c r="AF522" s="622" t="n"/>
      <c r="AG522" s="622" t="n"/>
      <c r="AH522" s="622" t="n"/>
      <c r="AI522" s="622" t="n"/>
      <c r="AJ522" s="622" t="n"/>
      <c r="AK522" s="622" t="n"/>
      <c r="AL522" s="622" t="n"/>
      <c r="AM522" s="622" t="n"/>
      <c r="AN522" s="622" t="n"/>
      <c r="AO522" s="622" t="n"/>
      <c r="AP522" s="622" t="n"/>
      <c r="AQ522" s="622" t="n"/>
      <c r="AR522" s="622" t="n"/>
      <c r="AS522" s="622" t="n"/>
      <c r="AT522" s="622" t="n"/>
      <c r="AU522" s="622" t="n"/>
      <c r="AV522" s="622" t="n"/>
      <c r="AW522" s="622" t="n"/>
      <c r="AX522" s="622" t="n"/>
      <c r="AY522" s="622" t="n"/>
    </row>
    <row r="523">
      <c r="A523" s="622" t="n"/>
      <c r="B523" s="622" t="n"/>
      <c r="C523" s="622" t="n"/>
      <c r="D523" s="622" t="n"/>
      <c r="E523" s="622" t="n"/>
      <c r="F523" s="622" t="n"/>
      <c r="G523" s="622" t="n"/>
      <c r="H523" s="622" t="n"/>
      <c r="I523" s="622" t="n"/>
      <c r="J523" s="622" t="n"/>
      <c r="K523" s="622" t="n"/>
      <c r="L523" s="622" t="n"/>
      <c r="M523" s="622" t="n"/>
      <c r="N523" s="622" t="n"/>
      <c r="O523" s="622" t="n"/>
      <c r="P523" s="622" t="n"/>
      <c r="Q523" s="622" t="n"/>
      <c r="R523" s="622" t="n"/>
      <c r="S523" s="622" t="n"/>
      <c r="T523" s="622" t="n"/>
      <c r="U523" s="622" t="n"/>
      <c r="V523" s="622" t="n"/>
      <c r="W523" s="622" t="n"/>
      <c r="X523" s="622" t="n"/>
      <c r="Y523" s="622" t="n"/>
      <c r="Z523" s="622" t="n"/>
      <c r="AA523" s="622" t="n"/>
      <c r="AB523" s="622" t="n"/>
      <c r="AC523" s="622" t="n"/>
      <c r="AD523" s="622" t="n"/>
      <c r="AE523" s="622" t="n"/>
      <c r="AF523" s="622" t="n"/>
      <c r="AG523" s="622" t="n"/>
      <c r="AH523" s="622" t="n"/>
      <c r="AI523" s="622" t="n"/>
      <c r="AJ523" s="622" t="n"/>
      <c r="AK523" s="622" t="n"/>
      <c r="AL523" s="622" t="n"/>
      <c r="AM523" s="622" t="n"/>
      <c r="AN523" s="622" t="n"/>
      <c r="AO523" s="622" t="n"/>
      <c r="AP523" s="622" t="n"/>
      <c r="AQ523" s="622" t="n"/>
      <c r="AR523" s="622" t="n"/>
      <c r="AS523" s="622" t="n"/>
      <c r="AT523" s="622" t="n"/>
      <c r="AU523" s="622" t="n"/>
      <c r="AV523" s="622" t="n"/>
      <c r="AW523" s="622" t="n"/>
      <c r="AX523" s="622" t="n"/>
      <c r="AY523" s="622" t="n"/>
    </row>
    <row r="524">
      <c r="A524" s="622" t="n"/>
      <c r="B524" s="622" t="n"/>
      <c r="C524" s="622" t="n"/>
      <c r="D524" s="622" t="n"/>
      <c r="E524" s="622" t="n"/>
      <c r="F524" s="622" t="n"/>
      <c r="G524" s="622" t="n"/>
      <c r="H524" s="622" t="n"/>
      <c r="I524" s="622" t="n"/>
      <c r="J524" s="622" t="n"/>
      <c r="K524" s="622" t="n"/>
      <c r="L524" s="622" t="n"/>
      <c r="M524" s="622" t="n"/>
      <c r="N524" s="622" t="n"/>
      <c r="O524" s="622" t="n"/>
      <c r="P524" s="622" t="n"/>
      <c r="Q524" s="622" t="n"/>
      <c r="R524" s="622" t="n"/>
      <c r="S524" s="622" t="n"/>
      <c r="T524" s="622" t="n"/>
      <c r="U524" s="622" t="n"/>
      <c r="V524" s="622" t="n"/>
      <c r="W524" s="622" t="n"/>
      <c r="X524" s="622" t="n"/>
      <c r="Y524" s="622" t="n"/>
      <c r="Z524" s="622" t="n"/>
      <c r="AA524" s="622" t="n"/>
      <c r="AB524" s="622" t="n"/>
      <c r="AC524" s="622" t="n"/>
      <c r="AD524" s="622" t="n"/>
      <c r="AE524" s="622" t="n"/>
      <c r="AF524" s="622" t="n"/>
      <c r="AG524" s="622" t="n"/>
      <c r="AH524" s="622" t="n"/>
      <c r="AI524" s="622" t="n"/>
      <c r="AJ524" s="622" t="n"/>
      <c r="AK524" s="622" t="n"/>
      <c r="AL524" s="622" t="n"/>
      <c r="AM524" s="622" t="n"/>
      <c r="AN524" s="622" t="n"/>
      <c r="AO524" s="622" t="n"/>
      <c r="AP524" s="622" t="n"/>
      <c r="AQ524" s="622" t="n"/>
      <c r="AR524" s="622" t="n"/>
      <c r="AS524" s="622" t="n"/>
      <c r="AT524" s="622" t="n"/>
      <c r="AU524" s="622" t="n"/>
      <c r="AV524" s="622" t="n"/>
      <c r="AW524" s="622" t="n"/>
      <c r="AX524" s="622" t="n"/>
      <c r="AY524" s="622" t="n"/>
    </row>
    <row r="525">
      <c r="A525" s="622" t="n"/>
      <c r="B525" s="622" t="n"/>
      <c r="C525" s="622" t="n"/>
      <c r="D525" s="622" t="n"/>
      <c r="E525" s="622" t="n"/>
      <c r="F525" s="622" t="n"/>
      <c r="G525" s="622" t="n"/>
      <c r="H525" s="622" t="n"/>
      <c r="I525" s="622" t="n"/>
      <c r="J525" s="622" t="n"/>
      <c r="K525" s="622" t="n"/>
      <c r="L525" s="622" t="n"/>
      <c r="M525" s="622" t="n"/>
      <c r="N525" s="622" t="n"/>
      <c r="O525" s="622" t="n"/>
      <c r="P525" s="622" t="n"/>
      <c r="Q525" s="622" t="n"/>
      <c r="R525" s="622" t="n"/>
      <c r="S525" s="622" t="n"/>
      <c r="T525" s="622" t="n"/>
      <c r="U525" s="622" t="n"/>
      <c r="V525" s="622" t="n"/>
      <c r="W525" s="622" t="n"/>
      <c r="X525" s="622" t="n"/>
      <c r="Y525" s="622" t="n"/>
      <c r="Z525" s="622" t="n"/>
      <c r="AA525" s="622" t="n"/>
      <c r="AB525" s="622" t="n"/>
      <c r="AC525" s="622" t="n"/>
      <c r="AD525" s="622" t="n"/>
      <c r="AE525" s="622" t="n"/>
      <c r="AF525" s="622" t="n"/>
      <c r="AG525" s="622" t="n"/>
      <c r="AH525" s="622" t="n"/>
      <c r="AI525" s="622" t="n"/>
      <c r="AJ525" s="622" t="n"/>
      <c r="AK525" s="622" t="n"/>
      <c r="AL525" s="622" t="n"/>
      <c r="AM525" s="622" t="n"/>
      <c r="AN525" s="622" t="n"/>
      <c r="AO525" s="622" t="n"/>
      <c r="AP525" s="622" t="n"/>
      <c r="AQ525" s="622" t="n"/>
      <c r="AR525" s="622" t="n"/>
      <c r="AS525" s="622" t="n"/>
      <c r="AT525" s="622" t="n"/>
      <c r="AU525" s="622" t="n"/>
      <c r="AV525" s="622" t="n"/>
      <c r="AW525" s="622" t="n"/>
      <c r="AX525" s="622" t="n"/>
      <c r="AY525" s="622" t="n"/>
    </row>
    <row r="526">
      <c r="A526" s="622" t="n"/>
      <c r="B526" s="622" t="n"/>
      <c r="C526" s="622" t="n"/>
      <c r="D526" s="622" t="n"/>
      <c r="E526" s="622" t="n"/>
      <c r="F526" s="622" t="n"/>
      <c r="G526" s="622" t="n"/>
      <c r="H526" s="622" t="n"/>
      <c r="I526" s="622" t="n"/>
      <c r="J526" s="622" t="n"/>
      <c r="K526" s="622" t="n"/>
      <c r="L526" s="622" t="n"/>
      <c r="M526" s="622" t="n"/>
      <c r="N526" s="622" t="n"/>
      <c r="O526" s="622" t="n"/>
      <c r="P526" s="622" t="n"/>
      <c r="Q526" s="622" t="n"/>
      <c r="R526" s="622" t="n"/>
      <c r="S526" s="622" t="n"/>
      <c r="T526" s="622" t="n"/>
      <c r="U526" s="622" t="n"/>
      <c r="V526" s="622" t="n"/>
      <c r="W526" s="622" t="n"/>
      <c r="X526" s="622" t="n"/>
      <c r="Y526" s="622" t="n"/>
      <c r="Z526" s="622" t="n"/>
      <c r="AA526" s="622" t="n"/>
      <c r="AB526" s="622" t="n"/>
      <c r="AC526" s="622" t="n"/>
      <c r="AD526" s="622" t="n"/>
      <c r="AE526" s="622" t="n"/>
      <c r="AF526" s="622" t="n"/>
      <c r="AG526" s="622" t="n"/>
      <c r="AH526" s="622" t="n"/>
      <c r="AI526" s="622" t="n"/>
      <c r="AJ526" s="622" t="n"/>
      <c r="AK526" s="622" t="n"/>
      <c r="AL526" s="622" t="n"/>
      <c r="AM526" s="622" t="n"/>
      <c r="AN526" s="622" t="n"/>
      <c r="AO526" s="622" t="n"/>
      <c r="AP526" s="622" t="n"/>
      <c r="AQ526" s="622" t="n"/>
      <c r="AR526" s="622" t="n"/>
      <c r="AS526" s="622" t="n"/>
      <c r="AT526" s="622" t="n"/>
      <c r="AU526" s="622" t="n"/>
      <c r="AV526" s="622" t="n"/>
      <c r="AW526" s="622" t="n"/>
      <c r="AX526" s="622" t="n"/>
      <c r="AY526" s="622" t="n"/>
    </row>
    <row r="527">
      <c r="A527" s="622" t="n"/>
      <c r="B527" s="622" t="n"/>
      <c r="C527" s="622" t="n"/>
      <c r="D527" s="622" t="n"/>
      <c r="E527" s="622" t="n"/>
      <c r="F527" s="622" t="n"/>
      <c r="G527" s="622" t="n"/>
      <c r="H527" s="622" t="n"/>
      <c r="I527" s="622" t="n"/>
      <c r="J527" s="622" t="n"/>
      <c r="K527" s="622" t="n"/>
      <c r="L527" s="622" t="n"/>
      <c r="M527" s="622" t="n"/>
      <c r="N527" s="622" t="n"/>
      <c r="O527" s="622" t="n"/>
      <c r="P527" s="622" t="n"/>
      <c r="Q527" s="622" t="n"/>
      <c r="R527" s="622" t="n"/>
      <c r="S527" s="622" t="n"/>
      <c r="T527" s="622" t="n"/>
      <c r="U527" s="622" t="n"/>
      <c r="V527" s="622" t="n"/>
      <c r="W527" s="622" t="n"/>
      <c r="X527" s="622" t="n"/>
      <c r="Y527" s="622" t="n"/>
      <c r="Z527" s="622" t="n"/>
      <c r="AA527" s="622" t="n"/>
      <c r="AB527" s="622" t="n"/>
      <c r="AC527" s="622" t="n"/>
      <c r="AD527" s="622" t="n"/>
      <c r="AE527" s="622" t="n"/>
      <c r="AF527" s="622" t="n"/>
      <c r="AG527" s="622" t="n"/>
      <c r="AH527" s="622" t="n"/>
      <c r="AI527" s="622" t="n"/>
      <c r="AJ527" s="622" t="n"/>
      <c r="AK527" s="622" t="n"/>
      <c r="AL527" s="622" t="n"/>
      <c r="AM527" s="622" t="n"/>
      <c r="AN527" s="622" t="n"/>
      <c r="AO527" s="622" t="n"/>
      <c r="AP527" s="622" t="n"/>
      <c r="AQ527" s="622" t="n"/>
      <c r="AR527" s="622" t="n"/>
      <c r="AS527" s="622" t="n"/>
      <c r="AT527" s="622" t="n"/>
      <c r="AU527" s="622" t="n"/>
      <c r="AV527" s="622" t="n"/>
      <c r="AW527" s="622" t="n"/>
      <c r="AX527" s="622" t="n"/>
      <c r="AY527" s="622" t="n"/>
    </row>
    <row r="528">
      <c r="A528" s="622" t="n"/>
      <c r="B528" s="622" t="n"/>
      <c r="C528" s="622" t="n"/>
      <c r="D528" s="622" t="n"/>
      <c r="E528" s="622" t="n"/>
      <c r="F528" s="622" t="n"/>
      <c r="G528" s="622" t="n"/>
      <c r="H528" s="622" t="n"/>
      <c r="I528" s="622" t="n"/>
      <c r="J528" s="622" t="n"/>
      <c r="K528" s="622" t="n"/>
      <c r="L528" s="622" t="n"/>
      <c r="M528" s="622" t="n"/>
      <c r="N528" s="622" t="n"/>
      <c r="O528" s="622" t="n"/>
      <c r="P528" s="622" t="n"/>
      <c r="Q528" s="622" t="n"/>
      <c r="R528" s="622" t="n"/>
      <c r="S528" s="622" t="n"/>
      <c r="T528" s="622" t="n"/>
      <c r="U528" s="622" t="n"/>
      <c r="V528" s="622" t="n"/>
      <c r="W528" s="622" t="n"/>
      <c r="X528" s="622" t="n"/>
      <c r="Y528" s="622" t="n"/>
      <c r="Z528" s="622" t="n"/>
      <c r="AA528" s="622" t="n"/>
      <c r="AB528" s="622" t="n"/>
      <c r="AC528" s="622" t="n"/>
      <c r="AD528" s="622" t="n"/>
      <c r="AE528" s="622" t="n"/>
      <c r="AF528" s="622" t="n"/>
      <c r="AG528" s="622" t="n"/>
      <c r="AH528" s="622" t="n"/>
      <c r="AI528" s="622" t="n"/>
      <c r="AJ528" s="622" t="n"/>
      <c r="AK528" s="622" t="n"/>
      <c r="AL528" s="622" t="n"/>
      <c r="AM528" s="622" t="n"/>
      <c r="AN528" s="622" t="n"/>
      <c r="AO528" s="622" t="n"/>
      <c r="AP528" s="622" t="n"/>
      <c r="AQ528" s="622" t="n"/>
      <c r="AR528" s="622" t="n"/>
      <c r="AS528" s="622" t="n"/>
      <c r="AT528" s="622" t="n"/>
      <c r="AU528" s="622" t="n"/>
      <c r="AV528" s="622" t="n"/>
      <c r="AW528" s="622" t="n"/>
      <c r="AX528" s="622" t="n"/>
      <c r="AY528" s="622" t="n"/>
    </row>
    <row r="529">
      <c r="A529" s="622" t="n"/>
      <c r="B529" s="622" t="n"/>
      <c r="C529" s="622" t="n"/>
      <c r="D529" s="622" t="n"/>
      <c r="E529" s="622" t="n"/>
      <c r="F529" s="622" t="n"/>
      <c r="G529" s="622" t="n"/>
      <c r="H529" s="622" t="n"/>
      <c r="I529" s="622" t="n"/>
      <c r="J529" s="622" t="n"/>
      <c r="K529" s="622" t="n"/>
      <c r="L529" s="622" t="n"/>
      <c r="M529" s="622" t="n"/>
      <c r="N529" s="622" t="n"/>
      <c r="O529" s="622" t="n"/>
      <c r="P529" s="622" t="n"/>
      <c r="Q529" s="622" t="n"/>
      <c r="R529" s="622" t="n"/>
      <c r="S529" s="622" t="n"/>
      <c r="T529" s="622" t="n"/>
      <c r="U529" s="622" t="n"/>
      <c r="V529" s="622" t="n"/>
      <c r="W529" s="622" t="n"/>
      <c r="X529" s="622" t="n"/>
      <c r="Y529" s="622" t="n"/>
      <c r="Z529" s="622" t="n"/>
      <c r="AA529" s="622" t="n"/>
      <c r="AB529" s="622" t="n"/>
      <c r="AC529" s="622" t="n"/>
      <c r="AD529" s="622" t="n"/>
      <c r="AE529" s="622" t="n"/>
      <c r="AF529" s="622" t="n"/>
      <c r="AG529" s="622" t="n"/>
      <c r="AH529" s="622" t="n"/>
      <c r="AI529" s="622" t="n"/>
      <c r="AJ529" s="622" t="n"/>
      <c r="AK529" s="622" t="n"/>
      <c r="AL529" s="622" t="n"/>
      <c r="AM529" s="622" t="n"/>
      <c r="AN529" s="622" t="n"/>
      <c r="AO529" s="622" t="n"/>
      <c r="AP529" s="622" t="n"/>
      <c r="AQ529" s="622" t="n"/>
      <c r="AR529" s="622" t="n"/>
      <c r="AS529" s="622" t="n"/>
      <c r="AT529" s="622" t="n"/>
      <c r="AU529" s="622" t="n"/>
      <c r="AV529" s="622" t="n"/>
      <c r="AW529" s="622" t="n"/>
      <c r="AX529" s="622" t="n"/>
      <c r="AY529" s="622" t="n"/>
    </row>
    <row r="530">
      <c r="A530" s="622" t="n"/>
      <c r="B530" s="622" t="n"/>
      <c r="C530" s="622" t="n"/>
      <c r="D530" s="622" t="n"/>
      <c r="E530" s="622" t="n"/>
      <c r="F530" s="622" t="n"/>
      <c r="G530" s="622" t="n"/>
      <c r="H530" s="622" t="n"/>
      <c r="I530" s="622" t="n"/>
      <c r="J530" s="622" t="n"/>
      <c r="K530" s="622" t="n"/>
      <c r="L530" s="622" t="n"/>
      <c r="M530" s="622" t="n"/>
      <c r="N530" s="622" t="n"/>
      <c r="O530" s="622" t="n"/>
      <c r="P530" s="622" t="n"/>
      <c r="Q530" s="622" t="n"/>
      <c r="R530" s="622" t="n"/>
      <c r="S530" s="622" t="n"/>
      <c r="T530" s="622" t="n"/>
      <c r="U530" s="622" t="n"/>
      <c r="V530" s="622" t="n"/>
      <c r="W530" s="622" t="n"/>
      <c r="X530" s="622" t="n"/>
      <c r="Y530" s="622" t="n"/>
      <c r="Z530" s="622" t="n"/>
      <c r="AA530" s="622" t="n"/>
      <c r="AB530" s="622" t="n"/>
      <c r="AC530" s="622" t="n"/>
      <c r="AD530" s="622" t="n"/>
      <c r="AE530" s="622" t="n"/>
      <c r="AF530" s="622" t="n"/>
      <c r="AG530" s="622" t="n"/>
      <c r="AH530" s="622" t="n"/>
      <c r="AI530" s="622" t="n"/>
      <c r="AJ530" s="622" t="n"/>
      <c r="AK530" s="622" t="n"/>
      <c r="AL530" s="622" t="n"/>
      <c r="AM530" s="622" t="n"/>
      <c r="AN530" s="622" t="n"/>
      <c r="AO530" s="622" t="n"/>
      <c r="AP530" s="622" t="n"/>
      <c r="AQ530" s="622" t="n"/>
      <c r="AR530" s="622" t="n"/>
      <c r="AS530" s="622" t="n"/>
      <c r="AT530" s="622" t="n"/>
      <c r="AU530" s="622" t="n"/>
      <c r="AV530" s="622" t="n"/>
      <c r="AW530" s="622" t="n"/>
      <c r="AX530" s="622" t="n"/>
      <c r="AY530" s="622" t="n"/>
    </row>
    <row r="531">
      <c r="A531" s="622" t="n"/>
      <c r="B531" s="622" t="n"/>
      <c r="C531" s="622" t="n"/>
      <c r="D531" s="622" t="n"/>
      <c r="E531" s="622" t="n"/>
      <c r="F531" s="622" t="n"/>
      <c r="G531" s="622" t="n"/>
      <c r="H531" s="622" t="n"/>
      <c r="I531" s="622" t="n"/>
      <c r="J531" s="622" t="n"/>
      <c r="K531" s="622" t="n"/>
      <c r="L531" s="622" t="n"/>
      <c r="M531" s="622" t="n"/>
      <c r="N531" s="622" t="n"/>
      <c r="O531" s="622" t="n"/>
      <c r="P531" s="622" t="n"/>
      <c r="Q531" s="622" t="n"/>
      <c r="R531" s="622" t="n"/>
      <c r="S531" s="622" t="n"/>
      <c r="T531" s="622" t="n"/>
      <c r="U531" s="622" t="n"/>
      <c r="V531" s="622" t="n"/>
      <c r="W531" s="622" t="n"/>
      <c r="X531" s="622" t="n"/>
      <c r="Y531" s="622" t="n"/>
      <c r="Z531" s="622" t="n"/>
      <c r="AA531" s="622" t="n"/>
      <c r="AB531" s="622" t="n"/>
      <c r="AC531" s="622" t="n"/>
      <c r="AD531" s="622" t="n"/>
      <c r="AE531" s="622" t="n"/>
      <c r="AF531" s="622" t="n"/>
      <c r="AG531" s="622" t="n"/>
      <c r="AH531" s="622" t="n"/>
      <c r="AI531" s="622" t="n"/>
      <c r="AJ531" s="622" t="n"/>
      <c r="AK531" s="622" t="n"/>
      <c r="AL531" s="622" t="n"/>
      <c r="AM531" s="622" t="n"/>
      <c r="AN531" s="622" t="n"/>
      <c r="AO531" s="622" t="n"/>
      <c r="AP531" s="622" t="n"/>
      <c r="AQ531" s="622" t="n"/>
      <c r="AR531" s="622" t="n"/>
      <c r="AS531" s="622" t="n"/>
      <c r="AT531" s="622" t="n"/>
      <c r="AU531" s="622" t="n"/>
      <c r="AV531" s="622" t="n"/>
      <c r="AW531" s="622" t="n"/>
      <c r="AX531" s="622" t="n"/>
      <c r="AY531" s="622" t="n"/>
    </row>
    <row r="532">
      <c r="A532" s="622" t="n"/>
      <c r="B532" s="622" t="n"/>
      <c r="C532" s="622" t="n"/>
      <c r="D532" s="622" t="n"/>
      <c r="E532" s="622" t="n"/>
      <c r="F532" s="622" t="n"/>
      <c r="G532" s="622" t="n"/>
      <c r="H532" s="622" t="n"/>
      <c r="I532" s="622" t="n"/>
      <c r="J532" s="622" t="n"/>
      <c r="K532" s="622" t="n"/>
      <c r="L532" s="622" t="n"/>
      <c r="M532" s="622" t="n"/>
      <c r="N532" s="622" t="n"/>
      <c r="O532" s="622" t="n"/>
      <c r="P532" s="622" t="n"/>
      <c r="Q532" s="622" t="n"/>
      <c r="R532" s="622" t="n"/>
      <c r="S532" s="622" t="n"/>
      <c r="T532" s="622" t="n"/>
      <c r="U532" s="622" t="n"/>
      <c r="V532" s="622" t="n"/>
      <c r="W532" s="622" t="n"/>
      <c r="X532" s="622" t="n"/>
      <c r="Y532" s="622" t="n"/>
      <c r="Z532" s="622" t="n"/>
      <c r="AA532" s="622" t="n"/>
      <c r="AB532" s="622" t="n"/>
      <c r="AC532" s="622" t="n"/>
      <c r="AD532" s="622" t="n"/>
      <c r="AE532" s="622" t="n"/>
      <c r="AF532" s="622" t="n"/>
      <c r="AG532" s="622" t="n"/>
      <c r="AH532" s="622" t="n"/>
      <c r="AI532" s="622" t="n"/>
      <c r="AJ532" s="622" t="n"/>
      <c r="AK532" s="622" t="n"/>
      <c r="AL532" s="622" t="n"/>
      <c r="AM532" s="622" t="n"/>
      <c r="AN532" s="622" t="n"/>
      <c r="AO532" s="622" t="n"/>
      <c r="AP532" s="622" t="n"/>
      <c r="AQ532" s="622" t="n"/>
      <c r="AR532" s="622" t="n"/>
      <c r="AS532" s="622" t="n"/>
      <c r="AT532" s="622" t="n"/>
      <c r="AU532" s="622" t="n"/>
      <c r="AV532" s="622" t="n"/>
      <c r="AW532" s="622" t="n"/>
      <c r="AX532" s="622" t="n"/>
      <c r="AY532" s="622" t="n"/>
    </row>
    <row r="533">
      <c r="A533" s="622" t="n"/>
      <c r="B533" s="622" t="n"/>
      <c r="C533" s="622" t="n"/>
      <c r="D533" s="622" t="n"/>
      <c r="E533" s="622" t="n"/>
      <c r="F533" s="622" t="n"/>
      <c r="G533" s="622" t="n"/>
      <c r="H533" s="622" t="n"/>
      <c r="I533" s="622" t="n"/>
      <c r="J533" s="622" t="n"/>
      <c r="K533" s="622" t="n"/>
      <c r="L533" s="622" t="n"/>
      <c r="M533" s="622" t="n"/>
      <c r="N533" s="622" t="n"/>
      <c r="O533" s="622" t="n"/>
      <c r="P533" s="622" t="n"/>
      <c r="Q533" s="622" t="n"/>
      <c r="R533" s="622" t="n"/>
      <c r="S533" s="622" t="n"/>
      <c r="T533" s="622" t="n"/>
      <c r="U533" s="622" t="n"/>
      <c r="V533" s="622" t="n"/>
      <c r="W533" s="622" t="n"/>
      <c r="X533" s="622" t="n"/>
      <c r="Y533" s="622" t="n"/>
      <c r="Z533" s="622" t="n"/>
      <c r="AA533" s="622" t="n"/>
      <c r="AB533" s="622" t="n"/>
      <c r="AC533" s="622" t="n"/>
      <c r="AD533" s="622" t="n"/>
      <c r="AE533" s="622" t="n"/>
      <c r="AF533" s="622" t="n"/>
      <c r="AG533" s="622" t="n"/>
      <c r="AH533" s="622" t="n"/>
      <c r="AI533" s="622" t="n"/>
      <c r="AJ533" s="622" t="n"/>
      <c r="AK533" s="622" t="n"/>
      <c r="AL533" s="622" t="n"/>
      <c r="AM533" s="622" t="n"/>
      <c r="AN533" s="622" t="n"/>
      <c r="AO533" s="622" t="n"/>
      <c r="AP533" s="622" t="n"/>
      <c r="AQ533" s="622" t="n"/>
      <c r="AR533" s="622" t="n"/>
      <c r="AS533" s="622" t="n"/>
      <c r="AT533" s="622" t="n"/>
      <c r="AU533" s="622" t="n"/>
      <c r="AV533" s="622" t="n"/>
      <c r="AW533" s="622" t="n"/>
      <c r="AX533" s="622" t="n"/>
      <c r="AY533" s="622" t="n"/>
    </row>
    <row r="534">
      <c r="A534" s="622" t="n"/>
      <c r="B534" s="622" t="n"/>
      <c r="C534" s="622" t="n"/>
      <c r="D534" s="622" t="n"/>
      <c r="E534" s="622" t="n"/>
      <c r="F534" s="622" t="n"/>
      <c r="G534" s="622" t="n"/>
      <c r="H534" s="622" t="n"/>
      <c r="I534" s="622" t="n"/>
      <c r="J534" s="622" t="n"/>
      <c r="K534" s="622" t="n"/>
      <c r="L534" s="622" t="n"/>
      <c r="M534" s="622" t="n"/>
      <c r="N534" s="622" t="n"/>
      <c r="O534" s="622" t="n"/>
      <c r="P534" s="622" t="n"/>
      <c r="Q534" s="622" t="n"/>
      <c r="R534" s="622" t="n"/>
      <c r="S534" s="622" t="n"/>
      <c r="T534" s="622" t="n"/>
      <c r="U534" s="622" t="n"/>
      <c r="V534" s="622" t="n"/>
      <c r="W534" s="622" t="n"/>
      <c r="X534" s="622" t="n"/>
      <c r="Y534" s="622" t="n"/>
      <c r="Z534" s="622" t="n"/>
      <c r="AA534" s="622" t="n"/>
      <c r="AB534" s="622" t="n"/>
      <c r="AC534" s="622" t="n"/>
      <c r="AD534" s="622" t="n"/>
      <c r="AE534" s="622" t="n"/>
      <c r="AF534" s="622" t="n"/>
      <c r="AG534" s="622" t="n"/>
      <c r="AH534" s="622" t="n"/>
      <c r="AI534" s="622" t="n"/>
      <c r="AJ534" s="622" t="n"/>
      <c r="AK534" s="622" t="n"/>
      <c r="AL534" s="622" t="n"/>
      <c r="AM534" s="622" t="n"/>
      <c r="AN534" s="622" t="n"/>
      <c r="AO534" s="622" t="n"/>
      <c r="AP534" s="622" t="n"/>
      <c r="AQ534" s="622" t="n"/>
      <c r="AR534" s="622" t="n"/>
      <c r="AS534" s="622" t="n"/>
      <c r="AT534" s="622" t="n"/>
      <c r="AU534" s="622" t="n"/>
      <c r="AV534" s="622" t="n"/>
      <c r="AW534" s="622" t="n"/>
      <c r="AX534" s="622" t="n"/>
      <c r="AY534" s="622" t="n"/>
    </row>
    <row r="535">
      <c r="A535" s="622" t="n"/>
      <c r="B535" s="622" t="n"/>
      <c r="C535" s="622" t="n"/>
      <c r="D535" s="622" t="n"/>
      <c r="E535" s="622" t="n"/>
      <c r="F535" s="622" t="n"/>
      <c r="G535" s="622" t="n"/>
      <c r="H535" s="622" t="n"/>
      <c r="I535" s="622" t="n"/>
      <c r="J535" s="622" t="n"/>
      <c r="K535" s="622" t="n"/>
      <c r="L535" s="622" t="n"/>
      <c r="M535" s="622" t="n"/>
      <c r="N535" s="622" t="n"/>
      <c r="O535" s="622" t="n"/>
      <c r="P535" s="622" t="n"/>
      <c r="Q535" s="622" t="n"/>
      <c r="R535" s="622" t="n"/>
      <c r="S535" s="622" t="n"/>
      <c r="T535" s="622" t="n"/>
      <c r="U535" s="622" t="n"/>
      <c r="V535" s="622" t="n"/>
      <c r="W535" s="622" t="n"/>
      <c r="X535" s="622" t="n"/>
      <c r="Y535" s="622" t="n"/>
      <c r="Z535" s="622" t="n"/>
      <c r="AA535" s="622" t="n"/>
      <c r="AB535" s="622" t="n"/>
      <c r="AC535" s="622" t="n"/>
      <c r="AD535" s="622" t="n"/>
      <c r="AE535" s="622" t="n"/>
      <c r="AF535" s="622" t="n"/>
      <c r="AG535" s="622" t="n"/>
      <c r="AH535" s="622" t="n"/>
      <c r="AI535" s="622" t="n"/>
      <c r="AJ535" s="622" t="n"/>
      <c r="AK535" s="622" t="n"/>
      <c r="AL535" s="622" t="n"/>
      <c r="AM535" s="622" t="n"/>
      <c r="AN535" s="622" t="n"/>
      <c r="AO535" s="622" t="n"/>
      <c r="AP535" s="622" t="n"/>
      <c r="AQ535" s="622" t="n"/>
      <c r="AR535" s="622" t="n"/>
      <c r="AS535" s="622" t="n"/>
      <c r="AT535" s="622" t="n"/>
      <c r="AU535" s="622" t="n"/>
      <c r="AV535" s="622" t="n"/>
      <c r="AW535" s="622" t="n"/>
      <c r="AX535" s="622" t="n"/>
      <c r="AY535" s="622" t="n"/>
    </row>
    <row r="536">
      <c r="A536" s="622" t="n"/>
      <c r="B536" s="622" t="n"/>
      <c r="C536" s="622" t="n"/>
      <c r="D536" s="622" t="n"/>
      <c r="E536" s="622" t="n"/>
      <c r="F536" s="622" t="n"/>
      <c r="G536" s="622" t="n"/>
      <c r="H536" s="622" t="n"/>
      <c r="I536" s="622" t="n"/>
      <c r="J536" s="622" t="n"/>
      <c r="K536" s="622" t="n"/>
      <c r="L536" s="622" t="n"/>
      <c r="M536" s="622" t="n"/>
      <c r="N536" s="622" t="n"/>
      <c r="O536" s="622" t="n"/>
      <c r="P536" s="622" t="n"/>
      <c r="Q536" s="622" t="n"/>
      <c r="R536" s="622" t="n"/>
      <c r="S536" s="622" t="n"/>
      <c r="T536" s="622" t="n"/>
      <c r="U536" s="622" t="n"/>
      <c r="V536" s="622" t="n"/>
      <c r="W536" s="622" t="n"/>
      <c r="X536" s="622" t="n"/>
      <c r="Y536" s="622" t="n"/>
      <c r="Z536" s="622" t="n"/>
      <c r="AA536" s="622" t="n"/>
      <c r="AB536" s="622" t="n"/>
      <c r="AC536" s="622" t="n"/>
      <c r="AD536" s="622" t="n"/>
      <c r="AE536" s="622" t="n"/>
      <c r="AF536" s="622" t="n"/>
      <c r="AG536" s="622" t="n"/>
      <c r="AH536" s="622" t="n"/>
      <c r="AI536" s="622" t="n"/>
      <c r="AJ536" s="622" t="n"/>
      <c r="AK536" s="622" t="n"/>
      <c r="AL536" s="622" t="n"/>
      <c r="AM536" s="622" t="n"/>
      <c r="AN536" s="622" t="n"/>
      <c r="AO536" s="622" t="n"/>
      <c r="AP536" s="622" t="n"/>
      <c r="AQ536" s="622" t="n"/>
      <c r="AR536" s="622" t="n"/>
      <c r="AS536" s="622" t="n"/>
      <c r="AT536" s="622" t="n"/>
      <c r="AU536" s="622" t="n"/>
      <c r="AV536" s="622" t="n"/>
      <c r="AW536" s="622" t="n"/>
      <c r="AX536" s="622" t="n"/>
      <c r="AY536" s="622" t="n"/>
    </row>
    <row r="537">
      <c r="A537" s="622" t="n"/>
      <c r="B537" s="622" t="n"/>
      <c r="C537" s="622" t="n"/>
      <c r="D537" s="622" t="n"/>
      <c r="E537" s="622" t="n"/>
      <c r="F537" s="622" t="n"/>
      <c r="G537" s="622" t="n"/>
      <c r="H537" s="622" t="n"/>
      <c r="I537" s="622" t="n"/>
      <c r="J537" s="622" t="n"/>
      <c r="K537" s="622" t="n"/>
      <c r="L537" s="622" t="n"/>
      <c r="M537" s="622" t="n"/>
      <c r="N537" s="622" t="n"/>
      <c r="O537" s="622" t="n"/>
      <c r="P537" s="622" t="n"/>
      <c r="Q537" s="622" t="n"/>
      <c r="R537" s="622" t="n"/>
      <c r="S537" s="622" t="n"/>
      <c r="T537" s="622" t="n"/>
      <c r="U537" s="622" t="n"/>
      <c r="V537" s="622" t="n"/>
      <c r="W537" s="622" t="n"/>
      <c r="X537" s="622" t="n"/>
      <c r="Y537" s="622" t="n"/>
      <c r="Z537" s="622" t="n"/>
      <c r="AA537" s="622" t="n"/>
      <c r="AB537" s="622" t="n"/>
      <c r="AC537" s="622" t="n"/>
      <c r="AD537" s="622" t="n"/>
      <c r="AE537" s="622" t="n"/>
      <c r="AF537" s="622" t="n"/>
      <c r="AG537" s="622" t="n"/>
      <c r="AH537" s="622" t="n"/>
      <c r="AI537" s="622" t="n"/>
      <c r="AJ537" s="622" t="n"/>
      <c r="AK537" s="622" t="n"/>
      <c r="AL537" s="622" t="n"/>
      <c r="AM537" s="622" t="n"/>
      <c r="AN537" s="622" t="n"/>
      <c r="AO537" s="622" t="n"/>
      <c r="AP537" s="622" t="n"/>
      <c r="AQ537" s="622" t="n"/>
      <c r="AR537" s="622" t="n"/>
      <c r="AS537" s="622" t="n"/>
      <c r="AT537" s="622" t="n"/>
      <c r="AU537" s="622" t="n"/>
      <c r="AV537" s="622" t="n"/>
      <c r="AW537" s="622" t="n"/>
      <c r="AX537" s="622" t="n"/>
      <c r="AY537" s="622" t="n"/>
    </row>
    <row r="538">
      <c r="A538" s="622" t="n"/>
      <c r="B538" s="622" t="n"/>
      <c r="C538" s="622" t="n"/>
      <c r="D538" s="622" t="n"/>
      <c r="E538" s="622" t="n"/>
      <c r="F538" s="622" t="n"/>
      <c r="G538" s="622" t="n"/>
      <c r="H538" s="622" t="n"/>
      <c r="I538" s="622" t="n"/>
      <c r="J538" s="622" t="n"/>
      <c r="K538" s="622" t="n"/>
      <c r="L538" s="622" t="n"/>
      <c r="M538" s="622" t="n"/>
      <c r="N538" s="622" t="n"/>
      <c r="O538" s="622" t="n"/>
      <c r="P538" s="622" t="n"/>
      <c r="Q538" s="622" t="n"/>
      <c r="R538" s="622" t="n"/>
      <c r="S538" s="622" t="n"/>
      <c r="T538" s="622" t="n"/>
      <c r="U538" s="622" t="n"/>
      <c r="V538" s="622" t="n"/>
      <c r="W538" s="622" t="n"/>
      <c r="X538" s="622" t="n"/>
      <c r="Y538" s="622" t="n"/>
      <c r="Z538" s="622" t="n"/>
      <c r="AA538" s="622" t="n"/>
      <c r="AB538" s="622" t="n"/>
      <c r="AC538" s="622" t="n"/>
      <c r="AD538" s="622" t="n"/>
      <c r="AE538" s="622" t="n"/>
      <c r="AF538" s="622" t="n"/>
      <c r="AG538" s="622" t="n"/>
      <c r="AH538" s="622" t="n"/>
      <c r="AI538" s="622" t="n"/>
      <c r="AJ538" s="622" t="n"/>
      <c r="AK538" s="622" t="n"/>
      <c r="AL538" s="622" t="n"/>
      <c r="AM538" s="622" t="n"/>
      <c r="AN538" s="622" t="n"/>
      <c r="AO538" s="622" t="n"/>
      <c r="AP538" s="622" t="n"/>
      <c r="AQ538" s="622" t="n"/>
      <c r="AR538" s="622" t="n"/>
      <c r="AS538" s="622" t="n"/>
      <c r="AT538" s="622" t="n"/>
      <c r="AU538" s="622" t="n"/>
      <c r="AV538" s="622" t="n"/>
      <c r="AW538" s="622" t="n"/>
      <c r="AX538" s="622" t="n"/>
      <c r="AY538" s="622" t="n"/>
    </row>
    <row r="539">
      <c r="A539" s="622" t="n"/>
      <c r="B539" s="622" t="n"/>
      <c r="C539" s="622" t="n"/>
      <c r="D539" s="622" t="n"/>
      <c r="E539" s="622" t="n"/>
      <c r="F539" s="622" t="n"/>
      <c r="G539" s="622" t="n"/>
      <c r="H539" s="622" t="n"/>
      <c r="I539" s="622" t="n"/>
      <c r="J539" s="622" t="n"/>
      <c r="K539" s="622" t="n"/>
      <c r="L539" s="622" t="n"/>
      <c r="M539" s="622" t="n"/>
      <c r="N539" s="622" t="n"/>
      <c r="O539" s="622" t="n"/>
      <c r="P539" s="622" t="n"/>
      <c r="Q539" s="622" t="n"/>
      <c r="R539" s="622" t="n"/>
      <c r="S539" s="622" t="n"/>
      <c r="T539" s="622" t="n"/>
      <c r="U539" s="622" t="n"/>
      <c r="V539" s="622" t="n"/>
      <c r="W539" s="622" t="n"/>
      <c r="X539" s="622" t="n"/>
      <c r="Y539" s="622" t="n"/>
      <c r="Z539" s="622" t="n"/>
      <c r="AA539" s="622" t="n"/>
      <c r="AB539" s="622" t="n"/>
      <c r="AC539" s="622" t="n"/>
      <c r="AD539" s="622" t="n"/>
      <c r="AE539" s="622" t="n"/>
      <c r="AF539" s="622" t="n"/>
      <c r="AG539" s="622" t="n"/>
      <c r="AH539" s="622" t="n"/>
      <c r="AI539" s="622" t="n"/>
      <c r="AJ539" s="622" t="n"/>
      <c r="AK539" s="622" t="n"/>
      <c r="AL539" s="622" t="n"/>
      <c r="AM539" s="622" t="n"/>
      <c r="AN539" s="622" t="n"/>
      <c r="AO539" s="622" t="n"/>
      <c r="AP539" s="622" t="n"/>
      <c r="AQ539" s="622" t="n"/>
      <c r="AR539" s="622" t="n"/>
      <c r="AS539" s="622" t="n"/>
      <c r="AT539" s="622" t="n"/>
      <c r="AU539" s="622" t="n"/>
      <c r="AV539" s="622" t="n"/>
      <c r="AW539" s="622" t="n"/>
      <c r="AX539" s="622" t="n"/>
      <c r="AY539" s="622" t="n"/>
    </row>
    <row r="540">
      <c r="A540" s="622" t="n"/>
      <c r="B540" s="622" t="n"/>
      <c r="C540" s="622" t="n"/>
      <c r="D540" s="622" t="n"/>
      <c r="E540" s="622" t="n"/>
      <c r="F540" s="622" t="n"/>
      <c r="G540" s="622" t="n"/>
      <c r="H540" s="622" t="n"/>
      <c r="I540" s="622" t="n"/>
      <c r="J540" s="622" t="n"/>
      <c r="K540" s="622" t="n"/>
      <c r="L540" s="622" t="n"/>
      <c r="M540" s="622" t="n"/>
      <c r="N540" s="622" t="n"/>
      <c r="O540" s="622" t="n"/>
      <c r="P540" s="622" t="n"/>
      <c r="Q540" s="622" t="n"/>
      <c r="R540" s="622" t="n"/>
      <c r="S540" s="622" t="n"/>
      <c r="T540" s="622" t="n"/>
      <c r="U540" s="622" t="n"/>
      <c r="V540" s="622" t="n"/>
      <c r="W540" s="622" t="n"/>
      <c r="X540" s="622" t="n"/>
      <c r="Y540" s="622" t="n"/>
      <c r="Z540" s="622" t="n"/>
      <c r="AA540" s="622" t="n"/>
      <c r="AB540" s="622" t="n"/>
      <c r="AC540" s="622" t="n"/>
      <c r="AD540" s="622" t="n"/>
      <c r="AE540" s="622" t="n"/>
      <c r="AF540" s="622" t="n"/>
      <c r="AG540" s="622" t="n"/>
      <c r="AH540" s="622" t="n"/>
      <c r="AI540" s="622" t="n"/>
      <c r="AJ540" s="622" t="n"/>
      <c r="AK540" s="622" t="n"/>
      <c r="AL540" s="622" t="n"/>
      <c r="AM540" s="622" t="n"/>
      <c r="AN540" s="622" t="n"/>
      <c r="AO540" s="622" t="n"/>
      <c r="AP540" s="622" t="n"/>
      <c r="AQ540" s="622" t="n"/>
      <c r="AR540" s="622" t="n"/>
      <c r="AS540" s="622" t="n"/>
      <c r="AT540" s="622" t="n"/>
      <c r="AU540" s="622" t="n"/>
      <c r="AV540" s="622" t="n"/>
      <c r="AW540" s="622" t="n"/>
      <c r="AX540" s="622" t="n"/>
      <c r="AY540" s="622" t="n"/>
    </row>
    <row r="541">
      <c r="A541" s="622" t="n"/>
      <c r="B541" s="622" t="n"/>
      <c r="C541" s="622" t="n"/>
      <c r="D541" s="622" t="n"/>
      <c r="E541" s="622" t="n"/>
      <c r="F541" s="622" t="n"/>
      <c r="G541" s="622" t="n"/>
      <c r="H541" s="622" t="n"/>
      <c r="I541" s="622" t="n"/>
      <c r="J541" s="622" t="n"/>
      <c r="K541" s="622" t="n"/>
      <c r="L541" s="622" t="n"/>
      <c r="M541" s="622" t="n"/>
      <c r="N541" s="622" t="n"/>
      <c r="O541" s="622" t="n"/>
      <c r="P541" s="622" t="n"/>
      <c r="Q541" s="622" t="n"/>
      <c r="R541" s="622" t="n"/>
      <c r="S541" s="622" t="n"/>
      <c r="T541" s="622" t="n"/>
      <c r="U541" s="622" t="n"/>
      <c r="V541" s="622" t="n"/>
      <c r="W541" s="622" t="n"/>
      <c r="X541" s="622" t="n"/>
      <c r="Y541" s="622" t="n"/>
      <c r="Z541" s="622" t="n"/>
      <c r="AA541" s="622" t="n"/>
      <c r="AB541" s="622" t="n"/>
      <c r="AC541" s="622" t="n"/>
      <c r="AD541" s="622" t="n"/>
      <c r="AE541" s="622" t="n"/>
      <c r="AF541" s="622" t="n"/>
      <c r="AG541" s="622" t="n"/>
      <c r="AH541" s="622" t="n"/>
      <c r="AI541" s="622" t="n"/>
      <c r="AJ541" s="622" t="n"/>
      <c r="AK541" s="622" t="n"/>
      <c r="AL541" s="622" t="n"/>
      <c r="AM541" s="622" t="n"/>
      <c r="AN541" s="622" t="n"/>
      <c r="AO541" s="622" t="n"/>
      <c r="AP541" s="622" t="n"/>
      <c r="AQ541" s="622" t="n"/>
      <c r="AR541" s="622" t="n"/>
      <c r="AS541" s="622" t="n"/>
      <c r="AT541" s="622" t="n"/>
      <c r="AU541" s="622" t="n"/>
      <c r="AV541" s="622" t="n"/>
      <c r="AW541" s="622" t="n"/>
      <c r="AX541" s="622" t="n"/>
      <c r="AY541" s="622" t="n"/>
    </row>
    <row r="542">
      <c r="A542" s="622" t="n"/>
      <c r="B542" s="622" t="n"/>
      <c r="C542" s="622" t="n"/>
      <c r="D542" s="622" t="n"/>
      <c r="E542" s="622" t="n"/>
      <c r="F542" s="622" t="n"/>
      <c r="G542" s="622" t="n"/>
      <c r="H542" s="622" t="n"/>
      <c r="I542" s="622" t="n"/>
      <c r="J542" s="622" t="n"/>
      <c r="K542" s="622" t="n"/>
      <c r="L542" s="622" t="n"/>
      <c r="M542" s="622" t="n"/>
      <c r="N542" s="622" t="n"/>
      <c r="O542" s="622" t="n"/>
      <c r="P542" s="622" t="n"/>
      <c r="Q542" s="622" t="n"/>
      <c r="R542" s="622" t="n"/>
      <c r="S542" s="622" t="n"/>
      <c r="T542" s="622" t="n"/>
      <c r="U542" s="622" t="n"/>
      <c r="V542" s="622" t="n"/>
      <c r="W542" s="622" t="n"/>
      <c r="X542" s="622" t="n"/>
      <c r="Y542" s="622" t="n"/>
      <c r="Z542" s="622" t="n"/>
      <c r="AA542" s="622" t="n"/>
      <c r="AB542" s="622" t="n"/>
      <c r="AC542" s="622" t="n"/>
      <c r="AD542" s="622" t="n"/>
      <c r="AE542" s="622" t="n"/>
      <c r="AF542" s="622" t="n"/>
      <c r="AG542" s="622" t="n"/>
      <c r="AH542" s="622" t="n"/>
      <c r="AI542" s="622" t="n"/>
      <c r="AJ542" s="622" t="n"/>
      <c r="AK542" s="622" t="n"/>
      <c r="AL542" s="622" t="n"/>
      <c r="AM542" s="622" t="n"/>
      <c r="AN542" s="622" t="n"/>
      <c r="AO542" s="622" t="n"/>
      <c r="AP542" s="622" t="n"/>
      <c r="AQ542" s="622" t="n"/>
      <c r="AR542" s="622" t="n"/>
      <c r="AS542" s="622" t="n"/>
      <c r="AT542" s="622" t="n"/>
      <c r="AU542" s="622" t="n"/>
      <c r="AV542" s="622" t="n"/>
      <c r="AW542" s="622" t="n"/>
      <c r="AX542" s="622" t="n"/>
      <c r="AY542" s="622" t="n"/>
    </row>
    <row r="543">
      <c r="A543" s="622" t="n"/>
      <c r="B543" s="622" t="n"/>
      <c r="C543" s="622" t="n"/>
      <c r="D543" s="622" t="n"/>
      <c r="E543" s="622" t="n"/>
      <c r="F543" s="622" t="n"/>
      <c r="G543" s="622" t="n"/>
      <c r="H543" s="622" t="n"/>
      <c r="I543" s="622" t="n"/>
      <c r="J543" s="622" t="n"/>
      <c r="K543" s="622" t="n"/>
      <c r="L543" s="622" t="n"/>
      <c r="M543" s="622" t="n"/>
      <c r="N543" s="622" t="n"/>
      <c r="O543" s="622" t="n"/>
      <c r="P543" s="622" t="n"/>
      <c r="Q543" s="622" t="n"/>
      <c r="R543" s="622" t="n"/>
      <c r="S543" s="622" t="n"/>
      <c r="T543" s="622" t="n"/>
      <c r="U543" s="622" t="n"/>
      <c r="V543" s="622" t="n"/>
      <c r="W543" s="622" t="n"/>
      <c r="X543" s="622" t="n"/>
      <c r="Y543" s="622" t="n"/>
      <c r="Z543" s="622" t="n"/>
      <c r="AA543" s="622" t="n"/>
      <c r="AB543" s="622" t="n"/>
      <c r="AC543" s="622" t="n"/>
      <c r="AD543" s="622" t="n"/>
      <c r="AE543" s="622" t="n"/>
      <c r="AF543" s="622" t="n"/>
      <c r="AG543" s="622" t="n"/>
      <c r="AH543" s="622" t="n"/>
      <c r="AI543" s="622" t="n"/>
      <c r="AJ543" s="622" t="n"/>
      <c r="AK543" s="622" t="n"/>
      <c r="AL543" s="622" t="n"/>
      <c r="AM543" s="622" t="n"/>
      <c r="AN543" s="622" t="n"/>
      <c r="AO543" s="622" t="n"/>
      <c r="AP543" s="622" t="n"/>
      <c r="AQ543" s="622" t="n"/>
      <c r="AR543" s="622" t="n"/>
      <c r="AS543" s="622" t="n"/>
      <c r="AT543" s="622" t="n"/>
      <c r="AU543" s="622" t="n"/>
      <c r="AV543" s="622" t="n"/>
      <c r="AW543" s="622" t="n"/>
      <c r="AX543" s="622" t="n"/>
      <c r="AY543" s="622" t="n"/>
    </row>
    <row r="544">
      <c r="A544" s="622" t="n"/>
      <c r="B544" s="622" t="n"/>
      <c r="C544" s="622" t="n"/>
      <c r="D544" s="622" t="n"/>
      <c r="E544" s="622" t="n"/>
      <c r="F544" s="622" t="n"/>
      <c r="G544" s="622" t="n"/>
      <c r="H544" s="622" t="n"/>
      <c r="I544" s="622" t="n"/>
      <c r="J544" s="622" t="n"/>
      <c r="K544" s="622" t="n"/>
      <c r="L544" s="622" t="n"/>
      <c r="M544" s="622" t="n"/>
      <c r="N544" s="622" t="n"/>
      <c r="O544" s="622" t="n"/>
      <c r="P544" s="622" t="n"/>
      <c r="Q544" s="622" t="n"/>
      <c r="R544" s="622" t="n"/>
      <c r="S544" s="622" t="n"/>
      <c r="T544" s="622" t="n"/>
      <c r="U544" s="622" t="n"/>
      <c r="V544" s="622" t="n"/>
      <c r="W544" s="622" t="n"/>
      <c r="X544" s="622" t="n"/>
      <c r="Y544" s="622" t="n"/>
      <c r="Z544" s="622" t="n"/>
      <c r="AA544" s="622" t="n"/>
      <c r="AB544" s="622" t="n"/>
      <c r="AC544" s="622" t="n"/>
      <c r="AD544" s="622" t="n"/>
      <c r="AE544" s="622" t="n"/>
      <c r="AF544" s="622" t="n"/>
      <c r="AG544" s="622" t="n"/>
      <c r="AH544" s="622" t="n"/>
      <c r="AI544" s="622" t="n"/>
      <c r="AJ544" s="622" t="n"/>
      <c r="AK544" s="622" t="n"/>
      <c r="AL544" s="622" t="n"/>
      <c r="AM544" s="622" t="n"/>
      <c r="AN544" s="622" t="n"/>
      <c r="AO544" s="622" t="n"/>
      <c r="AP544" s="622" t="n"/>
      <c r="AQ544" s="622" t="n"/>
      <c r="AR544" s="622" t="n"/>
      <c r="AS544" s="622" t="n"/>
      <c r="AT544" s="622" t="n"/>
      <c r="AU544" s="622" t="n"/>
      <c r="AV544" s="622" t="n"/>
      <c r="AW544" s="622" t="n"/>
      <c r="AX544" s="622" t="n"/>
      <c r="AY544" s="622" t="n"/>
    </row>
    <row r="545">
      <c r="A545" s="622" t="n"/>
      <c r="B545" s="622" t="n"/>
      <c r="C545" s="622" t="n"/>
      <c r="D545" s="622" t="n"/>
      <c r="E545" s="622" t="n"/>
      <c r="F545" s="622" t="n"/>
      <c r="G545" s="622" t="n"/>
      <c r="H545" s="622" t="n"/>
      <c r="I545" s="622" t="n"/>
      <c r="J545" s="622" t="n"/>
      <c r="K545" s="622" t="n"/>
      <c r="L545" s="622" t="n"/>
      <c r="M545" s="622" t="n"/>
      <c r="N545" s="622" t="n"/>
      <c r="O545" s="622" t="n"/>
      <c r="P545" s="622" t="n"/>
      <c r="Q545" s="622" t="n"/>
      <c r="R545" s="622" t="n"/>
      <c r="S545" s="622" t="n"/>
      <c r="T545" s="622" t="n"/>
      <c r="U545" s="622" t="n"/>
      <c r="V545" s="622" t="n"/>
      <c r="W545" s="622" t="n"/>
      <c r="X545" s="622" t="n"/>
      <c r="Y545" s="622" t="n"/>
      <c r="Z545" s="622" t="n"/>
      <c r="AA545" s="622" t="n"/>
      <c r="AB545" s="622" t="n"/>
      <c r="AC545" s="622" t="n"/>
      <c r="AD545" s="622" t="n"/>
      <c r="AE545" s="622" t="n"/>
      <c r="AF545" s="622" t="n"/>
      <c r="AG545" s="622" t="n"/>
      <c r="AH545" s="622" t="n"/>
      <c r="AI545" s="622" t="n"/>
      <c r="AJ545" s="622" t="n"/>
      <c r="AK545" s="622" t="n"/>
      <c r="AL545" s="622" t="n"/>
      <c r="AM545" s="622" t="n"/>
      <c r="AN545" s="622" t="n"/>
      <c r="AO545" s="622" t="n"/>
      <c r="AP545" s="622" t="n"/>
      <c r="AQ545" s="622" t="n"/>
      <c r="AR545" s="622" t="n"/>
      <c r="AS545" s="622" t="n"/>
      <c r="AT545" s="622" t="n"/>
      <c r="AU545" s="622" t="n"/>
      <c r="AV545" s="622" t="n"/>
      <c r="AW545" s="622" t="n"/>
      <c r="AX545" s="622" t="n"/>
      <c r="AY545" s="622" t="n"/>
    </row>
    <row r="546">
      <c r="A546" s="622" t="n"/>
      <c r="B546" s="622" t="n"/>
      <c r="C546" s="622" t="n"/>
      <c r="D546" s="622" t="n"/>
      <c r="E546" s="622" t="n"/>
      <c r="F546" s="622" t="n"/>
      <c r="G546" s="622" t="n"/>
      <c r="H546" s="622" t="n"/>
      <c r="I546" s="622" t="n"/>
      <c r="J546" s="622" t="n"/>
      <c r="K546" s="622" t="n"/>
      <c r="L546" s="622" t="n"/>
      <c r="M546" s="622" t="n"/>
      <c r="N546" s="622" t="n"/>
      <c r="O546" s="622" t="n"/>
      <c r="P546" s="622" t="n"/>
      <c r="Q546" s="622" t="n"/>
      <c r="R546" s="622" t="n"/>
      <c r="S546" s="622" t="n"/>
      <c r="T546" s="622" t="n"/>
      <c r="U546" s="622" t="n"/>
      <c r="V546" s="622" t="n"/>
      <c r="W546" s="622" t="n"/>
      <c r="X546" s="622" t="n"/>
      <c r="Y546" s="622" t="n"/>
      <c r="Z546" s="622" t="n"/>
      <c r="AA546" s="622" t="n"/>
      <c r="AB546" s="622" t="n"/>
      <c r="AC546" s="622" t="n"/>
      <c r="AD546" s="622" t="n"/>
      <c r="AE546" s="622" t="n"/>
      <c r="AF546" s="622" t="n"/>
      <c r="AG546" s="622" t="n"/>
      <c r="AH546" s="622" t="n"/>
      <c r="AI546" s="622" t="n"/>
      <c r="AJ546" s="622" t="n"/>
      <c r="AK546" s="622" t="n"/>
      <c r="AL546" s="622" t="n"/>
      <c r="AM546" s="622" t="n"/>
      <c r="AN546" s="622" t="n"/>
      <c r="AO546" s="622" t="n"/>
      <c r="AP546" s="622" t="n"/>
      <c r="AQ546" s="622" t="n"/>
      <c r="AR546" s="622" t="n"/>
      <c r="AS546" s="622" t="n"/>
      <c r="AT546" s="622" t="n"/>
      <c r="AU546" s="622" t="n"/>
      <c r="AV546" s="622" t="n"/>
      <c r="AW546" s="622" t="n"/>
      <c r="AX546" s="622" t="n"/>
      <c r="AY546" s="622" t="n"/>
    </row>
    <row r="547">
      <c r="A547" s="622" t="n"/>
      <c r="B547" s="622" t="n"/>
      <c r="C547" s="622" t="n"/>
      <c r="D547" s="622" t="n"/>
      <c r="E547" s="622" t="n"/>
      <c r="F547" s="622" t="n"/>
      <c r="G547" s="622" t="n"/>
      <c r="H547" s="622" t="n"/>
      <c r="I547" s="622" t="n"/>
      <c r="J547" s="622" t="n"/>
      <c r="K547" s="622" t="n"/>
      <c r="L547" s="622" t="n"/>
      <c r="M547" s="622" t="n"/>
      <c r="N547" s="622" t="n"/>
      <c r="O547" s="622" t="n"/>
      <c r="P547" s="622" t="n"/>
      <c r="Q547" s="622" t="n"/>
      <c r="R547" s="622" t="n"/>
      <c r="S547" s="622" t="n"/>
      <c r="T547" s="622" t="n"/>
      <c r="U547" s="622" t="n"/>
      <c r="V547" s="622" t="n"/>
      <c r="W547" s="622" t="n"/>
      <c r="X547" s="622" t="n"/>
      <c r="Y547" s="622" t="n"/>
      <c r="Z547" s="622" t="n"/>
      <c r="AA547" s="622" t="n"/>
      <c r="AB547" s="622" t="n"/>
      <c r="AC547" s="622" t="n"/>
      <c r="AD547" s="622" t="n"/>
      <c r="AE547" s="622" t="n"/>
      <c r="AF547" s="622" t="n"/>
      <c r="AG547" s="622" t="n"/>
      <c r="AH547" s="622" t="n"/>
      <c r="AI547" s="622" t="n"/>
      <c r="AJ547" s="622" t="n"/>
      <c r="AK547" s="622" t="n"/>
      <c r="AL547" s="622" t="n"/>
      <c r="AM547" s="622" t="n"/>
      <c r="AN547" s="622" t="n"/>
      <c r="AO547" s="622" t="n"/>
      <c r="AP547" s="622" t="n"/>
      <c r="AQ547" s="622" t="n"/>
      <c r="AR547" s="622" t="n"/>
      <c r="AS547" s="622" t="n"/>
      <c r="AT547" s="622" t="n"/>
      <c r="AU547" s="622" t="n"/>
      <c r="AV547" s="622" t="n"/>
      <c r="AW547" s="622" t="n"/>
      <c r="AX547" s="622" t="n"/>
      <c r="AY547" s="622" t="n"/>
    </row>
    <row r="548">
      <c r="A548" s="622" t="n"/>
      <c r="B548" s="622" t="n"/>
      <c r="C548" s="622" t="n"/>
      <c r="D548" s="622" t="n"/>
      <c r="E548" s="622" t="n"/>
      <c r="F548" s="622" t="n"/>
      <c r="G548" s="622" t="n"/>
      <c r="H548" s="622" t="n"/>
      <c r="I548" s="622" t="n"/>
      <c r="J548" s="622" t="n"/>
      <c r="K548" s="622" t="n"/>
      <c r="L548" s="622" t="n"/>
      <c r="M548" s="622" t="n"/>
      <c r="N548" s="622" t="n"/>
      <c r="O548" s="622" t="n"/>
      <c r="P548" s="622" t="n"/>
      <c r="Q548" s="622" t="n"/>
      <c r="R548" s="622" t="n"/>
      <c r="S548" s="622" t="n"/>
      <c r="T548" s="622" t="n"/>
      <c r="U548" s="622" t="n"/>
      <c r="V548" s="622" t="n"/>
      <c r="W548" s="622" t="n"/>
      <c r="X548" s="622" t="n"/>
      <c r="Y548" s="622" t="n"/>
      <c r="Z548" s="622" t="n"/>
      <c r="AA548" s="622" t="n"/>
      <c r="AB548" s="622" t="n"/>
      <c r="AC548" s="622" t="n"/>
      <c r="AD548" s="622" t="n"/>
      <c r="AE548" s="622" t="n"/>
      <c r="AF548" s="622" t="n"/>
      <c r="AG548" s="622" t="n"/>
      <c r="AH548" s="622" t="n"/>
      <c r="AI548" s="622" t="n"/>
      <c r="AJ548" s="622" t="n"/>
      <c r="AK548" s="622" t="n"/>
      <c r="AL548" s="622" t="n"/>
      <c r="AM548" s="622" t="n"/>
      <c r="AN548" s="622" t="n"/>
      <c r="AO548" s="622" t="n"/>
      <c r="AP548" s="622" t="n"/>
      <c r="AQ548" s="622" t="n"/>
      <c r="AR548" s="622" t="n"/>
      <c r="AS548" s="622" t="n"/>
      <c r="AT548" s="622" t="n"/>
      <c r="AU548" s="622" t="n"/>
      <c r="AV548" s="622" t="n"/>
      <c r="AW548" s="622" t="n"/>
      <c r="AX548" s="622" t="n"/>
      <c r="AY548" s="622" t="n"/>
    </row>
    <row r="549">
      <c r="A549" s="622" t="n"/>
      <c r="B549" s="622" t="n"/>
      <c r="C549" s="622" t="n"/>
      <c r="D549" s="622" t="n"/>
      <c r="E549" s="622" t="n"/>
      <c r="F549" s="622" t="n"/>
      <c r="G549" s="622" t="n"/>
      <c r="H549" s="622" t="n"/>
      <c r="I549" s="622" t="n"/>
      <c r="J549" s="622" t="n"/>
      <c r="K549" s="622" t="n"/>
      <c r="L549" s="622" t="n"/>
      <c r="M549" s="622" t="n"/>
      <c r="N549" s="622" t="n"/>
      <c r="O549" s="622" t="n"/>
      <c r="P549" s="622" t="n"/>
      <c r="Q549" s="622" t="n"/>
      <c r="R549" s="622" t="n"/>
      <c r="S549" s="622" t="n"/>
      <c r="T549" s="622" t="n"/>
      <c r="U549" s="622" t="n"/>
      <c r="V549" s="622" t="n"/>
      <c r="W549" s="622" t="n"/>
      <c r="X549" s="622" t="n"/>
      <c r="Y549" s="622" t="n"/>
      <c r="Z549" s="622" t="n"/>
      <c r="AA549" s="622" t="n"/>
      <c r="AB549" s="622" t="n"/>
      <c r="AC549" s="622" t="n"/>
      <c r="AD549" s="622" t="n"/>
      <c r="AE549" s="622" t="n"/>
      <c r="AF549" s="622" t="n"/>
      <c r="AG549" s="622" t="n"/>
      <c r="AH549" s="622" t="n"/>
      <c r="AI549" s="622" t="n"/>
      <c r="AJ549" s="622" t="n"/>
      <c r="AK549" s="622" t="n"/>
      <c r="AL549" s="622" t="n"/>
      <c r="AM549" s="622" t="n"/>
      <c r="AN549" s="622" t="n"/>
      <c r="AO549" s="622" t="n"/>
      <c r="AP549" s="622" t="n"/>
      <c r="AQ549" s="622" t="n"/>
      <c r="AR549" s="622" t="n"/>
      <c r="AS549" s="622" t="n"/>
      <c r="AT549" s="622" t="n"/>
      <c r="AU549" s="622" t="n"/>
      <c r="AV549" s="622" t="n"/>
      <c r="AW549" s="622" t="n"/>
      <c r="AX549" s="622" t="n"/>
      <c r="AY549" s="622" t="n"/>
    </row>
    <row r="550">
      <c r="A550" s="622" t="n"/>
      <c r="B550" s="622" t="n"/>
      <c r="C550" s="622" t="n"/>
      <c r="D550" s="622" t="n"/>
      <c r="E550" s="622" t="n"/>
      <c r="F550" s="622" t="n"/>
      <c r="G550" s="622" t="n"/>
      <c r="H550" s="622" t="n"/>
      <c r="I550" s="622" t="n"/>
      <c r="J550" s="622" t="n"/>
      <c r="K550" s="622" t="n"/>
      <c r="L550" s="622" t="n"/>
      <c r="M550" s="622" t="n"/>
      <c r="N550" s="622" t="n"/>
      <c r="O550" s="622" t="n"/>
      <c r="P550" s="622" t="n"/>
      <c r="Q550" s="622" t="n"/>
      <c r="R550" s="622" t="n"/>
      <c r="S550" s="622" t="n"/>
      <c r="T550" s="622" t="n"/>
      <c r="U550" s="622" t="n"/>
      <c r="V550" s="622" t="n"/>
      <c r="W550" s="622" t="n"/>
      <c r="X550" s="622" t="n"/>
      <c r="Y550" s="622" t="n"/>
      <c r="Z550" s="622" t="n"/>
      <c r="AA550" s="622" t="n"/>
      <c r="AB550" s="622" t="n"/>
      <c r="AC550" s="622" t="n"/>
      <c r="AD550" s="622" t="n"/>
      <c r="AE550" s="622" t="n"/>
      <c r="AF550" s="622" t="n"/>
      <c r="AG550" s="622" t="n"/>
      <c r="AH550" s="622" t="n"/>
      <c r="AI550" s="622" t="n"/>
      <c r="AJ550" s="622" t="n"/>
      <c r="AK550" s="622" t="n"/>
      <c r="AL550" s="622" t="n"/>
      <c r="AM550" s="622" t="n"/>
      <c r="AN550" s="622" t="n"/>
      <c r="AO550" s="622" t="n"/>
      <c r="AP550" s="622" t="n"/>
      <c r="AQ550" s="622" t="n"/>
      <c r="AR550" s="622" t="n"/>
      <c r="AS550" s="622" t="n"/>
      <c r="AT550" s="622" t="n"/>
      <c r="AU550" s="622" t="n"/>
      <c r="AV550" s="622" t="n"/>
      <c r="AW550" s="622" t="n"/>
      <c r="AX550" s="622" t="n"/>
      <c r="AY550" s="622" t="n"/>
    </row>
    <row r="551">
      <c r="A551" s="622" t="n"/>
      <c r="B551" s="622" t="n"/>
      <c r="C551" s="622" t="n"/>
      <c r="D551" s="622" t="n"/>
      <c r="E551" s="622" t="n"/>
      <c r="F551" s="622" t="n"/>
      <c r="G551" s="622" t="n"/>
      <c r="H551" s="622" t="n"/>
      <c r="I551" s="622" t="n"/>
      <c r="J551" s="622" t="n"/>
      <c r="K551" s="622" t="n"/>
      <c r="L551" s="622" t="n"/>
      <c r="M551" s="622" t="n"/>
      <c r="N551" s="622" t="n"/>
      <c r="O551" s="622" t="n"/>
      <c r="P551" s="622" t="n"/>
      <c r="Q551" s="622" t="n"/>
      <c r="R551" s="622" t="n"/>
      <c r="S551" s="622" t="n"/>
      <c r="T551" s="622" t="n"/>
      <c r="U551" s="622" t="n"/>
      <c r="V551" s="622" t="n"/>
      <c r="W551" s="622" t="n"/>
      <c r="X551" s="622" t="n"/>
      <c r="Y551" s="622" t="n"/>
      <c r="Z551" s="622" t="n"/>
      <c r="AA551" s="622" t="n"/>
      <c r="AB551" s="622" t="n"/>
      <c r="AC551" s="622" t="n"/>
      <c r="AD551" s="622" t="n"/>
      <c r="AE551" s="622" t="n"/>
      <c r="AF551" s="622" t="n"/>
      <c r="AG551" s="622" t="n"/>
      <c r="AH551" s="622" t="n"/>
      <c r="AI551" s="622" t="n"/>
      <c r="AJ551" s="622" t="n"/>
      <c r="AK551" s="622" t="n"/>
      <c r="AL551" s="622" t="n"/>
      <c r="AM551" s="622" t="n"/>
      <c r="AN551" s="622" t="n"/>
      <c r="AO551" s="622" t="n"/>
      <c r="AP551" s="622" t="n"/>
      <c r="AQ551" s="622" t="n"/>
      <c r="AR551" s="622" t="n"/>
      <c r="AS551" s="622" t="n"/>
      <c r="AT551" s="622" t="n"/>
      <c r="AU551" s="622" t="n"/>
      <c r="AV551" s="622" t="n"/>
      <c r="AW551" s="622" t="n"/>
      <c r="AX551" s="622" t="n"/>
      <c r="AY551" s="622" t="n"/>
    </row>
    <row r="552">
      <c r="A552" s="622" t="n"/>
      <c r="B552" s="622" t="n"/>
      <c r="C552" s="622" t="n"/>
      <c r="D552" s="622" t="n"/>
      <c r="E552" s="622" t="n"/>
      <c r="F552" s="622" t="n"/>
      <c r="G552" s="622" t="n"/>
      <c r="H552" s="622" t="n"/>
      <c r="I552" s="622" t="n"/>
      <c r="J552" s="622" t="n"/>
      <c r="K552" s="622" t="n"/>
      <c r="L552" s="622" t="n"/>
      <c r="M552" s="622" t="n"/>
      <c r="N552" s="622" t="n"/>
      <c r="O552" s="622" t="n"/>
      <c r="P552" s="622" t="n"/>
      <c r="Q552" s="622" t="n"/>
      <c r="R552" s="622" t="n"/>
      <c r="S552" s="622" t="n"/>
      <c r="T552" s="622" t="n"/>
      <c r="U552" s="622" t="n"/>
      <c r="V552" s="622" t="n"/>
      <c r="W552" s="622" t="n"/>
      <c r="X552" s="622" t="n"/>
      <c r="Y552" s="622" t="n"/>
      <c r="Z552" s="622" t="n"/>
      <c r="AA552" s="622" t="n"/>
      <c r="AB552" s="622" t="n"/>
      <c r="AC552" s="622" t="n"/>
      <c r="AD552" s="622" t="n"/>
      <c r="AE552" s="622" t="n"/>
      <c r="AF552" s="622" t="n"/>
      <c r="AG552" s="622" t="n"/>
      <c r="AH552" s="622" t="n"/>
      <c r="AI552" s="622" t="n"/>
      <c r="AJ552" s="622" t="n"/>
      <c r="AK552" s="622" t="n"/>
      <c r="AL552" s="622" t="n"/>
      <c r="AM552" s="622" t="n"/>
      <c r="AN552" s="622" t="n"/>
      <c r="AO552" s="622" t="n"/>
      <c r="AP552" s="622" t="n"/>
      <c r="AQ552" s="622" t="n"/>
      <c r="AR552" s="622" t="n"/>
      <c r="AS552" s="622" t="n"/>
      <c r="AT552" s="622" t="n"/>
      <c r="AU552" s="622" t="n"/>
      <c r="AV552" s="622" t="n"/>
      <c r="AW552" s="622" t="n"/>
      <c r="AX552" s="622" t="n"/>
      <c r="AY552" s="622" t="n"/>
    </row>
    <row r="553">
      <c r="A553" s="622" t="n"/>
      <c r="B553" s="622" t="n"/>
      <c r="C553" s="622" t="n"/>
      <c r="D553" s="622" t="n"/>
      <c r="E553" s="622" t="n"/>
      <c r="F553" s="622" t="n"/>
      <c r="G553" s="622" t="n"/>
      <c r="H553" s="622" t="n"/>
      <c r="I553" s="622" t="n"/>
      <c r="J553" s="622" t="n"/>
      <c r="K553" s="622" t="n"/>
      <c r="L553" s="622" t="n"/>
      <c r="M553" s="622" t="n"/>
      <c r="N553" s="622" t="n"/>
      <c r="O553" s="622" t="n"/>
      <c r="P553" s="622" t="n"/>
      <c r="Q553" s="622" t="n"/>
      <c r="R553" s="622" t="n"/>
      <c r="S553" s="622" t="n"/>
      <c r="T553" s="622" t="n"/>
      <c r="U553" s="622" t="n"/>
      <c r="V553" s="622" t="n"/>
      <c r="W553" s="622" t="n"/>
      <c r="X553" s="622" t="n"/>
      <c r="Y553" s="622" t="n"/>
      <c r="Z553" s="622" t="n"/>
      <c r="AA553" s="622" t="n"/>
      <c r="AB553" s="622" t="n"/>
      <c r="AC553" s="622" t="n"/>
      <c r="AD553" s="622" t="n"/>
      <c r="AE553" s="622" t="n"/>
      <c r="AF553" s="622" t="n"/>
      <c r="AG553" s="622" t="n"/>
      <c r="AH553" s="622" t="n"/>
      <c r="AI553" s="622" t="n"/>
      <c r="AJ553" s="622" t="n"/>
      <c r="AK553" s="622" t="n"/>
      <c r="AL553" s="622" t="n"/>
      <c r="AM553" s="622" t="n"/>
      <c r="AN553" s="622" t="n"/>
      <c r="AO553" s="622" t="n"/>
      <c r="AP553" s="622" t="n"/>
      <c r="AQ553" s="622" t="n"/>
      <c r="AR553" s="622" t="n"/>
      <c r="AS553" s="622" t="n"/>
      <c r="AT553" s="622" t="n"/>
      <c r="AU553" s="622" t="n"/>
      <c r="AV553" s="622" t="n"/>
      <c r="AW553" s="622" t="n"/>
      <c r="AX553" s="622" t="n"/>
      <c r="AY553" s="622" t="n"/>
    </row>
    <row r="554">
      <c r="A554" s="622" t="n"/>
      <c r="B554" s="622" t="n"/>
      <c r="C554" s="622" t="n"/>
      <c r="D554" s="622" t="n"/>
      <c r="E554" s="622" t="n"/>
      <c r="F554" s="622" t="n"/>
      <c r="G554" s="622" t="n"/>
      <c r="H554" s="622" t="n"/>
      <c r="I554" s="622" t="n"/>
      <c r="J554" s="622" t="n"/>
      <c r="K554" s="622" t="n"/>
      <c r="L554" s="622" t="n"/>
      <c r="M554" s="622" t="n"/>
      <c r="N554" s="622" t="n"/>
      <c r="O554" s="622" t="n"/>
      <c r="P554" s="622" t="n"/>
      <c r="Q554" s="622" t="n"/>
      <c r="R554" s="622" t="n"/>
      <c r="S554" s="622" t="n"/>
      <c r="T554" s="622" t="n"/>
      <c r="U554" s="622" t="n"/>
      <c r="V554" s="622" t="n"/>
      <c r="W554" s="622" t="n"/>
      <c r="X554" s="622" t="n"/>
      <c r="Y554" s="622" t="n"/>
      <c r="Z554" s="622" t="n"/>
      <c r="AA554" s="622" t="n"/>
      <c r="AB554" s="622" t="n"/>
      <c r="AC554" s="622" t="n"/>
      <c r="AD554" s="622" t="n"/>
      <c r="AE554" s="622" t="n"/>
      <c r="AF554" s="622" t="n"/>
      <c r="AG554" s="622" t="n"/>
      <c r="AH554" s="622" t="n"/>
      <c r="AI554" s="622" t="n"/>
      <c r="AJ554" s="622" t="n"/>
      <c r="AK554" s="622" t="n"/>
      <c r="AL554" s="622" t="n"/>
      <c r="AM554" s="622" t="n"/>
      <c r="AN554" s="622" t="n"/>
      <c r="AO554" s="622" t="n"/>
      <c r="AP554" s="622" t="n"/>
      <c r="AQ554" s="622" t="n"/>
      <c r="AR554" s="622" t="n"/>
      <c r="AS554" s="622" t="n"/>
      <c r="AT554" s="622" t="n"/>
      <c r="AU554" s="622" t="n"/>
      <c r="AV554" s="622" t="n"/>
      <c r="AW554" s="622" t="n"/>
      <c r="AX554" s="622" t="n"/>
      <c r="AY554" s="622" t="n"/>
    </row>
    <row r="555">
      <c r="A555" s="622" t="n"/>
      <c r="B555" s="622" t="n"/>
      <c r="C555" s="622" t="n"/>
      <c r="D555" s="622" t="n"/>
      <c r="E555" s="622" t="n"/>
      <c r="F555" s="622" t="n"/>
      <c r="G555" s="622" t="n"/>
      <c r="H555" s="622" t="n"/>
      <c r="I555" s="622" t="n"/>
      <c r="J555" s="622" t="n"/>
      <c r="K555" s="622" t="n"/>
      <c r="L555" s="622" t="n"/>
      <c r="M555" s="622" t="n"/>
      <c r="N555" s="622" t="n"/>
      <c r="O555" s="622" t="n"/>
      <c r="P555" s="622" t="n"/>
      <c r="Q555" s="622" t="n"/>
      <c r="R555" s="622" t="n"/>
      <c r="S555" s="622" t="n"/>
      <c r="T555" s="622" t="n"/>
      <c r="U555" s="622" t="n"/>
      <c r="V555" s="622" t="n"/>
      <c r="W555" s="622" t="n"/>
      <c r="X555" s="622" t="n"/>
      <c r="Y555" s="622" t="n"/>
      <c r="Z555" s="622" t="n"/>
      <c r="AA555" s="622" t="n"/>
      <c r="AB555" s="622" t="n"/>
      <c r="AC555" s="622" t="n"/>
      <c r="AD555" s="622" t="n"/>
      <c r="AE555" s="622" t="n"/>
      <c r="AF555" s="622" t="n"/>
      <c r="AG555" s="622" t="n"/>
      <c r="AH555" s="622" t="n"/>
      <c r="AI555" s="622" t="n"/>
      <c r="AJ555" s="622" t="n"/>
      <c r="AK555" s="622" t="n"/>
      <c r="AL555" s="622" t="n"/>
      <c r="AM555" s="622" t="n"/>
      <c r="AN555" s="622" t="n"/>
      <c r="AO555" s="622" t="n"/>
      <c r="AP555" s="622" t="n"/>
      <c r="AQ555" s="622" t="n"/>
      <c r="AR555" s="622" t="n"/>
      <c r="AS555" s="622" t="n"/>
      <c r="AT555" s="622" t="n"/>
      <c r="AU555" s="622" t="n"/>
      <c r="AV555" s="622" t="n"/>
      <c r="AW555" s="622" t="n"/>
      <c r="AX555" s="622" t="n"/>
      <c r="AY555" s="622" t="n"/>
    </row>
    <row r="556">
      <c r="A556" s="622" t="n"/>
      <c r="B556" s="622" t="n"/>
      <c r="C556" s="622" t="n"/>
      <c r="D556" s="622" t="n"/>
      <c r="E556" s="622" t="n"/>
      <c r="F556" s="622" t="n"/>
      <c r="G556" s="622" t="n"/>
      <c r="H556" s="622" t="n"/>
      <c r="I556" s="622" t="n"/>
      <c r="J556" s="622" t="n"/>
      <c r="K556" s="622" t="n"/>
      <c r="L556" s="622" t="n"/>
      <c r="M556" s="622" t="n"/>
      <c r="N556" s="622" t="n"/>
      <c r="O556" s="622" t="n"/>
      <c r="P556" s="622" t="n"/>
      <c r="Q556" s="622" t="n"/>
      <c r="R556" s="622" t="n"/>
      <c r="S556" s="622" t="n"/>
      <c r="T556" s="622" t="n"/>
      <c r="U556" s="622" t="n"/>
      <c r="V556" s="622" t="n"/>
      <c r="W556" s="622" t="n"/>
      <c r="X556" s="622" t="n"/>
      <c r="Y556" s="622" t="n"/>
      <c r="Z556" s="622" t="n"/>
      <c r="AA556" s="622" t="n"/>
      <c r="AB556" s="622" t="n"/>
      <c r="AC556" s="622" t="n"/>
      <c r="AD556" s="622" t="n"/>
      <c r="AE556" s="622" t="n"/>
      <c r="AF556" s="622" t="n"/>
      <c r="AG556" s="622" t="n"/>
      <c r="AH556" s="622" t="n"/>
      <c r="AI556" s="622" t="n"/>
      <c r="AJ556" s="622" t="n"/>
      <c r="AK556" s="622" t="n"/>
      <c r="AL556" s="622" t="n"/>
      <c r="AM556" s="622" t="n"/>
      <c r="AN556" s="622" t="n"/>
      <c r="AO556" s="622" t="n"/>
      <c r="AP556" s="622" t="n"/>
      <c r="AQ556" s="622" t="n"/>
      <c r="AR556" s="622" t="n"/>
      <c r="AS556" s="622" t="n"/>
      <c r="AT556" s="622" t="n"/>
      <c r="AU556" s="622" t="n"/>
      <c r="AV556" s="622" t="n"/>
      <c r="AW556" s="622" t="n"/>
      <c r="AX556" s="622" t="n"/>
      <c r="AY556" s="622" t="n"/>
    </row>
    <row r="557">
      <c r="A557" s="622" t="n"/>
      <c r="B557" s="622" t="n"/>
      <c r="C557" s="622" t="n"/>
      <c r="D557" s="622" t="n"/>
      <c r="E557" s="622" t="n"/>
      <c r="F557" s="622" t="n"/>
      <c r="G557" s="622" t="n"/>
      <c r="H557" s="622" t="n"/>
      <c r="I557" s="622" t="n"/>
      <c r="J557" s="622" t="n"/>
      <c r="K557" s="622" t="n"/>
      <c r="L557" s="622" t="n"/>
      <c r="M557" s="622" t="n"/>
      <c r="N557" s="622" t="n"/>
      <c r="O557" s="622" t="n"/>
      <c r="P557" s="622" t="n"/>
      <c r="Q557" s="622" t="n"/>
      <c r="R557" s="622" t="n"/>
      <c r="S557" s="622" t="n"/>
      <c r="T557" s="622" t="n"/>
      <c r="U557" s="622" t="n"/>
      <c r="V557" s="622" t="n"/>
      <c r="W557" s="622" t="n"/>
      <c r="X557" s="622" t="n"/>
      <c r="Y557" s="622" t="n"/>
      <c r="Z557" s="622" t="n"/>
      <c r="AA557" s="622" t="n"/>
      <c r="AB557" s="622" t="n"/>
      <c r="AC557" s="622" t="n"/>
      <c r="AD557" s="622" t="n"/>
      <c r="AE557" s="622" t="n"/>
      <c r="AF557" s="622" t="n"/>
      <c r="AG557" s="622" t="n"/>
      <c r="AH557" s="622" t="n"/>
      <c r="AI557" s="622" t="n"/>
      <c r="AJ557" s="622" t="n"/>
      <c r="AK557" s="622" t="n"/>
      <c r="AL557" s="622" t="n"/>
      <c r="AM557" s="622" t="n"/>
      <c r="AN557" s="622" t="n"/>
      <c r="AO557" s="622" t="n"/>
      <c r="AP557" s="622" t="n"/>
      <c r="AQ557" s="622" t="n"/>
      <c r="AR557" s="622" t="n"/>
      <c r="AS557" s="622" t="n"/>
      <c r="AT557" s="622" t="n"/>
      <c r="AU557" s="622" t="n"/>
      <c r="AV557" s="622" t="n"/>
      <c r="AW557" s="622" t="n"/>
      <c r="AX557" s="622" t="n"/>
      <c r="AY557" s="622" t="n"/>
    </row>
    <row r="558">
      <c r="A558" s="622" t="n"/>
      <c r="B558" s="622" t="n"/>
      <c r="C558" s="622" t="n"/>
      <c r="D558" s="622" t="n"/>
      <c r="E558" s="622" t="n"/>
      <c r="F558" s="622" t="n"/>
      <c r="G558" s="622" t="n"/>
      <c r="H558" s="622" t="n"/>
      <c r="I558" s="622" t="n"/>
      <c r="J558" s="622" t="n"/>
      <c r="K558" s="622" t="n"/>
      <c r="L558" s="622" t="n"/>
      <c r="M558" s="622" t="n"/>
      <c r="N558" s="622" t="n"/>
      <c r="O558" s="622" t="n"/>
      <c r="P558" s="622" t="n"/>
      <c r="Q558" s="622" t="n"/>
      <c r="R558" s="622" t="n"/>
      <c r="S558" s="622" t="n"/>
      <c r="T558" s="622" t="n"/>
      <c r="U558" s="622" t="n"/>
      <c r="V558" s="622" t="n"/>
      <c r="W558" s="622" t="n"/>
      <c r="X558" s="622" t="n"/>
      <c r="Y558" s="622" t="n"/>
      <c r="Z558" s="622" t="n"/>
      <c r="AA558" s="622" t="n"/>
      <c r="AB558" s="622" t="n"/>
      <c r="AC558" s="622" t="n"/>
      <c r="AD558" s="622" t="n"/>
      <c r="AE558" s="622" t="n"/>
      <c r="AF558" s="622" t="n"/>
      <c r="AG558" s="622" t="n"/>
      <c r="AH558" s="622" t="n"/>
      <c r="AI558" s="622" t="n"/>
      <c r="AJ558" s="622" t="n"/>
      <c r="AK558" s="622" t="n"/>
      <c r="AL558" s="622" t="n"/>
      <c r="AM558" s="622" t="n"/>
      <c r="AN558" s="622" t="n"/>
      <c r="AO558" s="622" t="n"/>
      <c r="AP558" s="622" t="n"/>
      <c r="AQ558" s="622" t="n"/>
      <c r="AR558" s="622" t="n"/>
      <c r="AS558" s="622" t="n"/>
      <c r="AT558" s="622" t="n"/>
      <c r="AU558" s="622" t="n"/>
      <c r="AV558" s="622" t="n"/>
      <c r="AW558" s="622" t="n"/>
      <c r="AX558" s="622" t="n"/>
      <c r="AY558" s="622" t="n"/>
    </row>
    <row r="559">
      <c r="A559" s="622" t="n"/>
      <c r="B559" s="622" t="n"/>
      <c r="C559" s="622" t="n"/>
      <c r="D559" s="622" t="n"/>
      <c r="E559" s="622" t="n"/>
      <c r="F559" s="622" t="n"/>
      <c r="G559" s="622" t="n"/>
      <c r="H559" s="622" t="n"/>
      <c r="I559" s="622" t="n"/>
      <c r="J559" s="622" t="n"/>
      <c r="K559" s="622" t="n"/>
      <c r="L559" s="622" t="n"/>
      <c r="M559" s="622" t="n"/>
      <c r="N559" s="622" t="n"/>
      <c r="O559" s="622" t="n"/>
      <c r="P559" s="622" t="n"/>
      <c r="Q559" s="622" t="n"/>
      <c r="R559" s="622" t="n"/>
      <c r="S559" s="622" t="n"/>
      <c r="T559" s="622" t="n"/>
      <c r="U559" s="622" t="n"/>
      <c r="V559" s="622" t="n"/>
      <c r="W559" s="622" t="n"/>
      <c r="X559" s="622" t="n"/>
      <c r="Y559" s="622" t="n"/>
      <c r="Z559" s="622" t="n"/>
      <c r="AA559" s="622" t="n"/>
      <c r="AB559" s="622" t="n"/>
      <c r="AC559" s="622" t="n"/>
      <c r="AD559" s="622" t="n"/>
      <c r="AE559" s="622" t="n"/>
      <c r="AF559" s="622" t="n"/>
      <c r="AG559" s="622" t="n"/>
      <c r="AH559" s="622" t="n"/>
      <c r="AI559" s="622" t="n"/>
      <c r="AJ559" s="622" t="n"/>
      <c r="AK559" s="622" t="n"/>
      <c r="AL559" s="622" t="n"/>
      <c r="AM559" s="622" t="n"/>
      <c r="AN559" s="622" t="n"/>
      <c r="AO559" s="622" t="n"/>
      <c r="AP559" s="622" t="n"/>
      <c r="AQ559" s="622" t="n"/>
      <c r="AR559" s="622" t="n"/>
      <c r="AS559" s="622" t="n"/>
      <c r="AT559" s="622" t="n"/>
      <c r="AU559" s="622" t="n"/>
      <c r="AV559" s="622" t="n"/>
      <c r="AW559" s="622" t="n"/>
      <c r="AX559" s="622" t="n"/>
      <c r="AY559" s="622" t="n"/>
    </row>
    <row r="560">
      <c r="A560" s="622" t="n"/>
      <c r="B560" s="622" t="n"/>
      <c r="C560" s="622" t="n"/>
      <c r="D560" s="622" t="n"/>
      <c r="E560" s="622" t="n"/>
      <c r="F560" s="622" t="n"/>
      <c r="G560" s="622" t="n"/>
      <c r="H560" s="622" t="n"/>
      <c r="I560" s="622" t="n"/>
      <c r="J560" s="622" t="n"/>
      <c r="K560" s="622" t="n"/>
      <c r="L560" s="622" t="n"/>
      <c r="M560" s="622" t="n"/>
      <c r="N560" s="622" t="n"/>
      <c r="O560" s="622" t="n"/>
      <c r="P560" s="622" t="n"/>
      <c r="Q560" s="622" t="n"/>
      <c r="R560" s="622" t="n"/>
      <c r="S560" s="622" t="n"/>
      <c r="T560" s="622" t="n"/>
      <c r="U560" s="622" t="n"/>
      <c r="V560" s="622" t="n"/>
      <c r="W560" s="622" t="n"/>
      <c r="X560" s="622" t="n"/>
      <c r="Y560" s="622" t="n"/>
      <c r="Z560" s="622" t="n"/>
      <c r="AA560" s="622" t="n"/>
      <c r="AB560" s="622" t="n"/>
      <c r="AC560" s="622" t="n"/>
      <c r="AD560" s="622" t="n"/>
      <c r="AE560" s="622" t="n"/>
      <c r="AF560" s="622" t="n"/>
      <c r="AG560" s="622" t="n"/>
      <c r="AH560" s="622" t="n"/>
      <c r="AI560" s="622" t="n"/>
      <c r="AJ560" s="622" t="n"/>
      <c r="AK560" s="622" t="n"/>
      <c r="AL560" s="622" t="n"/>
      <c r="AM560" s="622" t="n"/>
      <c r="AN560" s="622" t="n"/>
      <c r="AO560" s="622" t="n"/>
      <c r="AP560" s="622" t="n"/>
      <c r="AQ560" s="622" t="n"/>
      <c r="AR560" s="622" t="n"/>
      <c r="AS560" s="622" t="n"/>
      <c r="AT560" s="622" t="n"/>
      <c r="AU560" s="622" t="n"/>
      <c r="AV560" s="622" t="n"/>
      <c r="AW560" s="622" t="n"/>
      <c r="AX560" s="622" t="n"/>
      <c r="AY560" s="622" t="n"/>
    </row>
    <row r="561">
      <c r="A561" s="622" t="n"/>
      <c r="B561" s="622" t="n"/>
      <c r="C561" s="622" t="n"/>
      <c r="D561" s="622" t="n"/>
      <c r="E561" s="622" t="n"/>
      <c r="F561" s="622" t="n"/>
      <c r="G561" s="622" t="n"/>
      <c r="H561" s="622" t="n"/>
      <c r="I561" s="622" t="n"/>
      <c r="J561" s="622" t="n"/>
      <c r="K561" s="622" t="n"/>
      <c r="L561" s="622" t="n"/>
      <c r="M561" s="622" t="n"/>
      <c r="N561" s="622" t="n"/>
      <c r="O561" s="622" t="n"/>
      <c r="P561" s="622" t="n"/>
      <c r="Q561" s="622" t="n"/>
      <c r="R561" s="622" t="n"/>
      <c r="S561" s="622" t="n"/>
      <c r="T561" s="622" t="n"/>
      <c r="U561" s="622" t="n"/>
      <c r="V561" s="622" t="n"/>
      <c r="W561" s="622" t="n"/>
      <c r="X561" s="622" t="n"/>
      <c r="Y561" s="622" t="n"/>
      <c r="Z561" s="622" t="n"/>
      <c r="AA561" s="622" t="n"/>
      <c r="AB561" s="622" t="n"/>
      <c r="AC561" s="622" t="n"/>
      <c r="AD561" s="622" t="n"/>
      <c r="AE561" s="622" t="n"/>
      <c r="AF561" s="622" t="n"/>
      <c r="AG561" s="622" t="n"/>
      <c r="AH561" s="622" t="n"/>
      <c r="AI561" s="622" t="n"/>
      <c r="AJ561" s="622" t="n"/>
      <c r="AK561" s="622" t="n"/>
      <c r="AL561" s="622" t="n"/>
      <c r="AM561" s="622" t="n"/>
      <c r="AN561" s="622" t="n"/>
      <c r="AO561" s="622" t="n"/>
      <c r="AP561" s="622" t="n"/>
      <c r="AQ561" s="622" t="n"/>
      <c r="AR561" s="622" t="n"/>
      <c r="AS561" s="622" t="n"/>
      <c r="AT561" s="622" t="n"/>
      <c r="AU561" s="622" t="n"/>
      <c r="AV561" s="622" t="n"/>
      <c r="AW561" s="622" t="n"/>
      <c r="AX561" s="622" t="n"/>
      <c r="AY561" s="622" t="n"/>
    </row>
    <row r="562">
      <c r="A562" s="622" t="n"/>
      <c r="B562" s="622" t="n"/>
      <c r="C562" s="622" t="n"/>
      <c r="D562" s="622" t="n"/>
      <c r="E562" s="622" t="n"/>
      <c r="F562" s="622" t="n"/>
      <c r="G562" s="622" t="n"/>
      <c r="H562" s="622" t="n"/>
      <c r="I562" s="622" t="n"/>
      <c r="J562" s="622" t="n"/>
      <c r="K562" s="622" t="n"/>
      <c r="L562" s="622" t="n"/>
      <c r="M562" s="622" t="n"/>
      <c r="N562" s="622" t="n"/>
      <c r="O562" s="622" t="n"/>
      <c r="P562" s="622" t="n"/>
      <c r="Q562" s="622" t="n"/>
      <c r="R562" s="622" t="n"/>
      <c r="S562" s="622" t="n"/>
      <c r="T562" s="622" t="n"/>
      <c r="U562" s="622" t="n"/>
      <c r="V562" s="622" t="n"/>
      <c r="W562" s="622" t="n"/>
      <c r="X562" s="622" t="n"/>
      <c r="Y562" s="622" t="n"/>
      <c r="Z562" s="622" t="n"/>
      <c r="AA562" s="622" t="n"/>
      <c r="AB562" s="622" t="n"/>
      <c r="AC562" s="622" t="n"/>
      <c r="AD562" s="622" t="n"/>
      <c r="AE562" s="622" t="n"/>
      <c r="AF562" s="622" t="n"/>
      <c r="AG562" s="622" t="n"/>
      <c r="AH562" s="622" t="n"/>
      <c r="AI562" s="622" t="n"/>
      <c r="AJ562" s="622" t="n"/>
      <c r="AK562" s="622" t="n"/>
      <c r="AL562" s="622" t="n"/>
      <c r="AM562" s="622" t="n"/>
      <c r="AN562" s="622" t="n"/>
      <c r="AO562" s="622" t="n"/>
      <c r="AP562" s="622" t="n"/>
      <c r="AQ562" s="622" t="n"/>
      <c r="AR562" s="622" t="n"/>
      <c r="AS562" s="622" t="n"/>
      <c r="AT562" s="622" t="n"/>
      <c r="AU562" s="622" t="n"/>
      <c r="AV562" s="622" t="n"/>
      <c r="AW562" s="622" t="n"/>
      <c r="AX562" s="622" t="n"/>
      <c r="AY562" s="622" t="n"/>
    </row>
    <row r="563">
      <c r="A563" s="622" t="n"/>
      <c r="B563" s="622" t="n"/>
      <c r="C563" s="622" t="n"/>
      <c r="D563" s="622" t="n"/>
      <c r="E563" s="622" t="n"/>
      <c r="F563" s="622" t="n"/>
      <c r="G563" s="622" t="n"/>
      <c r="H563" s="622" t="n"/>
      <c r="I563" s="622" t="n"/>
      <c r="J563" s="622" t="n"/>
      <c r="K563" s="622" t="n"/>
      <c r="L563" s="622" t="n"/>
      <c r="M563" s="622" t="n"/>
      <c r="N563" s="622" t="n"/>
      <c r="O563" s="622" t="n"/>
      <c r="P563" s="622" t="n"/>
      <c r="Q563" s="622" t="n"/>
      <c r="R563" s="622" t="n"/>
      <c r="S563" s="622" t="n"/>
      <c r="T563" s="622" t="n"/>
      <c r="U563" s="622" t="n"/>
      <c r="V563" s="622" t="n"/>
      <c r="W563" s="622" t="n"/>
      <c r="X563" s="622" t="n"/>
      <c r="Y563" s="622" t="n"/>
      <c r="Z563" s="622" t="n"/>
      <c r="AA563" s="622" t="n"/>
      <c r="AB563" s="622" t="n"/>
      <c r="AC563" s="622" t="n"/>
      <c r="AD563" s="622" t="n"/>
      <c r="AE563" s="622" t="n"/>
      <c r="AF563" s="622" t="n"/>
      <c r="AG563" s="622" t="n"/>
      <c r="AH563" s="622" t="n"/>
      <c r="AI563" s="622" t="n"/>
      <c r="AJ563" s="622" t="n"/>
      <c r="AK563" s="622" t="n"/>
      <c r="AL563" s="622" t="n"/>
      <c r="AM563" s="622" t="n"/>
      <c r="AN563" s="622" t="n"/>
      <c r="AO563" s="622" t="n"/>
      <c r="AP563" s="622" t="n"/>
      <c r="AQ563" s="622" t="n"/>
      <c r="AR563" s="622" t="n"/>
      <c r="AS563" s="622" t="n"/>
      <c r="AT563" s="622" t="n"/>
      <c r="AU563" s="622" t="n"/>
      <c r="AV563" s="622" t="n"/>
      <c r="AW563" s="622" t="n"/>
      <c r="AX563" s="622" t="n"/>
      <c r="AY563" s="622" t="n"/>
    </row>
    <row r="564">
      <c r="A564" s="622" t="n"/>
      <c r="B564" s="622" t="n"/>
      <c r="C564" s="622" t="n"/>
      <c r="D564" s="622" t="n"/>
      <c r="E564" s="622" t="n"/>
      <c r="F564" s="622" t="n"/>
      <c r="G564" s="622" t="n"/>
      <c r="H564" s="622" t="n"/>
      <c r="I564" s="622" t="n"/>
      <c r="J564" s="622" t="n"/>
      <c r="K564" s="622" t="n"/>
      <c r="L564" s="622" t="n"/>
      <c r="M564" s="622" t="n"/>
      <c r="N564" s="622" t="n"/>
      <c r="O564" s="622" t="n"/>
      <c r="P564" s="622" t="n"/>
      <c r="Q564" s="622" t="n"/>
      <c r="R564" s="622" t="n"/>
      <c r="S564" s="622" t="n"/>
      <c r="T564" s="622" t="n"/>
      <c r="U564" s="622" t="n"/>
      <c r="V564" s="622" t="n"/>
      <c r="W564" s="622" t="n"/>
      <c r="X564" s="622" t="n"/>
      <c r="Y564" s="622" t="n"/>
      <c r="Z564" s="622" t="n"/>
      <c r="AA564" s="622" t="n"/>
      <c r="AB564" s="622" t="n"/>
      <c r="AC564" s="622" t="n"/>
      <c r="AD564" s="622" t="n"/>
      <c r="AE564" s="622" t="n"/>
      <c r="AF564" s="622" t="n"/>
      <c r="AG564" s="622" t="n"/>
      <c r="AH564" s="622" t="n"/>
      <c r="AI564" s="622" t="n"/>
      <c r="AJ564" s="622" t="n"/>
      <c r="AK564" s="622" t="n"/>
      <c r="AL564" s="622" t="n"/>
      <c r="AM564" s="622" t="n"/>
      <c r="AN564" s="622" t="n"/>
      <c r="AO564" s="622" t="n"/>
      <c r="AP564" s="622" t="n"/>
      <c r="AQ564" s="622" t="n"/>
      <c r="AR564" s="622" t="n"/>
      <c r="AS564" s="622" t="n"/>
      <c r="AT564" s="622" t="n"/>
      <c r="AU564" s="622" t="n"/>
      <c r="AV564" s="622" t="n"/>
      <c r="AW564" s="622" t="n"/>
      <c r="AX564" s="622" t="n"/>
      <c r="AY564" s="622" t="n"/>
    </row>
    <row r="565">
      <c r="A565" s="622" t="n"/>
      <c r="B565" s="622" t="n"/>
      <c r="C565" s="622" t="n"/>
      <c r="D565" s="622" t="n"/>
      <c r="E565" s="622" t="n"/>
      <c r="F565" s="622" t="n"/>
      <c r="G565" s="622" t="n"/>
      <c r="H565" s="622" t="n"/>
      <c r="I565" s="622" t="n"/>
      <c r="J565" s="622" t="n"/>
      <c r="K565" s="622" t="n"/>
      <c r="L565" s="622" t="n"/>
      <c r="M565" s="622" t="n"/>
      <c r="N565" s="622" t="n"/>
      <c r="O565" s="622" t="n"/>
      <c r="P565" s="622" t="n"/>
      <c r="Q565" s="622" t="n"/>
      <c r="R565" s="622" t="n"/>
      <c r="S565" s="622" t="n"/>
      <c r="T565" s="622" t="n"/>
      <c r="U565" s="622" t="n"/>
      <c r="V565" s="622" t="n"/>
      <c r="W565" s="622" t="n"/>
      <c r="X565" s="622" t="n"/>
      <c r="Y565" s="622" t="n"/>
      <c r="Z565" s="622" t="n"/>
      <c r="AA565" s="622" t="n"/>
      <c r="AB565" s="622" t="n"/>
      <c r="AC565" s="622" t="n"/>
      <c r="AD565" s="622" t="n"/>
      <c r="AE565" s="622" t="n"/>
      <c r="AF565" s="622" t="n"/>
      <c r="AG565" s="622" t="n"/>
      <c r="AH565" s="622" t="n"/>
      <c r="AI565" s="622" t="n"/>
      <c r="AJ565" s="622" t="n"/>
      <c r="AK565" s="622" t="n"/>
      <c r="AL565" s="622" t="n"/>
      <c r="AM565" s="622" t="n"/>
      <c r="AN565" s="622" t="n"/>
      <c r="AO565" s="622" t="n"/>
      <c r="AP565" s="622" t="n"/>
      <c r="AQ565" s="622" t="n"/>
      <c r="AR565" s="622" t="n"/>
      <c r="AS565" s="622" t="n"/>
      <c r="AT565" s="622" t="n"/>
      <c r="AU565" s="622" t="n"/>
      <c r="AV565" s="622" t="n"/>
      <c r="AW565" s="622" t="n"/>
      <c r="AX565" s="622" t="n"/>
      <c r="AY565" s="622" t="n"/>
    </row>
    <row r="566">
      <c r="A566" s="622" t="n"/>
      <c r="B566" s="622" t="n"/>
      <c r="C566" s="622" t="n"/>
      <c r="D566" s="622" t="n"/>
      <c r="E566" s="622" t="n"/>
      <c r="F566" s="622" t="n"/>
      <c r="G566" s="622" t="n"/>
      <c r="H566" s="622" t="n"/>
      <c r="I566" s="622" t="n"/>
      <c r="J566" s="622" t="n"/>
      <c r="K566" s="622" t="n"/>
      <c r="L566" s="622" t="n"/>
      <c r="M566" s="622" t="n"/>
      <c r="N566" s="622" t="n"/>
      <c r="O566" s="622" t="n"/>
      <c r="P566" s="622" t="n"/>
      <c r="Q566" s="622" t="n"/>
      <c r="R566" s="622" t="n"/>
      <c r="S566" s="622" t="n"/>
      <c r="T566" s="622" t="n"/>
      <c r="U566" s="622" t="n"/>
      <c r="V566" s="622" t="n"/>
      <c r="W566" s="622" t="n"/>
      <c r="X566" s="622" t="n"/>
      <c r="Y566" s="622" t="n"/>
      <c r="Z566" s="622" t="n"/>
      <c r="AA566" s="622" t="n"/>
      <c r="AB566" s="622" t="n"/>
      <c r="AC566" s="622" t="n"/>
      <c r="AD566" s="622" t="n"/>
      <c r="AE566" s="622" t="n"/>
      <c r="AF566" s="622" t="n"/>
      <c r="AG566" s="622" t="n"/>
      <c r="AH566" s="622" t="n"/>
      <c r="AI566" s="622" t="n"/>
      <c r="AJ566" s="622" t="n"/>
      <c r="AK566" s="622" t="n"/>
      <c r="AL566" s="622" t="n"/>
      <c r="AM566" s="622" t="n"/>
      <c r="AN566" s="622" t="n"/>
      <c r="AO566" s="622" t="n"/>
      <c r="AP566" s="622" t="n"/>
      <c r="AQ566" s="622" t="n"/>
      <c r="AR566" s="622" t="n"/>
      <c r="AS566" s="622" t="n"/>
      <c r="AT566" s="622" t="n"/>
      <c r="AU566" s="622" t="n"/>
      <c r="AV566" s="622" t="n"/>
      <c r="AW566" s="622" t="n"/>
      <c r="AX566" s="622" t="n"/>
      <c r="AY566" s="622" t="n"/>
    </row>
    <row r="567">
      <c r="A567" s="622" t="n"/>
      <c r="B567" s="622" t="n"/>
      <c r="C567" s="622" t="n"/>
      <c r="D567" s="622" t="n"/>
      <c r="E567" s="622" t="n"/>
      <c r="F567" s="622" t="n"/>
      <c r="G567" s="622" t="n"/>
      <c r="H567" s="622" t="n"/>
      <c r="I567" s="622" t="n"/>
      <c r="J567" s="622" t="n"/>
      <c r="K567" s="622" t="n"/>
      <c r="L567" s="622" t="n"/>
      <c r="M567" s="622" t="n"/>
      <c r="N567" s="622" t="n"/>
      <c r="O567" s="622" t="n"/>
      <c r="P567" s="622" t="n"/>
      <c r="Q567" s="622" t="n"/>
      <c r="R567" s="622" t="n"/>
      <c r="S567" s="622" t="n"/>
      <c r="T567" s="622" t="n"/>
      <c r="U567" s="622" t="n"/>
      <c r="V567" s="622" t="n"/>
      <c r="W567" s="622" t="n"/>
      <c r="X567" s="622" t="n"/>
      <c r="Y567" s="622" t="n"/>
      <c r="Z567" s="622" t="n"/>
      <c r="AA567" s="622" t="n"/>
      <c r="AB567" s="622" t="n"/>
      <c r="AC567" s="622" t="n"/>
      <c r="AD567" s="622" t="n"/>
      <c r="AE567" s="622" t="n"/>
      <c r="AF567" s="622" t="n"/>
      <c r="AG567" s="622" t="n"/>
      <c r="AH567" s="622" t="n"/>
      <c r="AI567" s="622" t="n"/>
      <c r="AJ567" s="622" t="n"/>
      <c r="AK567" s="622" t="n"/>
      <c r="AL567" s="622" t="n"/>
      <c r="AM567" s="622" t="n"/>
      <c r="AN567" s="622" t="n"/>
      <c r="AO567" s="622" t="n"/>
      <c r="AP567" s="622" t="n"/>
      <c r="AQ567" s="622" t="n"/>
      <c r="AR567" s="622" t="n"/>
      <c r="AS567" s="622" t="n"/>
      <c r="AT567" s="622" t="n"/>
      <c r="AU567" s="622" t="n"/>
      <c r="AV567" s="622" t="n"/>
      <c r="AW567" s="622" t="n"/>
      <c r="AX567" s="622" t="n"/>
      <c r="AY567" s="622" t="n"/>
    </row>
    <row r="568">
      <c r="A568" s="622" t="n"/>
      <c r="B568" s="622" t="n"/>
      <c r="C568" s="622" t="n"/>
      <c r="D568" s="622" t="n"/>
      <c r="E568" s="622" t="n"/>
      <c r="F568" s="622" t="n"/>
      <c r="G568" s="622" t="n"/>
      <c r="H568" s="622" t="n"/>
      <c r="I568" s="622" t="n"/>
      <c r="J568" s="622" t="n"/>
      <c r="K568" s="622" t="n"/>
      <c r="L568" s="622" t="n"/>
      <c r="M568" s="622" t="n"/>
      <c r="N568" s="622" t="n"/>
      <c r="O568" s="622" t="n"/>
      <c r="P568" s="622" t="n"/>
      <c r="Q568" s="622" t="n"/>
      <c r="R568" s="622" t="n"/>
      <c r="S568" s="622" t="n"/>
      <c r="T568" s="622" t="n"/>
      <c r="U568" s="622" t="n"/>
      <c r="V568" s="622" t="n"/>
      <c r="W568" s="622" t="n"/>
      <c r="X568" s="622" t="n"/>
      <c r="Y568" s="622" t="n"/>
      <c r="Z568" s="622" t="n"/>
      <c r="AA568" s="622" t="n"/>
      <c r="AB568" s="622" t="n"/>
      <c r="AC568" s="622" t="n"/>
      <c r="AD568" s="622" t="n"/>
      <c r="AE568" s="622" t="n"/>
      <c r="AF568" s="622" t="n"/>
      <c r="AG568" s="622" t="n"/>
      <c r="AH568" s="622" t="n"/>
      <c r="AI568" s="622" t="n"/>
      <c r="AJ568" s="622" t="n"/>
      <c r="AK568" s="622" t="n"/>
      <c r="AL568" s="622" t="n"/>
      <c r="AM568" s="622" t="n"/>
      <c r="AN568" s="622" t="n"/>
      <c r="AO568" s="622" t="n"/>
      <c r="AP568" s="622" t="n"/>
      <c r="AQ568" s="622" t="n"/>
      <c r="AR568" s="622" t="n"/>
      <c r="AS568" s="622" t="n"/>
      <c r="AT568" s="622" t="n"/>
      <c r="AU568" s="622" t="n"/>
      <c r="AV568" s="622" t="n"/>
      <c r="AW568" s="622" t="n"/>
      <c r="AX568" s="622" t="n"/>
      <c r="AY568" s="622" t="n"/>
    </row>
    <row r="569">
      <c r="A569" s="622" t="n"/>
      <c r="B569" s="622" t="n"/>
      <c r="C569" s="622" t="n"/>
      <c r="D569" s="622" t="n"/>
      <c r="E569" s="622" t="n"/>
      <c r="F569" s="622" t="n"/>
      <c r="G569" s="622" t="n"/>
      <c r="H569" s="622" t="n"/>
      <c r="I569" s="622" t="n"/>
      <c r="J569" s="622" t="n"/>
      <c r="K569" s="622" t="n"/>
      <c r="L569" s="622" t="n"/>
      <c r="M569" s="622" t="n"/>
      <c r="N569" s="622" t="n"/>
      <c r="O569" s="622" t="n"/>
      <c r="P569" s="622" t="n"/>
      <c r="Q569" s="622" t="n"/>
      <c r="R569" s="622" t="n"/>
      <c r="S569" s="622" t="n"/>
      <c r="T569" s="622" t="n"/>
      <c r="U569" s="622" t="n"/>
      <c r="V569" s="622" t="n"/>
      <c r="W569" s="622" t="n"/>
      <c r="X569" s="622" t="n"/>
      <c r="Y569" s="622" t="n"/>
      <c r="Z569" s="622" t="n"/>
      <c r="AA569" s="622" t="n"/>
      <c r="AB569" s="622" t="n"/>
      <c r="AC569" s="622" t="n"/>
      <c r="AD569" s="622" t="n"/>
      <c r="AE569" s="622" t="n"/>
      <c r="AF569" s="622" t="n"/>
      <c r="AG569" s="622" t="n"/>
      <c r="AH569" s="622" t="n"/>
      <c r="AI569" s="622" t="n"/>
      <c r="AJ569" s="622" t="n"/>
      <c r="AK569" s="622" t="n"/>
      <c r="AL569" s="622" t="n"/>
      <c r="AM569" s="622" t="n"/>
      <c r="AN569" s="622" t="n"/>
      <c r="AO569" s="622" t="n"/>
      <c r="AP569" s="622" t="n"/>
      <c r="AQ569" s="622" t="n"/>
      <c r="AR569" s="622" t="n"/>
      <c r="AS569" s="622" t="n"/>
      <c r="AT569" s="622" t="n"/>
      <c r="AU569" s="622" t="n"/>
      <c r="AV569" s="622" t="n"/>
      <c r="AW569" s="622" t="n"/>
      <c r="AX569" s="622" t="n"/>
      <c r="AY569" s="622" t="n"/>
    </row>
    <row r="570">
      <c r="A570" s="622" t="n"/>
      <c r="B570" s="622" t="n"/>
      <c r="C570" s="622" t="n"/>
      <c r="D570" s="622" t="n"/>
      <c r="E570" s="622" t="n"/>
      <c r="F570" s="622" t="n"/>
      <c r="G570" s="622" t="n"/>
      <c r="H570" s="622" t="n"/>
      <c r="I570" s="622" t="n"/>
      <c r="J570" s="622" t="n"/>
      <c r="K570" s="622" t="n"/>
      <c r="L570" s="622" t="n"/>
      <c r="M570" s="622" t="n"/>
      <c r="N570" s="622" t="n"/>
      <c r="O570" s="622" t="n"/>
      <c r="P570" s="622" t="n"/>
      <c r="Q570" s="622" t="n"/>
      <c r="R570" s="622" t="n"/>
      <c r="S570" s="622" t="n"/>
      <c r="T570" s="622" t="n"/>
      <c r="U570" s="622" t="n"/>
      <c r="V570" s="622" t="n"/>
      <c r="W570" s="622" t="n"/>
      <c r="X570" s="622" t="n"/>
      <c r="Y570" s="622" t="n"/>
      <c r="Z570" s="622" t="n"/>
      <c r="AA570" s="622" t="n"/>
      <c r="AB570" s="622" t="n"/>
      <c r="AC570" s="622" t="n"/>
      <c r="AD570" s="622" t="n"/>
      <c r="AE570" s="622" t="n"/>
      <c r="AF570" s="622" t="n"/>
      <c r="AG570" s="622" t="n"/>
      <c r="AH570" s="622" t="n"/>
      <c r="AI570" s="622" t="n"/>
      <c r="AJ570" s="622" t="n"/>
      <c r="AK570" s="622" t="n"/>
      <c r="AL570" s="622" t="n"/>
      <c r="AM570" s="622" t="n"/>
      <c r="AN570" s="622" t="n"/>
      <c r="AO570" s="622" t="n"/>
      <c r="AP570" s="622" t="n"/>
      <c r="AQ570" s="622" t="n"/>
      <c r="AR570" s="622" t="n"/>
      <c r="AS570" s="622" t="n"/>
      <c r="AT570" s="622" t="n"/>
      <c r="AU570" s="622" t="n"/>
      <c r="AV570" s="622" t="n"/>
      <c r="AW570" s="622" t="n"/>
      <c r="AX570" s="622" t="n"/>
      <c r="AY570" s="622" t="n"/>
    </row>
    <row r="571">
      <c r="A571" s="622" t="n"/>
      <c r="B571" s="622" t="n"/>
      <c r="C571" s="622" t="n"/>
      <c r="D571" s="622" t="n"/>
      <c r="E571" s="622" t="n"/>
      <c r="F571" s="622" t="n"/>
      <c r="G571" s="622" t="n"/>
      <c r="H571" s="622" t="n"/>
      <c r="I571" s="622" t="n"/>
      <c r="J571" s="622" t="n"/>
      <c r="K571" s="622" t="n"/>
      <c r="L571" s="622" t="n"/>
      <c r="M571" s="622" t="n"/>
      <c r="N571" s="622" t="n"/>
      <c r="O571" s="622" t="n"/>
      <c r="P571" s="622" t="n"/>
      <c r="Q571" s="622" t="n"/>
      <c r="R571" s="622" t="n"/>
      <c r="S571" s="622" t="n"/>
      <c r="T571" s="622" t="n"/>
      <c r="U571" s="622" t="n"/>
      <c r="V571" s="622" t="n"/>
      <c r="W571" s="622" t="n"/>
      <c r="X571" s="622" t="n"/>
      <c r="Y571" s="622" t="n"/>
      <c r="Z571" s="622" t="n"/>
      <c r="AA571" s="622" t="n"/>
      <c r="AB571" s="622" t="n"/>
      <c r="AC571" s="622" t="n"/>
      <c r="AD571" s="622" t="n"/>
      <c r="AE571" s="622" t="n"/>
      <c r="AF571" s="622" t="n"/>
      <c r="AG571" s="622" t="n"/>
      <c r="AH571" s="622" t="n"/>
      <c r="AI571" s="622" t="n"/>
      <c r="AJ571" s="622" t="n"/>
      <c r="AK571" s="622" t="n"/>
      <c r="AL571" s="622" t="n"/>
      <c r="AM571" s="622" t="n"/>
      <c r="AN571" s="622" t="n"/>
      <c r="AO571" s="622" t="n"/>
      <c r="AP571" s="622" t="n"/>
      <c r="AQ571" s="622" t="n"/>
      <c r="AR571" s="622" t="n"/>
      <c r="AS571" s="622" t="n"/>
      <c r="AT571" s="622" t="n"/>
      <c r="AU571" s="622" t="n"/>
      <c r="AV571" s="622" t="n"/>
      <c r="AW571" s="622" t="n"/>
      <c r="AX571" s="622" t="n"/>
      <c r="AY571" s="622" t="n"/>
    </row>
    <row r="572">
      <c r="A572" s="622" t="n"/>
      <c r="B572" s="622" t="n"/>
      <c r="C572" s="622" t="n"/>
      <c r="D572" s="622" t="n"/>
      <c r="E572" s="622" t="n"/>
      <c r="F572" s="622" t="n"/>
      <c r="G572" s="622" t="n"/>
      <c r="H572" s="622" t="n"/>
      <c r="I572" s="622" t="n"/>
      <c r="J572" s="622" t="n"/>
      <c r="K572" s="622" t="n"/>
      <c r="L572" s="622" t="n"/>
      <c r="M572" s="622" t="n"/>
      <c r="N572" s="622" t="n"/>
      <c r="O572" s="622" t="n"/>
      <c r="P572" s="622" t="n"/>
      <c r="Q572" s="622" t="n"/>
      <c r="R572" s="622" t="n"/>
      <c r="S572" s="622" t="n"/>
      <c r="T572" s="622" t="n"/>
      <c r="U572" s="622" t="n"/>
      <c r="V572" s="622" t="n"/>
      <c r="W572" s="622" t="n"/>
      <c r="X572" s="622" t="n"/>
      <c r="Y572" s="622" t="n"/>
      <c r="Z572" s="622" t="n"/>
      <c r="AA572" s="622" t="n"/>
      <c r="AB572" s="622" t="n"/>
      <c r="AC572" s="622" t="n"/>
      <c r="AD572" s="622" t="n"/>
      <c r="AE572" s="622" t="n"/>
      <c r="AF572" s="622" t="n"/>
      <c r="AG572" s="622" t="n"/>
      <c r="AH572" s="622" t="n"/>
      <c r="AI572" s="622" t="n"/>
      <c r="AJ572" s="622" t="n"/>
      <c r="AK572" s="622" t="n"/>
      <c r="AL572" s="622" t="n"/>
      <c r="AM572" s="622" t="n"/>
      <c r="AN572" s="622" t="n"/>
      <c r="AO572" s="622" t="n"/>
      <c r="AP572" s="622" t="n"/>
      <c r="AQ572" s="622" t="n"/>
      <c r="AR572" s="622" t="n"/>
      <c r="AS572" s="622" t="n"/>
      <c r="AT572" s="622" t="n"/>
      <c r="AU572" s="622" t="n"/>
      <c r="AV572" s="622" t="n"/>
      <c r="AW572" s="622" t="n"/>
      <c r="AX572" s="622" t="n"/>
      <c r="AY572" s="622" t="n"/>
    </row>
    <row r="573">
      <c r="A573" s="622" t="n"/>
      <c r="B573" s="622" t="n"/>
      <c r="C573" s="622" t="n"/>
      <c r="D573" s="622" t="n"/>
      <c r="E573" s="622" t="n"/>
      <c r="F573" s="622" t="n"/>
      <c r="G573" s="622" t="n"/>
      <c r="H573" s="622" t="n"/>
      <c r="I573" s="622" t="n"/>
      <c r="J573" s="622" t="n"/>
      <c r="K573" s="622" t="n"/>
      <c r="L573" s="622" t="n"/>
      <c r="M573" s="622" t="n"/>
      <c r="N573" s="622" t="n"/>
      <c r="O573" s="622" t="n"/>
      <c r="P573" s="622" t="n"/>
      <c r="Q573" s="622" t="n"/>
      <c r="R573" s="622" t="n"/>
      <c r="S573" s="622" t="n"/>
      <c r="T573" s="622" t="n"/>
      <c r="U573" s="622" t="n"/>
      <c r="V573" s="622" t="n"/>
      <c r="W573" s="622" t="n"/>
      <c r="X573" s="622" t="n"/>
      <c r="Y573" s="622" t="n"/>
      <c r="Z573" s="622" t="n"/>
      <c r="AA573" s="622" t="n"/>
      <c r="AB573" s="622" t="n"/>
      <c r="AC573" s="622" t="n"/>
      <c r="AD573" s="622" t="n"/>
      <c r="AE573" s="622" t="n"/>
      <c r="AF573" s="622" t="n"/>
      <c r="AG573" s="622" t="n"/>
      <c r="AH573" s="622" t="n"/>
      <c r="AI573" s="622" t="n"/>
      <c r="AJ573" s="622" t="n"/>
      <c r="AK573" s="622" t="n"/>
      <c r="AL573" s="622" t="n"/>
      <c r="AM573" s="622" t="n"/>
      <c r="AN573" s="622" t="n"/>
      <c r="AO573" s="622" t="n"/>
      <c r="AP573" s="622" t="n"/>
      <c r="AQ573" s="622" t="n"/>
      <c r="AR573" s="622" t="n"/>
      <c r="AS573" s="622" t="n"/>
      <c r="AT573" s="622" t="n"/>
      <c r="AU573" s="622" t="n"/>
      <c r="AV573" s="622" t="n"/>
      <c r="AW573" s="622" t="n"/>
      <c r="AX573" s="622" t="n"/>
      <c r="AY573" s="622" t="n"/>
    </row>
    <row r="574">
      <c r="A574" s="622" t="n"/>
      <c r="B574" s="622" t="n"/>
      <c r="C574" s="622" t="n"/>
      <c r="D574" s="622" t="n"/>
      <c r="E574" s="622" t="n"/>
      <c r="F574" s="622" t="n"/>
      <c r="G574" s="622" t="n"/>
      <c r="H574" s="622" t="n"/>
      <c r="I574" s="622" t="n"/>
      <c r="J574" s="622" t="n"/>
      <c r="K574" s="622" t="n"/>
      <c r="L574" s="622" t="n"/>
      <c r="M574" s="622" t="n"/>
      <c r="N574" s="622" t="n"/>
      <c r="O574" s="622" t="n"/>
      <c r="P574" s="622" t="n"/>
      <c r="Q574" s="622" t="n"/>
      <c r="R574" s="622" t="n"/>
      <c r="S574" s="622" t="n"/>
      <c r="T574" s="622" t="n"/>
      <c r="U574" s="622" t="n"/>
      <c r="V574" s="622" t="n"/>
      <c r="W574" s="622" t="n"/>
      <c r="X574" s="622" t="n"/>
      <c r="Y574" s="622" t="n"/>
      <c r="Z574" s="622" t="n"/>
      <c r="AA574" s="622" t="n"/>
      <c r="AB574" s="622" t="n"/>
      <c r="AC574" s="622" t="n"/>
      <c r="AD574" s="622" t="n"/>
      <c r="AE574" s="622" t="n"/>
      <c r="AF574" s="622" t="n"/>
      <c r="AG574" s="622" t="n"/>
      <c r="AH574" s="622" t="n"/>
      <c r="AI574" s="622" t="n"/>
      <c r="AJ574" s="622" t="n"/>
      <c r="AK574" s="622" t="n"/>
      <c r="AL574" s="622" t="n"/>
      <c r="AM574" s="622" t="n"/>
      <c r="AN574" s="622" t="n"/>
      <c r="AO574" s="622" t="n"/>
      <c r="AP574" s="622" t="n"/>
      <c r="AQ574" s="622" t="n"/>
      <c r="AR574" s="622" t="n"/>
      <c r="AS574" s="622" t="n"/>
      <c r="AT574" s="622" t="n"/>
      <c r="AU574" s="622" t="n"/>
      <c r="AV574" s="622" t="n"/>
      <c r="AW574" s="622" t="n"/>
      <c r="AX574" s="622" t="n"/>
      <c r="AY574" s="622" t="n"/>
    </row>
    <row r="575">
      <c r="A575" s="622" t="n"/>
      <c r="B575" s="622" t="n"/>
      <c r="C575" s="622" t="n"/>
      <c r="D575" s="622" t="n"/>
      <c r="E575" s="622" t="n"/>
      <c r="F575" s="622" t="n"/>
      <c r="G575" s="622" t="n"/>
      <c r="H575" s="622" t="n"/>
      <c r="I575" s="622" t="n"/>
      <c r="J575" s="622" t="n"/>
      <c r="K575" s="622" t="n"/>
      <c r="L575" s="622" t="n"/>
      <c r="M575" s="622" t="n"/>
      <c r="N575" s="622" t="n"/>
      <c r="O575" s="622" t="n"/>
      <c r="P575" s="622" t="n"/>
      <c r="Q575" s="622" t="n"/>
      <c r="R575" s="622" t="n"/>
      <c r="S575" s="622" t="n"/>
      <c r="T575" s="622" t="n"/>
      <c r="U575" s="622" t="n"/>
      <c r="V575" s="622" t="n"/>
      <c r="W575" s="622" t="n"/>
      <c r="X575" s="622" t="n"/>
      <c r="Y575" s="622" t="n"/>
      <c r="Z575" s="622" t="n"/>
      <c r="AA575" s="622" t="n"/>
      <c r="AB575" s="622" t="n"/>
      <c r="AC575" s="622" t="n"/>
      <c r="AD575" s="622" t="n"/>
      <c r="AE575" s="622" t="n"/>
      <c r="AF575" s="622" t="n"/>
      <c r="AG575" s="622" t="n"/>
      <c r="AH575" s="622" t="n"/>
      <c r="AI575" s="622" t="n"/>
      <c r="AJ575" s="622" t="n"/>
      <c r="AK575" s="622" t="n"/>
      <c r="AL575" s="622" t="n"/>
      <c r="AM575" s="622" t="n"/>
      <c r="AN575" s="622" t="n"/>
      <c r="AO575" s="622" t="n"/>
      <c r="AP575" s="622" t="n"/>
      <c r="AQ575" s="622" t="n"/>
      <c r="AR575" s="622" t="n"/>
      <c r="AS575" s="622" t="n"/>
      <c r="AT575" s="622" t="n"/>
      <c r="AU575" s="622" t="n"/>
      <c r="AV575" s="622" t="n"/>
      <c r="AW575" s="622" t="n"/>
      <c r="AX575" s="622" t="n"/>
      <c r="AY575" s="622" t="n"/>
    </row>
    <row r="576">
      <c r="A576" s="622" t="n"/>
      <c r="B576" s="622" t="n"/>
      <c r="C576" s="622" t="n"/>
      <c r="D576" s="622" t="n"/>
      <c r="E576" s="622" t="n"/>
      <c r="F576" s="622" t="n"/>
      <c r="G576" s="622" t="n"/>
      <c r="H576" s="622" t="n"/>
      <c r="I576" s="622" t="n"/>
      <c r="J576" s="622" t="n"/>
      <c r="K576" s="622" t="n"/>
      <c r="L576" s="622" t="n"/>
      <c r="M576" s="622" t="n"/>
      <c r="N576" s="622" t="n"/>
      <c r="O576" s="622" t="n"/>
      <c r="P576" s="622" t="n"/>
      <c r="Q576" s="622" t="n"/>
      <c r="R576" s="622" t="n"/>
      <c r="S576" s="622" t="n"/>
      <c r="T576" s="622" t="n"/>
      <c r="U576" s="622" t="n"/>
      <c r="V576" s="622" t="n"/>
      <c r="W576" s="622" t="n"/>
      <c r="X576" s="622" t="n"/>
      <c r="Y576" s="622" t="n"/>
      <c r="Z576" s="622" t="n"/>
      <c r="AA576" s="622" t="n"/>
      <c r="AB576" s="622" t="n"/>
      <c r="AC576" s="622" t="n"/>
      <c r="AD576" s="622" t="n"/>
      <c r="AE576" s="622" t="n"/>
      <c r="AF576" s="622" t="n"/>
      <c r="AG576" s="622" t="n"/>
      <c r="AH576" s="622" t="n"/>
      <c r="AI576" s="622" t="n"/>
      <c r="AJ576" s="622" t="n"/>
      <c r="AK576" s="622" t="n"/>
      <c r="AL576" s="622" t="n"/>
      <c r="AM576" s="622" t="n"/>
      <c r="AN576" s="622" t="n"/>
      <c r="AO576" s="622" t="n"/>
      <c r="AP576" s="622" t="n"/>
      <c r="AQ576" s="622" t="n"/>
      <c r="AR576" s="622" t="n"/>
      <c r="AS576" s="622" t="n"/>
      <c r="AT576" s="622" t="n"/>
      <c r="AU576" s="622" t="n"/>
      <c r="AV576" s="622" t="n"/>
      <c r="AW576" s="622" t="n"/>
      <c r="AX576" s="622" t="n"/>
      <c r="AY576" s="622" t="n"/>
    </row>
    <row r="577">
      <c r="A577" s="622" t="n"/>
      <c r="B577" s="622" t="n"/>
      <c r="C577" s="622" t="n"/>
      <c r="D577" s="622" t="n"/>
      <c r="E577" s="622" t="n"/>
      <c r="F577" s="622" t="n"/>
      <c r="G577" s="622" t="n"/>
      <c r="H577" s="622" t="n"/>
      <c r="I577" s="622" t="n"/>
      <c r="J577" s="622" t="n"/>
      <c r="K577" s="622" t="n"/>
      <c r="L577" s="622" t="n"/>
      <c r="M577" s="622" t="n"/>
      <c r="N577" s="622" t="n"/>
      <c r="O577" s="622" t="n"/>
      <c r="P577" s="622" t="n"/>
      <c r="Q577" s="622" t="n"/>
      <c r="R577" s="622" t="n"/>
      <c r="S577" s="622" t="n"/>
      <c r="T577" s="622" t="n"/>
      <c r="U577" s="622" t="n"/>
      <c r="V577" s="622" t="n"/>
      <c r="W577" s="622" t="n"/>
      <c r="X577" s="622" t="n"/>
      <c r="Y577" s="622" t="n"/>
      <c r="Z577" s="622" t="n"/>
      <c r="AA577" s="622" t="n"/>
      <c r="AB577" s="622" t="n"/>
      <c r="AC577" s="622" t="n"/>
      <c r="AD577" s="622" t="n"/>
      <c r="AE577" s="622" t="n"/>
      <c r="AF577" s="622" t="n"/>
      <c r="AG577" s="622" t="n"/>
      <c r="AH577" s="622" t="n"/>
      <c r="AI577" s="622" t="n"/>
      <c r="AJ577" s="622" t="n"/>
      <c r="AK577" s="622" t="n"/>
      <c r="AL577" s="622" t="n"/>
      <c r="AM577" s="622" t="n"/>
      <c r="AN577" s="622" t="n"/>
      <c r="AO577" s="622" t="n"/>
      <c r="AP577" s="622" t="n"/>
      <c r="AQ577" s="622" t="n"/>
      <c r="AR577" s="622" t="n"/>
      <c r="AS577" s="622" t="n"/>
      <c r="AT577" s="622" t="n"/>
      <c r="AU577" s="622" t="n"/>
      <c r="AV577" s="622" t="n"/>
      <c r="AW577" s="622" t="n"/>
      <c r="AX577" s="622" t="n"/>
      <c r="AY577" s="622" t="n"/>
    </row>
    <row r="578">
      <c r="A578" s="622" t="n"/>
      <c r="B578" s="622" t="n"/>
      <c r="C578" s="622" t="n"/>
      <c r="D578" s="622" t="n"/>
      <c r="E578" s="622" t="n"/>
      <c r="F578" s="622" t="n"/>
      <c r="G578" s="622" t="n"/>
      <c r="H578" s="622" t="n"/>
      <c r="I578" s="622" t="n"/>
      <c r="J578" s="622" t="n"/>
      <c r="K578" s="622" t="n"/>
      <c r="L578" s="622" t="n"/>
      <c r="M578" s="622" t="n"/>
      <c r="N578" s="622" t="n"/>
      <c r="O578" s="622" t="n"/>
      <c r="P578" s="622" t="n"/>
      <c r="Q578" s="622" t="n"/>
      <c r="R578" s="622" t="n"/>
      <c r="S578" s="622" t="n"/>
      <c r="T578" s="622" t="n"/>
      <c r="U578" s="622" t="n"/>
      <c r="V578" s="622" t="n"/>
      <c r="W578" s="622" t="n"/>
      <c r="X578" s="622" t="n"/>
      <c r="Y578" s="622" t="n"/>
      <c r="Z578" s="622" t="n"/>
      <c r="AA578" s="622" t="n"/>
      <c r="AB578" s="622" t="n"/>
      <c r="AC578" s="622" t="n"/>
      <c r="AD578" s="622" t="n"/>
      <c r="AE578" s="622" t="n"/>
      <c r="AF578" s="622" t="n"/>
      <c r="AG578" s="622" t="n"/>
      <c r="AH578" s="622" t="n"/>
      <c r="AI578" s="622" t="n"/>
      <c r="AJ578" s="622" t="n"/>
      <c r="AK578" s="622" t="n"/>
      <c r="AL578" s="622" t="n"/>
      <c r="AM578" s="622" t="n"/>
      <c r="AN578" s="622" t="n"/>
      <c r="AO578" s="622" t="n"/>
      <c r="AP578" s="622" t="n"/>
      <c r="AQ578" s="622" t="n"/>
      <c r="AR578" s="622" t="n"/>
      <c r="AS578" s="622" t="n"/>
      <c r="AT578" s="622" t="n"/>
      <c r="AU578" s="622" t="n"/>
      <c r="AV578" s="622" t="n"/>
      <c r="AW578" s="622" t="n"/>
      <c r="AX578" s="622" t="n"/>
      <c r="AY578" s="622" t="n"/>
    </row>
    <row r="579">
      <c r="A579" s="622" t="n"/>
      <c r="B579" s="622" t="n"/>
      <c r="C579" s="622" t="n"/>
      <c r="D579" s="622" t="n"/>
      <c r="E579" s="622" t="n"/>
      <c r="F579" s="622" t="n"/>
      <c r="G579" s="622" t="n"/>
      <c r="H579" s="622" t="n"/>
      <c r="I579" s="622" t="n"/>
      <c r="J579" s="622" t="n"/>
      <c r="K579" s="622" t="n"/>
      <c r="L579" s="622" t="n"/>
      <c r="M579" s="622" t="n"/>
      <c r="N579" s="622" t="n"/>
      <c r="O579" s="622" t="n"/>
      <c r="P579" s="622" t="n"/>
      <c r="Q579" s="622" t="n"/>
      <c r="R579" s="622" t="n"/>
      <c r="S579" s="622" t="n"/>
      <c r="T579" s="622" t="n"/>
      <c r="U579" s="622" t="n"/>
      <c r="V579" s="622" t="n"/>
      <c r="W579" s="622" t="n"/>
      <c r="X579" s="622" t="n"/>
      <c r="Y579" s="622" t="n"/>
      <c r="Z579" s="622" t="n"/>
      <c r="AA579" s="622" t="n"/>
      <c r="AB579" s="622" t="n"/>
      <c r="AC579" s="622" t="n"/>
      <c r="AD579" s="622" t="n"/>
      <c r="AE579" s="622" t="n"/>
      <c r="AF579" s="622" t="n"/>
      <c r="AG579" s="622" t="n"/>
      <c r="AH579" s="622" t="n"/>
      <c r="AI579" s="622" t="n"/>
      <c r="AJ579" s="622" t="n"/>
      <c r="AK579" s="622" t="n"/>
      <c r="AL579" s="622" t="n"/>
      <c r="AM579" s="622" t="n"/>
      <c r="AN579" s="622" t="n"/>
      <c r="AO579" s="622" t="n"/>
      <c r="AP579" s="622" t="n"/>
      <c r="AQ579" s="622" t="n"/>
      <c r="AR579" s="622" t="n"/>
      <c r="AS579" s="622" t="n"/>
      <c r="AT579" s="622" t="n"/>
      <c r="AU579" s="622" t="n"/>
      <c r="AV579" s="622" t="n"/>
      <c r="AW579" s="622" t="n"/>
      <c r="AX579" s="622" t="n"/>
      <c r="AY579" s="622" t="n"/>
    </row>
    <row r="580">
      <c r="A580" s="622" t="n"/>
      <c r="B580" s="622" t="n"/>
      <c r="C580" s="622" t="n"/>
      <c r="D580" s="622" t="n"/>
      <c r="E580" s="622" t="n"/>
      <c r="F580" s="622" t="n"/>
      <c r="G580" s="622" t="n"/>
      <c r="H580" s="622" t="n"/>
      <c r="I580" s="622" t="n"/>
      <c r="J580" s="622" t="n"/>
      <c r="K580" s="622" t="n"/>
      <c r="L580" s="622" t="n"/>
      <c r="M580" s="622" t="n"/>
      <c r="N580" s="622" t="n"/>
      <c r="O580" s="622" t="n"/>
      <c r="P580" s="622" t="n"/>
      <c r="Q580" s="622" t="n"/>
      <c r="R580" s="622" t="n"/>
      <c r="S580" s="622" t="n"/>
      <c r="T580" s="622" t="n"/>
      <c r="U580" s="622" t="n"/>
      <c r="V580" s="622" t="n"/>
      <c r="W580" s="622" t="n"/>
      <c r="X580" s="622" t="n"/>
      <c r="Y580" s="622" t="n"/>
      <c r="Z580" s="622" t="n"/>
      <c r="AA580" s="622" t="n"/>
      <c r="AB580" s="622" t="n"/>
      <c r="AC580" s="622" t="n"/>
      <c r="AD580" s="622" t="n"/>
      <c r="AE580" s="622" t="n"/>
      <c r="AF580" s="622" t="n"/>
      <c r="AG580" s="622" t="n"/>
      <c r="AH580" s="622" t="n"/>
      <c r="AI580" s="622" t="n"/>
      <c r="AJ580" s="622" t="n"/>
      <c r="AK580" s="622" t="n"/>
      <c r="AL580" s="622" t="n"/>
      <c r="AM580" s="622" t="n"/>
      <c r="AN580" s="622" t="n"/>
      <c r="AO580" s="622" t="n"/>
      <c r="AP580" s="622" t="n"/>
      <c r="AQ580" s="622" t="n"/>
      <c r="AR580" s="622" t="n"/>
      <c r="AS580" s="622" t="n"/>
      <c r="AT580" s="622" t="n"/>
      <c r="AU580" s="622" t="n"/>
      <c r="AV580" s="622" t="n"/>
      <c r="AW580" s="622" t="n"/>
      <c r="AX580" s="622" t="n"/>
      <c r="AY580" s="622" t="n"/>
    </row>
    <row r="581">
      <c r="A581" s="622" t="n"/>
      <c r="B581" s="622" t="n"/>
      <c r="C581" s="622" t="n"/>
      <c r="D581" s="622" t="n"/>
      <c r="E581" s="622" t="n"/>
      <c r="F581" s="622" t="n"/>
      <c r="G581" s="622" t="n"/>
      <c r="H581" s="622" t="n"/>
      <c r="I581" s="622" t="n"/>
      <c r="J581" s="622" t="n"/>
      <c r="K581" s="622" t="n"/>
      <c r="L581" s="622" t="n"/>
      <c r="M581" s="622" t="n"/>
      <c r="N581" s="622" t="n"/>
      <c r="O581" s="622" t="n"/>
      <c r="P581" s="622" t="n"/>
      <c r="Q581" s="622" t="n"/>
      <c r="R581" s="622" t="n"/>
      <c r="S581" s="622" t="n"/>
      <c r="T581" s="622" t="n"/>
      <c r="U581" s="622" t="n"/>
      <c r="V581" s="622" t="n"/>
      <c r="W581" s="622" t="n"/>
      <c r="X581" s="622" t="n"/>
      <c r="Y581" s="622" t="n"/>
      <c r="Z581" s="622" t="n"/>
      <c r="AA581" s="622" t="n"/>
      <c r="AB581" s="622" t="n"/>
      <c r="AC581" s="622" t="n"/>
      <c r="AD581" s="622" t="n"/>
      <c r="AE581" s="622" t="n"/>
      <c r="AF581" s="622" t="n"/>
      <c r="AG581" s="622" t="n"/>
      <c r="AH581" s="622" t="n"/>
      <c r="AI581" s="622" t="n"/>
      <c r="AJ581" s="622" t="n"/>
      <c r="AK581" s="622" t="n"/>
      <c r="AL581" s="622" t="n"/>
      <c r="AM581" s="622" t="n"/>
      <c r="AN581" s="622" t="n"/>
      <c r="AO581" s="622" t="n"/>
      <c r="AP581" s="622" t="n"/>
      <c r="AQ581" s="622" t="n"/>
      <c r="AR581" s="622" t="n"/>
      <c r="AS581" s="622" t="n"/>
      <c r="AT581" s="622" t="n"/>
      <c r="AU581" s="622" t="n"/>
      <c r="AV581" s="622" t="n"/>
      <c r="AW581" s="622" t="n"/>
      <c r="AX581" s="622" t="n"/>
      <c r="AY581" s="622" t="n"/>
    </row>
    <row r="582">
      <c r="A582" s="622" t="n"/>
      <c r="B582" s="622" t="n"/>
      <c r="C582" s="622" t="n"/>
      <c r="D582" s="622" t="n"/>
      <c r="E582" s="622" t="n"/>
      <c r="F582" s="622" t="n"/>
      <c r="G582" s="622" t="n"/>
      <c r="H582" s="622" t="n"/>
      <c r="I582" s="622" t="n"/>
      <c r="J582" s="622" t="n"/>
      <c r="K582" s="622" t="n"/>
      <c r="L582" s="622" t="n"/>
      <c r="M582" s="622" t="n"/>
      <c r="N582" s="622" t="n"/>
      <c r="O582" s="622" t="n"/>
      <c r="P582" s="622" t="n"/>
      <c r="Q582" s="622" t="n"/>
      <c r="R582" s="622" t="n"/>
      <c r="S582" s="622" t="n"/>
      <c r="T582" s="622" t="n"/>
      <c r="U582" s="622" t="n"/>
      <c r="V582" s="622" t="n"/>
      <c r="W582" s="622" t="n"/>
      <c r="X582" s="622" t="n"/>
      <c r="Y582" s="622" t="n"/>
      <c r="Z582" s="622" t="n"/>
      <c r="AA582" s="622" t="n"/>
      <c r="AB582" s="622" t="n"/>
      <c r="AC582" s="622" t="n"/>
      <c r="AD582" s="622" t="n"/>
      <c r="AE582" s="622" t="n"/>
      <c r="AF582" s="622" t="n"/>
      <c r="AG582" s="622" t="n"/>
      <c r="AH582" s="622" t="n"/>
      <c r="AI582" s="622" t="n"/>
      <c r="AJ582" s="622" t="n"/>
      <c r="AK582" s="622" t="n"/>
      <c r="AL582" s="622" t="n"/>
      <c r="AM582" s="622" t="n"/>
      <c r="AN582" s="622" t="n"/>
      <c r="AO582" s="622" t="n"/>
      <c r="AP582" s="622" t="n"/>
      <c r="AQ582" s="622" t="n"/>
      <c r="AR582" s="622" t="n"/>
      <c r="AS582" s="622" t="n"/>
      <c r="AT582" s="622" t="n"/>
      <c r="AU582" s="622" t="n"/>
      <c r="AV582" s="622" t="n"/>
      <c r="AW582" s="622" t="n"/>
      <c r="AX582" s="622" t="n"/>
      <c r="AY582" s="622" t="n"/>
    </row>
    <row r="583">
      <c r="A583" s="622" t="n"/>
      <c r="B583" s="622" t="n"/>
      <c r="C583" s="622" t="n"/>
      <c r="D583" s="622" t="n"/>
      <c r="E583" s="622" t="n"/>
      <c r="F583" s="622" t="n"/>
      <c r="G583" s="622" t="n"/>
      <c r="H583" s="622" t="n"/>
      <c r="I583" s="622" t="n"/>
      <c r="J583" s="622" t="n"/>
      <c r="K583" s="622" t="n"/>
      <c r="L583" s="622" t="n"/>
      <c r="M583" s="622" t="n"/>
      <c r="N583" s="622" t="n"/>
      <c r="O583" s="622" t="n"/>
      <c r="P583" s="622" t="n"/>
      <c r="Q583" s="622" t="n"/>
      <c r="R583" s="622" t="n"/>
      <c r="S583" s="622" t="n"/>
      <c r="T583" s="622" t="n"/>
      <c r="U583" s="622" t="n"/>
      <c r="V583" s="622" t="n"/>
      <c r="W583" s="622" t="n"/>
      <c r="X583" s="622" t="n"/>
      <c r="Y583" s="622" t="n"/>
      <c r="Z583" s="622" t="n"/>
      <c r="AA583" s="622" t="n"/>
      <c r="AB583" s="622" t="n"/>
      <c r="AC583" s="622" t="n"/>
      <c r="AD583" s="622" t="n"/>
      <c r="AE583" s="622" t="n"/>
      <c r="AF583" s="622" t="n"/>
      <c r="AG583" s="622" t="n"/>
      <c r="AH583" s="622" t="n"/>
      <c r="AI583" s="622" t="n"/>
      <c r="AJ583" s="622" t="n"/>
      <c r="AK583" s="622" t="n"/>
      <c r="AL583" s="622" t="n"/>
      <c r="AM583" s="622" t="n"/>
      <c r="AN583" s="622" t="n"/>
      <c r="AO583" s="622" t="n"/>
      <c r="AP583" s="622" t="n"/>
      <c r="AQ583" s="622" t="n"/>
      <c r="AR583" s="622" t="n"/>
      <c r="AS583" s="622" t="n"/>
      <c r="AT583" s="622" t="n"/>
      <c r="AU583" s="622" t="n"/>
      <c r="AV583" s="622" t="n"/>
      <c r="AW583" s="622" t="n"/>
      <c r="AX583" s="622" t="n"/>
      <c r="AY583" s="622" t="n"/>
    </row>
    <row r="584">
      <c r="A584" s="622" t="n"/>
      <c r="B584" s="622" t="n"/>
      <c r="C584" s="622" t="n"/>
      <c r="D584" s="622" t="n"/>
      <c r="E584" s="622" t="n"/>
      <c r="F584" s="622" t="n"/>
      <c r="G584" s="622" t="n"/>
      <c r="H584" s="622" t="n"/>
      <c r="I584" s="622" t="n"/>
      <c r="J584" s="622" t="n"/>
      <c r="K584" s="622" t="n"/>
      <c r="L584" s="622" t="n"/>
      <c r="M584" s="622" t="n"/>
      <c r="N584" s="622" t="n"/>
      <c r="O584" s="622" t="n"/>
      <c r="P584" s="622" t="n"/>
      <c r="Q584" s="622" t="n"/>
      <c r="R584" s="622" t="n"/>
      <c r="S584" s="622" t="n"/>
      <c r="T584" s="622" t="n"/>
      <c r="U584" s="622" t="n"/>
      <c r="V584" s="622" t="n"/>
      <c r="W584" s="622" t="n"/>
      <c r="X584" s="622" t="n"/>
      <c r="Y584" s="622" t="n"/>
      <c r="Z584" s="622" t="n"/>
      <c r="AA584" s="622" t="n"/>
      <c r="AB584" s="622" t="n"/>
      <c r="AC584" s="622" t="n"/>
      <c r="AD584" s="622" t="n"/>
      <c r="AE584" s="622" t="n"/>
      <c r="AF584" s="622" t="n"/>
      <c r="AG584" s="622" t="n"/>
      <c r="AH584" s="622" t="n"/>
      <c r="AI584" s="622" t="n"/>
      <c r="AJ584" s="622" t="n"/>
      <c r="AK584" s="622" t="n"/>
      <c r="AL584" s="622" t="n"/>
      <c r="AM584" s="622" t="n"/>
      <c r="AN584" s="622" t="n"/>
      <c r="AO584" s="622" t="n"/>
      <c r="AP584" s="622" t="n"/>
      <c r="AQ584" s="622" t="n"/>
      <c r="AR584" s="622" t="n"/>
      <c r="AS584" s="622" t="n"/>
      <c r="AT584" s="622" t="n"/>
      <c r="AU584" s="622" t="n"/>
      <c r="AV584" s="622" t="n"/>
      <c r="AW584" s="622" t="n"/>
      <c r="AX584" s="622" t="n"/>
      <c r="AY584" s="622" t="n"/>
    </row>
    <row r="585">
      <c r="A585" s="622" t="n"/>
      <c r="B585" s="622" t="n"/>
      <c r="C585" s="622" t="n"/>
      <c r="D585" s="622" t="n"/>
      <c r="E585" s="622" t="n"/>
      <c r="F585" s="622" t="n"/>
      <c r="G585" s="622" t="n"/>
      <c r="H585" s="622" t="n"/>
      <c r="I585" s="622" t="n"/>
      <c r="J585" s="622" t="n"/>
      <c r="K585" s="622" t="n"/>
      <c r="L585" s="622" t="n"/>
      <c r="M585" s="622" t="n"/>
      <c r="N585" s="622" t="n"/>
      <c r="O585" s="622" t="n"/>
      <c r="P585" s="622" t="n"/>
      <c r="Q585" s="622" t="n"/>
      <c r="R585" s="622" t="n"/>
      <c r="S585" s="622" t="n"/>
      <c r="T585" s="622" t="n"/>
      <c r="U585" s="622" t="n"/>
      <c r="V585" s="622" t="n"/>
      <c r="W585" s="622" t="n"/>
      <c r="X585" s="622" t="n"/>
      <c r="Y585" s="622" t="n"/>
      <c r="Z585" s="622" t="n"/>
      <c r="AA585" s="622" t="n"/>
      <c r="AB585" s="622" t="n"/>
      <c r="AC585" s="622" t="n"/>
      <c r="AD585" s="622" t="n"/>
      <c r="AE585" s="622" t="n"/>
      <c r="AF585" s="622" t="n"/>
      <c r="AG585" s="622" t="n"/>
      <c r="AH585" s="622" t="n"/>
      <c r="AI585" s="622" t="n"/>
      <c r="AJ585" s="622" t="n"/>
      <c r="AK585" s="622" t="n"/>
      <c r="AL585" s="622" t="n"/>
      <c r="AM585" s="622" t="n"/>
      <c r="AN585" s="622" t="n"/>
      <c r="AO585" s="622" t="n"/>
      <c r="AP585" s="622" t="n"/>
      <c r="AQ585" s="622" t="n"/>
      <c r="AR585" s="622" t="n"/>
      <c r="AS585" s="622" t="n"/>
      <c r="AT585" s="622" t="n"/>
      <c r="AU585" s="622" t="n"/>
      <c r="AV585" s="622" t="n"/>
      <c r="AW585" s="622" t="n"/>
      <c r="AX585" s="622" t="n"/>
      <c r="AY585" s="622" t="n"/>
    </row>
    <row r="586">
      <c r="A586" s="622" t="n"/>
      <c r="B586" s="622" t="n"/>
      <c r="C586" s="622" t="n"/>
      <c r="D586" s="622" t="n"/>
      <c r="E586" s="622" t="n"/>
      <c r="F586" s="622" t="n"/>
      <c r="G586" s="622" t="n"/>
      <c r="H586" s="622" t="n"/>
      <c r="I586" s="622" t="n"/>
      <c r="J586" s="622" t="n"/>
      <c r="K586" s="622" t="n"/>
      <c r="L586" s="622" t="n"/>
      <c r="M586" s="622" t="n"/>
      <c r="N586" s="622" t="n"/>
      <c r="O586" s="622" t="n"/>
      <c r="P586" s="622" t="n"/>
      <c r="Q586" s="622" t="n"/>
      <c r="R586" s="622" t="n"/>
      <c r="S586" s="622" t="n"/>
      <c r="T586" s="622" t="n"/>
      <c r="U586" s="622" t="n"/>
      <c r="V586" s="622" t="n"/>
      <c r="W586" s="622" t="n"/>
      <c r="X586" s="622" t="n"/>
      <c r="Y586" s="622" t="n"/>
      <c r="Z586" s="622" t="n"/>
      <c r="AA586" s="622" t="n"/>
      <c r="AB586" s="622" t="n"/>
      <c r="AC586" s="622" t="n"/>
      <c r="AD586" s="622" t="n"/>
      <c r="AE586" s="622" t="n"/>
      <c r="AF586" s="622" t="n"/>
      <c r="AG586" s="622" t="n"/>
      <c r="AH586" s="622" t="n"/>
      <c r="AI586" s="622" t="n"/>
      <c r="AJ586" s="622" t="n"/>
      <c r="AK586" s="622" t="n"/>
      <c r="AL586" s="622" t="n"/>
      <c r="AM586" s="622" t="n"/>
      <c r="AN586" s="622" t="n"/>
      <c r="AO586" s="622" t="n"/>
      <c r="AP586" s="622" t="n"/>
      <c r="AQ586" s="622" t="n"/>
      <c r="AR586" s="622" t="n"/>
      <c r="AS586" s="622" t="n"/>
      <c r="AT586" s="622" t="n"/>
      <c r="AU586" s="622" t="n"/>
      <c r="AV586" s="622" t="n"/>
      <c r="AW586" s="622" t="n"/>
      <c r="AX586" s="622" t="n"/>
      <c r="AY586" s="622" t="n"/>
    </row>
    <row r="587">
      <c r="A587" s="622" t="n"/>
      <c r="B587" s="622" t="n"/>
      <c r="C587" s="622" t="n"/>
      <c r="D587" s="622" t="n"/>
      <c r="E587" s="622" t="n"/>
      <c r="F587" s="622" t="n"/>
      <c r="G587" s="622" t="n"/>
      <c r="H587" s="622" t="n"/>
      <c r="I587" s="622" t="n"/>
      <c r="J587" s="622" t="n"/>
      <c r="K587" s="622" t="n"/>
      <c r="L587" s="622" t="n"/>
      <c r="M587" s="622" t="n"/>
      <c r="N587" s="622" t="n"/>
      <c r="O587" s="622" t="n"/>
      <c r="P587" s="622" t="n"/>
      <c r="Q587" s="622" t="n"/>
      <c r="R587" s="622" t="n"/>
      <c r="S587" s="622" t="n"/>
      <c r="T587" s="622" t="n"/>
      <c r="U587" s="622" t="n"/>
      <c r="V587" s="622" t="n"/>
      <c r="W587" s="622" t="n"/>
      <c r="X587" s="622" t="n"/>
      <c r="Y587" s="622" t="n"/>
      <c r="Z587" s="622" t="n"/>
      <c r="AA587" s="622" t="n"/>
      <c r="AB587" s="622" t="n"/>
      <c r="AC587" s="622" t="n"/>
      <c r="AD587" s="622" t="n"/>
      <c r="AE587" s="622" t="n"/>
      <c r="AF587" s="622" t="n"/>
      <c r="AG587" s="622" t="n"/>
      <c r="AH587" s="622" t="n"/>
      <c r="AI587" s="622" t="n"/>
      <c r="AJ587" s="622" t="n"/>
      <c r="AK587" s="622" t="n"/>
      <c r="AL587" s="622" t="n"/>
      <c r="AM587" s="622" t="n"/>
      <c r="AN587" s="622" t="n"/>
      <c r="AO587" s="622" t="n"/>
      <c r="AP587" s="622" t="n"/>
      <c r="AQ587" s="622" t="n"/>
      <c r="AR587" s="622" t="n"/>
      <c r="AS587" s="622" t="n"/>
      <c r="AT587" s="622" t="n"/>
      <c r="AU587" s="622" t="n"/>
      <c r="AV587" s="622" t="n"/>
      <c r="AW587" s="622" t="n"/>
      <c r="AX587" s="622" t="n"/>
      <c r="AY587" s="622" t="n"/>
    </row>
    <row r="588">
      <c r="A588" s="622" t="n"/>
      <c r="B588" s="622" t="n"/>
      <c r="C588" s="622" t="n"/>
      <c r="D588" s="622" t="n"/>
      <c r="E588" s="622" t="n"/>
      <c r="F588" s="622" t="n"/>
      <c r="G588" s="622" t="n"/>
      <c r="H588" s="622" t="n"/>
      <c r="I588" s="622" t="n"/>
      <c r="J588" s="622" t="n"/>
      <c r="K588" s="622" t="n"/>
      <c r="L588" s="622" t="n"/>
      <c r="M588" s="622" t="n"/>
      <c r="N588" s="622" t="n"/>
      <c r="O588" s="622" t="n"/>
      <c r="P588" s="622" t="n"/>
      <c r="Q588" s="622" t="n"/>
      <c r="R588" s="622" t="n"/>
      <c r="S588" s="622" t="n"/>
      <c r="T588" s="622" t="n"/>
      <c r="U588" s="622" t="n"/>
      <c r="V588" s="622" t="n"/>
      <c r="W588" s="622" t="n"/>
      <c r="X588" s="622" t="n"/>
      <c r="Y588" s="622" t="n"/>
      <c r="Z588" s="622" t="n"/>
      <c r="AA588" s="622" t="n"/>
      <c r="AB588" s="622" t="n"/>
      <c r="AC588" s="622" t="n"/>
      <c r="AD588" s="622" t="n"/>
      <c r="AE588" s="622" t="n"/>
      <c r="AF588" s="622" t="n"/>
      <c r="AG588" s="622" t="n"/>
      <c r="AH588" s="622" t="n"/>
      <c r="AI588" s="622" t="n"/>
      <c r="AJ588" s="622" t="n"/>
      <c r="AK588" s="622" t="n"/>
      <c r="AL588" s="622" t="n"/>
      <c r="AM588" s="622" t="n"/>
      <c r="AN588" s="622" t="n"/>
      <c r="AO588" s="622" t="n"/>
      <c r="AP588" s="622" t="n"/>
      <c r="AQ588" s="622" t="n"/>
      <c r="AR588" s="622" t="n"/>
      <c r="AS588" s="622" t="n"/>
      <c r="AT588" s="622" t="n"/>
      <c r="AU588" s="622" t="n"/>
      <c r="AV588" s="622" t="n"/>
      <c r="AW588" s="622" t="n"/>
      <c r="AX588" s="622" t="n"/>
      <c r="AY588" s="622" t="n"/>
    </row>
    <row r="589">
      <c r="A589" s="622" t="n"/>
      <c r="B589" s="622" t="n"/>
      <c r="C589" s="622" t="n"/>
      <c r="D589" s="622" t="n"/>
      <c r="E589" s="622" t="n"/>
      <c r="F589" s="622" t="n"/>
      <c r="G589" s="622" t="n"/>
      <c r="H589" s="622" t="n"/>
      <c r="I589" s="622" t="n"/>
      <c r="J589" s="622" t="n"/>
      <c r="K589" s="622" t="n"/>
      <c r="L589" s="622" t="n"/>
      <c r="M589" s="622" t="n"/>
      <c r="N589" s="622" t="n"/>
      <c r="O589" s="622" t="n"/>
      <c r="P589" s="622" t="n"/>
      <c r="Q589" s="622" t="n"/>
      <c r="R589" s="622" t="n"/>
      <c r="S589" s="622" t="n"/>
      <c r="T589" s="622" t="n"/>
      <c r="U589" s="622" t="n"/>
      <c r="V589" s="622" t="n"/>
      <c r="W589" s="622" t="n"/>
      <c r="X589" s="622" t="n"/>
      <c r="Y589" s="622" t="n"/>
      <c r="Z589" s="622" t="n"/>
      <c r="AA589" s="622" t="n"/>
      <c r="AB589" s="622" t="n"/>
      <c r="AC589" s="622" t="n"/>
      <c r="AD589" s="622" t="n"/>
      <c r="AE589" s="622" t="n"/>
      <c r="AF589" s="622" t="n"/>
      <c r="AG589" s="622" t="n"/>
      <c r="AH589" s="622" t="n"/>
      <c r="AI589" s="622" t="n"/>
      <c r="AJ589" s="622" t="n"/>
      <c r="AK589" s="622" t="n"/>
      <c r="AL589" s="622" t="n"/>
      <c r="AM589" s="622" t="n"/>
      <c r="AN589" s="622" t="n"/>
      <c r="AO589" s="622" t="n"/>
      <c r="AP589" s="622" t="n"/>
      <c r="AQ589" s="622" t="n"/>
      <c r="AR589" s="622" t="n"/>
      <c r="AS589" s="622" t="n"/>
      <c r="AT589" s="622" t="n"/>
      <c r="AU589" s="622" t="n"/>
      <c r="AV589" s="622" t="n"/>
      <c r="AW589" s="622" t="n"/>
      <c r="AX589" s="622" t="n"/>
      <c r="AY589" s="622" t="n"/>
    </row>
    <row r="590">
      <c r="A590" s="622" t="n"/>
      <c r="B590" s="622" t="n"/>
      <c r="C590" s="622" t="n"/>
      <c r="D590" s="622" t="n"/>
      <c r="E590" s="622" t="n"/>
      <c r="F590" s="622" t="n"/>
      <c r="G590" s="622" t="n"/>
      <c r="H590" s="622" t="n"/>
      <c r="I590" s="622" t="n"/>
      <c r="J590" s="622" t="n"/>
      <c r="K590" s="622" t="n"/>
      <c r="L590" s="622" t="n"/>
      <c r="M590" s="622" t="n"/>
      <c r="N590" s="622" t="n"/>
      <c r="O590" s="622" t="n"/>
      <c r="P590" s="622" t="n"/>
      <c r="Q590" s="622" t="n"/>
      <c r="R590" s="622" t="n"/>
      <c r="S590" s="622" t="n"/>
      <c r="T590" s="622" t="n"/>
      <c r="U590" s="622" t="n"/>
      <c r="V590" s="622" t="n"/>
      <c r="W590" s="622" t="n"/>
      <c r="X590" s="622" t="n"/>
      <c r="Y590" s="622" t="n"/>
      <c r="Z590" s="622" t="n"/>
      <c r="AA590" s="622" t="n"/>
      <c r="AB590" s="622" t="n"/>
      <c r="AC590" s="622" t="n"/>
      <c r="AD590" s="622" t="n"/>
      <c r="AE590" s="622" t="n"/>
      <c r="AF590" s="622" t="n"/>
      <c r="AG590" s="622" t="n"/>
      <c r="AH590" s="622" t="n"/>
      <c r="AI590" s="622" t="n"/>
      <c r="AJ590" s="622" t="n"/>
      <c r="AK590" s="622" t="n"/>
      <c r="AL590" s="622" t="n"/>
      <c r="AM590" s="622" t="n"/>
      <c r="AN590" s="622" t="n"/>
      <c r="AO590" s="622" t="n"/>
      <c r="AP590" s="622" t="n"/>
      <c r="AQ590" s="622" t="n"/>
      <c r="AR590" s="622" t="n"/>
      <c r="AS590" s="622" t="n"/>
      <c r="AT590" s="622" t="n"/>
      <c r="AU590" s="622" t="n"/>
      <c r="AV590" s="622" t="n"/>
      <c r="AW590" s="622" t="n"/>
      <c r="AX590" s="622" t="n"/>
      <c r="AY590" s="622" t="n"/>
    </row>
    <row r="591">
      <c r="A591" s="622" t="n"/>
      <c r="B591" s="622" t="n"/>
      <c r="C591" s="622" t="n"/>
      <c r="D591" s="622" t="n"/>
      <c r="E591" s="622" t="n"/>
      <c r="F591" s="622" t="n"/>
      <c r="G591" s="622" t="n"/>
      <c r="H591" s="622" t="n"/>
      <c r="I591" s="622" t="n"/>
      <c r="J591" s="622" t="n"/>
      <c r="K591" s="622" t="n"/>
      <c r="L591" s="622" t="n"/>
      <c r="M591" s="622" t="n"/>
      <c r="N591" s="622" t="n"/>
      <c r="O591" s="622" t="n"/>
      <c r="P591" s="622" t="n"/>
      <c r="Q591" s="622" t="n"/>
      <c r="R591" s="622" t="n"/>
      <c r="S591" s="622" t="n"/>
      <c r="T591" s="622" t="n"/>
      <c r="U591" s="622" t="n"/>
      <c r="V591" s="622" t="n"/>
      <c r="W591" s="622" t="n"/>
      <c r="X591" s="622" t="n"/>
      <c r="Y591" s="622" t="n"/>
      <c r="Z591" s="622" t="n"/>
      <c r="AA591" s="622" t="n"/>
      <c r="AB591" s="622" t="n"/>
      <c r="AC591" s="622" t="n"/>
      <c r="AD591" s="622" t="n"/>
      <c r="AE591" s="622" t="n"/>
      <c r="AF591" s="622" t="n"/>
      <c r="AG591" s="622" t="n"/>
      <c r="AH591" s="622" t="n"/>
      <c r="AI591" s="622" t="n"/>
      <c r="AJ591" s="622" t="n"/>
      <c r="AK591" s="622" t="n"/>
      <c r="AL591" s="622" t="n"/>
      <c r="AM591" s="622" t="n"/>
      <c r="AN591" s="622" t="n"/>
      <c r="AO591" s="622" t="n"/>
      <c r="AP591" s="622" t="n"/>
      <c r="AQ591" s="622" t="n"/>
      <c r="AR591" s="622" t="n"/>
      <c r="AS591" s="622" t="n"/>
      <c r="AT591" s="622" t="n"/>
      <c r="AU591" s="622" t="n"/>
      <c r="AV591" s="622" t="n"/>
      <c r="AW591" s="622" t="n"/>
      <c r="AX591" s="622" t="n"/>
      <c r="AY591" s="622" t="n"/>
    </row>
    <row r="592">
      <c r="A592" s="622" t="n"/>
      <c r="B592" s="622" t="n"/>
      <c r="C592" s="622" t="n"/>
      <c r="D592" s="622" t="n"/>
      <c r="E592" s="622" t="n"/>
      <c r="F592" s="622" t="n"/>
      <c r="G592" s="622" t="n"/>
      <c r="H592" s="622" t="n"/>
      <c r="I592" s="622" t="n"/>
      <c r="J592" s="622" t="n"/>
      <c r="K592" s="622" t="n"/>
      <c r="L592" s="622" t="n"/>
      <c r="M592" s="622" t="n"/>
      <c r="N592" s="622" t="n"/>
      <c r="O592" s="622" t="n"/>
      <c r="P592" s="622" t="n"/>
      <c r="Q592" s="622" t="n"/>
      <c r="R592" s="622" t="n"/>
      <c r="S592" s="622" t="n"/>
      <c r="T592" s="622" t="n"/>
      <c r="U592" s="622" t="n"/>
      <c r="V592" s="622" t="n"/>
      <c r="W592" s="622" t="n"/>
      <c r="X592" s="622" t="n"/>
      <c r="Y592" s="622" t="n"/>
      <c r="Z592" s="622" t="n"/>
      <c r="AA592" s="622" t="n"/>
      <c r="AB592" s="622" t="n"/>
      <c r="AC592" s="622" t="n"/>
      <c r="AD592" s="622" t="n"/>
      <c r="AE592" s="622" t="n"/>
      <c r="AF592" s="622" t="n"/>
      <c r="AG592" s="622" t="n"/>
      <c r="AH592" s="622" t="n"/>
      <c r="AI592" s="622" t="n"/>
      <c r="AJ592" s="622" t="n"/>
      <c r="AK592" s="622" t="n"/>
      <c r="AL592" s="622" t="n"/>
      <c r="AM592" s="622" t="n"/>
      <c r="AN592" s="622" t="n"/>
      <c r="AO592" s="622" t="n"/>
      <c r="AP592" s="622" t="n"/>
      <c r="AQ592" s="622" t="n"/>
      <c r="AR592" s="622" t="n"/>
      <c r="AS592" s="622" t="n"/>
      <c r="AT592" s="622" t="n"/>
      <c r="AU592" s="622" t="n"/>
      <c r="AV592" s="622" t="n"/>
      <c r="AW592" s="622" t="n"/>
      <c r="AX592" s="622" t="n"/>
      <c r="AY592" s="622" t="n"/>
    </row>
    <row r="593">
      <c r="A593" s="622" t="n"/>
      <c r="B593" s="622" t="n"/>
      <c r="C593" s="622" t="n"/>
      <c r="D593" s="622" t="n"/>
      <c r="E593" s="622" t="n"/>
      <c r="F593" s="622" t="n"/>
      <c r="G593" s="622" t="n"/>
      <c r="H593" s="622" t="n"/>
      <c r="I593" s="622" t="n"/>
      <c r="J593" s="622" t="n"/>
      <c r="K593" s="622" t="n"/>
      <c r="L593" s="622" t="n"/>
      <c r="M593" s="622" t="n"/>
      <c r="N593" s="622" t="n"/>
      <c r="O593" s="622" t="n"/>
      <c r="P593" s="622" t="n"/>
      <c r="Q593" s="622" t="n"/>
      <c r="R593" s="622" t="n"/>
      <c r="S593" s="622" t="n"/>
      <c r="T593" s="622" t="n"/>
      <c r="U593" s="622" t="n"/>
      <c r="V593" s="622" t="n"/>
      <c r="W593" s="622" t="n"/>
      <c r="X593" s="622" t="n"/>
      <c r="Y593" s="622" t="n"/>
      <c r="Z593" s="622" t="n"/>
      <c r="AA593" s="622" t="n"/>
      <c r="AB593" s="622" t="n"/>
      <c r="AC593" s="622" t="n"/>
      <c r="AD593" s="622" t="n"/>
      <c r="AE593" s="622" t="n"/>
      <c r="AF593" s="622" t="n"/>
      <c r="AG593" s="622" t="n"/>
      <c r="AH593" s="622" t="n"/>
      <c r="AI593" s="622" t="n"/>
      <c r="AJ593" s="622" t="n"/>
      <c r="AK593" s="622" t="n"/>
      <c r="AL593" s="622" t="n"/>
      <c r="AM593" s="622" t="n"/>
      <c r="AN593" s="622" t="n"/>
      <c r="AO593" s="622" t="n"/>
      <c r="AP593" s="622" t="n"/>
      <c r="AQ593" s="622" t="n"/>
      <c r="AR593" s="622" t="n"/>
      <c r="AS593" s="622" t="n"/>
      <c r="AT593" s="622" t="n"/>
      <c r="AU593" s="622" t="n"/>
      <c r="AV593" s="622" t="n"/>
      <c r="AW593" s="622" t="n"/>
      <c r="AX593" s="622" t="n"/>
      <c r="AY593" s="622" t="n"/>
    </row>
    <row r="594">
      <c r="A594" s="622" t="n"/>
      <c r="B594" s="622" t="n"/>
      <c r="C594" s="622" t="n"/>
      <c r="D594" s="622" t="n"/>
      <c r="E594" s="622" t="n"/>
      <c r="F594" s="622" t="n"/>
      <c r="G594" s="622" t="n"/>
      <c r="H594" s="622" t="n"/>
      <c r="I594" s="622" t="n"/>
      <c r="J594" s="622" t="n"/>
      <c r="K594" s="622" t="n"/>
      <c r="L594" s="622" t="n"/>
      <c r="M594" s="622" t="n"/>
      <c r="N594" s="622" t="n"/>
      <c r="O594" s="622" t="n"/>
      <c r="P594" s="622" t="n"/>
      <c r="Q594" s="622" t="n"/>
      <c r="R594" s="622" t="n"/>
      <c r="S594" s="622" t="n"/>
      <c r="T594" s="622" t="n"/>
      <c r="U594" s="622" t="n"/>
      <c r="V594" s="622" t="n"/>
      <c r="W594" s="622" t="n"/>
      <c r="X594" s="622" t="n"/>
      <c r="Y594" s="622" t="n"/>
      <c r="Z594" s="622" t="n"/>
      <c r="AA594" s="622" t="n"/>
      <c r="AB594" s="622" t="n"/>
      <c r="AC594" s="622" t="n"/>
      <c r="AD594" s="622" t="n"/>
      <c r="AE594" s="622" t="n"/>
      <c r="AF594" s="622" t="n"/>
      <c r="AG594" s="622" t="n"/>
      <c r="AH594" s="622" t="n"/>
      <c r="AI594" s="622" t="n"/>
      <c r="AJ594" s="622" t="n"/>
      <c r="AK594" s="622" t="n"/>
      <c r="AL594" s="622" t="n"/>
      <c r="AM594" s="622" t="n"/>
      <c r="AN594" s="622" t="n"/>
      <c r="AO594" s="622" t="n"/>
      <c r="AP594" s="622" t="n"/>
      <c r="AQ594" s="622" t="n"/>
      <c r="AR594" s="622" t="n"/>
      <c r="AS594" s="622" t="n"/>
      <c r="AT594" s="622" t="n"/>
      <c r="AU594" s="622" t="n"/>
      <c r="AV594" s="622" t="n"/>
      <c r="AW594" s="622" t="n"/>
      <c r="AX594" s="622" t="n"/>
      <c r="AY594" s="622" t="n"/>
    </row>
    <row r="595">
      <c r="A595" s="622" t="n"/>
      <c r="B595" s="622" t="n"/>
      <c r="C595" s="622" t="n"/>
      <c r="D595" s="622" t="n"/>
      <c r="E595" s="622" t="n"/>
      <c r="F595" s="622" t="n"/>
      <c r="G595" s="622" t="n"/>
      <c r="H595" s="622" t="n"/>
      <c r="I595" s="622" t="n"/>
      <c r="J595" s="622" t="n"/>
      <c r="K595" s="622" t="n"/>
      <c r="L595" s="622" t="n"/>
      <c r="M595" s="622" t="n"/>
      <c r="N595" s="622" t="n"/>
      <c r="O595" s="622" t="n"/>
      <c r="P595" s="622" t="n"/>
      <c r="Q595" s="622" t="n"/>
      <c r="R595" s="622" t="n"/>
      <c r="S595" s="622" t="n"/>
      <c r="T595" s="622" t="n"/>
      <c r="U595" s="622" t="n"/>
      <c r="V595" s="622" t="n"/>
      <c r="W595" s="622" t="n"/>
      <c r="X595" s="622" t="n"/>
      <c r="Y595" s="622" t="n"/>
      <c r="Z595" s="622" t="n"/>
      <c r="AA595" s="622" t="n"/>
      <c r="AB595" s="622" t="n"/>
      <c r="AC595" s="622" t="n"/>
      <c r="AD595" s="622" t="n"/>
      <c r="AE595" s="622" t="n"/>
      <c r="AF595" s="622" t="n"/>
      <c r="AG595" s="622" t="n"/>
      <c r="AH595" s="622" t="n"/>
      <c r="AI595" s="622" t="n"/>
      <c r="AJ595" s="622" t="n"/>
      <c r="AK595" s="622" t="n"/>
      <c r="AL595" s="622" t="n"/>
      <c r="AM595" s="622" t="n"/>
      <c r="AN595" s="622" t="n"/>
      <c r="AO595" s="622" t="n"/>
      <c r="AP595" s="622" t="n"/>
      <c r="AQ595" s="622" t="n"/>
      <c r="AR595" s="622" t="n"/>
      <c r="AS595" s="622" t="n"/>
      <c r="AT595" s="622" t="n"/>
      <c r="AU595" s="622" t="n"/>
      <c r="AV595" s="622" t="n"/>
      <c r="AW595" s="622" t="n"/>
      <c r="AX595" s="622" t="n"/>
      <c r="AY595" s="622" t="n"/>
    </row>
    <row r="596">
      <c r="A596" s="622" t="n"/>
      <c r="B596" s="622" t="n"/>
      <c r="C596" s="622" t="n"/>
      <c r="D596" s="622" t="n"/>
      <c r="E596" s="622" t="n"/>
      <c r="F596" s="622" t="n"/>
      <c r="G596" s="622" t="n"/>
      <c r="H596" s="622" t="n"/>
      <c r="I596" s="622" t="n"/>
      <c r="J596" s="622" t="n"/>
      <c r="K596" s="622" t="n"/>
      <c r="L596" s="622" t="n"/>
      <c r="M596" s="622" t="n"/>
      <c r="N596" s="622" t="n"/>
      <c r="O596" s="622" t="n"/>
      <c r="P596" s="622" t="n"/>
      <c r="Q596" s="622" t="n"/>
      <c r="R596" s="622" t="n"/>
      <c r="S596" s="622" t="n"/>
      <c r="T596" s="622" t="n"/>
      <c r="U596" s="622" t="n"/>
      <c r="V596" s="622" t="n"/>
      <c r="W596" s="622" t="n"/>
      <c r="X596" s="622" t="n"/>
      <c r="Y596" s="622" t="n"/>
      <c r="Z596" s="622" t="n"/>
      <c r="AA596" s="622" t="n"/>
      <c r="AB596" s="622" t="n"/>
      <c r="AC596" s="622" t="n"/>
      <c r="AD596" s="622" t="n"/>
      <c r="AE596" s="622" t="n"/>
      <c r="AF596" s="622" t="n"/>
      <c r="AG596" s="622" t="n"/>
      <c r="AH596" s="622" t="n"/>
      <c r="AI596" s="622" t="n"/>
      <c r="AJ596" s="622" t="n"/>
      <c r="AK596" s="622" t="n"/>
      <c r="AL596" s="622" t="n"/>
      <c r="AM596" s="622" t="n"/>
      <c r="AN596" s="622" t="n"/>
      <c r="AO596" s="622" t="n"/>
      <c r="AP596" s="622" t="n"/>
      <c r="AQ596" s="622" t="n"/>
      <c r="AR596" s="622" t="n"/>
      <c r="AS596" s="622" t="n"/>
      <c r="AT596" s="622" t="n"/>
      <c r="AU596" s="622" t="n"/>
      <c r="AV596" s="622" t="n"/>
      <c r="AW596" s="622" t="n"/>
      <c r="AX596" s="622" t="n"/>
      <c r="AY596" s="622" t="n"/>
    </row>
    <row r="597">
      <c r="A597" s="622" t="n"/>
      <c r="B597" s="622" t="n"/>
      <c r="C597" s="622" t="n"/>
      <c r="D597" s="622" t="n"/>
      <c r="E597" s="622" t="n"/>
      <c r="F597" s="622" t="n"/>
      <c r="G597" s="622" t="n"/>
      <c r="H597" s="622" t="n"/>
      <c r="I597" s="622" t="n"/>
      <c r="J597" s="622" t="n"/>
      <c r="K597" s="622" t="n"/>
      <c r="L597" s="622" t="n"/>
      <c r="M597" s="622" t="n"/>
      <c r="N597" s="622" t="n"/>
      <c r="O597" s="622" t="n"/>
      <c r="P597" s="622" t="n"/>
      <c r="Q597" s="622" t="n"/>
      <c r="R597" s="622" t="n"/>
      <c r="S597" s="622" t="n"/>
      <c r="T597" s="622" t="n"/>
      <c r="U597" s="622" t="n"/>
      <c r="V597" s="622" t="n"/>
      <c r="W597" s="622" t="n"/>
      <c r="X597" s="622" t="n"/>
      <c r="Y597" s="622" t="n"/>
      <c r="Z597" s="622" t="n"/>
      <c r="AA597" s="622" t="n"/>
      <c r="AB597" s="622" t="n"/>
      <c r="AC597" s="622" t="n"/>
      <c r="AD597" s="622" t="n"/>
      <c r="AE597" s="622" t="n"/>
      <c r="AF597" s="622" t="n"/>
      <c r="AG597" s="622" t="n"/>
      <c r="AH597" s="622" t="n"/>
      <c r="AI597" s="622" t="n"/>
      <c r="AJ597" s="622" t="n"/>
      <c r="AK597" s="622" t="n"/>
      <c r="AL597" s="622" t="n"/>
      <c r="AM597" s="622" t="n"/>
      <c r="AN597" s="622" t="n"/>
      <c r="AO597" s="622" t="n"/>
      <c r="AP597" s="622" t="n"/>
      <c r="AQ597" s="622" t="n"/>
      <c r="AR597" s="622" t="n"/>
      <c r="AS597" s="622" t="n"/>
      <c r="AT597" s="622" t="n"/>
      <c r="AU597" s="622" t="n"/>
      <c r="AV597" s="622" t="n"/>
      <c r="AW597" s="622" t="n"/>
      <c r="AX597" s="622" t="n"/>
      <c r="AY597" s="622" t="n"/>
    </row>
    <row r="598">
      <c r="A598" s="622" t="n"/>
      <c r="B598" s="622" t="n"/>
      <c r="C598" s="622" t="n"/>
      <c r="D598" s="622" t="n"/>
      <c r="E598" s="622" t="n"/>
      <c r="F598" s="622" t="n"/>
      <c r="G598" s="622" t="n"/>
      <c r="H598" s="622" t="n"/>
      <c r="I598" s="622" t="n"/>
      <c r="J598" s="622" t="n"/>
      <c r="K598" s="622" t="n"/>
      <c r="L598" s="622" t="n"/>
      <c r="M598" s="622" t="n"/>
      <c r="N598" s="622" t="n"/>
      <c r="O598" s="622" t="n"/>
      <c r="P598" s="622" t="n"/>
      <c r="Q598" s="622" t="n"/>
      <c r="R598" s="622" t="n"/>
      <c r="S598" s="622" t="n"/>
      <c r="T598" s="622" t="n"/>
      <c r="U598" s="622" t="n"/>
      <c r="V598" s="622" t="n"/>
      <c r="W598" s="622" t="n"/>
      <c r="X598" s="622" t="n"/>
      <c r="Y598" s="622" t="n"/>
      <c r="Z598" s="622" t="n"/>
      <c r="AA598" s="622" t="n"/>
      <c r="AB598" s="622" t="n"/>
      <c r="AC598" s="622" t="n"/>
      <c r="AD598" s="622" t="n"/>
      <c r="AE598" s="622" t="n"/>
      <c r="AF598" s="622" t="n"/>
      <c r="AG598" s="622" t="n"/>
      <c r="AH598" s="622" t="n"/>
      <c r="AI598" s="622" t="n"/>
      <c r="AJ598" s="622" t="n"/>
      <c r="AK598" s="622" t="n"/>
      <c r="AL598" s="622" t="n"/>
      <c r="AM598" s="622" t="n"/>
      <c r="AN598" s="622" t="n"/>
      <c r="AO598" s="622" t="n"/>
      <c r="AP598" s="622" t="n"/>
      <c r="AQ598" s="622" t="n"/>
      <c r="AR598" s="622" t="n"/>
      <c r="AS598" s="622" t="n"/>
      <c r="AT598" s="622" t="n"/>
      <c r="AU598" s="622" t="n"/>
      <c r="AV598" s="622" t="n"/>
      <c r="AW598" s="622" t="n"/>
      <c r="AX598" s="622" t="n"/>
      <c r="AY598" s="622" t="n"/>
    </row>
    <row r="599">
      <c r="A599" s="622" t="n"/>
      <c r="B599" s="622" t="n"/>
      <c r="C599" s="622" t="n"/>
      <c r="D599" s="622" t="n"/>
      <c r="E599" s="622" t="n"/>
      <c r="F599" s="622" t="n"/>
      <c r="G599" s="622" t="n"/>
      <c r="H599" s="622" t="n"/>
      <c r="I599" s="622" t="n"/>
      <c r="J599" s="622" t="n"/>
      <c r="K599" s="622" t="n"/>
      <c r="L599" s="622" t="n"/>
      <c r="M599" s="622" t="n"/>
      <c r="N599" s="622" t="n"/>
      <c r="O599" s="622" t="n"/>
      <c r="P599" s="622" t="n"/>
      <c r="Q599" s="622" t="n"/>
      <c r="R599" s="622" t="n"/>
      <c r="S599" s="622" t="n"/>
      <c r="T599" s="622" t="n"/>
      <c r="U599" s="622" t="n"/>
      <c r="V599" s="622" t="n"/>
      <c r="W599" s="622" t="n"/>
      <c r="X599" s="622" t="n"/>
      <c r="Y599" s="622" t="n"/>
      <c r="Z599" s="622" t="n"/>
      <c r="AA599" s="622" t="n"/>
      <c r="AB599" s="622" t="n"/>
      <c r="AC599" s="622" t="n"/>
      <c r="AD599" s="622" t="n"/>
      <c r="AE599" s="622" t="n"/>
      <c r="AF599" s="622" t="n"/>
      <c r="AG599" s="622" t="n"/>
      <c r="AH599" s="622" t="n"/>
      <c r="AI599" s="622" t="n"/>
      <c r="AJ599" s="622" t="n"/>
      <c r="AK599" s="622" t="n"/>
      <c r="AL599" s="622" t="n"/>
      <c r="AM599" s="622" t="n"/>
      <c r="AN599" s="622" t="n"/>
      <c r="AO599" s="622" t="n"/>
      <c r="AP599" s="622" t="n"/>
      <c r="AQ599" s="622" t="n"/>
      <c r="AR599" s="622" t="n"/>
      <c r="AS599" s="622" t="n"/>
      <c r="AT599" s="622" t="n"/>
      <c r="AU599" s="622" t="n"/>
      <c r="AV599" s="622" t="n"/>
      <c r="AW599" s="622" t="n"/>
      <c r="AX599" s="622" t="n"/>
      <c r="AY599" s="622" t="n"/>
    </row>
    <row r="600">
      <c r="A600" s="622" t="n"/>
      <c r="B600" s="622" t="n"/>
      <c r="C600" s="622" t="n"/>
      <c r="D600" s="622" t="n"/>
      <c r="E600" s="622" t="n"/>
      <c r="F600" s="622" t="n"/>
      <c r="G600" s="622" t="n"/>
      <c r="H600" s="622" t="n"/>
      <c r="I600" s="622" t="n"/>
      <c r="J600" s="622" t="n"/>
      <c r="K600" s="622" t="n"/>
      <c r="L600" s="622" t="n"/>
      <c r="M600" s="622" t="n"/>
      <c r="N600" s="622" t="n"/>
      <c r="O600" s="622" t="n"/>
      <c r="P600" s="622" t="n"/>
      <c r="Q600" s="622" t="n"/>
      <c r="R600" s="622" t="n"/>
      <c r="S600" s="622" t="n"/>
      <c r="T600" s="622" t="n"/>
      <c r="U600" s="622" t="n"/>
      <c r="V600" s="622" t="n"/>
      <c r="W600" s="622" t="n"/>
      <c r="X600" s="622" t="n"/>
      <c r="Y600" s="622" t="n"/>
      <c r="Z600" s="622" t="n"/>
      <c r="AA600" s="622" t="n"/>
      <c r="AB600" s="622" t="n"/>
      <c r="AC600" s="622" t="n"/>
      <c r="AD600" s="622" t="n"/>
      <c r="AE600" s="622" t="n"/>
      <c r="AF600" s="622" t="n"/>
      <c r="AG600" s="622" t="n"/>
      <c r="AH600" s="622" t="n"/>
      <c r="AI600" s="622" t="n"/>
      <c r="AJ600" s="622" t="n"/>
      <c r="AK600" s="622" t="n"/>
      <c r="AL600" s="622" t="n"/>
      <c r="AM600" s="622" t="n"/>
      <c r="AN600" s="622" t="n"/>
      <c r="AO600" s="622" t="n"/>
      <c r="AP600" s="622" t="n"/>
      <c r="AQ600" s="622" t="n"/>
      <c r="AR600" s="622" t="n"/>
      <c r="AS600" s="622" t="n"/>
      <c r="AT600" s="622" t="n"/>
      <c r="AU600" s="622" t="n"/>
      <c r="AV600" s="622" t="n"/>
      <c r="AW600" s="622" t="n"/>
      <c r="AX600" s="622" t="n"/>
      <c r="AY600" s="622" t="n"/>
    </row>
    <row r="601">
      <c r="A601" s="622" t="n"/>
      <c r="B601" s="622" t="n"/>
      <c r="C601" s="622" t="n"/>
      <c r="D601" s="622" t="n"/>
      <c r="E601" s="622" t="n"/>
      <c r="F601" s="622" t="n"/>
      <c r="G601" s="622" t="n"/>
      <c r="H601" s="622" t="n"/>
      <c r="I601" s="622" t="n"/>
      <c r="J601" s="622" t="n"/>
      <c r="K601" s="622" t="n"/>
      <c r="L601" s="622" t="n"/>
      <c r="M601" s="622" t="n"/>
      <c r="N601" s="622" t="n"/>
      <c r="O601" s="622" t="n"/>
      <c r="P601" s="622" t="n"/>
      <c r="Q601" s="622" t="n"/>
      <c r="R601" s="622" t="n"/>
      <c r="S601" s="622" t="n"/>
      <c r="T601" s="622" t="n"/>
      <c r="U601" s="622" t="n"/>
      <c r="V601" s="622" t="n"/>
      <c r="W601" s="622" t="n"/>
      <c r="X601" s="622" t="n"/>
      <c r="Y601" s="622" t="n"/>
      <c r="Z601" s="622" t="n"/>
      <c r="AA601" s="622" t="n"/>
      <c r="AB601" s="622" t="n"/>
      <c r="AC601" s="622" t="n"/>
      <c r="AD601" s="622" t="n"/>
      <c r="AE601" s="622" t="n"/>
      <c r="AF601" s="622" t="n"/>
      <c r="AG601" s="622" t="n"/>
      <c r="AH601" s="622" t="n"/>
      <c r="AI601" s="622" t="n"/>
      <c r="AJ601" s="622" t="n"/>
      <c r="AK601" s="622" t="n"/>
      <c r="AL601" s="622" t="n"/>
      <c r="AM601" s="622" t="n"/>
      <c r="AN601" s="622" t="n"/>
      <c r="AO601" s="622" t="n"/>
      <c r="AP601" s="622" t="n"/>
      <c r="AQ601" s="622" t="n"/>
      <c r="AR601" s="622" t="n"/>
      <c r="AS601" s="622" t="n"/>
      <c r="AT601" s="622" t="n"/>
      <c r="AU601" s="622" t="n"/>
      <c r="AV601" s="622" t="n"/>
      <c r="AW601" s="622" t="n"/>
      <c r="AX601" s="622" t="n"/>
      <c r="AY601" s="622" t="n"/>
    </row>
    <row r="602">
      <c r="A602" s="622" t="n"/>
      <c r="B602" s="622" t="n"/>
      <c r="C602" s="622" t="n"/>
      <c r="D602" s="622" t="n"/>
      <c r="E602" s="622" t="n"/>
      <c r="F602" s="622" t="n"/>
      <c r="G602" s="622" t="n"/>
      <c r="H602" s="622" t="n"/>
      <c r="I602" s="622" t="n"/>
      <c r="J602" s="622" t="n"/>
      <c r="K602" s="622" t="n"/>
      <c r="L602" s="622" t="n"/>
      <c r="M602" s="622" t="n"/>
      <c r="N602" s="622" t="n"/>
      <c r="O602" s="622" t="n"/>
      <c r="P602" s="622" t="n"/>
      <c r="Q602" s="622" t="n"/>
      <c r="R602" s="622" t="n"/>
      <c r="S602" s="622" t="n"/>
      <c r="T602" s="622" t="n"/>
      <c r="U602" s="622" t="n"/>
      <c r="V602" s="622" t="n"/>
      <c r="W602" s="622" t="n"/>
      <c r="X602" s="622" t="n"/>
      <c r="Y602" s="622" t="n"/>
      <c r="Z602" s="622" t="n"/>
      <c r="AA602" s="622" t="n"/>
      <c r="AB602" s="622" t="n"/>
      <c r="AC602" s="622" t="n"/>
      <c r="AD602" s="622" t="n"/>
      <c r="AE602" s="622" t="n"/>
      <c r="AF602" s="622" t="n"/>
      <c r="AG602" s="622" t="n"/>
      <c r="AH602" s="622" t="n"/>
      <c r="AI602" s="622" t="n"/>
      <c r="AJ602" s="622" t="n"/>
      <c r="AK602" s="622" t="n"/>
      <c r="AL602" s="622" t="n"/>
      <c r="AM602" s="622" t="n"/>
      <c r="AN602" s="622" t="n"/>
      <c r="AO602" s="622" t="n"/>
      <c r="AP602" s="622" t="n"/>
      <c r="AQ602" s="622" t="n"/>
      <c r="AR602" s="622" t="n"/>
      <c r="AS602" s="622" t="n"/>
      <c r="AT602" s="622" t="n"/>
      <c r="AU602" s="622" t="n"/>
      <c r="AV602" s="622" t="n"/>
      <c r="AW602" s="622" t="n"/>
      <c r="AX602" s="622" t="n"/>
      <c r="AY602" s="622" t="n"/>
    </row>
    <row r="603">
      <c r="A603" s="622" t="n"/>
      <c r="B603" s="622" t="n"/>
      <c r="C603" s="622" t="n"/>
      <c r="D603" s="622" t="n"/>
      <c r="E603" s="622" t="n"/>
      <c r="F603" s="622" t="n"/>
      <c r="G603" s="622" t="n"/>
      <c r="H603" s="622" t="n"/>
      <c r="I603" s="622" t="n"/>
      <c r="J603" s="622" t="n"/>
      <c r="K603" s="622" t="n"/>
      <c r="L603" s="622" t="n"/>
      <c r="M603" s="622" t="n"/>
      <c r="N603" s="622" t="n"/>
      <c r="O603" s="622" t="n"/>
      <c r="P603" s="622" t="n"/>
      <c r="Q603" s="622" t="n"/>
      <c r="R603" s="622" t="n"/>
      <c r="S603" s="622" t="n"/>
      <c r="T603" s="622" t="n"/>
      <c r="U603" s="622" t="n"/>
      <c r="V603" s="622" t="n"/>
      <c r="W603" s="622" t="n"/>
      <c r="X603" s="622" t="n"/>
      <c r="Y603" s="622" t="n"/>
      <c r="Z603" s="622" t="n"/>
      <c r="AA603" s="622" t="n"/>
      <c r="AB603" s="622" t="n"/>
      <c r="AC603" s="622" t="n"/>
      <c r="AD603" s="622" t="n"/>
      <c r="AE603" s="622" t="n"/>
      <c r="AF603" s="622" t="n"/>
      <c r="AG603" s="622" t="n"/>
      <c r="AH603" s="622" t="n"/>
      <c r="AI603" s="622" t="n"/>
      <c r="AJ603" s="622" t="n"/>
      <c r="AK603" s="622" t="n"/>
      <c r="AL603" s="622" t="n"/>
      <c r="AM603" s="622" t="n"/>
      <c r="AN603" s="622" t="n"/>
      <c r="AO603" s="622" t="n"/>
      <c r="AP603" s="622" t="n"/>
      <c r="AQ603" s="622" t="n"/>
      <c r="AR603" s="622" t="n"/>
      <c r="AS603" s="622" t="n"/>
      <c r="AT603" s="622" t="n"/>
      <c r="AU603" s="622" t="n"/>
      <c r="AV603" s="622" t="n"/>
      <c r="AW603" s="622" t="n"/>
      <c r="AX603" s="622" t="n"/>
      <c r="AY603" s="622" t="n"/>
    </row>
    <row r="604">
      <c r="A604" s="622" t="n"/>
      <c r="B604" s="622" t="n"/>
      <c r="C604" s="622" t="n"/>
      <c r="D604" s="622" t="n"/>
      <c r="E604" s="622" t="n"/>
      <c r="F604" s="622" t="n"/>
      <c r="G604" s="622" t="n"/>
      <c r="H604" s="622" t="n"/>
      <c r="I604" s="622" t="n"/>
      <c r="J604" s="622" t="n"/>
      <c r="K604" s="622" t="n"/>
      <c r="L604" s="622" t="n"/>
      <c r="M604" s="622" t="n"/>
      <c r="N604" s="622" t="n"/>
      <c r="O604" s="622" t="n"/>
      <c r="P604" s="622" t="n"/>
      <c r="Q604" s="622" t="n"/>
      <c r="R604" s="622" t="n"/>
      <c r="S604" s="622" t="n"/>
      <c r="T604" s="622" t="n"/>
      <c r="U604" s="622" t="n"/>
      <c r="V604" s="622" t="n"/>
      <c r="W604" s="622" t="n"/>
      <c r="X604" s="622" t="n"/>
      <c r="Y604" s="622" t="n"/>
      <c r="Z604" s="622" t="n"/>
      <c r="AA604" s="622" t="n"/>
      <c r="AB604" s="622" t="n"/>
      <c r="AC604" s="622" t="n"/>
      <c r="AD604" s="622" t="n"/>
      <c r="AE604" s="622" t="n"/>
      <c r="AF604" s="622" t="n"/>
      <c r="AG604" s="622" t="n"/>
      <c r="AH604" s="622" t="n"/>
      <c r="AI604" s="622" t="n"/>
      <c r="AJ604" s="622" t="n"/>
      <c r="AK604" s="622" t="n"/>
      <c r="AL604" s="622" t="n"/>
      <c r="AM604" s="622" t="n"/>
      <c r="AN604" s="622" t="n"/>
      <c r="AO604" s="622" t="n"/>
      <c r="AP604" s="622" t="n"/>
      <c r="AQ604" s="622" t="n"/>
      <c r="AR604" s="622" t="n"/>
      <c r="AS604" s="622" t="n"/>
      <c r="AT604" s="622" t="n"/>
      <c r="AU604" s="622" t="n"/>
      <c r="AV604" s="622" t="n"/>
      <c r="AW604" s="622" t="n"/>
      <c r="AX604" s="622" t="n"/>
      <c r="AY604" s="622" t="n"/>
    </row>
    <row r="605">
      <c r="A605" s="622" t="n"/>
      <c r="B605" s="622" t="n"/>
      <c r="C605" s="622" t="n"/>
      <c r="D605" s="622" t="n"/>
      <c r="E605" s="622" t="n"/>
      <c r="F605" s="622" t="n"/>
      <c r="G605" s="622" t="n"/>
      <c r="H605" s="622" t="n"/>
      <c r="I605" s="622" t="n"/>
      <c r="J605" s="622" t="n"/>
      <c r="K605" s="622" t="n"/>
      <c r="L605" s="622" t="n"/>
      <c r="M605" s="622" t="n"/>
      <c r="N605" s="622" t="n"/>
      <c r="O605" s="622" t="n"/>
      <c r="P605" s="622" t="n"/>
      <c r="Q605" s="622" t="n"/>
      <c r="R605" s="622" t="n"/>
      <c r="S605" s="622" t="n"/>
      <c r="T605" s="622" t="n"/>
      <c r="U605" s="622" t="n"/>
      <c r="V605" s="622" t="n"/>
      <c r="W605" s="622" t="n"/>
      <c r="X605" s="622" t="n"/>
      <c r="Y605" s="622" t="n"/>
      <c r="Z605" s="622" t="n"/>
      <c r="AA605" s="622" t="n"/>
      <c r="AB605" s="622" t="n"/>
      <c r="AC605" s="622" t="n"/>
      <c r="AD605" s="622" t="n"/>
      <c r="AE605" s="622" t="n"/>
      <c r="AF605" s="622" t="n"/>
      <c r="AG605" s="622" t="n"/>
      <c r="AH605" s="622" t="n"/>
      <c r="AI605" s="622" t="n"/>
      <c r="AJ605" s="622" t="n"/>
      <c r="AK605" s="622" t="n"/>
      <c r="AL605" s="622" t="n"/>
      <c r="AM605" s="622" t="n"/>
      <c r="AN605" s="622" t="n"/>
      <c r="AO605" s="622" t="n"/>
      <c r="AP605" s="622" t="n"/>
      <c r="AQ605" s="622" t="n"/>
      <c r="AR605" s="622" t="n"/>
      <c r="AS605" s="622" t="n"/>
      <c r="AT605" s="622" t="n"/>
      <c r="AU605" s="622" t="n"/>
      <c r="AV605" s="622" t="n"/>
      <c r="AW605" s="622" t="n"/>
      <c r="AX605" s="622" t="n"/>
      <c r="AY605" s="622" t="n"/>
    </row>
    <row r="606">
      <c r="A606" s="622" t="n"/>
      <c r="B606" s="622" t="n"/>
      <c r="C606" s="622" t="n"/>
      <c r="D606" s="622" t="n"/>
      <c r="E606" s="622" t="n"/>
      <c r="F606" s="622" t="n"/>
      <c r="G606" s="622" t="n"/>
      <c r="H606" s="622" t="n"/>
      <c r="I606" s="622" t="n"/>
      <c r="J606" s="622" t="n"/>
      <c r="K606" s="622" t="n"/>
      <c r="L606" s="622" t="n"/>
      <c r="M606" s="622" t="n"/>
      <c r="N606" s="622" t="n"/>
      <c r="O606" s="622" t="n"/>
      <c r="P606" s="622" t="n"/>
      <c r="Q606" s="622" t="n"/>
      <c r="R606" s="622" t="n"/>
      <c r="S606" s="622" t="n"/>
      <c r="T606" s="622" t="n"/>
      <c r="U606" s="622" t="n"/>
      <c r="V606" s="622" t="n"/>
      <c r="W606" s="622" t="n"/>
      <c r="X606" s="622" t="n"/>
      <c r="Y606" s="622" t="n"/>
      <c r="Z606" s="622" t="n"/>
      <c r="AA606" s="622" t="n"/>
      <c r="AB606" s="622" t="n"/>
      <c r="AC606" s="622" t="n"/>
      <c r="AD606" s="622" t="n"/>
      <c r="AE606" s="622" t="n"/>
      <c r="AF606" s="622" t="n"/>
      <c r="AG606" s="622" t="n"/>
      <c r="AH606" s="622" t="n"/>
      <c r="AI606" s="622" t="n"/>
      <c r="AJ606" s="622" t="n"/>
      <c r="AK606" s="622" t="n"/>
      <c r="AL606" s="622" t="n"/>
      <c r="AM606" s="622" t="n"/>
      <c r="AN606" s="622" t="n"/>
      <c r="AO606" s="622" t="n"/>
      <c r="AP606" s="622" t="n"/>
      <c r="AQ606" s="622" t="n"/>
      <c r="AR606" s="622" t="n"/>
      <c r="AS606" s="622" t="n"/>
      <c r="AT606" s="622" t="n"/>
      <c r="AU606" s="622" t="n"/>
      <c r="AV606" s="622" t="n"/>
      <c r="AW606" s="622" t="n"/>
      <c r="AX606" s="622" t="n"/>
      <c r="AY606" s="622" t="n"/>
    </row>
    <row r="607">
      <c r="A607" s="622" t="n"/>
      <c r="B607" s="622" t="n"/>
      <c r="C607" s="622" t="n"/>
      <c r="D607" s="622" t="n"/>
      <c r="E607" s="622" t="n"/>
      <c r="F607" s="622" t="n"/>
      <c r="G607" s="622" t="n"/>
      <c r="H607" s="622" t="n"/>
      <c r="I607" s="622" t="n"/>
      <c r="J607" s="622" t="n"/>
      <c r="K607" s="622" t="n"/>
      <c r="L607" s="622" t="n"/>
      <c r="M607" s="622" t="n"/>
      <c r="N607" s="622" t="n"/>
      <c r="O607" s="622" t="n"/>
      <c r="P607" s="622" t="n"/>
      <c r="Q607" s="622" t="n"/>
      <c r="R607" s="622" t="n"/>
      <c r="S607" s="622" t="n"/>
      <c r="T607" s="622" t="n"/>
      <c r="U607" s="622" t="n"/>
      <c r="V607" s="622" t="n"/>
      <c r="W607" s="622" t="n"/>
      <c r="X607" s="622" t="n"/>
      <c r="Y607" s="622" t="n"/>
      <c r="Z607" s="622" t="n"/>
      <c r="AA607" s="622" t="n"/>
      <c r="AB607" s="622" t="n"/>
      <c r="AC607" s="622" t="n"/>
      <c r="AD607" s="622" t="n"/>
      <c r="AE607" s="622" t="n"/>
      <c r="AF607" s="622" t="n"/>
      <c r="AG607" s="622" t="n"/>
      <c r="AH607" s="622" t="n"/>
      <c r="AI607" s="622" t="n"/>
      <c r="AJ607" s="622" t="n"/>
      <c r="AK607" s="622" t="n"/>
      <c r="AL607" s="622" t="n"/>
      <c r="AM607" s="622" t="n"/>
      <c r="AN607" s="622" t="n"/>
      <c r="AO607" s="622" t="n"/>
      <c r="AP607" s="622" t="n"/>
      <c r="AQ607" s="622" t="n"/>
      <c r="AR607" s="622" t="n"/>
      <c r="AS607" s="622" t="n"/>
      <c r="AT607" s="622" t="n"/>
      <c r="AU607" s="622" t="n"/>
      <c r="AV607" s="622" t="n"/>
      <c r="AW607" s="622" t="n"/>
      <c r="AX607" s="622" t="n"/>
      <c r="AY607" s="622" t="n"/>
    </row>
    <row r="608">
      <c r="A608" s="622" t="n"/>
      <c r="B608" s="622" t="n"/>
      <c r="C608" s="622" t="n"/>
      <c r="D608" s="622" t="n"/>
      <c r="E608" s="622" t="n"/>
      <c r="F608" s="622" t="n"/>
      <c r="G608" s="622" t="n"/>
      <c r="H608" s="622" t="n"/>
      <c r="I608" s="622" t="n"/>
      <c r="J608" s="622" t="n"/>
      <c r="K608" s="622" t="n"/>
      <c r="L608" s="622" t="n"/>
      <c r="M608" s="622" t="n"/>
      <c r="N608" s="622" t="n"/>
      <c r="O608" s="622" t="n"/>
      <c r="P608" s="622" t="n"/>
      <c r="Q608" s="622" t="n"/>
      <c r="R608" s="622" t="n"/>
      <c r="S608" s="622" t="n"/>
      <c r="T608" s="622" t="n"/>
      <c r="U608" s="622" t="n"/>
      <c r="V608" s="622" t="n"/>
      <c r="W608" s="622" t="n"/>
      <c r="X608" s="622" t="n"/>
      <c r="Y608" s="622" t="n"/>
      <c r="Z608" s="622" t="n"/>
      <c r="AA608" s="622" t="n"/>
      <c r="AB608" s="622" t="n"/>
      <c r="AC608" s="622" t="n"/>
      <c r="AD608" s="622" t="n"/>
      <c r="AE608" s="622" t="n"/>
      <c r="AF608" s="622" t="n"/>
      <c r="AG608" s="622" t="n"/>
      <c r="AH608" s="622" t="n"/>
      <c r="AI608" s="622" t="n"/>
      <c r="AJ608" s="622" t="n"/>
      <c r="AK608" s="622" t="n"/>
      <c r="AL608" s="622" t="n"/>
      <c r="AM608" s="622" t="n"/>
      <c r="AN608" s="622" t="n"/>
      <c r="AO608" s="622" t="n"/>
      <c r="AP608" s="622" t="n"/>
      <c r="AQ608" s="622" t="n"/>
      <c r="AR608" s="622" t="n"/>
      <c r="AS608" s="622" t="n"/>
      <c r="AT608" s="622" t="n"/>
      <c r="AU608" s="622" t="n"/>
      <c r="AV608" s="622" t="n"/>
      <c r="AW608" s="622" t="n"/>
      <c r="AX608" s="622" t="n"/>
      <c r="AY608" s="622" t="n"/>
    </row>
    <row r="609">
      <c r="A609" s="622" t="n"/>
      <c r="B609" s="622" t="n"/>
      <c r="C609" s="622" t="n"/>
      <c r="D609" s="622" t="n"/>
      <c r="E609" s="622" t="n"/>
      <c r="F609" s="622" t="n"/>
      <c r="G609" s="622" t="n"/>
      <c r="H609" s="622" t="n"/>
      <c r="I609" s="622" t="n"/>
      <c r="J609" s="622" t="n"/>
      <c r="K609" s="622" t="n"/>
      <c r="L609" s="622" t="n"/>
      <c r="M609" s="622" t="n"/>
      <c r="N609" s="622" t="n"/>
      <c r="O609" s="622" t="n"/>
      <c r="P609" s="622" t="n"/>
      <c r="Q609" s="622" t="n"/>
      <c r="R609" s="622" t="n"/>
      <c r="S609" s="622" t="n"/>
      <c r="T609" s="622" t="n"/>
      <c r="U609" s="622" t="n"/>
      <c r="V609" s="622" t="n"/>
      <c r="W609" s="622" t="n"/>
      <c r="X609" s="622" t="n"/>
      <c r="Y609" s="622" t="n"/>
      <c r="Z609" s="622" t="n"/>
      <c r="AA609" s="622" t="n"/>
      <c r="AB609" s="622" t="n"/>
      <c r="AC609" s="622" t="n"/>
      <c r="AD609" s="622" t="n"/>
      <c r="AE609" s="622" t="n"/>
      <c r="AF609" s="622" t="n"/>
      <c r="AG609" s="622" t="n"/>
      <c r="AH609" s="622" t="n"/>
      <c r="AI609" s="622" t="n"/>
      <c r="AJ609" s="622" t="n"/>
      <c r="AK609" s="622" t="n"/>
      <c r="AL609" s="622" t="n"/>
      <c r="AM609" s="622" t="n"/>
      <c r="AN609" s="622" t="n"/>
      <c r="AO609" s="622" t="n"/>
      <c r="AP609" s="622" t="n"/>
      <c r="AQ609" s="622" t="n"/>
      <c r="AR609" s="622" t="n"/>
      <c r="AS609" s="622" t="n"/>
      <c r="AT609" s="622" t="n"/>
      <c r="AU609" s="622" t="n"/>
      <c r="AV609" s="622" t="n"/>
      <c r="AW609" s="622" t="n"/>
      <c r="AX609" s="622" t="n"/>
      <c r="AY609" s="622" t="n"/>
    </row>
    <row r="610">
      <c r="A610" s="622" t="n"/>
      <c r="B610" s="622" t="n"/>
      <c r="C610" s="622" t="n"/>
      <c r="D610" s="622" t="n"/>
      <c r="E610" s="622" t="n"/>
      <c r="F610" s="622" t="n"/>
      <c r="G610" s="622" t="n"/>
      <c r="H610" s="622" t="n"/>
      <c r="I610" s="622" t="n"/>
      <c r="J610" s="622" t="n"/>
      <c r="K610" s="622" t="n"/>
      <c r="L610" s="622" t="n"/>
      <c r="M610" s="622" t="n"/>
      <c r="N610" s="622" t="n"/>
      <c r="O610" s="622" t="n"/>
      <c r="P610" s="622" t="n"/>
      <c r="Q610" s="622" t="n"/>
      <c r="R610" s="622" t="n"/>
      <c r="S610" s="622" t="n"/>
      <c r="T610" s="622" t="n"/>
      <c r="U610" s="622" t="n"/>
      <c r="V610" s="622" t="n"/>
      <c r="W610" s="622" t="n"/>
      <c r="X610" s="622" t="n"/>
      <c r="Y610" s="622" t="n"/>
      <c r="Z610" s="622" t="n"/>
      <c r="AA610" s="622" t="n"/>
      <c r="AB610" s="622" t="n"/>
      <c r="AC610" s="622" t="n"/>
      <c r="AD610" s="622" t="n"/>
      <c r="AE610" s="622" t="n"/>
      <c r="AF610" s="622" t="n"/>
      <c r="AG610" s="622" t="n"/>
      <c r="AH610" s="622" t="n"/>
      <c r="AI610" s="622" t="n"/>
      <c r="AJ610" s="622" t="n"/>
      <c r="AK610" s="622" t="n"/>
      <c r="AL610" s="622" t="n"/>
      <c r="AM610" s="622" t="n"/>
      <c r="AN610" s="622" t="n"/>
      <c r="AO610" s="622" t="n"/>
      <c r="AP610" s="622" t="n"/>
      <c r="AQ610" s="622" t="n"/>
      <c r="AR610" s="622" t="n"/>
      <c r="AS610" s="622" t="n"/>
      <c r="AT610" s="622" t="n"/>
      <c r="AU610" s="622" t="n"/>
      <c r="AV610" s="622" t="n"/>
      <c r="AW610" s="622" t="n"/>
      <c r="AX610" s="622" t="n"/>
      <c r="AY610" s="622" t="n"/>
    </row>
    <row r="611">
      <c r="A611" s="622" t="n"/>
      <c r="B611" s="622" t="n"/>
      <c r="C611" s="622" t="n"/>
      <c r="D611" s="622" t="n"/>
      <c r="E611" s="622" t="n"/>
      <c r="F611" s="622" t="n"/>
      <c r="G611" s="622" t="n"/>
      <c r="H611" s="622" t="n"/>
      <c r="I611" s="622" t="n"/>
      <c r="J611" s="622" t="n"/>
      <c r="K611" s="622" t="n"/>
      <c r="L611" s="622" t="n"/>
      <c r="M611" s="622" t="n"/>
      <c r="N611" s="622" t="n"/>
      <c r="O611" s="622" t="n"/>
      <c r="P611" s="622" t="n"/>
      <c r="Q611" s="622" t="n"/>
      <c r="R611" s="622" t="n"/>
      <c r="S611" s="622" t="n"/>
      <c r="T611" s="622" t="n"/>
      <c r="U611" s="622" t="n"/>
      <c r="V611" s="622" t="n"/>
      <c r="W611" s="622" t="n"/>
      <c r="X611" s="622" t="n"/>
      <c r="Y611" s="622" t="n"/>
      <c r="Z611" s="622" t="n"/>
      <c r="AA611" s="622" t="n"/>
      <c r="AB611" s="622" t="n"/>
      <c r="AC611" s="622" t="n"/>
      <c r="AD611" s="622" t="n"/>
      <c r="AE611" s="622" t="n"/>
      <c r="AF611" s="622" t="n"/>
      <c r="AG611" s="622" t="n"/>
      <c r="AH611" s="622" t="n"/>
      <c r="AI611" s="622" t="n"/>
      <c r="AJ611" s="622" t="n"/>
      <c r="AK611" s="622" t="n"/>
      <c r="AL611" s="622" t="n"/>
      <c r="AM611" s="622" t="n"/>
      <c r="AN611" s="622" t="n"/>
      <c r="AO611" s="622" t="n"/>
      <c r="AP611" s="622" t="n"/>
      <c r="AQ611" s="622" t="n"/>
      <c r="AR611" s="622" t="n"/>
      <c r="AS611" s="622" t="n"/>
      <c r="AT611" s="622" t="n"/>
      <c r="AU611" s="622" t="n"/>
      <c r="AV611" s="622" t="n"/>
      <c r="AW611" s="622" t="n"/>
      <c r="AX611" s="622" t="n"/>
      <c r="AY611" s="622" t="n"/>
    </row>
    <row r="612">
      <c r="A612" s="622" t="n"/>
      <c r="B612" s="622" t="n"/>
      <c r="C612" s="622" t="n"/>
      <c r="D612" s="622" t="n"/>
      <c r="E612" s="622" t="n"/>
      <c r="F612" s="622" t="n"/>
      <c r="G612" s="622" t="n"/>
      <c r="H612" s="622" t="n"/>
      <c r="I612" s="622" t="n"/>
      <c r="J612" s="622" t="n"/>
      <c r="K612" s="622" t="n"/>
      <c r="L612" s="622" t="n"/>
      <c r="M612" s="622" t="n"/>
      <c r="N612" s="622" t="n"/>
      <c r="O612" s="622" t="n"/>
      <c r="P612" s="622" t="n"/>
      <c r="Q612" s="622" t="n"/>
      <c r="R612" s="622" t="n"/>
      <c r="S612" s="622" t="n"/>
      <c r="T612" s="622" t="n"/>
      <c r="U612" s="622" t="n"/>
      <c r="V612" s="622" t="n"/>
      <c r="W612" s="622" t="n"/>
      <c r="X612" s="622" t="n"/>
      <c r="Y612" s="622" t="n"/>
      <c r="Z612" s="622" t="n"/>
      <c r="AA612" s="622" t="n"/>
      <c r="AB612" s="622" t="n"/>
      <c r="AC612" s="622" t="n"/>
      <c r="AD612" s="622" t="n"/>
      <c r="AE612" s="622" t="n"/>
      <c r="AF612" s="622" t="n"/>
      <c r="AG612" s="622" t="n"/>
      <c r="AH612" s="622" t="n"/>
      <c r="AI612" s="622" t="n"/>
      <c r="AJ612" s="622" t="n"/>
      <c r="AK612" s="622" t="n"/>
      <c r="AL612" s="622" t="n"/>
      <c r="AM612" s="622" t="n"/>
      <c r="AN612" s="622" t="n"/>
      <c r="AO612" s="622" t="n"/>
      <c r="AP612" s="622" t="n"/>
      <c r="AQ612" s="622" t="n"/>
      <c r="AR612" s="622" t="n"/>
      <c r="AS612" s="622" t="n"/>
      <c r="AT612" s="622" t="n"/>
      <c r="AU612" s="622" t="n"/>
      <c r="AV612" s="622" t="n"/>
      <c r="AW612" s="622" t="n"/>
      <c r="AX612" s="622" t="n"/>
      <c r="AY612" s="622" t="n"/>
    </row>
    <row r="613">
      <c r="A613" s="622" t="n"/>
      <c r="B613" s="622" t="n"/>
      <c r="C613" s="622" t="n"/>
      <c r="D613" s="622" t="n"/>
      <c r="E613" s="622" t="n"/>
      <c r="F613" s="622" t="n"/>
      <c r="G613" s="622" t="n"/>
      <c r="H613" s="622" t="n"/>
      <c r="I613" s="622" t="n"/>
      <c r="J613" s="622" t="n"/>
      <c r="K613" s="622" t="n"/>
      <c r="L613" s="622" t="n"/>
      <c r="M613" s="622" t="n"/>
      <c r="N613" s="622" t="n"/>
      <c r="O613" s="622" t="n"/>
      <c r="P613" s="622" t="n"/>
      <c r="Q613" s="622" t="n"/>
      <c r="R613" s="622" t="n"/>
      <c r="S613" s="622" t="n"/>
      <c r="T613" s="622" t="n"/>
      <c r="U613" s="622" t="n"/>
      <c r="V613" s="622" t="n"/>
      <c r="W613" s="622" t="n"/>
      <c r="X613" s="622" t="n"/>
      <c r="Y613" s="622" t="n"/>
      <c r="Z613" s="622" t="n"/>
      <c r="AA613" s="622" t="n"/>
      <c r="AB613" s="622" t="n"/>
      <c r="AC613" s="622" t="n"/>
      <c r="AD613" s="622" t="n"/>
      <c r="AE613" s="622" t="n"/>
      <c r="AF613" s="622" t="n"/>
      <c r="AG613" s="622" t="n"/>
      <c r="AH613" s="622" t="n"/>
      <c r="AI613" s="622" t="n"/>
      <c r="AJ613" s="622" t="n"/>
      <c r="AK613" s="622" t="n"/>
      <c r="AL613" s="622" t="n"/>
      <c r="AM613" s="622" t="n"/>
      <c r="AN613" s="622" t="n"/>
      <c r="AO613" s="622" t="n"/>
      <c r="AP613" s="622" t="n"/>
      <c r="AQ613" s="622" t="n"/>
      <c r="AR613" s="622" t="n"/>
      <c r="AS613" s="622" t="n"/>
      <c r="AT613" s="622" t="n"/>
      <c r="AU613" s="622" t="n"/>
      <c r="AV613" s="622" t="n"/>
      <c r="AW613" s="622" t="n"/>
      <c r="AX613" s="622" t="n"/>
      <c r="AY613" s="622" t="n"/>
    </row>
    <row r="614">
      <c r="A614" s="622" t="n"/>
      <c r="B614" s="622" t="n"/>
      <c r="C614" s="622" t="n"/>
      <c r="D614" s="622" t="n"/>
      <c r="E614" s="622" t="n"/>
      <c r="F614" s="622" t="n"/>
      <c r="G614" s="622" t="n"/>
      <c r="H614" s="622" t="n"/>
      <c r="I614" s="622" t="n"/>
      <c r="J614" s="622" t="n"/>
      <c r="K614" s="622" t="n"/>
      <c r="L614" s="622" t="n"/>
      <c r="M614" s="622" t="n"/>
      <c r="N614" s="622" t="n"/>
      <c r="O614" s="622" t="n"/>
      <c r="P614" s="622" t="n"/>
      <c r="Q614" s="622" t="n"/>
      <c r="R614" s="622" t="n"/>
      <c r="S614" s="622" t="n"/>
      <c r="T614" s="622" t="n"/>
      <c r="U614" s="622" t="n"/>
      <c r="V614" s="622" t="n"/>
      <c r="W614" s="622" t="n"/>
      <c r="X614" s="622" t="n"/>
      <c r="Y614" s="622" t="n"/>
      <c r="Z614" s="622" t="n"/>
      <c r="AA614" s="622" t="n"/>
      <c r="AB614" s="622" t="n"/>
      <c r="AC614" s="622" t="n"/>
      <c r="AD614" s="622" t="n"/>
      <c r="AE614" s="622" t="n"/>
      <c r="AF614" s="622" t="n"/>
      <c r="AG614" s="622" t="n"/>
      <c r="AH614" s="622" t="n"/>
      <c r="AI614" s="622" t="n"/>
      <c r="AJ614" s="622" t="n"/>
      <c r="AK614" s="622" t="n"/>
      <c r="AL614" s="622" t="n"/>
      <c r="AM614" s="622" t="n"/>
      <c r="AN614" s="622" t="n"/>
      <c r="AO614" s="622" t="n"/>
      <c r="AP614" s="622" t="n"/>
      <c r="AQ614" s="622" t="n"/>
      <c r="AR614" s="622" t="n"/>
      <c r="AS614" s="622" t="n"/>
      <c r="AT614" s="622" t="n"/>
      <c r="AU614" s="622" t="n"/>
      <c r="AV614" s="622" t="n"/>
      <c r="AW614" s="622" t="n"/>
      <c r="AX614" s="622" t="n"/>
      <c r="AY614" s="622" t="n"/>
    </row>
    <row r="615">
      <c r="A615" s="622" t="n"/>
      <c r="B615" s="622" t="n"/>
      <c r="C615" s="622" t="n"/>
      <c r="D615" s="622" t="n"/>
      <c r="E615" s="622" t="n"/>
      <c r="F615" s="622" t="n"/>
      <c r="G615" s="622" t="n"/>
      <c r="H615" s="622" t="n"/>
      <c r="I615" s="622" t="n"/>
      <c r="J615" s="622" t="n"/>
      <c r="K615" s="622" t="n"/>
      <c r="L615" s="622" t="n"/>
      <c r="M615" s="622" t="n"/>
      <c r="N615" s="622" t="n"/>
      <c r="O615" s="622" t="n"/>
      <c r="P615" s="622" t="n"/>
      <c r="Q615" s="622" t="n"/>
      <c r="R615" s="622" t="n"/>
      <c r="S615" s="622" t="n"/>
      <c r="T615" s="622" t="n"/>
      <c r="U615" s="622" t="n"/>
      <c r="V615" s="622" t="n"/>
      <c r="W615" s="622" t="n"/>
      <c r="X615" s="622" t="n"/>
      <c r="Y615" s="622" t="n"/>
      <c r="Z615" s="622" t="n"/>
      <c r="AA615" s="622" t="n"/>
      <c r="AB615" s="622" t="n"/>
      <c r="AC615" s="622" t="n"/>
      <c r="AD615" s="622" t="n"/>
      <c r="AE615" s="622" t="n"/>
      <c r="AF615" s="622" t="n"/>
      <c r="AG615" s="622" t="n"/>
      <c r="AH615" s="622" t="n"/>
      <c r="AI615" s="622" t="n"/>
      <c r="AJ615" s="622" t="n"/>
      <c r="AK615" s="622" t="n"/>
      <c r="AL615" s="622" t="n"/>
      <c r="AM615" s="622" t="n"/>
      <c r="AN615" s="622" t="n"/>
      <c r="AO615" s="622" t="n"/>
      <c r="AP615" s="622" t="n"/>
      <c r="AQ615" s="622" t="n"/>
      <c r="AR615" s="622" t="n"/>
      <c r="AS615" s="622" t="n"/>
      <c r="AT615" s="622" t="n"/>
      <c r="AU615" s="622" t="n"/>
      <c r="AV615" s="622" t="n"/>
      <c r="AW615" s="622" t="n"/>
      <c r="AX615" s="622" t="n"/>
      <c r="AY615" s="622" t="n"/>
    </row>
    <row r="616">
      <c r="A616" s="622" t="n"/>
      <c r="B616" s="622" t="n"/>
      <c r="C616" s="622" t="n"/>
      <c r="D616" s="622" t="n"/>
      <c r="E616" s="622" t="n"/>
      <c r="F616" s="622" t="n"/>
      <c r="G616" s="622" t="n"/>
      <c r="H616" s="622" t="n"/>
      <c r="I616" s="622" t="n"/>
      <c r="J616" s="622" t="n"/>
      <c r="K616" s="622" t="n"/>
      <c r="L616" s="622" t="n"/>
      <c r="M616" s="622" t="n"/>
      <c r="N616" s="622" t="n"/>
      <c r="O616" s="622" t="n"/>
      <c r="P616" s="622" t="n"/>
      <c r="Q616" s="622" t="n"/>
      <c r="R616" s="622" t="n"/>
      <c r="S616" s="622" t="n"/>
      <c r="T616" s="622" t="n"/>
      <c r="U616" s="622" t="n"/>
      <c r="V616" s="622" t="n"/>
      <c r="W616" s="622" t="n"/>
      <c r="X616" s="622" t="n"/>
      <c r="Y616" s="622" t="n"/>
      <c r="Z616" s="622" t="n"/>
      <c r="AA616" s="622" t="n"/>
      <c r="AB616" s="622" t="n"/>
      <c r="AC616" s="622" t="n"/>
      <c r="AD616" s="622" t="n"/>
      <c r="AE616" s="622" t="n"/>
      <c r="AF616" s="622" t="n"/>
      <c r="AG616" s="622" t="n"/>
      <c r="AH616" s="622" t="n"/>
      <c r="AI616" s="622" t="n"/>
      <c r="AJ616" s="622" t="n"/>
      <c r="AK616" s="622" t="n"/>
      <c r="AL616" s="622" t="n"/>
      <c r="AM616" s="622" t="n"/>
      <c r="AN616" s="622" t="n"/>
      <c r="AO616" s="622" t="n"/>
      <c r="AP616" s="622" t="n"/>
      <c r="AQ616" s="622" t="n"/>
      <c r="AR616" s="622" t="n"/>
      <c r="AS616" s="622" t="n"/>
      <c r="AT616" s="622" t="n"/>
      <c r="AU616" s="622" t="n"/>
      <c r="AV616" s="622" t="n"/>
      <c r="AW616" s="622" t="n"/>
      <c r="AX616" s="622" t="n"/>
      <c r="AY616" s="622" t="n"/>
    </row>
    <row r="617">
      <c r="A617" s="622" t="n"/>
      <c r="B617" s="622" t="n"/>
      <c r="C617" s="622" t="n"/>
      <c r="D617" s="622" t="n"/>
      <c r="E617" s="622" t="n"/>
      <c r="F617" s="622" t="n"/>
      <c r="G617" s="622" t="n"/>
      <c r="H617" s="622" t="n"/>
      <c r="I617" s="622" t="n"/>
      <c r="J617" s="622" t="n"/>
      <c r="K617" s="622" t="n"/>
      <c r="L617" s="622" t="n"/>
      <c r="M617" s="622" t="n"/>
      <c r="N617" s="622" t="n"/>
      <c r="O617" s="622" t="n"/>
      <c r="P617" s="622" t="n"/>
      <c r="Q617" s="622" t="n"/>
      <c r="R617" s="622" t="n"/>
      <c r="S617" s="622" t="n"/>
      <c r="T617" s="622" t="n"/>
      <c r="U617" s="622" t="n"/>
      <c r="V617" s="622" t="n"/>
      <c r="W617" s="622" t="n"/>
      <c r="X617" s="622" t="n"/>
      <c r="Y617" s="622" t="n"/>
      <c r="Z617" s="622" t="n"/>
      <c r="AA617" s="622" t="n"/>
      <c r="AB617" s="622" t="n"/>
      <c r="AC617" s="622" t="n"/>
      <c r="AD617" s="622" t="n"/>
      <c r="AE617" s="622" t="n"/>
      <c r="AF617" s="622" t="n"/>
      <c r="AG617" s="622" t="n"/>
      <c r="AH617" s="622" t="n"/>
      <c r="AI617" s="622" t="n"/>
      <c r="AJ617" s="622" t="n"/>
      <c r="AK617" s="622" t="n"/>
      <c r="AL617" s="622" t="n"/>
      <c r="AM617" s="622" t="n"/>
      <c r="AN617" s="622" t="n"/>
      <c r="AO617" s="622" t="n"/>
      <c r="AP617" s="622" t="n"/>
      <c r="AQ617" s="622" t="n"/>
      <c r="AR617" s="622" t="n"/>
      <c r="AS617" s="622" t="n"/>
      <c r="AT617" s="622" t="n"/>
      <c r="AU617" s="622" t="n"/>
      <c r="AV617" s="622" t="n"/>
      <c r="AW617" s="622" t="n"/>
      <c r="AX617" s="622" t="n"/>
      <c r="AY617" s="622" t="n"/>
    </row>
    <row r="618">
      <c r="A618" s="622" t="n"/>
      <c r="B618" s="622" t="n"/>
      <c r="C618" s="622" t="n"/>
      <c r="D618" s="622" t="n"/>
      <c r="E618" s="622" t="n"/>
      <c r="F618" s="622" t="n"/>
      <c r="G618" s="622" t="n"/>
      <c r="H618" s="622" t="n"/>
      <c r="I618" s="622" t="n"/>
      <c r="J618" s="622" t="n"/>
      <c r="K618" s="622" t="n"/>
      <c r="L618" s="622" t="n"/>
      <c r="M618" s="622" t="n"/>
      <c r="N618" s="622" t="n"/>
      <c r="O618" s="622" t="n"/>
      <c r="P618" s="622" t="n"/>
      <c r="Q618" s="622" t="n"/>
      <c r="R618" s="622" t="n"/>
      <c r="S618" s="622" t="n"/>
      <c r="T618" s="622" t="n"/>
      <c r="U618" s="622" t="n"/>
      <c r="V618" s="622" t="n"/>
      <c r="W618" s="622" t="n"/>
      <c r="X618" s="622" t="n"/>
      <c r="Y618" s="622" t="n"/>
      <c r="Z618" s="622" t="n"/>
      <c r="AA618" s="622" t="n"/>
      <c r="AB618" s="622" t="n"/>
      <c r="AC618" s="622" t="n"/>
      <c r="AD618" s="622" t="n"/>
      <c r="AE618" s="622" t="n"/>
      <c r="AF618" s="622" t="n"/>
      <c r="AG618" s="622" t="n"/>
      <c r="AH618" s="622" t="n"/>
      <c r="AI618" s="622" t="n"/>
      <c r="AJ618" s="622" t="n"/>
      <c r="AK618" s="622" t="n"/>
      <c r="AL618" s="622" t="n"/>
      <c r="AM618" s="622" t="n"/>
      <c r="AN618" s="622" t="n"/>
      <c r="AO618" s="622" t="n"/>
      <c r="AP618" s="622" t="n"/>
      <c r="AQ618" s="622" t="n"/>
      <c r="AR618" s="622" t="n"/>
      <c r="AS618" s="622" t="n"/>
      <c r="AT618" s="622" t="n"/>
      <c r="AU618" s="622" t="n"/>
      <c r="AV618" s="622" t="n"/>
      <c r="AW618" s="622" t="n"/>
      <c r="AX618" s="622" t="n"/>
      <c r="AY618" s="622" t="n"/>
    </row>
    <row r="619">
      <c r="A619" s="622" t="n"/>
      <c r="B619" s="622" t="n"/>
      <c r="C619" s="622" t="n"/>
      <c r="D619" s="622" t="n"/>
      <c r="E619" s="622" t="n"/>
      <c r="F619" s="622" t="n"/>
      <c r="G619" s="622" t="n"/>
      <c r="H619" s="622" t="n"/>
      <c r="I619" s="622" t="n"/>
      <c r="J619" s="622" t="n"/>
      <c r="K619" s="622" t="n"/>
      <c r="L619" s="622" t="n"/>
      <c r="M619" s="622" t="n"/>
      <c r="N619" s="622" t="n"/>
      <c r="O619" s="622" t="n"/>
      <c r="P619" s="622" t="n"/>
      <c r="Q619" s="622" t="n"/>
      <c r="R619" s="622" t="n"/>
      <c r="S619" s="622" t="n"/>
      <c r="T619" s="622" t="n"/>
      <c r="U619" s="622" t="n"/>
      <c r="V619" s="622" t="n"/>
      <c r="W619" s="622" t="n"/>
      <c r="X619" s="622" t="n"/>
      <c r="Y619" s="622" t="n"/>
      <c r="Z619" s="622" t="n"/>
      <c r="AA619" s="622" t="n"/>
      <c r="AB619" s="622" t="n"/>
      <c r="AC619" s="622" t="n"/>
      <c r="AD619" s="622" t="n"/>
      <c r="AE619" s="622" t="n"/>
      <c r="AF619" s="622" t="n"/>
      <c r="AG619" s="622" t="n"/>
      <c r="AH619" s="622" t="n"/>
      <c r="AI619" s="622" t="n"/>
      <c r="AJ619" s="622" t="n"/>
      <c r="AK619" s="622" t="n"/>
      <c r="AL619" s="622" t="n"/>
      <c r="AM619" s="622" t="n"/>
      <c r="AN619" s="622" t="n"/>
      <c r="AO619" s="622" t="n"/>
      <c r="AP619" s="622" t="n"/>
      <c r="AQ619" s="622" t="n"/>
      <c r="AR619" s="622" t="n"/>
      <c r="AS619" s="622" t="n"/>
      <c r="AT619" s="622" t="n"/>
      <c r="AU619" s="622" t="n"/>
      <c r="AV619" s="622" t="n"/>
      <c r="AW619" s="622" t="n"/>
      <c r="AX619" s="622" t="n"/>
      <c r="AY619" s="622" t="n"/>
    </row>
    <row r="620">
      <c r="A620" s="622" t="n"/>
      <c r="B620" s="622" t="n"/>
      <c r="C620" s="622" t="n"/>
      <c r="D620" s="622" t="n"/>
      <c r="E620" s="622" t="n"/>
      <c r="F620" s="622" t="n"/>
      <c r="G620" s="622" t="n"/>
      <c r="H620" s="622" t="n"/>
      <c r="I620" s="622" t="n"/>
      <c r="J620" s="622" t="n"/>
      <c r="K620" s="622" t="n"/>
      <c r="L620" s="622" t="n"/>
      <c r="M620" s="622" t="n"/>
      <c r="N620" s="622" t="n"/>
      <c r="O620" s="622" t="n"/>
      <c r="P620" s="622" t="n"/>
      <c r="Q620" s="622" t="n"/>
      <c r="R620" s="622" t="n"/>
      <c r="S620" s="622" t="n"/>
      <c r="T620" s="622" t="n"/>
      <c r="U620" s="622" t="n"/>
      <c r="V620" s="622" t="n"/>
      <c r="W620" s="622" t="n"/>
      <c r="X620" s="622" t="n"/>
      <c r="Y620" s="622" t="n"/>
      <c r="Z620" s="622" t="n"/>
      <c r="AA620" s="622" t="n"/>
      <c r="AB620" s="622" t="n"/>
      <c r="AC620" s="622" t="n"/>
      <c r="AD620" s="622" t="n"/>
      <c r="AE620" s="622" t="n"/>
      <c r="AF620" s="622" t="n"/>
      <c r="AG620" s="622" t="n"/>
      <c r="AH620" s="622" t="n"/>
      <c r="AI620" s="622" t="n"/>
      <c r="AJ620" s="622" t="n"/>
      <c r="AK620" s="622" t="n"/>
      <c r="AL620" s="622" t="n"/>
      <c r="AM620" s="622" t="n"/>
      <c r="AN620" s="622" t="n"/>
      <c r="AO620" s="622" t="n"/>
      <c r="AP620" s="622" t="n"/>
      <c r="AQ620" s="622" t="n"/>
      <c r="AR620" s="622" t="n"/>
      <c r="AS620" s="622" t="n"/>
      <c r="AT620" s="622" t="n"/>
      <c r="AU620" s="622" t="n"/>
      <c r="AV620" s="622" t="n"/>
      <c r="AW620" s="622" t="n"/>
      <c r="AX620" s="622" t="n"/>
      <c r="AY620" s="622" t="n"/>
    </row>
    <row r="621">
      <c r="A621" s="622" t="n"/>
      <c r="B621" s="622" t="n"/>
      <c r="C621" s="622" t="n"/>
      <c r="D621" s="622" t="n"/>
      <c r="E621" s="622" t="n"/>
      <c r="F621" s="622" t="n"/>
      <c r="G621" s="622" t="n"/>
      <c r="H621" s="622" t="n"/>
      <c r="I621" s="622" t="n"/>
      <c r="J621" s="622" t="n"/>
      <c r="K621" s="622" t="n"/>
      <c r="L621" s="622" t="n"/>
      <c r="M621" s="622" t="n"/>
      <c r="N621" s="622" t="n"/>
      <c r="O621" s="622" t="n"/>
      <c r="P621" s="622" t="n"/>
      <c r="Q621" s="622" t="n"/>
      <c r="R621" s="622" t="n"/>
      <c r="S621" s="622" t="n"/>
      <c r="T621" s="622" t="n"/>
      <c r="U621" s="622" t="n"/>
      <c r="V621" s="622" t="n"/>
      <c r="W621" s="622" t="n"/>
      <c r="X621" s="622" t="n"/>
      <c r="Y621" s="622" t="n"/>
      <c r="Z621" s="622" t="n"/>
      <c r="AA621" s="622" t="n"/>
      <c r="AB621" s="622" t="n"/>
      <c r="AC621" s="622" t="n"/>
      <c r="AD621" s="622" t="n"/>
      <c r="AE621" s="622" t="n"/>
      <c r="AF621" s="622" t="n"/>
      <c r="AG621" s="622" t="n"/>
      <c r="AH621" s="622" t="n"/>
      <c r="AI621" s="622" t="n"/>
      <c r="AJ621" s="622" t="n"/>
      <c r="AK621" s="622" t="n"/>
      <c r="AL621" s="622" t="n"/>
      <c r="AM621" s="622" t="n"/>
      <c r="AN621" s="622" t="n"/>
      <c r="AO621" s="622" t="n"/>
      <c r="AP621" s="622" t="n"/>
      <c r="AQ621" s="622" t="n"/>
      <c r="AR621" s="622" t="n"/>
      <c r="AS621" s="622" t="n"/>
      <c r="AT621" s="622" t="n"/>
      <c r="AU621" s="622" t="n"/>
      <c r="AV621" s="622" t="n"/>
      <c r="AW621" s="622" t="n"/>
      <c r="AX621" s="622" t="n"/>
      <c r="AY621" s="622" t="n"/>
    </row>
    <row r="622">
      <c r="A622" s="622" t="n"/>
      <c r="B622" s="622" t="n"/>
      <c r="C622" s="622" t="n"/>
      <c r="D622" s="622" t="n"/>
      <c r="E622" s="622" t="n"/>
      <c r="F622" s="622" t="n"/>
      <c r="G622" s="622" t="n"/>
      <c r="H622" s="622" t="n"/>
      <c r="I622" s="622" t="n"/>
      <c r="J622" s="622" t="n"/>
      <c r="K622" s="622" t="n"/>
      <c r="L622" s="622" t="n"/>
      <c r="M622" s="622" t="n"/>
      <c r="N622" s="622" t="n"/>
      <c r="O622" s="622" t="n"/>
      <c r="P622" s="622" t="n"/>
      <c r="Q622" s="622" t="n"/>
      <c r="R622" s="622" t="n"/>
      <c r="S622" s="622" t="n"/>
      <c r="T622" s="622" t="n"/>
      <c r="U622" s="622" t="n"/>
      <c r="V622" s="622" t="n"/>
      <c r="W622" s="622" t="n"/>
      <c r="X622" s="622" t="n"/>
      <c r="Y622" s="622" t="n"/>
      <c r="Z622" s="622" t="n"/>
      <c r="AA622" s="622" t="n"/>
      <c r="AB622" s="622" t="n"/>
      <c r="AC622" s="622" t="n"/>
      <c r="AD622" s="622" t="n"/>
      <c r="AE622" s="622" t="n"/>
      <c r="AF622" s="622" t="n"/>
      <c r="AG622" s="622" t="n"/>
      <c r="AH622" s="622" t="n"/>
      <c r="AI622" s="622" t="n"/>
      <c r="AJ622" s="622" t="n"/>
      <c r="AK622" s="622" t="n"/>
      <c r="AL622" s="622" t="n"/>
      <c r="AM622" s="622" t="n"/>
      <c r="AN622" s="622" t="n"/>
      <c r="AO622" s="622" t="n"/>
      <c r="AP622" s="622" t="n"/>
      <c r="AQ622" s="622" t="n"/>
      <c r="AR622" s="622" t="n"/>
      <c r="AS622" s="622" t="n"/>
      <c r="AT622" s="622" t="n"/>
      <c r="AU622" s="622" t="n"/>
      <c r="AV622" s="622" t="n"/>
      <c r="AW622" s="622" t="n"/>
      <c r="AX622" s="622" t="n"/>
      <c r="AY622" s="622" t="n"/>
    </row>
    <row r="623">
      <c r="A623" s="622" t="n"/>
      <c r="B623" s="622" t="n"/>
      <c r="C623" s="622" t="n"/>
      <c r="D623" s="622" t="n"/>
      <c r="E623" s="622" t="n"/>
      <c r="F623" s="622" t="n"/>
      <c r="G623" s="622" t="n"/>
      <c r="H623" s="622" t="n"/>
      <c r="I623" s="622" t="n"/>
      <c r="J623" s="622" t="n"/>
      <c r="K623" s="622" t="n"/>
      <c r="L623" s="622" t="n"/>
      <c r="M623" s="622" t="n"/>
      <c r="N623" s="622" t="n"/>
      <c r="O623" s="622" t="n"/>
      <c r="P623" s="622" t="n"/>
      <c r="Q623" s="622" t="n"/>
      <c r="R623" s="622" t="n"/>
      <c r="S623" s="622" t="n"/>
      <c r="T623" s="622" t="n"/>
      <c r="U623" s="622" t="n"/>
      <c r="V623" s="622" t="n"/>
      <c r="W623" s="622" t="n"/>
      <c r="X623" s="622" t="n"/>
      <c r="Y623" s="622" t="n"/>
      <c r="Z623" s="622" t="n"/>
      <c r="AA623" s="622" t="n"/>
      <c r="AB623" s="622" t="n"/>
      <c r="AC623" s="622" t="n"/>
      <c r="AD623" s="622" t="n"/>
      <c r="AE623" s="622" t="n"/>
      <c r="AF623" s="622" t="n"/>
      <c r="AG623" s="622" t="n"/>
      <c r="AH623" s="622" t="n"/>
      <c r="AI623" s="622" t="n"/>
      <c r="AJ623" s="622" t="n"/>
      <c r="AK623" s="622" t="n"/>
      <c r="AL623" s="622" t="n"/>
      <c r="AM623" s="622" t="n"/>
      <c r="AN623" s="622" t="n"/>
      <c r="AO623" s="622" t="n"/>
      <c r="AP623" s="622" t="n"/>
      <c r="AQ623" s="622" t="n"/>
      <c r="AR623" s="622" t="n"/>
      <c r="AS623" s="622" t="n"/>
      <c r="AT623" s="622" t="n"/>
      <c r="AU623" s="622" t="n"/>
      <c r="AV623" s="622" t="n"/>
      <c r="AW623" s="622" t="n"/>
      <c r="AX623" s="622" t="n"/>
      <c r="AY623" s="622" t="n"/>
    </row>
    <row r="624">
      <c r="A624" s="622" t="n"/>
      <c r="B624" s="622" t="n"/>
      <c r="C624" s="622" t="n"/>
      <c r="D624" s="622" t="n"/>
      <c r="E624" s="622" t="n"/>
      <c r="F624" s="622" t="n"/>
      <c r="G624" s="622" t="n"/>
      <c r="H624" s="622" t="n"/>
      <c r="I624" s="622" t="n"/>
      <c r="J624" s="622" t="n"/>
      <c r="K624" s="622" t="n"/>
      <c r="L624" s="622" t="n"/>
      <c r="M624" s="622" t="n"/>
      <c r="N624" s="622" t="n"/>
      <c r="O624" s="622" t="n"/>
      <c r="P624" s="622" t="n"/>
      <c r="Q624" s="622" t="n"/>
      <c r="R624" s="622" t="n"/>
      <c r="S624" s="622" t="n"/>
      <c r="T624" s="622" t="n"/>
      <c r="U624" s="622" t="n"/>
      <c r="V624" s="622" t="n"/>
      <c r="W624" s="622" t="n"/>
      <c r="X624" s="622" t="n"/>
      <c r="Y624" s="622" t="n"/>
      <c r="Z624" s="622" t="n"/>
      <c r="AA624" s="622" t="n"/>
      <c r="AB624" s="622" t="n"/>
      <c r="AC624" s="622" t="n"/>
      <c r="AD624" s="622" t="n"/>
      <c r="AE624" s="622" t="n"/>
      <c r="AF624" s="622" t="n"/>
      <c r="AG624" s="622" t="n"/>
      <c r="AH624" s="622" t="n"/>
      <c r="AI624" s="622" t="n"/>
      <c r="AJ624" s="622" t="n"/>
      <c r="AK624" s="622" t="n"/>
      <c r="AL624" s="622" t="n"/>
      <c r="AM624" s="622" t="n"/>
      <c r="AN624" s="622" t="n"/>
      <c r="AO624" s="622" t="n"/>
      <c r="AP624" s="622" t="n"/>
      <c r="AQ624" s="622" t="n"/>
      <c r="AR624" s="622" t="n"/>
      <c r="AS624" s="622" t="n"/>
      <c r="AT624" s="622" t="n"/>
      <c r="AU624" s="622" t="n"/>
      <c r="AV624" s="622" t="n"/>
      <c r="AW624" s="622" t="n"/>
      <c r="AX624" s="622" t="n"/>
      <c r="AY624" s="622" t="n"/>
    </row>
    <row r="625">
      <c r="A625" s="622" t="n"/>
      <c r="B625" s="622" t="n"/>
      <c r="C625" s="622" t="n"/>
      <c r="D625" s="622" t="n"/>
      <c r="E625" s="622" t="n"/>
      <c r="F625" s="622" t="n"/>
      <c r="G625" s="622" t="n"/>
      <c r="H625" s="622" t="n"/>
      <c r="I625" s="622" t="n"/>
      <c r="J625" s="622" t="n"/>
      <c r="K625" s="622" t="n"/>
      <c r="L625" s="622" t="n"/>
      <c r="M625" s="622" t="n"/>
      <c r="N625" s="622" t="n"/>
      <c r="O625" s="622" t="n"/>
      <c r="P625" s="622" t="n"/>
      <c r="Q625" s="622" t="n"/>
      <c r="R625" s="622" t="n"/>
      <c r="S625" s="622" t="n"/>
      <c r="T625" s="622" t="n"/>
      <c r="U625" s="622" t="n"/>
      <c r="V625" s="622" t="n"/>
      <c r="W625" s="622" t="n"/>
      <c r="X625" s="622" t="n"/>
      <c r="Y625" s="622" t="n"/>
      <c r="Z625" s="622" t="n"/>
      <c r="AA625" s="622" t="n"/>
      <c r="AB625" s="622" t="n"/>
      <c r="AC625" s="622" t="n"/>
      <c r="AD625" s="622" t="n"/>
      <c r="AE625" s="622" t="n"/>
      <c r="AF625" s="622" t="n"/>
      <c r="AG625" s="622" t="n"/>
      <c r="AH625" s="622" t="n"/>
      <c r="AI625" s="622" t="n"/>
      <c r="AJ625" s="622" t="n"/>
      <c r="AK625" s="622" t="n"/>
      <c r="AL625" s="622" t="n"/>
      <c r="AM625" s="622" t="n"/>
      <c r="AN625" s="622" t="n"/>
      <c r="AO625" s="622" t="n"/>
      <c r="AP625" s="622" t="n"/>
      <c r="AQ625" s="622" t="n"/>
      <c r="AR625" s="622" t="n"/>
      <c r="AS625" s="622" t="n"/>
      <c r="AT625" s="622" t="n"/>
      <c r="AU625" s="622" t="n"/>
      <c r="AV625" s="622" t="n"/>
      <c r="AW625" s="622" t="n"/>
      <c r="AX625" s="622" t="n"/>
      <c r="AY625" s="622" t="n"/>
    </row>
    <row r="626">
      <c r="A626" s="622" t="n"/>
      <c r="B626" s="622" t="n"/>
      <c r="C626" s="622" t="n"/>
      <c r="D626" s="622" t="n"/>
      <c r="E626" s="622" t="n"/>
      <c r="F626" s="622" t="n"/>
      <c r="G626" s="622" t="n"/>
      <c r="H626" s="622" t="n"/>
      <c r="I626" s="622" t="n"/>
      <c r="J626" s="622" t="n"/>
      <c r="K626" s="622" t="n"/>
      <c r="L626" s="622" t="n"/>
      <c r="M626" s="622" t="n"/>
      <c r="N626" s="622" t="n"/>
      <c r="O626" s="622" t="n"/>
      <c r="P626" s="622" t="n"/>
      <c r="Q626" s="622" t="n"/>
      <c r="R626" s="622" t="n"/>
      <c r="S626" s="622" t="n"/>
      <c r="T626" s="622" t="n"/>
      <c r="U626" s="622" t="n"/>
      <c r="V626" s="622" t="n"/>
      <c r="W626" s="622" t="n"/>
      <c r="X626" s="622" t="n"/>
      <c r="Y626" s="622" t="n"/>
      <c r="Z626" s="622" t="n"/>
      <c r="AA626" s="622" t="n"/>
      <c r="AB626" s="622" t="n"/>
      <c r="AC626" s="622" t="n"/>
      <c r="AD626" s="622" t="n"/>
      <c r="AE626" s="622" t="n"/>
      <c r="AF626" s="622" t="n"/>
      <c r="AG626" s="622" t="n"/>
      <c r="AH626" s="622" t="n"/>
      <c r="AI626" s="622" t="n"/>
      <c r="AJ626" s="622" t="n"/>
      <c r="AK626" s="622" t="n"/>
      <c r="AL626" s="622" t="n"/>
      <c r="AM626" s="622" t="n"/>
      <c r="AN626" s="622" t="n"/>
      <c r="AO626" s="622" t="n"/>
      <c r="AP626" s="622" t="n"/>
      <c r="AQ626" s="622" t="n"/>
      <c r="AR626" s="622" t="n"/>
      <c r="AS626" s="622" t="n"/>
      <c r="AT626" s="622" t="n"/>
      <c r="AU626" s="622" t="n"/>
      <c r="AV626" s="622" t="n"/>
      <c r="AW626" s="622" t="n"/>
      <c r="AX626" s="622" t="n"/>
      <c r="AY626" s="622" t="n"/>
    </row>
    <row r="627">
      <c r="A627" s="622" t="n"/>
      <c r="B627" s="622" t="n"/>
      <c r="C627" s="622" t="n"/>
      <c r="D627" s="622" t="n"/>
      <c r="E627" s="622" t="n"/>
      <c r="F627" s="622" t="n"/>
      <c r="G627" s="622" t="n"/>
      <c r="H627" s="622" t="n"/>
      <c r="I627" s="622" t="n"/>
      <c r="J627" s="622" t="n"/>
      <c r="K627" s="622" t="n"/>
      <c r="L627" s="622" t="n"/>
      <c r="M627" s="622" t="n"/>
      <c r="N627" s="622" t="n"/>
      <c r="O627" s="622" t="n"/>
      <c r="P627" s="622" t="n"/>
      <c r="Q627" s="622" t="n"/>
      <c r="R627" s="622" t="n"/>
      <c r="S627" s="622" t="n"/>
      <c r="T627" s="622" t="n"/>
      <c r="U627" s="622" t="n"/>
      <c r="V627" s="622" t="n"/>
      <c r="W627" s="622" t="n"/>
      <c r="X627" s="622" t="n"/>
      <c r="Y627" s="622" t="n"/>
      <c r="Z627" s="622" t="n"/>
      <c r="AA627" s="622" t="n"/>
      <c r="AB627" s="622" t="n"/>
      <c r="AC627" s="622" t="n"/>
      <c r="AD627" s="622" t="n"/>
      <c r="AE627" s="622" t="n"/>
      <c r="AF627" s="622" t="n"/>
      <c r="AG627" s="622" t="n"/>
      <c r="AH627" s="622" t="n"/>
      <c r="AI627" s="622" t="n"/>
      <c r="AJ627" s="622" t="n"/>
      <c r="AK627" s="622" t="n"/>
      <c r="AL627" s="622" t="n"/>
      <c r="AM627" s="622" t="n"/>
      <c r="AN627" s="622" t="n"/>
      <c r="AO627" s="622" t="n"/>
      <c r="AP627" s="622" t="n"/>
      <c r="AQ627" s="622" t="n"/>
      <c r="AR627" s="622" t="n"/>
      <c r="AS627" s="622" t="n"/>
      <c r="AT627" s="622" t="n"/>
      <c r="AU627" s="622" t="n"/>
      <c r="AV627" s="622" t="n"/>
      <c r="AW627" s="622" t="n"/>
      <c r="AX627" s="622" t="n"/>
      <c r="AY627" s="622" t="n"/>
    </row>
    <row r="628">
      <c r="A628" s="622" t="n"/>
      <c r="B628" s="622" t="n"/>
      <c r="C628" s="622" t="n"/>
      <c r="D628" s="622" t="n"/>
      <c r="E628" s="622" t="n"/>
      <c r="F628" s="622" t="n"/>
      <c r="G628" s="622" t="n"/>
      <c r="H628" s="622" t="n"/>
      <c r="I628" s="622" t="n"/>
      <c r="J628" s="622" t="n"/>
      <c r="K628" s="622" t="n"/>
      <c r="L628" s="622" t="n"/>
      <c r="M628" s="622" t="n"/>
      <c r="N628" s="622" t="n"/>
      <c r="O628" s="622" t="n"/>
      <c r="P628" s="622" t="n"/>
      <c r="Q628" s="622" t="n"/>
      <c r="R628" s="622" t="n"/>
      <c r="S628" s="622" t="n"/>
      <c r="T628" s="622" t="n"/>
      <c r="U628" s="622" t="n"/>
      <c r="V628" s="622" t="n"/>
      <c r="W628" s="622" t="n"/>
      <c r="X628" s="622" t="n"/>
      <c r="Y628" s="622" t="n"/>
      <c r="Z628" s="622" t="n"/>
      <c r="AA628" s="622" t="n"/>
      <c r="AB628" s="622" t="n"/>
      <c r="AC628" s="622" t="n"/>
      <c r="AD628" s="622" t="n"/>
      <c r="AE628" s="622" t="n"/>
      <c r="AF628" s="622" t="n"/>
      <c r="AG628" s="622" t="n"/>
      <c r="AH628" s="622" t="n"/>
      <c r="AI628" s="622" t="n"/>
      <c r="AJ628" s="622" t="n"/>
      <c r="AK628" s="622" t="n"/>
      <c r="AL628" s="622" t="n"/>
      <c r="AM628" s="622" t="n"/>
      <c r="AN628" s="622" t="n"/>
      <c r="AO628" s="622" t="n"/>
      <c r="AP628" s="622" t="n"/>
      <c r="AQ628" s="622" t="n"/>
      <c r="AR628" s="622" t="n"/>
      <c r="AS628" s="622" t="n"/>
      <c r="AT628" s="622" t="n"/>
      <c r="AU628" s="622" t="n"/>
      <c r="AV628" s="622" t="n"/>
      <c r="AW628" s="622" t="n"/>
      <c r="AX628" s="622" t="n"/>
      <c r="AY628" s="622" t="n"/>
    </row>
    <row r="629">
      <c r="A629" s="622" t="n"/>
      <c r="B629" s="622" t="n"/>
      <c r="C629" s="622" t="n"/>
      <c r="D629" s="622" t="n"/>
      <c r="E629" s="622" t="n"/>
      <c r="F629" s="622" t="n"/>
      <c r="G629" s="622" t="n"/>
      <c r="H629" s="622" t="n"/>
      <c r="I629" s="622" t="n"/>
      <c r="J629" s="622" t="n"/>
      <c r="K629" s="622" t="n"/>
      <c r="L629" s="622" t="n"/>
      <c r="M629" s="622" t="n"/>
      <c r="N629" s="622" t="n"/>
      <c r="O629" s="622" t="n"/>
      <c r="P629" s="622" t="n"/>
      <c r="Q629" s="622" t="n"/>
      <c r="R629" s="622" t="n"/>
      <c r="S629" s="622" t="n"/>
      <c r="T629" s="622" t="n"/>
      <c r="U629" s="622" t="n"/>
      <c r="V629" s="622" t="n"/>
      <c r="W629" s="622" t="n"/>
      <c r="X629" s="622" t="n"/>
      <c r="Y629" s="622" t="n"/>
      <c r="Z629" s="622" t="n"/>
      <c r="AA629" s="622" t="n"/>
      <c r="AB629" s="622" t="n"/>
      <c r="AC629" s="622" t="n"/>
      <c r="AD629" s="622" t="n"/>
      <c r="AE629" s="622" t="n"/>
      <c r="AF629" s="622" t="n"/>
      <c r="AG629" s="622" t="n"/>
      <c r="AH629" s="622" t="n"/>
      <c r="AI629" s="622" t="n"/>
      <c r="AJ629" s="622" t="n"/>
      <c r="AK629" s="622" t="n"/>
      <c r="AL629" s="622" t="n"/>
      <c r="AM629" s="622" t="n"/>
      <c r="AN629" s="622" t="n"/>
      <c r="AO629" s="622" t="n"/>
      <c r="AP629" s="622" t="n"/>
      <c r="AQ629" s="622" t="n"/>
      <c r="AR629" s="622" t="n"/>
      <c r="AS629" s="622" t="n"/>
      <c r="AT629" s="622" t="n"/>
      <c r="AU629" s="622" t="n"/>
      <c r="AV629" s="622" t="n"/>
      <c r="AW629" s="622" t="n"/>
      <c r="AX629" s="622" t="n"/>
      <c r="AY629" s="622" t="n"/>
    </row>
    <row r="630">
      <c r="A630" s="622" t="n"/>
      <c r="B630" s="622" t="n"/>
      <c r="C630" s="622" t="n"/>
      <c r="D630" s="622" t="n"/>
      <c r="E630" s="622" t="n"/>
      <c r="F630" s="622" t="n"/>
      <c r="G630" s="622" t="n"/>
      <c r="H630" s="622" t="n"/>
      <c r="I630" s="622" t="n"/>
      <c r="J630" s="622" t="n"/>
      <c r="K630" s="622" t="n"/>
      <c r="L630" s="622" t="n"/>
      <c r="M630" s="622" t="n"/>
      <c r="N630" s="622" t="n"/>
      <c r="O630" s="622" t="n"/>
      <c r="P630" s="622" t="n"/>
      <c r="Q630" s="622" t="n"/>
      <c r="R630" s="622" t="n"/>
      <c r="S630" s="622" t="n"/>
      <c r="T630" s="622" t="n"/>
      <c r="U630" s="622" t="n"/>
      <c r="V630" s="622" t="n"/>
      <c r="W630" s="622" t="n"/>
      <c r="X630" s="622" t="n"/>
      <c r="Y630" s="622" t="n"/>
      <c r="Z630" s="622" t="n"/>
      <c r="AA630" s="622" t="n"/>
      <c r="AB630" s="622" t="n"/>
      <c r="AC630" s="622" t="n"/>
      <c r="AD630" s="622" t="n"/>
      <c r="AE630" s="622" t="n"/>
      <c r="AF630" s="622" t="n"/>
      <c r="AG630" s="622" t="n"/>
      <c r="AH630" s="622" t="n"/>
      <c r="AI630" s="622" t="n"/>
      <c r="AJ630" s="622" t="n"/>
      <c r="AK630" s="622" t="n"/>
      <c r="AL630" s="622" t="n"/>
      <c r="AM630" s="622" t="n"/>
      <c r="AN630" s="622" t="n"/>
      <c r="AO630" s="622" t="n"/>
      <c r="AP630" s="622" t="n"/>
      <c r="AQ630" s="622" t="n"/>
      <c r="AR630" s="622" t="n"/>
      <c r="AS630" s="622" t="n"/>
      <c r="AT630" s="622" t="n"/>
      <c r="AU630" s="622" t="n"/>
      <c r="AV630" s="622" t="n"/>
      <c r="AW630" s="622" t="n"/>
      <c r="AX630" s="622" t="n"/>
      <c r="AY630" s="622" t="n"/>
    </row>
    <row r="631">
      <c r="A631" s="622" t="n"/>
      <c r="B631" s="622" t="n"/>
      <c r="C631" s="622" t="n"/>
      <c r="D631" s="622" t="n"/>
      <c r="E631" s="622" t="n"/>
      <c r="F631" s="622" t="n"/>
      <c r="G631" s="622" t="n"/>
      <c r="H631" s="622" t="n"/>
      <c r="I631" s="622" t="n"/>
      <c r="J631" s="622" t="n"/>
      <c r="K631" s="622" t="n"/>
      <c r="L631" s="622" t="n"/>
      <c r="M631" s="622" t="n"/>
      <c r="N631" s="622" t="n"/>
      <c r="O631" s="622" t="n"/>
      <c r="P631" s="622" t="n"/>
      <c r="Q631" s="622" t="n"/>
      <c r="R631" s="622" t="n"/>
      <c r="S631" s="622" t="n"/>
      <c r="T631" s="622" t="n"/>
      <c r="U631" s="622" t="n"/>
      <c r="V631" s="622" t="n"/>
      <c r="W631" s="622" t="n"/>
      <c r="X631" s="622" t="n"/>
      <c r="Y631" s="622" t="n"/>
      <c r="Z631" s="622" t="n"/>
      <c r="AA631" s="622" t="n"/>
      <c r="AB631" s="622" t="n"/>
      <c r="AC631" s="622" t="n"/>
      <c r="AD631" s="622" t="n"/>
      <c r="AE631" s="622" t="n"/>
      <c r="AF631" s="622" t="n"/>
      <c r="AG631" s="622" t="n"/>
      <c r="AH631" s="622" t="n"/>
      <c r="AI631" s="622" t="n"/>
      <c r="AJ631" s="622" t="n"/>
      <c r="AK631" s="622" t="n"/>
      <c r="AL631" s="622" t="n"/>
      <c r="AM631" s="622" t="n"/>
      <c r="AN631" s="622" t="n"/>
      <c r="AO631" s="622" t="n"/>
      <c r="AP631" s="622" t="n"/>
      <c r="AQ631" s="622" t="n"/>
      <c r="AR631" s="622" t="n"/>
      <c r="AS631" s="622" t="n"/>
      <c r="AT631" s="622" t="n"/>
      <c r="AU631" s="622" t="n"/>
      <c r="AV631" s="622" t="n"/>
      <c r="AW631" s="622" t="n"/>
      <c r="AX631" s="622" t="n"/>
      <c r="AY631" s="622" t="n"/>
    </row>
    <row r="632">
      <c r="A632" s="622" t="n"/>
      <c r="B632" s="622" t="n"/>
      <c r="C632" s="622" t="n"/>
      <c r="D632" s="622" t="n"/>
      <c r="E632" s="622" t="n"/>
      <c r="F632" s="622" t="n"/>
      <c r="G632" s="622" t="n"/>
      <c r="H632" s="622" t="n"/>
      <c r="I632" s="622" t="n"/>
      <c r="J632" s="622" t="n"/>
      <c r="K632" s="622" t="n"/>
      <c r="L632" s="622" t="n"/>
      <c r="M632" s="622" t="n"/>
      <c r="N632" s="622" t="n"/>
      <c r="O632" s="622" t="n"/>
      <c r="P632" s="622" t="n"/>
      <c r="Q632" s="622" t="n"/>
      <c r="R632" s="622" t="n"/>
      <c r="S632" s="622" t="n"/>
      <c r="T632" s="622" t="n"/>
      <c r="U632" s="622" t="n"/>
      <c r="V632" s="622" t="n"/>
      <c r="W632" s="622" t="n"/>
      <c r="X632" s="622" t="n"/>
      <c r="Y632" s="622" t="n"/>
      <c r="Z632" s="622" t="n"/>
      <c r="AA632" s="622" t="n"/>
      <c r="AB632" s="622" t="n"/>
      <c r="AC632" s="622" t="n"/>
      <c r="AD632" s="622" t="n"/>
      <c r="AE632" s="622" t="n"/>
      <c r="AF632" s="622" t="n"/>
      <c r="AG632" s="622" t="n"/>
      <c r="AH632" s="622" t="n"/>
      <c r="AI632" s="622" t="n"/>
      <c r="AJ632" s="622" t="n"/>
      <c r="AK632" s="622" t="n"/>
      <c r="AL632" s="622" t="n"/>
      <c r="AM632" s="622" t="n"/>
      <c r="AN632" s="622" t="n"/>
      <c r="AO632" s="622" t="n"/>
      <c r="AP632" s="622" t="n"/>
      <c r="AQ632" s="622" t="n"/>
      <c r="AR632" s="622" t="n"/>
      <c r="AS632" s="622" t="n"/>
      <c r="AT632" s="622" t="n"/>
      <c r="AU632" s="622" t="n"/>
      <c r="AV632" s="622" t="n"/>
      <c r="AW632" s="622" t="n"/>
      <c r="AX632" s="622" t="n"/>
      <c r="AY632" s="622" t="n"/>
    </row>
    <row r="633">
      <c r="A633" s="622" t="n"/>
      <c r="B633" s="622" t="n"/>
      <c r="C633" s="622" t="n"/>
      <c r="D633" s="622" t="n"/>
      <c r="E633" s="622" t="n"/>
      <c r="F633" s="622" t="n"/>
      <c r="G633" s="622" t="n"/>
      <c r="H633" s="622" t="n"/>
      <c r="I633" s="622" t="n"/>
      <c r="J633" s="622" t="n"/>
      <c r="K633" s="622" t="n"/>
      <c r="L633" s="622" t="n"/>
      <c r="M633" s="622" t="n"/>
      <c r="N633" s="622" t="n"/>
      <c r="O633" s="622" t="n"/>
      <c r="P633" s="622" t="n"/>
      <c r="Q633" s="622" t="n"/>
      <c r="R633" s="622" t="n"/>
      <c r="S633" s="622" t="n"/>
      <c r="T633" s="622" t="n"/>
      <c r="U633" s="622" t="n"/>
      <c r="V633" s="622" t="n"/>
      <c r="W633" s="622" t="n"/>
      <c r="X633" s="622" t="n"/>
      <c r="Y633" s="622" t="n"/>
      <c r="Z633" s="622" t="n"/>
      <c r="AA633" s="622" t="n"/>
      <c r="AB633" s="622" t="n"/>
      <c r="AC633" s="622" t="n"/>
      <c r="AD633" s="622" t="n"/>
      <c r="AE633" s="622" t="n"/>
      <c r="AF633" s="622" t="n"/>
      <c r="AG633" s="622" t="n"/>
      <c r="AH633" s="622" t="n"/>
      <c r="AI633" s="622" t="n"/>
      <c r="AJ633" s="622" t="n"/>
      <c r="AK633" s="622" t="n"/>
      <c r="AL633" s="622" t="n"/>
      <c r="AM633" s="622" t="n"/>
      <c r="AN633" s="622" t="n"/>
      <c r="AO633" s="622" t="n"/>
      <c r="AP633" s="622" t="n"/>
      <c r="AQ633" s="622" t="n"/>
      <c r="AR633" s="622" t="n"/>
      <c r="AS633" s="622" t="n"/>
      <c r="AT633" s="622" t="n"/>
      <c r="AU633" s="622" t="n"/>
      <c r="AV633" s="622" t="n"/>
      <c r="AW633" s="622" t="n"/>
      <c r="AX633" s="622" t="n"/>
      <c r="AY633" s="622" t="n"/>
    </row>
    <row r="634">
      <c r="A634" s="622" t="n"/>
      <c r="B634" s="622" t="n"/>
      <c r="C634" s="622" t="n"/>
      <c r="D634" s="622" t="n"/>
      <c r="E634" s="622" t="n"/>
      <c r="F634" s="622" t="n"/>
      <c r="G634" s="622" t="n"/>
      <c r="H634" s="622" t="n"/>
      <c r="I634" s="622" t="n"/>
      <c r="J634" s="622" t="n"/>
      <c r="K634" s="622" t="n"/>
      <c r="L634" s="622" t="n"/>
      <c r="M634" s="622" t="n"/>
      <c r="N634" s="622" t="n"/>
      <c r="O634" s="622" t="n"/>
      <c r="P634" s="622" t="n"/>
      <c r="Q634" s="622" t="n"/>
      <c r="R634" s="622" t="n"/>
      <c r="S634" s="622" t="n"/>
      <c r="T634" s="622" t="n"/>
      <c r="U634" s="622" t="n"/>
      <c r="V634" s="622" t="n"/>
      <c r="W634" s="622" t="n"/>
      <c r="X634" s="622" t="n"/>
      <c r="Y634" s="622" t="n"/>
      <c r="Z634" s="622" t="n"/>
      <c r="AA634" s="622" t="n"/>
      <c r="AB634" s="622" t="n"/>
      <c r="AC634" s="622" t="n"/>
      <c r="AD634" s="622" t="n"/>
      <c r="AE634" s="622" t="n"/>
      <c r="AF634" s="622" t="n"/>
      <c r="AG634" s="622" t="n"/>
      <c r="AH634" s="622" t="n"/>
      <c r="AI634" s="622" t="n"/>
      <c r="AJ634" s="622" t="n"/>
      <c r="AK634" s="622" t="n"/>
      <c r="AL634" s="622" t="n"/>
      <c r="AM634" s="622" t="n"/>
      <c r="AN634" s="622" t="n"/>
      <c r="AO634" s="622" t="n"/>
      <c r="AP634" s="622" t="n"/>
      <c r="AQ634" s="622" t="n"/>
      <c r="AR634" s="622" t="n"/>
      <c r="AS634" s="622" t="n"/>
      <c r="AT634" s="622" t="n"/>
      <c r="AU634" s="622" t="n"/>
      <c r="AV634" s="622" t="n"/>
      <c r="AW634" s="622" t="n"/>
      <c r="AX634" s="622" t="n"/>
      <c r="AY634" s="622" t="n"/>
    </row>
    <row r="635">
      <c r="A635" s="622" t="n"/>
      <c r="B635" s="622" t="n"/>
      <c r="C635" s="622" t="n"/>
      <c r="D635" s="622" t="n"/>
      <c r="E635" s="622" t="n"/>
      <c r="F635" s="622" t="n"/>
      <c r="G635" s="622" t="n"/>
      <c r="H635" s="622" t="n"/>
      <c r="I635" s="622" t="n"/>
      <c r="J635" s="622" t="n"/>
      <c r="K635" s="622" t="n"/>
      <c r="L635" s="622" t="n"/>
      <c r="M635" s="622" t="n"/>
      <c r="N635" s="622" t="n"/>
      <c r="O635" s="622" t="n"/>
      <c r="P635" s="622" t="n"/>
      <c r="Q635" s="622" t="n"/>
      <c r="R635" s="622" t="n"/>
      <c r="S635" s="622" t="n"/>
      <c r="T635" s="622" t="n"/>
      <c r="U635" s="622" t="n"/>
      <c r="V635" s="622" t="n"/>
      <c r="W635" s="622" t="n"/>
      <c r="X635" s="622" t="n"/>
      <c r="Y635" s="622" t="n"/>
      <c r="Z635" s="622" t="n"/>
      <c r="AA635" s="622" t="n"/>
      <c r="AB635" s="622" t="n"/>
      <c r="AC635" s="622" t="n"/>
      <c r="AD635" s="622" t="n"/>
      <c r="AE635" s="622" t="n"/>
      <c r="AF635" s="622" t="n"/>
      <c r="AG635" s="622" t="n"/>
      <c r="AH635" s="622" t="n"/>
      <c r="AI635" s="622" t="n"/>
      <c r="AJ635" s="622" t="n"/>
      <c r="AK635" s="622" t="n"/>
      <c r="AL635" s="622" t="n"/>
      <c r="AM635" s="622" t="n"/>
      <c r="AN635" s="622" t="n"/>
      <c r="AO635" s="622" t="n"/>
      <c r="AP635" s="622" t="n"/>
      <c r="AQ635" s="622" t="n"/>
      <c r="AR635" s="622" t="n"/>
      <c r="AS635" s="622" t="n"/>
      <c r="AT635" s="622" t="n"/>
      <c r="AU635" s="622" t="n"/>
      <c r="AV635" s="622" t="n"/>
      <c r="AW635" s="622" t="n"/>
      <c r="AX635" s="622" t="n"/>
      <c r="AY635" s="622" t="n"/>
    </row>
    <row r="636">
      <c r="A636" s="622" t="n"/>
      <c r="B636" s="622" t="n"/>
      <c r="C636" s="622" t="n"/>
      <c r="D636" s="622" t="n"/>
      <c r="E636" s="622" t="n"/>
      <c r="F636" s="622" t="n"/>
      <c r="G636" s="622" t="n"/>
      <c r="H636" s="622" t="n"/>
      <c r="I636" s="622" t="n"/>
      <c r="J636" s="622" t="n"/>
      <c r="K636" s="622" t="n"/>
      <c r="L636" s="622" t="n"/>
      <c r="M636" s="622" t="n"/>
      <c r="N636" s="622" t="n"/>
      <c r="O636" s="622" t="n"/>
      <c r="P636" s="622" t="n"/>
      <c r="Q636" s="622" t="n"/>
      <c r="R636" s="622" t="n"/>
      <c r="S636" s="622" t="n"/>
      <c r="T636" s="622" t="n"/>
      <c r="U636" s="622" t="n"/>
      <c r="V636" s="622" t="n"/>
      <c r="W636" s="622" t="n"/>
      <c r="X636" s="622" t="n"/>
      <c r="Y636" s="622" t="n"/>
      <c r="Z636" s="622" t="n"/>
      <c r="AA636" s="622" t="n"/>
      <c r="AB636" s="622" t="n"/>
      <c r="AC636" s="622" t="n"/>
      <c r="AD636" s="622" t="n"/>
      <c r="AE636" s="622" t="n"/>
      <c r="AF636" s="622" t="n"/>
      <c r="AG636" s="622" t="n"/>
      <c r="AH636" s="622" t="n"/>
      <c r="AI636" s="622" t="n"/>
      <c r="AJ636" s="622" t="n"/>
      <c r="AK636" s="622" t="n"/>
      <c r="AL636" s="622" t="n"/>
      <c r="AM636" s="622" t="n"/>
      <c r="AN636" s="622" t="n"/>
      <c r="AO636" s="622" t="n"/>
      <c r="AP636" s="622" t="n"/>
      <c r="AQ636" s="622" t="n"/>
      <c r="AR636" s="622" t="n"/>
      <c r="AS636" s="622" t="n"/>
      <c r="AT636" s="622" t="n"/>
      <c r="AU636" s="622" t="n"/>
      <c r="AV636" s="622" t="n"/>
      <c r="AW636" s="622" t="n"/>
      <c r="AX636" s="622" t="n"/>
      <c r="AY636" s="622" t="n"/>
    </row>
    <row r="637">
      <c r="A637" s="622" t="n"/>
      <c r="B637" s="622" t="n"/>
      <c r="C637" s="622" t="n"/>
      <c r="D637" s="622" t="n"/>
      <c r="E637" s="622" t="n"/>
      <c r="F637" s="622" t="n"/>
      <c r="G637" s="622" t="n"/>
      <c r="H637" s="622" t="n"/>
      <c r="I637" s="622" t="n"/>
      <c r="J637" s="622" t="n"/>
      <c r="K637" s="622" t="n"/>
      <c r="L637" s="622" t="n"/>
      <c r="M637" s="622" t="n"/>
      <c r="N637" s="622" t="n"/>
      <c r="O637" s="622" t="n"/>
      <c r="P637" s="622" t="n"/>
      <c r="Q637" s="622" t="n"/>
      <c r="R637" s="622" t="n"/>
      <c r="S637" s="622" t="n"/>
      <c r="T637" s="622" t="n"/>
      <c r="U637" s="622" t="n"/>
      <c r="V637" s="622" t="n"/>
      <c r="W637" s="622" t="n"/>
      <c r="X637" s="622" t="n"/>
      <c r="Y637" s="622" t="n"/>
      <c r="Z637" s="622" t="n"/>
      <c r="AA637" s="622" t="n"/>
      <c r="AB637" s="622" t="n"/>
      <c r="AC637" s="622" t="n"/>
      <c r="AD637" s="622" t="n"/>
      <c r="AE637" s="622" t="n"/>
      <c r="AF637" s="622" t="n"/>
      <c r="AG637" s="622" t="n"/>
      <c r="AH637" s="622" t="n"/>
      <c r="AI637" s="622" t="n"/>
      <c r="AJ637" s="622" t="n"/>
      <c r="AK637" s="622" t="n"/>
      <c r="AL637" s="622" t="n"/>
      <c r="AM637" s="622" t="n"/>
      <c r="AN637" s="622" t="n"/>
      <c r="AO637" s="622" t="n"/>
      <c r="AP637" s="622" t="n"/>
      <c r="AQ637" s="622" t="n"/>
      <c r="AR637" s="622" t="n"/>
      <c r="AS637" s="622" t="n"/>
      <c r="AT637" s="622" t="n"/>
      <c r="AU637" s="622" t="n"/>
      <c r="AV637" s="622" t="n"/>
      <c r="AW637" s="622" t="n"/>
      <c r="AX637" s="622" t="n"/>
      <c r="AY637" s="622" t="n"/>
    </row>
    <row r="638">
      <c r="A638" s="622" t="n"/>
      <c r="B638" s="622" t="n"/>
      <c r="C638" s="622" t="n"/>
      <c r="D638" s="622" t="n"/>
      <c r="E638" s="622" t="n"/>
      <c r="F638" s="622" t="n"/>
      <c r="G638" s="622" t="n"/>
      <c r="H638" s="622" t="n"/>
      <c r="I638" s="622" t="n"/>
      <c r="J638" s="622" t="n"/>
      <c r="K638" s="622" t="n"/>
      <c r="L638" s="622" t="n"/>
      <c r="M638" s="622" t="n"/>
      <c r="N638" s="622" t="n"/>
      <c r="O638" s="622" t="n"/>
      <c r="P638" s="622" t="n"/>
      <c r="Q638" s="622" t="n"/>
      <c r="R638" s="622" t="n"/>
      <c r="S638" s="622" t="n"/>
      <c r="T638" s="622" t="n"/>
      <c r="U638" s="622" t="n"/>
      <c r="V638" s="622" t="n"/>
      <c r="W638" s="622" t="n"/>
      <c r="X638" s="622" t="n"/>
      <c r="Y638" s="622" t="n"/>
      <c r="Z638" s="622" t="n"/>
      <c r="AA638" s="622" t="n"/>
      <c r="AB638" s="622" t="n"/>
      <c r="AC638" s="622" t="n"/>
      <c r="AD638" s="622" t="n"/>
      <c r="AE638" s="622" t="n"/>
      <c r="AF638" s="622" t="n"/>
      <c r="AG638" s="622" t="n"/>
      <c r="AH638" s="622" t="n"/>
      <c r="AI638" s="622" t="n"/>
      <c r="AJ638" s="622" t="n"/>
      <c r="AK638" s="622" t="n"/>
      <c r="AL638" s="622" t="n"/>
      <c r="AM638" s="622" t="n"/>
      <c r="AN638" s="622" t="n"/>
      <c r="AO638" s="622" t="n"/>
      <c r="AP638" s="622" t="n"/>
      <c r="AQ638" s="622" t="n"/>
      <c r="AR638" s="622" t="n"/>
      <c r="AS638" s="622" t="n"/>
      <c r="AT638" s="622" t="n"/>
      <c r="AU638" s="622" t="n"/>
      <c r="AV638" s="622" t="n"/>
      <c r="AW638" s="622" t="n"/>
      <c r="AX638" s="622" t="n"/>
      <c r="AY638" s="622" t="n"/>
    </row>
    <row r="639">
      <c r="A639" s="622" t="n"/>
      <c r="B639" s="622" t="n"/>
      <c r="C639" s="622" t="n"/>
      <c r="D639" s="622" t="n"/>
      <c r="E639" s="622" t="n"/>
      <c r="F639" s="622" t="n"/>
      <c r="G639" s="622" t="n"/>
      <c r="H639" s="622" t="n"/>
      <c r="I639" s="622" t="n"/>
      <c r="J639" s="622" t="n"/>
      <c r="K639" s="622" t="n"/>
      <c r="L639" s="622" t="n"/>
      <c r="M639" s="622" t="n"/>
      <c r="N639" s="622" t="n"/>
      <c r="O639" s="622" t="n"/>
      <c r="P639" s="622" t="n"/>
      <c r="Q639" s="622" t="n"/>
      <c r="R639" s="622" t="n"/>
      <c r="S639" s="622" t="n"/>
      <c r="T639" s="622" t="n"/>
      <c r="U639" s="622" t="n"/>
      <c r="V639" s="622" t="n"/>
      <c r="W639" s="622" t="n"/>
      <c r="X639" s="622" t="n"/>
      <c r="Y639" s="622" t="n"/>
      <c r="Z639" s="622" t="n"/>
      <c r="AA639" s="622" t="n"/>
      <c r="AB639" s="622" t="n"/>
      <c r="AC639" s="622" t="n"/>
      <c r="AD639" s="622" t="n"/>
      <c r="AE639" s="622" t="n"/>
      <c r="AF639" s="622" t="n"/>
      <c r="AG639" s="622" t="n"/>
      <c r="AH639" s="622" t="n"/>
      <c r="AI639" s="622" t="n"/>
      <c r="AJ639" s="622" t="n"/>
      <c r="AK639" s="622" t="n"/>
      <c r="AL639" s="622" t="n"/>
      <c r="AM639" s="622" t="n"/>
      <c r="AN639" s="622" t="n"/>
      <c r="AO639" s="622" t="n"/>
      <c r="AP639" s="622" t="n"/>
      <c r="AQ639" s="622" t="n"/>
      <c r="AR639" s="622" t="n"/>
      <c r="AS639" s="622" t="n"/>
      <c r="AT639" s="622" t="n"/>
      <c r="AU639" s="622" t="n"/>
      <c r="AV639" s="622" t="n"/>
      <c r="AW639" s="622" t="n"/>
      <c r="AX639" s="622" t="n"/>
      <c r="AY639" s="622" t="n"/>
    </row>
    <row r="640">
      <c r="A640" s="622" t="n"/>
      <c r="B640" s="622" t="n"/>
      <c r="C640" s="622" t="n"/>
      <c r="D640" s="622" t="n"/>
      <c r="E640" s="622" t="n"/>
      <c r="F640" s="622" t="n"/>
      <c r="G640" s="622" t="n"/>
      <c r="H640" s="622" t="n"/>
      <c r="I640" s="622" t="n"/>
      <c r="J640" s="622" t="n"/>
      <c r="K640" s="622" t="n"/>
      <c r="L640" s="622" t="n"/>
      <c r="M640" s="622" t="n"/>
      <c r="N640" s="622" t="n"/>
      <c r="O640" s="622" t="n"/>
      <c r="P640" s="622" t="n"/>
      <c r="Q640" s="622" t="n"/>
      <c r="R640" s="622" t="n"/>
      <c r="S640" s="622" t="n"/>
      <c r="T640" s="622" t="n"/>
      <c r="U640" s="622" t="n"/>
      <c r="V640" s="622" t="n"/>
      <c r="W640" s="622" t="n"/>
      <c r="X640" s="622" t="n"/>
      <c r="Y640" s="622" t="n"/>
      <c r="Z640" s="622" t="n"/>
      <c r="AA640" s="622" t="n"/>
      <c r="AB640" s="622" t="n"/>
      <c r="AC640" s="622" t="n"/>
      <c r="AD640" s="622" t="n"/>
      <c r="AE640" s="622" t="n"/>
      <c r="AF640" s="622" t="n"/>
      <c r="AG640" s="622" t="n"/>
      <c r="AH640" s="622" t="n"/>
      <c r="AI640" s="622" t="n"/>
      <c r="AJ640" s="622" t="n"/>
      <c r="AK640" s="622" t="n"/>
      <c r="AL640" s="622" t="n"/>
      <c r="AM640" s="622" t="n"/>
      <c r="AN640" s="622" t="n"/>
      <c r="AO640" s="622" t="n"/>
      <c r="AP640" s="622" t="n"/>
      <c r="AQ640" s="622" t="n"/>
      <c r="AR640" s="622" t="n"/>
      <c r="AS640" s="622" t="n"/>
      <c r="AT640" s="622" t="n"/>
      <c r="AU640" s="622" t="n"/>
      <c r="AV640" s="622" t="n"/>
      <c r="AW640" s="622" t="n"/>
      <c r="AX640" s="622" t="n"/>
      <c r="AY640" s="622" t="n"/>
    </row>
    <row r="641">
      <c r="A641" s="622" t="n"/>
      <c r="B641" s="622" t="n"/>
      <c r="C641" s="622" t="n"/>
      <c r="D641" s="622" t="n"/>
      <c r="E641" s="622" t="n"/>
      <c r="F641" s="622" t="n"/>
      <c r="G641" s="622" t="n"/>
      <c r="H641" s="622" t="n"/>
      <c r="I641" s="622" t="n"/>
      <c r="J641" s="622" t="n"/>
      <c r="K641" s="622" t="n"/>
      <c r="L641" s="622" t="n"/>
      <c r="M641" s="622" t="n"/>
      <c r="N641" s="622" t="n"/>
      <c r="O641" s="622" t="n"/>
      <c r="P641" s="622" t="n"/>
      <c r="Q641" s="622" t="n"/>
      <c r="R641" s="622" t="n"/>
      <c r="S641" s="622" t="n"/>
      <c r="T641" s="622" t="n"/>
      <c r="U641" s="622" t="n"/>
      <c r="V641" s="622" t="n"/>
      <c r="W641" s="622" t="n"/>
      <c r="X641" s="622" t="n"/>
      <c r="Y641" s="622" t="n"/>
      <c r="Z641" s="622" t="n"/>
      <c r="AA641" s="622" t="n"/>
      <c r="AB641" s="622" t="n"/>
      <c r="AC641" s="622" t="n"/>
      <c r="AD641" s="622" t="n"/>
      <c r="AE641" s="622" t="n"/>
      <c r="AF641" s="622" t="n"/>
      <c r="AG641" s="622" t="n"/>
      <c r="AH641" s="622" t="n"/>
      <c r="AI641" s="622" t="n"/>
      <c r="AJ641" s="622" t="n"/>
      <c r="AK641" s="622" t="n"/>
      <c r="AL641" s="622" t="n"/>
      <c r="AM641" s="622" t="n"/>
      <c r="AN641" s="622" t="n"/>
      <c r="AO641" s="622" t="n"/>
      <c r="AP641" s="622" t="n"/>
      <c r="AQ641" s="622" t="n"/>
      <c r="AR641" s="622" t="n"/>
      <c r="AS641" s="622" t="n"/>
      <c r="AT641" s="622" t="n"/>
      <c r="AU641" s="622" t="n"/>
      <c r="AV641" s="622" t="n"/>
      <c r="AW641" s="622" t="n"/>
      <c r="AX641" s="622" t="n"/>
      <c r="AY641" s="622" t="n"/>
    </row>
    <row r="642">
      <c r="A642" s="622" t="n"/>
      <c r="B642" s="622" t="n"/>
      <c r="C642" s="622" t="n"/>
      <c r="D642" s="622" t="n"/>
      <c r="E642" s="622" t="n"/>
      <c r="F642" s="622" t="n"/>
      <c r="G642" s="622" t="n"/>
      <c r="H642" s="622" t="n"/>
      <c r="I642" s="622" t="n"/>
      <c r="J642" s="622" t="n"/>
      <c r="K642" s="622" t="n"/>
      <c r="L642" s="622" t="n"/>
      <c r="M642" s="622" t="n"/>
      <c r="N642" s="622" t="n"/>
      <c r="O642" s="622" t="n"/>
      <c r="P642" s="622" t="n"/>
      <c r="Q642" s="622" t="n"/>
      <c r="R642" s="622" t="n"/>
      <c r="S642" s="622" t="n"/>
      <c r="T642" s="622" t="n"/>
      <c r="U642" s="622" t="n"/>
      <c r="V642" s="622" t="n"/>
      <c r="W642" s="622" t="n"/>
      <c r="X642" s="622" t="n"/>
      <c r="Y642" s="622" t="n"/>
      <c r="Z642" s="622" t="n"/>
      <c r="AA642" s="622" t="n"/>
      <c r="AB642" s="622" t="n"/>
      <c r="AC642" s="622" t="n"/>
      <c r="AD642" s="622" t="n"/>
      <c r="AE642" s="622" t="n"/>
      <c r="AF642" s="622" t="n"/>
      <c r="AG642" s="622" t="n"/>
      <c r="AH642" s="622" t="n"/>
      <c r="AI642" s="622" t="n"/>
      <c r="AJ642" s="622" t="n"/>
      <c r="AK642" s="622" t="n"/>
      <c r="AL642" s="622" t="n"/>
      <c r="AM642" s="622" t="n"/>
      <c r="AN642" s="622" t="n"/>
      <c r="AO642" s="622" t="n"/>
      <c r="AP642" s="622" t="n"/>
      <c r="AQ642" s="622" t="n"/>
      <c r="AR642" s="622" t="n"/>
      <c r="AS642" s="622" t="n"/>
      <c r="AT642" s="622" t="n"/>
      <c r="AU642" s="622" t="n"/>
      <c r="AV642" s="622" t="n"/>
      <c r="AW642" s="622" t="n"/>
      <c r="AX642" s="622" t="n"/>
      <c r="AY642" s="622" t="n"/>
    </row>
    <row r="643">
      <c r="A643" s="622" t="n"/>
      <c r="B643" s="622" t="n"/>
      <c r="C643" s="622" t="n"/>
      <c r="D643" s="622" t="n"/>
      <c r="E643" s="622" t="n"/>
      <c r="F643" s="622" t="n"/>
      <c r="G643" s="622" t="n"/>
      <c r="H643" s="622" t="n"/>
      <c r="I643" s="622" t="n"/>
      <c r="J643" s="622" t="n"/>
      <c r="K643" s="622" t="n"/>
      <c r="L643" s="622" t="n"/>
      <c r="M643" s="622" t="n"/>
      <c r="N643" s="622" t="n"/>
      <c r="O643" s="622" t="n"/>
      <c r="P643" s="622" t="n"/>
      <c r="Q643" s="622" t="n"/>
      <c r="R643" s="622" t="n"/>
      <c r="S643" s="622" t="n"/>
      <c r="T643" s="622" t="n"/>
      <c r="U643" s="622" t="n"/>
      <c r="V643" s="622" t="n"/>
      <c r="W643" s="622" t="n"/>
      <c r="X643" s="622" t="n"/>
      <c r="Y643" s="622" t="n"/>
      <c r="Z643" s="622" t="n"/>
      <c r="AA643" s="622" t="n"/>
      <c r="AB643" s="622" t="n"/>
      <c r="AC643" s="622" t="n"/>
      <c r="AD643" s="622" t="n"/>
      <c r="AE643" s="622" t="n"/>
      <c r="AF643" s="622" t="n"/>
      <c r="AG643" s="622" t="n"/>
      <c r="AH643" s="622" t="n"/>
      <c r="AI643" s="622" t="n"/>
      <c r="AJ643" s="622" t="n"/>
      <c r="AK643" s="622" t="n"/>
      <c r="AL643" s="622" t="n"/>
      <c r="AM643" s="622" t="n"/>
      <c r="AN643" s="622" t="n"/>
      <c r="AO643" s="622" t="n"/>
      <c r="AP643" s="622" t="n"/>
      <c r="AQ643" s="622" t="n"/>
      <c r="AR643" s="622" t="n"/>
      <c r="AS643" s="622" t="n"/>
      <c r="AT643" s="622" t="n"/>
      <c r="AU643" s="622" t="n"/>
      <c r="AV643" s="622" t="n"/>
      <c r="AW643" s="622" t="n"/>
      <c r="AX643" s="622" t="n"/>
      <c r="AY643" s="622" t="n"/>
    </row>
    <row r="644">
      <c r="A644" s="622" t="n"/>
      <c r="B644" s="622" t="n"/>
      <c r="C644" s="622" t="n"/>
      <c r="D644" s="622" t="n"/>
      <c r="E644" s="622" t="n"/>
      <c r="F644" s="622" t="n"/>
      <c r="G644" s="622" t="n"/>
      <c r="H644" s="622" t="n"/>
      <c r="I644" s="622" t="n"/>
      <c r="J644" s="622" t="n"/>
      <c r="K644" s="622" t="n"/>
      <c r="L644" s="622" t="n"/>
      <c r="M644" s="622" t="n"/>
      <c r="N644" s="622" t="n"/>
      <c r="O644" s="622" t="n"/>
      <c r="P644" s="622" t="n"/>
      <c r="Q644" s="622" t="n"/>
      <c r="R644" s="622" t="n"/>
      <c r="S644" s="622" t="n"/>
      <c r="T644" s="622" t="n"/>
      <c r="U644" s="622" t="n"/>
      <c r="V644" s="622" t="n"/>
      <c r="W644" s="622" t="n"/>
      <c r="X644" s="622" t="n"/>
      <c r="Y644" s="622" t="n"/>
      <c r="Z644" s="622" t="n"/>
      <c r="AA644" s="622" t="n"/>
      <c r="AB644" s="622" t="n"/>
      <c r="AC644" s="622" t="n"/>
      <c r="AD644" s="622" t="n"/>
      <c r="AE644" s="622" t="n"/>
      <c r="AF644" s="622" t="n"/>
      <c r="AG644" s="622" t="n"/>
      <c r="AH644" s="622" t="n"/>
      <c r="AI644" s="622" t="n"/>
      <c r="AJ644" s="622" t="n"/>
      <c r="AK644" s="622" t="n"/>
      <c r="AL644" s="622" t="n"/>
      <c r="AM644" s="622" t="n"/>
      <c r="AN644" s="622" t="n"/>
      <c r="AO644" s="622" t="n"/>
      <c r="AP644" s="622" t="n"/>
      <c r="AQ644" s="622" t="n"/>
      <c r="AR644" s="622" t="n"/>
      <c r="AS644" s="622" t="n"/>
      <c r="AT644" s="622" t="n"/>
      <c r="AU644" s="622" t="n"/>
      <c r="AV644" s="622" t="n"/>
      <c r="AW644" s="622" t="n"/>
      <c r="AX644" s="622" t="n"/>
      <c r="AY644" s="622" t="n"/>
    </row>
    <row r="645">
      <c r="A645" s="622" t="n"/>
      <c r="B645" s="622" t="n"/>
      <c r="C645" s="622" t="n"/>
      <c r="D645" s="622" t="n"/>
      <c r="E645" s="622" t="n"/>
      <c r="F645" s="622" t="n"/>
      <c r="G645" s="622" t="n"/>
      <c r="H645" s="622" t="n"/>
      <c r="I645" s="622" t="n"/>
      <c r="J645" s="622" t="n"/>
      <c r="K645" s="622" t="n"/>
      <c r="L645" s="622" t="n"/>
      <c r="M645" s="622" t="n"/>
      <c r="N645" s="622" t="n"/>
      <c r="O645" s="622" t="n"/>
      <c r="P645" s="622" t="n"/>
      <c r="Q645" s="622" t="n"/>
      <c r="R645" s="622" t="n"/>
      <c r="S645" s="622" t="n"/>
      <c r="T645" s="622" t="n"/>
      <c r="U645" s="622" t="n"/>
      <c r="V645" s="622" t="n"/>
      <c r="W645" s="622" t="n"/>
      <c r="X645" s="622" t="n"/>
      <c r="Y645" s="622" t="n"/>
      <c r="Z645" s="622" t="n"/>
      <c r="AA645" s="622" t="n"/>
      <c r="AB645" s="622" t="n"/>
      <c r="AC645" s="622" t="n"/>
      <c r="AD645" s="622" t="n"/>
      <c r="AE645" s="622" t="n"/>
      <c r="AF645" s="622" t="n"/>
      <c r="AG645" s="622" t="n"/>
      <c r="AH645" s="622" t="n"/>
      <c r="AI645" s="622" t="n"/>
      <c r="AJ645" s="622" t="n"/>
      <c r="AK645" s="622" t="n"/>
      <c r="AL645" s="622" t="n"/>
      <c r="AM645" s="622" t="n"/>
      <c r="AN645" s="622" t="n"/>
      <c r="AO645" s="622" t="n"/>
      <c r="AP645" s="622" t="n"/>
      <c r="AQ645" s="622" t="n"/>
      <c r="AR645" s="622" t="n"/>
      <c r="AS645" s="622" t="n"/>
      <c r="AT645" s="622" t="n"/>
      <c r="AU645" s="622" t="n"/>
      <c r="AV645" s="622" t="n"/>
      <c r="AW645" s="622" t="n"/>
      <c r="AX645" s="622" t="n"/>
      <c r="AY645" s="622" t="n"/>
    </row>
    <row r="646">
      <c r="A646" s="622" t="n"/>
      <c r="B646" s="622" t="n"/>
      <c r="C646" s="622" t="n"/>
      <c r="D646" s="622" t="n"/>
      <c r="E646" s="622" t="n"/>
      <c r="F646" s="622" t="n"/>
      <c r="G646" s="622" t="n"/>
      <c r="H646" s="622" t="n"/>
      <c r="I646" s="622" t="n"/>
      <c r="J646" s="622" t="n"/>
      <c r="K646" s="622" t="n"/>
      <c r="L646" s="622" t="n"/>
      <c r="M646" s="622" t="n"/>
      <c r="N646" s="622" t="n"/>
      <c r="O646" s="622" t="n"/>
      <c r="P646" s="622" t="n"/>
      <c r="Q646" s="622" t="n"/>
      <c r="R646" s="622" t="n"/>
      <c r="S646" s="622" t="n"/>
      <c r="T646" s="622" t="n"/>
      <c r="U646" s="622" t="n"/>
      <c r="V646" s="622" t="n"/>
      <c r="W646" s="622" t="n"/>
      <c r="X646" s="622" t="n"/>
      <c r="Y646" s="622" t="n"/>
      <c r="Z646" s="622" t="n"/>
      <c r="AA646" s="622" t="n"/>
      <c r="AB646" s="622" t="n"/>
      <c r="AC646" s="622" t="n"/>
      <c r="AD646" s="622" t="n"/>
      <c r="AE646" s="622" t="n"/>
      <c r="AF646" s="622" t="n"/>
      <c r="AG646" s="622" t="n"/>
      <c r="AH646" s="622" t="n"/>
      <c r="AI646" s="622" t="n"/>
      <c r="AJ646" s="622" t="n"/>
      <c r="AK646" s="622" t="n"/>
      <c r="AL646" s="622" t="n"/>
      <c r="AM646" s="622" t="n"/>
      <c r="AN646" s="622" t="n"/>
      <c r="AO646" s="622" t="n"/>
      <c r="AP646" s="622" t="n"/>
      <c r="AQ646" s="622" t="n"/>
      <c r="AR646" s="622" t="n"/>
      <c r="AS646" s="622" t="n"/>
      <c r="AT646" s="622" t="n"/>
      <c r="AU646" s="622" t="n"/>
      <c r="AV646" s="622" t="n"/>
      <c r="AW646" s="622" t="n"/>
      <c r="AX646" s="622" t="n"/>
      <c r="AY646" s="622" t="n"/>
    </row>
    <row r="647">
      <c r="A647" s="622" t="n"/>
      <c r="B647" s="622" t="n"/>
      <c r="C647" s="622" t="n"/>
      <c r="D647" s="622" t="n"/>
      <c r="E647" s="622" t="n"/>
      <c r="F647" s="622" t="n"/>
      <c r="G647" s="622" t="n"/>
      <c r="H647" s="622" t="n"/>
      <c r="I647" s="622" t="n"/>
      <c r="J647" s="622" t="n"/>
      <c r="K647" s="622" t="n"/>
      <c r="L647" s="622" t="n"/>
      <c r="M647" s="622" t="n"/>
      <c r="N647" s="622" t="n"/>
      <c r="O647" s="622" t="n"/>
      <c r="P647" s="622" t="n"/>
      <c r="Q647" s="622" t="n"/>
      <c r="R647" s="622" t="n"/>
      <c r="S647" s="622" t="n"/>
      <c r="T647" s="622" t="n"/>
      <c r="U647" s="622" t="n"/>
      <c r="V647" s="622" t="n"/>
      <c r="W647" s="622" t="n"/>
      <c r="X647" s="622" t="n"/>
      <c r="Y647" s="622" t="n"/>
      <c r="Z647" s="622" t="n"/>
      <c r="AA647" s="622" t="n"/>
      <c r="AB647" s="622" t="n"/>
      <c r="AC647" s="622" t="n"/>
      <c r="AD647" s="622" t="n"/>
      <c r="AE647" s="622" t="n"/>
      <c r="AF647" s="622" t="n"/>
      <c r="AG647" s="622" t="n"/>
      <c r="AH647" s="622" t="n"/>
      <c r="AI647" s="622" t="n"/>
      <c r="AJ647" s="622" t="n"/>
      <c r="AK647" s="622" t="n"/>
      <c r="AL647" s="622" t="n"/>
      <c r="AM647" s="622" t="n"/>
      <c r="AN647" s="622" t="n"/>
      <c r="AO647" s="622" t="n"/>
      <c r="AP647" s="622" t="n"/>
      <c r="AQ647" s="622" t="n"/>
      <c r="AR647" s="622" t="n"/>
      <c r="AS647" s="622" t="n"/>
      <c r="AT647" s="622" t="n"/>
      <c r="AU647" s="622" t="n"/>
      <c r="AV647" s="622" t="n"/>
      <c r="AW647" s="622" t="n"/>
      <c r="AX647" s="622" t="n"/>
      <c r="AY647" s="622" t="n"/>
    </row>
    <row r="648">
      <c r="A648" s="622" t="n"/>
      <c r="B648" s="622" t="n"/>
      <c r="C648" s="622" t="n"/>
      <c r="D648" s="622" t="n"/>
      <c r="E648" s="622" t="n"/>
      <c r="F648" s="622" t="n"/>
      <c r="G648" s="622" t="n"/>
      <c r="H648" s="622" t="n"/>
      <c r="I648" s="622" t="n"/>
      <c r="J648" s="622" t="n"/>
      <c r="K648" s="622" t="n"/>
      <c r="L648" s="622" t="n"/>
      <c r="M648" s="622" t="n"/>
      <c r="N648" s="622" t="n"/>
      <c r="O648" s="622" t="n"/>
      <c r="P648" s="622" t="n"/>
      <c r="Q648" s="622" t="n"/>
      <c r="R648" s="622" t="n"/>
      <c r="S648" s="622" t="n"/>
      <c r="T648" s="622" t="n"/>
      <c r="U648" s="622" t="n"/>
      <c r="V648" s="622" t="n"/>
      <c r="W648" s="622" t="n"/>
      <c r="X648" s="622" t="n"/>
      <c r="Y648" s="622" t="n"/>
      <c r="Z648" s="622" t="n"/>
      <c r="AA648" s="622" t="n"/>
      <c r="AB648" s="622" t="n"/>
      <c r="AC648" s="622" t="n"/>
      <c r="AD648" s="622" t="n"/>
      <c r="AE648" s="622" t="n"/>
      <c r="AF648" s="622" t="n"/>
      <c r="AG648" s="622" t="n"/>
      <c r="AH648" s="622" t="n"/>
      <c r="AI648" s="622" t="n"/>
      <c r="AJ648" s="622" t="n"/>
      <c r="AK648" s="622" t="n"/>
      <c r="AL648" s="622" t="n"/>
      <c r="AM648" s="622" t="n"/>
      <c r="AN648" s="622" t="n"/>
      <c r="AO648" s="622" t="n"/>
      <c r="AP648" s="622" t="n"/>
      <c r="AQ648" s="622" t="n"/>
      <c r="AR648" s="622" t="n"/>
      <c r="AS648" s="622" t="n"/>
      <c r="AT648" s="622" t="n"/>
      <c r="AU648" s="622" t="n"/>
      <c r="AV648" s="622" t="n"/>
      <c r="AW648" s="622" t="n"/>
      <c r="AX648" s="622" t="n"/>
      <c r="AY648" s="622" t="n"/>
    </row>
    <row r="649">
      <c r="A649" s="622" t="n"/>
      <c r="B649" s="622" t="n"/>
      <c r="C649" s="622" t="n"/>
      <c r="D649" s="622" t="n"/>
      <c r="E649" s="622" t="n"/>
      <c r="F649" s="622" t="n"/>
      <c r="G649" s="622" t="n"/>
      <c r="H649" s="622" t="n"/>
      <c r="I649" s="622" t="n"/>
      <c r="J649" s="622" t="n"/>
      <c r="K649" s="622" t="n"/>
      <c r="L649" s="622" t="n"/>
      <c r="M649" s="622" t="n"/>
      <c r="N649" s="622" t="n"/>
      <c r="O649" s="622" t="n"/>
      <c r="P649" s="622" t="n"/>
      <c r="Q649" s="622" t="n"/>
      <c r="R649" s="622" t="n"/>
      <c r="S649" s="622" t="n"/>
      <c r="T649" s="622" t="n"/>
      <c r="U649" s="622" t="n"/>
      <c r="V649" s="622" t="n"/>
      <c r="W649" s="622" t="n"/>
      <c r="X649" s="622" t="n"/>
      <c r="Y649" s="622" t="n"/>
      <c r="Z649" s="622" t="n"/>
      <c r="AA649" s="622" t="n"/>
      <c r="AB649" s="622" t="n"/>
      <c r="AC649" s="622" t="n"/>
      <c r="AD649" s="622" t="n"/>
      <c r="AE649" s="622" t="n"/>
      <c r="AF649" s="622" t="n"/>
      <c r="AG649" s="622" t="n"/>
      <c r="AH649" s="622" t="n"/>
      <c r="AI649" s="622" t="n"/>
      <c r="AJ649" s="622" t="n"/>
      <c r="AK649" s="622" t="n"/>
      <c r="AL649" s="622" t="n"/>
      <c r="AM649" s="622" t="n"/>
      <c r="AN649" s="622" t="n"/>
      <c r="AO649" s="622" t="n"/>
      <c r="AP649" s="622" t="n"/>
      <c r="AQ649" s="622" t="n"/>
      <c r="AR649" s="622" t="n"/>
      <c r="AS649" s="622" t="n"/>
      <c r="AT649" s="622" t="n"/>
      <c r="AU649" s="622" t="n"/>
      <c r="AV649" s="622" t="n"/>
      <c r="AW649" s="622" t="n"/>
      <c r="AX649" s="622" t="n"/>
      <c r="AY649" s="622" t="n"/>
    </row>
    <row r="650">
      <c r="A650" s="622" t="n"/>
      <c r="B650" s="622" t="n"/>
      <c r="C650" s="622" t="n"/>
      <c r="D650" s="622" t="n"/>
      <c r="E650" s="622" t="n"/>
      <c r="F650" s="622" t="n"/>
      <c r="G650" s="622" t="n"/>
      <c r="H650" s="622" t="n"/>
      <c r="I650" s="622" t="n"/>
      <c r="J650" s="622" t="n"/>
      <c r="K650" s="622" t="n"/>
      <c r="L650" s="622" t="n"/>
      <c r="M650" s="622" t="n"/>
      <c r="N650" s="622" t="n"/>
      <c r="O650" s="622" t="n"/>
      <c r="P650" s="622" t="n"/>
      <c r="Q650" s="622" t="n"/>
      <c r="R650" s="622" t="n"/>
      <c r="S650" s="622" t="n"/>
      <c r="T650" s="622" t="n"/>
      <c r="U650" s="622" t="n"/>
      <c r="V650" s="622" t="n"/>
      <c r="W650" s="622" t="n"/>
      <c r="X650" s="622" t="n"/>
      <c r="Y650" s="622" t="n"/>
      <c r="Z650" s="622" t="n"/>
      <c r="AA650" s="622" t="n"/>
      <c r="AB650" s="622" t="n"/>
      <c r="AC650" s="622" t="n"/>
      <c r="AD650" s="622" t="n"/>
      <c r="AE650" s="622" t="n"/>
      <c r="AF650" s="622" t="n"/>
      <c r="AG650" s="622" t="n"/>
      <c r="AH650" s="622" t="n"/>
      <c r="AI650" s="622" t="n"/>
      <c r="AJ650" s="622" t="n"/>
      <c r="AK650" s="622" t="n"/>
      <c r="AL650" s="622" t="n"/>
      <c r="AM650" s="622" t="n"/>
      <c r="AN650" s="622" t="n"/>
      <c r="AO650" s="622" t="n"/>
      <c r="AP650" s="622" t="n"/>
      <c r="AQ650" s="622" t="n"/>
      <c r="AR650" s="622" t="n"/>
      <c r="AS650" s="622" t="n"/>
      <c r="AT650" s="622" t="n"/>
      <c r="AU650" s="622" t="n"/>
      <c r="AV650" s="622" t="n"/>
      <c r="AW650" s="622" t="n"/>
      <c r="AX650" s="622" t="n"/>
      <c r="AY650" s="622" t="n"/>
    </row>
    <row r="651">
      <c r="A651" s="622" t="n"/>
      <c r="B651" s="622" t="n"/>
      <c r="C651" s="622" t="n"/>
      <c r="D651" s="622" t="n"/>
      <c r="E651" s="622" t="n"/>
      <c r="F651" s="622" t="n"/>
      <c r="G651" s="622" t="n"/>
      <c r="H651" s="622" t="n"/>
      <c r="I651" s="622" t="n"/>
      <c r="J651" s="622" t="n"/>
      <c r="K651" s="622" t="n"/>
      <c r="L651" s="622" t="n"/>
      <c r="M651" s="622" t="n"/>
      <c r="N651" s="622" t="n"/>
      <c r="O651" s="622" t="n"/>
      <c r="P651" s="622" t="n"/>
      <c r="Q651" s="622" t="n"/>
      <c r="R651" s="622" t="n"/>
      <c r="S651" s="622" t="n"/>
      <c r="T651" s="622" t="n"/>
      <c r="U651" s="622" t="n"/>
      <c r="V651" s="622" t="n"/>
      <c r="W651" s="622" t="n"/>
      <c r="X651" s="622" t="n"/>
      <c r="Y651" s="622" t="n"/>
      <c r="Z651" s="622" t="n"/>
      <c r="AA651" s="622" t="n"/>
      <c r="AB651" s="622" t="n"/>
      <c r="AC651" s="622" t="n"/>
      <c r="AD651" s="622" t="n"/>
      <c r="AE651" s="622" t="n"/>
      <c r="AF651" s="622" t="n"/>
      <c r="AG651" s="622" t="n"/>
      <c r="AH651" s="622" t="n"/>
      <c r="AI651" s="622" t="n"/>
      <c r="AJ651" s="622" t="n"/>
      <c r="AK651" s="622" t="n"/>
      <c r="AL651" s="622" t="n"/>
      <c r="AM651" s="622" t="n"/>
      <c r="AN651" s="622" t="n"/>
      <c r="AO651" s="622" t="n"/>
      <c r="AP651" s="622" t="n"/>
      <c r="AQ651" s="622" t="n"/>
      <c r="AR651" s="622" t="n"/>
      <c r="AS651" s="622" t="n"/>
      <c r="AT651" s="622" t="n"/>
      <c r="AU651" s="622" t="n"/>
      <c r="AV651" s="622" t="n"/>
      <c r="AW651" s="622" t="n"/>
      <c r="AX651" s="622" t="n"/>
      <c r="AY651" s="622" t="n"/>
    </row>
    <row r="652">
      <c r="A652" s="622" t="n"/>
      <c r="B652" s="622" t="n"/>
      <c r="C652" s="622" t="n"/>
      <c r="D652" s="622" t="n"/>
      <c r="E652" s="622" t="n"/>
      <c r="F652" s="622" t="n"/>
      <c r="G652" s="622" t="n"/>
      <c r="H652" s="622" t="n"/>
      <c r="I652" s="622" t="n"/>
      <c r="J652" s="622" t="n"/>
      <c r="K652" s="622" t="n"/>
      <c r="L652" s="622" t="n"/>
      <c r="M652" s="622" t="n"/>
      <c r="N652" s="622" t="n"/>
      <c r="O652" s="622" t="n"/>
      <c r="P652" s="622" t="n"/>
      <c r="Q652" s="622" t="n"/>
      <c r="R652" s="622" t="n"/>
      <c r="S652" s="622" t="n"/>
      <c r="T652" s="622" t="n"/>
      <c r="U652" s="622" t="n"/>
      <c r="V652" s="622" t="n"/>
      <c r="W652" s="622" t="n"/>
      <c r="X652" s="622" t="n"/>
      <c r="Y652" s="622" t="n"/>
      <c r="Z652" s="622" t="n"/>
      <c r="AA652" s="622" t="n"/>
      <c r="AB652" s="622" t="n"/>
      <c r="AC652" s="622" t="n"/>
      <c r="AD652" s="622" t="n"/>
      <c r="AE652" s="622" t="n"/>
      <c r="AF652" s="622" t="n"/>
      <c r="AG652" s="622" t="n"/>
      <c r="AH652" s="622" t="n"/>
      <c r="AI652" s="622" t="n"/>
      <c r="AJ652" s="622" t="n"/>
      <c r="AK652" s="622" t="n"/>
      <c r="AL652" s="622" t="n"/>
      <c r="AM652" s="622" t="n"/>
      <c r="AN652" s="622" t="n"/>
      <c r="AO652" s="622" t="n"/>
      <c r="AP652" s="622" t="n"/>
      <c r="AQ652" s="622" t="n"/>
      <c r="AR652" s="622" t="n"/>
      <c r="AS652" s="622" t="n"/>
      <c r="AT652" s="622" t="n"/>
      <c r="AU652" s="622" t="n"/>
      <c r="AV652" s="622" t="n"/>
      <c r="AW652" s="622" t="n"/>
      <c r="AX652" s="622" t="n"/>
      <c r="AY652" s="622" t="n"/>
    </row>
    <row r="653">
      <c r="A653" s="622" t="n"/>
      <c r="B653" s="622" t="n"/>
      <c r="C653" s="622" t="n"/>
      <c r="D653" s="622" t="n"/>
      <c r="E653" s="622" t="n"/>
      <c r="F653" s="622" t="n"/>
      <c r="G653" s="622" t="n"/>
      <c r="H653" s="622" t="n"/>
      <c r="I653" s="622" t="n"/>
      <c r="J653" s="622" t="n"/>
      <c r="K653" s="622" t="n"/>
      <c r="L653" s="622" t="n"/>
      <c r="M653" s="622" t="n"/>
      <c r="N653" s="622" t="n"/>
      <c r="O653" s="622" t="n"/>
      <c r="P653" s="622" t="n"/>
      <c r="Q653" s="622" t="n"/>
      <c r="R653" s="622" t="n"/>
      <c r="S653" s="622" t="n"/>
      <c r="T653" s="622" t="n"/>
      <c r="U653" s="622" t="n"/>
      <c r="V653" s="622" t="n"/>
      <c r="W653" s="622" t="n"/>
      <c r="X653" s="622" t="n"/>
      <c r="Y653" s="622" t="n"/>
      <c r="Z653" s="622" t="n"/>
      <c r="AA653" s="622" t="n"/>
      <c r="AB653" s="622" t="n"/>
      <c r="AC653" s="622" t="n"/>
      <c r="AD653" s="622" t="n"/>
      <c r="AE653" s="622" t="n"/>
      <c r="AF653" s="622" t="n"/>
      <c r="AG653" s="622" t="n"/>
      <c r="AH653" s="622" t="n"/>
      <c r="AI653" s="622" t="n"/>
      <c r="AJ653" s="622" t="n"/>
      <c r="AK653" s="622" t="n"/>
      <c r="AL653" s="622" t="n"/>
      <c r="AM653" s="622" t="n"/>
      <c r="AN653" s="622" t="n"/>
      <c r="AO653" s="622" t="n"/>
      <c r="AP653" s="622" t="n"/>
      <c r="AQ653" s="622" t="n"/>
      <c r="AR653" s="622" t="n"/>
      <c r="AS653" s="622" t="n"/>
      <c r="AT653" s="622" t="n"/>
      <c r="AU653" s="622" t="n"/>
      <c r="AV653" s="622" t="n"/>
      <c r="AW653" s="622" t="n"/>
      <c r="AX653" s="622" t="n"/>
      <c r="AY653" s="622" t="n"/>
    </row>
    <row r="654">
      <c r="A654" s="622" t="n"/>
      <c r="B654" s="622" t="n"/>
      <c r="C654" s="622" t="n"/>
      <c r="D654" s="622" t="n"/>
      <c r="E654" s="622" t="n"/>
      <c r="F654" s="622" t="n"/>
      <c r="G654" s="622" t="n"/>
      <c r="H654" s="622" t="n"/>
      <c r="I654" s="622" t="n"/>
      <c r="J654" s="622" t="n"/>
      <c r="K654" s="622" t="n"/>
      <c r="L654" s="622" t="n"/>
      <c r="M654" s="622" t="n"/>
      <c r="N654" s="622" t="n"/>
      <c r="O654" s="622" t="n"/>
      <c r="P654" s="622" t="n"/>
      <c r="Q654" s="622" t="n"/>
      <c r="R654" s="622" t="n"/>
      <c r="S654" s="622" t="n"/>
      <c r="T654" s="622" t="n"/>
      <c r="U654" s="622" t="n"/>
      <c r="V654" s="622" t="n"/>
      <c r="W654" s="622" t="n"/>
      <c r="X654" s="622" t="n"/>
      <c r="Y654" s="622" t="n"/>
      <c r="Z654" s="622" t="n"/>
      <c r="AA654" s="622" t="n"/>
      <c r="AB654" s="622" t="n"/>
      <c r="AC654" s="622" t="n"/>
      <c r="AD654" s="622" t="n"/>
      <c r="AE654" s="622" t="n"/>
      <c r="AF654" s="622" t="n"/>
      <c r="AG654" s="622" t="n"/>
      <c r="AH654" s="622" t="n"/>
      <c r="AI654" s="622" t="n"/>
      <c r="AJ654" s="622" t="n"/>
      <c r="AK654" s="622" t="n"/>
      <c r="AL654" s="622" t="n"/>
      <c r="AM654" s="622" t="n"/>
      <c r="AN654" s="622" t="n"/>
      <c r="AO654" s="622" t="n"/>
      <c r="AP654" s="622" t="n"/>
      <c r="AQ654" s="622" t="n"/>
      <c r="AR654" s="622" t="n"/>
      <c r="AS654" s="622" t="n"/>
      <c r="AT654" s="622" t="n"/>
      <c r="AU654" s="622" t="n"/>
      <c r="AV654" s="622" t="n"/>
      <c r="AW654" s="622" t="n"/>
      <c r="AX654" s="622" t="n"/>
      <c r="AY654" s="622" t="n"/>
    </row>
    <row r="655">
      <c r="A655" s="622" t="n"/>
      <c r="B655" s="622" t="n"/>
      <c r="C655" s="622" t="n"/>
      <c r="D655" s="622" t="n"/>
      <c r="E655" s="622" t="n"/>
      <c r="F655" s="622" t="n"/>
      <c r="G655" s="622" t="n"/>
      <c r="H655" s="622" t="n"/>
      <c r="I655" s="622" t="n"/>
      <c r="J655" s="622" t="n"/>
      <c r="K655" s="622" t="n"/>
      <c r="L655" s="622" t="n"/>
      <c r="M655" s="622" t="n"/>
      <c r="N655" s="622" t="n"/>
      <c r="O655" s="622" t="n"/>
      <c r="P655" s="622" t="n"/>
      <c r="Q655" s="622" t="n"/>
      <c r="R655" s="622" t="n"/>
      <c r="S655" s="622" t="n"/>
      <c r="T655" s="622" t="n"/>
      <c r="U655" s="622" t="n"/>
      <c r="V655" s="622" t="n"/>
      <c r="W655" s="622" t="n"/>
      <c r="X655" s="622" t="n"/>
      <c r="Y655" s="622" t="n"/>
      <c r="Z655" s="622" t="n"/>
      <c r="AA655" s="622" t="n"/>
      <c r="AB655" s="622" t="n"/>
      <c r="AC655" s="622" t="n"/>
      <c r="AD655" s="622" t="n"/>
      <c r="AE655" s="622" t="n"/>
      <c r="AF655" s="622" t="n"/>
      <c r="AG655" s="622" t="n"/>
      <c r="AH655" s="622" t="n"/>
      <c r="AI655" s="622" t="n"/>
      <c r="AJ655" s="622" t="n"/>
      <c r="AK655" s="622" t="n"/>
      <c r="AL655" s="622" t="n"/>
      <c r="AM655" s="622" t="n"/>
      <c r="AN655" s="622" t="n"/>
      <c r="AO655" s="622" t="n"/>
      <c r="AP655" s="622" t="n"/>
      <c r="AQ655" s="622" t="n"/>
      <c r="AR655" s="622" t="n"/>
      <c r="AS655" s="622" t="n"/>
      <c r="AT655" s="622" t="n"/>
      <c r="AU655" s="622" t="n"/>
      <c r="AV655" s="622" t="n"/>
      <c r="AW655" s="622" t="n"/>
      <c r="AX655" s="622" t="n"/>
      <c r="AY655" s="622" t="n"/>
    </row>
    <row r="656">
      <c r="A656" s="622" t="n"/>
      <c r="B656" s="622" t="n"/>
      <c r="C656" s="622" t="n"/>
      <c r="D656" s="622" t="n"/>
      <c r="E656" s="622" t="n"/>
      <c r="F656" s="622" t="n"/>
      <c r="G656" s="622" t="n"/>
      <c r="H656" s="622" t="n"/>
      <c r="I656" s="622" t="n"/>
      <c r="J656" s="622" t="n"/>
      <c r="K656" s="622" t="n"/>
      <c r="L656" s="622" t="n"/>
      <c r="M656" s="622" t="n"/>
      <c r="N656" s="622" t="n"/>
      <c r="O656" s="622" t="n"/>
      <c r="P656" s="622" t="n"/>
      <c r="Q656" s="622" t="n"/>
      <c r="R656" s="622" t="n"/>
      <c r="S656" s="622" t="n"/>
      <c r="T656" s="622" t="n"/>
      <c r="U656" s="622" t="n"/>
      <c r="V656" s="622" t="n"/>
      <c r="W656" s="622" t="n"/>
      <c r="X656" s="622" t="n"/>
      <c r="Y656" s="622" t="n"/>
      <c r="Z656" s="622" t="n"/>
      <c r="AA656" s="622" t="n"/>
      <c r="AB656" s="622" t="n"/>
      <c r="AC656" s="622" t="n"/>
      <c r="AD656" s="622" t="n"/>
      <c r="AE656" s="622" t="n"/>
      <c r="AF656" s="622" t="n"/>
      <c r="AG656" s="622" t="n"/>
      <c r="AH656" s="622" t="n"/>
      <c r="AI656" s="622" t="n"/>
      <c r="AJ656" s="622" t="n"/>
      <c r="AK656" s="622" t="n"/>
      <c r="AL656" s="622" t="n"/>
      <c r="AM656" s="622" t="n"/>
      <c r="AN656" s="622" t="n"/>
      <c r="AO656" s="622" t="n"/>
      <c r="AP656" s="622" t="n"/>
      <c r="AQ656" s="622" t="n"/>
      <c r="AR656" s="622" t="n"/>
      <c r="AS656" s="622" t="n"/>
      <c r="AT656" s="622" t="n"/>
      <c r="AU656" s="622" t="n"/>
      <c r="AV656" s="622" t="n"/>
      <c r="AW656" s="622" t="n"/>
      <c r="AX656" s="622" t="n"/>
      <c r="AY656" s="622" t="n"/>
    </row>
    <row r="657">
      <c r="A657" s="622" t="n"/>
      <c r="B657" s="622" t="n"/>
      <c r="C657" s="622" t="n"/>
      <c r="D657" s="622" t="n"/>
      <c r="E657" s="622" t="n"/>
      <c r="F657" s="622" t="n"/>
      <c r="G657" s="622" t="n"/>
      <c r="H657" s="622" t="n"/>
      <c r="I657" s="622" t="n"/>
      <c r="J657" s="622" t="n"/>
      <c r="K657" s="622" t="n"/>
      <c r="L657" s="622" t="n"/>
      <c r="M657" s="622" t="n"/>
      <c r="N657" s="622" t="n"/>
      <c r="O657" s="622" t="n"/>
      <c r="P657" s="622" t="n"/>
      <c r="Q657" s="622" t="n"/>
      <c r="R657" s="622" t="n"/>
      <c r="S657" s="622" t="n"/>
      <c r="T657" s="622" t="n"/>
      <c r="U657" s="622" t="n"/>
      <c r="V657" s="622" t="n"/>
      <c r="W657" s="622" t="n"/>
      <c r="X657" s="622" t="n"/>
      <c r="Y657" s="622" t="n"/>
      <c r="Z657" s="622" t="n"/>
      <c r="AA657" s="622" t="n"/>
      <c r="AB657" s="622" t="n"/>
      <c r="AC657" s="622" t="n"/>
      <c r="AD657" s="622" t="n"/>
      <c r="AE657" s="622" t="n"/>
      <c r="AF657" s="622" t="n"/>
      <c r="AG657" s="622" t="n"/>
      <c r="AH657" s="622" t="n"/>
      <c r="AI657" s="622" t="n"/>
      <c r="AJ657" s="622" t="n"/>
      <c r="AK657" s="622" t="n"/>
      <c r="AL657" s="622" t="n"/>
      <c r="AM657" s="622" t="n"/>
      <c r="AN657" s="622" t="n"/>
      <c r="AO657" s="622" t="n"/>
      <c r="AP657" s="622" t="n"/>
      <c r="AQ657" s="622" t="n"/>
      <c r="AR657" s="622" t="n"/>
      <c r="AS657" s="622" t="n"/>
      <c r="AT657" s="622" t="n"/>
      <c r="AU657" s="622" t="n"/>
      <c r="AV657" s="622" t="n"/>
      <c r="AW657" s="622" t="n"/>
      <c r="AX657" s="622" t="n"/>
      <c r="AY657" s="622" t="n"/>
    </row>
    <row r="658">
      <c r="A658" s="622" t="n"/>
      <c r="B658" s="622" t="n"/>
      <c r="C658" s="622" t="n"/>
      <c r="D658" s="622" t="n"/>
      <c r="E658" s="622" t="n"/>
      <c r="F658" s="622" t="n"/>
      <c r="G658" s="622" t="n"/>
      <c r="H658" s="622" t="n"/>
      <c r="I658" s="622" t="n"/>
      <c r="J658" s="622" t="n"/>
      <c r="K658" s="622" t="n"/>
      <c r="L658" s="622" t="n"/>
      <c r="M658" s="622" t="n"/>
      <c r="N658" s="622" t="n"/>
      <c r="O658" s="622" t="n"/>
      <c r="P658" s="622" t="n"/>
      <c r="Q658" s="622" t="n"/>
      <c r="R658" s="622" t="n"/>
      <c r="S658" s="622" t="n"/>
      <c r="T658" s="622" t="n"/>
      <c r="U658" s="622" t="n"/>
      <c r="V658" s="622" t="n"/>
      <c r="W658" s="622" t="n"/>
      <c r="X658" s="622" t="n"/>
      <c r="Y658" s="622" t="n"/>
      <c r="Z658" s="622" t="n"/>
      <c r="AA658" s="622" t="n"/>
      <c r="AB658" s="622" t="n"/>
      <c r="AC658" s="622" t="n"/>
      <c r="AD658" s="622" t="n"/>
      <c r="AE658" s="622" t="n"/>
      <c r="AF658" s="622" t="n"/>
      <c r="AG658" s="622" t="n"/>
      <c r="AH658" s="622" t="n"/>
      <c r="AI658" s="622" t="n"/>
      <c r="AJ658" s="622" t="n"/>
      <c r="AK658" s="622" t="n"/>
      <c r="AL658" s="622" t="n"/>
      <c r="AM658" s="622" t="n"/>
      <c r="AN658" s="622" t="n"/>
      <c r="AO658" s="622" t="n"/>
      <c r="AP658" s="622" t="n"/>
      <c r="AQ658" s="622" t="n"/>
      <c r="AR658" s="622" t="n"/>
      <c r="AS658" s="622" t="n"/>
      <c r="AT658" s="622" t="n"/>
      <c r="AU658" s="622" t="n"/>
      <c r="AV658" s="622" t="n"/>
      <c r="AW658" s="622" t="n"/>
      <c r="AX658" s="622" t="n"/>
      <c r="AY658" s="622" t="n"/>
    </row>
    <row r="659">
      <c r="A659" s="622" t="n"/>
      <c r="B659" s="622" t="n"/>
      <c r="C659" s="622" t="n"/>
      <c r="D659" s="622" t="n"/>
      <c r="E659" s="622" t="n"/>
      <c r="F659" s="622" t="n"/>
      <c r="G659" s="622" t="n"/>
      <c r="H659" s="622" t="n"/>
      <c r="I659" s="622" t="n"/>
      <c r="J659" s="622" t="n"/>
      <c r="K659" s="622" t="n"/>
      <c r="L659" s="622" t="n"/>
      <c r="M659" s="622" t="n"/>
      <c r="N659" s="622" t="n"/>
      <c r="O659" s="622" t="n"/>
      <c r="P659" s="622" t="n"/>
      <c r="Q659" s="622" t="n"/>
      <c r="R659" s="622" t="n"/>
      <c r="S659" s="622" t="n"/>
      <c r="T659" s="622" t="n"/>
      <c r="U659" s="622" t="n"/>
      <c r="V659" s="622" t="n"/>
      <c r="W659" s="622" t="n"/>
      <c r="X659" s="622" t="n"/>
      <c r="Y659" s="622" t="n"/>
      <c r="Z659" s="622" t="n"/>
      <c r="AA659" s="622" t="n"/>
      <c r="AB659" s="622" t="n"/>
      <c r="AC659" s="622" t="n"/>
      <c r="AD659" s="622" t="n"/>
      <c r="AE659" s="622" t="n"/>
      <c r="AF659" s="622" t="n"/>
      <c r="AG659" s="622" t="n"/>
      <c r="AH659" s="622" t="n"/>
      <c r="AI659" s="622" t="n"/>
      <c r="AJ659" s="622" t="n"/>
      <c r="AK659" s="622" t="n"/>
      <c r="AL659" s="622" t="n"/>
      <c r="AM659" s="622" t="n"/>
      <c r="AN659" s="622" t="n"/>
      <c r="AO659" s="622" t="n"/>
      <c r="AP659" s="622" t="n"/>
      <c r="AQ659" s="622" t="n"/>
      <c r="AR659" s="622" t="n"/>
      <c r="AS659" s="622" t="n"/>
      <c r="AT659" s="622" t="n"/>
      <c r="AU659" s="622" t="n"/>
      <c r="AV659" s="622" t="n"/>
      <c r="AW659" s="622" t="n"/>
      <c r="AX659" s="622" t="n"/>
      <c r="AY659" s="622" t="n"/>
    </row>
    <row r="660">
      <c r="A660" s="622" t="n"/>
      <c r="B660" s="622" t="n"/>
      <c r="C660" s="622" t="n"/>
      <c r="D660" s="622" t="n"/>
      <c r="E660" s="622" t="n"/>
      <c r="F660" s="622" t="n"/>
      <c r="G660" s="622" t="n"/>
      <c r="H660" s="622" t="n"/>
      <c r="I660" s="622" t="n"/>
      <c r="J660" s="622" t="n"/>
      <c r="K660" s="622" t="n"/>
      <c r="L660" s="622" t="n"/>
      <c r="M660" s="622" t="n"/>
      <c r="N660" s="622" t="n"/>
      <c r="O660" s="622" t="n"/>
      <c r="P660" s="622" t="n"/>
      <c r="Q660" s="622" t="n"/>
      <c r="R660" s="622" t="n"/>
      <c r="S660" s="622" t="n"/>
      <c r="T660" s="622" t="n"/>
      <c r="U660" s="622" t="n"/>
      <c r="V660" s="622" t="n"/>
      <c r="W660" s="622" t="n"/>
      <c r="X660" s="622" t="n"/>
      <c r="Y660" s="622" t="n"/>
      <c r="Z660" s="622" t="n"/>
      <c r="AA660" s="622" t="n"/>
      <c r="AB660" s="622" t="n"/>
      <c r="AC660" s="622" t="n"/>
      <c r="AD660" s="622" t="n"/>
      <c r="AE660" s="622" t="n"/>
      <c r="AF660" s="622" t="n"/>
      <c r="AG660" s="622" t="n"/>
      <c r="AH660" s="622" t="n"/>
      <c r="AI660" s="622" t="n"/>
      <c r="AJ660" s="622" t="n"/>
      <c r="AK660" s="622" t="n"/>
      <c r="AL660" s="622" t="n"/>
      <c r="AM660" s="622" t="n"/>
      <c r="AN660" s="622" t="n"/>
      <c r="AO660" s="622" t="n"/>
      <c r="AP660" s="622" t="n"/>
      <c r="AQ660" s="622" t="n"/>
      <c r="AR660" s="622" t="n"/>
      <c r="AS660" s="622" t="n"/>
      <c r="AT660" s="622" t="n"/>
      <c r="AU660" s="622" t="n"/>
      <c r="AV660" s="622" t="n"/>
      <c r="AW660" s="622" t="n"/>
      <c r="AX660" s="622" t="n"/>
      <c r="AY660" s="622" t="n"/>
    </row>
    <row r="661">
      <c r="A661" s="622" t="n"/>
      <c r="B661" s="622" t="n"/>
      <c r="C661" s="622" t="n"/>
      <c r="D661" s="622" t="n"/>
      <c r="E661" s="622" t="n"/>
      <c r="F661" s="622" t="n"/>
      <c r="G661" s="622" t="n"/>
      <c r="H661" s="622" t="n"/>
      <c r="I661" s="622" t="n"/>
      <c r="J661" s="622" t="n"/>
      <c r="K661" s="622" t="n"/>
      <c r="L661" s="622" t="n"/>
      <c r="M661" s="622" t="n"/>
      <c r="N661" s="622" t="n"/>
      <c r="O661" s="622" t="n"/>
      <c r="P661" s="622" t="n"/>
      <c r="Q661" s="622" t="n"/>
      <c r="R661" s="622" t="n"/>
      <c r="S661" s="622" t="n"/>
      <c r="T661" s="622" t="n"/>
      <c r="U661" s="622" t="n"/>
      <c r="V661" s="622" t="n"/>
      <c r="W661" s="622" t="n"/>
      <c r="X661" s="622" t="n"/>
      <c r="Y661" s="622" t="n"/>
      <c r="Z661" s="622" t="n"/>
      <c r="AA661" s="622" t="n"/>
      <c r="AB661" s="622" t="n"/>
      <c r="AC661" s="622" t="n"/>
      <c r="AD661" s="622" t="n"/>
      <c r="AE661" s="622" t="n"/>
      <c r="AF661" s="622" t="n"/>
      <c r="AG661" s="622" t="n"/>
      <c r="AH661" s="622" t="n"/>
      <c r="AI661" s="622" t="n"/>
      <c r="AJ661" s="622" t="n"/>
      <c r="AK661" s="622" t="n"/>
      <c r="AL661" s="622" t="n"/>
      <c r="AM661" s="622" t="n"/>
      <c r="AN661" s="622" t="n"/>
      <c r="AO661" s="622" t="n"/>
      <c r="AP661" s="622" t="n"/>
      <c r="AQ661" s="622" t="n"/>
      <c r="AR661" s="622" t="n"/>
      <c r="AS661" s="622" t="n"/>
      <c r="AT661" s="622" t="n"/>
      <c r="AU661" s="622" t="n"/>
      <c r="AV661" s="622" t="n"/>
      <c r="AW661" s="622" t="n"/>
      <c r="AX661" s="622" t="n"/>
      <c r="AY661" s="622" t="n"/>
    </row>
    <row r="662">
      <c r="A662" s="622" t="n"/>
      <c r="B662" s="622" t="n"/>
      <c r="C662" s="622" t="n"/>
      <c r="D662" s="622" t="n"/>
      <c r="E662" s="622" t="n"/>
      <c r="F662" s="622" t="n"/>
      <c r="G662" s="622" t="n"/>
      <c r="H662" s="622" t="n"/>
      <c r="I662" s="622" t="n"/>
      <c r="J662" s="622" t="n"/>
      <c r="K662" s="622" t="n"/>
      <c r="L662" s="622" t="n"/>
      <c r="M662" s="622" t="n"/>
      <c r="N662" s="622" t="n"/>
      <c r="O662" s="622" t="n"/>
      <c r="P662" s="622" t="n"/>
      <c r="Q662" s="622" t="n"/>
      <c r="R662" s="622" t="n"/>
      <c r="S662" s="622" t="n"/>
      <c r="T662" s="622" t="n"/>
      <c r="U662" s="622" t="n"/>
      <c r="V662" s="622" t="n"/>
      <c r="W662" s="622" t="n"/>
      <c r="X662" s="622" t="n"/>
      <c r="Y662" s="622" t="n"/>
      <c r="Z662" s="622" t="n"/>
      <c r="AA662" s="622" t="n"/>
      <c r="AB662" s="622" t="n"/>
      <c r="AC662" s="622" t="n"/>
      <c r="AD662" s="622" t="n"/>
      <c r="AE662" s="622" t="n"/>
      <c r="AF662" s="622" t="n"/>
      <c r="AG662" s="622" t="n"/>
      <c r="AH662" s="622" t="n"/>
      <c r="AI662" s="622" t="n"/>
      <c r="AJ662" s="622" t="n"/>
      <c r="AK662" s="622" t="n"/>
      <c r="AL662" s="622" t="n"/>
      <c r="AM662" s="622" t="n"/>
      <c r="AN662" s="622" t="n"/>
      <c r="AO662" s="622" t="n"/>
      <c r="AP662" s="622" t="n"/>
      <c r="AQ662" s="622" t="n"/>
      <c r="AR662" s="622" t="n"/>
      <c r="AS662" s="622" t="n"/>
      <c r="AT662" s="622" t="n"/>
      <c r="AU662" s="622" t="n"/>
      <c r="AV662" s="622" t="n"/>
      <c r="AW662" s="622" t="n"/>
      <c r="AX662" s="622" t="n"/>
      <c r="AY662" s="622" t="n"/>
    </row>
    <row r="663">
      <c r="A663" s="622" t="n"/>
      <c r="B663" s="622" t="n"/>
      <c r="C663" s="622" t="n"/>
      <c r="D663" s="622" t="n"/>
      <c r="E663" s="622" t="n"/>
      <c r="F663" s="622" t="n"/>
      <c r="G663" s="622" t="n"/>
      <c r="H663" s="622" t="n"/>
      <c r="I663" s="622" t="n"/>
      <c r="J663" s="622" t="n"/>
      <c r="K663" s="622" t="n"/>
      <c r="L663" s="622" t="n"/>
      <c r="M663" s="622" t="n"/>
      <c r="N663" s="622" t="n"/>
      <c r="O663" s="622" t="n"/>
      <c r="P663" s="622" t="n"/>
      <c r="Q663" s="622" t="n"/>
      <c r="R663" s="622" t="n"/>
      <c r="S663" s="622" t="n"/>
      <c r="T663" s="622" t="n"/>
      <c r="U663" s="622" t="n"/>
      <c r="V663" s="622" t="n"/>
      <c r="W663" s="622" t="n"/>
      <c r="X663" s="622" t="n"/>
      <c r="Y663" s="622" t="n"/>
      <c r="Z663" s="622" t="n"/>
      <c r="AA663" s="622" t="n"/>
      <c r="AB663" s="622" t="n"/>
      <c r="AC663" s="622" t="n"/>
      <c r="AD663" s="622" t="n"/>
      <c r="AE663" s="622" t="n"/>
      <c r="AF663" s="622" t="n"/>
      <c r="AG663" s="622" t="n"/>
      <c r="AH663" s="622" t="n"/>
      <c r="AI663" s="622" t="n"/>
      <c r="AJ663" s="622" t="n"/>
      <c r="AK663" s="622" t="n"/>
      <c r="AL663" s="622" t="n"/>
      <c r="AM663" s="622" t="n"/>
      <c r="AN663" s="622" t="n"/>
      <c r="AO663" s="622" t="n"/>
      <c r="AP663" s="622" t="n"/>
      <c r="AQ663" s="622" t="n"/>
      <c r="AR663" s="622" t="n"/>
      <c r="AS663" s="622" t="n"/>
      <c r="AT663" s="622" t="n"/>
      <c r="AU663" s="622" t="n"/>
      <c r="AV663" s="622" t="n"/>
      <c r="AW663" s="622" t="n"/>
      <c r="AX663" s="622" t="n"/>
      <c r="AY663" s="622" t="n"/>
    </row>
    <row r="664">
      <c r="A664" s="622" t="n"/>
      <c r="B664" s="622" t="n"/>
      <c r="C664" s="622" t="n"/>
      <c r="D664" s="622" t="n"/>
      <c r="E664" s="622" t="n"/>
      <c r="F664" s="622" t="n"/>
      <c r="G664" s="622" t="n"/>
      <c r="H664" s="622" t="n"/>
      <c r="I664" s="622" t="n"/>
      <c r="J664" s="622" t="n"/>
      <c r="K664" s="622" t="n"/>
      <c r="L664" s="622" t="n"/>
      <c r="M664" s="622" t="n"/>
      <c r="N664" s="622" t="n"/>
      <c r="O664" s="622" t="n"/>
      <c r="P664" s="622" t="n"/>
      <c r="Q664" s="622" t="n"/>
      <c r="R664" s="622" t="n"/>
      <c r="S664" s="622" t="n"/>
      <c r="T664" s="622" t="n"/>
      <c r="U664" s="622" t="n"/>
      <c r="V664" s="622" t="n"/>
      <c r="W664" s="622" t="n"/>
      <c r="X664" s="622" t="n"/>
      <c r="Y664" s="622" t="n"/>
      <c r="Z664" s="622" t="n"/>
      <c r="AA664" s="622" t="n"/>
      <c r="AB664" s="622" t="n"/>
      <c r="AC664" s="622" t="n"/>
      <c r="AD664" s="622" t="n"/>
      <c r="AE664" s="622" t="n"/>
      <c r="AF664" s="622" t="n"/>
      <c r="AG664" s="622" t="n"/>
      <c r="AH664" s="622" t="n"/>
      <c r="AI664" s="622" t="n"/>
      <c r="AJ664" s="622" t="n"/>
      <c r="AK664" s="622" t="n"/>
      <c r="AL664" s="622" t="n"/>
      <c r="AM664" s="622" t="n"/>
      <c r="AN664" s="622" t="n"/>
      <c r="AO664" s="622" t="n"/>
      <c r="AP664" s="622" t="n"/>
      <c r="AQ664" s="622" t="n"/>
      <c r="AR664" s="622" t="n"/>
      <c r="AS664" s="622" t="n"/>
      <c r="AT664" s="622" t="n"/>
      <c r="AU664" s="622" t="n"/>
      <c r="AV664" s="622" t="n"/>
      <c r="AW664" s="622" t="n"/>
      <c r="AX664" s="622" t="n"/>
      <c r="AY664" s="622" t="n"/>
    </row>
    <row r="665">
      <c r="A665" s="622" t="n"/>
      <c r="B665" s="622" t="n"/>
      <c r="C665" s="622" t="n"/>
      <c r="D665" s="622" t="n"/>
      <c r="E665" s="622" t="n"/>
      <c r="F665" s="622" t="n"/>
      <c r="G665" s="622" t="n"/>
      <c r="H665" s="622" t="n"/>
      <c r="I665" s="622" t="n"/>
      <c r="J665" s="622" t="n"/>
      <c r="K665" s="622" t="n"/>
      <c r="L665" s="622" t="n"/>
      <c r="M665" s="622" t="n"/>
      <c r="N665" s="622" t="n"/>
      <c r="O665" s="622" t="n"/>
      <c r="P665" s="622" t="n"/>
      <c r="Q665" s="622" t="n"/>
      <c r="R665" s="622" t="n"/>
      <c r="S665" s="622" t="n"/>
      <c r="T665" s="622" t="n"/>
      <c r="U665" s="622" t="n"/>
      <c r="V665" s="622" t="n"/>
      <c r="W665" s="622" t="n"/>
      <c r="X665" s="622" t="n"/>
      <c r="Y665" s="622" t="n"/>
      <c r="Z665" s="622" t="n"/>
      <c r="AA665" s="622" t="n"/>
      <c r="AB665" s="622" t="n"/>
      <c r="AC665" s="622" t="n"/>
      <c r="AD665" s="622" t="n"/>
      <c r="AE665" s="622" t="n"/>
      <c r="AF665" s="622" t="n"/>
      <c r="AG665" s="622" t="n"/>
      <c r="AH665" s="622" t="n"/>
      <c r="AI665" s="622" t="n"/>
      <c r="AJ665" s="622" t="n"/>
      <c r="AK665" s="622" t="n"/>
      <c r="AL665" s="622" t="n"/>
      <c r="AM665" s="622" t="n"/>
      <c r="AN665" s="622" t="n"/>
      <c r="AO665" s="622" t="n"/>
      <c r="AP665" s="622" t="n"/>
      <c r="AQ665" s="622" t="n"/>
      <c r="AR665" s="622" t="n"/>
      <c r="AS665" s="622" t="n"/>
      <c r="AT665" s="622" t="n"/>
      <c r="AU665" s="622" t="n"/>
      <c r="AV665" s="622" t="n"/>
      <c r="AW665" s="622" t="n"/>
      <c r="AX665" s="622" t="n"/>
      <c r="AY665" s="622" t="n"/>
    </row>
    <row r="666">
      <c r="A666" s="622" t="n"/>
      <c r="B666" s="622" t="n"/>
      <c r="C666" s="622" t="n"/>
      <c r="D666" s="622" t="n"/>
      <c r="E666" s="622" t="n"/>
      <c r="F666" s="622" t="n"/>
      <c r="G666" s="622" t="n"/>
      <c r="H666" s="622" t="n"/>
      <c r="I666" s="622" t="n"/>
      <c r="J666" s="622" t="n"/>
      <c r="K666" s="622" t="n"/>
      <c r="L666" s="622" t="n"/>
      <c r="M666" s="622" t="n"/>
      <c r="N666" s="622" t="n"/>
      <c r="O666" s="622" t="n"/>
      <c r="P666" s="622" t="n"/>
      <c r="Q666" s="622" t="n"/>
      <c r="R666" s="622" t="n"/>
      <c r="S666" s="622" t="n"/>
      <c r="T666" s="622" t="n"/>
      <c r="U666" s="622" t="n"/>
      <c r="V666" s="622" t="n"/>
      <c r="W666" s="622" t="n"/>
      <c r="X666" s="622" t="n"/>
      <c r="Y666" s="622" t="n"/>
      <c r="Z666" s="622" t="n"/>
      <c r="AA666" s="622" t="n"/>
      <c r="AB666" s="622" t="n"/>
      <c r="AC666" s="622" t="n"/>
      <c r="AD666" s="622" t="n"/>
      <c r="AE666" s="622" t="n"/>
      <c r="AF666" s="622" t="n"/>
      <c r="AG666" s="622" t="n"/>
      <c r="AH666" s="622" t="n"/>
      <c r="AI666" s="622" t="n"/>
      <c r="AJ666" s="622" t="n"/>
      <c r="AK666" s="622" t="n"/>
      <c r="AL666" s="622" t="n"/>
      <c r="AM666" s="622" t="n"/>
      <c r="AN666" s="622" t="n"/>
      <c r="AO666" s="622" t="n"/>
      <c r="AP666" s="622" t="n"/>
      <c r="AQ666" s="622" t="n"/>
      <c r="AR666" s="622" t="n"/>
      <c r="AS666" s="622" t="n"/>
      <c r="AT666" s="622" t="n"/>
      <c r="AU666" s="622" t="n"/>
      <c r="AV666" s="622" t="n"/>
      <c r="AW666" s="622" t="n"/>
      <c r="AX666" s="622" t="n"/>
      <c r="AY666" s="622" t="n"/>
    </row>
    <row r="667">
      <c r="A667" s="622" t="n"/>
      <c r="B667" s="622" t="n"/>
      <c r="C667" s="622" t="n"/>
      <c r="D667" s="622" t="n"/>
      <c r="E667" s="622" t="n"/>
      <c r="F667" s="622" t="n"/>
      <c r="G667" s="622" t="n"/>
      <c r="H667" s="622" t="n"/>
      <c r="I667" s="622" t="n"/>
      <c r="J667" s="622" t="n"/>
      <c r="K667" s="622" t="n"/>
      <c r="L667" s="622" t="n"/>
      <c r="M667" s="622" t="n"/>
      <c r="N667" s="622" t="n"/>
      <c r="O667" s="622" t="n"/>
      <c r="P667" s="622" t="n"/>
      <c r="Q667" s="622" t="n"/>
      <c r="R667" s="622" t="n"/>
      <c r="S667" s="622" t="n"/>
      <c r="T667" s="622" t="n"/>
      <c r="U667" s="622" t="n"/>
      <c r="V667" s="622" t="n"/>
      <c r="W667" s="622" t="n"/>
      <c r="X667" s="622" t="n"/>
      <c r="Y667" s="622" t="n"/>
      <c r="Z667" s="622" t="n"/>
      <c r="AA667" s="622" t="n"/>
      <c r="AB667" s="622" t="n"/>
      <c r="AC667" s="622" t="n"/>
      <c r="AD667" s="622" t="n"/>
      <c r="AE667" s="622" t="n"/>
      <c r="AF667" s="622" t="n"/>
      <c r="AG667" s="622" t="n"/>
      <c r="AH667" s="622" t="n"/>
      <c r="AI667" s="622" t="n"/>
      <c r="AJ667" s="622" t="n"/>
      <c r="AK667" s="622" t="n"/>
      <c r="AL667" s="622" t="n"/>
      <c r="AM667" s="622" t="n"/>
      <c r="AN667" s="622" t="n"/>
      <c r="AO667" s="622" t="n"/>
      <c r="AP667" s="622" t="n"/>
      <c r="AQ667" s="622" t="n"/>
      <c r="AR667" s="622" t="n"/>
      <c r="AS667" s="622" t="n"/>
      <c r="AT667" s="622" t="n"/>
      <c r="AU667" s="622" t="n"/>
      <c r="AV667" s="622" t="n"/>
      <c r="AW667" s="622" t="n"/>
      <c r="AX667" s="622" t="n"/>
      <c r="AY667" s="622" t="n"/>
    </row>
    <row r="668">
      <c r="A668" s="622" t="n"/>
      <c r="B668" s="622" t="n"/>
      <c r="C668" s="622" t="n"/>
      <c r="D668" s="622" t="n"/>
      <c r="E668" s="622" t="n"/>
      <c r="F668" s="622" t="n"/>
      <c r="G668" s="622" t="n"/>
      <c r="H668" s="622" t="n"/>
      <c r="I668" s="622" t="n"/>
      <c r="J668" s="622" t="n"/>
      <c r="K668" s="622" t="n"/>
      <c r="L668" s="622" t="n"/>
      <c r="M668" s="622" t="n"/>
      <c r="N668" s="622" t="n"/>
      <c r="O668" s="622" t="n"/>
      <c r="P668" s="622" t="n"/>
      <c r="Q668" s="622" t="n"/>
      <c r="R668" s="622" t="n"/>
      <c r="S668" s="622" t="n"/>
      <c r="T668" s="622" t="n"/>
      <c r="U668" s="622" t="n"/>
      <c r="V668" s="622" t="n"/>
      <c r="W668" s="622" t="n"/>
      <c r="X668" s="622" t="n"/>
      <c r="Y668" s="622" t="n"/>
      <c r="Z668" s="622" t="n"/>
      <c r="AA668" s="622" t="n"/>
      <c r="AB668" s="622" t="n"/>
      <c r="AC668" s="622" t="n"/>
      <c r="AD668" s="622" t="n"/>
      <c r="AE668" s="622" t="n"/>
      <c r="AF668" s="622" t="n"/>
      <c r="AG668" s="622" t="n"/>
      <c r="AH668" s="622" t="n"/>
      <c r="AI668" s="622" t="n"/>
      <c r="AJ668" s="622" t="n"/>
      <c r="AK668" s="622" t="n"/>
      <c r="AL668" s="622" t="n"/>
      <c r="AM668" s="622" t="n"/>
      <c r="AN668" s="622" t="n"/>
      <c r="AO668" s="622" t="n"/>
      <c r="AP668" s="622" t="n"/>
      <c r="AQ668" s="622" t="n"/>
      <c r="AR668" s="622" t="n"/>
      <c r="AS668" s="622" t="n"/>
      <c r="AT668" s="622" t="n"/>
      <c r="AU668" s="622" t="n"/>
      <c r="AV668" s="622" t="n"/>
      <c r="AW668" s="622" t="n"/>
      <c r="AX668" s="622" t="n"/>
      <c r="AY668" s="622" t="n"/>
    </row>
    <row r="669">
      <c r="A669" s="622" t="n"/>
      <c r="B669" s="622" t="n"/>
      <c r="C669" s="622" t="n"/>
      <c r="D669" s="622" t="n"/>
      <c r="E669" s="622" t="n"/>
      <c r="F669" s="622" t="n"/>
      <c r="G669" s="622" t="n"/>
      <c r="H669" s="622" t="n"/>
      <c r="I669" s="622" t="n"/>
      <c r="J669" s="622" t="n"/>
      <c r="K669" s="622" t="n"/>
      <c r="L669" s="622" t="n"/>
      <c r="M669" s="622" t="n"/>
      <c r="N669" s="622" t="n"/>
      <c r="O669" s="622" t="n"/>
      <c r="P669" s="622" t="n"/>
      <c r="Q669" s="622" t="n"/>
      <c r="R669" s="622" t="n"/>
      <c r="S669" s="622" t="n"/>
      <c r="T669" s="622" t="n"/>
      <c r="U669" s="622" t="n"/>
      <c r="V669" s="622" t="n"/>
      <c r="W669" s="622" t="n"/>
      <c r="X669" s="622" t="n"/>
      <c r="Y669" s="622" t="n"/>
      <c r="Z669" s="622" t="n"/>
      <c r="AA669" s="622" t="n"/>
      <c r="AB669" s="622" t="n"/>
      <c r="AC669" s="622" t="n"/>
      <c r="AD669" s="622" t="n"/>
      <c r="AE669" s="622" t="n"/>
      <c r="AF669" s="622" t="n"/>
      <c r="AG669" s="622" t="n"/>
      <c r="AH669" s="622" t="n"/>
      <c r="AI669" s="622" t="n"/>
      <c r="AJ669" s="622" t="n"/>
      <c r="AK669" s="622" t="n"/>
      <c r="AL669" s="622" t="n"/>
      <c r="AM669" s="622" t="n"/>
      <c r="AN669" s="622" t="n"/>
      <c r="AO669" s="622" t="n"/>
      <c r="AP669" s="622" t="n"/>
      <c r="AQ669" s="622" t="n"/>
      <c r="AR669" s="622" t="n"/>
      <c r="AS669" s="622" t="n"/>
      <c r="AT669" s="622" t="n"/>
      <c r="AU669" s="622" t="n"/>
      <c r="AV669" s="622" t="n"/>
      <c r="AW669" s="622" t="n"/>
      <c r="AX669" s="622" t="n"/>
      <c r="AY669" s="622" t="n"/>
    </row>
    <row r="670">
      <c r="A670" s="622" t="n"/>
      <c r="B670" s="622" t="n"/>
      <c r="C670" s="622" t="n"/>
      <c r="D670" s="622" t="n"/>
      <c r="E670" s="622" t="n"/>
      <c r="F670" s="622" t="n"/>
      <c r="G670" s="622" t="n"/>
      <c r="H670" s="622" t="n"/>
      <c r="I670" s="622" t="n"/>
      <c r="J670" s="622" t="n"/>
      <c r="K670" s="622" t="n"/>
      <c r="L670" s="622" t="n"/>
      <c r="M670" s="622" t="n"/>
      <c r="N670" s="622" t="n"/>
      <c r="O670" s="622" t="n"/>
      <c r="P670" s="622" t="n"/>
      <c r="Q670" s="622" t="n"/>
      <c r="R670" s="622" t="n"/>
      <c r="S670" s="622" t="n"/>
      <c r="T670" s="622" t="n"/>
      <c r="U670" s="622" t="n"/>
      <c r="V670" s="622" t="n"/>
      <c r="W670" s="622" t="n"/>
      <c r="X670" s="622" t="n"/>
      <c r="Y670" s="622" t="n"/>
      <c r="Z670" s="622" t="n"/>
      <c r="AA670" s="622" t="n"/>
      <c r="AB670" s="622" t="n"/>
      <c r="AC670" s="622" t="n"/>
      <c r="AD670" s="622" t="n"/>
      <c r="AE670" s="622" t="n"/>
      <c r="AF670" s="622" t="n"/>
      <c r="AG670" s="622" t="n"/>
      <c r="AH670" s="622" t="n"/>
      <c r="AI670" s="622" t="n"/>
      <c r="AJ670" s="622" t="n"/>
      <c r="AK670" s="622" t="n"/>
      <c r="AL670" s="622" t="n"/>
      <c r="AM670" s="622" t="n"/>
      <c r="AN670" s="622" t="n"/>
      <c r="AO670" s="622" t="n"/>
      <c r="AP670" s="622" t="n"/>
      <c r="AQ670" s="622" t="n"/>
      <c r="AR670" s="622" t="n"/>
      <c r="AS670" s="622" t="n"/>
      <c r="AT670" s="622" t="n"/>
      <c r="AU670" s="622" t="n"/>
      <c r="AV670" s="622" t="n"/>
      <c r="AW670" s="622" t="n"/>
      <c r="AX670" s="622" t="n"/>
      <c r="AY670" s="622" t="n"/>
    </row>
    <row r="671">
      <c r="A671" s="622" t="n"/>
      <c r="B671" s="622" t="n"/>
      <c r="C671" s="622" t="n"/>
      <c r="D671" s="622" t="n"/>
      <c r="E671" s="622" t="n"/>
      <c r="F671" s="622" t="n"/>
      <c r="G671" s="622" t="n"/>
      <c r="H671" s="622" t="n"/>
      <c r="I671" s="622" t="n"/>
      <c r="J671" s="622" t="n"/>
      <c r="K671" s="622" t="n"/>
      <c r="L671" s="622" t="n"/>
      <c r="M671" s="622" t="n"/>
      <c r="N671" s="622" t="n"/>
      <c r="O671" s="622" t="n"/>
      <c r="P671" s="622" t="n"/>
      <c r="Q671" s="622" t="n"/>
      <c r="R671" s="622" t="n"/>
      <c r="S671" s="622" t="n"/>
      <c r="T671" s="622" t="n"/>
      <c r="U671" s="622" t="n"/>
      <c r="V671" s="622" t="n"/>
      <c r="W671" s="622" t="n"/>
      <c r="X671" s="622" t="n"/>
      <c r="Y671" s="622" t="n"/>
      <c r="Z671" s="622" t="n"/>
      <c r="AA671" s="622" t="n"/>
      <c r="AB671" s="622" t="n"/>
      <c r="AC671" s="622" t="n"/>
      <c r="AD671" s="622" t="n"/>
      <c r="AE671" s="622" t="n"/>
      <c r="AF671" s="622" t="n"/>
      <c r="AG671" s="622" t="n"/>
      <c r="AH671" s="622" t="n"/>
      <c r="AI671" s="622" t="n"/>
      <c r="AJ671" s="622" t="n"/>
      <c r="AK671" s="622" t="n"/>
      <c r="AL671" s="622" t="n"/>
      <c r="AM671" s="622" t="n"/>
      <c r="AN671" s="622" t="n"/>
      <c r="AO671" s="622" t="n"/>
      <c r="AP671" s="622" t="n"/>
      <c r="AQ671" s="622" t="n"/>
      <c r="AR671" s="622" t="n"/>
      <c r="AS671" s="622" t="n"/>
      <c r="AT671" s="622" t="n"/>
      <c r="AU671" s="622" t="n"/>
      <c r="AV671" s="622" t="n"/>
      <c r="AW671" s="622" t="n"/>
      <c r="AX671" s="622" t="n"/>
      <c r="AY671" s="622" t="n"/>
    </row>
    <row r="672">
      <c r="A672" s="622" t="n"/>
      <c r="B672" s="622" t="n"/>
      <c r="C672" s="622" t="n"/>
      <c r="D672" s="622" t="n"/>
      <c r="E672" s="622" t="n"/>
      <c r="F672" s="622" t="n"/>
      <c r="G672" s="622" t="n"/>
      <c r="H672" s="622" t="n"/>
      <c r="I672" s="622" t="n"/>
      <c r="J672" s="622" t="n"/>
      <c r="K672" s="622" t="n"/>
      <c r="L672" s="622" t="n"/>
      <c r="M672" s="622" t="n"/>
      <c r="N672" s="622" t="n"/>
      <c r="O672" s="622" t="n"/>
      <c r="P672" s="622" t="n"/>
      <c r="Q672" s="622" t="n"/>
      <c r="R672" s="622" t="n"/>
      <c r="S672" s="622" t="n"/>
      <c r="T672" s="622" t="n"/>
      <c r="U672" s="622" t="n"/>
      <c r="V672" s="622" t="n"/>
      <c r="W672" s="622" t="n"/>
      <c r="X672" s="622" t="n"/>
      <c r="Y672" s="622" t="n"/>
      <c r="Z672" s="622" t="n"/>
      <c r="AA672" s="622" t="n"/>
      <c r="AB672" s="622" t="n"/>
      <c r="AC672" s="622" t="n"/>
      <c r="AD672" s="622" t="n"/>
      <c r="AE672" s="622" t="n"/>
      <c r="AF672" s="622" t="n"/>
      <c r="AG672" s="622" t="n"/>
      <c r="AH672" s="622" t="n"/>
      <c r="AI672" s="622" t="n"/>
      <c r="AJ672" s="622" t="n"/>
      <c r="AK672" s="622" t="n"/>
      <c r="AL672" s="622" t="n"/>
      <c r="AM672" s="622" t="n"/>
      <c r="AN672" s="622" t="n"/>
      <c r="AO672" s="622" t="n"/>
      <c r="AP672" s="622" t="n"/>
      <c r="AQ672" s="622" t="n"/>
      <c r="AR672" s="622" t="n"/>
      <c r="AS672" s="622" t="n"/>
      <c r="AT672" s="622" t="n"/>
      <c r="AU672" s="622" t="n"/>
      <c r="AV672" s="622" t="n"/>
      <c r="AW672" s="622" t="n"/>
      <c r="AX672" s="622" t="n"/>
      <c r="AY672" s="622" t="n"/>
    </row>
    <row r="673">
      <c r="A673" s="622" t="n"/>
      <c r="B673" s="622" t="n"/>
      <c r="C673" s="622" t="n"/>
      <c r="D673" s="622" t="n"/>
      <c r="E673" s="622" t="n"/>
      <c r="F673" s="622" t="n"/>
      <c r="G673" s="622" t="n"/>
      <c r="H673" s="622" t="n"/>
      <c r="I673" s="622" t="n"/>
      <c r="J673" s="622" t="n"/>
      <c r="K673" s="622" t="n"/>
      <c r="L673" s="622" t="n"/>
      <c r="M673" s="622" t="n"/>
      <c r="N673" s="622" t="n"/>
      <c r="O673" s="622" t="n"/>
      <c r="P673" s="622" t="n"/>
      <c r="Q673" s="622" t="n"/>
      <c r="R673" s="622" t="n"/>
      <c r="S673" s="622" t="n"/>
      <c r="T673" s="622" t="n"/>
      <c r="U673" s="622" t="n"/>
      <c r="V673" s="622" t="n"/>
      <c r="W673" s="622" t="n"/>
      <c r="X673" s="622" t="n"/>
      <c r="Y673" s="622" t="n"/>
      <c r="Z673" s="622" t="n"/>
      <c r="AA673" s="622" t="n"/>
      <c r="AB673" s="622" t="n"/>
      <c r="AC673" s="622" t="n"/>
      <c r="AD673" s="622" t="n"/>
      <c r="AE673" s="622" t="n"/>
      <c r="AF673" s="622" t="n"/>
      <c r="AG673" s="622" t="n"/>
      <c r="AH673" s="622" t="n"/>
      <c r="AI673" s="622" t="n"/>
      <c r="AJ673" s="622" t="n"/>
      <c r="AK673" s="622" t="n"/>
      <c r="AL673" s="622" t="n"/>
      <c r="AM673" s="622" t="n"/>
      <c r="AN673" s="622" t="n"/>
      <c r="AO673" s="622" t="n"/>
      <c r="AP673" s="622" t="n"/>
      <c r="AQ673" s="622" t="n"/>
      <c r="AR673" s="622" t="n"/>
      <c r="AS673" s="622" t="n"/>
      <c r="AT673" s="622" t="n"/>
      <c r="AU673" s="622" t="n"/>
      <c r="AV673" s="622" t="n"/>
      <c r="AW673" s="622" t="n"/>
      <c r="AX673" s="622" t="n"/>
      <c r="AY673" s="622" t="n"/>
    </row>
    <row r="674">
      <c r="A674" s="622" t="n"/>
      <c r="B674" s="622" t="n"/>
      <c r="C674" s="622" t="n"/>
      <c r="D674" s="622" t="n"/>
      <c r="E674" s="622" t="n"/>
      <c r="F674" s="622" t="n"/>
      <c r="G674" s="622" t="n"/>
      <c r="H674" s="622" t="n"/>
      <c r="I674" s="622" t="n"/>
      <c r="J674" s="622" t="n"/>
      <c r="K674" s="622" t="n"/>
      <c r="L674" s="622" t="n"/>
      <c r="M674" s="622" t="n"/>
      <c r="N674" s="622" t="n"/>
      <c r="O674" s="622" t="n"/>
      <c r="P674" s="622" t="n"/>
      <c r="Q674" s="622" t="n"/>
      <c r="R674" s="622" t="n"/>
      <c r="S674" s="622" t="n"/>
      <c r="T674" s="622" t="n"/>
      <c r="U674" s="622" t="n"/>
      <c r="V674" s="622" t="n"/>
      <c r="W674" s="622" t="n"/>
      <c r="X674" s="622" t="n"/>
      <c r="Y674" s="622" t="n"/>
      <c r="Z674" s="622" t="n"/>
      <c r="AA674" s="622" t="n"/>
      <c r="AB674" s="622" t="n"/>
      <c r="AC674" s="622" t="n"/>
      <c r="AD674" s="622" t="n"/>
      <c r="AE674" s="622" t="n"/>
      <c r="AF674" s="622" t="n"/>
      <c r="AG674" s="622" t="n"/>
      <c r="AH674" s="622" t="n"/>
      <c r="AI674" s="622" t="n"/>
      <c r="AJ674" s="622" t="n"/>
      <c r="AK674" s="622" t="n"/>
      <c r="AL674" s="622" t="n"/>
      <c r="AM674" s="622" t="n"/>
      <c r="AN674" s="622" t="n"/>
      <c r="AO674" s="622" t="n"/>
      <c r="AP674" s="622" t="n"/>
      <c r="AQ674" s="622" t="n"/>
      <c r="AR674" s="622" t="n"/>
      <c r="AS674" s="622" t="n"/>
      <c r="AT674" s="622" t="n"/>
      <c r="AU674" s="622" t="n"/>
      <c r="AV674" s="622" t="n"/>
      <c r="AW674" s="622" t="n"/>
      <c r="AX674" s="622" t="n"/>
      <c r="AY674" s="622" t="n"/>
    </row>
    <row r="675">
      <c r="A675" s="622" t="n"/>
      <c r="B675" s="622" t="n"/>
      <c r="C675" s="622" t="n"/>
      <c r="D675" s="622" t="n"/>
      <c r="E675" s="622" t="n"/>
      <c r="F675" s="622" t="n"/>
      <c r="G675" s="622" t="n"/>
      <c r="H675" s="622" t="n"/>
      <c r="I675" s="622" t="n"/>
      <c r="J675" s="622" t="n"/>
      <c r="K675" s="622" t="n"/>
      <c r="L675" s="622" t="n"/>
      <c r="M675" s="622" t="n"/>
      <c r="N675" s="622" t="n"/>
      <c r="O675" s="622" t="n"/>
      <c r="P675" s="622" t="n"/>
      <c r="Q675" s="622" t="n"/>
      <c r="R675" s="622" t="n"/>
      <c r="S675" s="622" t="n"/>
      <c r="T675" s="622" t="n"/>
      <c r="U675" s="622" t="n"/>
      <c r="V675" s="622" t="n"/>
      <c r="W675" s="622" t="n"/>
      <c r="X675" s="622" t="n"/>
      <c r="Y675" s="622" t="n"/>
      <c r="Z675" s="622" t="n"/>
      <c r="AA675" s="622" t="n"/>
      <c r="AB675" s="622" t="n"/>
      <c r="AC675" s="622" t="n"/>
      <c r="AD675" s="622" t="n"/>
      <c r="AE675" s="622" t="n"/>
      <c r="AF675" s="622" t="n"/>
      <c r="AG675" s="622" t="n"/>
      <c r="AH675" s="622" t="n"/>
      <c r="AI675" s="622" t="n"/>
      <c r="AJ675" s="622" t="n"/>
      <c r="AK675" s="622" t="n"/>
      <c r="AL675" s="622" t="n"/>
      <c r="AM675" s="622" t="n"/>
      <c r="AN675" s="622" t="n"/>
      <c r="AO675" s="622" t="n"/>
      <c r="AP675" s="622" t="n"/>
      <c r="AQ675" s="622" t="n"/>
      <c r="AR675" s="622" t="n"/>
      <c r="AS675" s="622" t="n"/>
      <c r="AT675" s="622" t="n"/>
      <c r="AU675" s="622" t="n"/>
      <c r="AV675" s="622" t="n"/>
      <c r="AW675" s="622" t="n"/>
      <c r="AX675" s="622" t="n"/>
      <c r="AY675" s="622" t="n"/>
    </row>
    <row r="676">
      <c r="A676" s="622" t="n"/>
      <c r="B676" s="622" t="n"/>
      <c r="C676" s="622" t="n"/>
      <c r="D676" s="622" t="n"/>
      <c r="E676" s="622" t="n"/>
      <c r="F676" s="622" t="n"/>
      <c r="G676" s="622" t="n"/>
      <c r="H676" s="622" t="n"/>
      <c r="I676" s="622" t="n"/>
      <c r="J676" s="622" t="n"/>
      <c r="K676" s="622" t="n"/>
      <c r="L676" s="622" t="n"/>
      <c r="M676" s="622" t="n"/>
      <c r="N676" s="622" t="n"/>
      <c r="O676" s="622" t="n"/>
      <c r="P676" s="622" t="n"/>
      <c r="Q676" s="622" t="n"/>
      <c r="R676" s="622" t="n"/>
      <c r="S676" s="622" t="n"/>
      <c r="T676" s="622" t="n"/>
      <c r="U676" s="622" t="n"/>
      <c r="V676" s="622" t="n"/>
      <c r="W676" s="622" t="n"/>
      <c r="X676" s="622" t="n"/>
      <c r="Y676" s="622" t="n"/>
      <c r="Z676" s="622" t="n"/>
      <c r="AA676" s="622" t="n"/>
      <c r="AB676" s="622" t="n"/>
      <c r="AC676" s="622" t="n"/>
      <c r="AD676" s="622" t="n"/>
      <c r="AE676" s="622" t="n"/>
      <c r="AF676" s="622" t="n"/>
      <c r="AG676" s="622" t="n"/>
      <c r="AH676" s="622" t="n"/>
      <c r="AI676" s="622" t="n"/>
      <c r="AJ676" s="622" t="n"/>
      <c r="AK676" s="622" t="n"/>
      <c r="AL676" s="622" t="n"/>
      <c r="AM676" s="622" t="n"/>
      <c r="AN676" s="622" t="n"/>
      <c r="AO676" s="622" t="n"/>
      <c r="AP676" s="622" t="n"/>
      <c r="AQ676" s="622" t="n"/>
      <c r="AR676" s="622" t="n"/>
      <c r="AS676" s="622" t="n"/>
      <c r="AT676" s="622" t="n"/>
      <c r="AU676" s="622" t="n"/>
      <c r="AV676" s="622" t="n"/>
      <c r="AW676" s="622" t="n"/>
      <c r="AX676" s="622" t="n"/>
      <c r="AY676" s="622" t="n"/>
    </row>
    <row r="677">
      <c r="A677" s="622" t="n"/>
      <c r="B677" s="622" t="n"/>
      <c r="C677" s="622" t="n"/>
      <c r="D677" s="622" t="n"/>
      <c r="E677" s="622" t="n"/>
      <c r="F677" s="622" t="n"/>
      <c r="G677" s="622" t="n"/>
      <c r="H677" s="622" t="n"/>
      <c r="I677" s="622" t="n"/>
      <c r="J677" s="622" t="n"/>
      <c r="K677" s="622" t="n"/>
      <c r="L677" s="622" t="n"/>
      <c r="M677" s="622" t="n"/>
      <c r="N677" s="622" t="n"/>
      <c r="O677" s="622" t="n"/>
      <c r="P677" s="622" t="n"/>
      <c r="Q677" s="622" t="n"/>
      <c r="R677" s="622" t="n"/>
      <c r="S677" s="622" t="n"/>
      <c r="T677" s="622" t="n"/>
      <c r="U677" s="622" t="n"/>
      <c r="V677" s="622" t="n"/>
      <c r="W677" s="622" t="n"/>
      <c r="X677" s="622" t="n"/>
      <c r="Y677" s="622" t="n"/>
      <c r="Z677" s="622" t="n"/>
      <c r="AA677" s="622" t="n"/>
      <c r="AB677" s="622" t="n"/>
      <c r="AC677" s="622" t="n"/>
      <c r="AD677" s="622" t="n"/>
      <c r="AE677" s="622" t="n"/>
      <c r="AF677" s="622" t="n"/>
      <c r="AG677" s="622" t="n"/>
      <c r="AH677" s="622" t="n"/>
      <c r="AI677" s="622" t="n"/>
      <c r="AJ677" s="622" t="n"/>
      <c r="AK677" s="622" t="n"/>
      <c r="AL677" s="622" t="n"/>
      <c r="AM677" s="622" t="n"/>
      <c r="AN677" s="622" t="n"/>
      <c r="AO677" s="622" t="n"/>
      <c r="AP677" s="622" t="n"/>
      <c r="AQ677" s="622" t="n"/>
      <c r="AR677" s="622" t="n"/>
      <c r="AS677" s="622" t="n"/>
      <c r="AT677" s="622" t="n"/>
      <c r="AU677" s="622" t="n"/>
      <c r="AV677" s="622" t="n"/>
      <c r="AW677" s="622" t="n"/>
      <c r="AX677" s="622" t="n"/>
      <c r="AY677" s="622" t="n"/>
    </row>
    <row r="678">
      <c r="A678" s="622" t="n"/>
      <c r="B678" s="622" t="n"/>
      <c r="C678" s="622" t="n"/>
      <c r="D678" s="622" t="n"/>
      <c r="E678" s="622" t="n"/>
      <c r="F678" s="622" t="n"/>
      <c r="G678" s="622" t="n"/>
      <c r="H678" s="622" t="n"/>
      <c r="I678" s="622" t="n"/>
      <c r="J678" s="622" t="n"/>
      <c r="K678" s="622" t="n"/>
      <c r="L678" s="622" t="n"/>
      <c r="M678" s="622" t="n"/>
      <c r="N678" s="622" t="n"/>
      <c r="O678" s="622" t="n"/>
      <c r="P678" s="622" t="n"/>
      <c r="Q678" s="622" t="n"/>
      <c r="R678" s="622" t="n"/>
      <c r="S678" s="622" t="n"/>
      <c r="T678" s="622" t="n"/>
      <c r="U678" s="622" t="n"/>
      <c r="V678" s="622" t="n"/>
      <c r="W678" s="622" t="n"/>
      <c r="X678" s="622" t="n"/>
      <c r="Y678" s="622" t="n"/>
      <c r="Z678" s="622" t="n"/>
      <c r="AA678" s="622" t="n"/>
      <c r="AB678" s="622" t="n"/>
      <c r="AC678" s="622" t="n"/>
      <c r="AD678" s="622" t="n"/>
      <c r="AE678" s="622" t="n"/>
      <c r="AF678" s="622" t="n"/>
      <c r="AG678" s="622" t="n"/>
      <c r="AH678" s="622" t="n"/>
      <c r="AI678" s="622" t="n"/>
      <c r="AJ678" s="622" t="n"/>
      <c r="AK678" s="622" t="n"/>
      <c r="AL678" s="622" t="n"/>
      <c r="AM678" s="622" t="n"/>
      <c r="AN678" s="622" t="n"/>
      <c r="AO678" s="622" t="n"/>
      <c r="AP678" s="622" t="n"/>
      <c r="AQ678" s="622" t="n"/>
      <c r="AR678" s="622" t="n"/>
      <c r="AS678" s="622" t="n"/>
      <c r="AT678" s="622" t="n"/>
      <c r="AU678" s="622" t="n"/>
      <c r="AV678" s="622" t="n"/>
      <c r="AW678" s="622" t="n"/>
      <c r="AX678" s="622" t="n"/>
      <c r="AY678" s="622" t="n"/>
    </row>
    <row r="679">
      <c r="A679" s="622" t="n"/>
      <c r="B679" s="622" t="n"/>
      <c r="C679" s="622" t="n"/>
      <c r="D679" s="622" t="n"/>
      <c r="E679" s="622" t="n"/>
      <c r="F679" s="622" t="n"/>
      <c r="G679" s="622" t="n"/>
      <c r="H679" s="622" t="n"/>
      <c r="I679" s="622" t="n"/>
      <c r="J679" s="622" t="n"/>
      <c r="K679" s="622" t="n"/>
      <c r="L679" s="622" t="n"/>
      <c r="M679" s="622" t="n"/>
      <c r="N679" s="622" t="n"/>
      <c r="O679" s="622" t="n"/>
      <c r="P679" s="622" t="n"/>
      <c r="Q679" s="622" t="n"/>
      <c r="R679" s="622" t="n"/>
      <c r="S679" s="622" t="n"/>
      <c r="T679" s="622" t="n"/>
      <c r="U679" s="622" t="n"/>
      <c r="V679" s="622" t="n"/>
      <c r="W679" s="622" t="n"/>
      <c r="X679" s="622" t="n"/>
      <c r="Y679" s="622" t="n"/>
      <c r="Z679" s="622" t="n"/>
      <c r="AA679" s="622" t="n"/>
      <c r="AB679" s="622" t="n"/>
      <c r="AC679" s="622" t="n"/>
      <c r="AD679" s="622" t="n"/>
      <c r="AE679" s="622" t="n"/>
      <c r="AF679" s="622" t="n"/>
      <c r="AG679" s="622" t="n"/>
      <c r="AH679" s="622" t="n"/>
      <c r="AI679" s="622" t="n"/>
      <c r="AJ679" s="622" t="n"/>
      <c r="AK679" s="622" t="n"/>
      <c r="AL679" s="622" t="n"/>
      <c r="AM679" s="622" t="n"/>
      <c r="AN679" s="622" t="n"/>
      <c r="AO679" s="622" t="n"/>
      <c r="AP679" s="622" t="n"/>
      <c r="AQ679" s="622" t="n"/>
      <c r="AR679" s="622" t="n"/>
      <c r="AS679" s="622" t="n"/>
      <c r="AT679" s="622" t="n"/>
      <c r="AU679" s="622" t="n"/>
      <c r="AV679" s="622" t="n"/>
      <c r="AW679" s="622" t="n"/>
      <c r="AX679" s="622" t="n"/>
      <c r="AY679" s="622" t="n"/>
    </row>
    <row r="680">
      <c r="A680" s="622" t="n"/>
      <c r="B680" s="622" t="n"/>
      <c r="C680" s="622" t="n"/>
      <c r="D680" s="622" t="n"/>
      <c r="E680" s="622" t="n"/>
      <c r="F680" s="622" t="n"/>
      <c r="G680" s="622" t="n"/>
      <c r="H680" s="622" t="n"/>
      <c r="I680" s="622" t="n"/>
      <c r="J680" s="622" t="n"/>
      <c r="K680" s="622" t="n"/>
      <c r="L680" s="622" t="n"/>
      <c r="M680" s="622" t="n"/>
      <c r="N680" s="622" t="n"/>
      <c r="O680" s="622" t="n"/>
      <c r="P680" s="622" t="n"/>
      <c r="Q680" s="622" t="n"/>
      <c r="R680" s="622" t="n"/>
      <c r="S680" s="622" t="n"/>
      <c r="T680" s="622" t="n"/>
      <c r="U680" s="622" t="n"/>
      <c r="V680" s="622" t="n"/>
      <c r="W680" s="622" t="n"/>
      <c r="X680" s="622" t="n"/>
      <c r="Y680" s="622" t="n"/>
      <c r="Z680" s="622" t="n"/>
      <c r="AA680" s="622" t="n"/>
      <c r="AB680" s="622" t="n"/>
      <c r="AC680" s="622" t="n"/>
      <c r="AD680" s="622" t="n"/>
      <c r="AE680" s="622" t="n"/>
      <c r="AF680" s="622" t="n"/>
      <c r="AG680" s="622" t="n"/>
      <c r="AH680" s="622" t="n"/>
      <c r="AI680" s="622" t="n"/>
      <c r="AJ680" s="622" t="n"/>
      <c r="AK680" s="622" t="n"/>
      <c r="AL680" s="622" t="n"/>
      <c r="AM680" s="622" t="n"/>
      <c r="AN680" s="622" t="n"/>
      <c r="AO680" s="622" t="n"/>
      <c r="AP680" s="622" t="n"/>
      <c r="AQ680" s="622" t="n"/>
      <c r="AR680" s="622" t="n"/>
      <c r="AS680" s="622" t="n"/>
      <c r="AT680" s="622" t="n"/>
      <c r="AU680" s="622" t="n"/>
      <c r="AV680" s="622" t="n"/>
      <c r="AW680" s="622" t="n"/>
      <c r="AX680" s="622" t="n"/>
      <c r="AY680" s="622" t="n"/>
    </row>
    <row r="681">
      <c r="A681" s="622" t="n"/>
      <c r="B681" s="622" t="n"/>
      <c r="C681" s="622" t="n"/>
      <c r="D681" s="622" t="n"/>
      <c r="E681" s="622" t="n"/>
      <c r="F681" s="622" t="n"/>
      <c r="G681" s="622" t="n"/>
      <c r="H681" s="622" t="n"/>
      <c r="I681" s="622" t="n"/>
      <c r="J681" s="622" t="n"/>
      <c r="K681" s="622" t="n"/>
      <c r="L681" s="622" t="n"/>
      <c r="M681" s="622" t="n"/>
      <c r="N681" s="622" t="n"/>
      <c r="O681" s="622" t="n"/>
      <c r="P681" s="622" t="n"/>
      <c r="Q681" s="622" t="n"/>
      <c r="R681" s="622" t="n"/>
      <c r="S681" s="622" t="n"/>
      <c r="T681" s="622" t="n"/>
      <c r="U681" s="622" t="n"/>
      <c r="V681" s="622" t="n"/>
      <c r="W681" s="622" t="n"/>
      <c r="X681" s="622" t="n"/>
      <c r="Y681" s="622" t="n"/>
      <c r="Z681" s="622" t="n"/>
      <c r="AA681" s="622" t="n"/>
      <c r="AB681" s="622" t="n"/>
      <c r="AC681" s="622" t="n"/>
      <c r="AD681" s="622" t="n"/>
      <c r="AE681" s="622" t="n"/>
      <c r="AF681" s="622" t="n"/>
      <c r="AG681" s="622" t="n"/>
      <c r="AH681" s="622" t="n"/>
      <c r="AI681" s="622" t="n"/>
      <c r="AJ681" s="622" t="n"/>
      <c r="AK681" s="622" t="n"/>
      <c r="AL681" s="622" t="n"/>
      <c r="AM681" s="622" t="n"/>
      <c r="AN681" s="622" t="n"/>
      <c r="AO681" s="622" t="n"/>
      <c r="AP681" s="622" t="n"/>
      <c r="AQ681" s="622" t="n"/>
      <c r="AR681" s="622" t="n"/>
      <c r="AS681" s="622" t="n"/>
      <c r="AT681" s="622" t="n"/>
      <c r="AU681" s="622" t="n"/>
      <c r="AV681" s="622" t="n"/>
      <c r="AW681" s="622" t="n"/>
      <c r="AX681" s="622" t="n"/>
      <c r="AY681" s="622" t="n"/>
    </row>
    <row r="682">
      <c r="A682" s="622" t="n"/>
      <c r="B682" s="622" t="n"/>
      <c r="C682" s="622" t="n"/>
      <c r="D682" s="622" t="n"/>
      <c r="E682" s="622" t="n"/>
      <c r="F682" s="622" t="n"/>
      <c r="G682" s="622" t="n"/>
      <c r="H682" s="622" t="n"/>
      <c r="I682" s="622" t="n"/>
      <c r="J682" s="622" t="n"/>
      <c r="K682" s="622" t="n"/>
      <c r="L682" s="622" t="n"/>
      <c r="M682" s="622" t="n"/>
      <c r="N682" s="622" t="n"/>
      <c r="O682" s="622" t="n"/>
      <c r="P682" s="622" t="n"/>
      <c r="Q682" s="622" t="n"/>
      <c r="R682" s="622" t="n"/>
      <c r="S682" s="622" t="n"/>
      <c r="T682" s="622" t="n"/>
      <c r="U682" s="622" t="n"/>
      <c r="V682" s="622" t="n"/>
      <c r="W682" s="622" t="n"/>
      <c r="X682" s="622" t="n"/>
      <c r="Y682" s="622" t="n"/>
      <c r="Z682" s="622" t="n"/>
      <c r="AA682" s="622" t="n"/>
      <c r="AB682" s="622" t="n"/>
      <c r="AC682" s="622" t="n"/>
      <c r="AD682" s="622" t="n"/>
      <c r="AE682" s="622" t="n"/>
      <c r="AF682" s="622" t="n"/>
      <c r="AG682" s="622" t="n"/>
      <c r="AH682" s="622" t="n"/>
      <c r="AI682" s="622" t="n"/>
      <c r="AJ682" s="622" t="n"/>
      <c r="AK682" s="622" t="n"/>
      <c r="AL682" s="622" t="n"/>
      <c r="AM682" s="622" t="n"/>
      <c r="AN682" s="622" t="n"/>
      <c r="AO682" s="622" t="n"/>
      <c r="AP682" s="622" t="n"/>
      <c r="AQ682" s="622" t="n"/>
      <c r="AR682" s="622" t="n"/>
      <c r="AS682" s="622" t="n"/>
      <c r="AT682" s="622" t="n"/>
      <c r="AU682" s="622" t="n"/>
      <c r="AV682" s="622" t="n"/>
      <c r="AW682" s="622" t="n"/>
      <c r="AX682" s="622" t="n"/>
      <c r="AY682" s="622" t="n"/>
    </row>
    <row r="683">
      <c r="A683" s="622" t="n"/>
      <c r="B683" s="622" t="n"/>
      <c r="C683" s="622" t="n"/>
      <c r="D683" s="622" t="n"/>
      <c r="E683" s="622" t="n"/>
      <c r="F683" s="622" t="n"/>
      <c r="G683" s="622" t="n"/>
      <c r="H683" s="622" t="n"/>
      <c r="I683" s="622" t="n"/>
      <c r="J683" s="622" t="n"/>
      <c r="K683" s="622" t="n"/>
      <c r="L683" s="622" t="n"/>
      <c r="M683" s="622" t="n"/>
      <c r="N683" s="622" t="n"/>
      <c r="O683" s="622" t="n"/>
      <c r="P683" s="622" t="n"/>
      <c r="Q683" s="622" t="n"/>
      <c r="R683" s="622" t="n"/>
      <c r="S683" s="622" t="n"/>
      <c r="T683" s="622" t="n"/>
      <c r="U683" s="622" t="n"/>
      <c r="V683" s="622" t="n"/>
      <c r="W683" s="622" t="n"/>
      <c r="X683" s="622" t="n"/>
      <c r="Y683" s="622" t="n"/>
      <c r="Z683" s="622" t="n"/>
      <c r="AA683" s="622" t="n"/>
      <c r="AB683" s="622" t="n"/>
      <c r="AC683" s="622" t="n"/>
      <c r="AD683" s="622" t="n"/>
      <c r="AE683" s="622" t="n"/>
      <c r="AF683" s="622" t="n"/>
      <c r="AG683" s="622" t="n"/>
      <c r="AH683" s="622" t="n"/>
      <c r="AI683" s="622" t="n"/>
      <c r="AJ683" s="622" t="n"/>
      <c r="AK683" s="622" t="n"/>
      <c r="AL683" s="622" t="n"/>
      <c r="AM683" s="622" t="n"/>
      <c r="AN683" s="622" t="n"/>
      <c r="AO683" s="622" t="n"/>
      <c r="AP683" s="622" t="n"/>
      <c r="AQ683" s="622" t="n"/>
      <c r="AR683" s="622" t="n"/>
      <c r="AS683" s="622" t="n"/>
      <c r="AT683" s="622" t="n"/>
      <c r="AU683" s="622" t="n"/>
      <c r="AV683" s="622" t="n"/>
      <c r="AW683" s="622" t="n"/>
      <c r="AX683" s="622" t="n"/>
      <c r="AY683" s="622" t="n"/>
    </row>
    <row r="684">
      <c r="A684" s="622" t="n"/>
      <c r="B684" s="622" t="n"/>
      <c r="C684" s="622" t="n"/>
      <c r="D684" s="622" t="n"/>
      <c r="E684" s="622" t="n"/>
      <c r="F684" s="622" t="n"/>
      <c r="G684" s="622" t="n"/>
      <c r="H684" s="622" t="n"/>
      <c r="I684" s="622" t="n"/>
      <c r="J684" s="622" t="n"/>
      <c r="K684" s="622" t="n"/>
      <c r="L684" s="622" t="n"/>
      <c r="M684" s="622" t="n"/>
      <c r="N684" s="622" t="n"/>
      <c r="O684" s="622" t="n"/>
      <c r="P684" s="622" t="n"/>
      <c r="Q684" s="622" t="n"/>
      <c r="R684" s="622" t="n"/>
      <c r="S684" s="622" t="n"/>
      <c r="T684" s="622" t="n"/>
      <c r="U684" s="622" t="n"/>
      <c r="V684" s="622" t="n"/>
      <c r="W684" s="622" t="n"/>
      <c r="X684" s="622" t="n"/>
      <c r="Y684" s="622" t="n"/>
      <c r="Z684" s="622" t="n"/>
      <c r="AA684" s="622" t="n"/>
      <c r="AB684" s="622" t="n"/>
      <c r="AC684" s="622" t="n"/>
      <c r="AD684" s="622" t="n"/>
      <c r="AE684" s="622" t="n"/>
      <c r="AF684" s="622" t="n"/>
      <c r="AG684" s="622" t="n"/>
      <c r="AH684" s="622" t="n"/>
      <c r="AI684" s="622" t="n"/>
      <c r="AJ684" s="622" t="n"/>
      <c r="AK684" s="622" t="n"/>
      <c r="AL684" s="622" t="n"/>
      <c r="AM684" s="622" t="n"/>
      <c r="AN684" s="622" t="n"/>
      <c r="AO684" s="622" t="n"/>
      <c r="AP684" s="622" t="n"/>
      <c r="AQ684" s="622" t="n"/>
      <c r="AR684" s="622" t="n"/>
      <c r="AS684" s="622" t="n"/>
      <c r="AT684" s="622" t="n"/>
      <c r="AU684" s="622" t="n"/>
      <c r="AV684" s="622" t="n"/>
      <c r="AW684" s="622" t="n"/>
      <c r="AX684" s="622" t="n"/>
      <c r="AY684" s="622" t="n"/>
    </row>
    <row r="685">
      <c r="A685" s="622" t="n"/>
      <c r="B685" s="622" t="n"/>
      <c r="C685" s="622" t="n"/>
      <c r="D685" s="622" t="n"/>
      <c r="E685" s="622" t="n"/>
      <c r="F685" s="622" t="n"/>
      <c r="G685" s="622" t="n"/>
      <c r="H685" s="622" t="n"/>
      <c r="I685" s="622" t="n"/>
      <c r="J685" s="622" t="n"/>
      <c r="K685" s="622" t="n"/>
      <c r="L685" s="622" t="n"/>
      <c r="M685" s="622" t="n"/>
      <c r="N685" s="622" t="n"/>
      <c r="O685" s="622" t="n"/>
      <c r="P685" s="622" t="n"/>
      <c r="Q685" s="622" t="n"/>
      <c r="R685" s="622" t="n"/>
      <c r="S685" s="622" t="n"/>
      <c r="T685" s="622" t="n"/>
      <c r="U685" s="622" t="n"/>
      <c r="V685" s="622" t="n"/>
      <c r="W685" s="622" t="n"/>
      <c r="X685" s="622" t="n"/>
      <c r="Y685" s="622" t="n"/>
      <c r="Z685" s="622" t="n"/>
      <c r="AA685" s="622" t="n"/>
      <c r="AB685" s="622" t="n"/>
      <c r="AC685" s="622" t="n"/>
      <c r="AD685" s="622" t="n"/>
      <c r="AE685" s="622" t="n"/>
      <c r="AF685" s="622" t="n"/>
      <c r="AG685" s="622" t="n"/>
      <c r="AH685" s="622" t="n"/>
      <c r="AI685" s="622" t="n"/>
      <c r="AJ685" s="622" t="n"/>
      <c r="AK685" s="622" t="n"/>
      <c r="AL685" s="622" t="n"/>
      <c r="AM685" s="622" t="n"/>
      <c r="AN685" s="622" t="n"/>
      <c r="AO685" s="622" t="n"/>
      <c r="AP685" s="622" t="n"/>
      <c r="AQ685" s="622" t="n"/>
      <c r="AR685" s="622" t="n"/>
      <c r="AS685" s="622" t="n"/>
      <c r="AT685" s="622" t="n"/>
      <c r="AU685" s="622" t="n"/>
      <c r="AV685" s="622" t="n"/>
      <c r="AW685" s="622" t="n"/>
      <c r="AX685" s="622" t="n"/>
      <c r="AY685" s="622" t="n"/>
    </row>
    <row r="686">
      <c r="A686" s="622" t="n"/>
      <c r="B686" s="622" t="n"/>
      <c r="C686" s="622" t="n"/>
      <c r="D686" s="622" t="n"/>
      <c r="E686" s="622" t="n"/>
      <c r="F686" s="622" t="n"/>
      <c r="G686" s="622" t="n"/>
      <c r="H686" s="622" t="n"/>
      <c r="I686" s="622" t="n"/>
      <c r="J686" s="622" t="n"/>
      <c r="K686" s="622" t="n"/>
      <c r="L686" s="622" t="n"/>
      <c r="M686" s="622" t="n"/>
      <c r="N686" s="622" t="n"/>
      <c r="O686" s="622" t="n"/>
      <c r="P686" s="622" t="n"/>
      <c r="Q686" s="622" t="n"/>
      <c r="R686" s="622" t="n"/>
      <c r="S686" s="622" t="n"/>
      <c r="T686" s="622" t="n"/>
      <c r="U686" s="622" t="n"/>
      <c r="V686" s="622" t="n"/>
      <c r="W686" s="622" t="n"/>
      <c r="X686" s="622" t="n"/>
      <c r="Y686" s="622" t="n"/>
      <c r="Z686" s="622" t="n"/>
      <c r="AA686" s="622" t="n"/>
      <c r="AB686" s="622" t="n"/>
      <c r="AC686" s="622" t="n"/>
      <c r="AD686" s="622" t="n"/>
      <c r="AE686" s="622" t="n"/>
      <c r="AF686" s="622" t="n"/>
      <c r="AG686" s="622" t="n"/>
      <c r="AH686" s="622" t="n"/>
      <c r="AI686" s="622" t="n"/>
      <c r="AJ686" s="622" t="n"/>
      <c r="AK686" s="622" t="n"/>
      <c r="AL686" s="622" t="n"/>
      <c r="AM686" s="622" t="n"/>
      <c r="AN686" s="622" t="n"/>
      <c r="AO686" s="622" t="n"/>
      <c r="AP686" s="622" t="n"/>
      <c r="AQ686" s="622" t="n"/>
      <c r="AR686" s="622" t="n"/>
      <c r="AS686" s="622" t="n"/>
      <c r="AT686" s="622" t="n"/>
      <c r="AU686" s="622" t="n"/>
      <c r="AV686" s="622" t="n"/>
      <c r="AW686" s="622" t="n"/>
      <c r="AX686" s="622" t="n"/>
      <c r="AY686" s="622" t="n"/>
    </row>
    <row r="687">
      <c r="A687" s="622" t="n"/>
      <c r="B687" s="622" t="n"/>
      <c r="C687" s="622" t="n"/>
      <c r="D687" s="622" t="n"/>
      <c r="E687" s="622" t="n"/>
      <c r="F687" s="622" t="n"/>
      <c r="G687" s="622" t="n"/>
      <c r="H687" s="622" t="n"/>
      <c r="I687" s="622" t="n"/>
      <c r="J687" s="622" t="n"/>
      <c r="K687" s="622" t="n"/>
      <c r="L687" s="622" t="n"/>
      <c r="M687" s="622" t="n"/>
      <c r="N687" s="622" t="n"/>
      <c r="O687" s="622" t="n"/>
      <c r="P687" s="622" t="n"/>
      <c r="Q687" s="622" t="n"/>
      <c r="R687" s="622" t="n"/>
      <c r="S687" s="622" t="n"/>
      <c r="T687" s="622" t="n"/>
      <c r="U687" s="622" t="n"/>
      <c r="V687" s="622" t="n"/>
      <c r="W687" s="622" t="n"/>
      <c r="X687" s="622" t="n"/>
      <c r="Y687" s="622" t="n"/>
      <c r="Z687" s="622" t="n"/>
      <c r="AA687" s="622" t="n"/>
      <c r="AB687" s="622" t="n"/>
      <c r="AC687" s="622" t="n"/>
      <c r="AD687" s="622" t="n"/>
      <c r="AE687" s="622" t="n"/>
      <c r="AF687" s="622" t="n"/>
      <c r="AG687" s="622" t="n"/>
      <c r="AH687" s="622" t="n"/>
      <c r="AI687" s="622" t="n"/>
      <c r="AJ687" s="622" t="n"/>
      <c r="AK687" s="622" t="n"/>
      <c r="AL687" s="622" t="n"/>
      <c r="AM687" s="622" t="n"/>
      <c r="AN687" s="622" t="n"/>
      <c r="AO687" s="622" t="n"/>
      <c r="AP687" s="622" t="n"/>
      <c r="AQ687" s="622" t="n"/>
      <c r="AR687" s="622" t="n"/>
      <c r="AS687" s="622" t="n"/>
      <c r="AT687" s="622" t="n"/>
      <c r="AU687" s="622" t="n"/>
      <c r="AV687" s="622" t="n"/>
      <c r="AW687" s="622" t="n"/>
      <c r="AX687" s="622" t="n"/>
      <c r="AY687" s="622" t="n"/>
    </row>
    <row r="688">
      <c r="A688" s="622" t="n"/>
      <c r="B688" s="622" t="n"/>
      <c r="C688" s="622" t="n"/>
      <c r="D688" s="622" t="n"/>
      <c r="E688" s="622" t="n"/>
      <c r="F688" s="622" t="n"/>
      <c r="G688" s="622" t="n"/>
      <c r="H688" s="622" t="n"/>
      <c r="I688" s="622" t="n"/>
      <c r="J688" s="622" t="n"/>
      <c r="K688" s="622" t="n"/>
      <c r="L688" s="622" t="n"/>
      <c r="M688" s="622" t="n"/>
      <c r="N688" s="622" t="n"/>
      <c r="O688" s="622" t="n"/>
      <c r="P688" s="622" t="n"/>
      <c r="Q688" s="622" t="n"/>
      <c r="R688" s="622" t="n"/>
      <c r="S688" s="622" t="n"/>
      <c r="T688" s="622" t="n"/>
      <c r="U688" s="622" t="n"/>
      <c r="V688" s="622" t="n"/>
      <c r="W688" s="622" t="n"/>
      <c r="X688" s="622" t="n"/>
      <c r="Y688" s="622" t="n"/>
      <c r="Z688" s="622" t="n"/>
      <c r="AA688" s="622" t="n"/>
      <c r="AB688" s="622" t="n"/>
      <c r="AC688" s="622" t="n"/>
      <c r="AD688" s="622" t="n"/>
      <c r="AE688" s="622" t="n"/>
      <c r="AF688" s="622" t="n"/>
      <c r="AG688" s="622" t="n"/>
      <c r="AH688" s="622" t="n"/>
      <c r="AI688" s="622" t="n"/>
      <c r="AJ688" s="622" t="n"/>
      <c r="AK688" s="622" t="n"/>
      <c r="AL688" s="622" t="n"/>
      <c r="AM688" s="622" t="n"/>
      <c r="AN688" s="622" t="n"/>
      <c r="AO688" s="622" t="n"/>
      <c r="AP688" s="622" t="n"/>
      <c r="AQ688" s="622" t="n"/>
      <c r="AR688" s="622" t="n"/>
      <c r="AS688" s="622" t="n"/>
      <c r="AT688" s="622" t="n"/>
      <c r="AU688" s="622" t="n"/>
      <c r="AV688" s="622" t="n"/>
      <c r="AW688" s="622" t="n"/>
      <c r="AX688" s="622" t="n"/>
      <c r="AY688" s="622" t="n"/>
    </row>
    <row r="689">
      <c r="A689" s="622" t="n"/>
      <c r="B689" s="622" t="n"/>
      <c r="C689" s="622" t="n"/>
      <c r="D689" s="622" t="n"/>
      <c r="E689" s="622" t="n"/>
      <c r="F689" s="622" t="n"/>
      <c r="G689" s="622" t="n"/>
      <c r="H689" s="622" t="n"/>
      <c r="I689" s="622" t="n"/>
      <c r="J689" s="622" t="n"/>
      <c r="K689" s="622" t="n"/>
      <c r="L689" s="622" t="n"/>
      <c r="M689" s="622" t="n"/>
      <c r="N689" s="622" t="n"/>
      <c r="O689" s="622" t="n"/>
      <c r="P689" s="622" t="n"/>
      <c r="Q689" s="622" t="n"/>
      <c r="R689" s="622" t="n"/>
      <c r="S689" s="622" t="n"/>
      <c r="T689" s="622" t="n"/>
      <c r="U689" s="622" t="n"/>
      <c r="V689" s="622" t="n"/>
      <c r="W689" s="622" t="n"/>
      <c r="X689" s="622" t="n"/>
      <c r="Y689" s="622" t="n"/>
      <c r="Z689" s="622" t="n"/>
      <c r="AA689" s="622" t="n"/>
      <c r="AB689" s="622" t="n"/>
      <c r="AC689" s="622" t="n"/>
      <c r="AD689" s="622" t="n"/>
      <c r="AE689" s="622" t="n"/>
      <c r="AF689" s="622" t="n"/>
      <c r="AG689" s="622" t="n"/>
      <c r="AH689" s="622" t="n"/>
      <c r="AI689" s="622" t="n"/>
      <c r="AJ689" s="622" t="n"/>
      <c r="AK689" s="622" t="n"/>
      <c r="AL689" s="622" t="n"/>
      <c r="AM689" s="622" t="n"/>
      <c r="AN689" s="622" t="n"/>
      <c r="AO689" s="622" t="n"/>
      <c r="AP689" s="622" t="n"/>
      <c r="AQ689" s="622" t="n"/>
      <c r="AR689" s="622" t="n"/>
      <c r="AS689" s="622" t="n"/>
      <c r="AT689" s="622" t="n"/>
      <c r="AU689" s="622" t="n"/>
      <c r="AV689" s="622" t="n"/>
      <c r="AW689" s="622" t="n"/>
      <c r="AX689" s="622" t="n"/>
      <c r="AY689" s="622" t="n"/>
    </row>
    <row r="690">
      <c r="A690" s="622" t="n"/>
      <c r="B690" s="622" t="n"/>
      <c r="C690" s="622" t="n"/>
      <c r="D690" s="622" t="n"/>
      <c r="E690" s="622" t="n"/>
      <c r="F690" s="622" t="n"/>
      <c r="G690" s="622" t="n"/>
      <c r="H690" s="622" t="n"/>
      <c r="I690" s="622" t="n"/>
      <c r="J690" s="622" t="n"/>
      <c r="K690" s="622" t="n"/>
      <c r="L690" s="622" t="n"/>
      <c r="M690" s="622" t="n"/>
      <c r="N690" s="622" t="n"/>
      <c r="O690" s="622" t="n"/>
      <c r="P690" s="622" t="n"/>
      <c r="Q690" s="622" t="n"/>
      <c r="R690" s="622" t="n"/>
      <c r="S690" s="622" t="n"/>
      <c r="T690" s="622" t="n"/>
      <c r="U690" s="622" t="n"/>
      <c r="V690" s="622" t="n"/>
      <c r="W690" s="622" t="n"/>
      <c r="X690" s="622" t="n"/>
      <c r="Y690" s="622" t="n"/>
      <c r="Z690" s="622" t="n"/>
      <c r="AA690" s="622" t="n"/>
      <c r="AB690" s="622" t="n"/>
      <c r="AC690" s="622" t="n"/>
      <c r="AD690" s="622" t="n"/>
      <c r="AE690" s="622" t="n"/>
      <c r="AF690" s="622" t="n"/>
      <c r="AG690" s="622" t="n"/>
      <c r="AH690" s="622" t="n"/>
      <c r="AI690" s="622" t="n"/>
      <c r="AJ690" s="622" t="n"/>
      <c r="AK690" s="622" t="n"/>
      <c r="AL690" s="622" t="n"/>
      <c r="AM690" s="622" t="n"/>
      <c r="AN690" s="622" t="n"/>
      <c r="AO690" s="622" t="n"/>
      <c r="AP690" s="622" t="n"/>
      <c r="AQ690" s="622" t="n"/>
      <c r="AR690" s="622" t="n"/>
      <c r="AS690" s="622" t="n"/>
      <c r="AT690" s="622" t="n"/>
      <c r="AU690" s="622" t="n"/>
      <c r="AV690" s="622" t="n"/>
      <c r="AW690" s="622" t="n"/>
      <c r="AX690" s="622" t="n"/>
      <c r="AY690" s="622" t="n"/>
    </row>
    <row r="691">
      <c r="A691" s="622" t="n"/>
      <c r="B691" s="622" t="n"/>
      <c r="C691" s="622" t="n"/>
      <c r="D691" s="622" t="n"/>
      <c r="E691" s="622" t="n"/>
      <c r="F691" s="622" t="n"/>
      <c r="G691" s="622" t="n"/>
      <c r="H691" s="622" t="n"/>
      <c r="I691" s="622" t="n"/>
      <c r="J691" s="622" t="n"/>
      <c r="K691" s="622" t="n"/>
      <c r="L691" s="622" t="n"/>
      <c r="M691" s="622" t="n"/>
      <c r="N691" s="622" t="n"/>
      <c r="O691" s="622" t="n"/>
      <c r="P691" s="622" t="n"/>
      <c r="Q691" s="622" t="n"/>
      <c r="R691" s="622" t="n"/>
      <c r="S691" s="622" t="n"/>
      <c r="T691" s="622" t="n"/>
      <c r="U691" s="622" t="n"/>
      <c r="V691" s="622" t="n"/>
      <c r="W691" s="622" t="n"/>
      <c r="X691" s="622" t="n"/>
      <c r="Y691" s="622" t="n"/>
      <c r="Z691" s="622" t="n"/>
      <c r="AA691" s="622" t="n"/>
      <c r="AB691" s="622" t="n"/>
      <c r="AC691" s="622" t="n"/>
      <c r="AD691" s="622" t="n"/>
      <c r="AE691" s="622" t="n"/>
      <c r="AF691" s="622" t="n"/>
      <c r="AG691" s="622" t="n"/>
      <c r="AH691" s="622" t="n"/>
      <c r="AI691" s="622" t="n"/>
      <c r="AJ691" s="622" t="n"/>
      <c r="AK691" s="622" t="n"/>
      <c r="AL691" s="622" t="n"/>
      <c r="AM691" s="622" t="n"/>
      <c r="AN691" s="622" t="n"/>
      <c r="AO691" s="622" t="n"/>
      <c r="AP691" s="622" t="n"/>
      <c r="AQ691" s="622" t="n"/>
      <c r="AR691" s="622" t="n"/>
      <c r="AS691" s="622" t="n"/>
      <c r="AT691" s="622" t="n"/>
      <c r="AU691" s="622" t="n"/>
      <c r="AV691" s="622" t="n"/>
      <c r="AW691" s="622" t="n"/>
      <c r="AX691" s="622" t="n"/>
      <c r="AY691" s="622" t="n"/>
    </row>
    <row r="692">
      <c r="A692" s="622" t="n"/>
      <c r="B692" s="622" t="n"/>
      <c r="C692" s="622" t="n"/>
      <c r="D692" s="622" t="n"/>
      <c r="E692" s="622" t="n"/>
      <c r="F692" s="622" t="n"/>
      <c r="G692" s="622" t="n"/>
      <c r="H692" s="622" t="n"/>
      <c r="I692" s="622" t="n"/>
      <c r="J692" s="622" t="n"/>
      <c r="K692" s="622" t="n"/>
      <c r="L692" s="622" t="n"/>
      <c r="M692" s="622" t="n"/>
      <c r="N692" s="622" t="n"/>
      <c r="O692" s="622" t="n"/>
      <c r="P692" s="622" t="n"/>
      <c r="Q692" s="622" t="n"/>
      <c r="R692" s="622" t="n"/>
      <c r="S692" s="622" t="n"/>
      <c r="T692" s="622" t="n"/>
      <c r="U692" s="622" t="n"/>
      <c r="V692" s="622" t="n"/>
      <c r="W692" s="622" t="n"/>
      <c r="X692" s="622" t="n"/>
      <c r="Y692" s="622" t="n"/>
      <c r="Z692" s="622" t="n"/>
      <c r="AA692" s="622" t="n"/>
      <c r="AB692" s="622" t="n"/>
      <c r="AC692" s="622" t="n"/>
      <c r="AD692" s="622" t="n"/>
      <c r="AE692" s="622" t="n"/>
      <c r="AF692" s="622" t="n"/>
      <c r="AG692" s="622" t="n"/>
      <c r="AH692" s="622" t="n"/>
      <c r="AI692" s="622" t="n"/>
      <c r="AJ692" s="622" t="n"/>
      <c r="AK692" s="622" t="n"/>
      <c r="AL692" s="622" t="n"/>
      <c r="AM692" s="622" t="n"/>
      <c r="AN692" s="622" t="n"/>
      <c r="AO692" s="622" t="n"/>
      <c r="AP692" s="622" t="n"/>
      <c r="AQ692" s="622" t="n"/>
      <c r="AR692" s="622" t="n"/>
      <c r="AS692" s="622" t="n"/>
      <c r="AT692" s="622" t="n"/>
      <c r="AU692" s="622" t="n"/>
      <c r="AV692" s="622" t="n"/>
      <c r="AW692" s="622" t="n"/>
      <c r="AX692" s="622" t="n"/>
      <c r="AY692" s="622" t="n"/>
    </row>
    <row r="693">
      <c r="A693" s="622" t="n"/>
      <c r="B693" s="622" t="n"/>
      <c r="C693" s="622" t="n"/>
      <c r="D693" s="622" t="n"/>
      <c r="E693" s="622" t="n"/>
      <c r="F693" s="622" t="n"/>
      <c r="G693" s="622" t="n"/>
      <c r="H693" s="622" t="n"/>
      <c r="I693" s="622" t="n"/>
      <c r="J693" s="622" t="n"/>
      <c r="K693" s="622" t="n"/>
      <c r="L693" s="622" t="n"/>
      <c r="M693" s="622" t="n"/>
      <c r="N693" s="622" t="n"/>
      <c r="O693" s="622" t="n"/>
      <c r="P693" s="622" t="n"/>
      <c r="Q693" s="622" t="n"/>
      <c r="R693" s="622" t="n"/>
      <c r="S693" s="622" t="n"/>
      <c r="T693" s="622" t="n"/>
      <c r="U693" s="622" t="n"/>
      <c r="V693" s="622" t="n"/>
      <c r="W693" s="622" t="n"/>
      <c r="X693" s="622" t="n"/>
      <c r="Y693" s="622" t="n"/>
      <c r="Z693" s="622" t="n"/>
      <c r="AA693" s="622" t="n"/>
      <c r="AB693" s="622" t="n"/>
      <c r="AC693" s="622" t="n"/>
      <c r="AD693" s="622" t="n"/>
      <c r="AE693" s="622" t="n"/>
      <c r="AF693" s="622" t="n"/>
      <c r="AG693" s="622" t="n"/>
      <c r="AH693" s="622" t="n"/>
      <c r="AI693" s="622" t="n"/>
      <c r="AJ693" s="622" t="n"/>
      <c r="AK693" s="622" t="n"/>
      <c r="AL693" s="622" t="n"/>
      <c r="AM693" s="622" t="n"/>
      <c r="AN693" s="622" t="n"/>
      <c r="AO693" s="622" t="n"/>
      <c r="AP693" s="622" t="n"/>
      <c r="AQ693" s="622" t="n"/>
      <c r="AR693" s="622" t="n"/>
      <c r="AS693" s="622" t="n"/>
      <c r="AT693" s="622" t="n"/>
      <c r="AU693" s="622" t="n"/>
      <c r="AV693" s="622" t="n"/>
      <c r="AW693" s="622" t="n"/>
      <c r="AX693" s="622" t="n"/>
      <c r="AY693" s="622" t="n"/>
    </row>
    <row r="694">
      <c r="A694" s="622" t="n"/>
      <c r="B694" s="622" t="n"/>
      <c r="C694" s="622" t="n"/>
      <c r="D694" s="622" t="n"/>
      <c r="E694" s="622" t="n"/>
      <c r="F694" s="622" t="n"/>
      <c r="G694" s="622" t="n"/>
      <c r="H694" s="622" t="n"/>
      <c r="I694" s="622" t="n"/>
      <c r="J694" s="622" t="n"/>
      <c r="K694" s="622" t="n"/>
      <c r="L694" s="622" t="n"/>
      <c r="M694" s="622" t="n"/>
      <c r="N694" s="622" t="n"/>
      <c r="O694" s="622" t="n"/>
      <c r="P694" s="622" t="n"/>
      <c r="Q694" s="622" t="n"/>
      <c r="R694" s="622" t="n"/>
      <c r="S694" s="622" t="n"/>
      <c r="T694" s="622" t="n"/>
      <c r="U694" s="622" t="n"/>
      <c r="V694" s="622" t="n"/>
      <c r="W694" s="622" t="n"/>
      <c r="X694" s="622" t="n"/>
      <c r="Y694" s="622" t="n"/>
      <c r="Z694" s="622" t="n"/>
      <c r="AA694" s="622" t="n"/>
      <c r="AB694" s="622" t="n"/>
      <c r="AC694" s="622" t="n"/>
      <c r="AD694" s="622" t="n"/>
      <c r="AE694" s="622" t="n"/>
      <c r="AF694" s="622" t="n"/>
      <c r="AG694" s="622" t="n"/>
      <c r="AH694" s="622" t="n"/>
      <c r="AI694" s="622" t="n"/>
      <c r="AJ694" s="622" t="n"/>
      <c r="AK694" s="622" t="n"/>
      <c r="AL694" s="622" t="n"/>
      <c r="AM694" s="622" t="n"/>
      <c r="AN694" s="622" t="n"/>
      <c r="AO694" s="622" t="n"/>
      <c r="AP694" s="622" t="n"/>
      <c r="AQ694" s="622" t="n"/>
      <c r="AR694" s="622" t="n"/>
      <c r="AS694" s="622" t="n"/>
      <c r="AT694" s="622" t="n"/>
      <c r="AU694" s="622" t="n"/>
      <c r="AV694" s="622" t="n"/>
      <c r="AW694" s="622" t="n"/>
      <c r="AX694" s="622" t="n"/>
      <c r="AY694" s="622" t="n"/>
    </row>
    <row r="695">
      <c r="A695" s="622" t="n"/>
      <c r="B695" s="622" t="n"/>
      <c r="C695" s="622" t="n"/>
      <c r="D695" s="622" t="n"/>
      <c r="E695" s="622" t="n"/>
      <c r="F695" s="622" t="n"/>
      <c r="G695" s="622" t="n"/>
      <c r="H695" s="622" t="n"/>
      <c r="I695" s="622" t="n"/>
      <c r="J695" s="622" t="n"/>
      <c r="K695" s="622" t="n"/>
      <c r="L695" s="622" t="n"/>
      <c r="M695" s="622" t="n"/>
      <c r="N695" s="622" t="n"/>
      <c r="O695" s="622" t="n"/>
      <c r="P695" s="622" t="n"/>
      <c r="Q695" s="622" t="n"/>
      <c r="R695" s="622" t="n"/>
      <c r="S695" s="622" t="n"/>
      <c r="T695" s="622" t="n"/>
      <c r="U695" s="622" t="n"/>
      <c r="V695" s="622" t="n"/>
      <c r="W695" s="622" t="n"/>
      <c r="X695" s="622" t="n"/>
      <c r="Y695" s="622" t="n"/>
      <c r="Z695" s="622" t="n"/>
      <c r="AA695" s="622" t="n"/>
      <c r="AB695" s="622" t="n"/>
      <c r="AC695" s="622" t="n"/>
      <c r="AD695" s="622" t="n"/>
      <c r="AE695" s="622" t="n"/>
      <c r="AF695" s="622" t="n"/>
      <c r="AG695" s="622" t="n"/>
      <c r="AH695" s="622" t="n"/>
      <c r="AI695" s="622" t="n"/>
      <c r="AJ695" s="622" t="n"/>
      <c r="AK695" s="622" t="n"/>
      <c r="AL695" s="622" t="n"/>
      <c r="AM695" s="622" t="n"/>
      <c r="AN695" s="622" t="n"/>
      <c r="AO695" s="622" t="n"/>
      <c r="AP695" s="622" t="n"/>
      <c r="AQ695" s="622" t="n"/>
      <c r="AR695" s="622" t="n"/>
      <c r="AS695" s="622" t="n"/>
      <c r="AT695" s="622" t="n"/>
      <c r="AU695" s="622" t="n"/>
      <c r="AV695" s="622" t="n"/>
      <c r="AW695" s="622" t="n"/>
      <c r="AX695" s="622" t="n"/>
      <c r="AY695" s="622" t="n"/>
    </row>
    <row r="696">
      <c r="A696" s="622" t="n"/>
      <c r="B696" s="622" t="n"/>
      <c r="C696" s="622" t="n"/>
      <c r="D696" s="622" t="n"/>
      <c r="E696" s="622" t="n"/>
      <c r="F696" s="622" t="n"/>
      <c r="G696" s="622" t="n"/>
      <c r="H696" s="622" t="n"/>
      <c r="I696" s="622" t="n"/>
      <c r="J696" s="622" t="n"/>
      <c r="K696" s="622" t="n"/>
      <c r="L696" s="622" t="n"/>
      <c r="M696" s="622" t="n"/>
      <c r="N696" s="622" t="n"/>
      <c r="O696" s="622" t="n"/>
      <c r="P696" s="622" t="n"/>
      <c r="Q696" s="622" t="n"/>
      <c r="R696" s="622" t="n"/>
      <c r="S696" s="622" t="n"/>
      <c r="T696" s="622" t="n"/>
      <c r="U696" s="622" t="n"/>
      <c r="V696" s="622" t="n"/>
      <c r="W696" s="622" t="n"/>
      <c r="X696" s="622" t="n"/>
      <c r="Y696" s="622" t="n"/>
      <c r="Z696" s="622" t="n"/>
      <c r="AA696" s="622" t="n"/>
      <c r="AB696" s="622" t="n"/>
      <c r="AC696" s="622" t="n"/>
      <c r="AD696" s="622" t="n"/>
      <c r="AE696" s="622" t="n"/>
      <c r="AF696" s="622" t="n"/>
      <c r="AG696" s="622" t="n"/>
      <c r="AH696" s="622" t="n"/>
      <c r="AI696" s="622" t="n"/>
      <c r="AJ696" s="622" t="n"/>
      <c r="AK696" s="622" t="n"/>
      <c r="AL696" s="622" t="n"/>
      <c r="AM696" s="622" t="n"/>
      <c r="AN696" s="622" t="n"/>
      <c r="AO696" s="622" t="n"/>
      <c r="AP696" s="622" t="n"/>
      <c r="AQ696" s="622" t="n"/>
      <c r="AR696" s="622" t="n"/>
      <c r="AS696" s="622" t="n"/>
      <c r="AT696" s="622" t="n"/>
      <c r="AU696" s="622" t="n"/>
      <c r="AV696" s="622" t="n"/>
      <c r="AW696" s="622" t="n"/>
      <c r="AX696" s="622" t="n"/>
      <c r="AY696" s="622" t="n"/>
    </row>
    <row r="697">
      <c r="A697" s="622" t="n"/>
      <c r="B697" s="622" t="n"/>
      <c r="C697" s="622" t="n"/>
      <c r="D697" s="622" t="n"/>
      <c r="E697" s="622" t="n"/>
      <c r="F697" s="622" t="n"/>
      <c r="G697" s="622" t="n"/>
      <c r="H697" s="622" t="n"/>
      <c r="I697" s="622" t="n"/>
      <c r="J697" s="622" t="n"/>
      <c r="K697" s="622" t="n"/>
      <c r="L697" s="622" t="n"/>
      <c r="M697" s="622" t="n"/>
      <c r="N697" s="622" t="n"/>
      <c r="O697" s="622" t="n"/>
      <c r="P697" s="622" t="n"/>
      <c r="Q697" s="622" t="n"/>
      <c r="R697" s="622" t="n"/>
      <c r="S697" s="622" t="n"/>
      <c r="T697" s="622" t="n"/>
      <c r="U697" s="622" t="n"/>
      <c r="V697" s="622" t="n"/>
      <c r="W697" s="622" t="n"/>
      <c r="X697" s="622" t="n"/>
      <c r="Y697" s="622" t="n"/>
      <c r="Z697" s="622" t="n"/>
      <c r="AA697" s="622" t="n"/>
      <c r="AB697" s="622" t="n"/>
      <c r="AC697" s="622" t="n"/>
      <c r="AD697" s="622" t="n"/>
      <c r="AE697" s="622" t="n"/>
      <c r="AF697" s="622" t="n"/>
      <c r="AG697" s="622" t="n"/>
      <c r="AH697" s="622" t="n"/>
      <c r="AI697" s="622" t="n"/>
      <c r="AJ697" s="622" t="n"/>
      <c r="AK697" s="622" t="n"/>
      <c r="AL697" s="622" t="n"/>
      <c r="AM697" s="622" t="n"/>
      <c r="AN697" s="622" t="n"/>
      <c r="AO697" s="622" t="n"/>
      <c r="AP697" s="622" t="n"/>
      <c r="AQ697" s="622" t="n"/>
      <c r="AR697" s="622" t="n"/>
      <c r="AS697" s="622" t="n"/>
      <c r="AT697" s="622" t="n"/>
      <c r="AU697" s="622" t="n"/>
      <c r="AV697" s="622" t="n"/>
      <c r="AW697" s="622" t="n"/>
      <c r="AX697" s="622" t="n"/>
      <c r="AY697" s="622" t="n"/>
    </row>
    <row r="698">
      <c r="A698" s="622" t="n"/>
      <c r="B698" s="622" t="n"/>
      <c r="C698" s="622" t="n"/>
      <c r="D698" s="622" t="n"/>
      <c r="E698" s="622" t="n"/>
      <c r="F698" s="622" t="n"/>
      <c r="G698" s="622" t="n"/>
      <c r="H698" s="622" t="n"/>
      <c r="I698" s="622" t="n"/>
      <c r="J698" s="622" t="n"/>
      <c r="K698" s="622" t="n"/>
      <c r="L698" s="622" t="n"/>
      <c r="M698" s="622" t="n"/>
      <c r="N698" s="622" t="n"/>
      <c r="O698" s="622" t="n"/>
      <c r="P698" s="622" t="n"/>
      <c r="Q698" s="622" t="n"/>
      <c r="R698" s="622" t="n"/>
      <c r="S698" s="622" t="n"/>
      <c r="T698" s="622" t="n"/>
      <c r="U698" s="622" t="n"/>
      <c r="V698" s="622" t="n"/>
      <c r="W698" s="622" t="n"/>
      <c r="X698" s="622" t="n"/>
      <c r="Y698" s="622" t="n"/>
      <c r="Z698" s="622" t="n"/>
      <c r="AA698" s="622" t="n"/>
      <c r="AB698" s="622" t="n"/>
      <c r="AC698" s="622" t="n"/>
      <c r="AD698" s="622" t="n"/>
      <c r="AE698" s="622" t="n"/>
      <c r="AF698" s="622" t="n"/>
      <c r="AG698" s="622" t="n"/>
      <c r="AH698" s="622" t="n"/>
      <c r="AI698" s="622" t="n"/>
      <c r="AJ698" s="622" t="n"/>
      <c r="AK698" s="622" t="n"/>
      <c r="AL698" s="622" t="n"/>
      <c r="AM698" s="622" t="n"/>
      <c r="AN698" s="622" t="n"/>
      <c r="AO698" s="622" t="n"/>
      <c r="AP698" s="622" t="n"/>
      <c r="AQ698" s="622" t="n"/>
      <c r="AR698" s="622" t="n"/>
      <c r="AS698" s="622" t="n"/>
      <c r="AT698" s="622" t="n"/>
      <c r="AU698" s="622" t="n"/>
      <c r="AV698" s="622" t="n"/>
      <c r="AW698" s="622" t="n"/>
      <c r="AX698" s="622" t="n"/>
      <c r="AY698" s="622" t="n"/>
    </row>
    <row r="699">
      <c r="A699" s="622" t="n"/>
      <c r="B699" s="622" t="n"/>
      <c r="C699" s="622" t="n"/>
      <c r="D699" s="622" t="n"/>
      <c r="E699" s="622" t="n"/>
      <c r="F699" s="622" t="n"/>
      <c r="G699" s="622" t="n"/>
      <c r="H699" s="622" t="n"/>
      <c r="I699" s="622" t="n"/>
      <c r="J699" s="622" t="n"/>
      <c r="K699" s="622" t="n"/>
      <c r="L699" s="622" t="n"/>
      <c r="M699" s="622" t="n"/>
      <c r="N699" s="622" t="n"/>
      <c r="O699" s="622" t="n"/>
      <c r="P699" s="622" t="n"/>
      <c r="Q699" s="622" t="n"/>
      <c r="R699" s="622" t="n"/>
      <c r="S699" s="622" t="n"/>
      <c r="T699" s="622" t="n"/>
      <c r="U699" s="622" t="n"/>
      <c r="V699" s="622" t="n"/>
      <c r="W699" s="622" t="n"/>
      <c r="X699" s="622" t="n"/>
      <c r="Y699" s="622" t="n"/>
      <c r="Z699" s="622" t="n"/>
      <c r="AA699" s="622" t="n"/>
      <c r="AB699" s="622" t="n"/>
      <c r="AC699" s="622" t="n"/>
      <c r="AD699" s="622" t="n"/>
      <c r="AE699" s="622" t="n"/>
      <c r="AF699" s="622" t="n"/>
      <c r="AG699" s="622" t="n"/>
      <c r="AH699" s="622" t="n"/>
      <c r="AI699" s="622" t="n"/>
      <c r="AJ699" s="622" t="n"/>
      <c r="AK699" s="622" t="n"/>
      <c r="AL699" s="622" t="n"/>
      <c r="AM699" s="622" t="n"/>
      <c r="AN699" s="622" t="n"/>
      <c r="AO699" s="622" t="n"/>
      <c r="AP699" s="622" t="n"/>
      <c r="AQ699" s="622" t="n"/>
      <c r="AR699" s="622" t="n"/>
      <c r="AS699" s="622" t="n"/>
      <c r="AT699" s="622" t="n"/>
      <c r="AU699" s="622" t="n"/>
      <c r="AV699" s="622" t="n"/>
      <c r="AW699" s="622" t="n"/>
      <c r="AX699" s="622" t="n"/>
      <c r="AY699" s="622" t="n"/>
    </row>
    <row r="700">
      <c r="A700" s="622" t="n"/>
      <c r="B700" s="622" t="n"/>
      <c r="C700" s="622" t="n"/>
      <c r="D700" s="622" t="n"/>
      <c r="E700" s="622" t="n"/>
      <c r="F700" s="622" t="n"/>
      <c r="G700" s="622" t="n"/>
      <c r="H700" s="622" t="n"/>
      <c r="I700" s="622" t="n"/>
      <c r="J700" s="622" t="n"/>
      <c r="K700" s="622" t="n"/>
      <c r="L700" s="622" t="n"/>
      <c r="M700" s="622" t="n"/>
      <c r="N700" s="622" t="n"/>
      <c r="O700" s="622" t="n"/>
      <c r="P700" s="622" t="n"/>
      <c r="Q700" s="622" t="n"/>
      <c r="R700" s="622" t="n"/>
      <c r="S700" s="622" t="n"/>
      <c r="T700" s="622" t="n"/>
      <c r="U700" s="622" t="n"/>
      <c r="V700" s="622" t="n"/>
      <c r="W700" s="622" t="n"/>
      <c r="X700" s="622" t="n"/>
      <c r="Y700" s="622" t="n"/>
      <c r="Z700" s="622" t="n"/>
      <c r="AA700" s="622" t="n"/>
      <c r="AB700" s="622" t="n"/>
      <c r="AC700" s="622" t="n"/>
      <c r="AD700" s="622" t="n"/>
      <c r="AE700" s="622" t="n"/>
      <c r="AF700" s="622" t="n"/>
      <c r="AG700" s="622" t="n"/>
      <c r="AH700" s="622" t="n"/>
      <c r="AI700" s="622" t="n"/>
      <c r="AJ700" s="622" t="n"/>
      <c r="AK700" s="622" t="n"/>
      <c r="AL700" s="622" t="n"/>
      <c r="AM700" s="622" t="n"/>
      <c r="AN700" s="622" t="n"/>
      <c r="AO700" s="622" t="n"/>
      <c r="AP700" s="622" t="n"/>
      <c r="AQ700" s="622" t="n"/>
      <c r="AR700" s="622" t="n"/>
      <c r="AS700" s="622" t="n"/>
      <c r="AT700" s="622" t="n"/>
      <c r="AU700" s="622" t="n"/>
      <c r="AV700" s="622" t="n"/>
      <c r="AW700" s="622" t="n"/>
      <c r="AX700" s="622" t="n"/>
      <c r="AY700" s="622" t="n"/>
    </row>
    <row r="701">
      <c r="A701" s="622" t="n"/>
      <c r="B701" s="622" t="n"/>
      <c r="C701" s="622" t="n"/>
      <c r="D701" s="622" t="n"/>
      <c r="E701" s="622" t="n"/>
      <c r="F701" s="622" t="n"/>
      <c r="G701" s="622" t="n"/>
      <c r="H701" s="622" t="n"/>
      <c r="I701" s="622" t="n"/>
      <c r="J701" s="622" t="n"/>
      <c r="K701" s="622" t="n"/>
      <c r="L701" s="622" t="n"/>
      <c r="M701" s="622" t="n"/>
      <c r="N701" s="622" t="n"/>
      <c r="O701" s="622" t="n"/>
      <c r="P701" s="622" t="n"/>
      <c r="Q701" s="622" t="n"/>
      <c r="R701" s="622" t="n"/>
      <c r="S701" s="622" t="n"/>
      <c r="T701" s="622" t="n"/>
      <c r="U701" s="622" t="n"/>
      <c r="V701" s="622" t="n"/>
      <c r="W701" s="622" t="n"/>
      <c r="X701" s="622" t="n"/>
      <c r="Y701" s="622" t="n"/>
      <c r="Z701" s="622" t="n"/>
      <c r="AA701" s="622" t="n"/>
      <c r="AB701" s="622" t="n"/>
      <c r="AC701" s="622" t="n"/>
      <c r="AD701" s="622" t="n"/>
      <c r="AE701" s="622" t="n"/>
      <c r="AF701" s="622" t="n"/>
      <c r="AG701" s="622" t="n"/>
      <c r="AH701" s="622" t="n"/>
      <c r="AI701" s="622" t="n"/>
      <c r="AJ701" s="622" t="n"/>
      <c r="AK701" s="622" t="n"/>
      <c r="AL701" s="622" t="n"/>
      <c r="AM701" s="622" t="n"/>
      <c r="AN701" s="622" t="n"/>
      <c r="AO701" s="622" t="n"/>
      <c r="AP701" s="622" t="n"/>
      <c r="AQ701" s="622" t="n"/>
      <c r="AR701" s="622" t="n"/>
      <c r="AS701" s="622" t="n"/>
      <c r="AT701" s="622" t="n"/>
      <c r="AU701" s="622" t="n"/>
      <c r="AV701" s="622" t="n"/>
      <c r="AW701" s="622" t="n"/>
      <c r="AX701" s="622" t="n"/>
      <c r="AY701" s="622" t="n"/>
    </row>
    <row r="702">
      <c r="A702" s="622" t="n"/>
      <c r="B702" s="622" t="n"/>
      <c r="C702" s="622" t="n"/>
      <c r="D702" s="622" t="n"/>
      <c r="E702" s="622" t="n"/>
      <c r="F702" s="622" t="n"/>
      <c r="G702" s="622" t="n"/>
      <c r="H702" s="622" t="n"/>
      <c r="I702" s="622" t="n"/>
      <c r="J702" s="622" t="n"/>
      <c r="K702" s="622" t="n"/>
      <c r="L702" s="622" t="n"/>
      <c r="M702" s="622" t="n"/>
      <c r="N702" s="622" t="n"/>
      <c r="O702" s="622" t="n"/>
      <c r="P702" s="622" t="n"/>
      <c r="Q702" s="622" t="n"/>
      <c r="R702" s="622" t="n"/>
      <c r="S702" s="622" t="n"/>
      <c r="T702" s="622" t="n"/>
      <c r="U702" s="622" t="n"/>
      <c r="V702" s="622" t="n"/>
      <c r="W702" s="622" t="n"/>
      <c r="X702" s="622" t="n"/>
      <c r="Y702" s="622" t="n"/>
      <c r="Z702" s="622" t="n"/>
      <c r="AA702" s="622" t="n"/>
      <c r="AB702" s="622" t="n"/>
      <c r="AC702" s="622" t="n"/>
      <c r="AD702" s="622" t="n"/>
      <c r="AE702" s="622" t="n"/>
      <c r="AF702" s="622" t="n"/>
      <c r="AG702" s="622" t="n"/>
      <c r="AH702" s="622" t="n"/>
      <c r="AI702" s="622" t="n"/>
      <c r="AJ702" s="622" t="n"/>
      <c r="AK702" s="622" t="n"/>
      <c r="AL702" s="622" t="n"/>
      <c r="AM702" s="622" t="n"/>
      <c r="AN702" s="622" t="n"/>
      <c r="AO702" s="622" t="n"/>
      <c r="AP702" s="622" t="n"/>
      <c r="AQ702" s="622" t="n"/>
      <c r="AR702" s="622" t="n"/>
      <c r="AS702" s="622" t="n"/>
      <c r="AT702" s="622" t="n"/>
      <c r="AU702" s="622" t="n"/>
      <c r="AV702" s="622" t="n"/>
      <c r="AW702" s="622" t="n"/>
      <c r="AX702" s="622" t="n"/>
      <c r="AY702" s="622" t="n"/>
    </row>
    <row r="703">
      <c r="A703" s="622" t="n"/>
      <c r="B703" s="622" t="n"/>
      <c r="C703" s="622" t="n"/>
      <c r="D703" s="622" t="n"/>
      <c r="E703" s="622" t="n"/>
      <c r="F703" s="622" t="n"/>
      <c r="G703" s="622" t="n"/>
      <c r="H703" s="622" t="n"/>
      <c r="I703" s="622" t="n"/>
      <c r="J703" s="622" t="n"/>
      <c r="K703" s="622" t="n"/>
      <c r="L703" s="622" t="n"/>
      <c r="M703" s="622" t="n"/>
      <c r="N703" s="622" t="n"/>
      <c r="O703" s="622" t="n"/>
      <c r="P703" s="622" t="n"/>
      <c r="Q703" s="622" t="n"/>
      <c r="R703" s="622" t="n"/>
      <c r="S703" s="622" t="n"/>
      <c r="T703" s="622" t="n"/>
      <c r="U703" s="622" t="n"/>
      <c r="V703" s="622" t="n"/>
      <c r="W703" s="622" t="n"/>
      <c r="X703" s="622" t="n"/>
      <c r="Y703" s="622" t="n"/>
      <c r="Z703" s="622" t="n"/>
      <c r="AA703" s="622" t="n"/>
      <c r="AB703" s="622" t="n"/>
      <c r="AC703" s="622" t="n"/>
      <c r="AD703" s="622" t="n"/>
      <c r="AE703" s="622" t="n"/>
      <c r="AF703" s="622" t="n"/>
      <c r="AG703" s="622" t="n"/>
      <c r="AH703" s="622" t="n"/>
      <c r="AI703" s="622" t="n"/>
      <c r="AJ703" s="622" t="n"/>
      <c r="AK703" s="622" t="n"/>
      <c r="AL703" s="622" t="n"/>
      <c r="AM703" s="622" t="n"/>
      <c r="AN703" s="622" t="n"/>
      <c r="AO703" s="622" t="n"/>
      <c r="AP703" s="622" t="n"/>
      <c r="AQ703" s="622" t="n"/>
      <c r="AR703" s="622" t="n"/>
      <c r="AS703" s="622" t="n"/>
      <c r="AT703" s="622" t="n"/>
      <c r="AU703" s="622" t="n"/>
      <c r="AV703" s="622" t="n"/>
      <c r="AW703" s="622" t="n"/>
      <c r="AX703" s="622" t="n"/>
      <c r="AY703" s="622" t="n"/>
    </row>
    <row r="704">
      <c r="A704" s="622" t="n"/>
      <c r="B704" s="622" t="n"/>
      <c r="C704" s="622" t="n"/>
      <c r="D704" s="622" t="n"/>
      <c r="E704" s="622" t="n"/>
      <c r="F704" s="622" t="n"/>
      <c r="G704" s="622" t="n"/>
      <c r="H704" s="622" t="n"/>
      <c r="I704" s="622" t="n"/>
      <c r="J704" s="622" t="n"/>
      <c r="K704" s="622" t="n"/>
      <c r="L704" s="622" t="n"/>
      <c r="M704" s="622" t="n"/>
      <c r="N704" s="622" t="n"/>
      <c r="O704" s="622" t="n"/>
      <c r="P704" s="622" t="n"/>
      <c r="Q704" s="622" t="n"/>
      <c r="R704" s="622" t="n"/>
      <c r="S704" s="622" t="n"/>
      <c r="T704" s="622" t="n"/>
      <c r="U704" s="622" t="n"/>
      <c r="V704" s="622" t="n"/>
      <c r="W704" s="622" t="n"/>
      <c r="X704" s="622" t="n"/>
      <c r="Y704" s="622" t="n"/>
      <c r="Z704" s="622" t="n"/>
      <c r="AA704" s="622" t="n"/>
      <c r="AB704" s="622" t="n"/>
      <c r="AC704" s="622" t="n"/>
      <c r="AD704" s="622" t="n"/>
      <c r="AE704" s="622" t="n"/>
      <c r="AF704" s="622" t="n"/>
      <c r="AG704" s="622" t="n"/>
      <c r="AH704" s="622" t="n"/>
      <c r="AI704" s="622" t="n"/>
      <c r="AJ704" s="622" t="n"/>
      <c r="AK704" s="622" t="n"/>
      <c r="AL704" s="622" t="n"/>
      <c r="AM704" s="622" t="n"/>
      <c r="AN704" s="622" t="n"/>
      <c r="AO704" s="622" t="n"/>
      <c r="AP704" s="622" t="n"/>
      <c r="AQ704" s="622" t="n"/>
      <c r="AR704" s="622" t="n"/>
      <c r="AS704" s="622" t="n"/>
      <c r="AT704" s="622" t="n"/>
      <c r="AU704" s="622" t="n"/>
      <c r="AV704" s="622" t="n"/>
      <c r="AW704" s="622" t="n"/>
      <c r="AX704" s="622" t="n"/>
      <c r="AY704" s="622" t="n"/>
    </row>
    <row r="705">
      <c r="A705" s="622" t="n"/>
      <c r="B705" s="622" t="n"/>
      <c r="C705" s="622" t="n"/>
      <c r="D705" s="622" t="n"/>
      <c r="E705" s="622" t="n"/>
      <c r="F705" s="622" t="n"/>
      <c r="G705" s="622" t="n"/>
      <c r="H705" s="622" t="n"/>
      <c r="I705" s="622" t="n"/>
      <c r="J705" s="622" t="n"/>
      <c r="K705" s="622" t="n"/>
      <c r="L705" s="622" t="n"/>
      <c r="M705" s="622" t="n"/>
      <c r="N705" s="622" t="n"/>
      <c r="O705" s="622" t="n"/>
      <c r="P705" s="622" t="n"/>
      <c r="Q705" s="622" t="n"/>
      <c r="R705" s="622" t="n"/>
      <c r="S705" s="622" t="n"/>
      <c r="T705" s="622" t="n"/>
      <c r="U705" s="622" t="n"/>
      <c r="V705" s="622" t="n"/>
      <c r="W705" s="622" t="n"/>
      <c r="X705" s="622" t="n"/>
      <c r="Y705" s="622" t="n"/>
      <c r="Z705" s="622" t="n"/>
      <c r="AA705" s="622" t="n"/>
      <c r="AB705" s="622" t="n"/>
      <c r="AC705" s="622" t="n"/>
      <c r="AD705" s="622" t="n"/>
      <c r="AE705" s="622" t="n"/>
      <c r="AF705" s="622" t="n"/>
      <c r="AG705" s="622" t="n"/>
      <c r="AH705" s="622" t="n"/>
      <c r="AI705" s="622" t="n"/>
      <c r="AJ705" s="622" t="n"/>
      <c r="AK705" s="622" t="n"/>
      <c r="AL705" s="622" t="n"/>
      <c r="AM705" s="622" t="n"/>
      <c r="AN705" s="622" t="n"/>
      <c r="AO705" s="622" t="n"/>
      <c r="AP705" s="622" t="n"/>
      <c r="AQ705" s="622" t="n"/>
      <c r="AR705" s="622" t="n"/>
      <c r="AS705" s="622" t="n"/>
      <c r="AT705" s="622" t="n"/>
      <c r="AU705" s="622" t="n"/>
      <c r="AV705" s="622" t="n"/>
      <c r="AW705" s="622" t="n"/>
      <c r="AX705" s="622" t="n"/>
      <c r="AY705" s="622" t="n"/>
    </row>
    <row r="706">
      <c r="A706" s="622" t="n"/>
      <c r="B706" s="622" t="n"/>
      <c r="C706" s="622" t="n"/>
      <c r="D706" s="622" t="n"/>
      <c r="E706" s="622" t="n"/>
      <c r="F706" s="622" t="n"/>
      <c r="G706" s="622" t="n"/>
      <c r="H706" s="622" t="n"/>
      <c r="I706" s="622" t="n"/>
      <c r="J706" s="622" t="n"/>
      <c r="K706" s="622" t="n"/>
      <c r="L706" s="622" t="n"/>
      <c r="M706" s="622" t="n"/>
      <c r="N706" s="622" t="n"/>
      <c r="O706" s="622" t="n"/>
      <c r="P706" s="622" t="n"/>
      <c r="Q706" s="622" t="n"/>
      <c r="R706" s="622" t="n"/>
      <c r="S706" s="622" t="n"/>
      <c r="T706" s="622" t="n"/>
      <c r="U706" s="622" t="n"/>
      <c r="V706" s="622" t="n"/>
      <c r="W706" s="622" t="n"/>
      <c r="X706" s="622" t="n"/>
      <c r="Y706" s="622" t="n"/>
      <c r="Z706" s="622" t="n"/>
      <c r="AA706" s="622" t="n"/>
      <c r="AB706" s="622" t="n"/>
      <c r="AC706" s="622" t="n"/>
      <c r="AD706" s="622" t="n"/>
      <c r="AE706" s="622" t="n"/>
      <c r="AF706" s="622" t="n"/>
      <c r="AG706" s="622" t="n"/>
      <c r="AH706" s="622" t="n"/>
      <c r="AI706" s="622" t="n"/>
      <c r="AJ706" s="622" t="n"/>
      <c r="AK706" s="622" t="n"/>
      <c r="AL706" s="622" t="n"/>
      <c r="AM706" s="622" t="n"/>
      <c r="AN706" s="622" t="n"/>
      <c r="AO706" s="622" t="n"/>
      <c r="AP706" s="622" t="n"/>
      <c r="AQ706" s="622" t="n"/>
      <c r="AR706" s="622" t="n"/>
      <c r="AS706" s="622" t="n"/>
      <c r="AT706" s="622" t="n"/>
      <c r="AU706" s="622" t="n"/>
      <c r="AV706" s="622" t="n"/>
      <c r="AW706" s="622" t="n"/>
      <c r="AX706" s="622" t="n"/>
      <c r="AY706" s="622" t="n"/>
    </row>
    <row r="707">
      <c r="A707" s="622" t="n"/>
      <c r="B707" s="622" t="n"/>
      <c r="C707" s="622" t="n"/>
      <c r="D707" s="622" t="n"/>
      <c r="E707" s="622" t="n"/>
      <c r="F707" s="622" t="n"/>
      <c r="G707" s="622" t="n"/>
      <c r="H707" s="622" t="n"/>
      <c r="I707" s="622" t="n"/>
      <c r="J707" s="622" t="n"/>
      <c r="K707" s="622" t="n"/>
      <c r="L707" s="622" t="n"/>
      <c r="M707" s="622" t="n"/>
      <c r="N707" s="622" t="n"/>
      <c r="O707" s="622" t="n"/>
      <c r="P707" s="622" t="n"/>
      <c r="Q707" s="622" t="n"/>
      <c r="R707" s="622" t="n"/>
      <c r="S707" s="622" t="n"/>
      <c r="T707" s="622" t="n"/>
      <c r="U707" s="622" t="n"/>
      <c r="V707" s="622" t="n"/>
      <c r="W707" s="622" t="n"/>
      <c r="X707" s="622" t="n"/>
      <c r="Y707" s="622" t="n"/>
      <c r="Z707" s="622" t="n"/>
      <c r="AA707" s="622" t="n"/>
      <c r="AB707" s="622" t="n"/>
      <c r="AC707" s="622" t="n"/>
      <c r="AD707" s="622" t="n"/>
      <c r="AE707" s="622" t="n"/>
      <c r="AF707" s="622" t="n"/>
      <c r="AG707" s="622" t="n"/>
      <c r="AH707" s="622" t="n"/>
      <c r="AI707" s="622" t="n"/>
      <c r="AJ707" s="622" t="n"/>
      <c r="AK707" s="622" t="n"/>
      <c r="AL707" s="622" t="n"/>
      <c r="AM707" s="622" t="n"/>
      <c r="AN707" s="622" t="n"/>
      <c r="AO707" s="622" t="n"/>
      <c r="AP707" s="622" t="n"/>
      <c r="AQ707" s="622" t="n"/>
      <c r="AR707" s="622" t="n"/>
      <c r="AS707" s="622" t="n"/>
      <c r="AT707" s="622" t="n"/>
      <c r="AU707" s="622" t="n"/>
      <c r="AV707" s="622" t="n"/>
      <c r="AW707" s="622" t="n"/>
      <c r="AX707" s="622" t="n"/>
      <c r="AY707" s="622" t="n"/>
    </row>
    <row r="708">
      <c r="A708" s="622" t="n"/>
      <c r="B708" s="622" t="n"/>
      <c r="C708" s="622" t="n"/>
      <c r="D708" s="622" t="n"/>
      <c r="E708" s="622" t="n"/>
      <c r="F708" s="622" t="n"/>
      <c r="G708" s="622" t="n"/>
      <c r="H708" s="622" t="n"/>
      <c r="I708" s="622" t="n"/>
      <c r="J708" s="622" t="n"/>
      <c r="K708" s="622" t="n"/>
      <c r="L708" s="622" t="n"/>
      <c r="M708" s="622" t="n"/>
      <c r="N708" s="622" t="n"/>
      <c r="O708" s="622" t="n"/>
      <c r="P708" s="622" t="n"/>
      <c r="Q708" s="622" t="n"/>
      <c r="R708" s="622" t="n"/>
      <c r="S708" s="622" t="n"/>
      <c r="T708" s="622" t="n"/>
      <c r="U708" s="622" t="n"/>
      <c r="V708" s="622" t="n"/>
      <c r="W708" s="622" t="n"/>
      <c r="X708" s="622" t="n"/>
      <c r="Y708" s="622" t="n"/>
      <c r="Z708" s="622" t="n"/>
      <c r="AA708" s="622" t="n"/>
      <c r="AB708" s="622" t="n"/>
      <c r="AC708" s="622" t="n"/>
      <c r="AD708" s="622" t="n"/>
      <c r="AE708" s="622" t="n"/>
      <c r="AF708" s="622" t="n"/>
      <c r="AG708" s="622" t="n"/>
      <c r="AH708" s="622" t="n"/>
      <c r="AI708" s="622" t="n"/>
      <c r="AJ708" s="622" t="n"/>
      <c r="AK708" s="622" t="n"/>
      <c r="AL708" s="622" t="n"/>
      <c r="AM708" s="622" t="n"/>
      <c r="AN708" s="622" t="n"/>
      <c r="AO708" s="622" t="n"/>
      <c r="AP708" s="622" t="n"/>
      <c r="AQ708" s="622" t="n"/>
      <c r="AR708" s="622" t="n"/>
      <c r="AS708" s="622" t="n"/>
      <c r="AT708" s="622" t="n"/>
      <c r="AU708" s="622" t="n"/>
      <c r="AV708" s="622" t="n"/>
      <c r="AW708" s="622" t="n"/>
      <c r="AX708" s="622" t="n"/>
      <c r="AY708" s="622" t="n"/>
    </row>
    <row r="709">
      <c r="A709" s="622" t="n"/>
      <c r="B709" s="622" t="n"/>
      <c r="C709" s="622" t="n"/>
      <c r="D709" s="622" t="n"/>
      <c r="E709" s="622" t="n"/>
      <c r="F709" s="622" t="n"/>
      <c r="G709" s="622" t="n"/>
      <c r="H709" s="622" t="n"/>
      <c r="I709" s="622" t="n"/>
      <c r="J709" s="622" t="n"/>
      <c r="K709" s="622" t="n"/>
      <c r="L709" s="622" t="n"/>
      <c r="M709" s="622" t="n"/>
      <c r="N709" s="622" t="n"/>
      <c r="O709" s="622" t="n"/>
      <c r="P709" s="622" t="n"/>
      <c r="Q709" s="622" t="n"/>
      <c r="R709" s="622" t="n"/>
      <c r="S709" s="622" t="n"/>
      <c r="T709" s="622" t="n"/>
      <c r="U709" s="622" t="n"/>
      <c r="V709" s="622" t="n"/>
      <c r="W709" s="622" t="n"/>
      <c r="X709" s="622" t="n"/>
      <c r="Y709" s="622" t="n"/>
      <c r="Z709" s="622" t="n"/>
      <c r="AA709" s="622" t="n"/>
      <c r="AB709" s="622" t="n"/>
      <c r="AC709" s="622" t="n"/>
      <c r="AD709" s="622" t="n"/>
      <c r="AE709" s="622" t="n"/>
      <c r="AF709" s="622" t="n"/>
      <c r="AG709" s="622" t="n"/>
      <c r="AH709" s="622" t="n"/>
      <c r="AI709" s="622" t="n"/>
      <c r="AJ709" s="622" t="n"/>
      <c r="AK709" s="622" t="n"/>
      <c r="AL709" s="622" t="n"/>
      <c r="AM709" s="622" t="n"/>
      <c r="AN709" s="622" t="n"/>
      <c r="AO709" s="622" t="n"/>
      <c r="AP709" s="622" t="n"/>
      <c r="AQ709" s="622" t="n"/>
      <c r="AR709" s="622" t="n"/>
      <c r="AS709" s="622" t="n"/>
      <c r="AT709" s="622" t="n"/>
      <c r="AU709" s="622" t="n"/>
      <c r="AV709" s="622" t="n"/>
      <c r="AW709" s="622" t="n"/>
      <c r="AX709" s="622" t="n"/>
      <c r="AY709" s="622" t="n"/>
    </row>
    <row r="710">
      <c r="A710" s="622" t="n"/>
      <c r="B710" s="622" t="n"/>
      <c r="C710" s="622" t="n"/>
      <c r="D710" s="622" t="n"/>
      <c r="E710" s="622" t="n"/>
      <c r="F710" s="622" t="n"/>
      <c r="G710" s="622" t="n"/>
      <c r="H710" s="622" t="n"/>
      <c r="I710" s="622" t="n"/>
      <c r="J710" s="622" t="n"/>
      <c r="K710" s="622" t="n"/>
      <c r="L710" s="622" t="n"/>
      <c r="M710" s="622" t="n"/>
      <c r="N710" s="622" t="n"/>
      <c r="O710" s="622" t="n"/>
      <c r="P710" s="622" t="n"/>
      <c r="Q710" s="622" t="n"/>
      <c r="R710" s="622" t="n"/>
      <c r="S710" s="622" t="n"/>
      <c r="T710" s="622" t="n"/>
      <c r="U710" s="622" t="n"/>
      <c r="V710" s="622" t="n"/>
      <c r="W710" s="622" t="n"/>
      <c r="X710" s="622" t="n"/>
      <c r="Y710" s="622" t="n"/>
      <c r="Z710" s="622" t="n"/>
      <c r="AA710" s="622" t="n"/>
      <c r="AB710" s="622" t="n"/>
      <c r="AC710" s="622" t="n"/>
      <c r="AD710" s="622" t="n"/>
      <c r="AE710" s="622" t="n"/>
      <c r="AF710" s="622" t="n"/>
      <c r="AG710" s="622" t="n"/>
      <c r="AH710" s="622" t="n"/>
      <c r="AI710" s="622" t="n"/>
      <c r="AJ710" s="622" t="n"/>
      <c r="AK710" s="622" t="n"/>
      <c r="AL710" s="622" t="n"/>
      <c r="AM710" s="622" t="n"/>
      <c r="AN710" s="622" t="n"/>
      <c r="AO710" s="622" t="n"/>
      <c r="AP710" s="622" t="n"/>
      <c r="AQ710" s="622" t="n"/>
      <c r="AR710" s="622" t="n"/>
      <c r="AS710" s="622" t="n"/>
      <c r="AT710" s="622" t="n"/>
      <c r="AU710" s="622" t="n"/>
      <c r="AV710" s="622" t="n"/>
      <c r="AW710" s="622" t="n"/>
      <c r="AX710" s="622" t="n"/>
      <c r="AY710" s="622" t="n"/>
    </row>
    <row r="711">
      <c r="A711" s="622" t="n"/>
      <c r="B711" s="622" t="n"/>
      <c r="C711" s="622" t="n"/>
      <c r="D711" s="622" t="n"/>
      <c r="E711" s="622" t="n"/>
      <c r="F711" s="622" t="n"/>
      <c r="G711" s="622" t="n"/>
      <c r="H711" s="622" t="n"/>
      <c r="I711" s="622" t="n"/>
      <c r="J711" s="622" t="n"/>
      <c r="K711" s="622" t="n"/>
      <c r="L711" s="622" t="n"/>
      <c r="M711" s="622" t="n"/>
      <c r="N711" s="622" t="n"/>
      <c r="O711" s="622" t="n"/>
      <c r="P711" s="622" t="n"/>
      <c r="Q711" s="622" t="n"/>
      <c r="R711" s="622" t="n"/>
      <c r="S711" s="622" t="n"/>
      <c r="T711" s="622" t="n"/>
      <c r="U711" s="622" t="n"/>
      <c r="V711" s="622" t="n"/>
      <c r="W711" s="622" t="n"/>
      <c r="X711" s="622" t="n"/>
      <c r="Y711" s="622" t="n"/>
      <c r="Z711" s="622" t="n"/>
      <c r="AA711" s="622" t="n"/>
      <c r="AB711" s="622" t="n"/>
      <c r="AC711" s="622" t="n"/>
      <c r="AD711" s="622" t="n"/>
      <c r="AE711" s="622" t="n"/>
      <c r="AF711" s="622" t="n"/>
      <c r="AG711" s="622" t="n"/>
      <c r="AH711" s="622" t="n"/>
      <c r="AI711" s="622" t="n"/>
      <c r="AJ711" s="622" t="n"/>
      <c r="AK711" s="622" t="n"/>
      <c r="AL711" s="622" t="n"/>
      <c r="AM711" s="622" t="n"/>
      <c r="AN711" s="622" t="n"/>
      <c r="AO711" s="622" t="n"/>
      <c r="AP711" s="622" t="n"/>
      <c r="AQ711" s="622" t="n"/>
      <c r="AR711" s="622" t="n"/>
      <c r="AS711" s="622" t="n"/>
      <c r="AT711" s="622" t="n"/>
      <c r="AU711" s="622" t="n"/>
      <c r="AV711" s="622" t="n"/>
      <c r="AW711" s="622" t="n"/>
      <c r="AX711" s="622" t="n"/>
      <c r="AY711" s="622" t="n"/>
    </row>
    <row r="712">
      <c r="A712" s="622" t="n"/>
      <c r="B712" s="622" t="n"/>
      <c r="C712" s="622" t="n"/>
      <c r="D712" s="622" t="n"/>
      <c r="E712" s="622" t="n"/>
      <c r="F712" s="622" t="n"/>
      <c r="G712" s="622" t="n"/>
      <c r="H712" s="622" t="n"/>
      <c r="I712" s="622" t="n"/>
      <c r="J712" s="622" t="n"/>
      <c r="K712" s="622" t="n"/>
      <c r="L712" s="622" t="n"/>
      <c r="M712" s="622" t="n"/>
      <c r="N712" s="622" t="n"/>
      <c r="O712" s="622" t="n"/>
      <c r="P712" s="622" t="n"/>
      <c r="Q712" s="622" t="n"/>
      <c r="R712" s="622" t="n"/>
      <c r="S712" s="622" t="n"/>
      <c r="T712" s="622" t="n"/>
      <c r="U712" s="622" t="n"/>
      <c r="V712" s="622" t="n"/>
      <c r="W712" s="622" t="n"/>
      <c r="X712" s="622" t="n"/>
      <c r="Y712" s="622" t="n"/>
      <c r="Z712" s="622" t="n"/>
      <c r="AA712" s="622" t="n"/>
      <c r="AB712" s="622" t="n"/>
      <c r="AC712" s="622" t="n"/>
      <c r="AD712" s="622" t="n"/>
      <c r="AE712" s="622" t="n"/>
      <c r="AF712" s="622" t="n"/>
      <c r="AG712" s="622" t="n"/>
      <c r="AH712" s="622" t="n"/>
      <c r="AI712" s="622" t="n"/>
      <c r="AJ712" s="622" t="n"/>
      <c r="AK712" s="622" t="n"/>
      <c r="AL712" s="622" t="n"/>
      <c r="AM712" s="622" t="n"/>
      <c r="AN712" s="622" t="n"/>
      <c r="AO712" s="622" t="n"/>
      <c r="AP712" s="622" t="n"/>
      <c r="AQ712" s="622" t="n"/>
      <c r="AR712" s="622" t="n"/>
      <c r="AS712" s="622" t="n"/>
      <c r="AT712" s="622" t="n"/>
      <c r="AU712" s="622" t="n"/>
      <c r="AV712" s="622" t="n"/>
      <c r="AW712" s="622" t="n"/>
      <c r="AX712" s="622" t="n"/>
      <c r="AY712" s="622" t="n"/>
    </row>
    <row r="713">
      <c r="A713" s="622" t="n"/>
      <c r="B713" s="622" t="n"/>
      <c r="C713" s="622" t="n"/>
      <c r="D713" s="622" t="n"/>
      <c r="E713" s="622" t="n"/>
      <c r="F713" s="622" t="n"/>
      <c r="G713" s="622" t="n"/>
      <c r="H713" s="622" t="n"/>
      <c r="I713" s="622" t="n"/>
      <c r="J713" s="622" t="n"/>
      <c r="K713" s="622" t="n"/>
      <c r="L713" s="622" t="n"/>
      <c r="M713" s="622" t="n"/>
      <c r="N713" s="622" t="n"/>
      <c r="O713" s="622" t="n"/>
      <c r="P713" s="622" t="n"/>
      <c r="Q713" s="622" t="n"/>
      <c r="R713" s="622" t="n"/>
      <c r="S713" s="622" t="n"/>
      <c r="T713" s="622" t="n"/>
      <c r="U713" s="622" t="n"/>
      <c r="V713" s="622" t="n"/>
      <c r="W713" s="622" t="n"/>
      <c r="X713" s="622" t="n"/>
      <c r="Y713" s="622" t="n"/>
      <c r="Z713" s="622" t="n"/>
      <c r="AA713" s="622" t="n"/>
      <c r="AB713" s="622" t="n"/>
      <c r="AC713" s="622" t="n"/>
      <c r="AD713" s="622" t="n"/>
      <c r="AE713" s="622" t="n"/>
      <c r="AF713" s="622" t="n"/>
      <c r="AG713" s="622" t="n"/>
      <c r="AH713" s="622" t="n"/>
      <c r="AI713" s="622" t="n"/>
      <c r="AJ713" s="622" t="n"/>
      <c r="AK713" s="622" t="n"/>
      <c r="AL713" s="622" t="n"/>
      <c r="AM713" s="622" t="n"/>
      <c r="AN713" s="622" t="n"/>
      <c r="AO713" s="622" t="n"/>
      <c r="AP713" s="622" t="n"/>
      <c r="AQ713" s="622" t="n"/>
      <c r="AR713" s="622" t="n"/>
      <c r="AS713" s="622" t="n"/>
      <c r="AT713" s="622" t="n"/>
      <c r="AU713" s="622" t="n"/>
      <c r="AV713" s="622" t="n"/>
      <c r="AW713" s="622" t="n"/>
      <c r="AX713" s="622" t="n"/>
      <c r="AY713" s="622" t="n"/>
    </row>
    <row r="714">
      <c r="A714" s="622" t="n"/>
      <c r="B714" s="622" t="n"/>
      <c r="C714" s="622" t="n"/>
      <c r="D714" s="622" t="n"/>
      <c r="E714" s="622" t="n"/>
      <c r="F714" s="622" t="n"/>
      <c r="G714" s="622" t="n"/>
      <c r="H714" s="622" t="n"/>
      <c r="I714" s="622" t="n"/>
      <c r="J714" s="622" t="n"/>
      <c r="K714" s="622" t="n"/>
      <c r="L714" s="622" t="n"/>
      <c r="M714" s="622" t="n"/>
      <c r="N714" s="622" t="n"/>
      <c r="O714" s="622" t="n"/>
      <c r="P714" s="622" t="n"/>
      <c r="Q714" s="622" t="n"/>
      <c r="R714" s="622" t="n"/>
      <c r="S714" s="622" t="n"/>
      <c r="T714" s="622" t="n"/>
      <c r="U714" s="622" t="n"/>
      <c r="V714" s="622" t="n"/>
      <c r="W714" s="622" t="n"/>
      <c r="X714" s="622" t="n"/>
      <c r="Y714" s="622" t="n"/>
      <c r="Z714" s="622" t="n"/>
      <c r="AA714" s="622" t="n"/>
      <c r="AB714" s="622" t="n"/>
      <c r="AC714" s="622" t="n"/>
      <c r="AD714" s="622" t="n"/>
      <c r="AE714" s="622" t="n"/>
      <c r="AF714" s="622" t="n"/>
      <c r="AG714" s="622" t="n"/>
      <c r="AH714" s="622" t="n"/>
      <c r="AI714" s="622" t="n"/>
      <c r="AJ714" s="622" t="n"/>
      <c r="AK714" s="622" t="n"/>
      <c r="AL714" s="622" t="n"/>
      <c r="AM714" s="622" t="n"/>
      <c r="AN714" s="622" t="n"/>
      <c r="AO714" s="622" t="n"/>
      <c r="AP714" s="622" t="n"/>
      <c r="AQ714" s="622" t="n"/>
      <c r="AR714" s="622" t="n"/>
      <c r="AS714" s="622" t="n"/>
      <c r="AT714" s="622" t="n"/>
      <c r="AU714" s="622" t="n"/>
      <c r="AV714" s="622" t="n"/>
      <c r="AW714" s="622" t="n"/>
      <c r="AX714" s="622" t="n"/>
      <c r="AY714" s="622" t="n"/>
    </row>
    <row r="715">
      <c r="A715" s="622" t="n"/>
      <c r="B715" s="622" t="n"/>
      <c r="C715" s="622" t="n"/>
      <c r="D715" s="622" t="n"/>
      <c r="E715" s="622" t="n"/>
      <c r="F715" s="622" t="n"/>
      <c r="G715" s="622" t="n"/>
      <c r="H715" s="622" t="n"/>
      <c r="I715" s="622" t="n"/>
      <c r="J715" s="622" t="n"/>
      <c r="K715" s="622" t="n"/>
      <c r="L715" s="622" t="n"/>
      <c r="M715" s="622" t="n"/>
      <c r="N715" s="622" t="n"/>
      <c r="O715" s="622" t="n"/>
      <c r="P715" s="622" t="n"/>
      <c r="Q715" s="622" t="n"/>
      <c r="R715" s="622" t="n"/>
      <c r="S715" s="622" t="n"/>
      <c r="T715" s="622" t="n"/>
      <c r="U715" s="622" t="n"/>
      <c r="V715" s="622" t="n"/>
      <c r="W715" s="622" t="n"/>
      <c r="X715" s="622" t="n"/>
      <c r="Y715" s="622" t="n"/>
      <c r="Z715" s="622" t="n"/>
      <c r="AA715" s="622" t="n"/>
      <c r="AB715" s="622" t="n"/>
      <c r="AC715" s="622" t="n"/>
      <c r="AD715" s="622" t="n"/>
      <c r="AE715" s="622" t="n"/>
      <c r="AF715" s="622" t="n"/>
      <c r="AG715" s="622" t="n"/>
      <c r="AH715" s="622" t="n"/>
      <c r="AI715" s="622" t="n"/>
      <c r="AJ715" s="622" t="n"/>
      <c r="AK715" s="622" t="n"/>
      <c r="AL715" s="622" t="n"/>
      <c r="AM715" s="622" t="n"/>
      <c r="AN715" s="622" t="n"/>
      <c r="AO715" s="622" t="n"/>
      <c r="AP715" s="622" t="n"/>
      <c r="AQ715" s="622" t="n"/>
      <c r="AR715" s="622" t="n"/>
      <c r="AS715" s="622" t="n"/>
      <c r="AT715" s="622" t="n"/>
      <c r="AU715" s="622" t="n"/>
      <c r="AV715" s="622" t="n"/>
      <c r="AW715" s="622" t="n"/>
      <c r="AX715" s="622" t="n"/>
      <c r="AY715" s="622" t="n"/>
    </row>
    <row r="716">
      <c r="A716" s="622" t="n"/>
      <c r="B716" s="622" t="n"/>
      <c r="C716" s="622" t="n"/>
      <c r="D716" s="622" t="n"/>
      <c r="E716" s="622" t="n"/>
      <c r="F716" s="622" t="n"/>
      <c r="G716" s="622" t="n"/>
      <c r="H716" s="622" t="n"/>
      <c r="I716" s="622" t="n"/>
      <c r="J716" s="622" t="n"/>
      <c r="K716" s="622" t="n"/>
      <c r="L716" s="622" t="n"/>
      <c r="M716" s="622" t="n"/>
      <c r="N716" s="622" t="n"/>
      <c r="O716" s="622" t="n"/>
      <c r="P716" s="622" t="n"/>
      <c r="Q716" s="622" t="n"/>
      <c r="R716" s="622" t="n"/>
      <c r="S716" s="622" t="n"/>
      <c r="T716" s="622" t="n"/>
      <c r="U716" s="622" t="n"/>
      <c r="V716" s="622" t="n"/>
      <c r="W716" s="622" t="n"/>
      <c r="X716" s="622" t="n"/>
      <c r="Y716" s="622" t="n"/>
      <c r="Z716" s="622" t="n"/>
      <c r="AA716" s="622" t="n"/>
      <c r="AB716" s="622" t="n"/>
      <c r="AC716" s="622" t="n"/>
      <c r="AD716" s="622" t="n"/>
      <c r="AE716" s="622" t="n"/>
      <c r="AF716" s="622" t="n"/>
      <c r="AG716" s="622" t="n"/>
      <c r="AH716" s="622" t="n"/>
      <c r="AI716" s="622" t="n"/>
      <c r="AJ716" s="622" t="n"/>
      <c r="AK716" s="622" t="n"/>
      <c r="AL716" s="622" t="n"/>
      <c r="AM716" s="622" t="n"/>
      <c r="AN716" s="622" t="n"/>
      <c r="AO716" s="622" t="n"/>
      <c r="AP716" s="622" t="n"/>
      <c r="AQ716" s="622" t="n"/>
      <c r="AR716" s="622" t="n"/>
      <c r="AS716" s="622" t="n"/>
      <c r="AT716" s="622" t="n"/>
      <c r="AU716" s="622" t="n"/>
      <c r="AV716" s="622" t="n"/>
      <c r="AW716" s="622" t="n"/>
      <c r="AX716" s="622" t="n"/>
      <c r="AY716" s="622" t="n"/>
    </row>
    <row r="717">
      <c r="A717" s="622" t="n"/>
      <c r="B717" s="622" t="n"/>
      <c r="C717" s="622" t="n"/>
      <c r="D717" s="622" t="n"/>
      <c r="E717" s="622" t="n"/>
      <c r="F717" s="622" t="n"/>
      <c r="G717" s="622" t="n"/>
      <c r="H717" s="622" t="n"/>
      <c r="I717" s="622" t="n"/>
      <c r="J717" s="622" t="n"/>
      <c r="K717" s="622" t="n"/>
      <c r="L717" s="622" t="n"/>
      <c r="M717" s="622" t="n"/>
      <c r="N717" s="622" t="n"/>
      <c r="O717" s="622" t="n"/>
      <c r="P717" s="622" t="n"/>
      <c r="Q717" s="622" t="n"/>
      <c r="R717" s="622" t="n"/>
      <c r="S717" s="622" t="n"/>
      <c r="T717" s="622" t="n"/>
      <c r="U717" s="622" t="n"/>
      <c r="V717" s="622" t="n"/>
      <c r="W717" s="622" t="n"/>
      <c r="X717" s="622" t="n"/>
      <c r="Y717" s="622" t="n"/>
      <c r="Z717" s="622" t="n"/>
      <c r="AA717" s="622" t="n"/>
      <c r="AB717" s="622" t="n"/>
      <c r="AC717" s="622" t="n"/>
      <c r="AD717" s="622" t="n"/>
      <c r="AE717" s="622" t="n"/>
      <c r="AF717" s="622" t="n"/>
      <c r="AG717" s="622" t="n"/>
      <c r="AH717" s="622" t="n"/>
      <c r="AI717" s="622" t="n"/>
      <c r="AJ717" s="622" t="n"/>
      <c r="AK717" s="622" t="n"/>
      <c r="AL717" s="622" t="n"/>
      <c r="AM717" s="622" t="n"/>
      <c r="AN717" s="622" t="n"/>
      <c r="AO717" s="622" t="n"/>
      <c r="AP717" s="622" t="n"/>
      <c r="AQ717" s="622" t="n"/>
      <c r="AR717" s="622" t="n"/>
      <c r="AS717" s="622" t="n"/>
      <c r="AT717" s="622" t="n"/>
      <c r="AU717" s="622" t="n"/>
      <c r="AV717" s="622" t="n"/>
      <c r="AW717" s="622" t="n"/>
      <c r="AX717" s="622" t="n"/>
      <c r="AY717" s="622" t="n"/>
    </row>
    <row r="718">
      <c r="A718" s="622" t="n"/>
      <c r="B718" s="622" t="n"/>
      <c r="C718" s="622" t="n"/>
      <c r="D718" s="622" t="n"/>
      <c r="E718" s="622" t="n"/>
      <c r="F718" s="622" t="n"/>
      <c r="G718" s="622" t="n"/>
      <c r="H718" s="622" t="n"/>
      <c r="I718" s="622" t="n"/>
      <c r="J718" s="622" t="n"/>
      <c r="K718" s="622" t="n"/>
      <c r="L718" s="622" t="n"/>
      <c r="M718" s="622" t="n"/>
      <c r="N718" s="622" t="n"/>
      <c r="O718" s="622" t="n"/>
      <c r="P718" s="622" t="n"/>
      <c r="Q718" s="622" t="n"/>
      <c r="R718" s="622" t="n"/>
      <c r="S718" s="622" t="n"/>
      <c r="T718" s="622" t="n"/>
      <c r="U718" s="622" t="n"/>
      <c r="V718" s="622" t="n"/>
      <c r="W718" s="622" t="n"/>
      <c r="X718" s="622" t="n"/>
      <c r="Y718" s="622" t="n"/>
      <c r="Z718" s="622" t="n"/>
      <c r="AA718" s="622" t="n"/>
      <c r="AB718" s="622" t="n"/>
      <c r="AC718" s="622" t="n"/>
      <c r="AD718" s="622" t="n"/>
      <c r="AE718" s="622" t="n"/>
      <c r="AF718" s="622" t="n"/>
      <c r="AG718" s="622" t="n"/>
      <c r="AH718" s="622" t="n"/>
      <c r="AI718" s="622" t="n"/>
      <c r="AJ718" s="622" t="n"/>
      <c r="AK718" s="622" t="n"/>
      <c r="AL718" s="622" t="n"/>
      <c r="AM718" s="622" t="n"/>
      <c r="AN718" s="622" t="n"/>
      <c r="AO718" s="622" t="n"/>
      <c r="AP718" s="622" t="n"/>
      <c r="AQ718" s="622" t="n"/>
      <c r="AR718" s="622" t="n"/>
      <c r="AS718" s="622" t="n"/>
      <c r="AT718" s="622" t="n"/>
      <c r="AU718" s="622" t="n"/>
      <c r="AV718" s="622" t="n"/>
      <c r="AW718" s="622" t="n"/>
      <c r="AX718" s="622" t="n"/>
      <c r="AY718" s="622" t="n"/>
    </row>
    <row r="719">
      <c r="A719" s="622" t="n"/>
      <c r="B719" s="622" t="n"/>
      <c r="C719" s="622" t="n"/>
      <c r="D719" s="622" t="n"/>
      <c r="E719" s="622" t="n"/>
      <c r="F719" s="622" t="n"/>
      <c r="G719" s="622" t="n"/>
      <c r="H719" s="622" t="n"/>
      <c r="I719" s="622" t="n"/>
      <c r="J719" s="622" t="n"/>
      <c r="K719" s="622" t="n"/>
      <c r="L719" s="622" t="n"/>
      <c r="M719" s="622" t="n"/>
      <c r="N719" s="622" t="n"/>
      <c r="O719" s="622" t="n"/>
      <c r="P719" s="622" t="n"/>
      <c r="Q719" s="622" t="n"/>
      <c r="R719" s="622" t="n"/>
      <c r="S719" s="622" t="n"/>
      <c r="T719" s="622" t="n"/>
      <c r="U719" s="622" t="n"/>
      <c r="V719" s="622" t="n"/>
      <c r="W719" s="622" t="n"/>
      <c r="X719" s="622" t="n"/>
      <c r="Y719" s="622" t="n"/>
      <c r="Z719" s="622" t="n"/>
      <c r="AA719" s="622" t="n"/>
      <c r="AB719" s="622" t="n"/>
      <c r="AC719" s="622" t="n"/>
      <c r="AD719" s="622" t="n"/>
      <c r="AE719" s="622" t="n"/>
      <c r="AF719" s="622" t="n"/>
      <c r="AG719" s="622" t="n"/>
      <c r="AH719" s="622" t="n"/>
      <c r="AI719" s="622" t="n"/>
      <c r="AJ719" s="622" t="n"/>
      <c r="AK719" s="622" t="n"/>
      <c r="AL719" s="622" t="n"/>
      <c r="AM719" s="622" t="n"/>
      <c r="AN719" s="622" t="n"/>
      <c r="AO719" s="622" t="n"/>
      <c r="AP719" s="622" t="n"/>
      <c r="AQ719" s="622" t="n"/>
      <c r="AR719" s="622" t="n"/>
      <c r="AS719" s="622" t="n"/>
      <c r="AT719" s="622" t="n"/>
      <c r="AU719" s="622" t="n"/>
      <c r="AV719" s="622" t="n"/>
      <c r="AW719" s="622" t="n"/>
      <c r="AX719" s="622" t="n"/>
      <c r="AY719" s="622" t="n"/>
    </row>
    <row r="720">
      <c r="A720" s="622" t="n"/>
      <c r="B720" s="622" t="n"/>
      <c r="C720" s="622" t="n"/>
      <c r="D720" s="622" t="n"/>
      <c r="E720" s="622" t="n"/>
      <c r="F720" s="622" t="n"/>
      <c r="G720" s="622" t="n"/>
      <c r="H720" s="622" t="n"/>
      <c r="I720" s="622" t="n"/>
      <c r="J720" s="622" t="n"/>
      <c r="K720" s="622" t="n"/>
      <c r="L720" s="622" t="n"/>
      <c r="M720" s="622" t="n"/>
      <c r="N720" s="622" t="n"/>
      <c r="O720" s="622" t="n"/>
      <c r="P720" s="622" t="n"/>
      <c r="Q720" s="622" t="n"/>
      <c r="R720" s="622" t="n"/>
      <c r="S720" s="622" t="n"/>
      <c r="T720" s="622" t="n"/>
      <c r="U720" s="622" t="n"/>
      <c r="V720" s="622" t="n"/>
      <c r="W720" s="622" t="n"/>
      <c r="X720" s="622" t="n"/>
      <c r="Y720" s="622" t="n"/>
      <c r="Z720" s="622" t="n"/>
      <c r="AA720" s="622" t="n"/>
      <c r="AB720" s="622" t="n"/>
      <c r="AC720" s="622" t="n"/>
      <c r="AD720" s="622" t="n"/>
      <c r="AE720" s="622" t="n"/>
      <c r="AF720" s="622" t="n"/>
      <c r="AG720" s="622" t="n"/>
      <c r="AH720" s="622" t="n"/>
      <c r="AI720" s="622" t="n"/>
      <c r="AJ720" s="622" t="n"/>
      <c r="AK720" s="622" t="n"/>
      <c r="AL720" s="622" t="n"/>
      <c r="AM720" s="622" t="n"/>
      <c r="AN720" s="622" t="n"/>
      <c r="AO720" s="622" t="n"/>
      <c r="AP720" s="622" t="n"/>
      <c r="AQ720" s="622" t="n"/>
      <c r="AR720" s="622" t="n"/>
      <c r="AS720" s="622" t="n"/>
      <c r="AT720" s="622" t="n"/>
      <c r="AU720" s="622" t="n"/>
      <c r="AV720" s="622" t="n"/>
      <c r="AW720" s="622" t="n"/>
      <c r="AX720" s="622" t="n"/>
      <c r="AY720" s="622" t="n"/>
    </row>
    <row r="721">
      <c r="A721" s="622" t="n"/>
      <c r="B721" s="622" t="n"/>
      <c r="C721" s="622" t="n"/>
      <c r="D721" s="622" t="n"/>
      <c r="E721" s="622" t="n"/>
      <c r="F721" s="622" t="n"/>
      <c r="G721" s="622" t="n"/>
      <c r="H721" s="622" t="n"/>
      <c r="I721" s="622" t="n"/>
      <c r="J721" s="622" t="n"/>
      <c r="K721" s="622" t="n"/>
      <c r="L721" s="622" t="n"/>
      <c r="M721" s="622" t="n"/>
      <c r="N721" s="622" t="n"/>
      <c r="O721" s="622" t="n"/>
      <c r="P721" s="622" t="n"/>
      <c r="Q721" s="622" t="n"/>
      <c r="R721" s="622" t="n"/>
      <c r="S721" s="622" t="n"/>
      <c r="T721" s="622" t="n"/>
      <c r="U721" s="622" t="n"/>
      <c r="V721" s="622" t="n"/>
      <c r="W721" s="622" t="n"/>
      <c r="X721" s="622" t="n"/>
      <c r="Y721" s="622" t="n"/>
      <c r="Z721" s="622" t="n"/>
      <c r="AA721" s="622" t="n"/>
      <c r="AB721" s="622" t="n"/>
      <c r="AC721" s="622" t="n"/>
      <c r="AD721" s="622" t="n"/>
      <c r="AE721" s="622" t="n"/>
      <c r="AF721" s="622" t="n"/>
      <c r="AG721" s="622" t="n"/>
      <c r="AH721" s="622" t="n"/>
      <c r="AI721" s="622" t="n"/>
      <c r="AJ721" s="622" t="n"/>
      <c r="AK721" s="622" t="n"/>
      <c r="AL721" s="622" t="n"/>
      <c r="AM721" s="622" t="n"/>
      <c r="AN721" s="622" t="n"/>
      <c r="AO721" s="622" t="n"/>
      <c r="AP721" s="622" t="n"/>
      <c r="AQ721" s="622" t="n"/>
      <c r="AR721" s="622" t="n"/>
      <c r="AS721" s="622" t="n"/>
      <c r="AT721" s="622" t="n"/>
      <c r="AU721" s="622" t="n"/>
      <c r="AV721" s="622" t="n"/>
      <c r="AW721" s="622" t="n"/>
      <c r="AX721" s="622" t="n"/>
      <c r="AY721" s="622" t="n"/>
    </row>
    <row r="722">
      <c r="A722" s="622" t="n"/>
      <c r="B722" s="622" t="n"/>
      <c r="C722" s="622" t="n"/>
      <c r="D722" s="622" t="n"/>
      <c r="E722" s="622" t="n"/>
      <c r="F722" s="622" t="n"/>
      <c r="G722" s="622" t="n"/>
      <c r="H722" s="622" t="n"/>
      <c r="I722" s="622" t="n"/>
      <c r="J722" s="622" t="n"/>
      <c r="K722" s="622" t="n"/>
      <c r="L722" s="622" t="n"/>
      <c r="M722" s="622" t="n"/>
      <c r="N722" s="622" t="n"/>
      <c r="O722" s="622" t="n"/>
      <c r="P722" s="622" t="n"/>
      <c r="Q722" s="622" t="n"/>
      <c r="R722" s="622" t="n"/>
      <c r="S722" s="622" t="n"/>
      <c r="T722" s="622" t="n"/>
      <c r="U722" s="622" t="n"/>
      <c r="V722" s="622" t="n"/>
      <c r="W722" s="622" t="n"/>
      <c r="X722" s="622" t="n"/>
      <c r="Y722" s="622" t="n"/>
      <c r="Z722" s="622" t="n"/>
      <c r="AA722" s="622" t="n"/>
      <c r="AB722" s="622" t="n"/>
      <c r="AC722" s="622" t="n"/>
      <c r="AD722" s="622" t="n"/>
      <c r="AE722" s="622" t="n"/>
      <c r="AF722" s="622" t="n"/>
      <c r="AG722" s="622" t="n"/>
      <c r="AH722" s="622" t="n"/>
      <c r="AI722" s="622" t="n"/>
      <c r="AJ722" s="622" t="n"/>
      <c r="AK722" s="622" t="n"/>
      <c r="AL722" s="622" t="n"/>
      <c r="AM722" s="622" t="n"/>
      <c r="AN722" s="622" t="n"/>
      <c r="AO722" s="622" t="n"/>
      <c r="AP722" s="622" t="n"/>
      <c r="AQ722" s="622" t="n"/>
      <c r="AR722" s="622" t="n"/>
      <c r="AS722" s="622" t="n"/>
      <c r="AT722" s="622" t="n"/>
      <c r="AU722" s="622" t="n"/>
      <c r="AV722" s="622" t="n"/>
      <c r="AW722" s="622" t="n"/>
      <c r="AX722" s="622" t="n"/>
      <c r="AY722" s="622" t="n"/>
    </row>
    <row r="723">
      <c r="A723" s="622" t="n"/>
      <c r="B723" s="622" t="n"/>
      <c r="C723" s="622" t="n"/>
      <c r="D723" s="622" t="n"/>
      <c r="E723" s="622" t="n"/>
      <c r="F723" s="622" t="n"/>
      <c r="G723" s="622" t="n"/>
      <c r="H723" s="622" t="n"/>
      <c r="I723" s="622" t="n"/>
      <c r="J723" s="622" t="n"/>
      <c r="K723" s="622" t="n"/>
      <c r="L723" s="622" t="n"/>
      <c r="M723" s="622" t="n"/>
      <c r="N723" s="622" t="n"/>
      <c r="O723" s="622" t="n"/>
      <c r="P723" s="622" t="n"/>
      <c r="Q723" s="622" t="n"/>
      <c r="R723" s="622" t="n"/>
      <c r="S723" s="622" t="n"/>
      <c r="T723" s="622" t="n"/>
      <c r="U723" s="622" t="n"/>
      <c r="V723" s="622" t="n"/>
      <c r="W723" s="622" t="n"/>
      <c r="X723" s="622" t="n"/>
      <c r="Y723" s="622" t="n"/>
      <c r="Z723" s="622" t="n"/>
      <c r="AA723" s="622" t="n"/>
      <c r="AB723" s="622" t="n"/>
      <c r="AC723" s="622" t="n"/>
      <c r="AD723" s="622" t="n"/>
      <c r="AE723" s="622" t="n"/>
      <c r="AF723" s="622" t="n"/>
      <c r="AG723" s="622" t="n"/>
      <c r="AH723" s="622" t="n"/>
      <c r="AI723" s="622" t="n"/>
      <c r="AJ723" s="622" t="n"/>
      <c r="AK723" s="622" t="n"/>
      <c r="AL723" s="622" t="n"/>
      <c r="AM723" s="622" t="n"/>
      <c r="AN723" s="622" t="n"/>
      <c r="AO723" s="622" t="n"/>
      <c r="AP723" s="622" t="n"/>
      <c r="AQ723" s="622" t="n"/>
      <c r="AR723" s="622" t="n"/>
      <c r="AS723" s="622" t="n"/>
      <c r="AT723" s="622" t="n"/>
      <c r="AU723" s="622" t="n"/>
      <c r="AV723" s="622" t="n"/>
      <c r="AW723" s="622" t="n"/>
      <c r="AX723" s="622" t="n"/>
      <c r="AY723" s="622" t="n"/>
    </row>
    <row r="724">
      <c r="A724" s="622" t="n"/>
      <c r="B724" s="622" t="n"/>
      <c r="C724" s="622" t="n"/>
      <c r="D724" s="622" t="n"/>
      <c r="E724" s="622" t="n"/>
      <c r="F724" s="622" t="n"/>
      <c r="G724" s="622" t="n"/>
      <c r="H724" s="622" t="n"/>
      <c r="I724" s="622" t="n"/>
      <c r="J724" s="622" t="n"/>
      <c r="K724" s="622" t="n"/>
      <c r="L724" s="622" t="n"/>
      <c r="M724" s="622" t="n"/>
      <c r="N724" s="622" t="n"/>
      <c r="O724" s="622" t="n"/>
      <c r="P724" s="622" t="n"/>
      <c r="Q724" s="622" t="n"/>
      <c r="R724" s="622" t="n"/>
      <c r="S724" s="622" t="n"/>
      <c r="T724" s="622" t="n"/>
      <c r="U724" s="622" t="n"/>
      <c r="V724" s="622" t="n"/>
      <c r="W724" s="622" t="n"/>
      <c r="X724" s="622" t="n"/>
      <c r="Y724" s="622" t="n"/>
      <c r="Z724" s="622" t="n"/>
      <c r="AA724" s="622" t="n"/>
      <c r="AB724" s="622" t="n"/>
      <c r="AC724" s="622" t="n"/>
      <c r="AD724" s="622" t="n"/>
      <c r="AE724" s="622" t="n"/>
      <c r="AF724" s="622" t="n"/>
      <c r="AG724" s="622" t="n"/>
      <c r="AH724" s="622" t="n"/>
      <c r="AI724" s="622" t="n"/>
      <c r="AJ724" s="622" t="n"/>
      <c r="AK724" s="622" t="n"/>
      <c r="AL724" s="622" t="n"/>
      <c r="AM724" s="622" t="n"/>
      <c r="AN724" s="622" t="n"/>
      <c r="AO724" s="622" t="n"/>
      <c r="AP724" s="622" t="n"/>
      <c r="AQ724" s="622" t="n"/>
      <c r="AR724" s="622" t="n"/>
      <c r="AS724" s="622" t="n"/>
      <c r="AT724" s="622" t="n"/>
      <c r="AU724" s="622" t="n"/>
      <c r="AV724" s="622" t="n"/>
      <c r="AW724" s="622" t="n"/>
      <c r="AX724" s="622" t="n"/>
      <c r="AY724" s="622" t="n"/>
    </row>
    <row r="725">
      <c r="A725" s="622" t="n"/>
      <c r="B725" s="622" t="n"/>
      <c r="C725" s="622" t="n"/>
      <c r="D725" s="622" t="n"/>
      <c r="E725" s="622" t="n"/>
      <c r="F725" s="622" t="n"/>
      <c r="G725" s="622" t="n"/>
      <c r="H725" s="622" t="n"/>
      <c r="I725" s="622" t="n"/>
      <c r="J725" s="622" t="n"/>
      <c r="K725" s="622" t="n"/>
      <c r="L725" s="622" t="n"/>
      <c r="M725" s="622" t="n"/>
      <c r="N725" s="622" t="n"/>
      <c r="O725" s="622" t="n"/>
      <c r="P725" s="622" t="n"/>
      <c r="Q725" s="622" t="n"/>
      <c r="R725" s="622" t="n"/>
      <c r="S725" s="622" t="n"/>
      <c r="T725" s="622" t="n"/>
      <c r="U725" s="622" t="n"/>
      <c r="V725" s="622" t="n"/>
      <c r="W725" s="622" t="n"/>
      <c r="X725" s="622" t="n"/>
      <c r="Y725" s="622" t="n"/>
      <c r="Z725" s="622" t="n"/>
      <c r="AA725" s="622" t="n"/>
      <c r="AB725" s="622" t="n"/>
      <c r="AC725" s="622" t="n"/>
      <c r="AD725" s="622" t="n"/>
      <c r="AE725" s="622" t="n"/>
      <c r="AF725" s="622" t="n"/>
      <c r="AG725" s="622" t="n"/>
      <c r="AH725" s="622" t="n"/>
      <c r="AI725" s="622" t="n"/>
      <c r="AJ725" s="622" t="n"/>
      <c r="AK725" s="622" t="n"/>
      <c r="AL725" s="622" t="n"/>
      <c r="AM725" s="622" t="n"/>
      <c r="AN725" s="622" t="n"/>
      <c r="AO725" s="622" t="n"/>
      <c r="AP725" s="622" t="n"/>
      <c r="AQ725" s="622" t="n"/>
      <c r="AR725" s="622" t="n"/>
      <c r="AS725" s="622" t="n"/>
      <c r="AT725" s="622" t="n"/>
      <c r="AU725" s="622" t="n"/>
      <c r="AV725" s="622" t="n"/>
      <c r="AW725" s="622" t="n"/>
      <c r="AX725" s="622" t="n"/>
      <c r="AY725" s="622" t="n"/>
    </row>
    <row r="726">
      <c r="A726" s="622" t="n"/>
      <c r="B726" s="622" t="n"/>
      <c r="C726" s="622" t="n"/>
      <c r="D726" s="622" t="n"/>
      <c r="E726" s="622" t="n"/>
      <c r="F726" s="622" t="n"/>
      <c r="G726" s="622" t="n"/>
      <c r="H726" s="622" t="n"/>
      <c r="I726" s="622" t="n"/>
      <c r="J726" s="622" t="n"/>
      <c r="K726" s="622" t="n"/>
      <c r="L726" s="622" t="n"/>
      <c r="M726" s="622" t="n"/>
      <c r="N726" s="622" t="n"/>
      <c r="O726" s="622" t="n"/>
      <c r="P726" s="622" t="n"/>
      <c r="Q726" s="622" t="n"/>
      <c r="R726" s="622" t="n"/>
      <c r="S726" s="622" t="n"/>
      <c r="T726" s="622" t="n"/>
      <c r="U726" s="622" t="n"/>
      <c r="V726" s="622" t="n"/>
      <c r="W726" s="622" t="n"/>
      <c r="X726" s="622" t="n"/>
      <c r="Y726" s="622" t="n"/>
      <c r="Z726" s="622" t="n"/>
      <c r="AA726" s="622" t="n"/>
      <c r="AB726" s="622" t="n"/>
      <c r="AC726" s="622" t="n"/>
      <c r="AD726" s="622" t="n"/>
      <c r="AE726" s="622" t="n"/>
      <c r="AF726" s="622" t="n"/>
      <c r="AG726" s="622" t="n"/>
      <c r="AH726" s="622" t="n"/>
      <c r="AI726" s="622" t="n"/>
      <c r="AJ726" s="622" t="n"/>
      <c r="AK726" s="622" t="n"/>
      <c r="AL726" s="622" t="n"/>
      <c r="AM726" s="622" t="n"/>
      <c r="AN726" s="622" t="n"/>
      <c r="AO726" s="622" t="n"/>
      <c r="AP726" s="622" t="n"/>
      <c r="AQ726" s="622" t="n"/>
      <c r="AR726" s="622" t="n"/>
      <c r="AS726" s="622" t="n"/>
      <c r="AT726" s="622" t="n"/>
      <c r="AU726" s="622" t="n"/>
      <c r="AV726" s="622" t="n"/>
      <c r="AW726" s="622" t="n"/>
      <c r="AX726" s="622" t="n"/>
      <c r="AY726" s="622" t="n"/>
    </row>
    <row r="727">
      <c r="A727" s="622" t="n"/>
      <c r="B727" s="622" t="n"/>
      <c r="C727" s="622" t="n"/>
      <c r="D727" s="622" t="n"/>
      <c r="E727" s="622" t="n"/>
      <c r="F727" s="622" t="n"/>
      <c r="G727" s="622" t="n"/>
      <c r="H727" s="622" t="n"/>
      <c r="I727" s="622" t="n"/>
      <c r="J727" s="622" t="n"/>
      <c r="K727" s="622" t="n"/>
      <c r="L727" s="622" t="n"/>
      <c r="M727" s="622" t="n"/>
      <c r="N727" s="622" t="n"/>
      <c r="O727" s="622" t="n"/>
      <c r="P727" s="622" t="n"/>
      <c r="Q727" s="622" t="n"/>
      <c r="R727" s="622" t="n"/>
      <c r="S727" s="622" t="n"/>
      <c r="T727" s="622" t="n"/>
      <c r="U727" s="622" t="n"/>
      <c r="V727" s="622" t="n"/>
      <c r="W727" s="622" t="n"/>
      <c r="X727" s="622" t="n"/>
      <c r="Y727" s="622" t="n"/>
      <c r="Z727" s="622" t="n"/>
      <c r="AA727" s="622" t="n"/>
      <c r="AB727" s="622" t="n"/>
      <c r="AC727" s="622" t="n"/>
      <c r="AD727" s="622" t="n"/>
      <c r="AE727" s="622" t="n"/>
      <c r="AF727" s="622" t="n"/>
      <c r="AG727" s="622" t="n"/>
      <c r="AH727" s="622" t="n"/>
      <c r="AI727" s="622" t="n"/>
      <c r="AJ727" s="622" t="n"/>
      <c r="AK727" s="622" t="n"/>
      <c r="AL727" s="622" t="n"/>
      <c r="AM727" s="622" t="n"/>
      <c r="AN727" s="622" t="n"/>
      <c r="AO727" s="622" t="n"/>
      <c r="AP727" s="622" t="n"/>
      <c r="AQ727" s="622" t="n"/>
      <c r="AR727" s="622" t="n"/>
      <c r="AS727" s="622" t="n"/>
      <c r="AT727" s="622" t="n"/>
      <c r="AU727" s="622" t="n"/>
      <c r="AV727" s="622" t="n"/>
      <c r="AW727" s="622" t="n"/>
      <c r="AX727" s="622" t="n"/>
      <c r="AY727" s="622" t="n"/>
    </row>
    <row r="728">
      <c r="A728" s="622" t="n"/>
      <c r="B728" s="622" t="n"/>
      <c r="C728" s="622" t="n"/>
      <c r="D728" s="622" t="n"/>
      <c r="E728" s="622" t="n"/>
      <c r="F728" s="622" t="n"/>
      <c r="G728" s="622" t="n"/>
      <c r="H728" s="622" t="n"/>
      <c r="I728" s="622" t="n"/>
      <c r="J728" s="622" t="n"/>
      <c r="K728" s="622" t="n"/>
      <c r="L728" s="622" t="n"/>
      <c r="M728" s="622" t="n"/>
      <c r="N728" s="622" t="n"/>
      <c r="O728" s="622" t="n"/>
      <c r="P728" s="622" t="n"/>
      <c r="Q728" s="622" t="n"/>
      <c r="R728" s="622" t="n"/>
      <c r="S728" s="622" t="n"/>
      <c r="T728" s="622" t="n"/>
      <c r="U728" s="622" t="n"/>
      <c r="V728" s="622" t="n"/>
      <c r="W728" s="622" t="n"/>
      <c r="X728" s="622" t="n"/>
      <c r="Y728" s="622" t="n"/>
      <c r="Z728" s="622" t="n"/>
      <c r="AA728" s="622" t="n"/>
      <c r="AB728" s="622" t="n"/>
      <c r="AC728" s="622" t="n"/>
      <c r="AD728" s="622" t="n"/>
      <c r="AE728" s="622" t="n"/>
      <c r="AF728" s="622" t="n"/>
      <c r="AG728" s="622" t="n"/>
      <c r="AH728" s="622" t="n"/>
      <c r="AI728" s="622" t="n"/>
      <c r="AJ728" s="622" t="n"/>
      <c r="AK728" s="622" t="n"/>
      <c r="AL728" s="622" t="n"/>
      <c r="AM728" s="622" t="n"/>
      <c r="AN728" s="622" t="n"/>
      <c r="AO728" s="622" t="n"/>
      <c r="AP728" s="622" t="n"/>
      <c r="AQ728" s="622" t="n"/>
      <c r="AR728" s="622" t="n"/>
      <c r="AS728" s="622" t="n"/>
      <c r="AT728" s="622" t="n"/>
      <c r="AU728" s="622" t="n"/>
      <c r="AV728" s="622" t="n"/>
      <c r="AW728" s="622" t="n"/>
      <c r="AX728" s="622" t="n"/>
      <c r="AY728" s="622" t="n"/>
    </row>
    <row r="729">
      <c r="A729" s="622" t="n"/>
      <c r="B729" s="622" t="n"/>
      <c r="C729" s="622" t="n"/>
      <c r="D729" s="622" t="n"/>
      <c r="E729" s="622" t="n"/>
      <c r="F729" s="622" t="n"/>
      <c r="G729" s="622" t="n"/>
      <c r="H729" s="622" t="n"/>
      <c r="I729" s="622" t="n"/>
      <c r="J729" s="622" t="n"/>
      <c r="K729" s="622" t="n"/>
      <c r="L729" s="622" t="n"/>
      <c r="M729" s="622" t="n"/>
      <c r="N729" s="622" t="n"/>
      <c r="O729" s="622" t="n"/>
      <c r="P729" s="622" t="n"/>
      <c r="Q729" s="622" t="n"/>
      <c r="R729" s="622" t="n"/>
      <c r="S729" s="622" t="n"/>
      <c r="T729" s="622" t="n"/>
      <c r="U729" s="622" t="n"/>
      <c r="V729" s="622" t="n"/>
      <c r="W729" s="622" t="n"/>
      <c r="X729" s="622" t="n"/>
      <c r="Y729" s="622" t="n"/>
      <c r="Z729" s="622" t="n"/>
      <c r="AA729" s="622" t="n"/>
      <c r="AB729" s="622" t="n"/>
      <c r="AC729" s="622" t="n"/>
      <c r="AD729" s="622" t="n"/>
      <c r="AE729" s="622" t="n"/>
      <c r="AF729" s="622" t="n"/>
      <c r="AG729" s="622" t="n"/>
      <c r="AH729" s="622" t="n"/>
      <c r="AI729" s="622" t="n"/>
      <c r="AJ729" s="622" t="n"/>
      <c r="AK729" s="622" t="n"/>
      <c r="AL729" s="622" t="n"/>
      <c r="AM729" s="622" t="n"/>
      <c r="AN729" s="622" t="n"/>
      <c r="AO729" s="622" t="n"/>
      <c r="AP729" s="622" t="n"/>
      <c r="AQ729" s="622" t="n"/>
      <c r="AR729" s="622" t="n"/>
      <c r="AS729" s="622" t="n"/>
      <c r="AT729" s="622" t="n"/>
      <c r="AU729" s="622" t="n"/>
      <c r="AV729" s="622" t="n"/>
      <c r="AW729" s="622" t="n"/>
      <c r="AX729" s="622" t="n"/>
      <c r="AY729" s="622" t="n"/>
    </row>
    <row r="730">
      <c r="A730" s="622" t="n"/>
      <c r="B730" s="622" t="n"/>
      <c r="C730" s="622" t="n"/>
      <c r="D730" s="622" t="n"/>
      <c r="E730" s="622" t="n"/>
      <c r="F730" s="622" t="n"/>
      <c r="G730" s="622" t="n"/>
      <c r="H730" s="622" t="n"/>
      <c r="I730" s="622" t="n"/>
      <c r="J730" s="622" t="n"/>
      <c r="K730" s="622" t="n"/>
      <c r="L730" s="622" t="n"/>
      <c r="M730" s="622" t="n"/>
      <c r="N730" s="622" t="n"/>
      <c r="O730" s="622" t="n"/>
      <c r="P730" s="622" t="n"/>
      <c r="Q730" s="622" t="n"/>
      <c r="R730" s="622" t="n"/>
      <c r="S730" s="622" t="n"/>
      <c r="T730" s="622" t="n"/>
      <c r="U730" s="622" t="n"/>
      <c r="V730" s="622" t="n"/>
      <c r="W730" s="622" t="n"/>
      <c r="X730" s="622" t="n"/>
      <c r="Y730" s="622" t="n"/>
      <c r="Z730" s="622" t="n"/>
      <c r="AA730" s="622" t="n"/>
      <c r="AB730" s="622" t="n"/>
      <c r="AC730" s="622" t="n"/>
      <c r="AD730" s="622" t="n"/>
      <c r="AE730" s="622" t="n"/>
      <c r="AF730" s="622" t="n"/>
      <c r="AG730" s="622" t="n"/>
      <c r="AH730" s="622" t="n"/>
      <c r="AI730" s="622" t="n"/>
      <c r="AJ730" s="622" t="n"/>
      <c r="AK730" s="622" t="n"/>
      <c r="AL730" s="622" t="n"/>
      <c r="AM730" s="622" t="n"/>
      <c r="AN730" s="622" t="n"/>
      <c r="AO730" s="622" t="n"/>
      <c r="AP730" s="622" t="n"/>
      <c r="AQ730" s="622" t="n"/>
      <c r="AR730" s="622" t="n"/>
      <c r="AS730" s="622" t="n"/>
      <c r="AT730" s="622" t="n"/>
      <c r="AU730" s="622" t="n"/>
      <c r="AV730" s="622" t="n"/>
      <c r="AW730" s="622" t="n"/>
      <c r="AX730" s="622" t="n"/>
      <c r="AY730" s="622" t="n"/>
    </row>
    <row r="731">
      <c r="A731" s="622" t="n"/>
      <c r="B731" s="622" t="n"/>
      <c r="C731" s="622" t="n"/>
      <c r="D731" s="622" t="n"/>
      <c r="E731" s="622" t="n"/>
      <c r="F731" s="622" t="n"/>
      <c r="G731" s="622" t="n"/>
      <c r="H731" s="622" t="n"/>
      <c r="I731" s="622" t="n"/>
      <c r="J731" s="622" t="n"/>
      <c r="K731" s="622" t="n"/>
      <c r="L731" s="622" t="n"/>
      <c r="M731" s="622" t="n"/>
      <c r="N731" s="622" t="n"/>
      <c r="O731" s="622" t="n"/>
      <c r="P731" s="622" t="n"/>
      <c r="Q731" s="622" t="n"/>
      <c r="R731" s="622" t="n"/>
      <c r="S731" s="622" t="n"/>
      <c r="T731" s="622" t="n"/>
      <c r="U731" s="622" t="n"/>
      <c r="V731" s="622" t="n"/>
      <c r="W731" s="622" t="n"/>
      <c r="X731" s="622" t="n"/>
      <c r="Y731" s="622" t="n"/>
      <c r="Z731" s="622" t="n"/>
      <c r="AA731" s="622" t="n"/>
      <c r="AB731" s="622" t="n"/>
      <c r="AC731" s="622" t="n"/>
      <c r="AD731" s="622" t="n"/>
      <c r="AE731" s="622" t="n"/>
      <c r="AF731" s="622" t="n"/>
      <c r="AG731" s="622" t="n"/>
      <c r="AH731" s="622" t="n"/>
      <c r="AI731" s="622" t="n"/>
      <c r="AJ731" s="622" t="n"/>
      <c r="AK731" s="622" t="n"/>
      <c r="AL731" s="622" t="n"/>
      <c r="AM731" s="622" t="n"/>
      <c r="AN731" s="622" t="n"/>
      <c r="AO731" s="622" t="n"/>
      <c r="AP731" s="622" t="n"/>
      <c r="AQ731" s="622" t="n"/>
      <c r="AR731" s="622" t="n"/>
      <c r="AS731" s="622" t="n"/>
      <c r="AT731" s="622" t="n"/>
      <c r="AU731" s="622" t="n"/>
      <c r="AV731" s="622" t="n"/>
      <c r="AW731" s="622" t="n"/>
      <c r="AX731" s="622" t="n"/>
      <c r="AY731" s="622" t="n"/>
    </row>
    <row r="732">
      <c r="A732" s="622" t="n"/>
      <c r="B732" s="622" t="n"/>
      <c r="C732" s="622" t="n"/>
      <c r="D732" s="622" t="n"/>
      <c r="E732" s="622" t="n"/>
      <c r="F732" s="622" t="n"/>
      <c r="G732" s="622" t="n"/>
      <c r="H732" s="622" t="n"/>
      <c r="I732" s="622" t="n"/>
      <c r="J732" s="622" t="n"/>
      <c r="K732" s="622" t="n"/>
      <c r="L732" s="622" t="n"/>
      <c r="M732" s="622" t="n"/>
      <c r="N732" s="622" t="n"/>
      <c r="O732" s="622" t="n"/>
      <c r="P732" s="622" t="n"/>
      <c r="Q732" s="622" t="n"/>
      <c r="R732" s="622" t="n"/>
      <c r="S732" s="622" t="n"/>
      <c r="T732" s="622" t="n"/>
      <c r="U732" s="622" t="n"/>
      <c r="V732" s="622" t="n"/>
      <c r="W732" s="622" t="n"/>
      <c r="X732" s="622" t="n"/>
      <c r="Y732" s="622" t="n"/>
      <c r="Z732" s="622" t="n"/>
      <c r="AA732" s="622" t="n"/>
      <c r="AB732" s="622" t="n"/>
      <c r="AC732" s="622" t="n"/>
      <c r="AD732" s="622" t="n"/>
      <c r="AE732" s="622" t="n"/>
      <c r="AF732" s="622" t="n"/>
      <c r="AG732" s="622" t="n"/>
      <c r="AH732" s="622" t="n"/>
      <c r="AI732" s="622" t="n"/>
      <c r="AJ732" s="622" t="n"/>
      <c r="AK732" s="622" t="n"/>
      <c r="AL732" s="622" t="n"/>
      <c r="AM732" s="622" t="n"/>
      <c r="AN732" s="622" t="n"/>
      <c r="AO732" s="622" t="n"/>
      <c r="AP732" s="622" t="n"/>
      <c r="AQ732" s="622" t="n"/>
      <c r="AR732" s="622" t="n"/>
      <c r="AS732" s="622" t="n"/>
      <c r="AT732" s="622" t="n"/>
      <c r="AU732" s="622" t="n"/>
      <c r="AV732" s="622" t="n"/>
      <c r="AW732" s="622" t="n"/>
      <c r="AX732" s="622" t="n"/>
      <c r="AY732" s="622" t="n"/>
    </row>
    <row r="733">
      <c r="A733" s="622" t="n"/>
      <c r="B733" s="622" t="n"/>
      <c r="C733" s="622" t="n"/>
      <c r="D733" s="622" t="n"/>
      <c r="E733" s="622" t="n"/>
      <c r="F733" s="622" t="n"/>
      <c r="G733" s="622" t="n"/>
      <c r="H733" s="622" t="n"/>
      <c r="I733" s="622" t="n"/>
      <c r="J733" s="622" t="n"/>
      <c r="K733" s="622" t="n"/>
      <c r="L733" s="622" t="n"/>
      <c r="M733" s="622" t="n"/>
      <c r="N733" s="622" t="n"/>
      <c r="O733" s="622" t="n"/>
      <c r="P733" s="622" t="n"/>
      <c r="Q733" s="622" t="n"/>
      <c r="R733" s="622" t="n"/>
      <c r="S733" s="622" t="n"/>
      <c r="T733" s="622" t="n"/>
      <c r="U733" s="622" t="n"/>
      <c r="V733" s="622" t="n"/>
      <c r="W733" s="622" t="n"/>
      <c r="X733" s="622" t="n"/>
      <c r="Y733" s="622" t="n"/>
      <c r="Z733" s="622" t="n"/>
      <c r="AA733" s="622" t="n"/>
      <c r="AB733" s="622" t="n"/>
      <c r="AC733" s="622" t="n"/>
      <c r="AD733" s="622" t="n"/>
      <c r="AE733" s="622" t="n"/>
      <c r="AF733" s="622" t="n"/>
      <c r="AG733" s="622" t="n"/>
      <c r="AH733" s="622" t="n"/>
      <c r="AI733" s="622" t="n"/>
      <c r="AJ733" s="622" t="n"/>
      <c r="AK733" s="622" t="n"/>
      <c r="AL733" s="622" t="n"/>
      <c r="AM733" s="622" t="n"/>
      <c r="AN733" s="622" t="n"/>
      <c r="AO733" s="622" t="n"/>
      <c r="AP733" s="622" t="n"/>
      <c r="AQ733" s="622" t="n"/>
      <c r="AR733" s="622" t="n"/>
      <c r="AS733" s="622" t="n"/>
      <c r="AT733" s="622" t="n"/>
      <c r="AU733" s="622" t="n"/>
      <c r="AV733" s="622" t="n"/>
      <c r="AW733" s="622" t="n"/>
      <c r="AX733" s="622" t="n"/>
      <c r="AY733" s="622" t="n"/>
    </row>
    <row r="734">
      <c r="A734" s="622" t="n"/>
      <c r="B734" s="622" t="n"/>
      <c r="C734" s="622" t="n"/>
      <c r="D734" s="622" t="n"/>
      <c r="E734" s="622" t="n"/>
      <c r="F734" s="622" t="n"/>
      <c r="G734" s="622" t="n"/>
      <c r="H734" s="622" t="n"/>
      <c r="I734" s="622" t="n"/>
      <c r="J734" s="622" t="n"/>
      <c r="K734" s="622" t="n"/>
      <c r="L734" s="622" t="n"/>
      <c r="M734" s="622" t="n"/>
      <c r="N734" s="622" t="n"/>
      <c r="O734" s="622" t="n"/>
      <c r="P734" s="622" t="n"/>
      <c r="Q734" s="622" t="n"/>
      <c r="R734" s="622" t="n"/>
      <c r="S734" s="622" t="n"/>
      <c r="T734" s="622" t="n"/>
      <c r="U734" s="622" t="n"/>
      <c r="V734" s="622" t="n"/>
      <c r="W734" s="622" t="n"/>
      <c r="X734" s="622" t="n"/>
      <c r="Y734" s="622" t="n"/>
      <c r="Z734" s="622" t="n"/>
      <c r="AA734" s="622" t="n"/>
      <c r="AB734" s="622" t="n"/>
      <c r="AC734" s="622" t="n"/>
      <c r="AD734" s="622" t="n"/>
      <c r="AE734" s="622" t="n"/>
      <c r="AF734" s="622" t="n"/>
      <c r="AG734" s="622" t="n"/>
      <c r="AH734" s="622" t="n"/>
      <c r="AI734" s="622" t="n"/>
      <c r="AJ734" s="622" t="n"/>
      <c r="AK734" s="622" t="n"/>
      <c r="AL734" s="622" t="n"/>
      <c r="AM734" s="622" t="n"/>
      <c r="AN734" s="622" t="n"/>
      <c r="AO734" s="622" t="n"/>
      <c r="AP734" s="622" t="n"/>
      <c r="AQ734" s="622" t="n"/>
      <c r="AR734" s="622" t="n"/>
      <c r="AS734" s="622" t="n"/>
      <c r="AT734" s="622" t="n"/>
      <c r="AU734" s="622" t="n"/>
      <c r="AV734" s="622" t="n"/>
      <c r="AW734" s="622" t="n"/>
      <c r="AX734" s="622" t="n"/>
      <c r="AY734" s="622" t="n"/>
    </row>
    <row r="735">
      <c r="A735" s="622" t="n"/>
      <c r="B735" s="622" t="n"/>
      <c r="C735" s="622" t="n"/>
      <c r="D735" s="622" t="n"/>
      <c r="E735" s="622" t="n"/>
      <c r="F735" s="622" t="n"/>
      <c r="G735" s="622" t="n"/>
      <c r="H735" s="622" t="n"/>
      <c r="I735" s="622" t="n"/>
      <c r="J735" s="622" t="n"/>
      <c r="K735" s="622" t="n"/>
      <c r="L735" s="622" t="n"/>
      <c r="M735" s="622" t="n"/>
      <c r="N735" s="622" t="n"/>
      <c r="O735" s="622" t="n"/>
      <c r="P735" s="622" t="n"/>
      <c r="Q735" s="622" t="n"/>
      <c r="R735" s="622" t="n"/>
      <c r="S735" s="622" t="n"/>
      <c r="T735" s="622" t="n"/>
      <c r="U735" s="622" t="n"/>
      <c r="V735" s="622" t="n"/>
      <c r="W735" s="622" t="n"/>
      <c r="X735" s="622" t="n"/>
      <c r="Y735" s="622" t="n"/>
      <c r="Z735" s="622" t="n"/>
      <c r="AA735" s="622" t="n"/>
      <c r="AB735" s="622" t="n"/>
      <c r="AC735" s="622" t="n"/>
      <c r="AD735" s="622" t="n"/>
      <c r="AE735" s="622" t="n"/>
      <c r="AF735" s="622" t="n"/>
      <c r="AG735" s="622" t="n"/>
      <c r="AH735" s="622" t="n"/>
      <c r="AI735" s="622" t="n"/>
      <c r="AJ735" s="622" t="n"/>
      <c r="AK735" s="622" t="n"/>
      <c r="AL735" s="622" t="n"/>
      <c r="AM735" s="622" t="n"/>
      <c r="AN735" s="622" t="n"/>
      <c r="AO735" s="622" t="n"/>
      <c r="AP735" s="622" t="n"/>
      <c r="AQ735" s="622" t="n"/>
      <c r="AR735" s="622" t="n"/>
      <c r="AS735" s="622" t="n"/>
      <c r="AT735" s="622" t="n"/>
      <c r="AU735" s="622" t="n"/>
      <c r="AV735" s="622" t="n"/>
      <c r="AW735" s="622" t="n"/>
      <c r="AX735" s="622" t="n"/>
      <c r="AY735" s="622" t="n"/>
    </row>
    <row r="736">
      <c r="A736" s="622" t="n"/>
      <c r="B736" s="622" t="n"/>
      <c r="C736" s="622" t="n"/>
      <c r="D736" s="622" t="n"/>
      <c r="E736" s="622" t="n"/>
      <c r="F736" s="622" t="n"/>
      <c r="G736" s="622" t="n"/>
      <c r="H736" s="622" t="n"/>
      <c r="I736" s="622" t="n"/>
      <c r="J736" s="622" t="n"/>
      <c r="K736" s="622" t="n"/>
      <c r="L736" s="622" t="n"/>
      <c r="M736" s="622" t="n"/>
      <c r="N736" s="622" t="n"/>
      <c r="O736" s="622" t="n"/>
      <c r="P736" s="622" t="n"/>
      <c r="Q736" s="622" t="n"/>
      <c r="R736" s="622" t="n"/>
      <c r="S736" s="622" t="n"/>
      <c r="T736" s="622" t="n"/>
      <c r="U736" s="622" t="n"/>
      <c r="V736" s="622" t="n"/>
      <c r="W736" s="622" t="n"/>
      <c r="X736" s="622" t="n"/>
      <c r="Y736" s="622" t="n"/>
      <c r="Z736" s="622" t="n"/>
      <c r="AA736" s="622" t="n"/>
      <c r="AB736" s="622" t="n"/>
      <c r="AC736" s="622" t="n"/>
      <c r="AD736" s="622" t="n"/>
      <c r="AE736" s="622" t="n"/>
      <c r="AF736" s="622" t="n"/>
      <c r="AG736" s="622" t="n"/>
      <c r="AH736" s="622" t="n"/>
      <c r="AI736" s="622" t="n"/>
      <c r="AJ736" s="622" t="n"/>
      <c r="AK736" s="622" t="n"/>
      <c r="AL736" s="622" t="n"/>
      <c r="AM736" s="622" t="n"/>
      <c r="AN736" s="622" t="n"/>
      <c r="AO736" s="622" t="n"/>
      <c r="AP736" s="622" t="n"/>
      <c r="AQ736" s="622" t="n"/>
      <c r="AR736" s="622" t="n"/>
      <c r="AS736" s="622" t="n"/>
      <c r="AT736" s="622" t="n"/>
      <c r="AU736" s="622" t="n"/>
      <c r="AV736" s="622" t="n"/>
      <c r="AW736" s="622" t="n"/>
      <c r="AX736" s="622" t="n"/>
      <c r="AY736" s="622" t="n"/>
    </row>
    <row r="737">
      <c r="A737" s="622" t="n"/>
      <c r="B737" s="622" t="n"/>
      <c r="C737" s="622" t="n"/>
      <c r="D737" s="622" t="n"/>
      <c r="E737" s="622" t="n"/>
      <c r="F737" s="622" t="n"/>
      <c r="G737" s="622" t="n"/>
      <c r="H737" s="622" t="n"/>
      <c r="I737" s="622" t="n"/>
      <c r="J737" s="622" t="n"/>
      <c r="K737" s="622" t="n"/>
      <c r="L737" s="622" t="n"/>
      <c r="M737" s="622" t="n"/>
      <c r="N737" s="622" t="n"/>
      <c r="O737" s="622" t="n"/>
      <c r="P737" s="622" t="n"/>
      <c r="Q737" s="622" t="n"/>
      <c r="R737" s="622" t="n"/>
      <c r="S737" s="622" t="n"/>
      <c r="T737" s="622" t="n"/>
      <c r="U737" s="622" t="n"/>
      <c r="V737" s="622" t="n"/>
      <c r="W737" s="622" t="n"/>
      <c r="X737" s="622" t="n"/>
      <c r="Y737" s="622" t="n"/>
      <c r="Z737" s="622" t="n"/>
      <c r="AA737" s="622" t="n"/>
      <c r="AB737" s="622" t="n"/>
      <c r="AC737" s="622" t="n"/>
      <c r="AD737" s="622" t="n"/>
      <c r="AE737" s="622" t="n"/>
      <c r="AF737" s="622" t="n"/>
      <c r="AG737" s="622" t="n"/>
      <c r="AH737" s="622" t="n"/>
      <c r="AI737" s="622" t="n"/>
      <c r="AJ737" s="622" t="n"/>
      <c r="AK737" s="622" t="n"/>
      <c r="AL737" s="622" t="n"/>
      <c r="AM737" s="622" t="n"/>
      <c r="AN737" s="622" t="n"/>
      <c r="AO737" s="622" t="n"/>
      <c r="AP737" s="622" t="n"/>
      <c r="AQ737" s="622" t="n"/>
      <c r="AR737" s="622" t="n"/>
      <c r="AS737" s="622" t="n"/>
      <c r="AT737" s="622" t="n"/>
      <c r="AU737" s="622" t="n"/>
      <c r="AV737" s="622" t="n"/>
      <c r="AW737" s="622" t="n"/>
      <c r="AX737" s="622" t="n"/>
      <c r="AY737" s="622" t="n"/>
    </row>
    <row r="738">
      <c r="A738" s="622" t="n"/>
      <c r="B738" s="622" t="n"/>
      <c r="C738" s="622" t="n"/>
      <c r="D738" s="622" t="n"/>
      <c r="E738" s="622" t="n"/>
      <c r="F738" s="622" t="n"/>
      <c r="G738" s="622" t="n"/>
      <c r="H738" s="622" t="n"/>
      <c r="I738" s="622" t="n"/>
      <c r="J738" s="622" t="n"/>
      <c r="K738" s="622" t="n"/>
      <c r="L738" s="622" t="n"/>
      <c r="M738" s="622" t="n"/>
      <c r="N738" s="622" t="n"/>
      <c r="O738" s="622" t="n"/>
      <c r="P738" s="622" t="n"/>
      <c r="Q738" s="622" t="n"/>
      <c r="R738" s="622" t="n"/>
      <c r="S738" s="622" t="n"/>
      <c r="T738" s="622" t="n"/>
      <c r="U738" s="622" t="n"/>
      <c r="V738" s="622" t="n"/>
      <c r="W738" s="622" t="n"/>
      <c r="X738" s="622" t="n"/>
      <c r="Y738" s="622" t="n"/>
      <c r="Z738" s="622" t="n"/>
      <c r="AA738" s="622" t="n"/>
      <c r="AB738" s="622" t="n"/>
      <c r="AC738" s="622" t="n"/>
      <c r="AD738" s="622" t="n"/>
      <c r="AE738" s="622" t="n"/>
      <c r="AF738" s="622" t="n"/>
      <c r="AG738" s="622" t="n"/>
      <c r="AH738" s="622" t="n"/>
      <c r="AI738" s="622" t="n"/>
      <c r="AJ738" s="622" t="n"/>
      <c r="AK738" s="622" t="n"/>
      <c r="AL738" s="622" t="n"/>
      <c r="AM738" s="622" t="n"/>
      <c r="AN738" s="622" t="n"/>
      <c r="AO738" s="622" t="n"/>
      <c r="AP738" s="622" t="n"/>
      <c r="AQ738" s="622" t="n"/>
      <c r="AR738" s="622" t="n"/>
      <c r="AS738" s="622" t="n"/>
      <c r="AT738" s="622" t="n"/>
      <c r="AU738" s="622" t="n"/>
      <c r="AV738" s="622" t="n"/>
      <c r="AW738" s="622" t="n"/>
      <c r="AX738" s="622" t="n"/>
      <c r="AY738" s="622" t="n"/>
    </row>
    <row r="739">
      <c r="A739" s="622" t="n"/>
      <c r="B739" s="622" t="n"/>
      <c r="C739" s="622" t="n"/>
      <c r="D739" s="622" t="n"/>
      <c r="E739" s="622" t="n"/>
      <c r="F739" s="622" t="n"/>
      <c r="G739" s="622" t="n"/>
      <c r="H739" s="622" t="n"/>
      <c r="I739" s="622" t="n"/>
      <c r="J739" s="622" t="n"/>
      <c r="K739" s="622" t="n"/>
      <c r="L739" s="622" t="n"/>
      <c r="M739" s="622" t="n"/>
      <c r="N739" s="622" t="n"/>
      <c r="O739" s="622" t="n"/>
      <c r="P739" s="622" t="n"/>
      <c r="Q739" s="622" t="n"/>
      <c r="R739" s="622" t="n"/>
      <c r="S739" s="622" t="n"/>
      <c r="T739" s="622" t="n"/>
      <c r="U739" s="622" t="n"/>
      <c r="V739" s="622" t="n"/>
      <c r="W739" s="622" t="n"/>
      <c r="X739" s="622" t="n"/>
      <c r="Y739" s="622" t="n"/>
      <c r="Z739" s="622" t="n"/>
      <c r="AA739" s="622" t="n"/>
      <c r="AB739" s="622" t="n"/>
      <c r="AC739" s="622" t="n"/>
      <c r="AD739" s="622" t="n"/>
      <c r="AE739" s="622" t="n"/>
      <c r="AF739" s="622" t="n"/>
      <c r="AG739" s="622" t="n"/>
      <c r="AH739" s="622" t="n"/>
      <c r="AI739" s="622" t="n"/>
      <c r="AJ739" s="622" t="n"/>
      <c r="AK739" s="622" t="n"/>
      <c r="AL739" s="622" t="n"/>
      <c r="AM739" s="622" t="n"/>
      <c r="AN739" s="622" t="n"/>
      <c r="AO739" s="622" t="n"/>
      <c r="AP739" s="622" t="n"/>
      <c r="AQ739" s="622" t="n"/>
      <c r="AR739" s="622" t="n"/>
      <c r="AS739" s="622" t="n"/>
      <c r="AT739" s="622" t="n"/>
      <c r="AU739" s="622" t="n"/>
      <c r="AV739" s="622" t="n"/>
      <c r="AW739" s="622" t="n"/>
      <c r="AX739" s="622" t="n"/>
      <c r="AY739" s="622" t="n"/>
    </row>
    <row r="740">
      <c r="A740" s="622" t="n"/>
      <c r="B740" s="622" t="n"/>
      <c r="C740" s="622" t="n"/>
      <c r="D740" s="622" t="n"/>
      <c r="E740" s="622" t="n"/>
      <c r="F740" s="622" t="n"/>
      <c r="G740" s="622" t="n"/>
      <c r="H740" s="622" t="n"/>
      <c r="I740" s="622" t="n"/>
      <c r="J740" s="622" t="n"/>
      <c r="K740" s="622" t="n"/>
      <c r="L740" s="622" t="n"/>
      <c r="M740" s="622" t="n"/>
      <c r="N740" s="622" t="n"/>
      <c r="O740" s="622" t="n"/>
      <c r="P740" s="622" t="n"/>
      <c r="Q740" s="622" t="n"/>
      <c r="R740" s="622" t="n"/>
      <c r="S740" s="622" t="n"/>
      <c r="T740" s="622" t="n"/>
      <c r="U740" s="622" t="n"/>
      <c r="V740" s="622" t="n"/>
      <c r="W740" s="622" t="n"/>
      <c r="X740" s="622" t="n"/>
      <c r="Y740" s="622" t="n"/>
      <c r="Z740" s="622" t="n"/>
      <c r="AA740" s="622" t="n"/>
      <c r="AB740" s="622" t="n"/>
      <c r="AC740" s="622" t="n"/>
      <c r="AD740" s="622" t="n"/>
      <c r="AE740" s="622" t="n"/>
      <c r="AF740" s="622" t="n"/>
      <c r="AG740" s="622" t="n"/>
      <c r="AH740" s="622" t="n"/>
      <c r="AI740" s="622" t="n"/>
      <c r="AJ740" s="622" t="n"/>
      <c r="AK740" s="622" t="n"/>
      <c r="AL740" s="622" t="n"/>
      <c r="AM740" s="622" t="n"/>
      <c r="AN740" s="622" t="n"/>
      <c r="AO740" s="622" t="n"/>
      <c r="AP740" s="622" t="n"/>
      <c r="AQ740" s="622" t="n"/>
      <c r="AR740" s="622" t="n"/>
      <c r="AS740" s="622" t="n"/>
      <c r="AT740" s="622" t="n"/>
      <c r="AU740" s="622" t="n"/>
      <c r="AV740" s="622" t="n"/>
      <c r="AW740" s="622" t="n"/>
      <c r="AX740" s="622" t="n"/>
      <c r="AY740" s="622" t="n"/>
    </row>
    <row r="741">
      <c r="A741" s="622" t="n"/>
      <c r="B741" s="622" t="n"/>
      <c r="C741" s="622" t="n"/>
      <c r="D741" s="622" t="n"/>
      <c r="E741" s="622" t="n"/>
      <c r="F741" s="622" t="n"/>
      <c r="G741" s="622" t="n"/>
      <c r="H741" s="622" t="n"/>
      <c r="I741" s="622" t="n"/>
      <c r="J741" s="622" t="n"/>
      <c r="K741" s="622" t="n"/>
      <c r="L741" s="622" t="n"/>
      <c r="M741" s="622" t="n"/>
      <c r="N741" s="622" t="n"/>
      <c r="O741" s="622" t="n"/>
      <c r="P741" s="622" t="n"/>
      <c r="Q741" s="622" t="n"/>
      <c r="R741" s="622" t="n"/>
      <c r="S741" s="622" t="n"/>
      <c r="T741" s="622" t="n"/>
      <c r="U741" s="622" t="n"/>
      <c r="V741" s="622" t="n"/>
      <c r="W741" s="622" t="n"/>
      <c r="X741" s="622" t="n"/>
      <c r="Y741" s="622" t="n"/>
      <c r="Z741" s="622" t="n"/>
      <c r="AA741" s="622" t="n"/>
      <c r="AB741" s="622" t="n"/>
      <c r="AC741" s="622" t="n"/>
      <c r="AD741" s="622" t="n"/>
      <c r="AE741" s="622" t="n"/>
      <c r="AF741" s="622" t="n"/>
      <c r="AG741" s="622" t="n"/>
      <c r="AH741" s="622" t="n"/>
      <c r="AI741" s="622" t="n"/>
      <c r="AJ741" s="622" t="n"/>
      <c r="AK741" s="622" t="n"/>
      <c r="AL741" s="622" t="n"/>
      <c r="AM741" s="622" t="n"/>
      <c r="AN741" s="622" t="n"/>
      <c r="AO741" s="622" t="n"/>
      <c r="AP741" s="622" t="n"/>
      <c r="AQ741" s="622" t="n"/>
      <c r="AR741" s="622" t="n"/>
      <c r="AS741" s="622" t="n"/>
      <c r="AT741" s="622" t="n"/>
      <c r="AU741" s="622" t="n"/>
      <c r="AV741" s="622" t="n"/>
      <c r="AW741" s="622" t="n"/>
      <c r="AX741" s="622" t="n"/>
      <c r="AY741" s="622" t="n"/>
    </row>
    <row r="742">
      <c r="A742" s="622" t="n"/>
      <c r="B742" s="622" t="n"/>
      <c r="C742" s="622" t="n"/>
      <c r="D742" s="622" t="n"/>
      <c r="E742" s="622" t="n"/>
      <c r="F742" s="622" t="n"/>
      <c r="G742" s="622" t="n"/>
      <c r="H742" s="622" t="n"/>
      <c r="I742" s="622" t="n"/>
      <c r="J742" s="622" t="n"/>
      <c r="K742" s="622" t="n"/>
      <c r="L742" s="622" t="n"/>
      <c r="M742" s="622" t="n"/>
      <c r="N742" s="622" t="n"/>
      <c r="O742" s="622" t="n"/>
      <c r="P742" s="622" t="n"/>
      <c r="Q742" s="622" t="n"/>
      <c r="R742" s="622" t="n"/>
      <c r="S742" s="622" t="n"/>
      <c r="T742" s="622" t="n"/>
      <c r="U742" s="622" t="n"/>
      <c r="V742" s="622" t="n"/>
      <c r="W742" s="622" t="n"/>
      <c r="X742" s="622" t="n"/>
      <c r="Y742" s="622" t="n"/>
      <c r="Z742" s="622" t="n"/>
      <c r="AA742" s="622" t="n"/>
      <c r="AB742" s="622" t="n"/>
      <c r="AC742" s="622" t="n"/>
      <c r="AD742" s="622" t="n"/>
      <c r="AE742" s="622" t="n"/>
      <c r="AF742" s="622" t="n"/>
      <c r="AG742" s="622" t="n"/>
      <c r="AH742" s="622" t="n"/>
      <c r="AI742" s="622" t="n"/>
      <c r="AJ742" s="622" t="n"/>
      <c r="AK742" s="622" t="n"/>
      <c r="AL742" s="622" t="n"/>
      <c r="AM742" s="622" t="n"/>
      <c r="AN742" s="622" t="n"/>
      <c r="AO742" s="622" t="n"/>
      <c r="AP742" s="622" t="n"/>
      <c r="AQ742" s="622" t="n"/>
      <c r="AR742" s="622" t="n"/>
      <c r="AS742" s="622" t="n"/>
      <c r="AT742" s="622" t="n"/>
      <c r="AU742" s="622" t="n"/>
      <c r="AV742" s="622" t="n"/>
      <c r="AW742" s="622" t="n"/>
      <c r="AX742" s="622" t="n"/>
      <c r="AY742" s="622" t="n"/>
    </row>
    <row r="743">
      <c r="A743" s="622" t="n"/>
      <c r="B743" s="622" t="n"/>
      <c r="C743" s="622" t="n"/>
      <c r="D743" s="622" t="n"/>
      <c r="E743" s="622" t="n"/>
      <c r="F743" s="622" t="n"/>
      <c r="G743" s="622" t="n"/>
      <c r="H743" s="622" t="n"/>
      <c r="I743" s="622" t="n"/>
      <c r="J743" s="622" t="n"/>
      <c r="K743" s="622" t="n"/>
      <c r="L743" s="622" t="n"/>
      <c r="M743" s="622" t="n"/>
      <c r="N743" s="622" t="n"/>
      <c r="O743" s="622" t="n"/>
      <c r="P743" s="622" t="n"/>
      <c r="Q743" s="622" t="n"/>
      <c r="R743" s="622" t="n"/>
      <c r="S743" s="622" t="n"/>
      <c r="T743" s="622" t="n"/>
      <c r="U743" s="622" t="n"/>
      <c r="V743" s="622" t="n"/>
      <c r="W743" s="622" t="n"/>
      <c r="X743" s="622" t="n"/>
      <c r="Y743" s="622" t="n"/>
      <c r="Z743" s="622" t="n"/>
      <c r="AA743" s="622" t="n"/>
      <c r="AB743" s="622" t="n"/>
      <c r="AC743" s="622" t="n"/>
      <c r="AD743" s="622" t="n"/>
      <c r="AE743" s="622" t="n"/>
      <c r="AF743" s="622" t="n"/>
      <c r="AG743" s="622" t="n"/>
      <c r="AH743" s="622" t="n"/>
      <c r="AI743" s="622" t="n"/>
      <c r="AJ743" s="622" t="n"/>
      <c r="AK743" s="622" t="n"/>
      <c r="AL743" s="622" t="n"/>
      <c r="AM743" s="622" t="n"/>
      <c r="AN743" s="622" t="n"/>
      <c r="AO743" s="622" t="n"/>
      <c r="AP743" s="622" t="n"/>
      <c r="AQ743" s="622" t="n"/>
      <c r="AR743" s="622" t="n"/>
      <c r="AS743" s="622" t="n"/>
      <c r="AT743" s="622" t="n"/>
      <c r="AU743" s="622" t="n"/>
      <c r="AV743" s="622" t="n"/>
      <c r="AW743" s="622" t="n"/>
      <c r="AX743" s="622" t="n"/>
      <c r="AY743" s="622" t="n"/>
    </row>
    <row r="744">
      <c r="A744" s="622" t="n"/>
      <c r="B744" s="622" t="n"/>
      <c r="C744" s="622" t="n"/>
      <c r="D744" s="622" t="n"/>
      <c r="E744" s="622" t="n"/>
      <c r="F744" s="622" t="n"/>
      <c r="G744" s="622" t="n"/>
      <c r="H744" s="622" t="n"/>
      <c r="I744" s="622" t="n"/>
      <c r="J744" s="622" t="n"/>
      <c r="K744" s="622" t="n"/>
      <c r="L744" s="622" t="n"/>
      <c r="M744" s="622" t="n"/>
      <c r="N744" s="622" t="n"/>
      <c r="O744" s="622" t="n"/>
      <c r="P744" s="622" t="n"/>
      <c r="Q744" s="622" t="n"/>
      <c r="R744" s="622" t="n"/>
      <c r="S744" s="622" t="n"/>
      <c r="T744" s="622" t="n"/>
      <c r="U744" s="622" t="n"/>
      <c r="V744" s="622" t="n"/>
      <c r="W744" s="622" t="n"/>
      <c r="X744" s="622" t="n"/>
      <c r="Y744" s="622" t="n"/>
      <c r="Z744" s="622" t="n"/>
      <c r="AA744" s="622" t="n"/>
      <c r="AB744" s="622" t="n"/>
      <c r="AC744" s="622" t="n"/>
      <c r="AD744" s="622" t="n"/>
      <c r="AE744" s="622" t="n"/>
      <c r="AF744" s="622" t="n"/>
      <c r="AG744" s="622" t="n"/>
      <c r="AH744" s="622" t="n"/>
      <c r="AI744" s="622" t="n"/>
      <c r="AJ744" s="622" t="n"/>
      <c r="AK744" s="622" t="n"/>
      <c r="AL744" s="622" t="n"/>
      <c r="AM744" s="622" t="n"/>
      <c r="AN744" s="622" t="n"/>
      <c r="AO744" s="622" t="n"/>
      <c r="AP744" s="622" t="n"/>
      <c r="AQ744" s="622" t="n"/>
      <c r="AR744" s="622" t="n"/>
      <c r="AS744" s="622" t="n"/>
      <c r="AT744" s="622" t="n"/>
      <c r="AU744" s="622" t="n"/>
      <c r="AV744" s="622" t="n"/>
      <c r="AW744" s="622" t="n"/>
      <c r="AX744" s="622" t="n"/>
      <c r="AY744" s="622" t="n"/>
    </row>
    <row r="745">
      <c r="A745" s="622" t="n"/>
      <c r="B745" s="622" t="n"/>
      <c r="C745" s="622" t="n"/>
      <c r="D745" s="622" t="n"/>
      <c r="E745" s="622" t="n"/>
      <c r="F745" s="622" t="n"/>
      <c r="G745" s="622" t="n"/>
      <c r="H745" s="622" t="n"/>
      <c r="I745" s="622" t="n"/>
      <c r="J745" s="622" t="n"/>
      <c r="K745" s="622" t="n"/>
      <c r="L745" s="622" t="n"/>
      <c r="M745" s="622" t="n"/>
      <c r="N745" s="622" t="n"/>
      <c r="O745" s="622" t="n"/>
      <c r="P745" s="622" t="n"/>
      <c r="Q745" s="622" t="n"/>
      <c r="R745" s="622" t="n"/>
      <c r="S745" s="622" t="n"/>
      <c r="T745" s="622" t="n"/>
      <c r="U745" s="622" t="n"/>
      <c r="V745" s="622" t="n"/>
      <c r="W745" s="622" t="n"/>
      <c r="X745" s="622" t="n"/>
      <c r="Y745" s="622" t="n"/>
      <c r="Z745" s="622" t="n"/>
      <c r="AA745" s="622" t="n"/>
      <c r="AB745" s="622" t="n"/>
      <c r="AC745" s="622" t="n"/>
      <c r="AD745" s="622" t="n"/>
      <c r="AE745" s="622" t="n"/>
      <c r="AF745" s="622" t="n"/>
      <c r="AG745" s="622" t="n"/>
      <c r="AH745" s="622" t="n"/>
      <c r="AI745" s="622" t="n"/>
      <c r="AJ745" s="622" t="n"/>
      <c r="AK745" s="622" t="n"/>
      <c r="AL745" s="622" t="n"/>
      <c r="AM745" s="622" t="n"/>
      <c r="AN745" s="622" t="n"/>
      <c r="AO745" s="622" t="n"/>
      <c r="AP745" s="622" t="n"/>
      <c r="AQ745" s="622" t="n"/>
      <c r="AR745" s="622" t="n"/>
      <c r="AS745" s="622" t="n"/>
      <c r="AT745" s="622" t="n"/>
      <c r="AU745" s="622" t="n"/>
      <c r="AV745" s="622" t="n"/>
      <c r="AW745" s="622" t="n"/>
      <c r="AX745" s="622" t="n"/>
      <c r="AY745" s="622" t="n"/>
    </row>
    <row r="746">
      <c r="A746" s="622" t="n"/>
      <c r="B746" s="622" t="n"/>
      <c r="C746" s="622" t="n"/>
      <c r="D746" s="622" t="n"/>
      <c r="E746" s="622" t="n"/>
      <c r="F746" s="622" t="n"/>
      <c r="G746" s="622" t="n"/>
      <c r="H746" s="622" t="n"/>
      <c r="I746" s="622" t="n"/>
      <c r="J746" s="622" t="n"/>
      <c r="K746" s="622" t="n"/>
      <c r="L746" s="622" t="n"/>
      <c r="M746" s="622" t="n"/>
      <c r="N746" s="622" t="n"/>
      <c r="O746" s="622" t="n"/>
      <c r="P746" s="622" t="n"/>
      <c r="Q746" s="622" t="n"/>
      <c r="R746" s="622" t="n"/>
      <c r="S746" s="622" t="n"/>
      <c r="T746" s="622" t="n"/>
      <c r="U746" s="622" t="n"/>
      <c r="V746" s="622" t="n"/>
      <c r="W746" s="622" t="n"/>
      <c r="X746" s="622" t="n"/>
      <c r="Y746" s="622" t="n"/>
      <c r="Z746" s="622" t="n"/>
      <c r="AA746" s="622" t="n"/>
      <c r="AB746" s="622" t="n"/>
      <c r="AC746" s="622" t="n"/>
      <c r="AD746" s="622" t="n"/>
      <c r="AE746" s="622" t="n"/>
      <c r="AF746" s="622" t="n"/>
      <c r="AG746" s="622" t="n"/>
      <c r="AH746" s="622" t="n"/>
      <c r="AI746" s="622" t="n"/>
      <c r="AJ746" s="622" t="n"/>
      <c r="AK746" s="622" t="n"/>
      <c r="AL746" s="622" t="n"/>
      <c r="AM746" s="622" t="n"/>
      <c r="AN746" s="622" t="n"/>
      <c r="AO746" s="622" t="n"/>
      <c r="AP746" s="622" t="n"/>
      <c r="AQ746" s="622" t="n"/>
      <c r="AR746" s="622" t="n"/>
      <c r="AS746" s="622" t="n"/>
      <c r="AT746" s="622" t="n"/>
      <c r="AU746" s="622" t="n"/>
      <c r="AV746" s="622" t="n"/>
      <c r="AW746" s="622" t="n"/>
      <c r="AX746" s="622" t="n"/>
      <c r="AY746" s="622" t="n"/>
    </row>
    <row r="747">
      <c r="A747" s="622" t="n"/>
      <c r="B747" s="622" t="n"/>
      <c r="C747" s="622" t="n"/>
      <c r="D747" s="622" t="n"/>
      <c r="E747" s="622" t="n"/>
      <c r="F747" s="622" t="n"/>
      <c r="G747" s="622" t="n"/>
      <c r="H747" s="622" t="n"/>
      <c r="I747" s="622" t="n"/>
      <c r="J747" s="622" t="n"/>
      <c r="K747" s="622" t="n"/>
      <c r="L747" s="622" t="n"/>
      <c r="M747" s="622" t="n"/>
      <c r="N747" s="622" t="n"/>
      <c r="O747" s="622" t="n"/>
      <c r="P747" s="622" t="n"/>
      <c r="Q747" s="622" t="n"/>
      <c r="R747" s="622" t="n"/>
      <c r="S747" s="622" t="n"/>
      <c r="T747" s="622" t="n"/>
      <c r="U747" s="622" t="n"/>
      <c r="V747" s="622" t="n"/>
      <c r="W747" s="622" t="n"/>
      <c r="X747" s="622" t="n"/>
      <c r="Y747" s="622" t="n"/>
      <c r="Z747" s="622" t="n"/>
      <c r="AA747" s="622" t="n"/>
      <c r="AB747" s="622" t="n"/>
      <c r="AC747" s="622" t="n"/>
      <c r="AD747" s="622" t="n"/>
      <c r="AE747" s="622" t="n"/>
      <c r="AF747" s="622" t="n"/>
      <c r="AG747" s="622" t="n"/>
      <c r="AH747" s="622" t="n"/>
      <c r="AI747" s="622" t="n"/>
      <c r="AJ747" s="622" t="n"/>
      <c r="AK747" s="622" t="n"/>
      <c r="AL747" s="622" t="n"/>
      <c r="AM747" s="622" t="n"/>
      <c r="AN747" s="622" t="n"/>
      <c r="AO747" s="622" t="n"/>
      <c r="AP747" s="622" t="n"/>
      <c r="AQ747" s="622" t="n"/>
      <c r="AR747" s="622" t="n"/>
      <c r="AS747" s="622" t="n"/>
      <c r="AT747" s="622" t="n"/>
      <c r="AU747" s="622" t="n"/>
      <c r="AV747" s="622" t="n"/>
      <c r="AW747" s="622" t="n"/>
      <c r="AX747" s="622" t="n"/>
      <c r="AY747" s="622" t="n"/>
    </row>
    <row r="748">
      <c r="A748" s="622" t="n"/>
      <c r="B748" s="622" t="n"/>
      <c r="C748" s="622" t="n"/>
      <c r="D748" s="622" t="n"/>
      <c r="E748" s="622" t="n"/>
      <c r="F748" s="622" t="n"/>
      <c r="G748" s="622" t="n"/>
      <c r="H748" s="622" t="n"/>
      <c r="I748" s="622" t="n"/>
      <c r="J748" s="622" t="n"/>
      <c r="K748" s="622" t="n"/>
      <c r="L748" s="622" t="n"/>
      <c r="M748" s="622" t="n"/>
      <c r="N748" s="622" t="n"/>
      <c r="O748" s="622" t="n"/>
      <c r="P748" s="622" t="n"/>
      <c r="Q748" s="622" t="n"/>
      <c r="R748" s="622" t="n"/>
      <c r="S748" s="622" t="n"/>
      <c r="T748" s="622" t="n"/>
      <c r="U748" s="622" t="n"/>
      <c r="V748" s="622" t="n"/>
      <c r="W748" s="622" t="n"/>
      <c r="X748" s="622" t="n"/>
      <c r="Y748" s="622" t="n"/>
      <c r="Z748" s="622" t="n"/>
      <c r="AA748" s="622" t="n"/>
      <c r="AB748" s="622" t="n"/>
      <c r="AC748" s="622" t="n"/>
      <c r="AD748" s="622" t="n"/>
      <c r="AE748" s="622" t="n"/>
      <c r="AF748" s="622" t="n"/>
      <c r="AG748" s="622" t="n"/>
      <c r="AH748" s="622" t="n"/>
      <c r="AI748" s="622" t="n"/>
      <c r="AJ748" s="622" t="n"/>
      <c r="AK748" s="622" t="n"/>
      <c r="AL748" s="622" t="n"/>
      <c r="AM748" s="622" t="n"/>
      <c r="AN748" s="622" t="n"/>
      <c r="AO748" s="622" t="n"/>
      <c r="AP748" s="622" t="n"/>
      <c r="AQ748" s="622" t="n"/>
      <c r="AR748" s="622" t="n"/>
      <c r="AS748" s="622" t="n"/>
      <c r="AT748" s="622" t="n"/>
      <c r="AU748" s="622" t="n"/>
      <c r="AV748" s="622" t="n"/>
      <c r="AW748" s="622" t="n"/>
      <c r="AX748" s="622" t="n"/>
      <c r="AY748" s="622" t="n"/>
    </row>
    <row r="749">
      <c r="A749" s="622" t="n"/>
      <c r="B749" s="622" t="n"/>
      <c r="C749" s="622" t="n"/>
      <c r="D749" s="622" t="n"/>
      <c r="E749" s="622" t="n"/>
      <c r="F749" s="622" t="n"/>
      <c r="G749" s="622" t="n"/>
      <c r="H749" s="622" t="n"/>
      <c r="I749" s="622" t="n"/>
      <c r="J749" s="622" t="n"/>
      <c r="K749" s="622" t="n"/>
      <c r="L749" s="622" t="n"/>
      <c r="M749" s="622" t="n"/>
      <c r="N749" s="622" t="n"/>
      <c r="O749" s="622" t="n"/>
      <c r="P749" s="622" t="n"/>
      <c r="Q749" s="622" t="n"/>
      <c r="R749" s="622" t="n"/>
      <c r="S749" s="622" t="n"/>
      <c r="T749" s="622" t="n"/>
      <c r="U749" s="622" t="n"/>
      <c r="V749" s="622" t="n"/>
      <c r="W749" s="622" t="n"/>
      <c r="X749" s="622" t="n"/>
      <c r="Y749" s="622" t="n"/>
      <c r="Z749" s="622" t="n"/>
      <c r="AA749" s="622" t="n"/>
      <c r="AB749" s="622" t="n"/>
      <c r="AC749" s="622" t="n"/>
      <c r="AD749" s="622" t="n"/>
      <c r="AE749" s="622" t="n"/>
      <c r="AF749" s="622" t="n"/>
      <c r="AG749" s="622" t="n"/>
      <c r="AH749" s="622" t="n"/>
      <c r="AI749" s="622" t="n"/>
      <c r="AJ749" s="622" t="n"/>
      <c r="AK749" s="622" t="n"/>
      <c r="AL749" s="622" t="n"/>
      <c r="AM749" s="622" t="n"/>
      <c r="AN749" s="622" t="n"/>
      <c r="AO749" s="622" t="n"/>
      <c r="AP749" s="622" t="n"/>
      <c r="AQ749" s="622" t="n"/>
      <c r="AR749" s="622" t="n"/>
      <c r="AS749" s="622" t="n"/>
      <c r="AT749" s="622" t="n"/>
      <c r="AU749" s="622" t="n"/>
      <c r="AV749" s="622" t="n"/>
      <c r="AW749" s="622" t="n"/>
      <c r="AX749" s="622" t="n"/>
      <c r="AY749" s="622" t="n"/>
    </row>
    <row r="750">
      <c r="A750" s="622" t="n"/>
      <c r="B750" s="622" t="n"/>
      <c r="C750" s="622" t="n"/>
      <c r="D750" s="622" t="n"/>
      <c r="E750" s="622" t="n"/>
      <c r="F750" s="622" t="n"/>
      <c r="G750" s="622" t="n"/>
      <c r="H750" s="622" t="n"/>
      <c r="I750" s="622" t="n"/>
      <c r="J750" s="622" t="n"/>
      <c r="K750" s="622" t="n"/>
      <c r="L750" s="622" t="n"/>
      <c r="M750" s="622" t="n"/>
      <c r="N750" s="622" t="n"/>
      <c r="O750" s="622" t="n"/>
      <c r="P750" s="622" t="n"/>
      <c r="Q750" s="622" t="n"/>
      <c r="R750" s="622" t="n"/>
      <c r="S750" s="622" t="n"/>
      <c r="T750" s="622" t="n"/>
      <c r="U750" s="622" t="n"/>
      <c r="V750" s="622" t="n"/>
      <c r="W750" s="622" t="n"/>
      <c r="X750" s="622" t="n"/>
      <c r="Y750" s="622" t="n"/>
      <c r="Z750" s="622" t="n"/>
      <c r="AA750" s="622" t="n"/>
      <c r="AB750" s="622" t="n"/>
      <c r="AC750" s="622" t="n"/>
      <c r="AD750" s="622" t="n"/>
      <c r="AE750" s="622" t="n"/>
      <c r="AF750" s="622" t="n"/>
      <c r="AG750" s="622" t="n"/>
      <c r="AH750" s="622" t="n"/>
      <c r="AI750" s="622" t="n"/>
      <c r="AJ750" s="622" t="n"/>
      <c r="AK750" s="622" t="n"/>
      <c r="AL750" s="622" t="n"/>
      <c r="AM750" s="622" t="n"/>
      <c r="AN750" s="622" t="n"/>
      <c r="AO750" s="622" t="n"/>
      <c r="AP750" s="622" t="n"/>
      <c r="AQ750" s="622" t="n"/>
      <c r="AR750" s="622" t="n"/>
      <c r="AS750" s="622" t="n"/>
      <c r="AT750" s="622" t="n"/>
      <c r="AU750" s="622" t="n"/>
      <c r="AV750" s="622" t="n"/>
      <c r="AW750" s="622" t="n"/>
      <c r="AX750" s="622" t="n"/>
      <c r="AY750" s="622" t="n"/>
    </row>
    <row r="751">
      <c r="A751" s="622" t="n"/>
      <c r="B751" s="622" t="n"/>
      <c r="C751" s="622" t="n"/>
      <c r="D751" s="622" t="n"/>
      <c r="E751" s="622" t="n"/>
      <c r="F751" s="622" t="n"/>
      <c r="G751" s="622" t="n"/>
      <c r="H751" s="622" t="n"/>
      <c r="I751" s="622" t="n"/>
      <c r="J751" s="622" t="n"/>
      <c r="K751" s="622" t="n"/>
      <c r="L751" s="622" t="n"/>
      <c r="M751" s="622" t="n"/>
      <c r="N751" s="622" t="n"/>
      <c r="O751" s="622" t="n"/>
      <c r="P751" s="622" t="n"/>
      <c r="Q751" s="622" t="n"/>
      <c r="R751" s="622" t="n"/>
      <c r="S751" s="622" t="n"/>
      <c r="T751" s="622" t="n"/>
      <c r="U751" s="622" t="n"/>
      <c r="V751" s="622" t="n"/>
      <c r="W751" s="622" t="n"/>
      <c r="X751" s="622" t="n"/>
      <c r="Y751" s="622" t="n"/>
      <c r="Z751" s="622" t="n"/>
      <c r="AA751" s="622" t="n"/>
      <c r="AB751" s="622" t="n"/>
      <c r="AC751" s="622" t="n"/>
      <c r="AD751" s="622" t="n"/>
      <c r="AE751" s="622" t="n"/>
      <c r="AF751" s="622" t="n"/>
      <c r="AG751" s="622" t="n"/>
      <c r="AH751" s="622" t="n"/>
      <c r="AI751" s="622" t="n"/>
      <c r="AJ751" s="622" t="n"/>
      <c r="AK751" s="622" t="n"/>
      <c r="AL751" s="622" t="n"/>
      <c r="AM751" s="622" t="n"/>
      <c r="AN751" s="622" t="n"/>
      <c r="AO751" s="622" t="n"/>
      <c r="AP751" s="622" t="n"/>
      <c r="AQ751" s="622" t="n"/>
      <c r="AR751" s="622" t="n"/>
      <c r="AS751" s="622" t="n"/>
      <c r="AT751" s="622" t="n"/>
      <c r="AU751" s="622" t="n"/>
      <c r="AV751" s="622" t="n"/>
      <c r="AW751" s="622" t="n"/>
      <c r="AX751" s="622" t="n"/>
      <c r="AY751" s="622" t="n"/>
    </row>
    <row r="752">
      <c r="A752" s="622" t="n"/>
      <c r="B752" s="622" t="n"/>
      <c r="C752" s="622" t="n"/>
      <c r="D752" s="622" t="n"/>
      <c r="E752" s="622" t="n"/>
      <c r="F752" s="622" t="n"/>
      <c r="G752" s="622" t="n"/>
      <c r="H752" s="622" t="n"/>
      <c r="I752" s="622" t="n"/>
      <c r="J752" s="622" t="n"/>
      <c r="K752" s="622" t="n"/>
      <c r="L752" s="622" t="n"/>
      <c r="M752" s="622" t="n"/>
      <c r="N752" s="622" t="n"/>
      <c r="O752" s="622" t="n"/>
      <c r="P752" s="622" t="n"/>
      <c r="Q752" s="622" t="n"/>
      <c r="R752" s="622" t="n"/>
      <c r="S752" s="622" t="n"/>
      <c r="T752" s="622" t="n"/>
      <c r="U752" s="622" t="n"/>
      <c r="V752" s="622" t="n"/>
      <c r="W752" s="622" t="n"/>
      <c r="X752" s="622" t="n"/>
      <c r="Y752" s="622" t="n"/>
      <c r="Z752" s="622" t="n"/>
      <c r="AA752" s="622" t="n"/>
      <c r="AB752" s="622" t="n"/>
      <c r="AC752" s="622" t="n"/>
      <c r="AD752" s="622" t="n"/>
      <c r="AE752" s="622" t="n"/>
      <c r="AF752" s="622" t="n"/>
      <c r="AG752" s="622" t="n"/>
      <c r="AH752" s="622" t="n"/>
      <c r="AI752" s="622" t="n"/>
      <c r="AJ752" s="622" t="n"/>
      <c r="AK752" s="622" t="n"/>
      <c r="AL752" s="622" t="n"/>
      <c r="AM752" s="622" t="n"/>
      <c r="AN752" s="622" t="n"/>
      <c r="AO752" s="622" t="n"/>
      <c r="AP752" s="622" t="n"/>
      <c r="AQ752" s="622" t="n"/>
      <c r="AR752" s="622" t="n"/>
      <c r="AS752" s="622" t="n"/>
      <c r="AT752" s="622" t="n"/>
      <c r="AU752" s="622" t="n"/>
      <c r="AV752" s="622" t="n"/>
      <c r="AW752" s="622" t="n"/>
      <c r="AX752" s="622" t="n"/>
      <c r="AY752" s="622" t="n"/>
    </row>
    <row r="753">
      <c r="A753" s="622" t="n"/>
      <c r="B753" s="622" t="n"/>
      <c r="C753" s="622" t="n"/>
      <c r="D753" s="622" t="n"/>
      <c r="E753" s="622" t="n"/>
      <c r="F753" s="622" t="n"/>
      <c r="G753" s="622" t="n"/>
      <c r="H753" s="622" t="n"/>
      <c r="I753" s="622" t="n"/>
      <c r="J753" s="622" t="n"/>
      <c r="K753" s="622" t="n"/>
      <c r="L753" s="622" t="n"/>
      <c r="M753" s="622" t="n"/>
      <c r="N753" s="622" t="n"/>
      <c r="O753" s="622" t="n"/>
      <c r="P753" s="622" t="n"/>
      <c r="Q753" s="622" t="n"/>
      <c r="R753" s="622" t="n"/>
      <c r="S753" s="622" t="n"/>
      <c r="T753" s="622" t="n"/>
      <c r="U753" s="622" t="n"/>
      <c r="V753" s="622" t="n"/>
      <c r="W753" s="622" t="n"/>
      <c r="X753" s="622" t="n"/>
      <c r="Y753" s="622" t="n"/>
      <c r="Z753" s="622" t="n"/>
      <c r="AA753" s="622" t="n"/>
      <c r="AB753" s="622" t="n"/>
      <c r="AC753" s="622" t="n"/>
      <c r="AD753" s="622" t="n"/>
      <c r="AE753" s="622" t="n"/>
      <c r="AF753" s="622" t="n"/>
      <c r="AG753" s="622" t="n"/>
      <c r="AH753" s="622" t="n"/>
      <c r="AI753" s="622" t="n"/>
      <c r="AJ753" s="622" t="n"/>
      <c r="AK753" s="622" t="n"/>
      <c r="AL753" s="622" t="n"/>
      <c r="AM753" s="622" t="n"/>
      <c r="AN753" s="622" t="n"/>
      <c r="AO753" s="622" t="n"/>
      <c r="AP753" s="622" t="n"/>
      <c r="AQ753" s="622" t="n"/>
      <c r="AR753" s="622" t="n"/>
      <c r="AS753" s="622" t="n"/>
      <c r="AT753" s="622" t="n"/>
      <c r="AU753" s="622" t="n"/>
      <c r="AV753" s="622" t="n"/>
      <c r="AW753" s="622" t="n"/>
      <c r="AX753" s="622" t="n"/>
      <c r="AY753" s="622" t="n"/>
    </row>
    <row r="754">
      <c r="A754" s="622" t="n"/>
      <c r="B754" s="622" t="n"/>
      <c r="C754" s="622" t="n"/>
      <c r="D754" s="622" t="n"/>
      <c r="E754" s="622" t="n"/>
      <c r="F754" s="622" t="n"/>
      <c r="G754" s="622" t="n"/>
      <c r="H754" s="622" t="n"/>
      <c r="I754" s="622" t="n"/>
      <c r="J754" s="622" t="n"/>
      <c r="K754" s="622" t="n"/>
      <c r="L754" s="622" t="n"/>
      <c r="M754" s="622" t="n"/>
      <c r="N754" s="622" t="n"/>
      <c r="O754" s="622" t="n"/>
      <c r="P754" s="622" t="n"/>
      <c r="Q754" s="622" t="n"/>
      <c r="R754" s="622" t="n"/>
      <c r="S754" s="622" t="n"/>
      <c r="T754" s="622" t="n"/>
      <c r="U754" s="622" t="n"/>
      <c r="V754" s="622" t="n"/>
      <c r="W754" s="622" t="n"/>
      <c r="X754" s="622" t="n"/>
      <c r="Y754" s="622" t="n"/>
      <c r="Z754" s="622" t="n"/>
      <c r="AA754" s="622" t="n"/>
      <c r="AB754" s="622" t="n"/>
      <c r="AC754" s="622" t="n"/>
      <c r="AD754" s="622" t="n"/>
      <c r="AE754" s="622" t="n"/>
      <c r="AF754" s="622" t="n"/>
      <c r="AG754" s="622" t="n"/>
      <c r="AH754" s="622" t="n"/>
      <c r="AI754" s="622" t="n"/>
      <c r="AJ754" s="622" t="n"/>
      <c r="AK754" s="622" t="n"/>
      <c r="AL754" s="622" t="n"/>
      <c r="AM754" s="622" t="n"/>
      <c r="AN754" s="622" t="n"/>
      <c r="AO754" s="622" t="n"/>
      <c r="AP754" s="622" t="n"/>
      <c r="AQ754" s="622" t="n"/>
      <c r="AR754" s="622" t="n"/>
      <c r="AS754" s="622" t="n"/>
      <c r="AT754" s="622" t="n"/>
      <c r="AU754" s="622" t="n"/>
      <c r="AV754" s="622" t="n"/>
      <c r="AW754" s="622" t="n"/>
      <c r="AX754" s="622" t="n"/>
      <c r="AY754" s="622" t="n"/>
    </row>
    <row r="755">
      <c r="A755" s="622" t="n"/>
      <c r="B755" s="622" t="n"/>
      <c r="C755" s="622" t="n"/>
      <c r="D755" s="622" t="n"/>
      <c r="E755" s="622" t="n"/>
      <c r="F755" s="622" t="n"/>
      <c r="G755" s="622" t="n"/>
      <c r="H755" s="622" t="n"/>
      <c r="I755" s="622" t="n"/>
      <c r="J755" s="622" t="n"/>
      <c r="K755" s="622" t="n"/>
      <c r="L755" s="622" t="n"/>
      <c r="M755" s="622" t="n"/>
      <c r="N755" s="622" t="n"/>
      <c r="O755" s="622" t="n"/>
      <c r="P755" s="622" t="n"/>
      <c r="Q755" s="622" t="n"/>
      <c r="R755" s="622" t="n"/>
      <c r="S755" s="622" t="n"/>
      <c r="T755" s="622" t="n"/>
      <c r="U755" s="622" t="n"/>
      <c r="V755" s="622" t="n"/>
      <c r="W755" s="622" t="n"/>
      <c r="X755" s="622" t="n"/>
      <c r="Y755" s="622" t="n"/>
      <c r="Z755" s="622" t="n"/>
      <c r="AA755" s="622" t="n"/>
      <c r="AB755" s="622" t="n"/>
      <c r="AC755" s="622" t="n"/>
      <c r="AD755" s="622" t="n"/>
      <c r="AE755" s="622" t="n"/>
      <c r="AF755" s="622" t="n"/>
      <c r="AG755" s="622" t="n"/>
      <c r="AH755" s="622" t="n"/>
      <c r="AI755" s="622" t="n"/>
      <c r="AJ755" s="622" t="n"/>
      <c r="AK755" s="622" t="n"/>
      <c r="AL755" s="622" t="n"/>
      <c r="AM755" s="622" t="n"/>
      <c r="AN755" s="622" t="n"/>
      <c r="AO755" s="622" t="n"/>
      <c r="AP755" s="622" t="n"/>
      <c r="AQ755" s="622" t="n"/>
      <c r="AR755" s="622" t="n"/>
      <c r="AS755" s="622" t="n"/>
      <c r="AT755" s="622" t="n"/>
      <c r="AU755" s="622" t="n"/>
      <c r="AV755" s="622" t="n"/>
      <c r="AW755" s="622" t="n"/>
      <c r="AX755" s="622" t="n"/>
      <c r="AY755" s="622" t="n"/>
    </row>
    <row r="756">
      <c r="A756" s="622" t="n"/>
      <c r="B756" s="622" t="n"/>
      <c r="C756" s="622" t="n"/>
      <c r="D756" s="622" t="n"/>
      <c r="E756" s="622" t="n"/>
      <c r="F756" s="622" t="n"/>
      <c r="G756" s="622" t="n"/>
      <c r="H756" s="622" t="n"/>
      <c r="I756" s="622" t="n"/>
      <c r="J756" s="622" t="n"/>
      <c r="K756" s="622" t="n"/>
      <c r="L756" s="622" t="n"/>
      <c r="M756" s="622" t="n"/>
      <c r="N756" s="622" t="n"/>
      <c r="O756" s="622" t="n"/>
      <c r="P756" s="622" t="n"/>
      <c r="Q756" s="622" t="n"/>
      <c r="R756" s="622" t="n"/>
      <c r="S756" s="622" t="n"/>
      <c r="T756" s="622" t="n"/>
      <c r="U756" s="622" t="n"/>
      <c r="V756" s="622" t="n"/>
      <c r="W756" s="622" t="n"/>
      <c r="X756" s="622" t="n"/>
      <c r="Y756" s="622" t="n"/>
      <c r="Z756" s="622" t="n"/>
      <c r="AA756" s="622" t="n"/>
      <c r="AB756" s="622" t="n"/>
      <c r="AC756" s="622" t="n"/>
      <c r="AD756" s="622" t="n"/>
      <c r="AE756" s="622" t="n"/>
      <c r="AF756" s="622" t="n"/>
      <c r="AG756" s="622" t="n"/>
      <c r="AH756" s="622" t="n"/>
      <c r="AI756" s="622" t="n"/>
      <c r="AJ756" s="622" t="n"/>
      <c r="AK756" s="622" t="n"/>
      <c r="AL756" s="622" t="n"/>
      <c r="AM756" s="622" t="n"/>
      <c r="AN756" s="622" t="n"/>
      <c r="AO756" s="622" t="n"/>
      <c r="AP756" s="622" t="n"/>
      <c r="AQ756" s="622" t="n"/>
      <c r="AR756" s="622" t="n"/>
      <c r="AS756" s="622" t="n"/>
      <c r="AT756" s="622" t="n"/>
      <c r="AU756" s="622" t="n"/>
      <c r="AV756" s="622" t="n"/>
      <c r="AW756" s="622" t="n"/>
      <c r="AX756" s="622" t="n"/>
      <c r="AY756" s="622" t="n"/>
    </row>
    <row r="757">
      <c r="A757" s="622" t="n"/>
      <c r="B757" s="622" t="n"/>
      <c r="C757" s="622" t="n"/>
      <c r="D757" s="622" t="n"/>
      <c r="E757" s="622" t="n"/>
      <c r="F757" s="622" t="n"/>
      <c r="G757" s="622" t="n"/>
      <c r="H757" s="622" t="n"/>
      <c r="I757" s="622" t="n"/>
      <c r="J757" s="622" t="n"/>
      <c r="K757" s="622" t="n"/>
      <c r="L757" s="622" t="n"/>
      <c r="M757" s="622" t="n"/>
      <c r="N757" s="622" t="n"/>
      <c r="O757" s="622" t="n"/>
      <c r="P757" s="622" t="n"/>
      <c r="Q757" s="622" t="n"/>
      <c r="R757" s="622" t="n"/>
      <c r="S757" s="622" t="n"/>
      <c r="T757" s="622" t="n"/>
      <c r="U757" s="622" t="n"/>
      <c r="V757" s="622" t="n"/>
      <c r="W757" s="622" t="n"/>
      <c r="X757" s="622" t="n"/>
      <c r="Y757" s="622" t="n"/>
      <c r="Z757" s="622" t="n"/>
      <c r="AA757" s="622" t="n"/>
      <c r="AB757" s="622" t="n"/>
      <c r="AC757" s="622" t="n"/>
      <c r="AD757" s="622" t="n"/>
      <c r="AE757" s="622" t="n"/>
      <c r="AF757" s="622" t="n"/>
      <c r="AG757" s="622" t="n"/>
      <c r="AH757" s="622" t="n"/>
      <c r="AI757" s="622" t="n"/>
      <c r="AJ757" s="622" t="n"/>
      <c r="AK757" s="622" t="n"/>
      <c r="AL757" s="622" t="n"/>
      <c r="AM757" s="622" t="n"/>
      <c r="AN757" s="622" t="n"/>
      <c r="AO757" s="622" t="n"/>
      <c r="AP757" s="622" t="n"/>
      <c r="AQ757" s="622" t="n"/>
      <c r="AR757" s="622" t="n"/>
      <c r="AS757" s="622" t="n"/>
      <c r="AT757" s="622" t="n"/>
      <c r="AU757" s="622" t="n"/>
      <c r="AV757" s="622" t="n"/>
      <c r="AW757" s="622" t="n"/>
      <c r="AX757" s="622" t="n"/>
      <c r="AY757" s="622" t="n"/>
    </row>
    <row r="758">
      <c r="A758" s="622" t="n"/>
      <c r="B758" s="622" t="n"/>
      <c r="C758" s="622" t="n"/>
      <c r="D758" s="622" t="n"/>
      <c r="E758" s="622" t="n"/>
      <c r="F758" s="622" t="n"/>
      <c r="G758" s="622" t="n"/>
      <c r="H758" s="622" t="n"/>
      <c r="I758" s="622" t="n"/>
      <c r="J758" s="622" t="n"/>
      <c r="K758" s="622" t="n"/>
      <c r="L758" s="622" t="n"/>
      <c r="M758" s="622" t="n"/>
      <c r="N758" s="622" t="n"/>
      <c r="O758" s="622" t="n"/>
      <c r="P758" s="622" t="n"/>
      <c r="Q758" s="622" t="n"/>
      <c r="R758" s="622" t="n"/>
      <c r="S758" s="622" t="n"/>
      <c r="T758" s="622" t="n"/>
      <c r="U758" s="622" t="n"/>
      <c r="V758" s="622" t="n"/>
      <c r="W758" s="622" t="n"/>
      <c r="X758" s="622" t="n"/>
      <c r="Y758" s="622" t="n"/>
      <c r="Z758" s="622" t="n"/>
      <c r="AA758" s="622" t="n"/>
      <c r="AB758" s="622" t="n"/>
      <c r="AC758" s="622" t="n"/>
      <c r="AD758" s="622" t="n"/>
      <c r="AE758" s="622" t="n"/>
      <c r="AF758" s="622" t="n"/>
      <c r="AG758" s="622" t="n"/>
      <c r="AH758" s="622" t="n"/>
      <c r="AI758" s="622" t="n"/>
      <c r="AJ758" s="622" t="n"/>
      <c r="AK758" s="622" t="n"/>
      <c r="AL758" s="622" t="n"/>
      <c r="AM758" s="622" t="n"/>
      <c r="AN758" s="622" t="n"/>
      <c r="AO758" s="622" t="n"/>
      <c r="AP758" s="622" t="n"/>
      <c r="AQ758" s="622" t="n"/>
      <c r="AR758" s="622" t="n"/>
      <c r="AS758" s="622" t="n"/>
      <c r="AT758" s="622" t="n"/>
      <c r="AU758" s="622" t="n"/>
      <c r="AV758" s="622" t="n"/>
      <c r="AW758" s="622" t="n"/>
      <c r="AX758" s="622" t="n"/>
      <c r="AY758" s="622" t="n"/>
    </row>
    <row r="759">
      <c r="A759" s="622" t="n"/>
      <c r="B759" s="622" t="n"/>
      <c r="C759" s="622" t="n"/>
      <c r="D759" s="622" t="n"/>
      <c r="E759" s="622" t="n"/>
      <c r="F759" s="622" t="n"/>
      <c r="G759" s="622" t="n"/>
      <c r="H759" s="622" t="n"/>
      <c r="I759" s="622" t="n"/>
      <c r="J759" s="622" t="n"/>
      <c r="K759" s="622" t="n"/>
      <c r="L759" s="622" t="n"/>
      <c r="M759" s="622" t="n"/>
      <c r="N759" s="622" t="n"/>
      <c r="O759" s="622" t="n"/>
      <c r="P759" s="622" t="n"/>
      <c r="Q759" s="622" t="n"/>
      <c r="R759" s="622" t="n"/>
      <c r="S759" s="622" t="n"/>
      <c r="T759" s="622" t="n"/>
      <c r="U759" s="622" t="n"/>
      <c r="V759" s="622" t="n"/>
      <c r="W759" s="622" t="n"/>
      <c r="X759" s="622" t="n"/>
      <c r="Y759" s="622" t="n"/>
      <c r="Z759" s="622" t="n"/>
      <c r="AA759" s="622" t="n"/>
      <c r="AB759" s="622" t="n"/>
      <c r="AC759" s="622" t="n"/>
      <c r="AD759" s="622" t="n"/>
      <c r="AE759" s="622" t="n"/>
      <c r="AF759" s="622" t="n"/>
      <c r="AG759" s="622" t="n"/>
      <c r="AH759" s="622" t="n"/>
      <c r="AI759" s="622" t="n"/>
      <c r="AJ759" s="622" t="n"/>
      <c r="AK759" s="622" t="n"/>
      <c r="AL759" s="622" t="n"/>
      <c r="AM759" s="622" t="n"/>
      <c r="AN759" s="622" t="n"/>
      <c r="AO759" s="622" t="n"/>
      <c r="AP759" s="622" t="n"/>
      <c r="AQ759" s="622" t="n"/>
      <c r="AR759" s="622" t="n"/>
      <c r="AS759" s="622" t="n"/>
      <c r="AT759" s="622" t="n"/>
      <c r="AU759" s="622" t="n"/>
      <c r="AV759" s="622" t="n"/>
      <c r="AW759" s="622" t="n"/>
      <c r="AX759" s="622" t="n"/>
      <c r="AY759" s="622" t="n"/>
    </row>
    <row r="760">
      <c r="A760" s="622" t="n"/>
      <c r="B760" s="622" t="n"/>
      <c r="C760" s="622" t="n"/>
      <c r="D760" s="622" t="n"/>
      <c r="E760" s="622" t="n"/>
      <c r="F760" s="622" t="n"/>
      <c r="G760" s="622" t="n"/>
      <c r="H760" s="622" t="n"/>
      <c r="I760" s="622" t="n"/>
      <c r="J760" s="622" t="n"/>
      <c r="K760" s="622" t="n"/>
      <c r="L760" s="622" t="n"/>
      <c r="M760" s="622" t="n"/>
      <c r="N760" s="622" t="n"/>
      <c r="O760" s="622" t="n"/>
      <c r="P760" s="622" t="n"/>
      <c r="Q760" s="622" t="n"/>
      <c r="R760" s="622" t="n"/>
      <c r="S760" s="622" t="n"/>
      <c r="T760" s="622" t="n"/>
      <c r="U760" s="622" t="n"/>
      <c r="V760" s="622" t="n"/>
      <c r="W760" s="622" t="n"/>
      <c r="X760" s="622" t="n"/>
      <c r="Y760" s="622" t="n"/>
      <c r="Z760" s="622" t="n"/>
      <c r="AA760" s="622" t="n"/>
      <c r="AB760" s="622" t="n"/>
      <c r="AC760" s="622" t="n"/>
      <c r="AD760" s="622" t="n"/>
      <c r="AE760" s="622" t="n"/>
      <c r="AF760" s="622" t="n"/>
      <c r="AG760" s="622" t="n"/>
      <c r="AH760" s="622" t="n"/>
      <c r="AI760" s="622" t="n"/>
      <c r="AJ760" s="622" t="n"/>
      <c r="AK760" s="622" t="n"/>
      <c r="AL760" s="622" t="n"/>
      <c r="AM760" s="622" t="n"/>
      <c r="AN760" s="622" t="n"/>
      <c r="AO760" s="622" t="n"/>
      <c r="AP760" s="622" t="n"/>
      <c r="AQ760" s="622" t="n"/>
      <c r="AR760" s="622" t="n"/>
      <c r="AS760" s="622" t="n"/>
      <c r="AT760" s="622" t="n"/>
      <c r="AU760" s="622" t="n"/>
      <c r="AV760" s="622" t="n"/>
      <c r="AW760" s="622" t="n"/>
      <c r="AX760" s="622" t="n"/>
      <c r="AY760" s="622" t="n"/>
    </row>
    <row r="761">
      <c r="A761" s="622" t="n"/>
      <c r="B761" s="622" t="n"/>
      <c r="C761" s="622" t="n"/>
      <c r="D761" s="622" t="n"/>
      <c r="E761" s="622" t="n"/>
      <c r="F761" s="622" t="n"/>
      <c r="G761" s="622" t="n"/>
      <c r="H761" s="622" t="n"/>
      <c r="I761" s="622" t="n"/>
      <c r="J761" s="622" t="n"/>
      <c r="K761" s="622" t="n"/>
      <c r="L761" s="622" t="n"/>
      <c r="M761" s="622" t="n"/>
      <c r="N761" s="622" t="n"/>
      <c r="O761" s="622" t="n"/>
      <c r="P761" s="622" t="n"/>
      <c r="Q761" s="622" t="n"/>
      <c r="R761" s="622" t="n"/>
      <c r="S761" s="622" t="n"/>
      <c r="T761" s="622" t="n"/>
      <c r="U761" s="622" t="n"/>
      <c r="V761" s="622" t="n"/>
      <c r="W761" s="622" t="n"/>
      <c r="X761" s="622" t="n"/>
      <c r="Y761" s="622" t="n"/>
      <c r="Z761" s="622" t="n"/>
      <c r="AA761" s="622" t="n"/>
      <c r="AB761" s="622" t="n"/>
      <c r="AC761" s="622" t="n"/>
      <c r="AD761" s="622" t="n"/>
      <c r="AE761" s="622" t="n"/>
      <c r="AF761" s="622" t="n"/>
      <c r="AG761" s="622" t="n"/>
      <c r="AH761" s="622" t="n"/>
      <c r="AI761" s="622" t="n"/>
      <c r="AJ761" s="622" t="n"/>
      <c r="AK761" s="622" t="n"/>
      <c r="AL761" s="622" t="n"/>
      <c r="AM761" s="622" t="n"/>
      <c r="AN761" s="622" t="n"/>
      <c r="AO761" s="622" t="n"/>
      <c r="AP761" s="622" t="n"/>
      <c r="AQ761" s="622" t="n"/>
      <c r="AR761" s="622" t="n"/>
      <c r="AS761" s="622" t="n"/>
      <c r="AT761" s="622" t="n"/>
      <c r="AU761" s="622" t="n"/>
      <c r="AV761" s="622" t="n"/>
      <c r="AW761" s="622" t="n"/>
      <c r="AX761" s="622" t="n"/>
      <c r="AY761" s="622" t="n"/>
    </row>
    <row r="762">
      <c r="A762" s="622" t="n"/>
      <c r="B762" s="622" t="n"/>
      <c r="C762" s="622" t="n"/>
      <c r="D762" s="622" t="n"/>
      <c r="E762" s="622" t="n"/>
      <c r="F762" s="622" t="n"/>
      <c r="G762" s="622" t="n"/>
      <c r="H762" s="622" t="n"/>
      <c r="I762" s="622" t="n"/>
      <c r="J762" s="622" t="n"/>
      <c r="K762" s="622" t="n"/>
      <c r="L762" s="622" t="n"/>
      <c r="M762" s="622" t="n"/>
      <c r="N762" s="622" t="n"/>
      <c r="O762" s="622" t="n"/>
      <c r="P762" s="622" t="n"/>
      <c r="Q762" s="622" t="n"/>
      <c r="R762" s="622" t="n"/>
      <c r="S762" s="622" t="n"/>
      <c r="T762" s="622" t="n"/>
      <c r="U762" s="622" t="n"/>
      <c r="V762" s="622" t="n"/>
      <c r="W762" s="622" t="n"/>
      <c r="X762" s="622" t="n"/>
      <c r="Y762" s="622" t="n"/>
      <c r="Z762" s="622" t="n"/>
      <c r="AA762" s="622" t="n"/>
      <c r="AB762" s="622" t="n"/>
      <c r="AC762" s="622" t="n"/>
      <c r="AD762" s="622" t="n"/>
      <c r="AE762" s="622" t="n"/>
      <c r="AF762" s="622" t="n"/>
      <c r="AG762" s="622" t="n"/>
      <c r="AH762" s="622" t="n"/>
      <c r="AI762" s="622" t="n"/>
      <c r="AJ762" s="622" t="n"/>
      <c r="AK762" s="622" t="n"/>
      <c r="AL762" s="622" t="n"/>
      <c r="AM762" s="622" t="n"/>
      <c r="AN762" s="622" t="n"/>
      <c r="AO762" s="622" t="n"/>
      <c r="AP762" s="622" t="n"/>
      <c r="AQ762" s="622" t="n"/>
      <c r="AR762" s="622" t="n"/>
      <c r="AS762" s="622" t="n"/>
      <c r="AT762" s="622" t="n"/>
      <c r="AU762" s="622" t="n"/>
      <c r="AV762" s="622" t="n"/>
      <c r="AW762" s="622" t="n"/>
      <c r="AX762" s="622" t="n"/>
      <c r="AY762" s="622" t="n"/>
    </row>
    <row r="763">
      <c r="A763" s="622" t="n"/>
      <c r="B763" s="622" t="n"/>
      <c r="C763" s="622" t="n"/>
      <c r="D763" s="622" t="n"/>
      <c r="E763" s="622" t="n"/>
      <c r="F763" s="622" t="n"/>
      <c r="G763" s="622" t="n"/>
      <c r="H763" s="622" t="n"/>
      <c r="I763" s="622" t="n"/>
      <c r="J763" s="622" t="n"/>
      <c r="K763" s="622" t="n"/>
      <c r="L763" s="622" t="n"/>
      <c r="M763" s="622" t="n"/>
      <c r="N763" s="622" t="n"/>
      <c r="O763" s="622" t="n"/>
      <c r="P763" s="622" t="n"/>
      <c r="Q763" s="622" t="n"/>
      <c r="R763" s="622" t="n"/>
      <c r="S763" s="622" t="n"/>
      <c r="T763" s="622" t="n"/>
      <c r="U763" s="622" t="n"/>
      <c r="V763" s="622" t="n"/>
      <c r="W763" s="622" t="n"/>
      <c r="X763" s="622" t="n"/>
      <c r="Y763" s="622" t="n"/>
      <c r="Z763" s="622" t="n"/>
      <c r="AA763" s="622" t="n"/>
      <c r="AB763" s="622" t="n"/>
      <c r="AC763" s="622" t="n"/>
      <c r="AD763" s="622" t="n"/>
      <c r="AE763" s="622" t="n"/>
      <c r="AF763" s="622" t="n"/>
      <c r="AG763" s="622" t="n"/>
      <c r="AH763" s="622" t="n"/>
      <c r="AI763" s="622" t="n"/>
      <c r="AJ763" s="622" t="n"/>
      <c r="AK763" s="622" t="n"/>
      <c r="AL763" s="622" t="n"/>
      <c r="AM763" s="622" t="n"/>
      <c r="AN763" s="622" t="n"/>
      <c r="AO763" s="622" t="n"/>
      <c r="AP763" s="622" t="n"/>
      <c r="AQ763" s="622" t="n"/>
      <c r="AR763" s="622" t="n"/>
      <c r="AS763" s="622" t="n"/>
      <c r="AT763" s="622" t="n"/>
      <c r="AU763" s="622" t="n"/>
      <c r="AV763" s="622" t="n"/>
      <c r="AW763" s="622" t="n"/>
      <c r="AX763" s="622" t="n"/>
      <c r="AY763" s="622" t="n"/>
    </row>
    <row r="764">
      <c r="A764" s="622" t="n"/>
      <c r="B764" s="622" t="n"/>
      <c r="C764" s="622" t="n"/>
      <c r="D764" s="622" t="n"/>
      <c r="E764" s="622" t="n"/>
      <c r="F764" s="622" t="n"/>
      <c r="G764" s="622" t="n"/>
      <c r="H764" s="622" t="n"/>
      <c r="I764" s="622" t="n"/>
      <c r="J764" s="622" t="n"/>
      <c r="K764" s="622" t="n"/>
      <c r="L764" s="622" t="n"/>
      <c r="M764" s="622" t="n"/>
      <c r="N764" s="622" t="n"/>
      <c r="O764" s="622" t="n"/>
      <c r="P764" s="622" t="n"/>
      <c r="Q764" s="622" t="n"/>
      <c r="R764" s="622" t="n"/>
      <c r="S764" s="622" t="n"/>
      <c r="T764" s="622" t="n"/>
      <c r="U764" s="622" t="n"/>
      <c r="V764" s="622" t="n"/>
      <c r="W764" s="622" t="n"/>
      <c r="X764" s="622" t="n"/>
      <c r="Y764" s="622" t="n"/>
      <c r="Z764" s="622" t="n"/>
      <c r="AA764" s="622" t="n"/>
      <c r="AB764" s="622" t="n"/>
      <c r="AC764" s="622" t="n"/>
      <c r="AD764" s="622" t="n"/>
      <c r="AE764" s="622" t="n"/>
      <c r="AF764" s="622" t="n"/>
      <c r="AG764" s="622" t="n"/>
      <c r="AH764" s="622" t="n"/>
      <c r="AI764" s="622" t="n"/>
      <c r="AJ764" s="622" t="n"/>
      <c r="AK764" s="622" t="n"/>
      <c r="AL764" s="622" t="n"/>
      <c r="AM764" s="622" t="n"/>
      <c r="AN764" s="622" t="n"/>
      <c r="AO764" s="622" t="n"/>
      <c r="AP764" s="622" t="n"/>
      <c r="AQ764" s="622" t="n"/>
      <c r="AR764" s="622" t="n"/>
      <c r="AS764" s="622" t="n"/>
      <c r="AT764" s="622" t="n"/>
      <c r="AU764" s="622" t="n"/>
      <c r="AV764" s="622" t="n"/>
      <c r="AW764" s="622" t="n"/>
      <c r="AX764" s="622" t="n"/>
      <c r="AY764" s="622" t="n"/>
    </row>
    <row r="765">
      <c r="A765" s="622" t="n"/>
      <c r="B765" s="622" t="n"/>
      <c r="C765" s="622" t="n"/>
      <c r="D765" s="622" t="n"/>
      <c r="E765" s="622" t="n"/>
      <c r="F765" s="622" t="n"/>
      <c r="G765" s="622" t="n"/>
      <c r="H765" s="622" t="n"/>
      <c r="I765" s="622" t="n"/>
      <c r="J765" s="622" t="n"/>
      <c r="K765" s="622" t="n"/>
      <c r="L765" s="622" t="n"/>
      <c r="M765" s="622" t="n"/>
      <c r="N765" s="622" t="n"/>
      <c r="O765" s="622" t="n"/>
      <c r="P765" s="622" t="n"/>
      <c r="Q765" s="622" t="n"/>
      <c r="R765" s="622" t="n"/>
      <c r="S765" s="622" t="n"/>
      <c r="T765" s="622" t="n"/>
      <c r="U765" s="622" t="n"/>
      <c r="V765" s="622" t="n"/>
      <c r="W765" s="622" t="n"/>
      <c r="X765" s="622" t="n"/>
      <c r="Y765" s="622" t="n"/>
      <c r="Z765" s="622" t="n"/>
      <c r="AA765" s="622" t="n"/>
      <c r="AB765" s="622" t="n"/>
      <c r="AC765" s="622" t="n"/>
      <c r="AD765" s="622" t="n"/>
      <c r="AE765" s="622" t="n"/>
      <c r="AF765" s="622" t="n"/>
      <c r="AG765" s="622" t="n"/>
      <c r="AH765" s="622" t="n"/>
      <c r="AI765" s="622" t="n"/>
      <c r="AJ765" s="622" t="n"/>
      <c r="AK765" s="622" t="n"/>
      <c r="AL765" s="622" t="n"/>
      <c r="AM765" s="622" t="n"/>
      <c r="AN765" s="622" t="n"/>
      <c r="AO765" s="622" t="n"/>
      <c r="AP765" s="622" t="n"/>
      <c r="AQ765" s="622" t="n"/>
      <c r="AR765" s="622" t="n"/>
      <c r="AS765" s="622" t="n"/>
      <c r="AT765" s="622" t="n"/>
      <c r="AU765" s="622" t="n"/>
      <c r="AV765" s="622" t="n"/>
      <c r="AW765" s="622" t="n"/>
      <c r="AX765" s="622" t="n"/>
      <c r="AY765" s="622" t="n"/>
    </row>
    <row r="766">
      <c r="A766" s="622" t="n"/>
      <c r="B766" s="622" t="n"/>
      <c r="C766" s="622" t="n"/>
      <c r="D766" s="622" t="n"/>
      <c r="E766" s="622" t="n"/>
      <c r="F766" s="622" t="n"/>
      <c r="G766" s="622" t="n"/>
      <c r="H766" s="622" t="n"/>
      <c r="I766" s="622" t="n"/>
      <c r="J766" s="622" t="n"/>
      <c r="K766" s="622" t="n"/>
      <c r="L766" s="622" t="n"/>
      <c r="M766" s="622" t="n"/>
      <c r="N766" s="622" t="n"/>
      <c r="O766" s="622" t="n"/>
      <c r="P766" s="622" t="n"/>
      <c r="Q766" s="622" t="n"/>
      <c r="R766" s="622" t="n"/>
      <c r="S766" s="622" t="n"/>
      <c r="T766" s="622" t="n"/>
      <c r="U766" s="622" t="n"/>
      <c r="V766" s="622" t="n"/>
      <c r="W766" s="622" t="n"/>
      <c r="X766" s="622" t="n"/>
      <c r="Y766" s="622" t="n"/>
      <c r="Z766" s="622" t="n"/>
      <c r="AA766" s="622" t="n"/>
      <c r="AB766" s="622" t="n"/>
      <c r="AC766" s="622" t="n"/>
      <c r="AD766" s="622" t="n"/>
      <c r="AE766" s="622" t="n"/>
      <c r="AF766" s="622" t="n"/>
      <c r="AG766" s="622" t="n"/>
      <c r="AH766" s="622" t="n"/>
      <c r="AI766" s="622" t="n"/>
      <c r="AJ766" s="622" t="n"/>
      <c r="AK766" s="622" t="n"/>
      <c r="AL766" s="622" t="n"/>
      <c r="AM766" s="622" t="n"/>
      <c r="AN766" s="622" t="n"/>
      <c r="AO766" s="622" t="n"/>
      <c r="AP766" s="622" t="n"/>
      <c r="AQ766" s="622" t="n"/>
      <c r="AR766" s="622" t="n"/>
      <c r="AS766" s="622" t="n"/>
      <c r="AT766" s="622" t="n"/>
      <c r="AU766" s="622" t="n"/>
      <c r="AV766" s="622" t="n"/>
      <c r="AW766" s="622" t="n"/>
      <c r="AX766" s="622" t="n"/>
      <c r="AY766" s="622" t="n"/>
    </row>
    <row r="767">
      <c r="A767" s="622" t="n"/>
      <c r="B767" s="622" t="n"/>
      <c r="C767" s="622" t="n"/>
      <c r="D767" s="622" t="n"/>
      <c r="E767" s="622" t="n"/>
      <c r="F767" s="622" t="n"/>
      <c r="G767" s="622" t="n"/>
      <c r="H767" s="622" t="n"/>
      <c r="I767" s="622" t="n"/>
      <c r="J767" s="622" t="n"/>
      <c r="K767" s="622" t="n"/>
      <c r="L767" s="622" t="n"/>
      <c r="M767" s="622" t="n"/>
      <c r="N767" s="622" t="n"/>
      <c r="O767" s="622" t="n"/>
      <c r="P767" s="622" t="n"/>
      <c r="Q767" s="622" t="n"/>
      <c r="R767" s="622" t="n"/>
      <c r="S767" s="622" t="n"/>
      <c r="T767" s="622" t="n"/>
      <c r="U767" s="622" t="n"/>
      <c r="V767" s="622" t="n"/>
      <c r="W767" s="622" t="n"/>
      <c r="X767" s="622" t="n"/>
      <c r="Y767" s="622" t="n"/>
      <c r="Z767" s="622" t="n"/>
      <c r="AA767" s="622" t="n"/>
      <c r="AB767" s="622" t="n"/>
      <c r="AC767" s="622" t="n"/>
      <c r="AD767" s="622" t="n"/>
      <c r="AE767" s="622" t="n"/>
      <c r="AF767" s="622" t="n"/>
      <c r="AG767" s="622" t="n"/>
      <c r="AH767" s="622" t="n"/>
      <c r="AI767" s="622" t="n"/>
      <c r="AJ767" s="622" t="n"/>
      <c r="AK767" s="622" t="n"/>
      <c r="AL767" s="622" t="n"/>
      <c r="AM767" s="622" t="n"/>
      <c r="AN767" s="622" t="n"/>
      <c r="AO767" s="622" t="n"/>
      <c r="AP767" s="622" t="n"/>
      <c r="AQ767" s="622" t="n"/>
      <c r="AR767" s="622" t="n"/>
      <c r="AS767" s="622" t="n"/>
      <c r="AT767" s="622" t="n"/>
      <c r="AU767" s="622" t="n"/>
      <c r="AV767" s="622" t="n"/>
      <c r="AW767" s="622" t="n"/>
      <c r="AX767" s="622" t="n"/>
      <c r="AY767" s="622" t="n"/>
    </row>
    <row r="768">
      <c r="A768" s="622" t="n"/>
      <c r="B768" s="622" t="n"/>
      <c r="C768" s="622" t="n"/>
      <c r="D768" s="622" t="n"/>
      <c r="E768" s="622" t="n"/>
      <c r="F768" s="622" t="n"/>
      <c r="G768" s="622" t="n"/>
      <c r="H768" s="622" t="n"/>
      <c r="I768" s="622" t="n"/>
      <c r="J768" s="622" t="n"/>
      <c r="K768" s="622" t="n"/>
      <c r="L768" s="622" t="n"/>
      <c r="M768" s="622" t="n"/>
      <c r="N768" s="622" t="n"/>
      <c r="O768" s="622" t="n"/>
      <c r="P768" s="622" t="n"/>
      <c r="Q768" s="622" t="n"/>
      <c r="R768" s="622" t="n"/>
      <c r="S768" s="622" t="n"/>
      <c r="T768" s="622" t="n"/>
      <c r="U768" s="622" t="n"/>
      <c r="V768" s="622" t="n"/>
      <c r="W768" s="622" t="n"/>
      <c r="X768" s="622" t="n"/>
      <c r="Y768" s="622" t="n"/>
      <c r="Z768" s="622" t="n"/>
      <c r="AA768" s="622" t="n"/>
      <c r="AB768" s="622" t="n"/>
      <c r="AC768" s="622" t="n"/>
      <c r="AD768" s="622" t="n"/>
      <c r="AE768" s="622" t="n"/>
      <c r="AF768" s="622" t="n"/>
      <c r="AG768" s="622" t="n"/>
      <c r="AH768" s="622" t="n"/>
      <c r="AI768" s="622" t="n"/>
      <c r="AJ768" s="622" t="n"/>
      <c r="AK768" s="622" t="n"/>
      <c r="AL768" s="622" t="n"/>
      <c r="AM768" s="622" t="n"/>
      <c r="AN768" s="622" t="n"/>
      <c r="AO768" s="622" t="n"/>
      <c r="AP768" s="622" t="n"/>
      <c r="AQ768" s="622" t="n"/>
      <c r="AR768" s="622" t="n"/>
      <c r="AS768" s="622" t="n"/>
      <c r="AT768" s="622" t="n"/>
      <c r="AU768" s="622" t="n"/>
      <c r="AV768" s="622" t="n"/>
      <c r="AW768" s="622" t="n"/>
      <c r="AX768" s="622" t="n"/>
      <c r="AY768" s="622" t="n"/>
    </row>
    <row r="769">
      <c r="A769" s="622" t="n"/>
      <c r="B769" s="622" t="n"/>
      <c r="C769" s="622" t="n"/>
      <c r="D769" s="622" t="n"/>
      <c r="E769" s="622" t="n"/>
      <c r="F769" s="622" t="n"/>
      <c r="G769" s="622" t="n"/>
      <c r="H769" s="622" t="n"/>
      <c r="I769" s="622" t="n"/>
      <c r="J769" s="622" t="n"/>
      <c r="K769" s="622" t="n"/>
      <c r="L769" s="622" t="n"/>
      <c r="M769" s="622" t="n"/>
      <c r="N769" s="622" t="n"/>
      <c r="O769" s="622" t="n"/>
      <c r="P769" s="622" t="n"/>
      <c r="Q769" s="622" t="n"/>
      <c r="R769" s="622" t="n"/>
      <c r="S769" s="622" t="n"/>
      <c r="T769" s="622" t="n"/>
      <c r="U769" s="622" t="n"/>
      <c r="V769" s="622" t="n"/>
      <c r="W769" s="622" t="n"/>
      <c r="X769" s="622" t="n"/>
      <c r="Y769" s="622" t="n"/>
      <c r="Z769" s="622" t="n"/>
      <c r="AA769" s="622" t="n"/>
      <c r="AB769" s="622" t="n"/>
      <c r="AC769" s="622" t="n"/>
      <c r="AD769" s="622" t="n"/>
      <c r="AE769" s="622" t="n"/>
      <c r="AF769" s="622" t="n"/>
      <c r="AG769" s="622" t="n"/>
      <c r="AH769" s="622" t="n"/>
      <c r="AI769" s="622" t="n"/>
      <c r="AJ769" s="622" t="n"/>
      <c r="AK769" s="622" t="n"/>
      <c r="AL769" s="622" t="n"/>
      <c r="AM769" s="622" t="n"/>
      <c r="AN769" s="622" t="n"/>
      <c r="AO769" s="622" t="n"/>
      <c r="AP769" s="622" t="n"/>
      <c r="AQ769" s="622" t="n"/>
      <c r="AR769" s="622" t="n"/>
      <c r="AS769" s="622" t="n"/>
      <c r="AT769" s="622" t="n"/>
      <c r="AU769" s="622" t="n"/>
      <c r="AV769" s="622" t="n"/>
      <c r="AW769" s="622" t="n"/>
      <c r="AX769" s="622" t="n"/>
      <c r="AY769" s="622" t="n"/>
    </row>
    <row r="770">
      <c r="A770" s="622" t="n"/>
      <c r="B770" s="622" t="n"/>
      <c r="C770" s="622" t="n"/>
      <c r="D770" s="622" t="n"/>
      <c r="E770" s="622" t="n"/>
      <c r="F770" s="622" t="n"/>
      <c r="G770" s="622" t="n"/>
      <c r="H770" s="622" t="n"/>
      <c r="I770" s="622" t="n"/>
      <c r="J770" s="622" t="n"/>
      <c r="K770" s="622" t="n"/>
      <c r="L770" s="622" t="n"/>
      <c r="M770" s="622" t="n"/>
      <c r="N770" s="622" t="n"/>
      <c r="O770" s="622" t="n"/>
      <c r="P770" s="622" t="n"/>
      <c r="Q770" s="622" t="n"/>
      <c r="R770" s="622" t="n"/>
      <c r="S770" s="622" t="n"/>
      <c r="T770" s="622" t="n"/>
      <c r="U770" s="622" t="n"/>
      <c r="V770" s="622" t="n"/>
      <c r="W770" s="622" t="n"/>
      <c r="X770" s="622" t="n"/>
      <c r="Y770" s="622" t="n"/>
      <c r="Z770" s="622" t="n"/>
      <c r="AA770" s="622" t="n"/>
      <c r="AB770" s="622" t="n"/>
      <c r="AC770" s="622" t="n"/>
      <c r="AD770" s="622" t="n"/>
      <c r="AE770" s="622" t="n"/>
      <c r="AF770" s="622" t="n"/>
      <c r="AG770" s="622" t="n"/>
      <c r="AH770" s="622" t="n"/>
      <c r="AI770" s="622" t="n"/>
      <c r="AJ770" s="622" t="n"/>
      <c r="AK770" s="622" t="n"/>
      <c r="AL770" s="622" t="n"/>
      <c r="AM770" s="622" t="n"/>
      <c r="AN770" s="622" t="n"/>
      <c r="AO770" s="622" t="n"/>
      <c r="AP770" s="622" t="n"/>
      <c r="AQ770" s="622" t="n"/>
      <c r="AR770" s="622" t="n"/>
      <c r="AS770" s="622" t="n"/>
      <c r="AT770" s="622" t="n"/>
      <c r="AU770" s="622" t="n"/>
      <c r="AV770" s="622" t="n"/>
      <c r="AW770" s="622" t="n"/>
      <c r="AX770" s="622" t="n"/>
      <c r="AY770" s="622" t="n"/>
    </row>
    <row r="771">
      <c r="A771" s="622" t="n"/>
      <c r="B771" s="622" t="n"/>
      <c r="C771" s="622" t="n"/>
      <c r="D771" s="622" t="n"/>
      <c r="E771" s="622" t="n"/>
      <c r="F771" s="622" t="n"/>
      <c r="G771" s="622" t="n"/>
      <c r="H771" s="622" t="n"/>
      <c r="I771" s="622" t="n"/>
      <c r="J771" s="622" t="n"/>
      <c r="K771" s="622" t="n"/>
      <c r="L771" s="622" t="n"/>
      <c r="M771" s="622" t="n"/>
      <c r="N771" s="622" t="n"/>
      <c r="O771" s="622" t="n"/>
      <c r="P771" s="622" t="n"/>
      <c r="Q771" s="622" t="n"/>
      <c r="R771" s="622" t="n"/>
      <c r="S771" s="622" t="n"/>
      <c r="T771" s="622" t="n"/>
      <c r="U771" s="622" t="n"/>
      <c r="V771" s="622" t="n"/>
      <c r="W771" s="622" t="n"/>
      <c r="X771" s="622" t="n"/>
      <c r="Y771" s="622" t="n"/>
      <c r="Z771" s="622" t="n"/>
      <c r="AA771" s="622" t="n"/>
      <c r="AB771" s="622" t="n"/>
      <c r="AC771" s="622" t="n"/>
      <c r="AD771" s="622" t="n"/>
      <c r="AE771" s="622" t="n"/>
      <c r="AF771" s="622" t="n"/>
      <c r="AG771" s="622" t="n"/>
      <c r="AH771" s="622" t="n"/>
      <c r="AI771" s="622" t="n"/>
      <c r="AJ771" s="622" t="n"/>
      <c r="AK771" s="622" t="n"/>
      <c r="AL771" s="622" t="n"/>
      <c r="AM771" s="622" t="n"/>
      <c r="AN771" s="622" t="n"/>
      <c r="AO771" s="622" t="n"/>
      <c r="AP771" s="622" t="n"/>
      <c r="AQ771" s="622" t="n"/>
      <c r="AR771" s="622" t="n"/>
      <c r="AS771" s="622" t="n"/>
      <c r="AT771" s="622" t="n"/>
      <c r="AU771" s="622" t="n"/>
      <c r="AV771" s="622" t="n"/>
      <c r="AW771" s="622" t="n"/>
      <c r="AX771" s="622" t="n"/>
      <c r="AY771" s="622" t="n"/>
    </row>
    <row r="772">
      <c r="A772" s="622" t="n"/>
      <c r="B772" s="622" t="n"/>
      <c r="C772" s="622" t="n"/>
      <c r="D772" s="622" t="n"/>
      <c r="E772" s="622" t="n"/>
      <c r="F772" s="622" t="n"/>
      <c r="G772" s="622" t="n"/>
      <c r="H772" s="622" t="n"/>
      <c r="I772" s="622" t="n"/>
      <c r="J772" s="622" t="n"/>
      <c r="K772" s="622" t="n"/>
      <c r="L772" s="622" t="n"/>
      <c r="M772" s="622" t="n"/>
      <c r="N772" s="622" t="n"/>
      <c r="O772" s="622" t="n"/>
      <c r="P772" s="622" t="n"/>
      <c r="Q772" s="622" t="n"/>
      <c r="R772" s="622" t="n"/>
      <c r="S772" s="622" t="n"/>
      <c r="T772" s="622" t="n"/>
      <c r="U772" s="622" t="n"/>
      <c r="V772" s="622" t="n"/>
      <c r="W772" s="622" t="n"/>
      <c r="X772" s="622" t="n"/>
      <c r="Y772" s="622" t="n"/>
      <c r="Z772" s="622" t="n"/>
      <c r="AA772" s="622" t="n"/>
      <c r="AB772" s="622" t="n"/>
      <c r="AC772" s="622" t="n"/>
      <c r="AD772" s="622" t="n"/>
      <c r="AE772" s="622" t="n"/>
      <c r="AF772" s="622" t="n"/>
      <c r="AG772" s="622" t="n"/>
      <c r="AH772" s="622" t="n"/>
      <c r="AI772" s="622" t="n"/>
      <c r="AJ772" s="622" t="n"/>
      <c r="AK772" s="622" t="n"/>
      <c r="AL772" s="622" t="n"/>
      <c r="AM772" s="622" t="n"/>
      <c r="AN772" s="622" t="n"/>
      <c r="AO772" s="622" t="n"/>
      <c r="AP772" s="622" t="n"/>
      <c r="AQ772" s="622" t="n"/>
      <c r="AR772" s="622" t="n"/>
      <c r="AS772" s="622" t="n"/>
      <c r="AT772" s="622" t="n"/>
      <c r="AU772" s="622" t="n"/>
      <c r="AV772" s="622" t="n"/>
      <c r="AW772" s="622" t="n"/>
      <c r="AX772" s="622" t="n"/>
      <c r="AY772" s="622" t="n"/>
    </row>
    <row r="773">
      <c r="A773" s="622" t="n"/>
      <c r="B773" s="622" t="n"/>
      <c r="C773" s="622" t="n"/>
      <c r="D773" s="622" t="n"/>
      <c r="E773" s="622" t="n"/>
      <c r="F773" s="622" t="n"/>
      <c r="G773" s="622" t="n"/>
      <c r="H773" s="622" t="n"/>
      <c r="I773" s="622" t="n"/>
      <c r="J773" s="622" t="n"/>
      <c r="K773" s="622" t="n"/>
      <c r="L773" s="622" t="n"/>
      <c r="M773" s="622" t="n"/>
      <c r="N773" s="622" t="n"/>
      <c r="O773" s="622" t="n"/>
      <c r="P773" s="622" t="n"/>
      <c r="Q773" s="622" t="n"/>
      <c r="R773" s="622" t="n"/>
      <c r="S773" s="622" t="n"/>
      <c r="T773" s="622" t="n"/>
      <c r="U773" s="622" t="n"/>
      <c r="V773" s="622" t="n"/>
      <c r="W773" s="622" t="n"/>
      <c r="X773" s="622" t="n"/>
      <c r="Y773" s="622" t="n"/>
      <c r="Z773" s="622" t="n"/>
      <c r="AA773" s="622" t="n"/>
      <c r="AB773" s="622" t="n"/>
      <c r="AC773" s="622" t="n"/>
      <c r="AD773" s="622" t="n"/>
      <c r="AE773" s="622" t="n"/>
      <c r="AF773" s="622" t="n"/>
      <c r="AG773" s="622" t="n"/>
      <c r="AH773" s="622" t="n"/>
      <c r="AI773" s="622" t="n"/>
      <c r="AJ773" s="622" t="n"/>
      <c r="AK773" s="622" t="n"/>
      <c r="AL773" s="622" t="n"/>
      <c r="AM773" s="622" t="n"/>
      <c r="AN773" s="622" t="n"/>
      <c r="AO773" s="622" t="n"/>
      <c r="AP773" s="622" t="n"/>
      <c r="AQ773" s="622" t="n"/>
      <c r="AR773" s="622" t="n"/>
      <c r="AS773" s="622" t="n"/>
      <c r="AT773" s="622" t="n"/>
      <c r="AU773" s="622" t="n"/>
      <c r="AV773" s="622" t="n"/>
      <c r="AW773" s="622" t="n"/>
      <c r="AX773" s="622" t="n"/>
      <c r="AY773" s="622" t="n"/>
    </row>
    <row r="774">
      <c r="A774" s="622" t="n"/>
      <c r="B774" s="622" t="n"/>
      <c r="C774" s="622" t="n"/>
      <c r="D774" s="622" t="n"/>
      <c r="E774" s="622" t="n"/>
      <c r="F774" s="622" t="n"/>
      <c r="G774" s="622" t="n"/>
      <c r="H774" s="622" t="n"/>
      <c r="I774" s="622" t="n"/>
      <c r="J774" s="622" t="n"/>
      <c r="K774" s="622" t="n"/>
      <c r="L774" s="622" t="n"/>
      <c r="M774" s="622" t="n"/>
      <c r="N774" s="622" t="n"/>
      <c r="O774" s="622" t="n"/>
      <c r="P774" s="622" t="n"/>
      <c r="Q774" s="622" t="n"/>
      <c r="R774" s="622" t="n"/>
      <c r="S774" s="622" t="n"/>
      <c r="T774" s="622" t="n"/>
      <c r="U774" s="622" t="n"/>
      <c r="V774" s="622" t="n"/>
      <c r="W774" s="622" t="n"/>
      <c r="X774" s="622" t="n"/>
      <c r="Y774" s="622" t="n"/>
      <c r="Z774" s="622" t="n"/>
      <c r="AA774" s="622" t="n"/>
      <c r="AB774" s="622" t="n"/>
      <c r="AC774" s="622" t="n"/>
      <c r="AD774" s="622" t="n"/>
      <c r="AE774" s="622" t="n"/>
      <c r="AF774" s="622" t="n"/>
      <c r="AG774" s="622" t="n"/>
      <c r="AH774" s="622" t="n"/>
      <c r="AI774" s="622" t="n"/>
      <c r="AJ774" s="622" t="n"/>
      <c r="AK774" s="622" t="n"/>
      <c r="AL774" s="622" t="n"/>
      <c r="AM774" s="622" t="n"/>
      <c r="AN774" s="622" t="n"/>
      <c r="AO774" s="622" t="n"/>
      <c r="AP774" s="622" t="n"/>
      <c r="AQ774" s="622" t="n"/>
      <c r="AR774" s="622" t="n"/>
      <c r="AS774" s="622" t="n"/>
      <c r="AT774" s="622" t="n"/>
      <c r="AU774" s="622" t="n"/>
      <c r="AV774" s="622" t="n"/>
      <c r="AW774" s="622" t="n"/>
      <c r="AX774" s="622" t="n"/>
      <c r="AY774" s="622" t="n"/>
    </row>
    <row r="775">
      <c r="A775" s="622" t="n"/>
      <c r="B775" s="622" t="n"/>
      <c r="C775" s="622" t="n"/>
      <c r="D775" s="622" t="n"/>
      <c r="E775" s="622" t="n"/>
      <c r="F775" s="622" t="n"/>
      <c r="G775" s="622" t="n"/>
      <c r="H775" s="622" t="n"/>
      <c r="I775" s="622" t="n"/>
      <c r="J775" s="622" t="n"/>
      <c r="K775" s="622" t="n"/>
      <c r="L775" s="622" t="n"/>
      <c r="M775" s="622" t="n"/>
      <c r="N775" s="622" t="n"/>
      <c r="O775" s="622" t="n"/>
      <c r="P775" s="622" t="n"/>
      <c r="Q775" s="622" t="n"/>
      <c r="R775" s="622" t="n"/>
      <c r="S775" s="622" t="n"/>
      <c r="T775" s="622" t="n"/>
      <c r="U775" s="622" t="n"/>
      <c r="V775" s="622" t="n"/>
      <c r="W775" s="622" t="n"/>
      <c r="X775" s="622" t="n"/>
      <c r="Y775" s="622" t="n"/>
      <c r="Z775" s="622" t="n"/>
      <c r="AA775" s="622" t="n"/>
      <c r="AB775" s="622" t="n"/>
      <c r="AC775" s="622" t="n"/>
      <c r="AD775" s="622" t="n"/>
      <c r="AE775" s="622" t="n"/>
      <c r="AF775" s="622" t="n"/>
      <c r="AG775" s="622" t="n"/>
      <c r="AH775" s="622" t="n"/>
      <c r="AI775" s="622" t="n"/>
      <c r="AJ775" s="622" t="n"/>
      <c r="AK775" s="622" t="n"/>
      <c r="AL775" s="622" t="n"/>
      <c r="AM775" s="622" t="n"/>
      <c r="AN775" s="622" t="n"/>
      <c r="AO775" s="622" t="n"/>
      <c r="AP775" s="622" t="n"/>
      <c r="AQ775" s="622" t="n"/>
      <c r="AR775" s="622" t="n"/>
      <c r="AS775" s="622" t="n"/>
      <c r="AT775" s="622" t="n"/>
      <c r="AU775" s="622" t="n"/>
      <c r="AV775" s="622" t="n"/>
      <c r="AW775" s="622" t="n"/>
      <c r="AX775" s="622" t="n"/>
      <c r="AY775" s="622" t="n"/>
    </row>
    <row r="776">
      <c r="A776" s="622" t="n"/>
      <c r="B776" s="622" t="n"/>
      <c r="C776" s="622" t="n"/>
      <c r="D776" s="622" t="n"/>
      <c r="E776" s="622" t="n"/>
      <c r="F776" s="622" t="n"/>
      <c r="G776" s="622" t="n"/>
      <c r="H776" s="622" t="n"/>
      <c r="I776" s="622" t="n"/>
      <c r="J776" s="622" t="n"/>
      <c r="K776" s="622" t="n"/>
      <c r="L776" s="622" t="n"/>
      <c r="M776" s="622" t="n"/>
      <c r="N776" s="622" t="n"/>
      <c r="O776" s="622" t="n"/>
      <c r="P776" s="622" t="n"/>
      <c r="Q776" s="622" t="n"/>
      <c r="R776" s="622" t="n"/>
      <c r="S776" s="622" t="n"/>
      <c r="T776" s="622" t="n"/>
      <c r="U776" s="622" t="n"/>
      <c r="V776" s="622" t="n"/>
      <c r="W776" s="622" t="n"/>
      <c r="X776" s="622" t="n"/>
      <c r="Y776" s="622" t="n"/>
      <c r="Z776" s="622" t="n"/>
      <c r="AA776" s="622" t="n"/>
      <c r="AB776" s="622" t="n"/>
      <c r="AC776" s="622" t="n"/>
      <c r="AD776" s="622" t="n"/>
      <c r="AE776" s="622" t="n"/>
      <c r="AF776" s="622" t="n"/>
      <c r="AG776" s="622" t="n"/>
      <c r="AH776" s="622" t="n"/>
      <c r="AI776" s="622" t="n"/>
      <c r="AJ776" s="622" t="n"/>
      <c r="AK776" s="622" t="n"/>
      <c r="AL776" s="622" t="n"/>
      <c r="AM776" s="622" t="n"/>
      <c r="AN776" s="622" t="n"/>
      <c r="AO776" s="622" t="n"/>
      <c r="AP776" s="622" t="n"/>
      <c r="AQ776" s="622" t="n"/>
      <c r="AR776" s="622" t="n"/>
      <c r="AS776" s="622" t="n"/>
      <c r="AT776" s="622" t="n"/>
      <c r="AU776" s="622" t="n"/>
      <c r="AV776" s="622" t="n"/>
      <c r="AW776" s="622" t="n"/>
      <c r="AX776" s="622" t="n"/>
      <c r="AY776" s="622" t="n"/>
    </row>
    <row r="777">
      <c r="A777" s="622" t="n"/>
      <c r="B777" s="622" t="n"/>
      <c r="C777" s="622" t="n"/>
      <c r="D777" s="622" t="n"/>
      <c r="E777" s="622" t="n"/>
      <c r="F777" s="622" t="n"/>
      <c r="G777" s="622" t="n"/>
      <c r="H777" s="622" t="n"/>
      <c r="I777" s="622" t="n"/>
      <c r="J777" s="622" t="n"/>
      <c r="K777" s="622" t="n"/>
      <c r="L777" s="622" t="n"/>
      <c r="M777" s="622" t="n"/>
      <c r="N777" s="622" t="n"/>
      <c r="O777" s="622" t="n"/>
      <c r="P777" s="622" t="n"/>
      <c r="Q777" s="622" t="n"/>
      <c r="R777" s="622" t="n"/>
      <c r="S777" s="622" t="n"/>
      <c r="T777" s="622" t="n"/>
      <c r="U777" s="622" t="n"/>
      <c r="V777" s="622" t="n"/>
      <c r="W777" s="622" t="n"/>
      <c r="X777" s="622" t="n"/>
      <c r="Y777" s="622" t="n"/>
      <c r="Z777" s="622" t="n"/>
      <c r="AA777" s="622" t="n"/>
      <c r="AB777" s="622" t="n"/>
      <c r="AC777" s="622" t="n"/>
      <c r="AD777" s="622" t="n"/>
      <c r="AE777" s="622" t="n"/>
      <c r="AF777" s="622" t="n"/>
      <c r="AG777" s="622" t="n"/>
      <c r="AH777" s="622" t="n"/>
      <c r="AI777" s="622" t="n"/>
      <c r="AJ777" s="622" t="n"/>
      <c r="AK777" s="622" t="n"/>
      <c r="AL777" s="622" t="n"/>
      <c r="AM777" s="622" t="n"/>
      <c r="AN777" s="622" t="n"/>
      <c r="AO777" s="622" t="n"/>
      <c r="AP777" s="622" t="n"/>
      <c r="AQ777" s="622" t="n"/>
      <c r="AR777" s="622" t="n"/>
      <c r="AS777" s="622" t="n"/>
      <c r="AT777" s="622" t="n"/>
      <c r="AU777" s="622" t="n"/>
      <c r="AV777" s="622" t="n"/>
      <c r="AW777" s="622" t="n"/>
      <c r="AX777" s="622" t="n"/>
      <c r="AY777" s="622" t="n"/>
    </row>
    <row r="778">
      <c r="A778" s="622" t="n"/>
      <c r="B778" s="622" t="n"/>
      <c r="C778" s="622" t="n"/>
      <c r="D778" s="622" t="n"/>
      <c r="E778" s="622" t="n"/>
      <c r="F778" s="622" t="n"/>
      <c r="G778" s="622" t="n"/>
      <c r="H778" s="622" t="n"/>
      <c r="I778" s="622" t="n"/>
      <c r="J778" s="622" t="n"/>
      <c r="K778" s="622" t="n"/>
      <c r="L778" s="622" t="n"/>
      <c r="M778" s="622" t="n"/>
      <c r="N778" s="622" t="n"/>
      <c r="O778" s="622" t="n"/>
      <c r="P778" s="622" t="n"/>
      <c r="Q778" s="622" t="n"/>
      <c r="R778" s="622" t="n"/>
      <c r="S778" s="622" t="n"/>
      <c r="T778" s="622" t="n"/>
      <c r="U778" s="622" t="n"/>
      <c r="V778" s="622" t="n"/>
      <c r="W778" s="622" t="n"/>
      <c r="X778" s="622" t="n"/>
      <c r="Y778" s="622" t="n"/>
      <c r="Z778" s="622" t="n"/>
      <c r="AA778" s="622" t="n"/>
      <c r="AB778" s="622" t="n"/>
      <c r="AC778" s="622" t="n"/>
      <c r="AD778" s="622" t="n"/>
      <c r="AE778" s="622" t="n"/>
      <c r="AF778" s="622" t="n"/>
      <c r="AG778" s="622" t="n"/>
      <c r="AH778" s="622" t="n"/>
      <c r="AI778" s="622" t="n"/>
      <c r="AJ778" s="622" t="n"/>
      <c r="AK778" s="622" t="n"/>
      <c r="AL778" s="622" t="n"/>
      <c r="AM778" s="622" t="n"/>
      <c r="AN778" s="622" t="n"/>
      <c r="AO778" s="622" t="n"/>
      <c r="AP778" s="622" t="n"/>
      <c r="AQ778" s="622" t="n"/>
      <c r="AR778" s="622" t="n"/>
      <c r="AS778" s="622" t="n"/>
      <c r="AT778" s="622" t="n"/>
      <c r="AU778" s="622" t="n"/>
      <c r="AV778" s="622" t="n"/>
      <c r="AW778" s="622" t="n"/>
      <c r="AX778" s="622" t="n"/>
      <c r="AY778" s="622" t="n"/>
    </row>
    <row r="779">
      <c r="A779" s="622" t="n"/>
      <c r="B779" s="622" t="n"/>
      <c r="C779" s="622" t="n"/>
      <c r="D779" s="622" t="n"/>
      <c r="E779" s="622" t="n"/>
      <c r="F779" s="622" t="n"/>
      <c r="G779" s="622" t="n"/>
      <c r="H779" s="622" t="n"/>
      <c r="I779" s="622" t="n"/>
      <c r="J779" s="622" t="n"/>
      <c r="K779" s="622" t="n"/>
      <c r="L779" s="622" t="n"/>
      <c r="M779" s="622" t="n"/>
      <c r="N779" s="622" t="n"/>
      <c r="O779" s="622" t="n"/>
      <c r="P779" s="622" t="n"/>
      <c r="Q779" s="622" t="n"/>
      <c r="R779" s="622" t="n"/>
      <c r="S779" s="622" t="n"/>
      <c r="T779" s="622" t="n"/>
      <c r="U779" s="622" t="n"/>
      <c r="V779" s="622" t="n"/>
      <c r="W779" s="622" t="n"/>
      <c r="X779" s="622" t="n"/>
      <c r="Y779" s="622" t="n"/>
      <c r="Z779" s="622" t="n"/>
      <c r="AA779" s="622" t="n"/>
      <c r="AB779" s="622" t="n"/>
      <c r="AC779" s="622" t="n"/>
      <c r="AD779" s="622" t="n"/>
      <c r="AE779" s="622" t="n"/>
      <c r="AF779" s="622" t="n"/>
      <c r="AG779" s="622" t="n"/>
      <c r="AH779" s="622" t="n"/>
      <c r="AI779" s="622" t="n"/>
      <c r="AJ779" s="622" t="n"/>
      <c r="AK779" s="622" t="n"/>
      <c r="AL779" s="622" t="n"/>
      <c r="AM779" s="622" t="n"/>
      <c r="AN779" s="622" t="n"/>
      <c r="AO779" s="622" t="n"/>
      <c r="AP779" s="622" t="n"/>
      <c r="AQ779" s="622" t="n"/>
      <c r="AR779" s="622" t="n"/>
      <c r="AS779" s="622" t="n"/>
      <c r="AT779" s="622" t="n"/>
      <c r="AU779" s="622" t="n"/>
      <c r="AV779" s="622" t="n"/>
      <c r="AW779" s="622" t="n"/>
      <c r="AX779" s="622" t="n"/>
      <c r="AY779" s="622" t="n"/>
    </row>
    <row r="780">
      <c r="A780" s="622" t="n"/>
      <c r="B780" s="622" t="n"/>
      <c r="C780" s="622" t="n"/>
      <c r="D780" s="622" t="n"/>
      <c r="E780" s="622" t="n"/>
      <c r="F780" s="622" t="n"/>
      <c r="G780" s="622" t="n"/>
      <c r="H780" s="622" t="n"/>
      <c r="I780" s="622" t="n"/>
      <c r="J780" s="622" t="n"/>
      <c r="K780" s="622" t="n"/>
      <c r="L780" s="622" t="n"/>
      <c r="M780" s="622" t="n"/>
      <c r="N780" s="622" t="n"/>
      <c r="O780" s="622" t="n"/>
      <c r="P780" s="622" t="n"/>
      <c r="Q780" s="622" t="n"/>
      <c r="R780" s="622" t="n"/>
      <c r="S780" s="622" t="n"/>
      <c r="T780" s="622" t="n"/>
      <c r="U780" s="622" t="n"/>
      <c r="V780" s="622" t="n"/>
      <c r="W780" s="622" t="n"/>
      <c r="X780" s="622" t="n"/>
      <c r="Y780" s="622" t="n"/>
      <c r="Z780" s="622" t="n"/>
      <c r="AA780" s="622" t="n"/>
      <c r="AB780" s="622" t="n"/>
      <c r="AC780" s="622" t="n"/>
      <c r="AD780" s="622" t="n"/>
      <c r="AE780" s="622" t="n"/>
      <c r="AF780" s="622" t="n"/>
      <c r="AG780" s="622" t="n"/>
      <c r="AH780" s="622" t="n"/>
      <c r="AI780" s="622" t="n"/>
      <c r="AJ780" s="622" t="n"/>
      <c r="AK780" s="622" t="n"/>
      <c r="AL780" s="622" t="n"/>
      <c r="AM780" s="622" t="n"/>
      <c r="AN780" s="622" t="n"/>
      <c r="AO780" s="622" t="n"/>
      <c r="AP780" s="622" t="n"/>
      <c r="AQ780" s="622" t="n"/>
      <c r="AR780" s="622" t="n"/>
      <c r="AS780" s="622" t="n"/>
      <c r="AT780" s="622" t="n"/>
      <c r="AU780" s="622" t="n"/>
      <c r="AV780" s="622" t="n"/>
      <c r="AW780" s="622" t="n"/>
      <c r="AX780" s="622" t="n"/>
      <c r="AY780" s="622" t="n"/>
    </row>
    <row r="781">
      <c r="A781" s="622" t="n"/>
      <c r="B781" s="622" t="n"/>
      <c r="C781" s="622" t="n"/>
      <c r="D781" s="622" t="n"/>
      <c r="E781" s="622" t="n"/>
      <c r="F781" s="622" t="n"/>
      <c r="G781" s="622" t="n"/>
      <c r="H781" s="622" t="n"/>
      <c r="I781" s="622" t="n"/>
      <c r="J781" s="622" t="n"/>
      <c r="K781" s="622" t="n"/>
      <c r="L781" s="622" t="n"/>
      <c r="M781" s="622" t="n"/>
      <c r="N781" s="622" t="n"/>
      <c r="O781" s="622" t="n"/>
      <c r="P781" s="622" t="n"/>
      <c r="Q781" s="622" t="n"/>
      <c r="R781" s="622" t="n"/>
      <c r="S781" s="622" t="n"/>
      <c r="T781" s="622" t="n"/>
      <c r="U781" s="622" t="n"/>
      <c r="V781" s="622" t="n"/>
      <c r="W781" s="622" t="n"/>
      <c r="X781" s="622" t="n"/>
      <c r="Y781" s="622" t="n"/>
      <c r="Z781" s="622" t="n"/>
      <c r="AA781" s="622" t="n"/>
      <c r="AB781" s="622" t="n"/>
      <c r="AC781" s="622" t="n"/>
      <c r="AD781" s="622" t="n"/>
      <c r="AE781" s="622" t="n"/>
      <c r="AF781" s="622" t="n"/>
      <c r="AG781" s="622" t="n"/>
      <c r="AH781" s="622" t="n"/>
      <c r="AI781" s="622" t="n"/>
      <c r="AJ781" s="622" t="n"/>
      <c r="AK781" s="622" t="n"/>
      <c r="AL781" s="622" t="n"/>
      <c r="AM781" s="622" t="n"/>
      <c r="AN781" s="622" t="n"/>
      <c r="AO781" s="622" t="n"/>
      <c r="AP781" s="622" t="n"/>
      <c r="AQ781" s="622" t="n"/>
      <c r="AR781" s="622" t="n"/>
      <c r="AS781" s="622" t="n"/>
      <c r="AT781" s="622" t="n"/>
      <c r="AU781" s="622" t="n"/>
      <c r="AV781" s="622" t="n"/>
      <c r="AW781" s="622" t="n"/>
      <c r="AX781" s="622" t="n"/>
      <c r="AY781" s="622" t="n"/>
    </row>
    <row r="782">
      <c r="A782" s="622" t="n"/>
      <c r="B782" s="622" t="n"/>
      <c r="C782" s="622" t="n"/>
      <c r="D782" s="622" t="n"/>
      <c r="E782" s="622" t="n"/>
      <c r="F782" s="622" t="n"/>
      <c r="G782" s="622" t="n"/>
      <c r="H782" s="622" t="n"/>
      <c r="I782" s="622" t="n"/>
      <c r="J782" s="622" t="n"/>
      <c r="K782" s="622" t="n"/>
      <c r="L782" s="622" t="n"/>
      <c r="M782" s="622" t="n"/>
      <c r="N782" s="622" t="n"/>
      <c r="O782" s="622" t="n"/>
      <c r="P782" s="622" t="n"/>
      <c r="Q782" s="622" t="n"/>
      <c r="R782" s="622" t="n"/>
      <c r="S782" s="622" t="n"/>
      <c r="T782" s="622" t="n"/>
      <c r="U782" s="622" t="n"/>
      <c r="V782" s="622" t="n"/>
      <c r="W782" s="622" t="n"/>
      <c r="X782" s="622" t="n"/>
      <c r="Y782" s="622" t="n"/>
      <c r="Z782" s="622" t="n"/>
      <c r="AA782" s="622" t="n"/>
      <c r="AB782" s="622" t="n"/>
      <c r="AC782" s="622" t="n"/>
      <c r="AD782" s="622" t="n"/>
      <c r="AE782" s="622" t="n"/>
      <c r="AF782" s="622" t="n"/>
      <c r="AG782" s="622" t="n"/>
      <c r="AH782" s="622" t="n"/>
      <c r="AI782" s="622" t="n"/>
      <c r="AJ782" s="622" t="n"/>
      <c r="AK782" s="622" t="n"/>
      <c r="AL782" s="622" t="n"/>
      <c r="AM782" s="622" t="n"/>
      <c r="AN782" s="622" t="n"/>
      <c r="AO782" s="622" t="n"/>
      <c r="AP782" s="622" t="n"/>
      <c r="AQ782" s="622" t="n"/>
      <c r="AR782" s="622" t="n"/>
      <c r="AS782" s="622" t="n"/>
      <c r="AT782" s="622" t="n"/>
      <c r="AU782" s="622" t="n"/>
      <c r="AV782" s="622" t="n"/>
      <c r="AW782" s="622" t="n"/>
      <c r="AX782" s="622" t="n"/>
      <c r="AY782" s="622" t="n"/>
    </row>
    <row r="783">
      <c r="A783" s="622" t="n"/>
      <c r="B783" s="622" t="n"/>
      <c r="C783" s="622" t="n"/>
      <c r="D783" s="622" t="n"/>
      <c r="E783" s="622" t="n"/>
      <c r="F783" s="622" t="n"/>
      <c r="G783" s="622" t="n"/>
      <c r="H783" s="622" t="n"/>
      <c r="I783" s="622" t="n"/>
      <c r="J783" s="622" t="n"/>
      <c r="K783" s="622" t="n"/>
      <c r="L783" s="622" t="n"/>
      <c r="M783" s="622" t="n"/>
      <c r="N783" s="622" t="n"/>
      <c r="O783" s="622" t="n"/>
      <c r="P783" s="622" t="n"/>
      <c r="Q783" s="622" t="n"/>
      <c r="R783" s="622" t="n"/>
      <c r="S783" s="622" t="n"/>
      <c r="T783" s="622" t="n"/>
      <c r="U783" s="622" t="n"/>
      <c r="V783" s="622" t="n"/>
      <c r="W783" s="622" t="n"/>
      <c r="X783" s="622" t="n"/>
      <c r="Y783" s="622" t="n"/>
      <c r="Z783" s="622" t="n"/>
      <c r="AA783" s="622" t="n"/>
      <c r="AB783" s="622" t="n"/>
      <c r="AC783" s="622" t="n"/>
      <c r="AD783" s="622" t="n"/>
      <c r="AE783" s="622" t="n"/>
      <c r="AF783" s="622" t="n"/>
      <c r="AG783" s="622" t="n"/>
      <c r="AH783" s="622" t="n"/>
      <c r="AI783" s="622" t="n"/>
      <c r="AJ783" s="622" t="n"/>
      <c r="AK783" s="622" t="n"/>
      <c r="AL783" s="622" t="n"/>
      <c r="AM783" s="622" t="n"/>
      <c r="AN783" s="622" t="n"/>
      <c r="AO783" s="622" t="n"/>
      <c r="AP783" s="622" t="n"/>
      <c r="AQ783" s="622" t="n"/>
      <c r="AR783" s="622" t="n"/>
      <c r="AS783" s="622" t="n"/>
      <c r="AT783" s="622" t="n"/>
      <c r="AU783" s="622" t="n"/>
      <c r="AV783" s="622" t="n"/>
      <c r="AW783" s="622" t="n"/>
      <c r="AX783" s="622" t="n"/>
      <c r="AY783" s="622" t="n"/>
    </row>
    <row r="784">
      <c r="A784" s="622" t="n"/>
      <c r="B784" s="622" t="n"/>
      <c r="C784" s="622" t="n"/>
      <c r="D784" s="622" t="n"/>
      <c r="E784" s="622" t="n"/>
      <c r="F784" s="622" t="n"/>
      <c r="G784" s="622" t="n"/>
      <c r="H784" s="622" t="n"/>
      <c r="I784" s="622" t="n"/>
      <c r="J784" s="622" t="n"/>
      <c r="K784" s="622" t="n"/>
      <c r="L784" s="622" t="n"/>
      <c r="M784" s="622" t="n"/>
      <c r="N784" s="622" t="n"/>
      <c r="O784" s="622" t="n"/>
      <c r="P784" s="622" t="n"/>
      <c r="Q784" s="622" t="n"/>
      <c r="R784" s="622" t="n"/>
      <c r="S784" s="622" t="n"/>
      <c r="T784" s="622" t="n"/>
      <c r="U784" s="622" t="n"/>
      <c r="V784" s="622" t="n"/>
      <c r="W784" s="622" t="n"/>
      <c r="X784" s="622" t="n"/>
      <c r="Y784" s="622" t="n"/>
      <c r="Z784" s="622" t="n"/>
      <c r="AA784" s="622" t="n"/>
      <c r="AB784" s="622" t="n"/>
      <c r="AC784" s="622" t="n"/>
      <c r="AD784" s="622" t="n"/>
      <c r="AE784" s="622" t="n"/>
      <c r="AF784" s="622" t="n"/>
      <c r="AG784" s="622" t="n"/>
      <c r="AH784" s="622" t="n"/>
      <c r="AI784" s="622" t="n"/>
      <c r="AJ784" s="622" t="n"/>
      <c r="AK784" s="622" t="n"/>
      <c r="AL784" s="622" t="n"/>
      <c r="AM784" s="622" t="n"/>
      <c r="AN784" s="622" t="n"/>
      <c r="AO784" s="622" t="n"/>
      <c r="AP784" s="622" t="n"/>
      <c r="AQ784" s="622" t="n"/>
      <c r="AR784" s="622" t="n"/>
      <c r="AS784" s="622" t="n"/>
      <c r="AT784" s="622" t="n"/>
      <c r="AU784" s="622" t="n"/>
      <c r="AV784" s="622" t="n"/>
      <c r="AW784" s="622" t="n"/>
      <c r="AX784" s="622" t="n"/>
      <c r="AY784" s="622" t="n"/>
    </row>
    <row r="785">
      <c r="A785" s="622" t="n"/>
      <c r="B785" s="622" t="n"/>
      <c r="C785" s="622" t="n"/>
      <c r="D785" s="622" t="n"/>
      <c r="E785" s="622" t="n"/>
      <c r="F785" s="622" t="n"/>
      <c r="G785" s="622" t="n"/>
      <c r="H785" s="622" t="n"/>
      <c r="I785" s="622" t="n"/>
      <c r="J785" s="622" t="n"/>
      <c r="K785" s="622" t="n"/>
      <c r="L785" s="622" t="n"/>
      <c r="M785" s="622" t="n"/>
      <c r="N785" s="622" t="n"/>
      <c r="O785" s="622" t="n"/>
      <c r="P785" s="622" t="n"/>
      <c r="Q785" s="622" t="n"/>
      <c r="R785" s="622" t="n"/>
      <c r="S785" s="622" t="n"/>
      <c r="T785" s="622" t="n"/>
      <c r="U785" s="622" t="n"/>
      <c r="V785" s="622" t="n"/>
      <c r="W785" s="622" t="n"/>
      <c r="X785" s="622" t="n"/>
      <c r="Y785" s="622" t="n"/>
      <c r="Z785" s="622" t="n"/>
      <c r="AA785" s="622" t="n"/>
      <c r="AB785" s="622" t="n"/>
      <c r="AC785" s="622" t="n"/>
      <c r="AD785" s="622" t="n"/>
      <c r="AE785" s="622" t="n"/>
      <c r="AF785" s="622" t="n"/>
      <c r="AG785" s="622" t="n"/>
      <c r="AH785" s="622" t="n"/>
      <c r="AI785" s="622" t="n"/>
      <c r="AJ785" s="622" t="n"/>
      <c r="AK785" s="622" t="n"/>
      <c r="AL785" s="622" t="n"/>
      <c r="AM785" s="622" t="n"/>
      <c r="AN785" s="622" t="n"/>
      <c r="AO785" s="622" t="n"/>
      <c r="AP785" s="622" t="n"/>
      <c r="AQ785" s="622" t="n"/>
      <c r="AR785" s="622" t="n"/>
      <c r="AS785" s="622" t="n"/>
      <c r="AT785" s="622" t="n"/>
      <c r="AU785" s="622" t="n"/>
      <c r="AV785" s="622" t="n"/>
      <c r="AW785" s="622" t="n"/>
      <c r="AX785" s="622" t="n"/>
      <c r="AY785" s="622" t="n"/>
    </row>
    <row r="786">
      <c r="A786" s="622" t="n"/>
      <c r="B786" s="622" t="n"/>
      <c r="C786" s="622" t="n"/>
      <c r="D786" s="622" t="n"/>
      <c r="E786" s="622" t="n"/>
      <c r="F786" s="622" t="n"/>
      <c r="G786" s="622" t="n"/>
      <c r="H786" s="622" t="n"/>
      <c r="I786" s="622" t="n"/>
      <c r="J786" s="622" t="n"/>
      <c r="K786" s="622" t="n"/>
      <c r="L786" s="622" t="n"/>
      <c r="M786" s="622" t="n"/>
      <c r="N786" s="622" t="n"/>
      <c r="O786" s="622" t="n"/>
      <c r="P786" s="622" t="n"/>
      <c r="Q786" s="622" t="n"/>
      <c r="R786" s="622" t="n"/>
      <c r="S786" s="622" t="n"/>
      <c r="T786" s="622" t="n"/>
      <c r="U786" s="622" t="n"/>
      <c r="V786" s="622" t="n"/>
      <c r="W786" s="622" t="n"/>
      <c r="X786" s="622" t="n"/>
      <c r="Y786" s="622" t="n"/>
      <c r="Z786" s="622" t="n"/>
      <c r="AA786" s="622" t="n"/>
      <c r="AB786" s="622" t="n"/>
      <c r="AC786" s="622" t="n"/>
      <c r="AD786" s="622" t="n"/>
      <c r="AE786" s="622" t="n"/>
      <c r="AF786" s="622" t="n"/>
      <c r="AG786" s="622" t="n"/>
      <c r="AH786" s="622" t="n"/>
      <c r="AI786" s="622" t="n"/>
      <c r="AJ786" s="622" t="n"/>
      <c r="AK786" s="622" t="n"/>
      <c r="AL786" s="622" t="n"/>
      <c r="AM786" s="622" t="n"/>
      <c r="AN786" s="622" t="n"/>
      <c r="AO786" s="622" t="n"/>
      <c r="AP786" s="622" t="n"/>
      <c r="AQ786" s="622" t="n"/>
      <c r="AR786" s="622" t="n"/>
      <c r="AS786" s="622" t="n"/>
      <c r="AT786" s="622" t="n"/>
      <c r="AU786" s="622" t="n"/>
      <c r="AV786" s="622" t="n"/>
      <c r="AW786" s="622" t="n"/>
      <c r="AX786" s="622" t="n"/>
      <c r="AY786" s="622" t="n"/>
    </row>
    <row r="787">
      <c r="A787" s="622" t="n"/>
      <c r="B787" s="622" t="n"/>
      <c r="C787" s="622" t="n"/>
      <c r="D787" s="622" t="n"/>
      <c r="E787" s="622" t="n"/>
      <c r="F787" s="622" t="n"/>
      <c r="G787" s="622" t="n"/>
      <c r="H787" s="622" t="n"/>
      <c r="I787" s="622" t="n"/>
      <c r="J787" s="622" t="n"/>
      <c r="K787" s="622" t="n"/>
      <c r="L787" s="622" t="n"/>
      <c r="M787" s="622" t="n"/>
      <c r="N787" s="622" t="n"/>
      <c r="O787" s="622" t="n"/>
      <c r="P787" s="622" t="n"/>
      <c r="Q787" s="622" t="n"/>
      <c r="R787" s="622" t="n"/>
      <c r="S787" s="622" t="n"/>
      <c r="T787" s="622" t="n"/>
      <c r="U787" s="622" t="n"/>
      <c r="V787" s="622" t="n"/>
      <c r="W787" s="622" t="n"/>
      <c r="X787" s="622" t="n"/>
      <c r="Y787" s="622" t="n"/>
      <c r="Z787" s="622" t="n"/>
      <c r="AA787" s="622" t="n"/>
      <c r="AB787" s="622" t="n"/>
      <c r="AC787" s="622" t="n"/>
      <c r="AD787" s="622" t="n"/>
      <c r="AE787" s="622" t="n"/>
      <c r="AF787" s="622" t="n"/>
      <c r="AG787" s="622" t="n"/>
      <c r="AH787" s="622" t="n"/>
      <c r="AI787" s="622" t="n"/>
      <c r="AJ787" s="622" t="n"/>
      <c r="AK787" s="622" t="n"/>
      <c r="AL787" s="622" t="n"/>
      <c r="AM787" s="622" t="n"/>
      <c r="AN787" s="622" t="n"/>
      <c r="AO787" s="622" t="n"/>
      <c r="AP787" s="622" t="n"/>
      <c r="AQ787" s="622" t="n"/>
      <c r="AR787" s="622" t="n"/>
      <c r="AS787" s="622" t="n"/>
      <c r="AT787" s="622" t="n"/>
      <c r="AU787" s="622" t="n"/>
      <c r="AV787" s="622" t="n"/>
      <c r="AW787" s="622" t="n"/>
      <c r="AX787" s="622" t="n"/>
      <c r="AY787" s="622" t="n"/>
    </row>
    <row r="788">
      <c r="A788" s="622" t="n"/>
      <c r="B788" s="622" t="n"/>
      <c r="C788" s="622" t="n"/>
      <c r="D788" s="622" t="n"/>
      <c r="E788" s="622" t="n"/>
      <c r="F788" s="622" t="n"/>
      <c r="G788" s="622" t="n"/>
      <c r="H788" s="622" t="n"/>
      <c r="I788" s="622" t="n"/>
      <c r="J788" s="622" t="n"/>
      <c r="K788" s="622" t="n"/>
      <c r="L788" s="622" t="n"/>
      <c r="M788" s="622" t="n"/>
      <c r="N788" s="622" t="n"/>
      <c r="O788" s="622" t="n"/>
      <c r="P788" s="622" t="n"/>
      <c r="Q788" s="622" t="n"/>
      <c r="R788" s="622" t="n"/>
      <c r="S788" s="622" t="n"/>
      <c r="T788" s="622" t="n"/>
      <c r="U788" s="622" t="n"/>
      <c r="V788" s="622" t="n"/>
      <c r="W788" s="622" t="n"/>
      <c r="X788" s="622" t="n"/>
      <c r="Y788" s="622" t="n"/>
      <c r="Z788" s="622" t="n"/>
      <c r="AA788" s="622" t="n"/>
      <c r="AB788" s="622" t="n"/>
      <c r="AC788" s="622" t="n"/>
      <c r="AD788" s="622" t="n"/>
      <c r="AE788" s="622" t="n"/>
      <c r="AF788" s="622" t="n"/>
      <c r="AG788" s="622" t="n"/>
      <c r="AH788" s="622" t="n"/>
      <c r="AI788" s="622" t="n"/>
      <c r="AJ788" s="622" t="n"/>
      <c r="AK788" s="622" t="n"/>
      <c r="AL788" s="622" t="n"/>
      <c r="AM788" s="622" t="n"/>
      <c r="AN788" s="622" t="n"/>
      <c r="AO788" s="622" t="n"/>
      <c r="AP788" s="622" t="n"/>
      <c r="AQ788" s="622" t="n"/>
      <c r="AR788" s="622" t="n"/>
      <c r="AS788" s="622" t="n"/>
      <c r="AT788" s="622" t="n"/>
      <c r="AU788" s="622" t="n"/>
      <c r="AV788" s="622" t="n"/>
      <c r="AW788" s="622" t="n"/>
      <c r="AX788" s="622" t="n"/>
      <c r="AY788" s="622" t="n"/>
    </row>
    <row r="789">
      <c r="A789" s="622" t="n"/>
      <c r="B789" s="622" t="n"/>
      <c r="C789" s="622" t="n"/>
      <c r="D789" s="622" t="n"/>
      <c r="E789" s="622" t="n"/>
      <c r="F789" s="622" t="n"/>
      <c r="G789" s="622" t="n"/>
      <c r="H789" s="622" t="n"/>
      <c r="I789" s="622" t="n"/>
      <c r="J789" s="622" t="n"/>
      <c r="K789" s="622" t="n"/>
      <c r="L789" s="622" t="n"/>
      <c r="M789" s="622" t="n"/>
      <c r="N789" s="622" t="n"/>
      <c r="O789" s="622" t="n"/>
      <c r="P789" s="622" t="n"/>
      <c r="Q789" s="622" t="n"/>
      <c r="R789" s="622" t="n"/>
      <c r="S789" s="622" t="n"/>
      <c r="T789" s="622" t="n"/>
      <c r="U789" s="622" t="n"/>
      <c r="V789" s="622" t="n"/>
      <c r="W789" s="622" t="n"/>
      <c r="X789" s="622" t="n"/>
      <c r="Y789" s="622" t="n"/>
      <c r="Z789" s="622" t="n"/>
      <c r="AA789" s="622" t="n"/>
      <c r="AB789" s="622" t="n"/>
      <c r="AC789" s="622" t="n"/>
      <c r="AD789" s="622" t="n"/>
      <c r="AE789" s="622" t="n"/>
      <c r="AF789" s="622" t="n"/>
      <c r="AG789" s="622" t="n"/>
      <c r="AH789" s="622" t="n"/>
      <c r="AI789" s="622" t="n"/>
      <c r="AJ789" s="622" t="n"/>
      <c r="AK789" s="622" t="n"/>
      <c r="AL789" s="622" t="n"/>
      <c r="AM789" s="622" t="n"/>
      <c r="AN789" s="622" t="n"/>
      <c r="AO789" s="622" t="n"/>
      <c r="AP789" s="622" t="n"/>
      <c r="AQ789" s="622" t="n"/>
      <c r="AR789" s="622" t="n"/>
      <c r="AS789" s="622" t="n"/>
      <c r="AT789" s="622" t="n"/>
      <c r="AU789" s="622" t="n"/>
      <c r="AV789" s="622" t="n"/>
      <c r="AW789" s="622" t="n"/>
      <c r="AX789" s="622" t="n"/>
      <c r="AY789" s="622" t="n"/>
    </row>
    <row r="790">
      <c r="A790" s="622" t="n"/>
      <c r="B790" s="622" t="n"/>
      <c r="C790" s="622" t="n"/>
      <c r="D790" s="622" t="n"/>
      <c r="E790" s="622" t="n"/>
      <c r="F790" s="622" t="n"/>
      <c r="G790" s="622" t="n"/>
      <c r="H790" s="622" t="n"/>
      <c r="I790" s="622" t="n"/>
      <c r="J790" s="622" t="n"/>
      <c r="K790" s="622" t="n"/>
      <c r="L790" s="622" t="n"/>
      <c r="M790" s="622" t="n"/>
      <c r="N790" s="622" t="n"/>
      <c r="O790" s="622" t="n"/>
      <c r="P790" s="622" t="n"/>
      <c r="Q790" s="622" t="n"/>
      <c r="R790" s="622" t="n"/>
      <c r="S790" s="622" t="n"/>
      <c r="T790" s="622" t="n"/>
      <c r="U790" s="622" t="n"/>
      <c r="V790" s="622" t="n"/>
      <c r="W790" s="622" t="n"/>
      <c r="X790" s="622" t="n"/>
      <c r="Y790" s="622" t="n"/>
      <c r="Z790" s="622" t="n"/>
      <c r="AA790" s="622" t="n"/>
      <c r="AB790" s="622" t="n"/>
      <c r="AC790" s="622" t="n"/>
      <c r="AD790" s="622" t="n"/>
      <c r="AE790" s="622" t="n"/>
      <c r="AF790" s="622" t="n"/>
      <c r="AG790" s="622" t="n"/>
      <c r="AH790" s="622" t="n"/>
      <c r="AI790" s="622" t="n"/>
      <c r="AJ790" s="622" t="n"/>
      <c r="AK790" s="622" t="n"/>
      <c r="AL790" s="622" t="n"/>
      <c r="AM790" s="622" t="n"/>
      <c r="AN790" s="622" t="n"/>
      <c r="AO790" s="622" t="n"/>
      <c r="AP790" s="622" t="n"/>
      <c r="AQ790" s="622" t="n"/>
      <c r="AR790" s="622" t="n"/>
      <c r="AS790" s="622" t="n"/>
      <c r="AT790" s="622" t="n"/>
      <c r="AU790" s="622" t="n"/>
      <c r="AV790" s="622" t="n"/>
      <c r="AW790" s="622" t="n"/>
      <c r="AX790" s="622" t="n"/>
      <c r="AY790" s="622" t="n"/>
    </row>
    <row r="791">
      <c r="A791" s="622" t="n"/>
      <c r="B791" s="622" t="n"/>
      <c r="C791" s="622" t="n"/>
      <c r="D791" s="622" t="n"/>
      <c r="E791" s="622" t="n"/>
      <c r="F791" s="622" t="n"/>
      <c r="G791" s="622" t="n"/>
      <c r="H791" s="622" t="n"/>
      <c r="I791" s="622" t="n"/>
      <c r="J791" s="622" t="n"/>
      <c r="K791" s="622" t="n"/>
      <c r="L791" s="622" t="n"/>
      <c r="M791" s="622" t="n"/>
      <c r="N791" s="622" t="n"/>
      <c r="O791" s="622" t="n"/>
      <c r="P791" s="622" t="n"/>
      <c r="Q791" s="622" t="n"/>
      <c r="R791" s="622" t="n"/>
      <c r="S791" s="622" t="n"/>
      <c r="T791" s="622" t="n"/>
      <c r="U791" s="622" t="n"/>
      <c r="V791" s="622" t="n"/>
      <c r="W791" s="622" t="n"/>
      <c r="X791" s="622" t="n"/>
      <c r="Y791" s="622" t="n"/>
      <c r="Z791" s="622" t="n"/>
      <c r="AA791" s="622" t="n"/>
      <c r="AB791" s="622" t="n"/>
      <c r="AC791" s="622" t="n"/>
      <c r="AD791" s="622" t="n"/>
      <c r="AE791" s="622" t="n"/>
      <c r="AF791" s="622" t="n"/>
      <c r="AG791" s="622" t="n"/>
      <c r="AH791" s="622" t="n"/>
      <c r="AI791" s="622" t="n"/>
      <c r="AJ791" s="622" t="n"/>
      <c r="AK791" s="622" t="n"/>
      <c r="AL791" s="622" t="n"/>
      <c r="AM791" s="622" t="n"/>
      <c r="AN791" s="622" t="n"/>
      <c r="AO791" s="622" t="n"/>
      <c r="AP791" s="622" t="n"/>
      <c r="AQ791" s="622" t="n"/>
      <c r="AR791" s="622" t="n"/>
      <c r="AS791" s="622" t="n"/>
      <c r="AT791" s="622" t="n"/>
      <c r="AU791" s="622" t="n"/>
      <c r="AV791" s="622" t="n"/>
      <c r="AW791" s="622" t="n"/>
      <c r="AX791" s="622" t="n"/>
      <c r="AY791" s="622" t="n"/>
    </row>
    <row r="792">
      <c r="A792" s="622" t="n"/>
      <c r="B792" s="622" t="n"/>
      <c r="C792" s="622" t="n"/>
      <c r="D792" s="622" t="n"/>
      <c r="E792" s="622" t="n"/>
      <c r="F792" s="622" t="n"/>
      <c r="G792" s="622" t="n"/>
      <c r="H792" s="622" t="n"/>
      <c r="I792" s="622" t="n"/>
      <c r="J792" s="622" t="n"/>
      <c r="K792" s="622" t="n"/>
      <c r="L792" s="622" t="n"/>
      <c r="M792" s="622" t="n"/>
      <c r="N792" s="622" t="n"/>
      <c r="O792" s="622" t="n"/>
      <c r="P792" s="622" t="n"/>
      <c r="Q792" s="622" t="n"/>
      <c r="R792" s="622" t="n"/>
      <c r="S792" s="622" t="n"/>
      <c r="T792" s="622" t="n"/>
      <c r="U792" s="622" t="n"/>
      <c r="V792" s="622" t="n"/>
      <c r="W792" s="622" t="n"/>
      <c r="X792" s="622" t="n"/>
      <c r="Y792" s="622" t="n"/>
      <c r="Z792" s="622" t="n"/>
      <c r="AA792" s="622" t="n"/>
      <c r="AB792" s="622" t="n"/>
      <c r="AC792" s="622" t="n"/>
      <c r="AD792" s="622" t="n"/>
      <c r="AE792" s="622" t="n"/>
      <c r="AF792" s="622" t="n"/>
      <c r="AG792" s="622" t="n"/>
      <c r="AH792" s="622" t="n"/>
      <c r="AI792" s="622" t="n"/>
      <c r="AJ792" s="622" t="n"/>
      <c r="AK792" s="622" t="n"/>
      <c r="AL792" s="622" t="n"/>
      <c r="AM792" s="622" t="n"/>
      <c r="AN792" s="622" t="n"/>
      <c r="AO792" s="622" t="n"/>
      <c r="AP792" s="622" t="n"/>
      <c r="AQ792" s="622" t="n"/>
      <c r="AR792" s="622" t="n"/>
      <c r="AS792" s="622" t="n"/>
      <c r="AT792" s="622" t="n"/>
      <c r="AU792" s="622" t="n"/>
      <c r="AV792" s="622" t="n"/>
      <c r="AW792" s="622" t="n"/>
      <c r="AX792" s="622" t="n"/>
      <c r="AY792" s="622" t="n"/>
    </row>
    <row r="793">
      <c r="A793" s="622" t="n"/>
      <c r="B793" s="622" t="n"/>
      <c r="C793" s="622" t="n"/>
      <c r="D793" s="622" t="n"/>
      <c r="E793" s="622" t="n"/>
      <c r="F793" s="622" t="n"/>
      <c r="G793" s="622" t="n"/>
      <c r="H793" s="622" t="n"/>
      <c r="I793" s="622" t="n"/>
      <c r="J793" s="622" t="n"/>
      <c r="K793" s="622" t="n"/>
      <c r="L793" s="622" t="n"/>
      <c r="M793" s="622" t="n"/>
      <c r="N793" s="622" t="n"/>
      <c r="O793" s="622" t="n"/>
      <c r="P793" s="622" t="n"/>
      <c r="Q793" s="622" t="n"/>
      <c r="R793" s="622" t="n"/>
      <c r="S793" s="622" t="n"/>
      <c r="T793" s="622" t="n"/>
      <c r="U793" s="622" t="n"/>
      <c r="V793" s="622" t="n"/>
      <c r="W793" s="622" t="n"/>
      <c r="X793" s="622" t="n"/>
      <c r="Y793" s="622" t="n"/>
      <c r="Z793" s="622" t="n"/>
      <c r="AA793" s="622" t="n"/>
      <c r="AB793" s="622" t="n"/>
      <c r="AC793" s="622" t="n"/>
      <c r="AD793" s="622" t="n"/>
      <c r="AE793" s="622" t="n"/>
      <c r="AF793" s="622" t="n"/>
      <c r="AG793" s="622" t="n"/>
      <c r="AH793" s="622" t="n"/>
      <c r="AI793" s="622" t="n"/>
      <c r="AJ793" s="622" t="n"/>
      <c r="AK793" s="622" t="n"/>
      <c r="AL793" s="622" t="n"/>
      <c r="AM793" s="622" t="n"/>
      <c r="AN793" s="622" t="n"/>
      <c r="AO793" s="622" t="n"/>
      <c r="AP793" s="622" t="n"/>
      <c r="AQ793" s="622" t="n"/>
      <c r="AR793" s="622" t="n"/>
      <c r="AS793" s="622" t="n"/>
      <c r="AT793" s="622" t="n"/>
      <c r="AU793" s="622" t="n"/>
      <c r="AV793" s="622" t="n"/>
      <c r="AW793" s="622" t="n"/>
      <c r="AX793" s="622" t="n"/>
      <c r="AY793" s="622" t="n"/>
    </row>
    <row r="794">
      <c r="A794" s="622" t="n"/>
      <c r="B794" s="622" t="n"/>
      <c r="C794" s="622" t="n"/>
      <c r="D794" s="622" t="n"/>
      <c r="E794" s="622" t="n"/>
      <c r="F794" s="622" t="n"/>
      <c r="G794" s="622" t="n"/>
      <c r="H794" s="622" t="n"/>
      <c r="I794" s="622" t="n"/>
      <c r="J794" s="622" t="n"/>
      <c r="K794" s="622" t="n"/>
      <c r="L794" s="622" t="n"/>
      <c r="M794" s="622" t="n"/>
      <c r="N794" s="622" t="n"/>
      <c r="O794" s="622" t="n"/>
      <c r="P794" s="622" t="n"/>
      <c r="Q794" s="622" t="n"/>
      <c r="R794" s="622" t="n"/>
      <c r="S794" s="622" t="n"/>
      <c r="T794" s="622" t="n"/>
      <c r="U794" s="622" t="n"/>
      <c r="V794" s="622" t="n"/>
      <c r="W794" s="622" t="n"/>
      <c r="X794" s="622" t="n"/>
      <c r="Y794" s="622" t="n"/>
      <c r="Z794" s="622" t="n"/>
      <c r="AA794" s="622" t="n"/>
      <c r="AB794" s="622" t="n"/>
      <c r="AC794" s="622" t="n"/>
      <c r="AD794" s="622" t="n"/>
      <c r="AE794" s="622" t="n"/>
      <c r="AF794" s="622" t="n"/>
      <c r="AG794" s="622" t="n"/>
      <c r="AH794" s="622" t="n"/>
      <c r="AI794" s="622" t="n"/>
      <c r="AJ794" s="622" t="n"/>
      <c r="AK794" s="622" t="n"/>
      <c r="AL794" s="622" t="n"/>
      <c r="AM794" s="622" t="n"/>
      <c r="AN794" s="622" t="n"/>
      <c r="AO794" s="622" t="n"/>
      <c r="AP794" s="622" t="n"/>
      <c r="AQ794" s="622" t="n"/>
      <c r="AR794" s="622" t="n"/>
      <c r="AS794" s="622" t="n"/>
      <c r="AT794" s="622" t="n"/>
      <c r="AU794" s="622" t="n"/>
      <c r="AV794" s="622" t="n"/>
      <c r="AW794" s="622" t="n"/>
      <c r="AX794" s="622" t="n"/>
      <c r="AY794" s="622" t="n"/>
    </row>
    <row r="795">
      <c r="A795" s="622" t="n"/>
      <c r="B795" s="622" t="n"/>
      <c r="C795" s="622" t="n"/>
      <c r="D795" s="622" t="n"/>
      <c r="E795" s="622" t="n"/>
      <c r="F795" s="622" t="n"/>
      <c r="G795" s="622" t="n"/>
      <c r="H795" s="622" t="n"/>
      <c r="I795" s="622" t="n"/>
      <c r="J795" s="622" t="n"/>
      <c r="K795" s="622" t="n"/>
      <c r="L795" s="622" t="n"/>
      <c r="M795" s="622" t="n"/>
      <c r="N795" s="622" t="n"/>
      <c r="O795" s="622" t="n"/>
      <c r="P795" s="622" t="n"/>
      <c r="Q795" s="622" t="n"/>
      <c r="R795" s="622" t="n"/>
      <c r="S795" s="622" t="n"/>
      <c r="T795" s="622" t="n"/>
      <c r="U795" s="622" t="n"/>
      <c r="V795" s="622" t="n"/>
      <c r="W795" s="622" t="n"/>
      <c r="X795" s="622" t="n"/>
      <c r="Y795" s="622" t="n"/>
      <c r="Z795" s="622" t="n"/>
      <c r="AA795" s="622" t="n"/>
      <c r="AB795" s="622" t="n"/>
      <c r="AC795" s="622" t="n"/>
      <c r="AD795" s="622" t="n"/>
      <c r="AE795" s="622" t="n"/>
      <c r="AF795" s="622" t="n"/>
      <c r="AG795" s="622" t="n"/>
      <c r="AH795" s="622" t="n"/>
      <c r="AI795" s="622" t="n"/>
      <c r="AJ795" s="622" t="n"/>
      <c r="AK795" s="622" t="n"/>
      <c r="AL795" s="622" t="n"/>
      <c r="AM795" s="622" t="n"/>
      <c r="AN795" s="622" t="n"/>
      <c r="AO795" s="622" t="n"/>
      <c r="AP795" s="622" t="n"/>
      <c r="AQ795" s="622" t="n"/>
      <c r="AR795" s="622" t="n"/>
      <c r="AS795" s="622" t="n"/>
      <c r="AT795" s="622" t="n"/>
      <c r="AU795" s="622" t="n"/>
      <c r="AV795" s="622" t="n"/>
      <c r="AW795" s="622" t="n"/>
      <c r="AX795" s="622" t="n"/>
      <c r="AY795" s="622" t="n"/>
    </row>
    <row r="796">
      <c r="A796" s="622" t="n"/>
      <c r="B796" s="622" t="n"/>
      <c r="C796" s="622" t="n"/>
      <c r="D796" s="622" t="n"/>
      <c r="E796" s="622" t="n"/>
      <c r="F796" s="622" t="n"/>
      <c r="G796" s="622" t="n"/>
      <c r="H796" s="622" t="n"/>
      <c r="I796" s="622" t="n"/>
      <c r="J796" s="622" t="n"/>
      <c r="K796" s="622" t="n"/>
      <c r="L796" s="622" t="n"/>
      <c r="M796" s="622" t="n"/>
      <c r="N796" s="622" t="n"/>
      <c r="O796" s="622" t="n"/>
      <c r="P796" s="622" t="n"/>
      <c r="Q796" s="622" t="n"/>
      <c r="R796" s="622" t="n"/>
      <c r="S796" s="622" t="n"/>
      <c r="T796" s="622" t="n"/>
      <c r="U796" s="622" t="n"/>
      <c r="V796" s="622" t="n"/>
      <c r="W796" s="622" t="n"/>
      <c r="X796" s="622" t="n"/>
      <c r="Y796" s="622" t="n"/>
      <c r="Z796" s="622" t="n"/>
      <c r="AA796" s="622" t="n"/>
      <c r="AB796" s="622" t="n"/>
      <c r="AC796" s="622" t="n"/>
      <c r="AD796" s="622" t="n"/>
      <c r="AE796" s="622" t="n"/>
      <c r="AF796" s="622" t="n"/>
      <c r="AG796" s="622" t="n"/>
      <c r="AH796" s="622" t="n"/>
      <c r="AI796" s="622" t="n"/>
      <c r="AJ796" s="622" t="n"/>
      <c r="AK796" s="622" t="n"/>
      <c r="AL796" s="622" t="n"/>
      <c r="AM796" s="622" t="n"/>
      <c r="AN796" s="622" t="n"/>
      <c r="AO796" s="622" t="n"/>
      <c r="AP796" s="622" t="n"/>
      <c r="AQ796" s="622" t="n"/>
      <c r="AR796" s="622" t="n"/>
      <c r="AS796" s="622" t="n"/>
      <c r="AT796" s="622" t="n"/>
      <c r="AU796" s="622" t="n"/>
      <c r="AV796" s="622" t="n"/>
      <c r="AW796" s="622" t="n"/>
      <c r="AX796" s="622" t="n"/>
      <c r="AY796" s="622" t="n"/>
    </row>
    <row r="797">
      <c r="A797" s="622" t="n"/>
      <c r="B797" s="622" t="n"/>
      <c r="C797" s="622" t="n"/>
      <c r="D797" s="622" t="n"/>
      <c r="E797" s="622" t="n"/>
      <c r="F797" s="622" t="n"/>
      <c r="G797" s="622" t="n"/>
      <c r="H797" s="622" t="n"/>
      <c r="I797" s="622" t="n"/>
      <c r="J797" s="622" t="n"/>
      <c r="K797" s="622" t="n"/>
      <c r="L797" s="622" t="n"/>
      <c r="M797" s="622" t="n"/>
      <c r="N797" s="622" t="n"/>
      <c r="O797" s="622" t="n"/>
      <c r="P797" s="622" t="n"/>
      <c r="Q797" s="622" t="n"/>
      <c r="R797" s="622" t="n"/>
      <c r="S797" s="622" t="n"/>
      <c r="T797" s="622" t="n"/>
      <c r="U797" s="622" t="n"/>
      <c r="V797" s="622" t="n"/>
      <c r="W797" s="622" t="n"/>
      <c r="X797" s="622" t="n"/>
      <c r="Y797" s="622" t="n"/>
      <c r="Z797" s="622" t="n"/>
      <c r="AA797" s="622" t="n"/>
      <c r="AB797" s="622" t="n"/>
      <c r="AC797" s="622" t="n"/>
      <c r="AD797" s="622" t="n"/>
      <c r="AE797" s="622" t="n"/>
      <c r="AF797" s="622" t="n"/>
      <c r="AG797" s="622" t="n"/>
      <c r="AH797" s="622" t="n"/>
      <c r="AI797" s="622" t="n"/>
      <c r="AJ797" s="622" t="n"/>
      <c r="AK797" s="622" t="n"/>
      <c r="AL797" s="622" t="n"/>
      <c r="AM797" s="622" t="n"/>
      <c r="AN797" s="622" t="n"/>
      <c r="AO797" s="622" t="n"/>
      <c r="AP797" s="622" t="n"/>
      <c r="AQ797" s="622" t="n"/>
      <c r="AR797" s="622" t="n"/>
      <c r="AS797" s="622" t="n"/>
      <c r="AT797" s="622" t="n"/>
      <c r="AU797" s="622" t="n"/>
      <c r="AV797" s="622" t="n"/>
      <c r="AW797" s="622" t="n"/>
      <c r="AX797" s="622" t="n"/>
      <c r="AY797" s="622" t="n"/>
    </row>
    <row r="798">
      <c r="A798" s="622" t="n"/>
      <c r="B798" s="622" t="n"/>
      <c r="C798" s="622" t="n"/>
      <c r="D798" s="622" t="n"/>
      <c r="E798" s="622" t="n"/>
      <c r="F798" s="622" t="n"/>
      <c r="G798" s="622" t="n"/>
      <c r="H798" s="622" t="n"/>
      <c r="I798" s="622" t="n"/>
      <c r="J798" s="622" t="n"/>
      <c r="K798" s="622" t="n"/>
      <c r="L798" s="622" t="n"/>
      <c r="M798" s="622" t="n"/>
      <c r="N798" s="622" t="n"/>
      <c r="O798" s="622" t="n"/>
      <c r="P798" s="622" t="n"/>
      <c r="Q798" s="622" t="n"/>
      <c r="R798" s="622" t="n"/>
      <c r="S798" s="622" t="n"/>
      <c r="T798" s="622" t="n"/>
      <c r="U798" s="622" t="n"/>
      <c r="V798" s="622" t="n"/>
      <c r="W798" s="622" t="n"/>
      <c r="X798" s="622" t="n"/>
      <c r="Y798" s="622" t="n"/>
      <c r="Z798" s="622" t="n"/>
      <c r="AA798" s="622" t="n"/>
      <c r="AB798" s="622" t="n"/>
      <c r="AC798" s="622" t="n"/>
      <c r="AD798" s="622" t="n"/>
      <c r="AE798" s="622" t="n"/>
      <c r="AF798" s="622" t="n"/>
      <c r="AG798" s="622" t="n"/>
      <c r="AH798" s="622" t="n"/>
      <c r="AI798" s="622" t="n"/>
      <c r="AJ798" s="622" t="n"/>
      <c r="AK798" s="622" t="n"/>
      <c r="AL798" s="622" t="n"/>
      <c r="AM798" s="622" t="n"/>
      <c r="AN798" s="622" t="n"/>
      <c r="AO798" s="622" t="n"/>
      <c r="AP798" s="622" t="n"/>
      <c r="AQ798" s="622" t="n"/>
      <c r="AR798" s="622" t="n"/>
      <c r="AS798" s="622" t="n"/>
      <c r="AT798" s="622" t="n"/>
      <c r="AU798" s="622" t="n"/>
      <c r="AV798" s="622" t="n"/>
      <c r="AW798" s="622" t="n"/>
      <c r="AX798" s="622" t="n"/>
      <c r="AY798" s="622" t="n"/>
    </row>
    <row r="799">
      <c r="A799" s="622" t="n"/>
      <c r="B799" s="622" t="n"/>
      <c r="C799" s="622" t="n"/>
      <c r="D799" s="622" t="n"/>
      <c r="E799" s="622" t="n"/>
      <c r="F799" s="622" t="n"/>
      <c r="G799" s="622" t="n"/>
      <c r="H799" s="622" t="n"/>
      <c r="I799" s="622" t="n"/>
      <c r="J799" s="622" t="n"/>
      <c r="K799" s="622" t="n"/>
      <c r="L799" s="622" t="n"/>
      <c r="M799" s="622" t="n"/>
      <c r="N799" s="622" t="n"/>
      <c r="O799" s="622" t="n"/>
      <c r="P799" s="622" t="n"/>
      <c r="Q799" s="622" t="n"/>
      <c r="R799" s="622" t="n"/>
      <c r="S799" s="622" t="n"/>
      <c r="T799" s="622" t="n"/>
      <c r="U799" s="622" t="n"/>
      <c r="V799" s="622" t="n"/>
      <c r="W799" s="622" t="n"/>
      <c r="X799" s="622" t="n"/>
      <c r="Y799" s="622" t="n"/>
      <c r="Z799" s="622" t="n"/>
      <c r="AA799" s="622" t="n"/>
      <c r="AB799" s="622" t="n"/>
      <c r="AC799" s="622" t="n"/>
      <c r="AD799" s="622" t="n"/>
      <c r="AE799" s="622" t="n"/>
      <c r="AF799" s="622" t="n"/>
      <c r="AG799" s="622" t="n"/>
      <c r="AH799" s="622" t="n"/>
      <c r="AI799" s="622" t="n"/>
      <c r="AJ799" s="622" t="n"/>
      <c r="AK799" s="622" t="n"/>
      <c r="AL799" s="622" t="n"/>
      <c r="AM799" s="622" t="n"/>
      <c r="AN799" s="622" t="n"/>
      <c r="AO799" s="622" t="n"/>
      <c r="AP799" s="622" t="n"/>
      <c r="AQ799" s="622" t="n"/>
      <c r="AR799" s="622" t="n"/>
      <c r="AS799" s="622" t="n"/>
      <c r="AT799" s="622" t="n"/>
      <c r="AU799" s="622" t="n"/>
      <c r="AV799" s="622" t="n"/>
      <c r="AW799" s="622" t="n"/>
      <c r="AX799" s="622" t="n"/>
      <c r="AY799" s="622" t="n"/>
    </row>
    <row r="800">
      <c r="A800" s="622" t="n"/>
      <c r="B800" s="622" t="n"/>
      <c r="C800" s="622" t="n"/>
      <c r="D800" s="622" t="n"/>
      <c r="E800" s="622" t="n"/>
      <c r="F800" s="622" t="n"/>
      <c r="G800" s="622" t="n"/>
      <c r="H800" s="622" t="n"/>
      <c r="I800" s="622" t="n"/>
      <c r="J800" s="622" t="n"/>
      <c r="K800" s="622" t="n"/>
      <c r="L800" s="622" t="n"/>
      <c r="M800" s="622" t="n"/>
      <c r="N800" s="622" t="n"/>
      <c r="O800" s="622" t="n"/>
      <c r="P800" s="622" t="n"/>
      <c r="Q800" s="622" t="n"/>
      <c r="R800" s="622" t="n"/>
      <c r="S800" s="622" t="n"/>
      <c r="T800" s="622" t="n"/>
      <c r="U800" s="622" t="n"/>
      <c r="V800" s="622" t="n"/>
      <c r="W800" s="622" t="n"/>
      <c r="X800" s="622" t="n"/>
      <c r="Y800" s="622" t="n"/>
      <c r="Z800" s="622" t="n"/>
      <c r="AA800" s="622" t="n"/>
      <c r="AB800" s="622" t="n"/>
      <c r="AC800" s="622" t="n"/>
      <c r="AD800" s="622" t="n"/>
      <c r="AE800" s="622" t="n"/>
      <c r="AF800" s="622" t="n"/>
      <c r="AG800" s="622" t="n"/>
      <c r="AH800" s="622" t="n"/>
      <c r="AI800" s="622" t="n"/>
      <c r="AJ800" s="622" t="n"/>
      <c r="AK800" s="622" t="n"/>
      <c r="AL800" s="622" t="n"/>
      <c r="AM800" s="622" t="n"/>
      <c r="AN800" s="622" t="n"/>
      <c r="AO800" s="622" t="n"/>
      <c r="AP800" s="622" t="n"/>
      <c r="AQ800" s="622" t="n"/>
      <c r="AR800" s="622" t="n"/>
      <c r="AS800" s="622" t="n"/>
      <c r="AT800" s="622" t="n"/>
      <c r="AU800" s="622" t="n"/>
      <c r="AV800" s="622" t="n"/>
      <c r="AW800" s="622" t="n"/>
      <c r="AX800" s="622" t="n"/>
      <c r="AY800" s="622" t="n"/>
    </row>
    <row r="801">
      <c r="A801" s="622" t="n"/>
      <c r="B801" s="622" t="n"/>
      <c r="C801" s="622" t="n"/>
      <c r="D801" s="622" t="n"/>
      <c r="E801" s="622" t="n"/>
      <c r="F801" s="622" t="n"/>
      <c r="G801" s="622" t="n"/>
      <c r="H801" s="622" t="n"/>
      <c r="I801" s="622" t="n"/>
      <c r="J801" s="622" t="n"/>
      <c r="K801" s="622" t="n"/>
      <c r="L801" s="622" t="n"/>
      <c r="M801" s="622" t="n"/>
      <c r="N801" s="622" t="n"/>
      <c r="O801" s="622" t="n"/>
      <c r="P801" s="622" t="n"/>
      <c r="Q801" s="622" t="n"/>
      <c r="R801" s="622" t="n"/>
      <c r="S801" s="622" t="n"/>
      <c r="T801" s="622" t="n"/>
      <c r="U801" s="622" t="n"/>
      <c r="V801" s="622" t="n"/>
      <c r="W801" s="622" t="n"/>
      <c r="X801" s="622" t="n"/>
      <c r="Y801" s="622" t="n"/>
      <c r="Z801" s="622" t="n"/>
      <c r="AA801" s="622" t="n"/>
      <c r="AB801" s="622" t="n"/>
      <c r="AC801" s="622" t="n"/>
      <c r="AD801" s="622" t="n"/>
      <c r="AE801" s="622" t="n"/>
      <c r="AF801" s="622" t="n"/>
      <c r="AG801" s="622" t="n"/>
      <c r="AH801" s="622" t="n"/>
      <c r="AI801" s="622" t="n"/>
      <c r="AJ801" s="622" t="n"/>
      <c r="AK801" s="622" t="n"/>
      <c r="AL801" s="622" t="n"/>
      <c r="AM801" s="622" t="n"/>
      <c r="AN801" s="622" t="n"/>
      <c r="AO801" s="622" t="n"/>
      <c r="AP801" s="622" t="n"/>
      <c r="AQ801" s="622" t="n"/>
      <c r="AR801" s="622" t="n"/>
      <c r="AS801" s="622" t="n"/>
      <c r="AT801" s="622" t="n"/>
      <c r="AU801" s="622" t="n"/>
      <c r="AV801" s="622" t="n"/>
      <c r="AW801" s="622" t="n"/>
      <c r="AX801" s="622" t="n"/>
      <c r="AY801" s="622" t="n"/>
    </row>
    <row r="802">
      <c r="A802" s="622" t="n"/>
      <c r="B802" s="622" t="n"/>
      <c r="C802" s="622" t="n"/>
      <c r="D802" s="622" t="n"/>
      <c r="E802" s="622" t="n"/>
      <c r="F802" s="622" t="n"/>
      <c r="G802" s="622" t="n"/>
      <c r="H802" s="622" t="n"/>
      <c r="I802" s="622" t="n"/>
      <c r="J802" s="622" t="n"/>
      <c r="K802" s="622" t="n"/>
      <c r="L802" s="622" t="n"/>
      <c r="M802" s="622" t="n"/>
      <c r="N802" s="622" t="n"/>
      <c r="O802" s="622" t="n"/>
      <c r="P802" s="622" t="n"/>
      <c r="Q802" s="622" t="n"/>
      <c r="R802" s="622" t="n"/>
      <c r="S802" s="622" t="n"/>
      <c r="T802" s="622" t="n"/>
      <c r="U802" s="622" t="n"/>
      <c r="V802" s="622" t="n"/>
      <c r="W802" s="622" t="n"/>
      <c r="X802" s="622" t="n"/>
      <c r="Y802" s="622" t="n"/>
      <c r="Z802" s="622" t="n"/>
      <c r="AA802" s="622" t="n"/>
      <c r="AB802" s="622" t="n"/>
      <c r="AC802" s="622" t="n"/>
      <c r="AD802" s="622" t="n"/>
      <c r="AE802" s="622" t="n"/>
      <c r="AF802" s="622" t="n"/>
      <c r="AG802" s="622" t="n"/>
      <c r="AH802" s="622" t="n"/>
      <c r="AI802" s="622" t="n"/>
      <c r="AJ802" s="622" t="n"/>
      <c r="AK802" s="622" t="n"/>
      <c r="AL802" s="622" t="n"/>
      <c r="AM802" s="622" t="n"/>
      <c r="AN802" s="622" t="n"/>
      <c r="AO802" s="622" t="n"/>
      <c r="AP802" s="622" t="n"/>
      <c r="AQ802" s="622" t="n"/>
      <c r="AR802" s="622" t="n"/>
      <c r="AS802" s="622" t="n"/>
      <c r="AT802" s="622" t="n"/>
      <c r="AU802" s="622" t="n"/>
      <c r="AV802" s="622" t="n"/>
      <c r="AW802" s="622" t="n"/>
      <c r="AX802" s="622" t="n"/>
      <c r="AY802" s="622" t="n"/>
    </row>
    <row r="803">
      <c r="A803" s="622" t="n"/>
      <c r="B803" s="622" t="n"/>
      <c r="C803" s="622" t="n"/>
      <c r="D803" s="622" t="n"/>
      <c r="E803" s="622" t="n"/>
      <c r="F803" s="622" t="n"/>
      <c r="G803" s="622" t="n"/>
      <c r="H803" s="622" t="n"/>
      <c r="I803" s="622" t="n"/>
      <c r="J803" s="622" t="n"/>
      <c r="K803" s="622" t="n"/>
      <c r="L803" s="622" t="n"/>
      <c r="M803" s="622" t="n"/>
      <c r="N803" s="622" t="n"/>
      <c r="O803" s="622" t="n"/>
      <c r="P803" s="622" t="n"/>
      <c r="Q803" s="622" t="n"/>
      <c r="R803" s="622" t="n"/>
      <c r="S803" s="622" t="n"/>
      <c r="T803" s="622" t="n"/>
      <c r="U803" s="622" t="n"/>
      <c r="V803" s="622" t="n"/>
      <c r="W803" s="622" t="n"/>
      <c r="X803" s="622" t="n"/>
      <c r="Y803" s="622" t="n"/>
      <c r="Z803" s="622" t="n"/>
      <c r="AA803" s="622" t="n"/>
      <c r="AB803" s="622" t="n"/>
      <c r="AC803" s="622" t="n"/>
      <c r="AD803" s="622" t="n"/>
      <c r="AE803" s="622" t="n"/>
      <c r="AF803" s="622" t="n"/>
      <c r="AG803" s="622" t="n"/>
      <c r="AH803" s="622" t="n"/>
      <c r="AI803" s="622" t="n"/>
      <c r="AJ803" s="622" t="n"/>
      <c r="AK803" s="622" t="n"/>
      <c r="AL803" s="622" t="n"/>
      <c r="AM803" s="622" t="n"/>
      <c r="AN803" s="622" t="n"/>
      <c r="AO803" s="622" t="n"/>
      <c r="AP803" s="622" t="n"/>
      <c r="AQ803" s="622" t="n"/>
      <c r="AR803" s="622" t="n"/>
      <c r="AS803" s="622" t="n"/>
      <c r="AT803" s="622" t="n"/>
      <c r="AU803" s="622" t="n"/>
      <c r="AV803" s="622" t="n"/>
      <c r="AW803" s="622" t="n"/>
      <c r="AX803" s="622" t="n"/>
      <c r="AY803" s="622" t="n"/>
    </row>
    <row r="804">
      <c r="A804" s="622" t="n"/>
      <c r="B804" s="622" t="n"/>
      <c r="C804" s="622" t="n"/>
      <c r="D804" s="622" t="n"/>
      <c r="E804" s="622" t="n"/>
      <c r="F804" s="622" t="n"/>
      <c r="G804" s="622" t="n"/>
      <c r="H804" s="622" t="n"/>
      <c r="I804" s="622" t="n"/>
      <c r="J804" s="622" t="n"/>
      <c r="K804" s="622" t="n"/>
      <c r="L804" s="622" t="n"/>
      <c r="M804" s="622" t="n"/>
      <c r="N804" s="622" t="n"/>
      <c r="O804" s="622" t="n"/>
      <c r="P804" s="622" t="n"/>
      <c r="Q804" s="622" t="n"/>
      <c r="R804" s="622" t="n"/>
      <c r="S804" s="622" t="n"/>
      <c r="T804" s="622" t="n"/>
      <c r="U804" s="622" t="n"/>
      <c r="V804" s="622" t="n"/>
      <c r="W804" s="622" t="n"/>
      <c r="X804" s="622" t="n"/>
      <c r="Y804" s="622" t="n"/>
      <c r="Z804" s="622" t="n"/>
      <c r="AA804" s="622" t="n"/>
      <c r="AB804" s="622" t="n"/>
      <c r="AC804" s="622" t="n"/>
      <c r="AD804" s="622" t="n"/>
      <c r="AE804" s="622" t="n"/>
      <c r="AF804" s="622" t="n"/>
      <c r="AG804" s="622" t="n"/>
      <c r="AH804" s="622" t="n"/>
      <c r="AI804" s="622" t="n"/>
      <c r="AJ804" s="622" t="n"/>
      <c r="AK804" s="622" t="n"/>
      <c r="AL804" s="622" t="n"/>
      <c r="AM804" s="622" t="n"/>
      <c r="AN804" s="622" t="n"/>
      <c r="AO804" s="622" t="n"/>
      <c r="AP804" s="622" t="n"/>
      <c r="AQ804" s="622" t="n"/>
      <c r="AR804" s="622" t="n"/>
      <c r="AS804" s="622" t="n"/>
      <c r="AT804" s="622" t="n"/>
      <c r="AU804" s="622" t="n"/>
      <c r="AV804" s="622" t="n"/>
      <c r="AW804" s="622" t="n"/>
      <c r="AX804" s="622" t="n"/>
      <c r="AY804" s="622" t="n"/>
    </row>
    <row r="805">
      <c r="A805" s="622" t="n"/>
      <c r="B805" s="622" t="n"/>
      <c r="C805" s="622" t="n"/>
      <c r="D805" s="622" t="n"/>
      <c r="E805" s="622" t="n"/>
      <c r="F805" s="622" t="n"/>
      <c r="G805" s="622" t="n"/>
      <c r="H805" s="622" t="n"/>
      <c r="I805" s="622" t="n"/>
      <c r="J805" s="622" t="n"/>
      <c r="K805" s="622" t="n"/>
      <c r="L805" s="622" t="n"/>
      <c r="M805" s="622" t="n"/>
      <c r="N805" s="622" t="n"/>
      <c r="O805" s="622" t="n"/>
      <c r="P805" s="622" t="n"/>
      <c r="Q805" s="622" t="n"/>
      <c r="R805" s="622" t="n"/>
      <c r="S805" s="622" t="n"/>
      <c r="T805" s="622" t="n"/>
      <c r="U805" s="622" t="n"/>
      <c r="V805" s="622" t="n"/>
      <c r="W805" s="622" t="n"/>
      <c r="X805" s="622" t="n"/>
      <c r="Y805" s="622" t="n"/>
      <c r="Z805" s="622" t="n"/>
      <c r="AA805" s="622" t="n"/>
      <c r="AB805" s="622" t="n"/>
      <c r="AC805" s="622" t="n"/>
      <c r="AD805" s="622" t="n"/>
      <c r="AE805" s="622" t="n"/>
      <c r="AF805" s="622" t="n"/>
      <c r="AG805" s="622" t="n"/>
      <c r="AH805" s="622" t="n"/>
      <c r="AI805" s="622" t="n"/>
      <c r="AJ805" s="622" t="n"/>
      <c r="AK805" s="622" t="n"/>
      <c r="AL805" s="622" t="n"/>
      <c r="AM805" s="622" t="n"/>
      <c r="AN805" s="622" t="n"/>
      <c r="AO805" s="622" t="n"/>
      <c r="AP805" s="622" t="n"/>
      <c r="AQ805" s="622" t="n"/>
      <c r="AR805" s="622" t="n"/>
      <c r="AS805" s="622" t="n"/>
      <c r="AT805" s="622" t="n"/>
      <c r="AU805" s="622" t="n"/>
      <c r="AV805" s="622" t="n"/>
      <c r="AW805" s="622" t="n"/>
      <c r="AX805" s="622" t="n"/>
      <c r="AY805" s="622" t="n"/>
    </row>
    <row r="806">
      <c r="A806" s="622" t="n"/>
      <c r="B806" s="622" t="n"/>
      <c r="C806" s="622" t="n"/>
      <c r="D806" s="622" t="n"/>
      <c r="E806" s="622" t="n"/>
      <c r="F806" s="622" t="n"/>
      <c r="G806" s="622" t="n"/>
      <c r="H806" s="622" t="n"/>
      <c r="I806" s="622" t="n"/>
      <c r="J806" s="622" t="n"/>
      <c r="K806" s="622" t="n"/>
      <c r="L806" s="622" t="n"/>
      <c r="M806" s="622" t="n"/>
      <c r="N806" s="622" t="n"/>
      <c r="O806" s="622" t="n"/>
      <c r="P806" s="622" t="n"/>
      <c r="Q806" s="622" t="n"/>
      <c r="R806" s="622" t="n"/>
      <c r="S806" s="622" t="n"/>
      <c r="T806" s="622" t="n"/>
      <c r="U806" s="622" t="n"/>
      <c r="V806" s="622" t="n"/>
      <c r="W806" s="622" t="n"/>
      <c r="X806" s="622" t="n"/>
      <c r="Y806" s="622" t="n"/>
      <c r="Z806" s="622" t="n"/>
      <c r="AA806" s="622" t="n"/>
      <c r="AB806" s="622" t="n"/>
      <c r="AC806" s="622" t="n"/>
      <c r="AD806" s="622" t="n"/>
      <c r="AE806" s="622" t="n"/>
      <c r="AF806" s="622" t="n"/>
      <c r="AG806" s="622" t="n"/>
      <c r="AH806" s="622" t="n"/>
      <c r="AI806" s="622" t="n"/>
      <c r="AJ806" s="622" t="n"/>
      <c r="AK806" s="622" t="n"/>
      <c r="AL806" s="622" t="n"/>
      <c r="AM806" s="622" t="n"/>
      <c r="AN806" s="622" t="n"/>
      <c r="AO806" s="622" t="n"/>
      <c r="AP806" s="622" t="n"/>
      <c r="AQ806" s="622" t="n"/>
      <c r="AR806" s="622" t="n"/>
      <c r="AS806" s="622" t="n"/>
      <c r="AT806" s="622" t="n"/>
      <c r="AU806" s="622" t="n"/>
      <c r="AV806" s="622" t="n"/>
      <c r="AW806" s="622" t="n"/>
      <c r="AX806" s="622" t="n"/>
      <c r="AY806" s="622" t="n"/>
    </row>
    <row r="807">
      <c r="A807" s="622" t="n"/>
      <c r="B807" s="622" t="n"/>
      <c r="C807" s="622" t="n"/>
      <c r="D807" s="622" t="n"/>
      <c r="E807" s="622" t="n"/>
      <c r="F807" s="622" t="n"/>
      <c r="G807" s="622" t="n"/>
      <c r="H807" s="622" t="n"/>
      <c r="I807" s="622" t="n"/>
      <c r="J807" s="622" t="n"/>
      <c r="K807" s="622" t="n"/>
      <c r="L807" s="622" t="n"/>
      <c r="M807" s="622" t="n"/>
      <c r="N807" s="622" t="n"/>
      <c r="O807" s="622" t="n"/>
      <c r="P807" s="622" t="n"/>
      <c r="Q807" s="622" t="n"/>
      <c r="R807" s="622" t="n"/>
      <c r="S807" s="622" t="n"/>
      <c r="T807" s="622" t="n"/>
      <c r="U807" s="622" t="n"/>
      <c r="V807" s="622" t="n"/>
      <c r="W807" s="622" t="n"/>
      <c r="X807" s="622" t="n"/>
      <c r="Y807" s="622" t="n"/>
      <c r="Z807" s="622" t="n"/>
      <c r="AA807" s="622" t="n"/>
      <c r="AB807" s="622" t="n"/>
      <c r="AC807" s="622" t="n"/>
      <c r="AD807" s="622" t="n"/>
      <c r="AE807" s="622" t="n"/>
      <c r="AF807" s="622" t="n"/>
      <c r="AG807" s="622" t="n"/>
      <c r="AH807" s="622" t="n"/>
      <c r="AI807" s="622" t="n"/>
      <c r="AJ807" s="622" t="n"/>
      <c r="AK807" s="622" t="n"/>
      <c r="AL807" s="622" t="n"/>
      <c r="AM807" s="622" t="n"/>
      <c r="AN807" s="622" t="n"/>
      <c r="AO807" s="622" t="n"/>
      <c r="AP807" s="622" t="n"/>
      <c r="AQ807" s="622" t="n"/>
      <c r="AR807" s="622" t="n"/>
      <c r="AS807" s="622" t="n"/>
      <c r="AT807" s="622" t="n"/>
      <c r="AU807" s="622" t="n"/>
      <c r="AV807" s="622" t="n"/>
      <c r="AW807" s="622" t="n"/>
      <c r="AX807" s="622" t="n"/>
      <c r="AY807" s="622" t="n"/>
    </row>
    <row r="808">
      <c r="A808" s="622" t="n"/>
      <c r="B808" s="622" t="n"/>
      <c r="C808" s="622" t="n"/>
      <c r="D808" s="622" t="n"/>
      <c r="E808" s="622" t="n"/>
      <c r="F808" s="622" t="n"/>
      <c r="G808" s="622" t="n"/>
      <c r="H808" s="622" t="n"/>
      <c r="I808" s="622" t="n"/>
      <c r="J808" s="622" t="n"/>
      <c r="K808" s="622" t="n"/>
      <c r="L808" s="622" t="n"/>
      <c r="M808" s="622" t="n"/>
      <c r="N808" s="622" t="n"/>
      <c r="O808" s="622" t="n"/>
      <c r="P808" s="622" t="n"/>
      <c r="Q808" s="622" t="n"/>
      <c r="R808" s="622" t="n"/>
      <c r="S808" s="622" t="n"/>
      <c r="T808" s="622" t="n"/>
      <c r="U808" s="622" t="n"/>
      <c r="V808" s="622" t="n"/>
      <c r="W808" s="622" t="n"/>
      <c r="X808" s="622" t="n"/>
      <c r="Y808" s="622" t="n"/>
      <c r="Z808" s="622" t="n"/>
      <c r="AA808" s="622" t="n"/>
      <c r="AB808" s="622" t="n"/>
      <c r="AC808" s="622" t="n"/>
      <c r="AD808" s="622" t="n"/>
      <c r="AE808" s="622" t="n"/>
      <c r="AF808" s="622" t="n"/>
      <c r="AG808" s="622" t="n"/>
      <c r="AH808" s="622" t="n"/>
      <c r="AI808" s="622" t="n"/>
      <c r="AJ808" s="622" t="n"/>
      <c r="AK808" s="622" t="n"/>
      <c r="AL808" s="622" t="n"/>
      <c r="AM808" s="622" t="n"/>
      <c r="AN808" s="622" t="n"/>
      <c r="AO808" s="622" t="n"/>
      <c r="AP808" s="622" t="n"/>
      <c r="AQ808" s="622" t="n"/>
      <c r="AR808" s="622" t="n"/>
      <c r="AS808" s="622" t="n"/>
      <c r="AT808" s="622" t="n"/>
      <c r="AU808" s="622" t="n"/>
      <c r="AV808" s="622" t="n"/>
      <c r="AW808" s="622" t="n"/>
      <c r="AX808" s="622" t="n"/>
      <c r="AY808" s="622" t="n"/>
    </row>
    <row r="809">
      <c r="A809" s="622" t="n"/>
      <c r="B809" s="622" t="n"/>
      <c r="C809" s="622" t="n"/>
      <c r="D809" s="622" t="n"/>
      <c r="E809" s="622" t="n"/>
      <c r="F809" s="622" t="n"/>
      <c r="G809" s="622" t="n"/>
      <c r="H809" s="622" t="n"/>
      <c r="I809" s="622" t="n"/>
      <c r="J809" s="622" t="n"/>
      <c r="K809" s="622" t="n"/>
      <c r="L809" s="622" t="n"/>
      <c r="M809" s="622" t="n"/>
      <c r="N809" s="622" t="n"/>
      <c r="O809" s="622" t="n"/>
      <c r="P809" s="622" t="n"/>
      <c r="Q809" s="622" t="n"/>
      <c r="R809" s="622" t="n"/>
      <c r="S809" s="622" t="n"/>
      <c r="T809" s="622" t="n"/>
      <c r="U809" s="622" t="n"/>
      <c r="V809" s="622" t="n"/>
      <c r="W809" s="622" t="n"/>
      <c r="X809" s="622" t="n"/>
      <c r="Y809" s="622" t="n"/>
      <c r="Z809" s="622" t="n"/>
      <c r="AA809" s="622" t="n"/>
      <c r="AB809" s="622" t="n"/>
      <c r="AC809" s="622" t="n"/>
      <c r="AD809" s="622" t="n"/>
      <c r="AE809" s="622" t="n"/>
      <c r="AF809" s="622" t="n"/>
      <c r="AG809" s="622" t="n"/>
      <c r="AH809" s="622" t="n"/>
      <c r="AI809" s="622" t="n"/>
      <c r="AJ809" s="622" t="n"/>
      <c r="AK809" s="622" t="n"/>
      <c r="AL809" s="622" t="n"/>
      <c r="AM809" s="622" t="n"/>
      <c r="AN809" s="622" t="n"/>
      <c r="AO809" s="622" t="n"/>
      <c r="AP809" s="622" t="n"/>
      <c r="AQ809" s="622" t="n"/>
      <c r="AR809" s="622" t="n"/>
      <c r="AS809" s="622" t="n"/>
      <c r="AT809" s="622" t="n"/>
      <c r="AU809" s="622" t="n"/>
      <c r="AV809" s="622" t="n"/>
      <c r="AW809" s="622" t="n"/>
      <c r="AX809" s="622" t="n"/>
      <c r="AY809" s="622" t="n"/>
    </row>
    <row r="810">
      <c r="A810" s="622" t="n"/>
      <c r="B810" s="622" t="n"/>
      <c r="C810" s="622" t="n"/>
      <c r="D810" s="622" t="n"/>
      <c r="E810" s="622" t="n"/>
      <c r="F810" s="622" t="n"/>
      <c r="G810" s="622" t="n"/>
      <c r="H810" s="622" t="n"/>
      <c r="I810" s="622" t="n"/>
      <c r="J810" s="622" t="n"/>
      <c r="K810" s="622" t="n"/>
      <c r="L810" s="622" t="n"/>
      <c r="M810" s="622" t="n"/>
      <c r="N810" s="622" t="n"/>
      <c r="O810" s="622" t="n"/>
      <c r="P810" s="622" t="n"/>
      <c r="Q810" s="622" t="n"/>
      <c r="R810" s="622" t="n"/>
      <c r="S810" s="622" t="n"/>
      <c r="T810" s="622" t="n"/>
      <c r="U810" s="622" t="n"/>
      <c r="V810" s="622" t="n"/>
      <c r="W810" s="622" t="n"/>
      <c r="X810" s="622" t="n"/>
      <c r="Y810" s="622" t="n"/>
      <c r="Z810" s="622" t="n"/>
      <c r="AA810" s="622" t="n"/>
      <c r="AB810" s="622" t="n"/>
      <c r="AC810" s="622" t="n"/>
      <c r="AD810" s="622" t="n"/>
      <c r="AE810" s="622" t="n"/>
      <c r="AF810" s="622" t="n"/>
      <c r="AG810" s="622" t="n"/>
      <c r="AH810" s="622" t="n"/>
      <c r="AI810" s="622" t="n"/>
      <c r="AJ810" s="622" t="n"/>
      <c r="AK810" s="622" t="n"/>
      <c r="AL810" s="622" t="n"/>
      <c r="AM810" s="622" t="n"/>
      <c r="AN810" s="622" t="n"/>
      <c r="AO810" s="622" t="n"/>
      <c r="AP810" s="622" t="n"/>
      <c r="AQ810" s="622" t="n"/>
      <c r="AR810" s="622" t="n"/>
      <c r="AS810" s="622" t="n"/>
      <c r="AT810" s="622" t="n"/>
      <c r="AU810" s="622" t="n"/>
      <c r="AV810" s="622" t="n"/>
      <c r="AW810" s="622" t="n"/>
      <c r="AX810" s="622" t="n"/>
      <c r="AY810" s="622" t="n"/>
    </row>
    <row r="811">
      <c r="A811" s="622" t="n"/>
      <c r="B811" s="622" t="n"/>
      <c r="C811" s="622" t="n"/>
      <c r="D811" s="622" t="n"/>
      <c r="E811" s="622" t="n"/>
      <c r="F811" s="622" t="n"/>
      <c r="G811" s="622" t="n"/>
      <c r="H811" s="622" t="n"/>
      <c r="I811" s="622" t="n"/>
      <c r="J811" s="622" t="n"/>
      <c r="K811" s="622" t="n"/>
      <c r="L811" s="622" t="n"/>
      <c r="M811" s="622" t="n"/>
      <c r="N811" s="622" t="n"/>
      <c r="O811" s="622" t="n"/>
      <c r="P811" s="622" t="n"/>
      <c r="Q811" s="622" t="n"/>
      <c r="R811" s="622" t="n"/>
      <c r="S811" s="622" t="n"/>
      <c r="T811" s="622" t="n"/>
      <c r="U811" s="622" t="n"/>
      <c r="V811" s="622" t="n"/>
      <c r="W811" s="622" t="n"/>
      <c r="X811" s="622" t="n"/>
      <c r="Y811" s="622" t="n"/>
      <c r="Z811" s="622" t="n"/>
      <c r="AA811" s="622" t="n"/>
      <c r="AB811" s="622" t="n"/>
      <c r="AC811" s="622" t="n"/>
      <c r="AD811" s="622" t="n"/>
      <c r="AE811" s="622" t="n"/>
      <c r="AF811" s="622" t="n"/>
      <c r="AG811" s="622" t="n"/>
      <c r="AH811" s="622" t="n"/>
      <c r="AI811" s="622" t="n"/>
      <c r="AJ811" s="622" t="n"/>
      <c r="AK811" s="622" t="n"/>
      <c r="AL811" s="622" t="n"/>
      <c r="AM811" s="622" t="n"/>
      <c r="AN811" s="622" t="n"/>
      <c r="AO811" s="622" t="n"/>
      <c r="AP811" s="622" t="n"/>
      <c r="AQ811" s="622" t="n"/>
      <c r="AR811" s="622" t="n"/>
      <c r="AS811" s="622" t="n"/>
      <c r="AT811" s="622" t="n"/>
      <c r="AU811" s="622" t="n"/>
      <c r="AV811" s="622" t="n"/>
      <c r="AW811" s="622" t="n"/>
      <c r="AX811" s="622" t="n"/>
      <c r="AY811" s="622" t="n"/>
    </row>
    <row r="812">
      <c r="A812" s="622" t="n"/>
      <c r="B812" s="622" t="n"/>
      <c r="C812" s="622" t="n"/>
      <c r="D812" s="622" t="n"/>
      <c r="E812" s="622" t="n"/>
      <c r="F812" s="622" t="n"/>
      <c r="G812" s="622" t="n"/>
      <c r="H812" s="622" t="n"/>
      <c r="I812" s="622" t="n"/>
      <c r="J812" s="622" t="n"/>
      <c r="K812" s="622" t="n"/>
      <c r="L812" s="622" t="n"/>
      <c r="M812" s="622" t="n"/>
      <c r="N812" s="622" t="n"/>
      <c r="O812" s="622" t="n"/>
      <c r="P812" s="622" t="n"/>
      <c r="Q812" s="622" t="n"/>
      <c r="R812" s="622" t="n"/>
      <c r="S812" s="622" t="n"/>
      <c r="T812" s="622" t="n"/>
      <c r="U812" s="622" t="n"/>
      <c r="V812" s="622" t="n"/>
      <c r="W812" s="622" t="n"/>
      <c r="X812" s="622" t="n"/>
      <c r="Y812" s="622" t="n"/>
      <c r="Z812" s="622" t="n"/>
      <c r="AA812" s="622" t="n"/>
      <c r="AB812" s="622" t="n"/>
      <c r="AC812" s="622" t="n"/>
      <c r="AD812" s="622" t="n"/>
      <c r="AE812" s="622" t="n"/>
      <c r="AF812" s="622" t="n"/>
      <c r="AG812" s="622" t="n"/>
      <c r="AH812" s="622" t="n"/>
      <c r="AI812" s="622" t="n"/>
      <c r="AJ812" s="622" t="n"/>
      <c r="AK812" s="622" t="n"/>
      <c r="AL812" s="622" t="n"/>
      <c r="AM812" s="622" t="n"/>
      <c r="AN812" s="622" t="n"/>
      <c r="AO812" s="622" t="n"/>
      <c r="AP812" s="622" t="n"/>
      <c r="AQ812" s="622" t="n"/>
      <c r="AR812" s="622" t="n"/>
      <c r="AS812" s="622" t="n"/>
      <c r="AT812" s="622" t="n"/>
      <c r="AU812" s="622" t="n"/>
      <c r="AV812" s="622" t="n"/>
      <c r="AW812" s="622" t="n"/>
      <c r="AX812" s="622" t="n"/>
      <c r="AY812" s="622" t="n"/>
    </row>
    <row r="813">
      <c r="A813" s="622" t="n"/>
      <c r="B813" s="622" t="n"/>
      <c r="C813" s="622" t="n"/>
      <c r="D813" s="622" t="n"/>
      <c r="E813" s="622" t="n"/>
      <c r="F813" s="622" t="n"/>
      <c r="G813" s="622" t="n"/>
      <c r="H813" s="622" t="n"/>
      <c r="I813" s="622" t="n"/>
      <c r="J813" s="622" t="n"/>
      <c r="K813" s="622" t="n"/>
      <c r="L813" s="622" t="n"/>
      <c r="M813" s="622" t="n"/>
      <c r="N813" s="622" t="n"/>
      <c r="O813" s="622" t="n"/>
      <c r="P813" s="622" t="n"/>
      <c r="Q813" s="622" t="n"/>
      <c r="R813" s="622" t="n"/>
      <c r="S813" s="622" t="n"/>
      <c r="T813" s="622" t="n"/>
      <c r="U813" s="622" t="n"/>
      <c r="V813" s="622" t="n"/>
      <c r="W813" s="622" t="n"/>
      <c r="X813" s="622" t="n"/>
      <c r="Y813" s="622" t="n"/>
      <c r="Z813" s="622" t="n"/>
      <c r="AA813" s="622" t="n"/>
      <c r="AB813" s="622" t="n"/>
      <c r="AC813" s="622" t="n"/>
      <c r="AD813" s="622" t="n"/>
      <c r="AE813" s="622" t="n"/>
      <c r="AF813" s="622" t="n"/>
      <c r="AG813" s="622" t="n"/>
      <c r="AH813" s="622" t="n"/>
      <c r="AI813" s="622" t="n"/>
      <c r="AJ813" s="622" t="n"/>
      <c r="AK813" s="622" t="n"/>
      <c r="AL813" s="622" t="n"/>
      <c r="AM813" s="622" t="n"/>
      <c r="AN813" s="622" t="n"/>
      <c r="AO813" s="622" t="n"/>
      <c r="AP813" s="622" t="n"/>
      <c r="AQ813" s="622" t="n"/>
      <c r="AR813" s="622" t="n"/>
      <c r="AS813" s="622" t="n"/>
      <c r="AT813" s="622" t="n"/>
      <c r="AU813" s="622" t="n"/>
      <c r="AV813" s="622" t="n"/>
      <c r="AW813" s="622" t="n"/>
      <c r="AX813" s="622" t="n"/>
      <c r="AY813" s="622" t="n"/>
    </row>
    <row r="814">
      <c r="A814" s="622" t="n"/>
      <c r="B814" s="622" t="n"/>
      <c r="C814" s="622" t="n"/>
      <c r="D814" s="622" t="n"/>
      <c r="E814" s="622" t="n"/>
      <c r="F814" s="622" t="n"/>
      <c r="G814" s="622" t="n"/>
      <c r="H814" s="622" t="n"/>
      <c r="I814" s="622" t="n"/>
      <c r="J814" s="622" t="n"/>
      <c r="K814" s="622" t="n"/>
      <c r="L814" s="622" t="n"/>
      <c r="M814" s="622" t="n"/>
      <c r="N814" s="622" t="n"/>
      <c r="O814" s="622" t="n"/>
      <c r="P814" s="622" t="n"/>
      <c r="Q814" s="622" t="n"/>
      <c r="R814" s="622" t="n"/>
      <c r="S814" s="622" t="n"/>
      <c r="T814" s="622" t="n"/>
      <c r="U814" s="622" t="n"/>
      <c r="V814" s="622" t="n"/>
      <c r="W814" s="622" t="n"/>
      <c r="X814" s="622" t="n"/>
      <c r="Y814" s="622" t="n"/>
      <c r="Z814" s="622" t="n"/>
      <c r="AA814" s="622" t="n"/>
      <c r="AB814" s="622" t="n"/>
      <c r="AC814" s="622" t="n"/>
      <c r="AD814" s="622" t="n"/>
      <c r="AE814" s="622" t="n"/>
      <c r="AF814" s="622" t="n"/>
      <c r="AG814" s="622" t="n"/>
      <c r="AH814" s="622" t="n"/>
      <c r="AI814" s="622" t="n"/>
      <c r="AJ814" s="622" t="n"/>
      <c r="AK814" s="622" t="n"/>
      <c r="AL814" s="622" t="n"/>
      <c r="AM814" s="622" t="n"/>
      <c r="AN814" s="622" t="n"/>
      <c r="AO814" s="622" t="n"/>
      <c r="AP814" s="622" t="n"/>
      <c r="AQ814" s="622" t="n"/>
      <c r="AR814" s="622" t="n"/>
      <c r="AS814" s="622" t="n"/>
      <c r="AT814" s="622" t="n"/>
      <c r="AU814" s="622" t="n"/>
      <c r="AV814" s="622" t="n"/>
      <c r="AW814" s="622" t="n"/>
      <c r="AX814" s="622" t="n"/>
      <c r="AY814" s="622" t="n"/>
    </row>
    <row r="815">
      <c r="A815" s="622" t="n"/>
      <c r="B815" s="622" t="n"/>
      <c r="C815" s="622" t="n"/>
      <c r="D815" s="622" t="n"/>
      <c r="E815" s="622" t="n"/>
      <c r="F815" s="622" t="n"/>
      <c r="G815" s="622" t="n"/>
      <c r="H815" s="622" t="n"/>
      <c r="I815" s="622" t="n"/>
      <c r="J815" s="622" t="n"/>
      <c r="K815" s="622" t="n"/>
      <c r="L815" s="622" t="n"/>
      <c r="M815" s="622" t="n"/>
      <c r="N815" s="622" t="n"/>
      <c r="O815" s="622" t="n"/>
      <c r="P815" s="622" t="n"/>
      <c r="Q815" s="622" t="n"/>
      <c r="R815" s="622" t="n"/>
      <c r="S815" s="622" t="n"/>
      <c r="T815" s="622" t="n"/>
      <c r="U815" s="622" t="n"/>
      <c r="V815" s="622" t="n"/>
      <c r="W815" s="622" t="n"/>
      <c r="X815" s="622" t="n"/>
      <c r="Y815" s="622" t="n"/>
      <c r="Z815" s="622" t="n"/>
      <c r="AA815" s="622" t="n"/>
      <c r="AB815" s="622" t="n"/>
      <c r="AC815" s="622" t="n"/>
      <c r="AD815" s="622" t="n"/>
      <c r="AE815" s="622" t="n"/>
      <c r="AF815" s="622" t="n"/>
      <c r="AG815" s="622" t="n"/>
      <c r="AH815" s="622" t="n"/>
      <c r="AI815" s="622" t="n"/>
      <c r="AJ815" s="622" t="n"/>
      <c r="AK815" s="622" t="n"/>
      <c r="AL815" s="622" t="n"/>
      <c r="AM815" s="622" t="n"/>
      <c r="AN815" s="622" t="n"/>
      <c r="AO815" s="622" t="n"/>
      <c r="AP815" s="622" t="n"/>
      <c r="AQ815" s="622" t="n"/>
      <c r="AR815" s="622" t="n"/>
      <c r="AS815" s="622" t="n"/>
      <c r="AT815" s="622" t="n"/>
      <c r="AU815" s="622" t="n"/>
      <c r="AV815" s="622" t="n"/>
      <c r="AW815" s="622" t="n"/>
      <c r="AX815" s="622" t="n"/>
      <c r="AY815" s="622" t="n"/>
    </row>
    <row r="816">
      <c r="A816" s="622" t="n"/>
      <c r="B816" s="622" t="n"/>
      <c r="C816" s="622" t="n"/>
      <c r="D816" s="622" t="n"/>
      <c r="E816" s="622" t="n"/>
      <c r="F816" s="622" t="n"/>
      <c r="G816" s="622" t="n"/>
      <c r="H816" s="622" t="n"/>
      <c r="I816" s="622" t="n"/>
      <c r="J816" s="622" t="n"/>
      <c r="K816" s="622" t="n"/>
      <c r="L816" s="622" t="n"/>
      <c r="M816" s="622" t="n"/>
      <c r="N816" s="622" t="n"/>
      <c r="O816" s="622" t="n"/>
      <c r="P816" s="622" t="n"/>
      <c r="Q816" s="622" t="n"/>
      <c r="R816" s="622" t="n"/>
      <c r="S816" s="622" t="n"/>
      <c r="T816" s="622" t="n"/>
      <c r="U816" s="622" t="n"/>
      <c r="V816" s="622" t="n"/>
      <c r="W816" s="622" t="n"/>
      <c r="X816" s="622" t="n"/>
      <c r="Y816" s="622" t="n"/>
      <c r="Z816" s="622" t="n"/>
      <c r="AA816" s="622" t="n"/>
      <c r="AB816" s="622" t="n"/>
      <c r="AC816" s="622" t="n"/>
      <c r="AD816" s="622" t="n"/>
      <c r="AE816" s="622" t="n"/>
      <c r="AF816" s="622" t="n"/>
      <c r="AG816" s="622" t="n"/>
      <c r="AH816" s="622" t="n"/>
      <c r="AI816" s="622" t="n"/>
      <c r="AJ816" s="622" t="n"/>
      <c r="AK816" s="622" t="n"/>
      <c r="AL816" s="622" t="n"/>
      <c r="AM816" s="622" t="n"/>
      <c r="AN816" s="622" t="n"/>
      <c r="AO816" s="622" t="n"/>
      <c r="AP816" s="622" t="n"/>
      <c r="AQ816" s="622" t="n"/>
      <c r="AR816" s="622" t="n"/>
      <c r="AS816" s="622" t="n"/>
      <c r="AT816" s="622" t="n"/>
      <c r="AU816" s="622" t="n"/>
      <c r="AV816" s="622" t="n"/>
      <c r="AW816" s="622" t="n"/>
      <c r="AX816" s="622" t="n"/>
      <c r="AY816" s="622" t="n"/>
    </row>
    <row r="817">
      <c r="A817" s="622" t="n"/>
      <c r="B817" s="622" t="n"/>
      <c r="C817" s="622" t="n"/>
      <c r="D817" s="622" t="n"/>
      <c r="E817" s="622" t="n"/>
      <c r="F817" s="622" t="n"/>
      <c r="G817" s="622" t="n"/>
      <c r="H817" s="622" t="n"/>
      <c r="I817" s="622" t="n"/>
      <c r="J817" s="622" t="n"/>
      <c r="K817" s="622" t="n"/>
      <c r="L817" s="622" t="n"/>
      <c r="M817" s="622" t="n"/>
      <c r="N817" s="622" t="n"/>
      <c r="O817" s="622" t="n"/>
      <c r="P817" s="622" t="n"/>
      <c r="Q817" s="622" t="n"/>
      <c r="R817" s="622" t="n"/>
      <c r="S817" s="622" t="n"/>
      <c r="T817" s="622" t="n"/>
      <c r="U817" s="622" t="n"/>
      <c r="V817" s="622" t="n"/>
      <c r="W817" s="622" t="n"/>
      <c r="X817" s="622" t="n"/>
      <c r="Y817" s="622" t="n"/>
      <c r="Z817" s="622" t="n"/>
      <c r="AA817" s="622" t="n"/>
      <c r="AB817" s="622" t="n"/>
      <c r="AC817" s="622" t="n"/>
      <c r="AD817" s="622" t="n"/>
      <c r="AE817" s="622" t="n"/>
      <c r="AF817" s="622" t="n"/>
      <c r="AG817" s="622" t="n"/>
      <c r="AH817" s="622" t="n"/>
      <c r="AI817" s="622" t="n"/>
      <c r="AJ817" s="622" t="n"/>
      <c r="AK817" s="622" t="n"/>
      <c r="AL817" s="622" t="n"/>
      <c r="AM817" s="622" t="n"/>
      <c r="AN817" s="622" t="n"/>
      <c r="AO817" s="622" t="n"/>
      <c r="AP817" s="622" t="n"/>
      <c r="AQ817" s="622" t="n"/>
      <c r="AR817" s="622" t="n"/>
      <c r="AS817" s="622" t="n"/>
      <c r="AT817" s="622" t="n"/>
      <c r="AU817" s="622" t="n"/>
      <c r="AV817" s="622" t="n"/>
      <c r="AW817" s="622" t="n"/>
      <c r="AX817" s="622" t="n"/>
      <c r="AY817" s="622" t="n"/>
    </row>
    <row r="818">
      <c r="A818" s="622" t="n"/>
      <c r="B818" s="622" t="n"/>
      <c r="C818" s="622" t="n"/>
      <c r="D818" s="622" t="n"/>
      <c r="E818" s="622" t="n"/>
      <c r="F818" s="622" t="n"/>
      <c r="G818" s="622" t="n"/>
      <c r="H818" s="622" t="n"/>
      <c r="I818" s="622" t="n"/>
      <c r="J818" s="622" t="n"/>
      <c r="K818" s="622" t="n"/>
      <c r="L818" s="622" t="n"/>
      <c r="M818" s="622" t="n"/>
      <c r="N818" s="622" t="n"/>
      <c r="O818" s="622" t="n"/>
      <c r="P818" s="622" t="n"/>
      <c r="Q818" s="622" t="n"/>
      <c r="R818" s="622" t="n"/>
      <c r="S818" s="622" t="n"/>
      <c r="T818" s="622" t="n"/>
      <c r="U818" s="622" t="n"/>
      <c r="V818" s="622" t="n"/>
      <c r="W818" s="622" t="n"/>
      <c r="X818" s="622" t="n"/>
      <c r="Y818" s="622" t="n"/>
      <c r="Z818" s="622" t="n"/>
      <c r="AA818" s="622" t="n"/>
      <c r="AB818" s="622" t="n"/>
      <c r="AC818" s="622" t="n"/>
      <c r="AD818" s="622" t="n"/>
      <c r="AE818" s="622" t="n"/>
      <c r="AF818" s="622" t="n"/>
      <c r="AG818" s="622" t="n"/>
      <c r="AH818" s="622" t="n"/>
      <c r="AI818" s="622" t="n"/>
      <c r="AJ818" s="622" t="n"/>
      <c r="AK818" s="622" t="n"/>
      <c r="AL818" s="622" t="n"/>
      <c r="AM818" s="622" t="n"/>
      <c r="AN818" s="622" t="n"/>
      <c r="AO818" s="622" t="n"/>
      <c r="AP818" s="622" t="n"/>
      <c r="AQ818" s="622" t="n"/>
      <c r="AR818" s="622" t="n"/>
      <c r="AS818" s="622" t="n"/>
      <c r="AT818" s="622" t="n"/>
      <c r="AU818" s="622" t="n"/>
      <c r="AV818" s="622" t="n"/>
      <c r="AW818" s="622" t="n"/>
      <c r="AX818" s="622" t="n"/>
      <c r="AY818" s="622" t="n"/>
    </row>
    <row r="819">
      <c r="A819" s="622" t="n"/>
      <c r="B819" s="622" t="n"/>
      <c r="C819" s="622" t="n"/>
      <c r="D819" s="622" t="n"/>
      <c r="E819" s="622" t="n"/>
      <c r="F819" s="622" t="n"/>
      <c r="G819" s="622" t="n"/>
      <c r="H819" s="622" t="n"/>
      <c r="I819" s="622" t="n"/>
      <c r="J819" s="622" t="n"/>
      <c r="K819" s="622" t="n"/>
      <c r="L819" s="622" t="n"/>
      <c r="M819" s="622" t="n"/>
      <c r="N819" s="622" t="n"/>
      <c r="O819" s="622" t="n"/>
      <c r="P819" s="622" t="n"/>
      <c r="Q819" s="622" t="n"/>
      <c r="R819" s="622" t="n"/>
      <c r="S819" s="622" t="n"/>
      <c r="T819" s="622" t="n"/>
      <c r="U819" s="622" t="n"/>
      <c r="V819" s="622" t="n"/>
      <c r="W819" s="622" t="n"/>
      <c r="X819" s="622" t="n"/>
      <c r="Y819" s="622" t="n"/>
      <c r="Z819" s="622" t="n"/>
      <c r="AA819" s="622" t="n"/>
      <c r="AB819" s="622" t="n"/>
      <c r="AC819" s="622" t="n"/>
      <c r="AD819" s="622" t="n"/>
      <c r="AE819" s="622" t="n"/>
      <c r="AF819" s="622" t="n"/>
      <c r="AG819" s="622" t="n"/>
      <c r="AH819" s="622" t="n"/>
      <c r="AI819" s="622" t="n"/>
      <c r="AJ819" s="622" t="n"/>
      <c r="AK819" s="622" t="n"/>
      <c r="AL819" s="622" t="n"/>
      <c r="AM819" s="622" t="n"/>
      <c r="AN819" s="622" t="n"/>
      <c r="AO819" s="622" t="n"/>
      <c r="AP819" s="622" t="n"/>
      <c r="AQ819" s="622" t="n"/>
      <c r="AR819" s="622" t="n"/>
      <c r="AS819" s="622" t="n"/>
      <c r="AT819" s="622" t="n"/>
      <c r="AU819" s="622" t="n"/>
      <c r="AV819" s="622" t="n"/>
      <c r="AW819" s="622" t="n"/>
      <c r="AX819" s="622" t="n"/>
      <c r="AY819" s="622" t="n"/>
    </row>
    <row r="820">
      <c r="A820" s="622" t="n"/>
      <c r="B820" s="622" t="n"/>
      <c r="C820" s="622" t="n"/>
      <c r="D820" s="622" t="n"/>
      <c r="E820" s="622" t="n"/>
      <c r="F820" s="622" t="n"/>
      <c r="G820" s="622" t="n"/>
      <c r="H820" s="622" t="n"/>
      <c r="I820" s="622" t="n"/>
      <c r="J820" s="622" t="n"/>
      <c r="K820" s="622" t="n"/>
      <c r="L820" s="622" t="n"/>
      <c r="M820" s="622" t="n"/>
      <c r="N820" s="622" t="n"/>
      <c r="O820" s="622" t="n"/>
      <c r="P820" s="622" t="n"/>
      <c r="Q820" s="622" t="n"/>
      <c r="R820" s="622" t="n"/>
      <c r="S820" s="622" t="n"/>
      <c r="T820" s="622" t="n"/>
      <c r="U820" s="622" t="n"/>
      <c r="V820" s="622" t="n"/>
      <c r="W820" s="622" t="n"/>
      <c r="X820" s="622" t="n"/>
      <c r="Y820" s="622" t="n"/>
      <c r="Z820" s="622" t="n"/>
      <c r="AA820" s="622" t="n"/>
      <c r="AB820" s="622" t="n"/>
      <c r="AC820" s="622" t="n"/>
      <c r="AD820" s="622" t="n"/>
      <c r="AE820" s="622" t="n"/>
      <c r="AF820" s="622" t="n"/>
      <c r="AG820" s="622" t="n"/>
      <c r="AH820" s="622" t="n"/>
      <c r="AI820" s="622" t="n"/>
      <c r="AJ820" s="622" t="n"/>
      <c r="AK820" s="622" t="n"/>
      <c r="AL820" s="622" t="n"/>
      <c r="AM820" s="622" t="n"/>
      <c r="AN820" s="622" t="n"/>
      <c r="AO820" s="622" t="n"/>
      <c r="AP820" s="622" t="n"/>
      <c r="AQ820" s="622" t="n"/>
      <c r="AR820" s="622" t="n"/>
      <c r="AS820" s="622" t="n"/>
      <c r="AT820" s="622" t="n"/>
      <c r="AU820" s="622" t="n"/>
      <c r="AV820" s="622" t="n"/>
      <c r="AW820" s="622" t="n"/>
      <c r="AX820" s="622" t="n"/>
      <c r="AY820" s="622" t="n"/>
    </row>
    <row r="821">
      <c r="A821" s="622" t="n"/>
      <c r="B821" s="622" t="n"/>
      <c r="C821" s="622" t="n"/>
      <c r="D821" s="622" t="n"/>
      <c r="E821" s="622" t="n"/>
      <c r="F821" s="622" t="n"/>
      <c r="G821" s="622" t="n"/>
      <c r="H821" s="622" t="n"/>
      <c r="I821" s="622" t="n"/>
      <c r="J821" s="622" t="n"/>
      <c r="K821" s="622" t="n"/>
      <c r="L821" s="622" t="n"/>
      <c r="M821" s="622" t="n"/>
      <c r="N821" s="622" t="n"/>
      <c r="O821" s="622" t="n"/>
      <c r="P821" s="622" t="n"/>
      <c r="Q821" s="622" t="n"/>
      <c r="R821" s="622" t="n"/>
      <c r="S821" s="622" t="n"/>
      <c r="T821" s="622" t="n"/>
      <c r="U821" s="622" t="n"/>
      <c r="V821" s="622" t="n"/>
      <c r="W821" s="622" t="n"/>
      <c r="X821" s="622" t="n"/>
      <c r="Y821" s="622" t="n"/>
      <c r="Z821" s="622" t="n"/>
      <c r="AA821" s="622" t="n"/>
      <c r="AB821" s="622" t="n"/>
      <c r="AC821" s="622" t="n"/>
      <c r="AD821" s="622" t="n"/>
      <c r="AE821" s="622" t="n"/>
      <c r="AF821" s="622" t="n"/>
      <c r="AG821" s="622" t="n"/>
      <c r="AH821" s="622" t="n"/>
      <c r="AI821" s="622" t="n"/>
      <c r="AJ821" s="622" t="n"/>
      <c r="AK821" s="622" t="n"/>
      <c r="AL821" s="622" t="n"/>
      <c r="AM821" s="622" t="n"/>
      <c r="AN821" s="622" t="n"/>
      <c r="AO821" s="622" t="n"/>
      <c r="AP821" s="622" t="n"/>
      <c r="AQ821" s="622" t="n"/>
      <c r="AR821" s="622" t="n"/>
      <c r="AS821" s="622" t="n"/>
      <c r="AT821" s="622" t="n"/>
      <c r="AU821" s="622" t="n"/>
      <c r="AV821" s="622" t="n"/>
      <c r="AW821" s="622" t="n"/>
      <c r="AX821" s="622" t="n"/>
      <c r="AY821" s="622" t="n"/>
    </row>
    <row r="822">
      <c r="A822" s="622" t="n"/>
      <c r="B822" s="622" t="n"/>
      <c r="C822" s="622" t="n"/>
      <c r="D822" s="622" t="n"/>
      <c r="E822" s="622" t="n"/>
      <c r="F822" s="622" t="n"/>
      <c r="G822" s="622" t="n"/>
      <c r="H822" s="622" t="n"/>
      <c r="I822" s="622" t="n"/>
      <c r="J822" s="622" t="n"/>
      <c r="K822" s="622" t="n"/>
      <c r="L822" s="622" t="n"/>
      <c r="M822" s="622" t="n"/>
      <c r="N822" s="622" t="n"/>
      <c r="O822" s="622" t="n"/>
      <c r="P822" s="622" t="n"/>
      <c r="Q822" s="622" t="n"/>
      <c r="R822" s="622" t="n"/>
      <c r="S822" s="622" t="n"/>
      <c r="T822" s="622" t="n"/>
      <c r="U822" s="622" t="n"/>
      <c r="V822" s="622" t="n"/>
      <c r="W822" s="622" t="n"/>
      <c r="X822" s="622" t="n"/>
      <c r="Y822" s="622" t="n"/>
      <c r="Z822" s="622" t="n"/>
      <c r="AA822" s="622" t="n"/>
      <c r="AB822" s="622" t="n"/>
      <c r="AC822" s="622" t="n"/>
      <c r="AD822" s="622" t="n"/>
      <c r="AE822" s="622" t="n"/>
      <c r="AF822" s="622" t="n"/>
      <c r="AG822" s="622" t="n"/>
      <c r="AH822" s="622" t="n"/>
      <c r="AI822" s="622" t="n"/>
      <c r="AJ822" s="622" t="n"/>
      <c r="AK822" s="622" t="n"/>
      <c r="AL822" s="622" t="n"/>
      <c r="AM822" s="622" t="n"/>
      <c r="AN822" s="622" t="n"/>
      <c r="AO822" s="622" t="n"/>
      <c r="AP822" s="622" t="n"/>
      <c r="AQ822" s="622" t="n"/>
      <c r="AR822" s="622" t="n"/>
      <c r="AS822" s="622" t="n"/>
      <c r="AT822" s="622" t="n"/>
      <c r="AU822" s="622" t="n"/>
      <c r="AV822" s="622" t="n"/>
      <c r="AW822" s="622" t="n"/>
      <c r="AX822" s="622" t="n"/>
      <c r="AY822" s="622" t="n"/>
    </row>
    <row r="823">
      <c r="A823" s="622" t="n"/>
      <c r="B823" s="622" t="n"/>
      <c r="C823" s="622" t="n"/>
      <c r="D823" s="622" t="n"/>
      <c r="E823" s="622" t="n"/>
      <c r="F823" s="622" t="n"/>
      <c r="G823" s="622" t="n"/>
      <c r="H823" s="622" t="n"/>
      <c r="I823" s="622" t="n"/>
      <c r="J823" s="622" t="n"/>
      <c r="K823" s="622" t="n"/>
      <c r="L823" s="622" t="n"/>
      <c r="M823" s="622" t="n"/>
      <c r="N823" s="622" t="n"/>
      <c r="O823" s="622" t="n"/>
      <c r="P823" s="622" t="n"/>
      <c r="Q823" s="622" t="n"/>
      <c r="R823" s="622" t="n"/>
      <c r="S823" s="622" t="n"/>
      <c r="T823" s="622" t="n"/>
      <c r="U823" s="622" t="n"/>
      <c r="V823" s="622" t="n"/>
      <c r="W823" s="622" t="n"/>
      <c r="X823" s="622" t="n"/>
      <c r="Y823" s="622" t="n"/>
      <c r="Z823" s="622" t="n"/>
      <c r="AA823" s="622" t="n"/>
      <c r="AB823" s="622" t="n"/>
      <c r="AC823" s="622" t="n"/>
      <c r="AD823" s="622" t="n"/>
      <c r="AE823" s="622" t="n"/>
      <c r="AF823" s="622" t="n"/>
      <c r="AG823" s="622" t="n"/>
      <c r="AH823" s="622" t="n"/>
      <c r="AI823" s="622" t="n"/>
      <c r="AJ823" s="622" t="n"/>
      <c r="AK823" s="622" t="n"/>
      <c r="AL823" s="622" t="n"/>
      <c r="AM823" s="622" t="n"/>
      <c r="AN823" s="622" t="n"/>
      <c r="AO823" s="622" t="n"/>
      <c r="AP823" s="622" t="n"/>
      <c r="AQ823" s="622" t="n"/>
      <c r="AR823" s="622" t="n"/>
      <c r="AS823" s="622" t="n"/>
      <c r="AT823" s="622" t="n"/>
      <c r="AU823" s="622" t="n"/>
      <c r="AV823" s="622" t="n"/>
      <c r="AW823" s="622" t="n"/>
      <c r="AX823" s="622" t="n"/>
      <c r="AY823" s="622" t="n"/>
    </row>
    <row r="824">
      <c r="A824" s="622" t="n"/>
      <c r="B824" s="622" t="n"/>
      <c r="C824" s="622" t="n"/>
      <c r="D824" s="622" t="n"/>
      <c r="E824" s="622" t="n"/>
      <c r="F824" s="622" t="n"/>
      <c r="G824" s="622" t="n"/>
      <c r="H824" s="622" t="n"/>
      <c r="I824" s="622" t="n"/>
      <c r="J824" s="622" t="n"/>
      <c r="K824" s="622" t="n"/>
      <c r="L824" s="622" t="n"/>
      <c r="M824" s="622" t="n"/>
      <c r="N824" s="622" t="n"/>
      <c r="O824" s="622" t="n"/>
      <c r="P824" s="622" t="n"/>
      <c r="Q824" s="622" t="n"/>
      <c r="R824" s="622" t="n"/>
      <c r="S824" s="622" t="n"/>
      <c r="T824" s="622" t="n"/>
      <c r="U824" s="622" t="n"/>
      <c r="V824" s="622" t="n"/>
      <c r="W824" s="622" t="n"/>
      <c r="X824" s="622" t="n"/>
      <c r="Y824" s="622" t="n"/>
      <c r="Z824" s="622" t="n"/>
      <c r="AA824" s="622" t="n"/>
      <c r="AB824" s="622" t="n"/>
      <c r="AC824" s="622" t="n"/>
      <c r="AD824" s="622" t="n"/>
      <c r="AE824" s="622" t="n"/>
      <c r="AF824" s="622" t="n"/>
      <c r="AG824" s="622" t="n"/>
      <c r="AH824" s="622" t="n"/>
      <c r="AI824" s="622" t="n"/>
      <c r="AJ824" s="622" t="n"/>
      <c r="AK824" s="622" t="n"/>
      <c r="AL824" s="622" t="n"/>
      <c r="AM824" s="622" t="n"/>
      <c r="AN824" s="622" t="n"/>
      <c r="AO824" s="622" t="n"/>
      <c r="AP824" s="622" t="n"/>
      <c r="AQ824" s="622" t="n"/>
      <c r="AR824" s="622" t="n"/>
      <c r="AS824" s="622" t="n"/>
      <c r="AT824" s="622" t="n"/>
      <c r="AU824" s="622" t="n"/>
      <c r="AV824" s="622" t="n"/>
      <c r="AW824" s="622" t="n"/>
      <c r="AX824" s="622" t="n"/>
      <c r="AY824" s="622" t="n"/>
    </row>
    <row r="825">
      <c r="A825" s="622" t="n"/>
      <c r="B825" s="622" t="n"/>
      <c r="C825" s="622" t="n"/>
      <c r="D825" s="622" t="n"/>
      <c r="E825" s="622" t="n"/>
      <c r="F825" s="622" t="n"/>
      <c r="G825" s="622" t="n"/>
      <c r="H825" s="622" t="n"/>
      <c r="I825" s="622" t="n"/>
      <c r="J825" s="622" t="n"/>
      <c r="K825" s="622" t="n"/>
      <c r="L825" s="622" t="n"/>
      <c r="M825" s="622" t="n"/>
      <c r="N825" s="622" t="n"/>
      <c r="O825" s="622" t="n"/>
      <c r="P825" s="622" t="n"/>
      <c r="Q825" s="622" t="n"/>
      <c r="R825" s="622" t="n"/>
      <c r="S825" s="622" t="n"/>
      <c r="T825" s="622" t="n"/>
      <c r="U825" s="622" t="n"/>
      <c r="V825" s="622" t="n"/>
      <c r="W825" s="622" t="n"/>
      <c r="X825" s="622" t="n"/>
      <c r="Y825" s="622" t="n"/>
      <c r="Z825" s="622" t="n"/>
      <c r="AA825" s="622" t="n"/>
      <c r="AB825" s="622" t="n"/>
      <c r="AC825" s="622" t="n"/>
      <c r="AD825" s="622" t="n"/>
      <c r="AE825" s="622" t="n"/>
      <c r="AF825" s="622" t="n"/>
      <c r="AG825" s="622" t="n"/>
      <c r="AH825" s="622" t="n"/>
      <c r="AI825" s="622" t="n"/>
      <c r="AJ825" s="622" t="n"/>
      <c r="AK825" s="622" t="n"/>
      <c r="AL825" s="622" t="n"/>
      <c r="AM825" s="622" t="n"/>
      <c r="AN825" s="622" t="n"/>
      <c r="AO825" s="622" t="n"/>
      <c r="AP825" s="622" t="n"/>
      <c r="AQ825" s="622" t="n"/>
      <c r="AR825" s="622" t="n"/>
      <c r="AS825" s="622" t="n"/>
      <c r="AT825" s="622" t="n"/>
      <c r="AU825" s="622" t="n"/>
      <c r="AV825" s="622" t="n"/>
      <c r="AW825" s="622" t="n"/>
      <c r="AX825" s="622" t="n"/>
      <c r="AY825" s="622" t="n"/>
    </row>
    <row r="826">
      <c r="A826" s="622" t="n"/>
      <c r="B826" s="622" t="n"/>
      <c r="C826" s="622" t="n"/>
      <c r="D826" s="622" t="n"/>
      <c r="E826" s="622" t="n"/>
      <c r="F826" s="622" t="n"/>
      <c r="G826" s="622" t="n"/>
      <c r="H826" s="622" t="n"/>
      <c r="I826" s="622" t="n"/>
      <c r="J826" s="622" t="n"/>
      <c r="K826" s="622" t="n"/>
      <c r="L826" s="622" t="n"/>
      <c r="M826" s="622" t="n"/>
      <c r="N826" s="622" t="n"/>
      <c r="O826" s="622" t="n"/>
      <c r="P826" s="622" t="n"/>
      <c r="Q826" s="622" t="n"/>
      <c r="R826" s="622" t="n"/>
      <c r="S826" s="622" t="n"/>
      <c r="T826" s="622" t="n"/>
      <c r="U826" s="622" t="n"/>
      <c r="V826" s="622" t="n"/>
      <c r="W826" s="622" t="n"/>
      <c r="X826" s="622" t="n"/>
      <c r="Y826" s="622" t="n"/>
      <c r="Z826" s="622" t="n"/>
      <c r="AA826" s="622" t="n"/>
      <c r="AB826" s="622" t="n"/>
      <c r="AC826" s="622" t="n"/>
      <c r="AD826" s="622" t="n"/>
      <c r="AE826" s="622" t="n"/>
      <c r="AF826" s="622" t="n"/>
      <c r="AG826" s="622" t="n"/>
      <c r="AH826" s="622" t="n"/>
      <c r="AI826" s="622" t="n"/>
      <c r="AJ826" s="622" t="n"/>
      <c r="AK826" s="622" t="n"/>
      <c r="AL826" s="622" t="n"/>
      <c r="AM826" s="622" t="n"/>
      <c r="AN826" s="622" t="n"/>
      <c r="AO826" s="622" t="n"/>
      <c r="AP826" s="622" t="n"/>
      <c r="AQ826" s="622" t="n"/>
      <c r="AR826" s="622" t="n"/>
      <c r="AS826" s="622" t="n"/>
      <c r="AT826" s="622" t="n"/>
      <c r="AU826" s="622" t="n"/>
      <c r="AV826" s="622" t="n"/>
      <c r="AW826" s="622" t="n"/>
      <c r="AX826" s="622" t="n"/>
      <c r="AY826" s="622" t="n"/>
    </row>
    <row r="827">
      <c r="A827" s="622" t="n"/>
      <c r="B827" s="622" t="n"/>
      <c r="C827" s="622" t="n"/>
      <c r="D827" s="622" t="n"/>
      <c r="E827" s="622" t="n"/>
      <c r="F827" s="622" t="n"/>
      <c r="G827" s="622" t="n"/>
      <c r="H827" s="622" t="n"/>
      <c r="I827" s="622" t="n"/>
      <c r="J827" s="622" t="n"/>
      <c r="K827" s="622" t="n"/>
      <c r="L827" s="622" t="n"/>
      <c r="M827" s="622" t="n"/>
      <c r="N827" s="622" t="n"/>
      <c r="O827" s="622" t="n"/>
      <c r="P827" s="622" t="n"/>
      <c r="Q827" s="622" t="n"/>
      <c r="R827" s="622" t="n"/>
      <c r="S827" s="622" t="n"/>
      <c r="T827" s="622" t="n"/>
      <c r="U827" s="622" t="n"/>
      <c r="V827" s="622" t="n"/>
      <c r="W827" s="622" t="n"/>
      <c r="X827" s="622" t="n"/>
      <c r="Y827" s="622" t="n"/>
      <c r="Z827" s="622" t="n"/>
      <c r="AA827" s="622" t="n"/>
      <c r="AB827" s="622" t="n"/>
      <c r="AC827" s="622" t="n"/>
      <c r="AD827" s="622" t="n"/>
      <c r="AE827" s="622" t="n"/>
      <c r="AF827" s="622" t="n"/>
      <c r="AG827" s="622" t="n"/>
      <c r="AH827" s="622" t="n"/>
      <c r="AI827" s="622" t="n"/>
      <c r="AJ827" s="622" t="n"/>
      <c r="AK827" s="622" t="n"/>
      <c r="AL827" s="622" t="n"/>
      <c r="AM827" s="622" t="n"/>
      <c r="AN827" s="622" t="n"/>
      <c r="AO827" s="622" t="n"/>
      <c r="AP827" s="622" t="n"/>
      <c r="AQ827" s="622" t="n"/>
      <c r="AR827" s="622" t="n"/>
      <c r="AS827" s="622" t="n"/>
      <c r="AT827" s="622" t="n"/>
      <c r="AU827" s="622" t="n"/>
      <c r="AV827" s="622" t="n"/>
      <c r="AW827" s="622" t="n"/>
      <c r="AX827" s="622" t="n"/>
      <c r="AY827" s="622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X1gIwR+vmZ/vEyKwtjX2XA==" formatRows="1" sort="1" spinCount="100000" hashValue="Z9Tc4shAh7gktJue9fVF2t5gv6Ex644JcRSoNDQJ6XDfyxcQmoEDTAt5cEiqgUDceBrLEQLFNIUU4N/K6Yfwdg=="/>
  <mergeCells count="335">
    <mergeCell ref="F243:AA243"/>
    <mergeCell ref="T244:U244"/>
    <mergeCell ref="A64:B64"/>
    <mergeCell ref="A186:B186"/>
    <mergeCell ref="V244:W244"/>
    <mergeCell ref="F17:Q17"/>
    <mergeCell ref="F180:Q180"/>
    <mergeCell ref="H161:I161"/>
    <mergeCell ref="J161:K161"/>
    <mergeCell ref="F257:O257"/>
    <mergeCell ref="F119:AA119"/>
    <mergeCell ref="C10:E11"/>
    <mergeCell ref="A103:P103"/>
    <mergeCell ref="A243:B245"/>
    <mergeCell ref="A105:B107"/>
    <mergeCell ref="Q43:Q45"/>
    <mergeCell ref="E51:H51"/>
    <mergeCell ref="AC267:AC269"/>
    <mergeCell ref="A234:B236"/>
    <mergeCell ref="N258:O258"/>
    <mergeCell ref="A62:B62"/>
    <mergeCell ref="F189:U189"/>
    <mergeCell ref="C105:E106"/>
    <mergeCell ref="N197:O197"/>
    <mergeCell ref="R197:R198"/>
    <mergeCell ref="J120:K120"/>
    <mergeCell ref="L120:M120"/>
    <mergeCell ref="B77:B78"/>
    <mergeCell ref="F217:F218"/>
    <mergeCell ref="A61:B61"/>
    <mergeCell ref="N171:O171"/>
    <mergeCell ref="F18:G18"/>
    <mergeCell ref="A170:A172"/>
    <mergeCell ref="AD203:AE204"/>
    <mergeCell ref="B43:D44"/>
    <mergeCell ref="A192:B192"/>
    <mergeCell ref="H11:I11"/>
    <mergeCell ref="J11:K11"/>
    <mergeCell ref="N190:O190"/>
    <mergeCell ref="S197:S198"/>
    <mergeCell ref="F190:G190"/>
    <mergeCell ref="A194:B194"/>
    <mergeCell ref="H190:I190"/>
    <mergeCell ref="U210:Z211"/>
    <mergeCell ref="A92:A93"/>
    <mergeCell ref="A137:A141"/>
    <mergeCell ref="A163:A165"/>
    <mergeCell ref="H106:I106"/>
    <mergeCell ref="AI203:AI205"/>
    <mergeCell ref="A10:B12"/>
    <mergeCell ref="A95:B96"/>
    <mergeCell ref="C189:E190"/>
    <mergeCell ref="L268:M268"/>
    <mergeCell ref="N268:O268"/>
    <mergeCell ref="F10:Y10"/>
    <mergeCell ref="K59:K60"/>
    <mergeCell ref="C59:C60"/>
    <mergeCell ref="N161:O161"/>
    <mergeCell ref="R43:R45"/>
    <mergeCell ref="A65:B65"/>
    <mergeCell ref="P161:Q161"/>
    <mergeCell ref="AB267:AB269"/>
    <mergeCell ref="K44:L44"/>
    <mergeCell ref="A142:A146"/>
    <mergeCell ref="A176:A178"/>
    <mergeCell ref="V120:W120"/>
    <mergeCell ref="A200:B200"/>
    <mergeCell ref="E217:E218"/>
    <mergeCell ref="G217:H217"/>
    <mergeCell ref="A115:A117"/>
    <mergeCell ref="R11:S11"/>
    <mergeCell ref="P196:S196"/>
    <mergeCell ref="F210:O210"/>
    <mergeCell ref="F203:AC203"/>
    <mergeCell ref="C170:E171"/>
    <mergeCell ref="A147:A151"/>
    <mergeCell ref="A179:O179"/>
    <mergeCell ref="AH161:AI161"/>
    <mergeCell ref="A39:A41"/>
    <mergeCell ref="A166:A168"/>
    <mergeCell ref="A213:B213"/>
    <mergeCell ref="L171:M171"/>
    <mergeCell ref="A189:B191"/>
    <mergeCell ref="AA210:AF211"/>
    <mergeCell ref="T268:U268"/>
    <mergeCell ref="A215:B215"/>
    <mergeCell ref="F211:G211"/>
    <mergeCell ref="P106:Q106"/>
    <mergeCell ref="A152:B152"/>
    <mergeCell ref="H204:I204"/>
    <mergeCell ref="F160:AM160"/>
    <mergeCell ref="J204:K204"/>
    <mergeCell ref="H244:I244"/>
    <mergeCell ref="J244:K244"/>
    <mergeCell ref="A263:A265"/>
    <mergeCell ref="H181:I181"/>
    <mergeCell ref="A241:B241"/>
    <mergeCell ref="C160:E161"/>
    <mergeCell ref="P190:Q190"/>
    <mergeCell ref="A99:B99"/>
    <mergeCell ref="A260:A262"/>
    <mergeCell ref="A101:B101"/>
    <mergeCell ref="AJ161:AK161"/>
    <mergeCell ref="L161:M161"/>
    <mergeCell ref="D235:E235"/>
    <mergeCell ref="R106:S106"/>
    <mergeCell ref="R120:S120"/>
    <mergeCell ref="J181:K181"/>
    <mergeCell ref="M44:N44"/>
    <mergeCell ref="A37:A38"/>
    <mergeCell ref="A89:B89"/>
    <mergeCell ref="P11:Q11"/>
    <mergeCell ref="X204:Y204"/>
    <mergeCell ref="A227:D227"/>
    <mergeCell ref="A210:B212"/>
    <mergeCell ref="A184:B184"/>
    <mergeCell ref="E43:P43"/>
    <mergeCell ref="A100:B100"/>
    <mergeCell ref="F161:G161"/>
    <mergeCell ref="A203:B205"/>
    <mergeCell ref="A102:B102"/>
    <mergeCell ref="A229:B229"/>
    <mergeCell ref="B224:B225"/>
    <mergeCell ref="W267:W269"/>
    <mergeCell ref="T120:U120"/>
    <mergeCell ref="Y267:Y269"/>
    <mergeCell ref="J258:K258"/>
    <mergeCell ref="L258:M258"/>
    <mergeCell ref="T210:T212"/>
    <mergeCell ref="L18:M18"/>
    <mergeCell ref="N18:O18"/>
    <mergeCell ref="A14:A15"/>
    <mergeCell ref="J197:K197"/>
    <mergeCell ref="A239:B239"/>
    <mergeCell ref="L197:M197"/>
    <mergeCell ref="A223:A226"/>
    <mergeCell ref="P197:P198"/>
    <mergeCell ref="P204:Q204"/>
    <mergeCell ref="Z204:AA204"/>
    <mergeCell ref="A113:B113"/>
    <mergeCell ref="R204:S204"/>
    <mergeCell ref="A160:B162"/>
    <mergeCell ref="L59:L60"/>
    <mergeCell ref="R244:S244"/>
    <mergeCell ref="P211:P212"/>
    <mergeCell ref="P257:P259"/>
    <mergeCell ref="R211:R212"/>
    <mergeCell ref="B17:B19"/>
    <mergeCell ref="P181:Q181"/>
    <mergeCell ref="A25:A36"/>
    <mergeCell ref="F11:G11"/>
    <mergeCell ref="Q197:Q198"/>
    <mergeCell ref="A250:B250"/>
    <mergeCell ref="A110:B110"/>
    <mergeCell ref="A237:B237"/>
    <mergeCell ref="V161:W161"/>
    <mergeCell ref="D59:J59"/>
    <mergeCell ref="A108:B108"/>
    <mergeCell ref="X161:Y161"/>
    <mergeCell ref="A77:A79"/>
    <mergeCell ref="A238:B238"/>
    <mergeCell ref="F106:G106"/>
    <mergeCell ref="A59:B60"/>
    <mergeCell ref="C180:E181"/>
    <mergeCell ref="H268:I268"/>
    <mergeCell ref="J268:K268"/>
    <mergeCell ref="X267:X269"/>
    <mergeCell ref="C119:E120"/>
    <mergeCell ref="A98:B98"/>
    <mergeCell ref="S210:S212"/>
    <mergeCell ref="X11:Y11"/>
    <mergeCell ref="F105:U105"/>
    <mergeCell ref="C210:E211"/>
    <mergeCell ref="C226:D226"/>
    <mergeCell ref="A173:A175"/>
    <mergeCell ref="A132:A136"/>
    <mergeCell ref="A206:A207"/>
    <mergeCell ref="A251:B251"/>
    <mergeCell ref="F267:U267"/>
    <mergeCell ref="L211:M211"/>
    <mergeCell ref="A109:B109"/>
    <mergeCell ref="I44:J44"/>
    <mergeCell ref="N211:O211"/>
    <mergeCell ref="A240:B240"/>
    <mergeCell ref="F120:G120"/>
    <mergeCell ref="H120:I120"/>
    <mergeCell ref="A230:A231"/>
    <mergeCell ref="A111:B111"/>
    <mergeCell ref="P244:Q244"/>
    <mergeCell ref="F171:G171"/>
    <mergeCell ref="B267:B269"/>
    <mergeCell ref="H171:I171"/>
    <mergeCell ref="J171:K171"/>
    <mergeCell ref="G70:H70"/>
    <mergeCell ref="A90:A91"/>
    <mergeCell ref="AH203:AH205"/>
    <mergeCell ref="L106:M106"/>
    <mergeCell ref="A122:A126"/>
    <mergeCell ref="L204:M204"/>
    <mergeCell ref="Q211:Q212"/>
    <mergeCell ref="F204:G204"/>
    <mergeCell ref="A208:B208"/>
    <mergeCell ref="A21:A24"/>
    <mergeCell ref="O44:P44"/>
    <mergeCell ref="F196:O196"/>
    <mergeCell ref="A153:A157"/>
    <mergeCell ref="H95:I95"/>
    <mergeCell ref="A63:B63"/>
    <mergeCell ref="C203:E204"/>
    <mergeCell ref="I217:I218"/>
    <mergeCell ref="A180:B182"/>
    <mergeCell ref="C267:E268"/>
    <mergeCell ref="AD161:AE161"/>
    <mergeCell ref="AF161:AG161"/>
    <mergeCell ref="A17:A19"/>
    <mergeCell ref="A253:A255"/>
    <mergeCell ref="N106:O106"/>
    <mergeCell ref="AC119:AC121"/>
    <mergeCell ref="A183:B183"/>
    <mergeCell ref="A193:B193"/>
    <mergeCell ref="F181:G181"/>
    <mergeCell ref="A270:A274"/>
    <mergeCell ref="X244:Y244"/>
    <mergeCell ref="Z244:AA244"/>
    <mergeCell ref="A6:Y6"/>
    <mergeCell ref="C257:E258"/>
    <mergeCell ref="L11:M11"/>
    <mergeCell ref="A67:B67"/>
    <mergeCell ref="B119:B121"/>
    <mergeCell ref="R17:R19"/>
    <mergeCell ref="W105:W107"/>
    <mergeCell ref="A252:B252"/>
    <mergeCell ref="A220:D220"/>
    <mergeCell ref="J51:J53"/>
    <mergeCell ref="A66:B66"/>
    <mergeCell ref="A158:B158"/>
    <mergeCell ref="A222:D222"/>
    <mergeCell ref="A196:B198"/>
    <mergeCell ref="N120:O120"/>
    <mergeCell ref="P120:Q120"/>
    <mergeCell ref="A119:A121"/>
    <mergeCell ref="J217:J218"/>
    <mergeCell ref="F258:G258"/>
    <mergeCell ref="H258:I258"/>
    <mergeCell ref="A97:B97"/>
    <mergeCell ref="C224:D224"/>
    <mergeCell ref="A199:B199"/>
    <mergeCell ref="Z267:AA268"/>
    <mergeCell ref="H18:I18"/>
    <mergeCell ref="J18:K18"/>
    <mergeCell ref="F197:G197"/>
    <mergeCell ref="H197:I197"/>
    <mergeCell ref="T204:U204"/>
    <mergeCell ref="V204:W204"/>
    <mergeCell ref="N11:O11"/>
    <mergeCell ref="N204:O204"/>
    <mergeCell ref="J190:K190"/>
    <mergeCell ref="L190:M190"/>
    <mergeCell ref="C95:E95"/>
    <mergeCell ref="A43:A45"/>
    <mergeCell ref="AF203:AG204"/>
    <mergeCell ref="A214:B214"/>
    <mergeCell ref="J69:J71"/>
    <mergeCell ref="A104:Q104"/>
    <mergeCell ref="P268:Q268"/>
    <mergeCell ref="R268:S268"/>
    <mergeCell ref="A221:D221"/>
    <mergeCell ref="AB119:AB121"/>
    <mergeCell ref="S17:S19"/>
    <mergeCell ref="V105:V107"/>
    <mergeCell ref="R161:S161"/>
    <mergeCell ref="A267:A269"/>
    <mergeCell ref="T161:U161"/>
    <mergeCell ref="G44:H44"/>
    <mergeCell ref="A232:B232"/>
    <mergeCell ref="A257:B259"/>
    <mergeCell ref="X120:Y120"/>
    <mergeCell ref="Z120:AA120"/>
    <mergeCell ref="C225:D225"/>
    <mergeCell ref="B51:D52"/>
    <mergeCell ref="V267:V269"/>
    <mergeCell ref="A51:A53"/>
    <mergeCell ref="T11:U11"/>
    <mergeCell ref="AB204:AC204"/>
    <mergeCell ref="V11:W11"/>
    <mergeCell ref="A69:A71"/>
    <mergeCell ref="B69:D70"/>
    <mergeCell ref="AL161:AM161"/>
    <mergeCell ref="C17:E18"/>
    <mergeCell ref="A242:M242"/>
    <mergeCell ref="E52:F52"/>
    <mergeCell ref="P210:R210"/>
    <mergeCell ref="H211:I211"/>
    <mergeCell ref="E44:F44"/>
    <mergeCell ref="J211:K211"/>
    <mergeCell ref="I69:I71"/>
    <mergeCell ref="T106:U106"/>
    <mergeCell ref="A127:A131"/>
    <mergeCell ref="A246:B246"/>
    <mergeCell ref="L244:M244"/>
    <mergeCell ref="N244:O244"/>
    <mergeCell ref="F244:G244"/>
    <mergeCell ref="A248:B248"/>
    <mergeCell ref="L181:M181"/>
    <mergeCell ref="A247:B247"/>
    <mergeCell ref="A185:B185"/>
    <mergeCell ref="E70:F70"/>
    <mergeCell ref="J106:K106"/>
    <mergeCell ref="R190:S190"/>
    <mergeCell ref="C234:E234"/>
    <mergeCell ref="T190:U190"/>
    <mergeCell ref="C235:C236"/>
    <mergeCell ref="C243:E244"/>
    <mergeCell ref="A219:D219"/>
    <mergeCell ref="A201:B201"/>
    <mergeCell ref="G52:H52"/>
    <mergeCell ref="I51:I53"/>
    <mergeCell ref="F170:O170"/>
    <mergeCell ref="F95:G95"/>
    <mergeCell ref="A217:D218"/>
    <mergeCell ref="F268:G268"/>
    <mergeCell ref="N181:O181"/>
    <mergeCell ref="C196:E197"/>
    <mergeCell ref="Z161:AA161"/>
    <mergeCell ref="AB161:AC161"/>
    <mergeCell ref="R258:R259"/>
    <mergeCell ref="B170:B172"/>
    <mergeCell ref="P18:Q18"/>
    <mergeCell ref="A20:B20"/>
    <mergeCell ref="E69:H69"/>
    <mergeCell ref="A112:B112"/>
    <mergeCell ref="A13:B13"/>
    <mergeCell ref="B223:D223"/>
    <mergeCell ref="A249:B249"/>
    <mergeCell ref="A114:B114"/>
  </mergeCells>
  <dataValidations count="9">
    <dataValidation sqref="B80:B83 B86:F87 C216:F216 C228:F232 C237:E241 E46:R49 E55:J57 E72:J74 E217:F217 E227:F227 F13:Y15 F20:S41 F98:I102 F122:AC151 F153:AC157 F163:AM168 F173:O178 F183:Q185 F192:U193 F199:S200 F206:AI207 F213:AF215 I227:J227 R260:R262" showDropDown="0" showInputMessage="1" showErrorMessage="1" allowBlank="0" errorTitle="Error" error="Favor ingresar Números." type="whole" operator="greaterThanOrEqual">
      <formula1>0</formula1>
    </dataValidation>
    <dataValidation sqref="C203:E208 F204:AC205 F208:AI208 T212 AD205:AG205 AI205" showDropDown="0" showInputMessage="1" showErrorMessage="1" allowBlank="0" type="whole">
      <formula1>0</formula1>
      <formula2>1E+29</formula2>
    </dataValidation>
    <dataValidation sqref="C72:D74 C256:E265 F152:AC152" showDropDown="0" showInputMessage="1" showErrorMessage="1" allowBlank="0" errorTitle="Error" error="Favor ingresar Números." type="whole">
      <formula1>0</formula1>
      <formula2>1E+29</formula2>
    </dataValidation>
    <dataValidation sqref="C224:C226 G218:H218" showDropDown="0" showInputMessage="1" showErrorMessage="1" allowBlank="0" errorTitle="Error" error="Favor ingresar Números." operator="greaterThanOrEqual"/>
    <dataValidation sqref="D61:L67 F246:AA255" showDropDown="0" showInputMessage="1" showErrorMessage="1" allowBlank="0" type="whole">
      <formula1>0</formula1>
      <formula2>9.99999999999999E+31</formula2>
    </dataValidation>
    <dataValidation sqref="C90:H93 F260:P265" showDropDown="0" showInputMessage="1" showErrorMessage="1" allowBlank="0" type="whole">
      <formula1>0</formula1>
      <formula2>9.99999999999999E+32</formula2>
    </dataValidation>
    <dataValidation sqref="F108:W117" showDropDown="0" showInputMessage="1" showErrorMessage="1" allowBlank="0" type="whole">
      <formula1>0</formula1>
      <formula2>9.99999999999999E+30</formula2>
    </dataValidation>
    <dataValidation sqref="E219:J226 G227:H227" showDropDown="0" showInputMessage="1" showErrorMessage="1" allowBlank="0" type="whole">
      <formula1>0</formula1>
      <formula2>9.99999999999999E+39</formula2>
    </dataValidation>
    <dataValidation sqref="F270:AC274" showDropDown="0" showInputMessage="1" showErrorMessage="1" allowBlank="0" type="whole">
      <formula1>0</formula1>
      <formula2>9.99999999999999E+34</formula2>
    </dataValidation>
  </dataValidations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Hoja5">
    <outlinePr summaryBelow="1" summaryRight="1"/>
    <pageSetUpPr/>
  </sheetPr>
  <dimension ref="A1:BY240"/>
  <sheetViews>
    <sheetView showGridLines="0" tabSelected="1" zoomScaleNormal="100" workbookViewId="0">
      <selection activeCell="A1" sqref="A1"/>
    </sheetView>
  </sheetViews>
  <sheetFormatPr baseColWidth="10" defaultColWidth="11.42578125" defaultRowHeight="15"/>
  <cols>
    <col width="42.7109375" customWidth="1" style="622" min="1" max="1"/>
    <col width="33.5703125" customWidth="1" style="622" min="2" max="2"/>
    <col width="14.28515625" customWidth="1" style="622" min="3" max="5"/>
    <col width="15.28515625" customWidth="1" style="622" min="6" max="6"/>
    <col width="15.140625" customWidth="1" style="622" min="7" max="7"/>
    <col width="13.42578125" customWidth="1" style="622" min="8" max="8"/>
    <col width="13.28515625" customWidth="1" style="622" min="9" max="9"/>
    <col width="12.42578125" customWidth="1" style="622" min="10" max="10"/>
    <col width="13.28515625" customWidth="1" style="622" min="11" max="11"/>
    <col width="11.42578125" customWidth="1" style="622" min="12" max="12"/>
    <col width="11.85546875" customWidth="1" style="622" min="13" max="13"/>
    <col width="13.85546875" customWidth="1" style="622" min="14" max="14"/>
    <col width="13.42578125" customWidth="1" style="622" min="15" max="15"/>
    <col width="11.42578125" customWidth="1" style="622" min="16" max="17"/>
    <col width="12.5703125" customWidth="1" style="622" min="18" max="18"/>
    <col width="13.5703125" customWidth="1" style="622" min="19" max="19"/>
    <col width="11.42578125" customWidth="1" style="622" min="20" max="40"/>
    <col width="12.7109375" customWidth="1" style="622" min="41" max="45"/>
    <col width="11.42578125" customWidth="1" style="622" min="46" max="65"/>
    <col width="11.42578125" customWidth="1" style="622" min="66" max="66"/>
    <col hidden="1" width="11.42578125" customWidth="1" style="622" min="67" max="77"/>
    <col width="11.42578125" customWidth="1" style="622" min="78" max="93"/>
    <col width="11.42578125" customWidth="1" style="622" min="94" max="96"/>
    <col width="11.28515625" customWidth="1" style="622" min="97" max="97"/>
    <col width="11.85546875" customWidth="1" style="622" min="98" max="98"/>
    <col width="10.85546875" customWidth="1" style="622" min="99" max="99"/>
    <col width="11.42578125" customWidth="1" style="622" min="100" max="151"/>
    <col width="11.42578125" customWidth="1" style="622" min="152" max="16384"/>
  </cols>
  <sheetData>
    <row r="1">
      <c r="A1" s="5551" t="inlineStr">
        <is>
          <t>SERVICIO DE SALUD</t>
        </is>
      </c>
    </row>
    <row r="2">
      <c r="A2" s="5551">
        <f>CONCATENATE("COMUNA: ",NOMBRE!B2, " (",NOMBRE!C2,NOMBRE!D2,NOMBRE!E2,NOMBRE!F2,NOMBRE!G2,")")</f>
        <v/>
      </c>
    </row>
    <row r="3">
      <c r="A3" s="5551">
        <f>CONCATENATE("ESTABLECIMIENTO/ESTRATEGIA: ", NOMBRE!B3, " (",NOMBRE!C3,NOMBRE!D3,NOMBRE!E3,NOMBRE!F3,NOMBRE!G3,NOMBRE!H3,")")</f>
        <v/>
      </c>
    </row>
    <row r="4">
      <c r="A4" s="5551">
        <f>CONCATENATE("MES: ",NOMBRE!B6, " (",NOMBRE!C6,NOMBRE!D6,")")</f>
        <v/>
      </c>
    </row>
    <row r="5">
      <c r="A5" s="5551">
        <f>CONCATENATE("AÑO: ",NOMBRE!B7)</f>
        <v/>
      </c>
    </row>
    <row r="6" ht="18" customFormat="1" customHeight="1" s="5802">
      <c r="A6" s="7538" t="inlineStr">
        <is>
          <t>REM-A04.   CONSULTAS Y OTRAS ATENCIONES EN LA RED</t>
        </is>
      </c>
      <c r="X6" s="969" t="n"/>
      <c r="Y6" s="969" t="n"/>
      <c r="Z6" s="969" t="n"/>
      <c r="AA6" s="969" t="n"/>
      <c r="AB6" s="969" t="n"/>
      <c r="AC6" s="969" t="n"/>
      <c r="AD6" s="969" t="n"/>
      <c r="AE6" s="969" t="n"/>
      <c r="AF6" s="969" t="n"/>
      <c r="AG6" s="969" t="n"/>
      <c r="AH6" s="969" t="n"/>
      <c r="AI6" s="969" t="n"/>
      <c r="AJ6" s="969" t="n"/>
      <c r="AK6" s="969" t="n"/>
      <c r="AL6" s="969" t="n"/>
      <c r="AM6" s="969" t="n"/>
      <c r="AN6" s="969" t="n"/>
      <c r="AO6" s="969" t="n"/>
      <c r="AP6" s="969" t="n"/>
      <c r="AQ6" s="969" t="n"/>
      <c r="AR6" s="969" t="n"/>
    </row>
    <row r="8" ht="18" customHeight="1" s="8286">
      <c r="A8" s="1001" t="inlineStr">
        <is>
          <t xml:space="preserve">SECCIÓN A: CONSULTAS MÉDICAS </t>
        </is>
      </c>
      <c r="B8" s="1005" t="n"/>
      <c r="C8" s="1005" t="n"/>
      <c r="D8" s="1005" t="n"/>
      <c r="E8" s="1005" t="n"/>
      <c r="F8" s="1005" t="n"/>
      <c r="G8" s="1005" t="n"/>
      <c r="H8" s="1005" t="n"/>
      <c r="I8" s="1005" t="n"/>
      <c r="J8" s="1005" t="n"/>
      <c r="K8" s="1005" t="n"/>
      <c r="L8" s="1005" t="n"/>
      <c r="M8" s="1005" t="n"/>
      <c r="N8" s="1005" t="n"/>
      <c r="O8" s="1005" t="n"/>
      <c r="P8" s="1005" t="n"/>
      <c r="Q8" s="1005" t="n"/>
      <c r="R8" s="1005" t="n"/>
      <c r="S8" s="1005" t="n"/>
      <c r="T8" s="1005" t="n"/>
      <c r="U8" s="1005" t="n"/>
      <c r="V8" s="1005" t="n"/>
      <c r="W8" s="1005" t="n"/>
      <c r="X8" s="1005" t="n"/>
      <c r="Y8" s="5786" t="n"/>
      <c r="Z8" s="5786" t="n"/>
      <c r="AA8" s="969" t="n"/>
      <c r="AB8" s="969" t="n"/>
      <c r="AC8" s="969" t="n"/>
      <c r="AD8" s="969" t="n"/>
      <c r="AE8" s="969" t="n"/>
      <c r="AF8" s="969" t="n"/>
      <c r="AG8" s="969" t="n"/>
      <c r="AH8" s="969" t="n"/>
      <c r="AI8" s="969" t="n"/>
      <c r="AJ8" s="969" t="n"/>
      <c r="AK8" s="969" t="n"/>
      <c r="AL8" s="969" t="n"/>
      <c r="AM8" s="969" t="n"/>
      <c r="AN8" s="969" t="n"/>
      <c r="AO8" s="969" t="n"/>
      <c r="AP8" s="5803" t="n"/>
      <c r="AQ8" s="5803" t="n"/>
      <c r="AR8" s="969" t="n"/>
      <c r="AS8" s="5802" t="n"/>
    </row>
    <row r="9">
      <c r="A9" s="9592" t="inlineStr">
        <is>
          <t>TIPO DE CONSULTA</t>
        </is>
      </c>
      <c r="B9" s="9629" t="inlineStr">
        <is>
          <t xml:space="preserve">TOTAL      </t>
        </is>
      </c>
      <c r="C9" s="9602" t="n"/>
      <c r="D9" s="9630" t="n"/>
      <c r="E9" s="9737" t="inlineStr">
        <is>
          <t>RANGO ETARIO Y SEXO</t>
        </is>
      </c>
      <c r="F9" s="9617" t="n"/>
      <c r="G9" s="9617" t="n"/>
      <c r="H9" s="9617" t="n"/>
      <c r="I9" s="9617" t="n"/>
      <c r="J9" s="9617" t="n"/>
      <c r="K9" s="9617" t="n"/>
      <c r="L9" s="9617" t="n"/>
      <c r="M9" s="9617" t="n"/>
      <c r="N9" s="9617" t="n"/>
      <c r="O9" s="9617" t="n"/>
      <c r="P9" s="9617" t="n"/>
      <c r="Q9" s="9617" t="n"/>
      <c r="R9" s="9617" t="n"/>
      <c r="S9" s="9617" t="n"/>
      <c r="T9" s="9617" t="n"/>
      <c r="U9" s="9617" t="n"/>
      <c r="V9" s="9617" t="n"/>
      <c r="W9" s="9617" t="n"/>
      <c r="X9" s="9617" t="n"/>
      <c r="Y9" s="9617" t="n"/>
      <c r="Z9" s="9617" t="n"/>
      <c r="AA9" s="9617" t="n"/>
      <c r="AB9" s="9617" t="n"/>
      <c r="AC9" s="9617" t="n"/>
      <c r="AD9" s="9617" t="n"/>
      <c r="AE9" s="9617" t="n"/>
      <c r="AF9" s="9617" t="n"/>
      <c r="AG9" s="9617" t="n"/>
      <c r="AH9" s="9617" t="n"/>
      <c r="AI9" s="9617" t="n"/>
      <c r="AJ9" s="9617" t="n"/>
      <c r="AK9" s="9617" t="n"/>
      <c r="AL9" s="9617" t="n"/>
      <c r="AM9" s="9617" t="n"/>
      <c r="AN9" s="9652" t="n"/>
      <c r="AO9" s="9635" t="inlineStr">
        <is>
          <t>Pueblos Originarios</t>
        </is>
      </c>
      <c r="AP9" s="7632" t="inlineStr">
        <is>
          <t>Migrantes</t>
        </is>
      </c>
      <c r="AQ9" s="7632" t="inlineStr">
        <is>
          <t xml:space="preserve">SENAME/ Servicio Nacional de Reinserción social Juvenil </t>
        </is>
      </c>
      <c r="AR9" s="7632" t="inlineStr">
        <is>
          <t>Servicio Nacional Protección Especializada a la Niñez y Adolescencia</t>
        </is>
      </c>
      <c r="AS9" s="9712" t="inlineStr">
        <is>
          <t>Por Campaña de Invierno</t>
        </is>
      </c>
    </row>
    <row r="10" ht="24" customHeight="1" s="8286">
      <c r="A10" s="9588" t="n"/>
      <c r="B10" s="9638" t="n"/>
      <c r="C10" s="9697" t="n"/>
      <c r="D10" s="9639" t="n"/>
      <c r="E10" s="9631" t="inlineStr">
        <is>
          <t>Menos de 1 año</t>
        </is>
      </c>
      <c r="F10" s="9632" t="n"/>
      <c r="G10" s="9631" t="inlineStr">
        <is>
          <t>1 - 4 años</t>
        </is>
      </c>
      <c r="H10" s="9632" t="n"/>
      <c r="I10" s="9631" t="inlineStr">
        <is>
          <t>5 - 9 años</t>
        </is>
      </c>
      <c r="J10" s="9632" t="n"/>
      <c r="K10" s="9631" t="inlineStr">
        <is>
          <t>10 - 14 años</t>
        </is>
      </c>
      <c r="L10" s="9632" t="n"/>
      <c r="M10" s="9631" t="inlineStr">
        <is>
          <t>15 - 19 años</t>
        </is>
      </c>
      <c r="N10" s="9632" t="n"/>
      <c r="O10" s="9631" t="inlineStr">
        <is>
          <t>20 - 24 años</t>
        </is>
      </c>
      <c r="P10" s="9632" t="n"/>
      <c r="Q10" s="9631" t="inlineStr">
        <is>
          <t>25 - 29 años</t>
        </is>
      </c>
      <c r="R10" s="9632" t="n"/>
      <c r="S10" s="9631" t="inlineStr">
        <is>
          <t>30 - 34 años</t>
        </is>
      </c>
      <c r="T10" s="9632" t="n"/>
      <c r="U10" s="9631" t="inlineStr">
        <is>
          <t>35 - 39 años</t>
        </is>
      </c>
      <c r="V10" s="9632" t="n"/>
      <c r="W10" s="9631" t="inlineStr">
        <is>
          <t>40 - 44 años</t>
        </is>
      </c>
      <c r="X10" s="9632" t="n"/>
      <c r="Y10" s="9631" t="inlineStr">
        <is>
          <t>45 - 49 años</t>
        </is>
      </c>
      <c r="Z10" s="9632" t="n"/>
      <c r="AA10" s="9631" t="inlineStr">
        <is>
          <t>50 - 54 años</t>
        </is>
      </c>
      <c r="AB10" s="9632" t="n"/>
      <c r="AC10" s="9631" t="inlineStr">
        <is>
          <t>55 - 59 años</t>
        </is>
      </c>
      <c r="AD10" s="9632" t="n"/>
      <c r="AE10" s="9631" t="inlineStr">
        <is>
          <t>60 - 64 años</t>
        </is>
      </c>
      <c r="AF10" s="9632" t="n"/>
      <c r="AG10" s="9631" t="inlineStr">
        <is>
          <t>65 - 69 años</t>
        </is>
      </c>
      <c r="AH10" s="9632" t="n"/>
      <c r="AI10" s="9631" t="inlineStr">
        <is>
          <t>70 - 74 años</t>
        </is>
      </c>
      <c r="AJ10" s="9632" t="n"/>
      <c r="AK10" s="9631" t="inlineStr">
        <is>
          <t>75 - 79 años</t>
        </is>
      </c>
      <c r="AL10" s="9632" t="n"/>
      <c r="AM10" s="9737" t="inlineStr">
        <is>
          <t>80 y mas años</t>
        </is>
      </c>
      <c r="AN10" s="9652" t="n"/>
      <c r="AO10" s="9656" t="n"/>
      <c r="AP10" s="9614" t="n"/>
      <c r="AQ10" s="9614" t="n"/>
      <c r="AR10" s="9614" t="n"/>
      <c r="AS10" s="9625" t="n"/>
    </row>
    <row r="11" ht="33" customHeight="1" s="8286">
      <c r="A11" s="9589" t="n"/>
      <c r="B11" s="7398" t="inlineStr">
        <is>
          <t>Ambos Sexos</t>
        </is>
      </c>
      <c r="C11" s="7400" t="inlineStr">
        <is>
          <t>Hombres</t>
        </is>
      </c>
      <c r="D11" s="7280" t="inlineStr">
        <is>
          <t>Mujeres</t>
        </is>
      </c>
      <c r="E11" s="7376" t="inlineStr">
        <is>
          <t>Hombres</t>
        </is>
      </c>
      <c r="F11" s="7438" t="inlineStr">
        <is>
          <t>Mujeres</t>
        </is>
      </c>
      <c r="G11" s="7376" t="inlineStr">
        <is>
          <t>Hombres</t>
        </is>
      </c>
      <c r="H11" s="7438" t="inlineStr">
        <is>
          <t>Mujeres</t>
        </is>
      </c>
      <c r="I11" s="7376" t="inlineStr">
        <is>
          <t>Hombres</t>
        </is>
      </c>
      <c r="J11" s="7438" t="inlineStr">
        <is>
          <t>Mujeres</t>
        </is>
      </c>
      <c r="K11" s="7376" t="inlineStr">
        <is>
          <t>Hombres</t>
        </is>
      </c>
      <c r="L11" s="7438" t="inlineStr">
        <is>
          <t>Mujeres</t>
        </is>
      </c>
      <c r="M11" s="7376" t="inlineStr">
        <is>
          <t>Hombres</t>
        </is>
      </c>
      <c r="N11" s="7438" t="inlineStr">
        <is>
          <t>Mujeres</t>
        </is>
      </c>
      <c r="O11" s="7376" t="inlineStr">
        <is>
          <t>Hombres</t>
        </is>
      </c>
      <c r="P11" s="7438" t="inlineStr">
        <is>
          <t>Mujeres</t>
        </is>
      </c>
      <c r="Q11" s="7376" t="inlineStr">
        <is>
          <t>Hombres</t>
        </is>
      </c>
      <c r="R11" s="7438" t="inlineStr">
        <is>
          <t>Mujeres</t>
        </is>
      </c>
      <c r="S11" s="7376" t="inlineStr">
        <is>
          <t>Hombres</t>
        </is>
      </c>
      <c r="T11" s="7438" t="inlineStr">
        <is>
          <t>Mujeres</t>
        </is>
      </c>
      <c r="U11" s="7376" t="inlineStr">
        <is>
          <t>Hombres</t>
        </is>
      </c>
      <c r="V11" s="7438" t="inlineStr">
        <is>
          <t>Mujeres</t>
        </is>
      </c>
      <c r="W11" s="7376" t="inlineStr">
        <is>
          <t>Hombres</t>
        </is>
      </c>
      <c r="X11" s="7438" t="inlineStr">
        <is>
          <t>Mujeres</t>
        </is>
      </c>
      <c r="Y11" s="7376" t="inlineStr">
        <is>
          <t>Hombres</t>
        </is>
      </c>
      <c r="Z11" s="7438" t="inlineStr">
        <is>
          <t>Mujeres</t>
        </is>
      </c>
      <c r="AA11" s="7376" t="inlineStr">
        <is>
          <t>Hombres</t>
        </is>
      </c>
      <c r="AB11" s="7438" t="inlineStr">
        <is>
          <t>Mujeres</t>
        </is>
      </c>
      <c r="AC11" s="7376" t="inlineStr">
        <is>
          <t>Hombres</t>
        </is>
      </c>
      <c r="AD11" s="7438" t="inlineStr">
        <is>
          <t>Mujeres</t>
        </is>
      </c>
      <c r="AE11" s="7376" t="inlineStr">
        <is>
          <t>Hombres</t>
        </is>
      </c>
      <c r="AF11" s="7438" t="inlineStr">
        <is>
          <t>Mujeres</t>
        </is>
      </c>
      <c r="AG11" s="7376" t="inlineStr">
        <is>
          <t>Hombres</t>
        </is>
      </c>
      <c r="AH11" s="7438" t="inlineStr">
        <is>
          <t>Mujeres</t>
        </is>
      </c>
      <c r="AI11" s="7376" t="inlineStr">
        <is>
          <t>Hombres</t>
        </is>
      </c>
      <c r="AJ11" s="7438" t="inlineStr">
        <is>
          <t>Mujeres</t>
        </is>
      </c>
      <c r="AK11" s="7376" t="inlineStr">
        <is>
          <t>Hombres</t>
        </is>
      </c>
      <c r="AL11" s="7438" t="inlineStr">
        <is>
          <t>Mujeres</t>
        </is>
      </c>
      <c r="AM11" s="7376" t="inlineStr">
        <is>
          <t>Hombres</t>
        </is>
      </c>
      <c r="AN11" s="7181" t="inlineStr">
        <is>
          <t>Mujeres</t>
        </is>
      </c>
      <c r="AO11" s="9640" t="n"/>
      <c r="AP11" s="9610" t="n"/>
      <c r="AQ11" s="9610" t="n"/>
      <c r="AR11" s="9610" t="n"/>
      <c r="AS11" s="9641" t="n"/>
    </row>
    <row r="12">
      <c r="A12" s="1900" t="inlineStr">
        <is>
          <t>TOTAL</t>
        </is>
      </c>
      <c r="B12" s="5805">
        <f>SUM(B13:B26)</f>
        <v/>
      </c>
      <c r="C12" s="1504">
        <f>SUM(C13:C26)</f>
        <v/>
      </c>
      <c r="D12" s="1789">
        <f>SUM(D13:D26)</f>
        <v/>
      </c>
      <c r="E12" s="5806">
        <f>SUM(E13:E26)</f>
        <v/>
      </c>
      <c r="F12" s="5807">
        <f>SUM(F13:F26)</f>
        <v/>
      </c>
      <c r="G12" s="5808">
        <f>SUM(G13:G26)</f>
        <v/>
      </c>
      <c r="H12" s="5807">
        <f>SUM(H13:H26)</f>
        <v/>
      </c>
      <c r="I12" s="5806">
        <f>SUM(I13:I26)</f>
        <v/>
      </c>
      <c r="J12" s="5807">
        <f>SUM(J13:J26)</f>
        <v/>
      </c>
      <c r="K12" s="5806">
        <f>SUM(K13:K26)</f>
        <v/>
      </c>
      <c r="L12" s="5807">
        <f>SUM(L13:L26)</f>
        <v/>
      </c>
      <c r="M12" s="5806">
        <f>SUM(M13:M26)</f>
        <v/>
      </c>
      <c r="N12" s="5807">
        <f>SUM(N13:N26)</f>
        <v/>
      </c>
      <c r="O12" s="5806">
        <f>SUM(O13:O26)</f>
        <v/>
      </c>
      <c r="P12" s="5807">
        <f>SUM(P13:P26)</f>
        <v/>
      </c>
      <c r="Q12" s="5806">
        <f>SUM(Q13:Q26)</f>
        <v/>
      </c>
      <c r="R12" s="5807">
        <f>SUM(R13:R26)</f>
        <v/>
      </c>
      <c r="S12" s="5806">
        <f>SUM(S13:S26)</f>
        <v/>
      </c>
      <c r="T12" s="5807">
        <f>SUM(T13:T26)</f>
        <v/>
      </c>
      <c r="U12" s="5806">
        <f>SUM(U13:U26)</f>
        <v/>
      </c>
      <c r="V12" s="5807">
        <f>SUM(V13:V26)</f>
        <v/>
      </c>
      <c r="W12" s="5806">
        <f>SUM(W13:W26)</f>
        <v/>
      </c>
      <c r="X12" s="5807">
        <f>SUM(X13:X26)</f>
        <v/>
      </c>
      <c r="Y12" s="5806">
        <f>SUM(Y13:Y26)</f>
        <v/>
      </c>
      <c r="Z12" s="5807">
        <f>SUM(Z13:Z26)</f>
        <v/>
      </c>
      <c r="AA12" s="5806">
        <f>SUM(AA13:AA26)</f>
        <v/>
      </c>
      <c r="AB12" s="5807">
        <f>SUM(AB13:AB26)</f>
        <v/>
      </c>
      <c r="AC12" s="5806">
        <f>SUM(AC13:AC26)</f>
        <v/>
      </c>
      <c r="AD12" s="5807">
        <f>SUM(AD13:AD26)</f>
        <v/>
      </c>
      <c r="AE12" s="5806">
        <f>SUM(AE13:AE26)</f>
        <v/>
      </c>
      <c r="AF12" s="5807">
        <f>SUM(AF13:AF26)</f>
        <v/>
      </c>
      <c r="AG12" s="5806">
        <f>SUM(AG13:AG26)</f>
        <v/>
      </c>
      <c r="AH12" s="5807">
        <f>SUM(AH13:AH26)</f>
        <v/>
      </c>
      <c r="AI12" s="5806">
        <f>SUM(AI13:AI26)</f>
        <v/>
      </c>
      <c r="AJ12" s="5807">
        <f>SUM(AJ13:AJ26)</f>
        <v/>
      </c>
      <c r="AK12" s="5806">
        <f>SUM(AK13:AK26)</f>
        <v/>
      </c>
      <c r="AL12" s="5807">
        <f>SUM(AL13:AL26)</f>
        <v/>
      </c>
      <c r="AM12" s="5806">
        <f>SUM(AM13:AM26)</f>
        <v/>
      </c>
      <c r="AN12" s="5809">
        <f>SUM(AN13:AN26)</f>
        <v/>
      </c>
      <c r="AO12" s="5810">
        <f>SUM(AO13:AO26)</f>
        <v/>
      </c>
      <c r="AP12" s="5811">
        <f>SUM(AP13:AP26)</f>
        <v/>
      </c>
      <c r="AQ12" s="5811">
        <f>SUM(AQ13:AQ26)</f>
        <v/>
      </c>
      <c r="AR12" s="5811">
        <f>SUM(AR13:AR26)</f>
        <v/>
      </c>
      <c r="AS12" s="5812">
        <f>SUM(AS13:AS26)</f>
        <v/>
      </c>
    </row>
    <row r="13" ht="15" customHeight="1" s="8286">
      <c r="A13" s="5813" t="inlineStr">
        <is>
          <t>IRA Alta</t>
        </is>
      </c>
      <c r="B13" s="5814">
        <f>SUM(C13:D13)</f>
        <v/>
      </c>
      <c r="C13" s="1675">
        <f>SUM(E13+G13+I13+K13+M13+O13+Q13+S13+U13+W13+Y13+AA13+AC13+AE13+AG13+AI13+AK13+AM13)</f>
        <v/>
      </c>
      <c r="D13" s="5815">
        <f>SUM(F13+H13+J13+L13+N13+P13+R13+T13+V13+X13+Z13+AB13+AD13+AF13+AH13+AJ13+AL13+AN13)</f>
        <v/>
      </c>
      <c r="E13" s="5816" t="n">
        <v>0</v>
      </c>
      <c r="F13" s="5817" t="n">
        <v>0</v>
      </c>
      <c r="G13" s="5816" t="n">
        <v>7</v>
      </c>
      <c r="H13" s="5817" t="n">
        <v>2</v>
      </c>
      <c r="I13" s="5816" t="n">
        <v>2</v>
      </c>
      <c r="J13" s="5818" t="n">
        <v>3</v>
      </c>
      <c r="K13" s="5816" t="n">
        <v>1</v>
      </c>
      <c r="L13" s="5817" t="n">
        <v>1</v>
      </c>
      <c r="M13" s="5816" t="n">
        <v>0</v>
      </c>
      <c r="N13" s="5817" t="n">
        <v>0</v>
      </c>
      <c r="O13" s="5816" t="n">
        <v>0</v>
      </c>
      <c r="P13" s="5817" t="n">
        <v>0</v>
      </c>
      <c r="Q13" s="5816" t="n">
        <v>0</v>
      </c>
      <c r="R13" s="5817" t="n">
        <v>0</v>
      </c>
      <c r="S13" s="5816" t="n">
        <v>0</v>
      </c>
      <c r="T13" s="5817" t="n">
        <v>0</v>
      </c>
      <c r="U13" s="5816" t="n">
        <v>0</v>
      </c>
      <c r="V13" s="5817" t="n">
        <v>0</v>
      </c>
      <c r="W13" s="5816" t="n">
        <v>0</v>
      </c>
      <c r="X13" s="5817" t="n">
        <v>0</v>
      </c>
      <c r="Y13" s="5816" t="n">
        <v>0</v>
      </c>
      <c r="Z13" s="5817" t="n">
        <v>0</v>
      </c>
      <c r="AA13" s="5816" t="n">
        <v>0</v>
      </c>
      <c r="AB13" s="5817" t="n">
        <v>0</v>
      </c>
      <c r="AC13" s="5816" t="n">
        <v>0</v>
      </c>
      <c r="AD13" s="5817" t="n">
        <v>0</v>
      </c>
      <c r="AE13" s="5816" t="n">
        <v>0</v>
      </c>
      <c r="AF13" s="5817" t="n">
        <v>0</v>
      </c>
      <c r="AG13" s="5816" t="n">
        <v>0</v>
      </c>
      <c r="AH13" s="5817" t="n">
        <v>0</v>
      </c>
      <c r="AI13" s="5816" t="n">
        <v>0</v>
      </c>
      <c r="AJ13" s="5817" t="n">
        <v>0</v>
      </c>
      <c r="AK13" s="5816" t="n">
        <v>0</v>
      </c>
      <c r="AL13" s="5817" t="n">
        <v>0</v>
      </c>
      <c r="AM13" s="5816" t="n">
        <v>0</v>
      </c>
      <c r="AN13" s="5817" t="n">
        <v>0</v>
      </c>
      <c r="AO13" s="5819" t="n">
        <v>1</v>
      </c>
      <c r="AP13" s="5820" t="n">
        <v>1</v>
      </c>
      <c r="AQ13" s="5820" t="n">
        <v>0</v>
      </c>
      <c r="AR13" s="5820" t="n">
        <v>0</v>
      </c>
      <c r="AS13" s="5821" t="n">
        <v>0</v>
      </c>
      <c r="AT13" s="622">
        <f>BO13&amp;BP13&amp;BQ13&amp;BR13&amp;BS13</f>
        <v/>
      </c>
      <c r="BO13" s="5822">
        <f>IF(AND(B13&gt;0,AO13="")," * No olvide digitar la variable Pueblos originarios. Digite Cero si no tiene.",IF(AO13&gt;B13," *  La variable Pueblos originarios No puede ser mayor al Total Ambos Sexos.",""))</f>
        <v/>
      </c>
      <c r="BP13" s="5822">
        <f>IF(AND(B13&gt;0,AP13="")," * No olvide digitar la variable Migrantes. Digite Cero si no tiene.",IF(AP13&gt;B13," *  La variable Migrantes No puede ser mayor al Total Ambos Sexos.",""))</f>
        <v/>
      </c>
      <c r="BQ13" s="5822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/>
      </c>
      <c r="BV13" s="5823">
        <f>IF(AND(B13&gt;0,AP13=""),1,IF(AP13&gt;B13,1,0))</f>
        <v/>
      </c>
      <c r="BW13" s="5823">
        <f>IF(AND(B13&gt;0,AQ13=""),1,IF(AQ13&gt;B13,1,0))</f>
        <v/>
      </c>
      <c r="BX13" s="5823">
        <f>IF(AND(B13&gt;0,AR13=""),1,IF(AR13&gt;B13,1,0))</f>
        <v/>
      </c>
      <c r="BY13" s="5823">
        <f>IF(AND(B13&gt;0,AS13=""),1,IF(AS13&gt;B13,1,0))</f>
        <v/>
      </c>
    </row>
    <row r="14" ht="15" customHeight="1" s="8286">
      <c r="A14" s="1769" t="inlineStr">
        <is>
          <t xml:space="preserve">Síndrome Bronquial Obstructivo </t>
        </is>
      </c>
      <c r="B14" s="5824">
        <f>SUM(C14:D14)</f>
        <v/>
      </c>
      <c r="C14" s="1679">
        <f>SUM(E14+G14+I14)</f>
        <v/>
      </c>
      <c r="D14" s="5825">
        <f>SUM(F14+H14+J14)</f>
        <v/>
      </c>
      <c r="E14" s="5826" t="n">
        <v>0</v>
      </c>
      <c r="F14" s="5827" t="n">
        <v>0</v>
      </c>
      <c r="G14" s="5826" t="n">
        <v>4</v>
      </c>
      <c r="H14" s="5827" t="n">
        <v>2</v>
      </c>
      <c r="I14" s="5826" t="n">
        <v>0</v>
      </c>
      <c r="J14" s="5828" t="n">
        <v>0</v>
      </c>
      <c r="K14" s="5829" t="n"/>
      <c r="L14" s="5830" t="n"/>
      <c r="M14" s="5829" t="n"/>
      <c r="N14" s="5830" t="n"/>
      <c r="O14" s="5829" t="n"/>
      <c r="P14" s="5830" t="n"/>
      <c r="Q14" s="5829" t="n"/>
      <c r="R14" s="5830" t="n"/>
      <c r="S14" s="5829" t="n"/>
      <c r="T14" s="5830" t="n"/>
      <c r="U14" s="5829" t="n"/>
      <c r="V14" s="5830" t="n"/>
      <c r="W14" s="5829" t="n"/>
      <c r="X14" s="5830" t="n"/>
      <c r="Y14" s="5829" t="n"/>
      <c r="Z14" s="5830" t="n"/>
      <c r="AA14" s="5829" t="n"/>
      <c r="AB14" s="5830" t="n"/>
      <c r="AC14" s="5829" t="n"/>
      <c r="AD14" s="5830" t="n"/>
      <c r="AE14" s="5829" t="n"/>
      <c r="AF14" s="5830" t="n"/>
      <c r="AG14" s="5829" t="n"/>
      <c r="AH14" s="5830" t="n"/>
      <c r="AI14" s="5829" t="n"/>
      <c r="AJ14" s="5830" t="n"/>
      <c r="AK14" s="5829" t="n"/>
      <c r="AL14" s="5830" t="n"/>
      <c r="AM14" s="5829" t="n"/>
      <c r="AN14" s="5831" t="n"/>
      <c r="AO14" s="5832" t="n">
        <v>0</v>
      </c>
      <c r="AP14" s="5833" t="n">
        <v>0</v>
      </c>
      <c r="AQ14" s="5833" t="n">
        <v>0</v>
      </c>
      <c r="AR14" s="5833" t="n">
        <v>0</v>
      </c>
      <c r="AS14" s="5834" t="n">
        <v>0</v>
      </c>
      <c r="AT14" s="622">
        <f>BO14&amp;BP14&amp;BQ14&amp;BR14&amp;BS14</f>
        <v/>
      </c>
      <c r="BO14" s="5822">
        <f>IF(AND(B14&gt;0,AO14="")," * No olvide digitar la variable Pueblos originarios. Digite Cero si no tiene.",IF(AO14&gt;B14," *  La variable Pueblos originarios No puede ser mayor al Total Ambos Sexos.",""))</f>
        <v/>
      </c>
      <c r="BP14" s="5822">
        <f>IF(AND(B14&gt;0,AP14="")," * No olvide digitar la variable Migrantes. Digite Cero si no tiene.",IF(AP14&gt;B14," *  La variable Migrantes No puede ser mayor al Total Ambos Sexos.",""))</f>
        <v/>
      </c>
      <c r="BQ14" s="5822">
        <f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>
        <f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>
        <f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>IF(AND(B14&gt;0,AO14=""),1,IF(AO14&gt;B14,1,0))</f>
        <v/>
      </c>
      <c r="BV14" s="5823">
        <f>IF(AND(B14&gt;0,AP14=""),1,IF(AP14&gt;B14,1,0))</f>
        <v/>
      </c>
      <c r="BW14" s="5823">
        <f>IF(AND(B14&gt;0,AQ14=""),1,IF(AQ14&gt;B14,1,0))</f>
        <v/>
      </c>
      <c r="BX14" s="5823">
        <f>IF(AND(B14&gt;0,AR14=""),1,IF(AR14&gt;B14,1,0))</f>
        <v/>
      </c>
      <c r="BY14" s="5823">
        <f>IF(AND(B14&gt;0,AS14=""),1,IF(AS14&gt;B14,1,0))</f>
        <v/>
      </c>
    </row>
    <row r="15" ht="15" customHeight="1" s="8286">
      <c r="A15" s="8220" t="inlineStr">
        <is>
          <t xml:space="preserve">Neumonía </t>
        </is>
      </c>
      <c r="B15" s="5824">
        <f>SUM(C15:D15)</f>
        <v/>
      </c>
      <c r="C15" s="1679">
        <f>SUM(E15+G15+I15+K15+M15+O15+Q15+S15+U15+W15+Y15+AA15+AC15+AE15+AG15+AI15+AK15+AM15)</f>
        <v/>
      </c>
      <c r="D15" s="5825">
        <f>SUM(F15+H15+J15+L15+N15+P15+R15+T15+V15+X15+Z15+AB15+AD15+AF15+AH15+AJ15+AL15+AN15)</f>
        <v/>
      </c>
      <c r="E15" s="5826" t="n">
        <v>0</v>
      </c>
      <c r="F15" s="5827" t="n">
        <v>0</v>
      </c>
      <c r="G15" s="5826" t="n">
        <v>0</v>
      </c>
      <c r="H15" s="5827" t="n">
        <v>0</v>
      </c>
      <c r="I15" s="5826" t="n">
        <v>0</v>
      </c>
      <c r="J15" s="5828" t="n">
        <v>0</v>
      </c>
      <c r="K15" s="5826" t="n">
        <v>0</v>
      </c>
      <c r="L15" s="5828" t="n">
        <v>0</v>
      </c>
      <c r="M15" s="5826" t="n">
        <v>0</v>
      </c>
      <c r="N15" s="5828" t="n">
        <v>0</v>
      </c>
      <c r="O15" s="5826" t="n">
        <v>0</v>
      </c>
      <c r="P15" s="5828" t="n">
        <v>0</v>
      </c>
      <c r="Q15" s="5826" t="n">
        <v>0</v>
      </c>
      <c r="R15" s="5828" t="n">
        <v>0</v>
      </c>
      <c r="S15" s="5826" t="n">
        <v>0</v>
      </c>
      <c r="T15" s="5828" t="n">
        <v>0</v>
      </c>
      <c r="U15" s="5826" t="n">
        <v>0</v>
      </c>
      <c r="V15" s="5828" t="n">
        <v>0</v>
      </c>
      <c r="W15" s="5826" t="n">
        <v>0</v>
      </c>
      <c r="X15" s="5828" t="n">
        <v>0</v>
      </c>
      <c r="Y15" s="5826" t="n">
        <v>0</v>
      </c>
      <c r="Z15" s="5828" t="n">
        <v>0</v>
      </c>
      <c r="AA15" s="5826" t="n">
        <v>0</v>
      </c>
      <c r="AB15" s="5828" t="n">
        <v>0</v>
      </c>
      <c r="AC15" s="5826" t="n">
        <v>2</v>
      </c>
      <c r="AD15" s="5828" t="n">
        <v>0</v>
      </c>
      <c r="AE15" s="5826" t="n">
        <v>0</v>
      </c>
      <c r="AF15" s="5828" t="n">
        <v>0</v>
      </c>
      <c r="AG15" s="5826" t="n">
        <v>0</v>
      </c>
      <c r="AH15" s="5828" t="n">
        <v>0</v>
      </c>
      <c r="AI15" s="5826" t="n">
        <v>0</v>
      </c>
      <c r="AJ15" s="5828" t="n">
        <v>1</v>
      </c>
      <c r="AK15" s="5826" t="n">
        <v>0</v>
      </c>
      <c r="AL15" s="5828" t="n">
        <v>0</v>
      </c>
      <c r="AM15" s="5836" t="n">
        <v>0</v>
      </c>
      <c r="AN15" s="5837" t="n">
        <v>0</v>
      </c>
      <c r="AO15" s="5832" t="n">
        <v>0</v>
      </c>
      <c r="AP15" s="5833" t="n">
        <v>0</v>
      </c>
      <c r="AQ15" s="5833" t="n">
        <v>0</v>
      </c>
      <c r="AR15" s="5833" t="n">
        <v>0</v>
      </c>
      <c r="AS15" s="5834" t="n">
        <v>0</v>
      </c>
      <c r="AT15" s="622">
        <f>BO15&amp;BP15&amp;BQ15&amp;BR15&amp;BS15</f>
        <v/>
      </c>
      <c r="BO15" s="5822">
        <f>IF(AND(B15&gt;0,AO15="")," * No olvide digitar la variable Pueblos originarios. Digite Cero si no tiene.",IF(AO15&gt;B15," *  La variable Pueblos originarios No puede ser mayor al Total Ambos Sexos.",""))</f>
        <v/>
      </c>
      <c r="BP15" s="5822">
        <f>IF(AND(B15&gt;0,AP15="")," * No olvide digitar la variable Migrantes. Digite Cero si no tiene.",IF(AP15&gt;B15," *  La variable Migrantes No puede ser mayor al Total Ambos Sexos.",""))</f>
        <v/>
      </c>
      <c r="BQ15" s="5822">
        <f>IF(AND(B15&gt;0,AQ15="")," * No olvide digitar la variable SENAME/ Servicio Nacional de Reinserción social Juvenil. Digite Cero si no tiene.",IF(AQ15&gt;B15," * La SENAME/ Servicio Nacional de Reinserción social Juvenil No puede ser mayor al Total Ambos Sexos.",""))</f>
        <v/>
      </c>
      <c r="BR15" s="5822">
        <f>IF(AND(B15&gt;0,AR15="")," * No olvide digitar la variable Servicio Nacional Protección Especializada a la Niñez y Adolescencia. Digite Cero si no tiene.",IF(AR15&gt;B15," * La variable Servicio Nacional Protección Especializada a la Niñez y Adolescencia No puede ser mayor al Total Ambos Sexos.",""))</f>
        <v/>
      </c>
      <c r="BS15" s="5822">
        <f>IF(AND(B15&gt;0,AS15="")," * No olvide digitar la variable Por campaña de invierno. Digite Cero si no tiene.",IF(AS15&gt;B15," * La variable Por campaña de invierno No puede ser mayor al Total Ambos Sexos.",""))</f>
        <v/>
      </c>
      <c r="BU15" s="5823">
        <f>IF(AND(B15&gt;0,AO15=""),1,IF(AO15&gt;B15,1,0))</f>
        <v/>
      </c>
      <c r="BV15" s="5823">
        <f>IF(AND(B15&gt;0,AP15=""),1,IF(AP15&gt;B15,1,0))</f>
        <v/>
      </c>
      <c r="BW15" s="5823">
        <f>IF(AND(B15&gt;0,AQ15=""),1,IF(AQ15&gt;B15,1,0))</f>
        <v/>
      </c>
      <c r="BX15" s="5823">
        <f>IF(AND(B15&gt;0,AR15=""),1,IF(AR15&gt;B15,1,0))</f>
        <v/>
      </c>
      <c r="BY15" s="5823">
        <f>IF(AND(B15&gt;0,AS15=""),1,IF(AS15&gt;B15,1,0))</f>
        <v/>
      </c>
    </row>
    <row r="16" ht="15" customHeight="1" s="8286">
      <c r="A16" s="1657" t="inlineStr">
        <is>
          <t xml:space="preserve">Exacerbación Asma </t>
        </is>
      </c>
      <c r="B16" s="1537">
        <f>SUM(C16:D16)</f>
        <v/>
      </c>
      <c r="C16" s="1785">
        <f>SUM(I16+K16+M16+O16+Q16+S16+U16+W16+Y16+AA16+AC16+AE16+AG16+AI16+AK16+AM16)</f>
        <v/>
      </c>
      <c r="D16" s="5838">
        <f>SUM(J16+L16+N16+P16+R16+T16+V16+X16+Z16+AB16+AD16+AF16+AH16+AJ16+AL16+AN16)</f>
        <v/>
      </c>
      <c r="E16" s="5829" t="n"/>
      <c r="F16" s="5830" t="n"/>
      <c r="G16" s="5839" t="n"/>
      <c r="H16" s="5840" t="n"/>
      <c r="I16" s="5826" t="n"/>
      <c r="J16" s="5828" t="n"/>
      <c r="K16" s="5826" t="n"/>
      <c r="L16" s="5828" t="n"/>
      <c r="M16" s="5826" t="n"/>
      <c r="N16" s="5828" t="n"/>
      <c r="O16" s="5826" t="n"/>
      <c r="P16" s="5828" t="n"/>
      <c r="Q16" s="5826" t="n"/>
      <c r="R16" s="5828" t="n"/>
      <c r="S16" s="5826" t="n"/>
      <c r="T16" s="5828" t="n"/>
      <c r="U16" s="5826" t="n"/>
      <c r="V16" s="5828" t="n"/>
      <c r="W16" s="5826" t="n"/>
      <c r="X16" s="5828" t="n"/>
      <c r="Y16" s="5826" t="n"/>
      <c r="Z16" s="5828" t="n"/>
      <c r="AA16" s="5826" t="n"/>
      <c r="AB16" s="5828" t="n"/>
      <c r="AC16" s="5826" t="n"/>
      <c r="AD16" s="5828" t="n"/>
      <c r="AE16" s="5826" t="n"/>
      <c r="AF16" s="5828" t="n"/>
      <c r="AG16" s="5826" t="n"/>
      <c r="AH16" s="5828" t="n"/>
      <c r="AI16" s="5826" t="n"/>
      <c r="AJ16" s="5828" t="n"/>
      <c r="AK16" s="5826" t="n"/>
      <c r="AL16" s="5828" t="n"/>
      <c r="AM16" s="5836" t="n"/>
      <c r="AN16" s="5837" t="n"/>
      <c r="AO16" s="5832" t="n"/>
      <c r="AP16" s="5833" t="n"/>
      <c r="AQ16" s="5833" t="n"/>
      <c r="AR16" s="5833" t="n"/>
      <c r="AS16" s="5834" t="n"/>
      <c r="AT16" s="622">
        <f>BO16&amp;BP16&amp;BQ16&amp;BR16&amp;BS16</f>
        <v/>
      </c>
      <c r="BO16" s="5822">
        <f>IF(AND(B16&gt;0,AO16="")," * No olvide digitar la variable Pueblos originarios. Digite Cero si no tiene.",IF(AO16&gt;B16," *  La variable Pueblos originarios No puede ser mayor al Total Ambos Sexos.",""))</f>
        <v/>
      </c>
      <c r="BP16" s="5822">
        <f>IF(AND(B16&gt;0,AP16="")," * No olvide digitar la variable Migrantes. Digite Cero si no tiene.",IF(AP16&gt;B16," *  La variable Migrantes No puede ser mayor al Total Ambos Sexos.",""))</f>
        <v/>
      </c>
      <c r="BQ16" s="5822">
        <f>IF(AND(B16&gt;0,AQ16="")," * No olvide digitar la variable SENAME/ Servicio Nacional de Reinserción social Juvenil. Digite Cero si no tiene.",IF(AQ16&gt;B16," * La SENAME/ Servicio Nacional de Reinserción social Juvenil No puede ser mayor al Total Ambos Sexos.",""))</f>
        <v/>
      </c>
      <c r="BR16" s="5822">
        <f>IF(AND(B16&gt;0,AR16="")," * No olvide digitar la variable Servicio Nacional Protección Especializada a la Niñez y Adolescencia. Digite Cero si no tiene.",IF(AR16&gt;B16," * La variable Servicio Nacional Protección Especializada a la Niñez y Adolescencia No puede ser mayor al Total Ambos Sexos.",""))</f>
        <v/>
      </c>
      <c r="BS16" s="5822">
        <f>IF(AND(B16&gt;0,AS16="")," * No olvide digitar la variable Por campaña de invierno. Digite Cero si no tiene.",IF(AS16&gt;B16," * La variable Por campaña de invierno No puede ser mayor al Total Ambos Sexos.",""))</f>
        <v/>
      </c>
      <c r="BU16" s="5823">
        <f>IF(AND(B16&gt;0,AO16=""),1,IF(AO16&gt;B16,1,0))</f>
        <v/>
      </c>
      <c r="BV16" s="5823">
        <f>IF(AND(B16&gt;0,AP16=""),1,IF(AP16&gt;B16,1,0))</f>
        <v/>
      </c>
      <c r="BW16" s="5823">
        <f>IF(AND(B16&gt;0,AQ16=""),1,IF(AQ16&gt;B16,1,0))</f>
        <v/>
      </c>
      <c r="BX16" s="5823">
        <f>IF(AND(B16&gt;0,AR16=""),1,IF(AR16&gt;B16,1,0))</f>
        <v/>
      </c>
      <c r="BY16" s="5823">
        <f>IF(AND(B16&gt;0,AS16=""),1,IF(AS16&gt;B16,1,0))</f>
        <v/>
      </c>
    </row>
    <row r="17" ht="15" customHeight="1" s="8286">
      <c r="A17" s="5841" t="inlineStr">
        <is>
          <t xml:space="preserve">Enfermedad Pulmonar Obstructiva Crónica </t>
        </is>
      </c>
      <c r="B17" s="5824">
        <f>SUM(C17:D17)</f>
        <v/>
      </c>
      <c r="C17" s="1679">
        <f>SUM(U17+W17+Y17+AA17+AC17+AE17+AG17+AI17+AK17+AM17)</f>
        <v/>
      </c>
      <c r="D17" s="5825">
        <f>SUM(V17+X17+Z17+AB17+AD17+AF17+AH17+AJ17+AL17+AN17)</f>
        <v/>
      </c>
      <c r="E17" s="5829" t="n"/>
      <c r="F17" s="5842" t="n"/>
      <c r="G17" s="5829" t="n"/>
      <c r="H17" s="5842" t="n"/>
      <c r="I17" s="5829" t="n"/>
      <c r="J17" s="5830" t="n"/>
      <c r="K17" s="5829" t="n"/>
      <c r="L17" s="5830" t="n"/>
      <c r="M17" s="5829" t="n"/>
      <c r="N17" s="5830" t="n"/>
      <c r="O17" s="5829" t="n"/>
      <c r="P17" s="5830" t="n"/>
      <c r="Q17" s="5829" t="n"/>
      <c r="R17" s="5830" t="n"/>
      <c r="S17" s="5829" t="n"/>
      <c r="T17" s="5830" t="n"/>
      <c r="U17" s="5826" t="n"/>
      <c r="V17" s="5828" t="n"/>
      <c r="W17" s="5826" t="n"/>
      <c r="X17" s="5828" t="n"/>
      <c r="Y17" s="5826" t="n"/>
      <c r="Z17" s="5828" t="n"/>
      <c r="AA17" s="5826" t="n"/>
      <c r="AB17" s="5828" t="n"/>
      <c r="AC17" s="5826" t="n"/>
      <c r="AD17" s="5828" t="n"/>
      <c r="AE17" s="5826" t="n"/>
      <c r="AF17" s="5828" t="n"/>
      <c r="AG17" s="5826" t="n"/>
      <c r="AH17" s="5828" t="n"/>
      <c r="AI17" s="5826" t="n"/>
      <c r="AJ17" s="5828" t="n"/>
      <c r="AK17" s="5826" t="n"/>
      <c r="AL17" s="5828" t="n"/>
      <c r="AM17" s="5836" t="n"/>
      <c r="AN17" s="5837" t="n"/>
      <c r="AO17" s="5832" t="n"/>
      <c r="AP17" s="5833" t="n"/>
      <c r="AQ17" s="5833" t="n"/>
      <c r="AR17" s="5833" t="n"/>
      <c r="AS17" s="5834" t="n"/>
      <c r="AT17" s="622">
        <f>BO17&amp;BP17&amp;BQ17&amp;BR17&amp;BS17</f>
        <v/>
      </c>
      <c r="BO17" s="5822">
        <f>IF(AND(B17&gt;0,AO17="")," * No olvide digitar la variable Pueblos originarios. Digite Cero si no tiene.",IF(AO17&gt;B17," *  La variable Pueblos originarios No puede ser mayor al Total Ambos Sexos.",""))</f>
        <v/>
      </c>
      <c r="BP17" s="5822">
        <f>IF(AND(B17&gt;0,AP17="")," * No olvide digitar la variable Migrantes. Digite Cero si no tiene.",IF(AP17&gt;B17," *  La variable Migrantes No puede ser mayor al Total Ambos Sexos.",""))</f>
        <v/>
      </c>
      <c r="BQ17" s="5822">
        <f>IF(AND(B17&gt;0,AQ17="")," * No olvide digitar la variable SENAME/ Servicio Nacional de Reinserción social Juvenil. Digite Cero si no tiene.",IF(AQ17&gt;B17," * La SENAME/ Servicio Nacional de Reinserción social Juvenil No puede ser mayor al Total Ambos Sexos.",""))</f>
        <v/>
      </c>
      <c r="BR17" s="5822">
        <f>IF(AND(B17&gt;0,AR17="")," * No olvide digitar la variable Servicio Nacional Protección Especializada a la Niñez y Adolescencia. Digite Cero si no tiene.",IF(AR17&gt;B17," * La variable Servicio Nacional Protección Especializada a la Niñez y Adolescencia No puede ser mayor al Total Ambos Sexos.",""))</f>
        <v/>
      </c>
      <c r="BS17" s="5822">
        <f>IF(AND(B17&gt;0,AS17="")," * No olvide digitar la variable Por campaña de invierno. Digite Cero si no tiene.",IF(AS17&gt;B17," * La variable Por campaña de invierno No puede ser mayor al Total Ambos Sexos.",""))</f>
        <v/>
      </c>
      <c r="BU17" s="5823">
        <f>IF(AND(B17&gt;0,AO17=""),1,IF(AO17&gt;B17,1,0))</f>
        <v/>
      </c>
      <c r="BV17" s="5823">
        <f>IF(AND(B17&gt;0,AP17=""),1,IF(AP17&gt;B17,1,0))</f>
        <v/>
      </c>
      <c r="BW17" s="5823">
        <f>IF(AND(B17&gt;0,AQ17=""),1,IF(AQ17&gt;B17,1,0))</f>
        <v/>
      </c>
      <c r="BX17" s="5823">
        <f>IF(AND(B17&gt;0,AR17=""),1,IF(AR17&gt;B17,1,0))</f>
        <v/>
      </c>
      <c r="BY17" s="5823">
        <f>IF(AND(B17&gt;0,AS17=""),1,IF(AS17&gt;B17,1,0))</f>
        <v/>
      </c>
    </row>
    <row r="18" ht="15" customHeight="1" s="8286">
      <c r="A18" s="7392" t="inlineStr">
        <is>
          <t xml:space="preserve">Otras respiratorias </t>
        </is>
      </c>
      <c r="B18" s="5824">
        <f>SUM(C18:D18)</f>
        <v/>
      </c>
      <c r="C18" s="1679">
        <f>SUM(E18+G18+I18+K18+M18+O18+Q18+S18+U18+W18+Y18+AA18+AC18+AE18+AG18+AI18+AK18+AM18)</f>
        <v/>
      </c>
      <c r="D18" s="5825">
        <f>SUM(F18+H18+J18+L18+N18+P18+R18+T18+V18+X18+Z18+AB18+AD18+AF18+AH18+AJ18+AL18+AN18)</f>
        <v/>
      </c>
      <c r="E18" s="5826" t="n">
        <v>0</v>
      </c>
      <c r="F18" s="5827" t="n">
        <v>3</v>
      </c>
      <c r="G18" s="5826" t="n">
        <v>6</v>
      </c>
      <c r="H18" s="5827" t="n">
        <v>7</v>
      </c>
      <c r="I18" s="5826" t="n">
        <v>7</v>
      </c>
      <c r="J18" s="5828" t="n">
        <v>11</v>
      </c>
      <c r="K18" s="5843" t="n">
        <v>12</v>
      </c>
      <c r="L18" s="5828" t="n">
        <v>4</v>
      </c>
      <c r="M18" s="5826" t="n">
        <v>2</v>
      </c>
      <c r="N18" s="5828" t="n">
        <v>6</v>
      </c>
      <c r="O18" s="5826" t="n">
        <v>0</v>
      </c>
      <c r="P18" s="5828" t="n">
        <v>0</v>
      </c>
      <c r="Q18" s="5826" t="n">
        <v>0</v>
      </c>
      <c r="R18" s="5828" t="n">
        <v>2</v>
      </c>
      <c r="S18" s="5826" t="n">
        <v>1</v>
      </c>
      <c r="T18" s="5828" t="n">
        <v>2</v>
      </c>
      <c r="U18" s="5826" t="n">
        <v>0</v>
      </c>
      <c r="V18" s="5828" t="n">
        <v>2</v>
      </c>
      <c r="W18" s="5826" t="n">
        <v>0</v>
      </c>
      <c r="X18" s="5828" t="n">
        <v>0</v>
      </c>
      <c r="Y18" s="5826" t="n">
        <v>0</v>
      </c>
      <c r="Z18" s="5828" t="n">
        <v>1</v>
      </c>
      <c r="AA18" s="5826" t="n">
        <v>1</v>
      </c>
      <c r="AB18" s="5828" t="n">
        <v>2</v>
      </c>
      <c r="AC18" s="5826" t="n">
        <v>0</v>
      </c>
      <c r="AD18" s="5828" t="n">
        <v>5</v>
      </c>
      <c r="AE18" s="5826" t="n">
        <v>0</v>
      </c>
      <c r="AF18" s="5828" t="n">
        <v>6</v>
      </c>
      <c r="AG18" s="5826" t="n">
        <v>2</v>
      </c>
      <c r="AH18" s="5828" t="n">
        <v>2</v>
      </c>
      <c r="AI18" s="5826" t="n">
        <v>4</v>
      </c>
      <c r="AJ18" s="5828" t="n">
        <v>4</v>
      </c>
      <c r="AK18" s="5826" t="n">
        <v>0</v>
      </c>
      <c r="AL18" s="5828" t="n">
        <v>1</v>
      </c>
      <c r="AM18" s="5836" t="n">
        <v>1</v>
      </c>
      <c r="AN18" s="5837" t="n">
        <v>2</v>
      </c>
      <c r="AO18" s="5832" t="n">
        <v>3</v>
      </c>
      <c r="AP18" s="5833" t="n">
        <v>2</v>
      </c>
      <c r="AQ18" s="5833" t="n">
        <v>1</v>
      </c>
      <c r="AR18" s="5833" t="n">
        <v>1</v>
      </c>
      <c r="AS18" s="5834" t="n">
        <v>0</v>
      </c>
      <c r="AT18" s="622">
        <f>BO18&amp;BP18&amp;BQ18&amp;BR18&amp;BS18</f>
        <v/>
      </c>
      <c r="BO18" s="5822">
        <f>IF(AND(B18&gt;0,AO18="")," * No olvide digitar la variable Pueblos originarios. Digite Cero si no tiene.",IF(AO18&gt;B18," *  La variable Pueblos originarios No puede ser mayor al Total Ambos Sexos.",""))</f>
        <v/>
      </c>
      <c r="BP18" s="5822">
        <f>IF(AND(B18&gt;0,AP18="")," * No olvide digitar la variable Migrantes. Digite Cero si no tiene.",IF(AP18&gt;B18," *  La variable Migrantes No puede ser mayor al Total Ambos Sexos.",""))</f>
        <v/>
      </c>
      <c r="BQ18" s="5822">
        <f>IF(AND(B18&gt;0,AQ18="")," * No olvide digitar la variable SENAME/ Servicio Nacional de Reinserción social Juvenil. Digite Cero si no tiene.",IF(AQ18&gt;B18," * La SENAME/ Servicio Nacional de Reinserción social Juvenil No puede ser mayor al Total Ambos Sexos.",""))</f>
        <v/>
      </c>
      <c r="BR18" s="5822">
        <f>IF(AND(B18&gt;0,AR18="")," * No olvide digitar la variable Servicio Nacional Protección Especializada a la Niñez y Adolescencia. Digite Cero si no tiene.",IF(AR18&gt;B18," * La variable Servicio Nacional Protección Especializada a la Niñez y Adolescencia No puede ser mayor al Total Ambos Sexos.",""))</f>
        <v/>
      </c>
      <c r="BS18" s="5822">
        <f>IF(AND(B18&gt;0,AS18="")," * No olvide digitar la variable Por campaña de invierno. Digite Cero si no tiene.",IF(AS18&gt;B18," * La variable Por campaña de invierno No puede ser mayor al Total Ambos Sexos.",""))</f>
        <v/>
      </c>
      <c r="BU18" s="5823">
        <f>IF(AND(B18&gt;0,AO18=""),1,IF(AO18&gt;B18,1,0))</f>
        <v/>
      </c>
      <c r="BV18" s="5823">
        <f>IF(AND(B18&gt;0,AP18=""),1,IF(AP18&gt;B18,1,0))</f>
        <v/>
      </c>
      <c r="BW18" s="5823">
        <f>IF(AND(B18&gt;0,AQ18=""),1,IF(AQ18&gt;B18,1,0))</f>
        <v/>
      </c>
      <c r="BX18" s="5823">
        <f>IF(AND(B18&gt;0,AR18=""),1,IF(AR18&gt;B18,1,0))</f>
        <v/>
      </c>
      <c r="BY18" s="5823">
        <f>IF(AND(B18&gt;0,AS18=""),1,IF(AS18&gt;B18,1,0))</f>
        <v/>
      </c>
    </row>
    <row r="19" ht="15" customHeight="1" s="8286">
      <c r="A19" s="5844" t="inlineStr">
        <is>
          <t xml:space="preserve">Obstétrica </t>
        </is>
      </c>
      <c r="B19" s="5824">
        <f>SUM(C19:D19)</f>
        <v/>
      </c>
      <c r="C19" s="5597" t="n"/>
      <c r="D19" s="5845">
        <f>SUM(L19+N19+P19+R19+T19+V19+X19+Z19+AB19+AD19+AF19)</f>
        <v/>
      </c>
      <c r="E19" s="5839" t="n"/>
      <c r="F19" s="5840" t="n"/>
      <c r="G19" s="5839" t="n"/>
      <c r="H19" s="5840" t="n"/>
      <c r="I19" s="5839" t="n"/>
      <c r="J19" s="5846" t="n"/>
      <c r="K19" s="5829" t="n"/>
      <c r="L19" s="5847" t="n"/>
      <c r="M19" s="5848" t="n"/>
      <c r="N19" s="5847" t="n"/>
      <c r="O19" s="5848" t="n"/>
      <c r="P19" s="5847" t="n"/>
      <c r="Q19" s="5848" t="n"/>
      <c r="R19" s="5847" t="n"/>
      <c r="S19" s="5848" t="n"/>
      <c r="T19" s="5847" t="n"/>
      <c r="U19" s="5848" t="n"/>
      <c r="V19" s="5847" t="n"/>
      <c r="W19" s="5848" t="n"/>
      <c r="X19" s="5847" t="n"/>
      <c r="Y19" s="5848" t="n"/>
      <c r="Z19" s="5847" t="n"/>
      <c r="AA19" s="5848" t="n"/>
      <c r="AB19" s="5847" t="n"/>
      <c r="AC19" s="5848" t="n"/>
      <c r="AD19" s="5847" t="n"/>
      <c r="AE19" s="5848" t="n"/>
      <c r="AF19" s="5847" t="n"/>
      <c r="AG19" s="5839" t="n"/>
      <c r="AH19" s="5846" t="n"/>
      <c r="AI19" s="5839" t="n"/>
      <c r="AJ19" s="5846" t="n"/>
      <c r="AK19" s="5839" t="n"/>
      <c r="AL19" s="5846" t="n"/>
      <c r="AM19" s="5849" t="n"/>
      <c r="AN19" s="5831" t="n"/>
      <c r="AO19" s="5850" t="n"/>
      <c r="AP19" s="5851" t="n"/>
      <c r="AQ19" s="5851" t="n"/>
      <c r="AR19" s="5851" t="n"/>
      <c r="AS19" s="5852" t="n"/>
      <c r="AT19" s="622">
        <f>BO19&amp;BP19&amp;BQ19&amp;BR19</f>
        <v/>
      </c>
      <c r="BO19" s="5822">
        <f>IF(AND(B19&gt;0,AO19="")," * No olvide digitar la variable Pueblos originarios. Digite Cero si no tiene.",IF(AO19&gt;B19," *  La variable Pueblos originarios No puede ser mayor al Total Ambos Sexos.",""))</f>
        <v/>
      </c>
      <c r="BP19" s="5822">
        <f>IF(AND(B19&gt;0,AP19="")," * No olvide digitar la variable Migrantes. Digite Cero si no tiene.",IF(AP19&gt;B19," *  La variable Migrantes No puede ser mayor al Total Ambos Sexos.",""))</f>
        <v/>
      </c>
      <c r="BQ19" s="5822">
        <f>IF(AND(B19&gt;0,AQ19="")," * No olvide digitar la variable SENAME/ Servicio Nacional de Reinserción social Juvenil. Digite Cero si no tiene.",IF(AQ19&gt;B19," * La SENAME/ Servicio Nacional de Reinserción social Juvenil No puede ser mayor al Total Ambos Sexos.",""))</f>
        <v/>
      </c>
      <c r="BR19" s="5822">
        <f>IF(AND(B19&gt;0,AR19="")," * No olvide digitar la variable Servicio Nacional Protección Especializada a la Niñez y Adolescencia. Digite Cero si no tiene.",IF(AR19&gt;B19," * La variable Servicio Nacional Protección Especializada a la Niñez y Adolescencia No puede ser mayor al Total Ambos Sexos.",""))</f>
        <v/>
      </c>
      <c r="BS19" s="5853" t="n"/>
      <c r="BU19" s="5823">
        <f>IF(AND(B19&gt;0,AO19=""),1,IF(AO19&gt;B19,1,0))</f>
        <v/>
      </c>
      <c r="BV19" s="5823">
        <f>IF(AND(B19&gt;0,AP19=""),1,IF(AP19&gt;B19,1,0))</f>
        <v/>
      </c>
      <c r="BW19" s="5823">
        <f>IF(AND(B19&gt;0,AQ19=""),1,IF(AQ19&gt;B19,1,0))</f>
        <v/>
      </c>
      <c r="BX19" s="5823">
        <f>IF(AND(B19&gt;0,AR19=""),1,IF(AR19&gt;B19,1,0))</f>
        <v/>
      </c>
      <c r="BY19" s="5854" t="n"/>
    </row>
    <row r="20" ht="15" customHeight="1" s="8286">
      <c r="A20" s="5844" t="inlineStr">
        <is>
          <t xml:space="preserve">Ginecológica </t>
        </is>
      </c>
      <c r="B20" s="5824">
        <f>SUM(C20:D20)</f>
        <v/>
      </c>
      <c r="C20" s="5597" t="n"/>
      <c r="D20" s="5825">
        <f>SUM(F20+H20+J20+L20+N20+P20+R20+T20+V20+X20+Z20+AB20+AD20+AF20+AH20+AJ20+AL20+AN20)</f>
        <v/>
      </c>
      <c r="E20" s="5839" t="n"/>
      <c r="F20" s="5827" t="n"/>
      <c r="G20" s="5839" t="n"/>
      <c r="H20" s="5827" t="n"/>
      <c r="I20" s="5839" t="n"/>
      <c r="J20" s="5847" t="n"/>
      <c r="K20" s="5839" t="n"/>
      <c r="L20" s="5847" t="n"/>
      <c r="M20" s="5848" t="n"/>
      <c r="N20" s="5847" t="n"/>
      <c r="O20" s="5848" t="n"/>
      <c r="P20" s="5847" t="n"/>
      <c r="Q20" s="5848" t="n"/>
      <c r="R20" s="5847" t="n"/>
      <c r="S20" s="5848" t="n"/>
      <c r="T20" s="5847" t="n"/>
      <c r="U20" s="5848" t="n"/>
      <c r="V20" s="5847" t="n"/>
      <c r="W20" s="5848" t="n"/>
      <c r="X20" s="5847" t="n"/>
      <c r="Y20" s="5848" t="n"/>
      <c r="Z20" s="5847" t="n"/>
      <c r="AA20" s="5848" t="n"/>
      <c r="AB20" s="5847" t="n"/>
      <c r="AC20" s="5848" t="n"/>
      <c r="AD20" s="5847" t="n"/>
      <c r="AE20" s="5848" t="n"/>
      <c r="AF20" s="5847" t="n"/>
      <c r="AG20" s="5848" t="n"/>
      <c r="AH20" s="5847" t="n"/>
      <c r="AI20" s="5848" t="n"/>
      <c r="AJ20" s="5847" t="n"/>
      <c r="AK20" s="5848" t="n"/>
      <c r="AL20" s="5847" t="n"/>
      <c r="AM20" s="5848" t="n"/>
      <c r="AN20" s="5855" t="n"/>
      <c r="AO20" s="5850" t="n"/>
      <c r="AP20" s="5851" t="n"/>
      <c r="AQ20" s="5851" t="n"/>
      <c r="AR20" s="5851" t="n"/>
      <c r="AS20" s="5852" t="n"/>
      <c r="AT20" s="622">
        <f>BO20&amp;BP20&amp;BQ20&amp;BR20</f>
        <v/>
      </c>
      <c r="BO20" s="5822">
        <f>IF(AND(B20&gt;0,AO20="")," * No olvide digitar la variable Pueblos originarios. Digite Cero si no tiene.",IF(AO20&gt;B20," *  La variable Pueblos originarios No puede ser mayor al Total Ambos Sexos.",""))</f>
        <v/>
      </c>
      <c r="BP20" s="5822">
        <f>IF(AND(B20&gt;0,AP20="")," * No olvide digitar la variable Migrantes. Digite Cero si no tiene.",IF(AP20&gt;B20," *  La variable Migrantes No puede ser mayor al Total Ambos Sexos.",""))</f>
        <v/>
      </c>
      <c r="BQ20" s="5822">
        <f>IF(AND(B20&gt;0,AQ20="")," * No olvide digitar la variable SENAME/ Servicio Nacional de Reinserción social Juvenil. Digite Cero si no tiene.",IF(AQ20&gt;B20," * La SENAME/ Servicio Nacional de Reinserción social Juvenil No puede ser mayor al Total Ambos Sexos.",""))</f>
        <v/>
      </c>
      <c r="BR20" s="5822">
        <f>IF(AND(B20&gt;0,AR20="")," * No olvide digitar la variable Servicio Nacional Protección Especializada a la Niñez y Adolescencia. Digite Cero si no tiene.",IF(AR20&gt;B20," * La variable Servicio Nacional Protección Especializada a la Niñez y Adolescencia No puede ser mayor al Total Ambos Sexos.",""))</f>
        <v/>
      </c>
      <c r="BS20" s="5853" t="n"/>
      <c r="BU20" s="5823">
        <f>IF(AND(B20&gt;0,AO20=""),1,IF(AO20&gt;B20,1,0))</f>
        <v/>
      </c>
      <c r="BV20" s="5823">
        <f>IF(AND(B20&gt;0,AP20=""),1,IF(AP20&gt;B20,1,0))</f>
        <v/>
      </c>
      <c r="BW20" s="5823">
        <f>IF(AND(B20&gt;0,AQ20=""),1,IF(AQ20&gt;B20,1,0))</f>
        <v/>
      </c>
      <c r="BX20" s="5823">
        <f>IF(AND(B20&gt;0,AR20=""),1,IF(AR20&gt;B20,1,0))</f>
        <v/>
      </c>
      <c r="BY20" s="5854" t="n"/>
    </row>
    <row r="21" ht="15" customHeight="1" s="8286">
      <c r="A21" s="5844" t="inlineStr">
        <is>
          <t xml:space="preserve">Ginecológica por Infertilidad </t>
        </is>
      </c>
      <c r="B21" s="5856">
        <f>SUM(C21:D21)</f>
        <v/>
      </c>
      <c r="C21" s="5857">
        <f>SUM(O21+Q21+S21+U21+W21+Y21+AA21)</f>
        <v/>
      </c>
      <c r="D21" s="5825">
        <f>SUM(P21+R21+T21+V21+X21+Z21+AB21)</f>
        <v/>
      </c>
      <c r="E21" s="5839" t="n"/>
      <c r="F21" s="5840" t="n"/>
      <c r="G21" s="5839" t="n"/>
      <c r="H21" s="5840" t="n"/>
      <c r="I21" s="5839" t="n"/>
      <c r="J21" s="5846" t="n"/>
      <c r="K21" s="5829" t="n"/>
      <c r="L21" s="5846" t="n"/>
      <c r="M21" s="5839" t="n"/>
      <c r="N21" s="5846" t="n"/>
      <c r="O21" s="5858" t="n"/>
      <c r="P21" s="5847" t="n"/>
      <c r="Q21" s="5858" t="n"/>
      <c r="R21" s="5847" t="n"/>
      <c r="S21" s="5858" t="n"/>
      <c r="T21" s="5847" t="n"/>
      <c r="U21" s="5858" t="n"/>
      <c r="V21" s="5847" t="n"/>
      <c r="W21" s="5858" t="n"/>
      <c r="X21" s="5847" t="n"/>
      <c r="Y21" s="5858" t="n"/>
      <c r="Z21" s="5847" t="n"/>
      <c r="AA21" s="5858" t="n"/>
      <c r="AB21" s="5847" t="n"/>
      <c r="AC21" s="5839" t="n"/>
      <c r="AD21" s="5846" t="n"/>
      <c r="AE21" s="5839" t="n"/>
      <c r="AF21" s="5846" t="n"/>
      <c r="AG21" s="5848" t="n"/>
      <c r="AH21" s="5846" t="n"/>
      <c r="AI21" s="5839" t="n"/>
      <c r="AJ21" s="5846" t="n"/>
      <c r="AK21" s="5839" t="n"/>
      <c r="AL21" s="5846" t="n"/>
      <c r="AM21" s="5849" t="n"/>
      <c r="AN21" s="5831" t="n"/>
      <c r="AO21" s="5850" t="n"/>
      <c r="AP21" s="5851" t="n"/>
      <c r="AQ21" s="5851" t="n"/>
      <c r="AR21" s="5851" t="n"/>
      <c r="AS21" s="5852" t="n"/>
      <c r="AT21" s="622">
        <f>BO21&amp;BP21&amp;BQ21&amp;BR21</f>
        <v/>
      </c>
      <c r="BO21" s="5822">
        <f>IF(AND(B21&gt;0,AO21="")," * No olvide digitar la variable Pueblos originarios. Digite Cero si no tiene.",IF(AO21&gt;B21," *  La variable Pueblos originarios No puede ser mayor al Total Ambos Sexos.",""))</f>
        <v/>
      </c>
      <c r="BP21" s="5822">
        <f>IF(AND(B21&gt;0,AP21="")," * No olvide digitar la variable Migrantes. Digite Cero si no tiene.",IF(AP21&gt;B21," *  La variable Migrantes No puede ser mayor al Total Ambos Sexos.",""))</f>
        <v/>
      </c>
      <c r="BQ21" s="5822">
        <f>IF(AND(B21&gt;0,AQ21="")," * No olvide digitar la variable SENAME/ Servicio Nacional de Reinserción social Juvenil. Digite Cero si no tiene.",IF(AQ21&gt;B21," * La SENAME/ Servicio Nacional de Reinserción social Juvenil No puede ser mayor al Total Ambos Sexos.",""))</f>
        <v/>
      </c>
      <c r="BR21" s="5822">
        <f>IF(AND(B21&gt;0,AR21="")," * No olvide digitar la variable Servicio Nacional Protección Especializada a la Niñez y Adolescencia. Digite Cero si no tiene.",IF(AR21&gt;B21," * La variable Servicio Nacional Protección Especializada a la Niñez y Adolescencia No puede ser mayor al Total Ambos Sexos.",""))</f>
        <v/>
      </c>
      <c r="BS21" s="5853" t="n"/>
      <c r="BU21" s="5823">
        <f>IF(AND(B21&gt;0,AO21=""),1,IF(AO21&gt;B21,1,0))</f>
        <v/>
      </c>
      <c r="BV21" s="5823">
        <f>IF(AND(B21&gt;0,AP21=""),1,IF(AP21&gt;B21,1,0))</f>
        <v/>
      </c>
      <c r="BW21" s="5823">
        <f>IF(AND(B21&gt;0,AQ21=""),1,IF(AQ21&gt;B21,1,0))</f>
        <v/>
      </c>
      <c r="BX21" s="5823">
        <f>IF(AND(B21&gt;0,AR21=""),1,IF(AR21&gt;B21,1,0))</f>
        <v/>
      </c>
      <c r="BY21" s="5854" t="n"/>
    </row>
    <row r="22" ht="15" customHeight="1" s="8286">
      <c r="A22" s="5844" t="inlineStr">
        <is>
          <t xml:space="preserve">Infección Transmisión Sexual </t>
        </is>
      </c>
      <c r="B22" s="5856">
        <f>SUM(C22:D22)</f>
        <v/>
      </c>
      <c r="C22" s="5857">
        <f>SUM(E22+G22+I22+K22+M22+O22+Q22+S22+U22+W22+Y22+AA22+AC22+AE22+AG22+AI22+AK22+AM22)</f>
        <v/>
      </c>
      <c r="D22" s="5845">
        <f>SUM(F22+H22+J22+L22+N22+P22+R22+T22+V22+X22+Z22+AB22+AD22+AF22+AH22+AJ22+AL22+AN22)</f>
        <v/>
      </c>
      <c r="E22" s="5858" t="n"/>
      <c r="F22" s="5859" t="n"/>
      <c r="G22" s="5858" t="n"/>
      <c r="H22" s="5859" t="n"/>
      <c r="I22" s="5858" t="n"/>
      <c r="J22" s="5847" t="n"/>
      <c r="K22" s="5843" t="n"/>
      <c r="L22" s="5847" t="n"/>
      <c r="M22" s="5858" t="n"/>
      <c r="N22" s="5847" t="n"/>
      <c r="O22" s="5858" t="n"/>
      <c r="P22" s="5847" t="n"/>
      <c r="Q22" s="5858" t="n"/>
      <c r="R22" s="5847" t="n"/>
      <c r="S22" s="5858" t="n"/>
      <c r="T22" s="5847" t="n"/>
      <c r="U22" s="5858" t="n"/>
      <c r="V22" s="5847" t="n"/>
      <c r="W22" s="5858" t="n"/>
      <c r="X22" s="5847" t="n"/>
      <c r="Y22" s="5858" t="n"/>
      <c r="Z22" s="5847" t="n"/>
      <c r="AA22" s="5858" t="n"/>
      <c r="AB22" s="5847" t="n"/>
      <c r="AC22" s="5858" t="n"/>
      <c r="AD22" s="5847" t="n"/>
      <c r="AE22" s="5858" t="n"/>
      <c r="AF22" s="5847" t="n"/>
      <c r="AG22" s="5858" t="n"/>
      <c r="AH22" s="5847" t="n"/>
      <c r="AI22" s="5858" t="n"/>
      <c r="AJ22" s="5847" t="n"/>
      <c r="AK22" s="5858" t="n"/>
      <c r="AL22" s="5847" t="n"/>
      <c r="AM22" s="5860" t="n"/>
      <c r="AN22" s="5855" t="n"/>
      <c r="AO22" s="5850" t="n"/>
      <c r="AP22" s="5851" t="n"/>
      <c r="AQ22" s="5851" t="n"/>
      <c r="AR22" s="5851" t="n"/>
      <c r="AS22" s="5852" t="n"/>
      <c r="AT22" s="622">
        <f>BO22&amp;BP22&amp;BQ22&amp;BR22</f>
        <v/>
      </c>
      <c r="BO22" s="5822">
        <f>IF(AND(B22&gt;0,AO22="")," * No olvide digitar la variable Pueblos originarios. Digite Cero si no tiene.",IF(AO22&gt;B22," *  La variable Pueblos originarios No puede ser mayor al Total Ambos Sexos.",""))</f>
        <v/>
      </c>
      <c r="BP22" s="5822">
        <f>IF(AND(B22&gt;0,AP22="")," * No olvide digitar la variable Migrantes. Digite Cero si no tiene.",IF(AP22&gt;B22," *  La variable Migrantes No puede ser mayor al Total Ambos Sexos.",""))</f>
        <v/>
      </c>
      <c r="BQ22" s="5822">
        <f>IF(AND(B22&gt;0,AQ22="")," * No olvide digitar la variable SENAME/ Servicio Nacional de Reinserción social Juvenil. Digite Cero si no tiene.",IF(AQ22&gt;B22," * La SENAME/ Servicio Nacional de Reinserción social Juvenil No puede ser mayor al Total Ambos Sexos.",""))</f>
        <v/>
      </c>
      <c r="BR22" s="5822">
        <f>IF(AND(B22&gt;0,AR22="")," * No olvide digitar la variable Servicio Nacional Protección Especializada a la Niñez y Adolescencia. Digite Cero si no tiene.",IF(AR22&gt;B22," * La variable Servicio Nacional Protección Especializada a la Niñez y Adolescencia No puede ser mayor al Total Ambos Sexos.",""))</f>
        <v/>
      </c>
      <c r="BS22" s="5853" t="n"/>
      <c r="BU22" s="5823">
        <f>IF(AND(B22&gt;0,AO22=""),1,IF(AO22&gt;B22,1,0))</f>
        <v/>
      </c>
      <c r="BV22" s="5823">
        <f>IF(AND(B22&gt;0,AP22=""),1,IF(AP22&gt;B22,1,0))</f>
        <v/>
      </c>
      <c r="BW22" s="5823">
        <f>IF(AND(B22&gt;0,AQ22=""),1,IF(AQ22&gt;B22,1,0))</f>
        <v/>
      </c>
      <c r="BX22" s="5823">
        <f>IF(AND(B22&gt;0,AR22=""),1,IF(AR22&gt;B22,1,0))</f>
        <v/>
      </c>
      <c r="BY22" s="5854" t="n"/>
    </row>
    <row r="23" ht="15" customHeight="1" s="8286">
      <c r="A23" s="5841" t="inlineStr">
        <is>
          <t>VIH-SIDA</t>
        </is>
      </c>
      <c r="B23" s="5856">
        <f>SUM(C23:D23)</f>
        <v/>
      </c>
      <c r="C23" s="5857">
        <f>SUM(E23+G23+I23+K23+M23+O23+Q23+S23+U23+W23+Y23+AA23+AC23+AE23+AG23+AI23+AK23+AM23)</f>
        <v/>
      </c>
      <c r="D23" s="5845">
        <f>SUM(F23+H23+J23+L23+N23+P23+R23+T23+V23+X23+Z23+AB23+AD23+AF23+AH23+AJ23+AL23+AN23)</f>
        <v/>
      </c>
      <c r="E23" s="5858" t="n"/>
      <c r="F23" s="5859" t="n"/>
      <c r="G23" s="5858" t="n"/>
      <c r="H23" s="5859" t="n"/>
      <c r="I23" s="5858" t="n"/>
      <c r="J23" s="5847" t="n"/>
      <c r="K23" s="5843" t="n"/>
      <c r="L23" s="5847" t="n"/>
      <c r="M23" s="5858" t="n"/>
      <c r="N23" s="5847" t="n"/>
      <c r="O23" s="5858" t="n"/>
      <c r="P23" s="5847" t="n"/>
      <c r="Q23" s="5858" t="n"/>
      <c r="R23" s="5847" t="n"/>
      <c r="S23" s="5858" t="n"/>
      <c r="T23" s="5847" t="n"/>
      <c r="U23" s="5858" t="n"/>
      <c r="V23" s="5847" t="n"/>
      <c r="W23" s="5858" t="n"/>
      <c r="X23" s="5847" t="n"/>
      <c r="Y23" s="5858" t="n"/>
      <c r="Z23" s="5847" t="n"/>
      <c r="AA23" s="5858" t="n"/>
      <c r="AB23" s="5847" t="n"/>
      <c r="AC23" s="5858" t="n"/>
      <c r="AD23" s="5847" t="n"/>
      <c r="AE23" s="5858" t="n"/>
      <c r="AF23" s="5847" t="n"/>
      <c r="AG23" s="5858" t="n"/>
      <c r="AH23" s="5847" t="n"/>
      <c r="AI23" s="5858" t="n"/>
      <c r="AJ23" s="5847" t="n"/>
      <c r="AK23" s="5858" t="n"/>
      <c r="AL23" s="5847" t="n"/>
      <c r="AM23" s="5860" t="n"/>
      <c r="AN23" s="5855" t="n"/>
      <c r="AO23" s="5850" t="n"/>
      <c r="AP23" s="5851" t="n"/>
      <c r="AQ23" s="5851" t="n"/>
      <c r="AR23" s="5851" t="n"/>
      <c r="AS23" s="5852" t="n"/>
      <c r="AT23" s="622">
        <f>BO23&amp;BP23&amp;BQ23&amp;BR23</f>
        <v/>
      </c>
      <c r="BO23" s="5822">
        <f>IF(AND(B23&gt;0,AO23="")," * No olvide digitar la variable Pueblos originarios. Digite Cero si no tiene.",IF(AO23&gt;B23," *  La variable Pueblos originarios No puede ser mayor al Total Ambos Sexos.",""))</f>
        <v/>
      </c>
      <c r="BP23" s="5822">
        <f>IF(AND(B23&gt;0,AP23="")," * No olvide digitar la variable Migrantes. Digite Cero si no tiene.",IF(AP23&gt;B23," *  La variable Migrantes No puede ser mayor al Total Ambos Sexos.",""))</f>
        <v/>
      </c>
      <c r="BQ23" s="5822">
        <f>IF(AND(B23&gt;0,AQ23="")," * No olvide digitar la variable SENAME/ Servicio Nacional de Reinserción social Juvenil. Digite Cero si no tiene.",IF(AQ23&gt;B23," * La SENAME/ Servicio Nacional de Reinserción social Juvenil No puede ser mayor al Total Ambos Sexos.",""))</f>
        <v/>
      </c>
      <c r="BR23" s="5822">
        <f>IF(AND(B23&gt;0,AR23="")," * No olvide digitar la variable Servicio Nacional Protección Especializada a la Niñez y Adolescencia. Digite Cero si no tiene.",IF(AR23&gt;B23," * La variable Servicio Nacional Protección Especializada a la Niñez y Adolescencia No puede ser mayor al Total Ambos Sexos.",""))</f>
        <v/>
      </c>
      <c r="BS23" s="5853" t="n"/>
      <c r="BU23" s="5823">
        <f>IF(AND(B23&gt;0,AO23=""),1,IF(AO23&gt;B23,1,0))</f>
        <v/>
      </c>
      <c r="BV23" s="5823">
        <f>IF(AND(B23&gt;0,AP23=""),1,IF(AP23&gt;B23,1,0))</f>
        <v/>
      </c>
      <c r="BW23" s="5823">
        <f>IF(AND(B23&gt;0,AQ23=""),1,IF(AQ23&gt;B23,1,0))</f>
        <v/>
      </c>
      <c r="BX23" s="5823">
        <f>IF(AND(B23&gt;0,AR23=""),1,IF(AR23&gt;B23,1,0))</f>
        <v/>
      </c>
      <c r="BY23" s="5854" t="n"/>
    </row>
    <row r="24" ht="15" customHeight="1" s="8286">
      <c r="A24" s="5841" t="inlineStr">
        <is>
          <t>Salud Mental</t>
        </is>
      </c>
      <c r="B24" s="5824">
        <f>SUM(C24:D24)</f>
        <v/>
      </c>
      <c r="C24" s="1679">
        <f>SUM(G24+I24+K24+M24+O24+Q24+S24+U24+W24+Y24+AA24+AC24+AE24+AG24+AI24+AK24+AM24)</f>
        <v/>
      </c>
      <c r="D24" s="5825">
        <f>SUM(H24+J24+L24+N24+P24+R24+T24+V24+X24+Z24+AB24+AD24+AF24+AH24+AJ24+AL24+AN24)</f>
        <v/>
      </c>
      <c r="E24" s="5829" t="n"/>
      <c r="F24" s="5830" t="n"/>
      <c r="G24" s="5858" t="n">
        <v>0</v>
      </c>
      <c r="H24" s="5859" t="n">
        <v>0</v>
      </c>
      <c r="I24" s="5858" t="n">
        <v>0</v>
      </c>
      <c r="J24" s="5847" t="n">
        <v>1</v>
      </c>
      <c r="K24" s="5843" t="n">
        <v>5</v>
      </c>
      <c r="L24" s="5847" t="n">
        <v>4</v>
      </c>
      <c r="M24" s="5858" t="n">
        <v>3</v>
      </c>
      <c r="N24" s="5847" t="n">
        <v>9</v>
      </c>
      <c r="O24" s="5858" t="n">
        <v>1</v>
      </c>
      <c r="P24" s="5847" t="n">
        <v>4</v>
      </c>
      <c r="Q24" s="5858" t="n">
        <v>3</v>
      </c>
      <c r="R24" s="5847" t="n">
        <v>7</v>
      </c>
      <c r="S24" s="5858" t="n">
        <v>0</v>
      </c>
      <c r="T24" s="5847" t="n">
        <v>2</v>
      </c>
      <c r="U24" s="5858" t="n">
        <v>1</v>
      </c>
      <c r="V24" s="5847" t="n">
        <v>11</v>
      </c>
      <c r="W24" s="5858" t="n">
        <v>4</v>
      </c>
      <c r="X24" s="5847" t="n">
        <v>5</v>
      </c>
      <c r="Y24" s="5858" t="n">
        <v>0</v>
      </c>
      <c r="Z24" s="5847" t="n">
        <v>2</v>
      </c>
      <c r="AA24" s="5858" t="n">
        <v>1</v>
      </c>
      <c r="AB24" s="5847" t="n">
        <v>7</v>
      </c>
      <c r="AC24" s="5858" t="n">
        <v>3</v>
      </c>
      <c r="AD24" s="5847" t="n">
        <v>10</v>
      </c>
      <c r="AE24" s="5858" t="n">
        <v>0</v>
      </c>
      <c r="AF24" s="5847" t="n">
        <v>20</v>
      </c>
      <c r="AG24" s="5858" t="n">
        <v>2</v>
      </c>
      <c r="AH24" s="5847" t="n">
        <v>11</v>
      </c>
      <c r="AI24" s="5858" t="n">
        <v>2</v>
      </c>
      <c r="AJ24" s="5847" t="n">
        <v>5</v>
      </c>
      <c r="AK24" s="5858" t="n">
        <v>1</v>
      </c>
      <c r="AL24" s="5847" t="n">
        <v>7</v>
      </c>
      <c r="AM24" s="5860" t="n">
        <v>0</v>
      </c>
      <c r="AN24" s="5855" t="n">
        <v>12</v>
      </c>
      <c r="AO24" s="5850" t="n">
        <v>5</v>
      </c>
      <c r="AP24" s="5851" t="n">
        <v>0</v>
      </c>
      <c r="AQ24" s="5851" t="n">
        <v>1</v>
      </c>
      <c r="AR24" s="5851" t="n">
        <v>0</v>
      </c>
      <c r="AS24" s="5852" t="n"/>
      <c r="AT24" s="622">
        <f>BO24&amp;BP24&amp;BQ24&amp;BR24</f>
        <v/>
      </c>
      <c r="BO24" s="5822">
        <f>IF(AND(B24&gt;0,AO24="")," * No olvide digitar la variable Pueblos originarios. Digite Cero si no tiene.",IF(AO24&gt;B24," *  La variable Pueblos originarios No puede ser mayor al Total Ambos Sexos.",""))</f>
        <v/>
      </c>
      <c r="BP24" s="5822">
        <f>IF(AND(B24&gt;0,AP24="")," * No olvide digitar la variable Migrantes. Digite Cero si no tiene.",IF(AP24&gt;B24," *  La variable Migrantes No puede ser mayor al Total Ambos Sexos.",""))</f>
        <v/>
      </c>
      <c r="BQ24" s="5822">
        <f>IF(AND(B24&gt;0,AQ24="")," * No olvide digitar la variable SENAME/ Servicio Nacional de Reinserción social Juvenil. Digite Cero si no tiene.",IF(AQ24&gt;B24," * La SENAME/ Servicio Nacional de Reinserción social Juvenil No puede ser mayor al Total Ambos Sexos.",""))</f>
        <v/>
      </c>
      <c r="BR24" s="5822">
        <f>IF(AND(B24&gt;0,AR24="")," * No olvide digitar la variable Servicio Nacional Protección Especializada a la Niñez y Adolescencia. Digite Cero si no tiene.",IF(AR24&gt;B24," * La variable Servicio Nacional Protección Especializada a la Niñez y Adolescencia No puede ser mayor al Total Ambos Sexos.",""))</f>
        <v/>
      </c>
      <c r="BS24" s="5853" t="n"/>
      <c r="BU24" s="5823">
        <f>IF(AND(B24&gt;0,AO24=""),1,IF(AO24&gt;B24,1,0))</f>
        <v/>
      </c>
      <c r="BV24" s="5823">
        <f>IF(AND(B24&gt;0,AP24=""),1,IF(AP24&gt;B24,1,0))</f>
        <v/>
      </c>
      <c r="BW24" s="5823">
        <f>IF(AND(B24&gt;0,AQ24=""),1,IF(AQ24&gt;B24,1,0))</f>
        <v/>
      </c>
      <c r="BX24" s="5823">
        <f>IF(AND(B24&gt;0,AR24=""),1,IF(AR24&gt;B24,1,0))</f>
        <v/>
      </c>
      <c r="BY24" s="5854" t="n"/>
    </row>
    <row r="25" ht="15" customHeight="1" s="8286">
      <c r="A25" s="5841" t="inlineStr">
        <is>
          <t>Cardiovascular</t>
        </is>
      </c>
      <c r="B25" s="5824">
        <f>SUM(C25:D25)</f>
        <v/>
      </c>
      <c r="C25" s="1679">
        <f>SUM(M25+O25+Q25+S25+U25+W25+Y25+AA25+AC25+AE25+AG25+AI25+AK25+AM25)</f>
        <v/>
      </c>
      <c r="D25" s="5825">
        <f>SUM(N25+P25+R25+T25+V25+X25+Z25+AB25+AD25+AF25+AH25+AJ25+AL25+AN25)</f>
        <v/>
      </c>
      <c r="E25" s="5861" t="n"/>
      <c r="F25" s="5846" t="n"/>
      <c r="G25" s="5839" t="n"/>
      <c r="H25" s="5840" t="n"/>
      <c r="I25" s="5839" t="n"/>
      <c r="J25" s="5840" t="n"/>
      <c r="K25" s="5839" t="n"/>
      <c r="L25" s="5840" t="n"/>
      <c r="M25" s="5858" t="n">
        <v>0</v>
      </c>
      <c r="N25" s="5847" t="n">
        <v>1</v>
      </c>
      <c r="O25" s="5858" t="n">
        <v>0</v>
      </c>
      <c r="P25" s="5847" t="n">
        <v>1</v>
      </c>
      <c r="Q25" s="5858" t="n">
        <v>0</v>
      </c>
      <c r="R25" s="5847" t="n">
        <v>0</v>
      </c>
      <c r="S25" s="5858" t="n">
        <v>0</v>
      </c>
      <c r="T25" s="5847" t="n">
        <v>1</v>
      </c>
      <c r="U25" s="5858" t="n">
        <v>2</v>
      </c>
      <c r="V25" s="5847" t="n">
        <v>3</v>
      </c>
      <c r="W25" s="5858" t="n">
        <v>1</v>
      </c>
      <c r="X25" s="5847" t="n">
        <v>2</v>
      </c>
      <c r="Y25" s="5858" t="n">
        <v>1</v>
      </c>
      <c r="Z25" s="5847" t="n">
        <v>4</v>
      </c>
      <c r="AA25" s="5858" t="n">
        <v>3</v>
      </c>
      <c r="AB25" s="5847" t="n">
        <v>3</v>
      </c>
      <c r="AC25" s="5858" t="n">
        <v>5</v>
      </c>
      <c r="AD25" s="5847" t="n">
        <v>4</v>
      </c>
      <c r="AE25" s="5858" t="n">
        <v>8</v>
      </c>
      <c r="AF25" s="5847" t="n">
        <v>3</v>
      </c>
      <c r="AG25" s="5858" t="n">
        <v>4</v>
      </c>
      <c r="AH25" s="5847" t="n">
        <v>11</v>
      </c>
      <c r="AI25" s="5858" t="n">
        <v>3</v>
      </c>
      <c r="AJ25" s="5847" t="n">
        <v>8</v>
      </c>
      <c r="AK25" s="5858" t="n">
        <v>4</v>
      </c>
      <c r="AL25" s="5847" t="n">
        <v>3</v>
      </c>
      <c r="AM25" s="5860" t="n">
        <v>2</v>
      </c>
      <c r="AN25" s="5855" t="n">
        <v>9</v>
      </c>
      <c r="AO25" s="5850" t="n">
        <v>2</v>
      </c>
      <c r="AP25" s="5851" t="n">
        <v>3</v>
      </c>
      <c r="AQ25" s="5851" t="n">
        <v>1</v>
      </c>
      <c r="AR25" s="5851" t="n">
        <v>0</v>
      </c>
      <c r="AS25" s="5852" t="n"/>
      <c r="AT25" s="622">
        <f>BO25&amp;BP25&amp;BQ25&amp;BR25</f>
        <v/>
      </c>
      <c r="BO25" s="5822">
        <f>IF(AND(B25&gt;0,AO25="")," * No olvide digitar la variable Pueblos originarios. Digite Cero si no tiene.",IF(AO25&gt;B25," *  La variable Pueblos originarios No puede ser mayor al Total Ambos Sexos.",""))</f>
        <v/>
      </c>
      <c r="BP25" s="5822">
        <f>IF(AND(B25&gt;0,AP25="")," * No olvide digitar la variable Migrantes. Digite Cero si no tiene.",IF(AP25&gt;B25," *  La variable Migrantes No puede ser mayor al Total Ambos Sexos.",""))</f>
        <v/>
      </c>
      <c r="BQ25" s="5822">
        <f>IF(AND(B25&gt;0,AQ25="")," * No olvide digitar la variable SENAME/ Servicio Nacional de Reinserción social Juvenil. Digite Cero si no tiene.",IF(AQ25&gt;B25," * La SENAME/ Servicio Nacional de Reinserción social Juvenil No puede ser mayor al Total Ambos Sexos.",""))</f>
        <v/>
      </c>
      <c r="BR25" s="5822">
        <f>IF(AND(B25&gt;0,AR25="")," * No olvide digitar la variable Servicio Nacional Protección Especializada a la Niñez y Adolescencia. Digite Cero si no tiene.",IF(AR25&gt;B25," * La variable Servicio Nacional Protección Especializada a la Niñez y Adolescencia No puede ser mayor al Total Ambos Sexos.",""))</f>
        <v/>
      </c>
      <c r="BS25" s="5853" t="n"/>
      <c r="BU25" s="5823">
        <f>IF(AND(B25&gt;0,AO25=""),1,IF(AO25&gt;B25,1,0))</f>
        <v/>
      </c>
      <c r="BV25" s="5823">
        <f>IF(AND(B25&gt;0,AP25=""),1,IF(AP25&gt;B25,1,0))</f>
        <v/>
      </c>
      <c r="BW25" s="5823">
        <f>IF(AND(B25&gt;0,AQ25=""),1,IF(AQ25&gt;B25,1,0))</f>
        <v/>
      </c>
      <c r="BX25" s="5823">
        <f>IF(AND(B25&gt;0,AR25=""),1,IF(AR25&gt;B25,1,0))</f>
        <v/>
      </c>
      <c r="BY25" s="5854" t="n"/>
    </row>
    <row r="26" ht="15" customHeight="1" s="8286">
      <c r="A26" s="1655" t="inlineStr">
        <is>
          <t>Otras Morbilidades</t>
        </is>
      </c>
      <c r="B26" s="1084">
        <f>SUM(C26:D26)</f>
        <v/>
      </c>
      <c r="C26" s="5862">
        <f>SUM(E26+G26+I26+K26+M26+O26+Q26+S26+U26+W26+Y26+AA26+AC26+AE26+AG26+AI26+AK26+AM26)</f>
        <v/>
      </c>
      <c r="D26" s="5863">
        <f>SUM(F26+H26+J26+L26+N26+P26+R26+T26+V26+X26+Z26+AB26+AD26+AF26+AH26+AJ26+AL26+AN26)</f>
        <v/>
      </c>
      <c r="E26" s="5864" t="n">
        <v>15</v>
      </c>
      <c r="F26" s="5865" t="n">
        <v>10</v>
      </c>
      <c r="G26" s="5866" t="n">
        <v>66</v>
      </c>
      <c r="H26" s="5867" t="n">
        <v>48</v>
      </c>
      <c r="I26" s="5866" t="n">
        <v>62</v>
      </c>
      <c r="J26" s="5865" t="n">
        <v>54</v>
      </c>
      <c r="K26" s="5868" t="n">
        <v>59</v>
      </c>
      <c r="L26" s="5865" t="n">
        <v>55</v>
      </c>
      <c r="M26" s="5866" t="n">
        <v>30</v>
      </c>
      <c r="N26" s="5865" t="n">
        <v>45</v>
      </c>
      <c r="O26" s="5866" t="n">
        <v>19</v>
      </c>
      <c r="P26" s="5865" t="n">
        <v>47</v>
      </c>
      <c r="Q26" s="5866" t="n">
        <v>20</v>
      </c>
      <c r="R26" s="5865" t="n">
        <v>55</v>
      </c>
      <c r="S26" s="5866" t="n">
        <v>27</v>
      </c>
      <c r="T26" s="5865" t="n">
        <v>65</v>
      </c>
      <c r="U26" s="5866" t="n">
        <v>21</v>
      </c>
      <c r="V26" s="5865" t="n">
        <v>81</v>
      </c>
      <c r="W26" s="5866" t="n">
        <v>28</v>
      </c>
      <c r="X26" s="5865" t="n">
        <v>79</v>
      </c>
      <c r="Y26" s="5866" t="n">
        <v>30</v>
      </c>
      <c r="Z26" s="5865" t="n">
        <v>72</v>
      </c>
      <c r="AA26" s="5866" t="n">
        <v>29</v>
      </c>
      <c r="AB26" s="5865" t="n">
        <v>107</v>
      </c>
      <c r="AC26" s="5866" t="n">
        <v>57</v>
      </c>
      <c r="AD26" s="5865" t="n">
        <v>106</v>
      </c>
      <c r="AE26" s="5866" t="n">
        <v>84</v>
      </c>
      <c r="AF26" s="5865" t="n">
        <v>186</v>
      </c>
      <c r="AG26" s="5866" t="n">
        <v>92</v>
      </c>
      <c r="AH26" s="5865" t="n">
        <v>139</v>
      </c>
      <c r="AI26" s="5866" t="n">
        <v>61</v>
      </c>
      <c r="AJ26" s="5865" t="n">
        <v>92</v>
      </c>
      <c r="AK26" s="5866" t="n">
        <v>43</v>
      </c>
      <c r="AL26" s="5865" t="n">
        <v>70</v>
      </c>
      <c r="AM26" s="5869" t="n">
        <v>38</v>
      </c>
      <c r="AN26" s="5870" t="n">
        <v>77</v>
      </c>
      <c r="AO26" s="5871" t="n">
        <v>61</v>
      </c>
      <c r="AP26" s="5872" t="n">
        <v>80</v>
      </c>
      <c r="AQ26" s="5872" t="n">
        <v>10</v>
      </c>
      <c r="AR26" s="5872" t="n">
        <v>14</v>
      </c>
      <c r="AS26" s="5873" t="n">
        <v>0</v>
      </c>
      <c r="AT26" s="622">
        <f>BO26&amp;BP26&amp;BQ26&amp;BR26&amp;BS26</f>
        <v/>
      </c>
      <c r="BO26" s="5822">
        <f>IF(AND(B26&gt;0,AO26="")," * No olvide digitar la variable Pueblos originarios. Digite Cero si no tiene.",IF(AO26&gt;B26," *  La variable Pueblos originarios No puede ser mayor al Total Ambos Sexos.",""))</f>
        <v/>
      </c>
      <c r="BP26" s="5822">
        <f>IF(AND(B26&gt;0,AP26="")," * No olvide digitar la variable Migrantes. Digite Cero si no tiene.",IF(AP26&gt;B26," *  La variable Migrantes No puede ser mayor al Total Ambos Sexos.",""))</f>
        <v/>
      </c>
      <c r="BQ26" s="5822">
        <f>IF(AND(B26&gt;0,AQ26="")," * No olvide digitar la variable SENAME/ Servicio Nacional de Reinserción social Juvenil. Digite Cero si no tiene.",IF(AQ26&gt;B26," * La SENAME/ Servicio Nacional de Reinserción social Juvenil No puede ser mayor al Total Ambos Sexos.",""))</f>
        <v/>
      </c>
      <c r="BR26" s="5822">
        <f>IF(AND(B26&gt;0,AR26="")," * No olvide digitar la variable Servicio Nacional Protección Especializada a la Niñez y Adolescencia. Digite Cero si no tiene.",IF(AR26&gt;B26," * La variable Servicio Nacional Protección Especializada a la Niñez y Adolescencia No puede ser mayor al Total Ambos Sexos.",""))</f>
        <v/>
      </c>
      <c r="BS26" s="5822">
        <f>IF(AND(B26&gt;0,AS26="")," * No olvide digitar la variable Por campaña de invierno. Digite Cero si no tiene.",IF(AS26&gt;B26," * La variable Por campaña de invierno No puede ser mayor al Total Ambos Sexos.",""))</f>
        <v/>
      </c>
      <c r="BU26" s="5823">
        <f>IF(AND(B26&gt;0,AO26=""),1,IF(AO26&gt;B26,1,0))</f>
        <v/>
      </c>
      <c r="BV26" s="5823">
        <f>IF(AND(B26&gt;0,AP26=""),1,IF(AP26&gt;B26,1,0))</f>
        <v/>
      </c>
      <c r="BW26" s="5823">
        <f>IF(AND(B26&gt;0,AQ26=""),1,IF(AQ26&gt;B26,1,0))</f>
        <v/>
      </c>
      <c r="BX26" s="5823">
        <f>IF(AND(B26&gt;0,AR26=""),1,IF(AR26&gt;B26,1,0))</f>
        <v/>
      </c>
      <c r="BY26" s="5823">
        <f>IF(AND(B26&gt;0,AS26=""),1,IF(AS26&gt;B26,1,0))</f>
        <v/>
      </c>
    </row>
    <row r="27" ht="18" customHeight="1" s="8286">
      <c r="A27" s="1001" t="inlineStr">
        <is>
          <t xml:space="preserve">SECCIÓN B: CONSULTAS DE PROFESIONALES NO MÉDICOS </t>
        </is>
      </c>
      <c r="B27" s="1005" t="n"/>
      <c r="C27" s="1005" t="n"/>
      <c r="D27" s="1005" t="n"/>
      <c r="E27" s="1005" t="n"/>
      <c r="F27" s="1573" t="n"/>
      <c r="G27" s="1573" t="inlineStr">
        <is>
          <t xml:space="preserve"> </t>
        </is>
      </c>
      <c r="H27" s="5874" t="n"/>
      <c r="I27" s="5874" t="n"/>
      <c r="J27" s="1573" t="n"/>
      <c r="K27" s="1573" t="n"/>
      <c r="L27" s="1573" t="n"/>
      <c r="M27" s="1573" t="n"/>
      <c r="N27" s="1573" t="n"/>
      <c r="O27" s="1573" t="n"/>
      <c r="P27" s="1573" t="n"/>
      <c r="Q27" s="1573" t="n"/>
      <c r="R27" s="1573" t="n"/>
      <c r="S27" s="1573" t="n"/>
      <c r="T27" s="1573" t="n"/>
      <c r="U27" s="1573" t="n"/>
      <c r="V27" s="1573" t="n"/>
      <c r="W27" s="1573" t="n"/>
      <c r="X27" s="1573" t="n"/>
      <c r="Y27" s="5875" t="n"/>
      <c r="Z27" s="5875" t="n"/>
      <c r="AA27" s="5875" t="n"/>
      <c r="AB27" s="5875" t="n"/>
      <c r="AC27" s="5875" t="n"/>
      <c r="AD27" s="5875" t="n"/>
      <c r="AE27" s="5875" t="n"/>
      <c r="AF27" s="5875" t="n"/>
      <c r="AG27" s="5875" t="n"/>
      <c r="AH27" s="5875" t="n"/>
      <c r="AI27" s="5875" t="n"/>
      <c r="AJ27" s="5875" t="n"/>
      <c r="AK27" s="5875" t="n"/>
      <c r="AL27" s="5875" t="n"/>
      <c r="AM27" s="5875" t="n"/>
      <c r="AN27" s="5875" t="n"/>
      <c r="AO27" s="5875" t="n"/>
      <c r="AP27" s="969" t="n"/>
      <c r="AQ27" s="5876" t="n"/>
      <c r="AR27" s="969" t="n"/>
      <c r="AS27" s="5802" t="n"/>
    </row>
    <row r="28" ht="18.75" customHeight="1" s="8286">
      <c r="A28" s="9592" t="inlineStr">
        <is>
          <t>PROFESIONAL</t>
        </is>
      </c>
      <c r="B28" s="9629" t="inlineStr">
        <is>
          <t xml:space="preserve">TOTAL      </t>
        </is>
      </c>
      <c r="C28" s="9602" t="n"/>
      <c r="D28" s="9630" t="n"/>
      <c r="E28" s="9737" t="inlineStr">
        <is>
          <t>RANGO ETARIO Y SEXO</t>
        </is>
      </c>
      <c r="F28" s="9617" t="n"/>
      <c r="G28" s="9617" t="n"/>
      <c r="H28" s="9617" t="n"/>
      <c r="I28" s="9617" t="n"/>
      <c r="J28" s="9617" t="n"/>
      <c r="K28" s="9617" t="n"/>
      <c r="L28" s="9617" t="n"/>
      <c r="M28" s="9617" t="n"/>
      <c r="N28" s="9617" t="n"/>
      <c r="O28" s="9617" t="n"/>
      <c r="P28" s="9617" t="n"/>
      <c r="Q28" s="9617" t="n"/>
      <c r="R28" s="9617" t="n"/>
      <c r="S28" s="9617" t="n"/>
      <c r="T28" s="9617" t="n"/>
      <c r="U28" s="9617" t="n"/>
      <c r="V28" s="9617" t="n"/>
      <c r="W28" s="9617" t="n"/>
      <c r="X28" s="9617" t="n"/>
      <c r="Y28" s="9617" t="n"/>
      <c r="Z28" s="9617" t="n"/>
      <c r="AA28" s="9617" t="n"/>
      <c r="AB28" s="9617" t="n"/>
      <c r="AC28" s="9617" t="n"/>
      <c r="AD28" s="9617" t="n"/>
      <c r="AE28" s="9617" t="n"/>
      <c r="AF28" s="9617" t="n"/>
      <c r="AG28" s="9617" t="n"/>
      <c r="AH28" s="9617" t="n"/>
      <c r="AI28" s="9617" t="n"/>
      <c r="AJ28" s="9617" t="n"/>
      <c r="AK28" s="9617" t="n"/>
      <c r="AL28" s="9617" t="n"/>
      <c r="AM28" s="9617" t="n"/>
      <c r="AN28" s="9652" t="n"/>
      <c r="AO28" s="9635" t="inlineStr">
        <is>
          <t>Pueblos Originarios</t>
        </is>
      </c>
      <c r="AP28" s="7632" t="inlineStr">
        <is>
          <t>Migrantes</t>
        </is>
      </c>
      <c r="AQ28" s="9846" t="inlineStr">
        <is>
          <t>Espacios Amigables</t>
        </is>
      </c>
      <c r="AR28" s="7632" t="inlineStr">
        <is>
          <t>SENAME/ Servicio Nacional de Reinserción social Juvenil</t>
        </is>
      </c>
      <c r="AS28" s="9712" t="inlineStr">
        <is>
          <t>Servicio Nacional Protección Especializada a la Niñez y Adolescencia</t>
        </is>
      </c>
    </row>
    <row r="29" ht="15.75" customHeight="1" s="8286">
      <c r="A29" s="9588" t="n"/>
      <c r="B29" s="9638" t="n"/>
      <c r="C29" s="9697" t="n"/>
      <c r="D29" s="9639" t="n"/>
      <c r="E29" s="9631" t="inlineStr">
        <is>
          <t>Menos de 1 año</t>
        </is>
      </c>
      <c r="F29" s="9632" t="n"/>
      <c r="G29" s="9631" t="inlineStr">
        <is>
          <t>1 - 4 años</t>
        </is>
      </c>
      <c r="H29" s="9632" t="n"/>
      <c r="I29" s="9631" t="inlineStr">
        <is>
          <t>5 - 9 años</t>
        </is>
      </c>
      <c r="J29" s="9632" t="n"/>
      <c r="K29" s="9631" t="inlineStr">
        <is>
          <t>10 - 14 años</t>
        </is>
      </c>
      <c r="L29" s="9632" t="n"/>
      <c r="M29" s="9631" t="inlineStr">
        <is>
          <t>15 - 19 años</t>
        </is>
      </c>
      <c r="N29" s="9632" t="n"/>
      <c r="O29" s="9631" t="inlineStr">
        <is>
          <t>20 - 24 años</t>
        </is>
      </c>
      <c r="P29" s="9632" t="n"/>
      <c r="Q29" s="9631" t="inlineStr">
        <is>
          <t>25 - 29 años</t>
        </is>
      </c>
      <c r="R29" s="9632" t="n"/>
      <c r="S29" s="9631" t="inlineStr">
        <is>
          <t>30 - 34 años</t>
        </is>
      </c>
      <c r="T29" s="9632" t="n"/>
      <c r="U29" s="9631" t="inlineStr">
        <is>
          <t>35 - 39 años</t>
        </is>
      </c>
      <c r="V29" s="9632" t="n"/>
      <c r="W29" s="9631" t="inlineStr">
        <is>
          <t>40 - 44 años</t>
        </is>
      </c>
      <c r="X29" s="9632" t="n"/>
      <c r="Y29" s="9631" t="inlineStr">
        <is>
          <t>45 - 49 años</t>
        </is>
      </c>
      <c r="Z29" s="9632" t="n"/>
      <c r="AA29" s="9631" t="inlineStr">
        <is>
          <t>50 - 54 años</t>
        </is>
      </c>
      <c r="AB29" s="9632" t="n"/>
      <c r="AC29" s="9631" t="inlineStr">
        <is>
          <t>55 - 59 años</t>
        </is>
      </c>
      <c r="AD29" s="9632" t="n"/>
      <c r="AE29" s="9631" t="inlineStr">
        <is>
          <t>60 - 64 años</t>
        </is>
      </c>
      <c r="AF29" s="9632" t="n"/>
      <c r="AG29" s="9631" t="inlineStr">
        <is>
          <t>65 - 69 años</t>
        </is>
      </c>
      <c r="AH29" s="9632" t="n"/>
      <c r="AI29" s="9631" t="inlineStr">
        <is>
          <t>70 - 74 años</t>
        </is>
      </c>
      <c r="AJ29" s="9632" t="n"/>
      <c r="AK29" s="9631" t="inlineStr">
        <is>
          <t>75 - 79 años</t>
        </is>
      </c>
      <c r="AL29" s="9632" t="n"/>
      <c r="AM29" s="9737" t="inlineStr">
        <is>
          <t>80 y mas años</t>
        </is>
      </c>
      <c r="AN29" s="9652" t="n"/>
      <c r="AO29" s="9656" t="n"/>
      <c r="AP29" s="9614" t="n"/>
      <c r="AR29" s="9614" t="n"/>
      <c r="AS29" s="9625" t="n"/>
    </row>
    <row r="30" ht="40.5" customHeight="1" s="8286">
      <c r="A30" s="9589" t="n"/>
      <c r="B30" s="7398" t="inlineStr">
        <is>
          <t>Ambos Sexos</t>
        </is>
      </c>
      <c r="C30" s="7400" t="inlineStr">
        <is>
          <t>Hombres</t>
        </is>
      </c>
      <c r="D30" s="7542" t="inlineStr">
        <is>
          <t>Mujeres</t>
        </is>
      </c>
      <c r="E30" s="7398" t="inlineStr">
        <is>
          <t>Hombres</t>
        </is>
      </c>
      <c r="F30" s="7540" t="inlineStr">
        <is>
          <t>Mujeres</t>
        </is>
      </c>
      <c r="G30" s="7398" t="inlineStr">
        <is>
          <t>Hombres</t>
        </is>
      </c>
      <c r="H30" s="7540" t="inlineStr">
        <is>
          <t>Mujeres</t>
        </is>
      </c>
      <c r="I30" s="7398" t="inlineStr">
        <is>
          <t>Hombres</t>
        </is>
      </c>
      <c r="J30" s="7540" t="inlineStr">
        <is>
          <t>Mujeres</t>
        </is>
      </c>
      <c r="K30" s="7398" t="inlineStr">
        <is>
          <t>Hombres</t>
        </is>
      </c>
      <c r="L30" s="7540" t="inlineStr">
        <is>
          <t>Mujeres</t>
        </is>
      </c>
      <c r="M30" s="7398" t="inlineStr">
        <is>
          <t>Hombres</t>
        </is>
      </c>
      <c r="N30" s="7540" t="inlineStr">
        <is>
          <t>Mujeres</t>
        </is>
      </c>
      <c r="O30" s="7398" t="inlineStr">
        <is>
          <t>Hombres</t>
        </is>
      </c>
      <c r="P30" s="7540" t="inlineStr">
        <is>
          <t>Mujeres</t>
        </is>
      </c>
      <c r="Q30" s="7398" t="inlineStr">
        <is>
          <t>Hombres</t>
        </is>
      </c>
      <c r="R30" s="7540" t="inlineStr">
        <is>
          <t>Mujeres</t>
        </is>
      </c>
      <c r="S30" s="7398" t="inlineStr">
        <is>
          <t>Hombres</t>
        </is>
      </c>
      <c r="T30" s="7540" t="inlineStr">
        <is>
          <t>Mujeres</t>
        </is>
      </c>
      <c r="U30" s="7398" t="inlineStr">
        <is>
          <t>Hombres</t>
        </is>
      </c>
      <c r="V30" s="7540" t="inlineStr">
        <is>
          <t>Mujeres</t>
        </is>
      </c>
      <c r="W30" s="7398" t="inlineStr">
        <is>
          <t>Hombres</t>
        </is>
      </c>
      <c r="X30" s="7540" t="inlineStr">
        <is>
          <t>Mujeres</t>
        </is>
      </c>
      <c r="Y30" s="7398" t="inlineStr">
        <is>
          <t>Hombres</t>
        </is>
      </c>
      <c r="Z30" s="7540" t="inlineStr">
        <is>
          <t>Mujeres</t>
        </is>
      </c>
      <c r="AA30" s="7398" t="inlineStr">
        <is>
          <t>Hombres</t>
        </is>
      </c>
      <c r="AB30" s="7540" t="inlineStr">
        <is>
          <t>Mujeres</t>
        </is>
      </c>
      <c r="AC30" s="7398" t="inlineStr">
        <is>
          <t>Hombres</t>
        </is>
      </c>
      <c r="AD30" s="7540" t="inlineStr">
        <is>
          <t>Mujeres</t>
        </is>
      </c>
      <c r="AE30" s="7398" t="inlineStr">
        <is>
          <t>Hombres</t>
        </is>
      </c>
      <c r="AF30" s="7540" t="inlineStr">
        <is>
          <t>Mujeres</t>
        </is>
      </c>
      <c r="AG30" s="7398" t="inlineStr">
        <is>
          <t>Hombres</t>
        </is>
      </c>
      <c r="AH30" s="7540" t="inlineStr">
        <is>
          <t>Mujeres</t>
        </is>
      </c>
      <c r="AI30" s="7398" t="inlineStr">
        <is>
          <t>Hombres</t>
        </is>
      </c>
      <c r="AJ30" s="7540" t="inlineStr">
        <is>
          <t>Mujeres</t>
        </is>
      </c>
      <c r="AK30" s="7400" t="inlineStr">
        <is>
          <t>Hombres</t>
        </is>
      </c>
      <c r="AL30" s="7540" t="inlineStr">
        <is>
          <t>Mujeres</t>
        </is>
      </c>
      <c r="AM30" s="7398" t="inlineStr">
        <is>
          <t>Hombres</t>
        </is>
      </c>
      <c r="AN30" s="5877" t="inlineStr">
        <is>
          <t>Mujeres</t>
        </is>
      </c>
      <c r="AO30" s="9640" t="n"/>
      <c r="AP30" s="9610" t="n"/>
      <c r="AQ30" s="9591" t="n"/>
      <c r="AR30" s="9610" t="n"/>
      <c r="AS30" s="9641" t="n"/>
    </row>
    <row r="31" ht="15" customHeight="1" s="8286">
      <c r="A31" s="1721" t="inlineStr">
        <is>
          <t>Enfermera/o</t>
        </is>
      </c>
      <c r="B31" s="5878">
        <f>SUM(C31:D31)</f>
        <v/>
      </c>
      <c r="C31" s="1675">
        <f>SUM(E31+G31+I31+K31+M31+O31+Q31+S31+U31+W31+Y31+AA31+AC31+AE31+AG31+AI31+AK31+AM31)</f>
        <v/>
      </c>
      <c r="D31" s="5815">
        <f>SUM(F31+H31+J31+L31+N31+P31+R31+T31+V31+X31+Z31+AB31+AD31+AF31+AH31+AJ31+AL31+AN31)</f>
        <v/>
      </c>
      <c r="E31" s="5816" t="n">
        <v>1</v>
      </c>
      <c r="F31" s="5817" t="n">
        <v>0</v>
      </c>
      <c r="G31" s="5816" t="n">
        <v>3</v>
      </c>
      <c r="H31" s="5818" t="n">
        <v>0</v>
      </c>
      <c r="I31" s="5816" t="n">
        <v>0</v>
      </c>
      <c r="J31" s="5818" t="n">
        <v>1</v>
      </c>
      <c r="K31" s="5816" t="n">
        <v>0</v>
      </c>
      <c r="L31" s="5818" t="n">
        <v>0</v>
      </c>
      <c r="M31" s="5816" t="n">
        <v>1</v>
      </c>
      <c r="N31" s="5818" t="n">
        <v>2</v>
      </c>
      <c r="O31" s="5816" t="n">
        <v>0</v>
      </c>
      <c r="P31" s="5818" t="n">
        <v>0</v>
      </c>
      <c r="Q31" s="5879" t="n">
        <v>0</v>
      </c>
      <c r="R31" s="5818" t="n">
        <v>4</v>
      </c>
      <c r="S31" s="5816" t="n">
        <v>4</v>
      </c>
      <c r="T31" s="5818" t="n">
        <v>0</v>
      </c>
      <c r="U31" s="5816" t="n">
        <v>0</v>
      </c>
      <c r="V31" s="5818" t="n">
        <v>2</v>
      </c>
      <c r="W31" s="5816" t="n">
        <v>0</v>
      </c>
      <c r="X31" s="5818" t="n">
        <v>1</v>
      </c>
      <c r="Y31" s="5816" t="n">
        <v>0</v>
      </c>
      <c r="Z31" s="5818" t="n">
        <v>1</v>
      </c>
      <c r="AA31" s="5816" t="n">
        <v>2</v>
      </c>
      <c r="AB31" s="5818" t="n">
        <v>2</v>
      </c>
      <c r="AC31" s="5879" t="n">
        <v>0</v>
      </c>
      <c r="AD31" s="5818" t="n">
        <v>1</v>
      </c>
      <c r="AE31" s="5816" t="n">
        <v>3</v>
      </c>
      <c r="AF31" s="5818" t="n">
        <v>0</v>
      </c>
      <c r="AG31" s="5879" t="n">
        <v>1</v>
      </c>
      <c r="AH31" s="5818" t="n">
        <v>6</v>
      </c>
      <c r="AI31" s="5816" t="n">
        <v>1</v>
      </c>
      <c r="AJ31" s="5818" t="n">
        <v>0</v>
      </c>
      <c r="AK31" s="5879" t="n">
        <v>2</v>
      </c>
      <c r="AL31" s="5818" t="n">
        <v>0</v>
      </c>
      <c r="AM31" s="5880" t="n">
        <v>1</v>
      </c>
      <c r="AN31" s="5881" t="n">
        <v>1</v>
      </c>
      <c r="AO31" s="5819" t="n">
        <v>0</v>
      </c>
      <c r="AP31" s="5820" t="n">
        <v>2</v>
      </c>
      <c r="AQ31" s="5882" t="n">
        <v>0</v>
      </c>
      <c r="AR31" s="5820" t="n">
        <v>0</v>
      </c>
      <c r="AS31" s="5821" t="n">
        <v>0</v>
      </c>
      <c r="AT31" s="622">
        <f>BO31&amp;BP31&amp;BQ31&amp;BR31&amp;BS31</f>
        <v/>
      </c>
      <c r="BO31" s="5822">
        <f>IF(AND(B31&gt;0,AO31="")," * No olvide digitar la variable Pueblos originarios. Digite Cero si no tiene.",IF(AO31&gt;B31," * La variable Pueblos originarios No puede ser mayor al Total Ambos Sexos.",""))</f>
        <v/>
      </c>
      <c r="BP31" s="5822">
        <f>IF(AND(B31&gt;0,AP31="")," * No olvide digitar la variable Migrantes. Digite Cero si no tiene.",IF(AP31&gt;B31," * La variable Migrantes No puede ser mayor al Total Ambos Sexos.",""))</f>
        <v/>
      </c>
      <c r="BQ31" s="5822">
        <f>IF(AND(B31&gt;0,AQ31="")," * No olvide digitar la variable Espacios Amigables. Digite Cero si no tiene.",IF(AQ31&gt;B31," * La variable Espacios Amigables No puede ser mayor al Total Ambos Sexos.",""))</f>
        <v/>
      </c>
      <c r="BR31" s="5822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/>
      </c>
      <c r="BV31" s="5823">
        <f>IF(AND(B31&gt;0,AP31=""),1,IF(AP31&gt;B31,1,0))</f>
        <v/>
      </c>
      <c r="BW31" s="5823">
        <f>IF(AND(B31&gt;0,AQ31=""),1,IF(AQ31&gt;B31,1,0))</f>
        <v/>
      </c>
      <c r="BX31" s="5823">
        <f>IF(AND(B31&gt;0,AR31=""),1,IF(AR31&gt;B31,1,0))</f>
        <v/>
      </c>
      <c r="BY31" s="5823">
        <f>IF(AND(B31&gt;0,AS31=""),1,IF(AS31&gt;B31,1,0))</f>
        <v/>
      </c>
    </row>
    <row r="32" ht="15" customHeight="1" s="8286">
      <c r="A32" s="1646" t="inlineStr">
        <is>
          <t>Matrona/ón (Morb. Ginecológica)</t>
        </is>
      </c>
      <c r="B32" s="5824">
        <f>SUM(C32:D32)</f>
        <v/>
      </c>
      <c r="C32" s="1868" t="n"/>
      <c r="D32" s="5825">
        <f>SUM(F32+H32+J32+L32+N32+P32+R32+T32+V32+X32+Z32+AB32+AD32+AF32+AH32+AJ32+AL32+AN32)</f>
        <v/>
      </c>
      <c r="E32" s="5883" t="n"/>
      <c r="F32" s="5827" t="n"/>
      <c r="G32" s="5883" t="n"/>
      <c r="H32" s="5828" t="n"/>
      <c r="I32" s="5883" t="n"/>
      <c r="J32" s="5828" t="n"/>
      <c r="K32" s="5883" t="n"/>
      <c r="L32" s="5828" t="n"/>
      <c r="M32" s="5883" t="n"/>
      <c r="N32" s="5828" t="n"/>
      <c r="O32" s="5883" t="n"/>
      <c r="P32" s="5828" t="n"/>
      <c r="Q32" s="5884" t="n"/>
      <c r="R32" s="5828" t="n"/>
      <c r="S32" s="5883" t="n"/>
      <c r="T32" s="5828" t="n"/>
      <c r="U32" s="5883" t="n"/>
      <c r="V32" s="5828" t="n"/>
      <c r="W32" s="5883" t="n"/>
      <c r="X32" s="5828" t="n"/>
      <c r="Y32" s="5883" t="n"/>
      <c r="Z32" s="5828" t="n"/>
      <c r="AA32" s="5883" t="n"/>
      <c r="AB32" s="5828" t="n"/>
      <c r="AC32" s="5884" t="n"/>
      <c r="AD32" s="5828" t="n"/>
      <c r="AE32" s="5883" t="n"/>
      <c r="AF32" s="5828" t="n"/>
      <c r="AG32" s="5884" t="n"/>
      <c r="AH32" s="5828" t="n"/>
      <c r="AI32" s="5883" t="n"/>
      <c r="AJ32" s="5828" t="n"/>
      <c r="AK32" s="5884" t="n"/>
      <c r="AL32" s="5828" t="n"/>
      <c r="AM32" s="5885" t="n"/>
      <c r="AN32" s="5837" t="n"/>
      <c r="AO32" s="5886" t="n"/>
      <c r="AP32" s="5887" t="n"/>
      <c r="AQ32" s="5888" t="n"/>
      <c r="AR32" s="5887" t="n"/>
      <c r="AS32" s="5889" t="n"/>
      <c r="AT32" s="622">
        <f>BO32&amp;BP32&amp;BQ32&amp;BR32&amp;BS32</f>
        <v/>
      </c>
      <c r="BO32" s="5822">
        <f>IF(AND(B32&gt;0,AO32="")," * No olvide digitar la variable Pueblos originarios. Digite Cero si no tiene.",IF(AO32&gt;B32," * La variable Pueblos originarios No puede ser mayor al Total Ambos Sexos.",""))</f>
        <v/>
      </c>
      <c r="BP32" s="5822">
        <f>IF(AND(B32&gt;0,AP32="")," * No olvide digitar la variable Migrantes. Digite Cero si no tiene.",IF(AP32&gt;B32," * La variable Migrantes No puede ser mayor al Total Ambos Sexos.",""))</f>
        <v/>
      </c>
      <c r="BQ32" s="5822">
        <f>IF(AND(B32&gt;0,AQ32="")," * No olvide digitar la variable Espacios Amigables. Digite Cero si no tiene.",IF(AQ32&gt;B32," * La variable Espacios Amigables No puede ser mayor al Total Ambos Sexos.",""))</f>
        <v/>
      </c>
      <c r="BR32" s="5822">
        <f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>
        <f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>IF(AND(B32&gt;0,AO32=""),1,IF(AO32&gt;B32,1,0))</f>
        <v/>
      </c>
      <c r="BV32" s="5823">
        <f>IF(AND(B32&gt;0,AP32=""),1,IF(AP32&gt;B32,1,0))</f>
        <v/>
      </c>
      <c r="BW32" s="5823">
        <f>IF(AND(B32&gt;0,AQ32=""),1,IF(AQ32&gt;B32,1,0))</f>
        <v/>
      </c>
      <c r="BX32" s="5823">
        <f>IF(AND(B32&gt;0,AR32=""),1,IF(AR32&gt;B32,1,0))</f>
        <v/>
      </c>
      <c r="BY32" s="5823">
        <f>IF(AND(B32&gt;0,AS32=""),1,IF(AS32&gt;B32,1,0))</f>
        <v/>
      </c>
    </row>
    <row r="33" ht="15" customHeight="1" s="8286">
      <c r="A33" s="1644" t="inlineStr">
        <is>
          <t>Matrona/ón (Morb. Obstétrica)</t>
        </is>
      </c>
      <c r="B33" s="5824">
        <f>SUM(C33:D33)</f>
        <v/>
      </c>
      <c r="C33" s="1868" t="n"/>
      <c r="D33" s="5845">
        <f>SUM(F33+H33+J33+L33+N33+P33+R33+T33+V33+X33+Z33+AB33+AD33+AF33+AH33+AJ33+AL33+AN33)</f>
        <v/>
      </c>
      <c r="E33" s="5883" t="n"/>
      <c r="F33" s="5827" t="n"/>
      <c r="G33" s="5883" t="n"/>
      <c r="H33" s="5828" t="n"/>
      <c r="I33" s="5883" t="n"/>
      <c r="J33" s="5828" t="n"/>
      <c r="K33" s="5883" t="n"/>
      <c r="L33" s="5828" t="n"/>
      <c r="M33" s="5883" t="n"/>
      <c r="N33" s="5828" t="n"/>
      <c r="O33" s="5883" t="n"/>
      <c r="P33" s="5828" t="n"/>
      <c r="Q33" s="5884" t="n"/>
      <c r="R33" s="5828" t="n"/>
      <c r="S33" s="5883" t="n"/>
      <c r="T33" s="5828" t="n">
        <v>1</v>
      </c>
      <c r="U33" s="5883" t="n"/>
      <c r="V33" s="5828" t="n">
        <v>1</v>
      </c>
      <c r="W33" s="5883" t="n"/>
      <c r="X33" s="5828" t="n">
        <v>1</v>
      </c>
      <c r="Y33" s="5883" t="n"/>
      <c r="Z33" s="5828" t="n"/>
      <c r="AA33" s="5883" t="n"/>
      <c r="AB33" s="5828" t="n"/>
      <c r="AC33" s="5884" t="n"/>
      <c r="AD33" s="5828" t="n"/>
      <c r="AE33" s="5883" t="n"/>
      <c r="AF33" s="5828" t="n"/>
      <c r="AG33" s="5884" t="n"/>
      <c r="AH33" s="5828" t="n"/>
      <c r="AI33" s="5883" t="n"/>
      <c r="AJ33" s="5828" t="n"/>
      <c r="AK33" s="5884" t="n"/>
      <c r="AL33" s="5828" t="n"/>
      <c r="AM33" s="5885" t="n"/>
      <c r="AN33" s="5837" t="n"/>
      <c r="AO33" s="5886" t="n">
        <v>0</v>
      </c>
      <c r="AP33" s="5887" t="n">
        <v>0</v>
      </c>
      <c r="AQ33" s="5888" t="n">
        <v>0</v>
      </c>
      <c r="AR33" s="5887" t="n">
        <v>0</v>
      </c>
      <c r="AS33" s="5889" t="n">
        <v>0</v>
      </c>
      <c r="AT33" s="622">
        <f>BO33&amp;BP33&amp;BQ33&amp;BR33&amp;BS33</f>
        <v/>
      </c>
      <c r="BO33" s="5822">
        <f>IF(AND(B33&gt;0,AO33="")," * No olvide digitar la variable Pueblos originarios. Digite Cero si no tiene.",IF(AO33&gt;B33," * La variable Pueblos originarios No puede ser mayor al Total Ambos Sexos.",""))</f>
        <v/>
      </c>
      <c r="BP33" s="5822">
        <f>IF(AND(B33&gt;0,AP33="")," * No olvide digitar la variable Migrantes. Digite Cero si no tiene.",IF(AP33&gt;B33," * La variable Migrantes No puede ser mayor al Total Ambos Sexos.",""))</f>
        <v/>
      </c>
      <c r="BQ33" s="5822">
        <f>IF(AND(B33&gt;0,AQ33="")," * No olvide digitar la variable Espacios Amigables. Digite Cero si no tiene.",IF(AQ33&gt;B33," * La variable Espacios Amigables No puede ser mayor al Total Ambos Sexos.",""))</f>
        <v/>
      </c>
      <c r="BR33" s="5822">
        <f>IF(AND(B33&gt;0,AR33="")," * No olvide digitar la variable SENAME/ Servicio Nacional de Reinserción social Juvenil. Digite Cero si no tiene.",IF(AR33&gt;B33," * La variable SENAME/ Servicio Nacional de Reinserción social Juvenil No puede ser mayor al Total Ambos Sexos.",""))</f>
        <v/>
      </c>
      <c r="BS33" s="5822">
        <f>IF(AND(B33&gt;0,AS33="")," * No olvide digitar la variable Servicio Nacional Protección Especializada a la Niñez y Adolescencia. Digite Cero si no tiene.",IF(AS33&gt;B33," * La variable Servicio Nacional Protección Especializada a la Niñez y Adolescencia No puede ser mayor al Total Ambos Sexos.",""))</f>
        <v/>
      </c>
      <c r="BU33" s="5823">
        <f>IF(AND(B33&gt;0,AO33=""),1,IF(AO33&gt;B33,1,0))</f>
        <v/>
      </c>
      <c r="BV33" s="5823">
        <f>IF(AND(B33&gt;0,AP33=""),1,IF(AP33&gt;B33,1,0))</f>
        <v/>
      </c>
      <c r="BW33" s="5823">
        <f>IF(AND(B33&gt;0,AQ33=""),1,IF(AQ33&gt;B33,1,0))</f>
        <v/>
      </c>
      <c r="BX33" s="5823">
        <f>IF(AND(B33&gt;0,AR33=""),1,IF(AR33&gt;B33,1,0))</f>
        <v/>
      </c>
      <c r="BY33" s="5823">
        <f>IF(AND(B33&gt;0,AS33=""),1,IF(AS33&gt;B33,1,0))</f>
        <v/>
      </c>
    </row>
    <row r="34" ht="15" customHeight="1" s="8286">
      <c r="A34" s="1644" t="inlineStr">
        <is>
          <t>Matrona/ón (ITS)</t>
        </is>
      </c>
      <c r="B34" s="5824">
        <f>SUM(C34:D34)</f>
        <v/>
      </c>
      <c r="C34" s="1679">
        <f>SUM(E34+G34+I34+K34+M34+O34+Q34+S34+U34+W34+Y34+AA34+AC34+AE34+AG34+AI34+AK34+AM34)</f>
        <v/>
      </c>
      <c r="D34" s="5845">
        <f>SUM(F34+H34+J34+L34+N34+P34+R34+T34+V34+X34+Z34+AB34+AD34+AF34+AH34+AJ34+AL34+AN34)</f>
        <v/>
      </c>
      <c r="E34" s="5826" t="n"/>
      <c r="F34" s="5827" t="n"/>
      <c r="G34" s="5826" t="n"/>
      <c r="H34" s="5828" t="n"/>
      <c r="I34" s="5826" t="n"/>
      <c r="J34" s="5828" t="n"/>
      <c r="K34" s="5826" t="n"/>
      <c r="L34" s="5828" t="n"/>
      <c r="M34" s="5826" t="n"/>
      <c r="N34" s="5828" t="n"/>
      <c r="O34" s="5826" t="n"/>
      <c r="P34" s="5828" t="n"/>
      <c r="Q34" s="5890" t="n"/>
      <c r="R34" s="5828" t="n"/>
      <c r="S34" s="5826" t="n"/>
      <c r="T34" s="5828" t="n"/>
      <c r="U34" s="5826" t="n"/>
      <c r="V34" s="5828" t="n"/>
      <c r="W34" s="5826" t="n"/>
      <c r="X34" s="5828" t="n"/>
      <c r="Y34" s="5826" t="n"/>
      <c r="Z34" s="5828" t="n"/>
      <c r="AA34" s="5826" t="n"/>
      <c r="AB34" s="5828" t="n"/>
      <c r="AC34" s="5890" t="n"/>
      <c r="AD34" s="5828" t="n"/>
      <c r="AE34" s="5826" t="n"/>
      <c r="AF34" s="5828" t="n"/>
      <c r="AG34" s="5890" t="n"/>
      <c r="AH34" s="5828" t="n"/>
      <c r="AI34" s="5826" t="n"/>
      <c r="AJ34" s="5828" t="n"/>
      <c r="AK34" s="5890" t="n"/>
      <c r="AL34" s="5828" t="n"/>
      <c r="AM34" s="5891" t="n"/>
      <c r="AN34" s="5837" t="n"/>
      <c r="AO34" s="5832" t="n"/>
      <c r="AP34" s="5833" t="n"/>
      <c r="AQ34" s="5892" t="n"/>
      <c r="AR34" s="5833" t="n"/>
      <c r="AS34" s="5834" t="n"/>
      <c r="AT34" s="622">
        <f>BO34&amp;BP34&amp;BQ34&amp;BR34&amp;BS34</f>
        <v/>
      </c>
      <c r="BO34" s="5822">
        <f>IF(AND(B34&gt;0,AO34="")," * No olvide digitar la variable Pueblos originarios. Digite Cero si no tiene.",IF(AO34&gt;B34," * La variable Pueblos originarios No puede ser mayor al Total Ambos Sexos.",""))</f>
        <v/>
      </c>
      <c r="BP34" s="5822">
        <f>IF(AND(B34&gt;0,AP34="")," * No olvide digitar la variable Migrantes. Digite Cero si no tiene.",IF(AP34&gt;B34," * La variable Migrantes No puede ser mayor al Total Ambos Sexos.",""))</f>
        <v/>
      </c>
      <c r="BQ34" s="5822">
        <f>IF(AND(B34&gt;0,AQ34="")," * No olvide digitar la variable Espacios Amigables. Digite Cero si no tiene.",IF(AQ34&gt;B34," * La variable Espacios Amigables No puede ser mayor al Total Ambos Sexos.",""))</f>
        <v/>
      </c>
      <c r="BR34" s="5822">
        <f>IF(AND(B34&gt;0,AR34="")," * No olvide digitar la variable SENAME/ Servicio Nacional de Reinserción social Juvenil. Digite Cero si no tiene.",IF(AR34&gt;B34," * La variable SENAME/ Servicio Nacional de Reinserción social Juvenil No puede ser mayor al Total Ambos Sexos.",""))</f>
        <v/>
      </c>
      <c r="BS34" s="5822">
        <f>IF(AND(B34&gt;0,AS34="")," * No olvide digitar la variable Servicio Nacional Protección Especializada a la Niñez y Adolescencia. Digite Cero si no tiene.",IF(AS34&gt;B34," * La variable Servicio Nacional Protección Especializada a la Niñez y Adolescencia No puede ser mayor al Total Ambos Sexos.",""))</f>
        <v/>
      </c>
      <c r="BU34" s="5823">
        <f>IF(AND(B34&gt;0,AO34=""),1,IF(AO34&gt;B34,1,0))</f>
        <v/>
      </c>
      <c r="BV34" s="5823">
        <f>IF(AND(B34&gt;0,AP34=""),1,IF(AP34&gt;B34,1,0))</f>
        <v/>
      </c>
      <c r="BW34" s="5823">
        <f>IF(AND(B34&gt;0,AQ34=""),1,IF(AQ34&gt;B34,1,0))</f>
        <v/>
      </c>
      <c r="BX34" s="5823">
        <f>IF(AND(B34&gt;0,AR34=""),1,IF(AR34&gt;B34,1,0))</f>
        <v/>
      </c>
      <c r="BY34" s="5823">
        <f>IF(AND(B34&gt;0,AS34=""),1,IF(AS34&gt;B34,1,0))</f>
        <v/>
      </c>
    </row>
    <row r="35" ht="15" customHeight="1" s="8286">
      <c r="A35" s="1644" t="inlineStr">
        <is>
          <t xml:space="preserve">Matrona/ón (Infertilidad) </t>
        </is>
      </c>
      <c r="B35" s="5824">
        <f>SUM(C35:D35)</f>
        <v/>
      </c>
      <c r="C35" s="1679">
        <f>SUM(O35+Q35+S35+U35+W35+Y35+AA35)</f>
        <v/>
      </c>
      <c r="D35" s="5845">
        <f>SUM(P35+R35+T35+V35+X35+Z35+AB35)</f>
        <v/>
      </c>
      <c r="E35" s="5839" t="n"/>
      <c r="F35" s="5840" t="n"/>
      <c r="G35" s="5839" t="n"/>
      <c r="H35" s="5846" t="n"/>
      <c r="I35" s="5839" t="n"/>
      <c r="J35" s="5846" t="n"/>
      <c r="K35" s="5839" t="n"/>
      <c r="L35" s="5846" t="n"/>
      <c r="M35" s="5839" t="n"/>
      <c r="N35" s="5846" t="n"/>
      <c r="O35" s="5826" t="n"/>
      <c r="P35" s="5828" t="n"/>
      <c r="Q35" s="5890" t="n"/>
      <c r="R35" s="5828" t="n"/>
      <c r="S35" s="5826" t="n"/>
      <c r="T35" s="5828" t="n"/>
      <c r="U35" s="5826" t="n"/>
      <c r="V35" s="5828" t="n"/>
      <c r="W35" s="5826" t="n"/>
      <c r="X35" s="5828" t="n"/>
      <c r="Y35" s="5826" t="n"/>
      <c r="Z35" s="5828" t="n"/>
      <c r="AA35" s="5826" t="n"/>
      <c r="AB35" s="5847" t="n"/>
      <c r="AC35" s="5893" t="n"/>
      <c r="AD35" s="5846" t="n"/>
      <c r="AE35" s="5839" t="n"/>
      <c r="AF35" s="5846" t="n"/>
      <c r="AG35" s="5893" t="n"/>
      <c r="AH35" s="5846" t="n"/>
      <c r="AI35" s="5839" t="n"/>
      <c r="AJ35" s="5846" t="n"/>
      <c r="AK35" s="5893" t="n"/>
      <c r="AL35" s="5846" t="n"/>
      <c r="AM35" s="5894" t="n"/>
      <c r="AN35" s="5831" t="n"/>
      <c r="AO35" s="5832" t="n"/>
      <c r="AP35" s="5833" t="n"/>
      <c r="AQ35" s="5892" t="n"/>
      <c r="AR35" s="5833" t="n"/>
      <c r="AS35" s="5834" t="n"/>
      <c r="AT35" s="622">
        <f>BO35&amp;BP35&amp;BQ35&amp;BR35&amp;BS35</f>
        <v/>
      </c>
      <c r="BO35" s="5822">
        <f>IF(AND(B35&gt;0,AO35="")," * No olvide digitar la variable Pueblos originarios. Digite Cero si no tiene.",IF(AO35&gt;B35," * La variable Pueblos originarios No puede ser mayor al Total Ambos Sexos.",""))</f>
        <v/>
      </c>
      <c r="BP35" s="5822">
        <f>IF(AND(B35&gt;0,AP35="")," * No olvide digitar la variable Migrantes. Digite Cero si no tiene.",IF(AP35&gt;B35," * La variable Migrantes No puede ser mayor al Total Ambos Sexos.",""))</f>
        <v/>
      </c>
      <c r="BQ35" s="5822">
        <f>IF(AND(B35&gt;0,AQ35="")," * No olvide digitar la variable Espacios Amigables. Digite Cero si no tiene.",IF(AQ35&gt;B35," * La variable Espacios Amigables No puede ser mayor al Total Ambos Sexos.",""))</f>
        <v/>
      </c>
      <c r="BR35" s="5822">
        <f>IF(AND(B35&gt;0,AR35="")," * No olvide digitar la variable SENAME/ Servicio Nacional de Reinserción social Juvenil. Digite Cero si no tiene.",IF(AR35&gt;B35," * La variable SENAME/ Servicio Nacional de Reinserción social Juvenil No puede ser mayor al Total Ambos Sexos.",""))</f>
        <v/>
      </c>
      <c r="BS35" s="5822">
        <f>IF(AND(B35&gt;0,AS35="")," * No olvide digitar la variable Servicio Nacional Protección Especializada a la Niñez y Adolescencia. Digite Cero si no tiene.",IF(AS35&gt;B35," * La variable Servicio Nacional Protección Especializada a la Niñez y Adolescencia No puede ser mayor al Total Ambos Sexos.",""))</f>
        <v/>
      </c>
      <c r="BU35" s="5823">
        <f>IF(AND(B35&gt;0,AO35=""),1,IF(AO35&gt;B35,1,0))</f>
        <v/>
      </c>
      <c r="BV35" s="5823">
        <f>IF(AND(B35&gt;0,AP35=""),1,IF(AP35&gt;B35,1,0))</f>
        <v/>
      </c>
      <c r="BW35" s="5823">
        <f>IF(AND(B35&gt;0,AQ35=""),1,IF(AQ35&gt;B35,1,0))</f>
        <v/>
      </c>
      <c r="BX35" s="5823">
        <f>IF(AND(B35&gt;0,AR35=""),1,IF(AR35&gt;B35,1,0))</f>
        <v/>
      </c>
      <c r="BY35" s="5823">
        <f>IF(AND(B35&gt;0,AS35=""),1,IF(AS35&gt;B35,1,0))</f>
        <v/>
      </c>
    </row>
    <row r="36" ht="15" customHeight="1" s="8286">
      <c r="A36" s="1644" t="inlineStr">
        <is>
          <t xml:space="preserve">Matrona/ón (Otras consultas) </t>
        </is>
      </c>
      <c r="B36" s="5824">
        <f>SUM(C36:D36)</f>
        <v/>
      </c>
      <c r="C36" s="1679">
        <f>SUM(E36+G36+I36+K36+M36+O36+Q36+S36+U36+W36+Y36+AA36+AC36+AE36+AG36+AI36+AK36+AM36)</f>
        <v/>
      </c>
      <c r="D36" s="5845">
        <f>SUM(F36+H36+J36+L36+N36+P36+R36+T36+V36+X36+Z36+AB36+AD36+AF36+AH36+AJ36+AL36+AN36)</f>
        <v/>
      </c>
      <c r="E36" s="5826" t="n">
        <v>0</v>
      </c>
      <c r="F36" s="5827" t="n">
        <v>0</v>
      </c>
      <c r="G36" s="5826" t="n">
        <v>0</v>
      </c>
      <c r="H36" s="5828" t="n">
        <v>0</v>
      </c>
      <c r="I36" s="5826" t="n">
        <v>0</v>
      </c>
      <c r="J36" s="5828" t="n">
        <v>0</v>
      </c>
      <c r="K36" s="5826" t="n">
        <v>0</v>
      </c>
      <c r="L36" s="5828" t="n">
        <v>0</v>
      </c>
      <c r="M36" s="5826" t="n">
        <v>0</v>
      </c>
      <c r="N36" s="5828" t="n">
        <v>0</v>
      </c>
      <c r="O36" s="5826" t="n">
        <v>0</v>
      </c>
      <c r="P36" s="5828" t="n">
        <v>3</v>
      </c>
      <c r="Q36" s="5890" t="n">
        <v>0</v>
      </c>
      <c r="R36" s="5828" t="n">
        <v>1</v>
      </c>
      <c r="S36" s="5826" t="n">
        <v>0</v>
      </c>
      <c r="T36" s="5828" t="n">
        <v>5</v>
      </c>
      <c r="U36" s="5826" t="n">
        <v>0</v>
      </c>
      <c r="V36" s="5828" t="n">
        <v>1</v>
      </c>
      <c r="W36" s="5826" t="n">
        <v>0</v>
      </c>
      <c r="X36" s="5828" t="n">
        <v>1</v>
      </c>
      <c r="Y36" s="5826" t="n">
        <v>0</v>
      </c>
      <c r="Z36" s="5828" t="n">
        <v>0</v>
      </c>
      <c r="AA36" s="5826" t="n">
        <v>0</v>
      </c>
      <c r="AB36" s="5828" t="n">
        <v>0</v>
      </c>
      <c r="AC36" s="5890" t="n">
        <v>0</v>
      </c>
      <c r="AD36" s="5828" t="n">
        <v>0</v>
      </c>
      <c r="AE36" s="5826" t="n">
        <v>0</v>
      </c>
      <c r="AF36" s="5828" t="n">
        <v>1</v>
      </c>
      <c r="AG36" s="5890" t="n">
        <v>0</v>
      </c>
      <c r="AH36" s="5828" t="n">
        <v>1</v>
      </c>
      <c r="AI36" s="5826" t="n">
        <v>0</v>
      </c>
      <c r="AJ36" s="5828" t="n">
        <v>0</v>
      </c>
      <c r="AK36" s="5890" t="n">
        <v>0</v>
      </c>
      <c r="AL36" s="5828" t="n">
        <v>0</v>
      </c>
      <c r="AM36" s="5891" t="n">
        <v>0</v>
      </c>
      <c r="AN36" s="5837" t="n">
        <v>0</v>
      </c>
      <c r="AO36" s="5886" t="n">
        <v>1</v>
      </c>
      <c r="AP36" s="5887" t="n">
        <v>0</v>
      </c>
      <c r="AQ36" s="5888" t="n">
        <v>0</v>
      </c>
      <c r="AR36" s="5887" t="n">
        <v>0</v>
      </c>
      <c r="AS36" s="5889" t="n">
        <v>0</v>
      </c>
      <c r="AT36" s="622">
        <f>BO36&amp;BP36&amp;BQ36&amp;BR36&amp;BS36</f>
        <v/>
      </c>
      <c r="BO36" s="5822">
        <f>IF(AND(B36&gt;0,AO36="")," * No olvide digitar la variable Pueblos originarios. Digite Cero si no tiene.",IF(AO36&gt;B36," * La variable Pueblos originarios No puede ser mayor al Total Ambos Sexos.",""))</f>
        <v/>
      </c>
      <c r="BP36" s="5822">
        <f>IF(AND(B36&gt;0,AP36="")," * No olvide digitar la variable Migrantes. Digite Cero si no tiene.",IF(AP36&gt;B36," * La variable Migrantes No puede ser mayor al Total Ambos Sexos.",""))</f>
        <v/>
      </c>
      <c r="BQ36" s="5822">
        <f>IF(AND(B36&gt;0,AQ36="")," * No olvide digitar la variable Espacios Amigables. Digite Cero si no tiene.",IF(AQ36&gt;B36," * La variable Espacios Amigables No puede ser mayor al Total Ambos Sexos.",""))</f>
        <v/>
      </c>
      <c r="BR36" s="5822">
        <f>IF(AND(B36&gt;0,AR36="")," * No olvide digitar la variable SENAME/ Servicio Nacional de Reinserción social Juvenil. Digite Cero si no tiene.",IF(AR36&gt;B36," * La variable SENAME/ Servicio Nacional de Reinserción social Juvenil No puede ser mayor al Total Ambos Sexos.",""))</f>
        <v/>
      </c>
      <c r="BS36" s="5822">
        <f>IF(AND(B36&gt;0,AS36="")," * No olvide digitar la variable Servicio Nacional Protección Especializada a la Niñez y Adolescencia. Digite Cero si no tiene.",IF(AS36&gt;B36," * La variable Servicio Nacional Protección Especializada a la Niñez y Adolescencia No puede ser mayor al Total Ambos Sexos.",""))</f>
        <v/>
      </c>
      <c r="BU36" s="5823">
        <f>IF(AND(B36&gt;0,AO36=""),1,IF(AO36&gt;B36,1,0))</f>
        <v/>
      </c>
      <c r="BV36" s="5823">
        <f>IF(AND(B36&gt;0,AP36=""),1,IF(AP36&gt;B36,1,0))</f>
        <v/>
      </c>
      <c r="BW36" s="5823">
        <f>IF(AND(B36&gt;0,AQ36=""),1,IF(AQ36&gt;B36,1,0))</f>
        <v/>
      </c>
      <c r="BX36" s="5823">
        <f>IF(AND(B36&gt;0,AR36=""),1,IF(AR36&gt;B36,1,0))</f>
        <v/>
      </c>
      <c r="BY36" s="5823">
        <f>IF(AND(B36&gt;0,AS36=""),1,IF(AS36&gt;B36,1,0))</f>
        <v/>
      </c>
    </row>
    <row r="37" ht="15" customHeight="1" s="8286">
      <c r="A37" s="1644" t="inlineStr">
        <is>
          <t xml:space="preserve">Matrona/ón (Salud sexual) </t>
        </is>
      </c>
      <c r="B37" s="5824">
        <f>SUM(C37:D37)</f>
        <v/>
      </c>
      <c r="C37" s="1679">
        <f>SUM(K37+M37+O37+Q37+S37+U37+W37+Y37+AA37+AC37+AE37+AG37+AI37+AK37+AM37)</f>
        <v/>
      </c>
      <c r="D37" s="5845">
        <f>SUM(L37+N37+P37+R37+T37+V37+X37+Z37+AB37+AD37+AF37+AH37+AJ37+AL37+AN37)</f>
        <v/>
      </c>
      <c r="E37" s="5883" t="n"/>
      <c r="F37" s="5895" t="n"/>
      <c r="G37" s="5883" t="n"/>
      <c r="H37" s="5896" t="n"/>
      <c r="I37" s="5883" t="n"/>
      <c r="J37" s="5896" t="n"/>
      <c r="K37" s="5826" t="n">
        <v>0</v>
      </c>
      <c r="L37" s="5828" t="n">
        <v>0</v>
      </c>
      <c r="M37" s="5826" t="n">
        <v>0</v>
      </c>
      <c r="N37" s="5828" t="n">
        <v>0</v>
      </c>
      <c r="O37" s="5826" t="n">
        <v>0</v>
      </c>
      <c r="P37" s="5828" t="n">
        <v>1</v>
      </c>
      <c r="Q37" s="5890" t="n">
        <v>0</v>
      </c>
      <c r="R37" s="5828" t="n">
        <v>7</v>
      </c>
      <c r="S37" s="5826" t="n">
        <v>0</v>
      </c>
      <c r="T37" s="5828" t="n">
        <v>2</v>
      </c>
      <c r="U37" s="5826" t="n">
        <v>0</v>
      </c>
      <c r="V37" s="5828" t="n">
        <v>2</v>
      </c>
      <c r="W37" s="5826" t="n">
        <v>0</v>
      </c>
      <c r="X37" s="5828" t="n">
        <v>2</v>
      </c>
      <c r="Y37" s="5826" t="n">
        <v>0</v>
      </c>
      <c r="Z37" s="5828" t="n">
        <v>3</v>
      </c>
      <c r="AA37" s="5826" t="n">
        <v>0</v>
      </c>
      <c r="AB37" s="5828" t="n">
        <v>2</v>
      </c>
      <c r="AC37" s="5890" t="n">
        <v>0</v>
      </c>
      <c r="AD37" s="5828" t="n">
        <v>1</v>
      </c>
      <c r="AE37" s="5826" t="n">
        <v>0</v>
      </c>
      <c r="AF37" s="5828" t="n">
        <v>10</v>
      </c>
      <c r="AG37" s="5890" t="n">
        <v>0</v>
      </c>
      <c r="AH37" s="5828" t="n">
        <v>5</v>
      </c>
      <c r="AI37" s="5826" t="n">
        <v>0</v>
      </c>
      <c r="AJ37" s="5828" t="n">
        <v>0</v>
      </c>
      <c r="AK37" s="5890" t="n">
        <v>0</v>
      </c>
      <c r="AL37" s="5828" t="n">
        <v>0</v>
      </c>
      <c r="AM37" s="5891" t="n">
        <v>0</v>
      </c>
      <c r="AN37" s="5837" t="n">
        <v>0</v>
      </c>
      <c r="AO37" s="5886" t="n">
        <v>1</v>
      </c>
      <c r="AP37" s="5887" t="n">
        <v>1</v>
      </c>
      <c r="AQ37" s="5888" t="n">
        <v>0</v>
      </c>
      <c r="AR37" s="5887" t="n">
        <v>0</v>
      </c>
      <c r="AS37" s="5889" t="n">
        <v>0</v>
      </c>
      <c r="AT37" s="622">
        <f>BO37&amp;BP37&amp;BQ37&amp;BR37&amp;BS37</f>
        <v/>
      </c>
      <c r="BO37" s="5822">
        <f>IF(AND(B37&gt;0,AO37="")," * No olvide digitar la variable Pueblos originarios. Digite Cero si no tiene.",IF(AO37&gt;B37," * La variable Pueblos originarios No puede ser mayor al Total Ambos Sexos.",""))</f>
        <v/>
      </c>
      <c r="BP37" s="5822">
        <f>IF(AND(B37&gt;0,AP37="")," * No olvide digitar la variable Migrantes. Digite Cero si no tiene.",IF(AP37&gt;B37," * La variable Migrantes No puede ser mayor al Total Ambos Sexos.",""))</f>
        <v/>
      </c>
      <c r="BQ37" s="5822">
        <f>IF(AND(B37&gt;0,AQ37="")," * No olvide digitar la variable Espacios Amigables. Digite Cero si no tiene.",IF(AQ37&gt;B37," * La variable Espacios Amigables No puede ser mayor al Total Ambos Sexos.",""))</f>
        <v/>
      </c>
      <c r="BR37" s="5822">
        <f>IF(AND(B37&gt;0,AR37="")," * No olvide digitar la variable SENAME/ Servicio Nacional de Reinserción social Juvenil. Digite Cero si no tiene.",IF(AR37&gt;B37," * La variable SENAME/ Servicio Nacional de Reinserción social Juvenil No puede ser mayor al Total Ambos Sexos.",""))</f>
        <v/>
      </c>
      <c r="BS37" s="5822">
        <f>IF(AND(B37&gt;0,AS37="")," * No olvide digitar la variable Servicio Nacional Protección Especializada a la Niñez y Adolescencia. Digite Cero si no tiene.",IF(AS37&gt;B37," * La variable Servicio Nacional Protección Especializada a la Niñez y Adolescencia No puede ser mayor al Total Ambos Sexos.",""))</f>
        <v/>
      </c>
      <c r="BU37" s="5823">
        <f>IF(AND(B37&gt;0,AO37=""),1,IF(AO37&gt;B37,1,0))</f>
        <v/>
      </c>
      <c r="BV37" s="5823">
        <f>IF(AND(B37&gt;0,AP37=""),1,IF(AP37&gt;B37,1,0))</f>
        <v/>
      </c>
      <c r="BW37" s="5823">
        <f>IF(AND(B37&gt;0,AQ37=""),1,IF(AQ37&gt;B37,1,0))</f>
        <v/>
      </c>
      <c r="BX37" s="5823">
        <f>IF(AND(B37&gt;0,AR37=""),1,IF(AR37&gt;B37,1,0))</f>
        <v/>
      </c>
      <c r="BY37" s="5823">
        <f>IF(AND(B37&gt;0,AS37=""),1,IF(AS37&gt;B37,1,0))</f>
        <v/>
      </c>
    </row>
    <row r="38" ht="15" customHeight="1" s="8286">
      <c r="A38" s="1644" t="inlineStr">
        <is>
          <t xml:space="preserve">Matrona/ón (Piso pélvico) </t>
        </is>
      </c>
      <c r="B38" s="5897">
        <f>SUM(C38:D38)</f>
        <v/>
      </c>
      <c r="C38" s="1868" t="n"/>
      <c r="D38" s="5845">
        <f>SUM(L38+N38+P38+R38+T38+V38+X38+Z38+AB38+AD38+AF38+AH38+AJ38+AL38+AN38)</f>
        <v/>
      </c>
      <c r="E38" s="5883" t="n"/>
      <c r="F38" s="5895" t="n"/>
      <c r="G38" s="5883" t="n"/>
      <c r="H38" s="5896" t="n"/>
      <c r="I38" s="5883" t="n"/>
      <c r="J38" s="5896" t="n"/>
      <c r="K38" s="5883" t="n"/>
      <c r="L38" s="5828" t="n"/>
      <c r="M38" s="5883" t="n"/>
      <c r="N38" s="5828" t="n"/>
      <c r="O38" s="5883" t="n"/>
      <c r="P38" s="5828" t="n"/>
      <c r="Q38" s="5884" t="n"/>
      <c r="R38" s="5828" t="n"/>
      <c r="S38" s="5883" t="n"/>
      <c r="T38" s="5828" t="n"/>
      <c r="U38" s="5883" t="n"/>
      <c r="V38" s="5828" t="n"/>
      <c r="W38" s="5883" t="n"/>
      <c r="X38" s="5828" t="n"/>
      <c r="Y38" s="5883" t="n"/>
      <c r="Z38" s="5828" t="n"/>
      <c r="AA38" s="5883" t="n"/>
      <c r="AB38" s="5828" t="n"/>
      <c r="AC38" s="5884" t="n"/>
      <c r="AD38" s="5828" t="n"/>
      <c r="AE38" s="5883" t="n"/>
      <c r="AF38" s="5828" t="n"/>
      <c r="AG38" s="5884" t="n"/>
      <c r="AH38" s="5828" t="n"/>
      <c r="AI38" s="5883" t="n"/>
      <c r="AJ38" s="5828" t="n"/>
      <c r="AK38" s="5884" t="n"/>
      <c r="AL38" s="5828" t="n"/>
      <c r="AM38" s="5885" t="n"/>
      <c r="AN38" s="5837" t="n"/>
      <c r="AO38" s="5886" t="n"/>
      <c r="AP38" s="5887" t="n"/>
      <c r="AQ38" s="5888" t="n"/>
      <c r="AR38" s="5887" t="n"/>
      <c r="AS38" s="5889" t="n"/>
      <c r="AT38" s="622">
        <f>BO38&amp;BP38&amp;BQ38&amp;BR38&amp;BS38</f>
        <v/>
      </c>
      <c r="BO38" s="5822">
        <f>IF(AND(B38&gt;0,AO38="")," * No olvide digitar la variable Pueblos originarios. Digite Cero si no tiene.",IF(AO38&gt;B38," * La variable Pueblos originarios No puede ser mayor al Total Ambos Sexos.",""))</f>
        <v/>
      </c>
      <c r="BP38" s="5822">
        <f>IF(AND(B38&gt;0,AP38="")," * No olvide digitar la variable Migrantes. Digite Cero si no tiene.",IF(AP38&gt;B38," * La variable Migrantes No puede ser mayor al Total Ambos Sexos.",""))</f>
        <v/>
      </c>
      <c r="BQ38" s="5822">
        <f>IF(AND(B38&gt;0,AQ38="")," * No olvide digitar la variable Espacios Amigables. Digite Cero si no tiene.",IF(AQ38&gt;B38," * La variable Espacios Amigables No puede ser mayor al Total Ambos Sexos.",""))</f>
        <v/>
      </c>
      <c r="BR38" s="5822">
        <f>IF(AND(B38&gt;0,AR38="")," * No olvide digitar la variable SENAME/ Servicio Nacional de Reinserción social Juvenil. Digite Cero si no tiene.",IF(AR38&gt;B38," * La variable SENAME/ Servicio Nacional de Reinserción social Juvenil No puede ser mayor al Total Ambos Sexos.",""))</f>
        <v/>
      </c>
      <c r="BS38" s="5822">
        <f>IF(AND(B38&gt;0,AS38="")," * No olvide digitar la variable Servicio Nacional Protección Especializada a la Niñez y Adolescencia. Digite Cero si no tiene.",IF(AS38&gt;B38," * La variable Servicio Nacional Protección Especializada a la Niñez y Adolescencia No puede ser mayor al Total Ambos Sexos.",""))</f>
        <v/>
      </c>
      <c r="BU38" s="5823">
        <f>IF(AND(B38&gt;0,AO38=""),1,IF(AO38&gt;B38,1,0))</f>
        <v/>
      </c>
      <c r="BV38" s="5823">
        <f>IF(AND(B38&gt;0,AP38=""),1,IF(AP38&gt;B38,1,0))</f>
        <v/>
      </c>
      <c r="BW38" s="5823">
        <f>IF(AND(B38&gt;0,AQ38=""),1,IF(AQ38&gt;B38,1,0))</f>
        <v/>
      </c>
      <c r="BX38" s="5823">
        <f>IF(AND(B38&gt;0,AR38=""),1,IF(AR38&gt;B38,1,0))</f>
        <v/>
      </c>
      <c r="BY38" s="5823">
        <f>IF(AND(B38&gt;0,AS38=""),1,IF(AS38&gt;B38,1,0))</f>
        <v/>
      </c>
    </row>
    <row r="39" ht="15" customHeight="1" s="8286">
      <c r="A39" s="5841" t="inlineStr">
        <is>
          <t xml:space="preserve">Nutricionista (Otras consultas) </t>
        </is>
      </c>
      <c r="B39" s="5824">
        <f>SUM(C39:D39)</f>
        <v/>
      </c>
      <c r="C39" s="1679">
        <f>SUM(E39+G39+I39+K39+M39+O39+Q39+S39+U39+W39+Y39+AA39+AC39+AE39+AG39+AI39+AK39+AM39)</f>
        <v/>
      </c>
      <c r="D39" s="5825">
        <f>SUM(F39+H39+J39+L39+N39+P39+R39+T39+V39+X39+Z39+AB39+AD39+AF39+AH39+AJ39+AL39+AN39)</f>
        <v/>
      </c>
      <c r="E39" s="5826" t="n">
        <v>27</v>
      </c>
      <c r="F39" s="5827" t="n">
        <v>13</v>
      </c>
      <c r="G39" s="5826" t="n">
        <v>12</v>
      </c>
      <c r="H39" s="5828" t="n">
        <v>15</v>
      </c>
      <c r="I39" s="5826" t="n">
        <v>6</v>
      </c>
      <c r="J39" s="5828" t="n">
        <v>3</v>
      </c>
      <c r="K39" s="5826" t="n">
        <v>3</v>
      </c>
      <c r="L39" s="5828" t="n">
        <v>3</v>
      </c>
      <c r="M39" s="5826" t="n">
        <v>0</v>
      </c>
      <c r="N39" s="5828" t="n">
        <v>2</v>
      </c>
      <c r="O39" s="5826" t="n">
        <v>0</v>
      </c>
      <c r="P39" s="5828" t="n">
        <v>2</v>
      </c>
      <c r="Q39" s="5890" t="n">
        <v>0</v>
      </c>
      <c r="R39" s="5828" t="n">
        <v>3</v>
      </c>
      <c r="S39" s="5826" t="n">
        <v>1</v>
      </c>
      <c r="T39" s="5828" t="n">
        <v>2</v>
      </c>
      <c r="U39" s="5826" t="n">
        <v>0</v>
      </c>
      <c r="V39" s="5828" t="n">
        <v>3</v>
      </c>
      <c r="W39" s="5826" t="n">
        <v>1</v>
      </c>
      <c r="X39" s="5828" t="n">
        <v>1</v>
      </c>
      <c r="Y39" s="5826" t="n">
        <v>1</v>
      </c>
      <c r="Z39" s="5828" t="n">
        <v>1</v>
      </c>
      <c r="AA39" s="5826" t="n">
        <v>0</v>
      </c>
      <c r="AB39" s="5828" t="n">
        <v>5</v>
      </c>
      <c r="AC39" s="5890" t="n">
        <v>1</v>
      </c>
      <c r="AD39" s="5828" t="n">
        <v>0</v>
      </c>
      <c r="AE39" s="5826" t="n">
        <v>3</v>
      </c>
      <c r="AF39" s="5828" t="n">
        <v>12</v>
      </c>
      <c r="AG39" s="5890" t="n">
        <v>12</v>
      </c>
      <c r="AH39" s="5828" t="n">
        <v>8</v>
      </c>
      <c r="AI39" s="5826" t="n">
        <v>11</v>
      </c>
      <c r="AJ39" s="5828" t="n">
        <v>9</v>
      </c>
      <c r="AK39" s="5890" t="n">
        <v>1</v>
      </c>
      <c r="AL39" s="5828" t="n">
        <v>4</v>
      </c>
      <c r="AM39" s="5891" t="n">
        <v>2</v>
      </c>
      <c r="AN39" s="5837" t="n">
        <v>6</v>
      </c>
      <c r="AO39" s="5832" t="n">
        <v>3</v>
      </c>
      <c r="AP39" s="5833" t="n">
        <v>4</v>
      </c>
      <c r="AQ39" s="5892" t="n">
        <v>0</v>
      </c>
      <c r="AR39" s="5833" t="n">
        <v>1</v>
      </c>
      <c r="AS39" s="5834" t="n">
        <v>1</v>
      </c>
      <c r="AT39" s="622">
        <f>BO39&amp;BP39&amp;BQ39&amp;BR39&amp;BS39</f>
        <v/>
      </c>
      <c r="BO39" s="5822">
        <f>IF(AND(B39&gt;0,AO39="")," * No olvide digitar la variable Pueblos originarios. Digite Cero si no tiene.",IF(AO39&gt;B39," * La variable Pueblos originarios No puede ser mayor al Total Ambos Sexos.",""))</f>
        <v/>
      </c>
      <c r="BP39" s="5822">
        <f>IF(AND(B39&gt;0,AP39="")," * No olvide digitar la variable Migrantes. Digite Cero si no tiene.",IF(AP39&gt;B39," * La variable Migrantes No puede ser mayor al Total Ambos Sexos.",""))</f>
        <v/>
      </c>
      <c r="BQ39" s="5822">
        <f>IF(AND(B39&gt;0,AQ39="")," * No olvide digitar la variable Espacios Amigables. Digite Cero si no tiene.",IF(AQ39&gt;B39," * La variable Espacios Amigables No puede ser mayor al Total Ambos Sexos.",""))</f>
        <v/>
      </c>
      <c r="BR39" s="5822">
        <f>IF(AND(B39&gt;0,AR39="")," * No olvide digitar la variable SENAME/ Servicio Nacional de Reinserción social Juvenil. Digite Cero si no tiene.",IF(AR39&gt;B39," * La variable SENAME/ Servicio Nacional de Reinserción social Juvenil No puede ser mayor al Total Ambos Sexos.",""))</f>
        <v/>
      </c>
      <c r="BS39" s="5822">
        <f>IF(AND(B39&gt;0,AS39="")," * No olvide digitar la variable Servicio Nacional Protección Especializada a la Niñez y Adolescencia. Digite Cero si no tiene.",IF(AS39&gt;B39," * La variable Servicio Nacional Protección Especializada a la Niñez y Adolescencia No puede ser mayor al Total Ambos Sexos.",""))</f>
        <v/>
      </c>
      <c r="BU39" s="5823">
        <f>IF(AND(B39&gt;0,AO39=""),1,IF(AO39&gt;B39,1,0))</f>
        <v/>
      </c>
      <c r="BV39" s="5823">
        <f>IF(AND(B39&gt;0,AP39=""),1,IF(AP39&gt;B39,1,0))</f>
        <v/>
      </c>
      <c r="BW39" s="5823">
        <f>IF(AND(B39&gt;0,AQ39=""),1,IF(AQ39&gt;B39,1,0))</f>
        <v/>
      </c>
      <c r="BX39" s="5823">
        <f>IF(AND(B39&gt;0,AR39=""),1,IF(AR39&gt;B39,1,0))</f>
        <v/>
      </c>
      <c r="BY39" s="5823">
        <f>IF(AND(B39&gt;0,AS39=""),1,IF(AS39&gt;B39,1,0))</f>
        <v/>
      </c>
    </row>
    <row r="40" ht="15" customHeight="1" s="8286">
      <c r="A40" s="5841" t="inlineStr">
        <is>
          <t xml:space="preserve">Nutricionista malnutrición por exceso </t>
        </is>
      </c>
      <c r="B40" s="5824">
        <f>SUM(C40:D40)</f>
        <v/>
      </c>
      <c r="C40" s="1679">
        <f>SUM(E40+G40+I40+K40+M40+O40+Q40+S40+U40+W40+Y40+AA40+AC40+AE40+AG40+AI40+AK40+AM40)</f>
        <v/>
      </c>
      <c r="D40" s="5825">
        <f>SUM(F40+H40+J40+L40+N40+P40+R40+T40+V40+X40+Z40+AB40+AD40+AF40+AH40+AJ40+AL40+AN40)</f>
        <v/>
      </c>
      <c r="E40" s="5826" t="n">
        <v>9</v>
      </c>
      <c r="F40" s="5827" t="n">
        <v>10</v>
      </c>
      <c r="G40" s="5826" t="n">
        <v>10</v>
      </c>
      <c r="H40" s="5828" t="n">
        <v>10</v>
      </c>
      <c r="I40" s="5826" t="n">
        <v>11</v>
      </c>
      <c r="J40" s="5828" t="n">
        <v>6</v>
      </c>
      <c r="K40" s="5826" t="n">
        <v>13</v>
      </c>
      <c r="L40" s="5828" t="n">
        <v>11</v>
      </c>
      <c r="M40" s="5826" t="n">
        <v>2</v>
      </c>
      <c r="N40" s="5828" t="n">
        <v>6</v>
      </c>
      <c r="O40" s="5826" t="n">
        <v>1</v>
      </c>
      <c r="P40" s="5828" t="n">
        <v>7</v>
      </c>
      <c r="Q40" s="5890" t="n">
        <v>2</v>
      </c>
      <c r="R40" s="5828" t="n">
        <v>12</v>
      </c>
      <c r="S40" s="5826" t="n">
        <v>1</v>
      </c>
      <c r="T40" s="5828" t="n">
        <v>6</v>
      </c>
      <c r="U40" s="5826" t="n">
        <v>1</v>
      </c>
      <c r="V40" s="5828" t="n">
        <v>11</v>
      </c>
      <c r="W40" s="5826" t="n">
        <v>3</v>
      </c>
      <c r="X40" s="5828" t="n">
        <v>5</v>
      </c>
      <c r="Y40" s="5826" t="n">
        <v>6</v>
      </c>
      <c r="Z40" s="5828" t="n">
        <v>5</v>
      </c>
      <c r="AA40" s="5826" t="n">
        <v>1</v>
      </c>
      <c r="AB40" s="5828" t="n">
        <v>9</v>
      </c>
      <c r="AC40" s="5890" t="n">
        <v>2</v>
      </c>
      <c r="AD40" s="5828" t="n">
        <v>17</v>
      </c>
      <c r="AE40" s="5826" t="n">
        <v>9</v>
      </c>
      <c r="AF40" s="5828" t="n">
        <v>23</v>
      </c>
      <c r="AG40" s="5890" t="n">
        <v>10</v>
      </c>
      <c r="AH40" s="5828" t="n">
        <v>14</v>
      </c>
      <c r="AI40" s="5826" t="n">
        <v>4</v>
      </c>
      <c r="AJ40" s="5828" t="n">
        <v>6</v>
      </c>
      <c r="AK40" s="5890" t="n">
        <v>6</v>
      </c>
      <c r="AL40" s="5828" t="n">
        <v>4</v>
      </c>
      <c r="AM40" s="5891" t="n">
        <v>2</v>
      </c>
      <c r="AN40" s="5837" t="n">
        <v>8</v>
      </c>
      <c r="AO40" s="5832" t="n">
        <v>4</v>
      </c>
      <c r="AP40" s="5833" t="n">
        <v>4</v>
      </c>
      <c r="AQ40" s="5892" t="n">
        <v>0</v>
      </c>
      <c r="AR40" s="5833" t="n">
        <v>0</v>
      </c>
      <c r="AS40" s="5834" t="n">
        <v>0</v>
      </c>
      <c r="AT40" s="622">
        <f>BO40&amp;BP40&amp;BQ40&amp;BR40&amp;BS40</f>
        <v/>
      </c>
      <c r="BO40" s="5822">
        <f>IF(AND(B40&gt;0,AO40="")," * No olvide digitar la variable Pueblos originarios. Digite Cero si no tiene.",IF(AO40&gt;B40," * La variable Pueblos originarios No puede ser mayor al Total Ambos Sexos.",""))</f>
        <v/>
      </c>
      <c r="BP40" s="5822">
        <f>IF(AND(B40&gt;0,AP40="")," * No olvide digitar la variable Migrantes. Digite Cero si no tiene.",IF(AP40&gt;B40," * La variable Migrantes No puede ser mayor al Total Ambos Sexos.",""))</f>
        <v/>
      </c>
      <c r="BQ40" s="5822">
        <f>IF(AND(B40&gt;0,AQ40="")," * No olvide digitar la variable Espacios Amigables. Digite Cero si no tiene.",IF(AQ40&gt;B40," * La variable Espacios Amigables No puede ser mayor al Total Ambos Sexos.",""))</f>
        <v/>
      </c>
      <c r="BR40" s="5822">
        <f>IF(AND(B40&gt;0,AR40="")," * No olvide digitar la variable SENAME/ Servicio Nacional de Reinserción social Juvenil. Digite Cero si no tiene.",IF(AR40&gt;B40," * La variable SENAME/ Servicio Nacional de Reinserción social Juvenil No puede ser mayor al Total Ambos Sexos.",""))</f>
        <v/>
      </c>
      <c r="BS40" s="5822">
        <f>IF(AND(B40&gt;0,AS40="")," * No olvide digitar la variable Servicio Nacional Protección Especializada a la Niñez y Adolescencia. Digite Cero si no tiene.",IF(AS40&gt;B40," * La variable Servicio Nacional Protección Especializada a la Niñez y Adolescencia No puede ser mayor al Total Ambos Sexos.",""))</f>
        <v/>
      </c>
      <c r="BU40" s="5823">
        <f>IF(AND(B40&gt;0,AO40=""),1,IF(AO40&gt;B40,1,0))</f>
        <v/>
      </c>
      <c r="BV40" s="5823">
        <f>IF(AND(B40&gt;0,AP40=""),1,IF(AP40&gt;B40,1,0))</f>
        <v/>
      </c>
      <c r="BW40" s="5823">
        <f>IF(AND(B40&gt;0,AQ40=""),1,IF(AQ40&gt;B40,1,0))</f>
        <v/>
      </c>
      <c r="BX40" s="5823">
        <f>IF(AND(B40&gt;0,AR40=""),1,IF(AR40&gt;B40,1,0))</f>
        <v/>
      </c>
      <c r="BY40" s="5823">
        <f>IF(AND(B40&gt;0,AS40=""),1,IF(AS40&gt;B40,1,0))</f>
        <v/>
      </c>
    </row>
    <row r="41" ht="15" customHeight="1" s="8286">
      <c r="A41" s="5841" t="inlineStr">
        <is>
          <t xml:space="preserve">Nutricionista malnutrición por déficit </t>
        </is>
      </c>
      <c r="B41" s="5824">
        <f>SUM(C41:D41)</f>
        <v/>
      </c>
      <c r="C41" s="1679">
        <f>SUM(E41+G41+I41+K41+M41+O41+Q41+S41+U41+W41+Y41+AA41+AC41+AE41+AG41+AI41+AK41+AM41)</f>
        <v/>
      </c>
      <c r="D41" s="5825">
        <f>SUM(F41+H41+J41+L41+N41+P41+R41+T41+V41+X41+Z41+AB41+AD41+AF41+AH41+AJ41+AL41+AN41)</f>
        <v/>
      </c>
      <c r="E41" s="5826" t="n">
        <v>9</v>
      </c>
      <c r="F41" s="5827" t="n">
        <v>4</v>
      </c>
      <c r="G41" s="5826" t="n">
        <v>4</v>
      </c>
      <c r="H41" s="5828" t="n">
        <v>2</v>
      </c>
      <c r="I41" s="5826" t="n">
        <v>0</v>
      </c>
      <c r="J41" s="5828" t="n">
        <v>0</v>
      </c>
      <c r="K41" s="5826" t="n">
        <v>1</v>
      </c>
      <c r="L41" s="5828" t="n">
        <v>0</v>
      </c>
      <c r="M41" s="5826" t="n">
        <v>1</v>
      </c>
      <c r="N41" s="5828" t="n">
        <v>0</v>
      </c>
      <c r="O41" s="5826" t="n">
        <v>0</v>
      </c>
      <c r="P41" s="5828" t="n">
        <v>0</v>
      </c>
      <c r="Q41" s="5890" t="n">
        <v>0</v>
      </c>
      <c r="R41" s="5828" t="n">
        <v>2</v>
      </c>
      <c r="S41" s="5826" t="n">
        <v>0</v>
      </c>
      <c r="T41" s="5828" t="n">
        <v>0</v>
      </c>
      <c r="U41" s="5826" t="n">
        <v>0</v>
      </c>
      <c r="V41" s="5828" t="n">
        <v>0</v>
      </c>
      <c r="W41" s="5826" t="n">
        <v>0</v>
      </c>
      <c r="X41" s="5828" t="n">
        <v>0</v>
      </c>
      <c r="Y41" s="5826" t="n">
        <v>0</v>
      </c>
      <c r="Z41" s="5828" t="n">
        <v>1</v>
      </c>
      <c r="AA41" s="5826" t="n">
        <v>0</v>
      </c>
      <c r="AB41" s="5828" t="n">
        <v>0</v>
      </c>
      <c r="AC41" s="5890" t="n">
        <v>0</v>
      </c>
      <c r="AD41" s="5828" t="n">
        <v>0</v>
      </c>
      <c r="AE41" s="5826" t="n">
        <v>0</v>
      </c>
      <c r="AF41" s="5828" t="n">
        <v>0</v>
      </c>
      <c r="AG41" s="5890" t="n">
        <v>0</v>
      </c>
      <c r="AH41" s="5828" t="n">
        <v>2</v>
      </c>
      <c r="AI41" s="5826" t="n">
        <v>1</v>
      </c>
      <c r="AJ41" s="5828" t="n">
        <v>1</v>
      </c>
      <c r="AK41" s="5890" t="n">
        <v>1</v>
      </c>
      <c r="AL41" s="5828" t="n">
        <v>0</v>
      </c>
      <c r="AM41" s="5891" t="n">
        <v>0</v>
      </c>
      <c r="AN41" s="5837" t="n">
        <v>2</v>
      </c>
      <c r="AO41" s="5832" t="n">
        <v>0</v>
      </c>
      <c r="AP41" s="5833" t="n">
        <v>0</v>
      </c>
      <c r="AQ41" s="5892" t="n">
        <v>0</v>
      </c>
      <c r="AR41" s="5833" t="n">
        <v>0</v>
      </c>
      <c r="AS41" s="5834" t="n">
        <v>1</v>
      </c>
      <c r="AT41" s="622">
        <f>BO41&amp;BP41&amp;BQ41&amp;BR41&amp;BS41</f>
        <v/>
      </c>
      <c r="BO41" s="5822">
        <f>IF(AND(B41&gt;0,AO41="")," * No olvide digitar la variable Pueblos originarios. Digite Cero si no tiene.",IF(AO41&gt;B41," * La variable Pueblos originarios No puede ser mayor al Total Ambos Sexos.",""))</f>
        <v/>
      </c>
      <c r="BP41" s="5822">
        <f>IF(AND(B41&gt;0,AP41="")," * No olvide digitar la variable Migrantes. Digite Cero si no tiene.",IF(AP41&gt;B41," * La variable Migrantes No puede ser mayor al Total Ambos Sexos.",""))</f>
        <v/>
      </c>
      <c r="BQ41" s="5822">
        <f>IF(AND(B41&gt;0,AQ41="")," * No olvide digitar la variable Espacios Amigables. Digite Cero si no tiene.",IF(AQ41&gt;B41," * La variable Espacios Amigables No puede ser mayor al Total Ambos Sexos.",""))</f>
        <v/>
      </c>
      <c r="BR41" s="5822">
        <f>IF(AND(B41&gt;0,AR41="")," * No olvide digitar la variable SENAME/ Servicio Nacional de Reinserción social Juvenil. Digite Cero si no tiene.",IF(AR41&gt;B41," * La variable SENAME/ Servicio Nacional de Reinserción social Juvenil No puede ser mayor al Total Ambos Sexos.",""))</f>
        <v/>
      </c>
      <c r="BS41" s="5822">
        <f>IF(AND(B41&gt;0,AS41="")," * No olvide digitar la variable Servicio Nacional Protección Especializada a la Niñez y Adolescencia. Digite Cero si no tiene.",IF(AS41&gt;B41," * La variable Servicio Nacional Protección Especializada a la Niñez y Adolescencia No puede ser mayor al Total Ambos Sexos.",""))</f>
        <v/>
      </c>
      <c r="BU41" s="5823">
        <f>IF(AND(B41&gt;0,AO41=""),1,IF(AO41&gt;B41,1,0))</f>
        <v/>
      </c>
      <c r="BV41" s="5823">
        <f>IF(AND(B41&gt;0,AP41=""),1,IF(AP41&gt;B41,1,0))</f>
        <v/>
      </c>
      <c r="BW41" s="5823">
        <f>IF(AND(B41&gt;0,AQ41=""),1,IF(AQ41&gt;B41,1,0))</f>
        <v/>
      </c>
      <c r="BX41" s="5823">
        <f>IF(AND(B41&gt;0,AR41=""),1,IF(AR41&gt;B41,1,0))</f>
        <v/>
      </c>
      <c r="BY41" s="5823">
        <f>IF(AND(B41&gt;0,AS41=""),1,IF(AS41&gt;B41,1,0))</f>
        <v/>
      </c>
    </row>
    <row r="42" ht="15" customHeight="1" s="8286">
      <c r="A42" s="5841" t="inlineStr">
        <is>
          <t xml:space="preserve">Psicólogo/a </t>
        </is>
      </c>
      <c r="B42" s="5824">
        <f>SUM(C42:D42)</f>
        <v/>
      </c>
      <c r="C42" s="1679">
        <f>SUM(E42+G42+I42+K42+M42+O42+Q42+S42+U42+W42+Y42+AA42+AC42+AE42+AG42+AI42+AK42+AM42)</f>
        <v/>
      </c>
      <c r="D42" s="5825">
        <f>SUM(F42+H42+J42+L42+N42+P42+R42+T42+V42+X42+Z42+AB42+AD42+AF42+AH42+AJ42+AL42+AN42)</f>
        <v/>
      </c>
      <c r="E42" s="5826" t="n"/>
      <c r="F42" s="5827" t="n"/>
      <c r="G42" s="5826" t="n"/>
      <c r="H42" s="5828" t="n"/>
      <c r="I42" s="5826" t="n"/>
      <c r="J42" s="5828" t="n"/>
      <c r="K42" s="5826" t="n"/>
      <c r="L42" s="5828" t="n"/>
      <c r="M42" s="5826" t="n"/>
      <c r="N42" s="5828" t="n"/>
      <c r="O42" s="5826" t="n"/>
      <c r="P42" s="5828" t="n"/>
      <c r="Q42" s="5890" t="n"/>
      <c r="R42" s="5828" t="n"/>
      <c r="S42" s="5826" t="n"/>
      <c r="T42" s="5828" t="n"/>
      <c r="U42" s="5826" t="n"/>
      <c r="V42" s="5828" t="n"/>
      <c r="W42" s="5826" t="n"/>
      <c r="X42" s="5828" t="n"/>
      <c r="Y42" s="5826" t="n"/>
      <c r="Z42" s="5828" t="n"/>
      <c r="AA42" s="5826" t="n"/>
      <c r="AB42" s="5828" t="n"/>
      <c r="AC42" s="5890" t="n"/>
      <c r="AD42" s="5828" t="n"/>
      <c r="AE42" s="5826" t="n"/>
      <c r="AF42" s="5828" t="n"/>
      <c r="AG42" s="5890" t="n"/>
      <c r="AH42" s="5828" t="n"/>
      <c r="AI42" s="5826" t="n"/>
      <c r="AJ42" s="5828" t="n"/>
      <c r="AK42" s="5890" t="n"/>
      <c r="AL42" s="5828" t="n"/>
      <c r="AM42" s="5891" t="n"/>
      <c r="AN42" s="5837" t="n"/>
      <c r="AO42" s="5832" t="n"/>
      <c r="AP42" s="5833" t="n"/>
      <c r="AQ42" s="5892" t="n"/>
      <c r="AR42" s="5833" t="n"/>
      <c r="AS42" s="5834" t="n"/>
      <c r="AT42" s="622">
        <f>BO42&amp;BP42&amp;BQ42&amp;BR42&amp;BS42</f>
        <v/>
      </c>
      <c r="BO42" s="5822">
        <f>IF(AND(B42&gt;0,AO42="")," * No olvide digitar la variable Pueblos originarios. Digite Cero si no tiene.",IF(AO42&gt;B42," * La variable Pueblos originarios No puede ser mayor al Total Ambos Sexos.",""))</f>
        <v/>
      </c>
      <c r="BP42" s="5822">
        <f>IF(AND(B42&gt;0,AP42="")," * No olvide digitar la variable Migrantes. Digite Cero si no tiene.",IF(AP42&gt;B42," * La variable Migrantes No puede ser mayor al Total Ambos Sexos.",""))</f>
        <v/>
      </c>
      <c r="BQ42" s="5822">
        <f>IF(AND(B42&gt;0,AQ42="")," * No olvide digitar la variable Espacios Amigables. Digite Cero si no tiene.",IF(AQ42&gt;B42," * La variable Espacios Amigables No puede ser mayor al Total Ambos Sexos.",""))</f>
        <v/>
      </c>
      <c r="BR42" s="5822">
        <f>IF(AND(B42&gt;0,AR42="")," * No olvide digitar la variable SENAME/ Servicio Nacional de Reinserción social Juvenil. Digite Cero si no tiene.",IF(AR42&gt;B42," * La variable SENAME/ Servicio Nacional de Reinserción social Juvenil No puede ser mayor al Total Ambos Sexos.",""))</f>
        <v/>
      </c>
      <c r="BS42" s="5822">
        <f>IF(AND(B42&gt;0,AS42="")," * No olvide digitar la variable Servicio Nacional Protección Especializada a la Niñez y Adolescencia. Digite Cero si no tiene.",IF(AS42&gt;B42," * La variable Servicio Nacional Protección Especializada a la Niñez y Adolescencia No puede ser mayor al Total Ambos Sexos.",""))</f>
        <v/>
      </c>
      <c r="BU42" s="5823">
        <f>IF(AND(B42&gt;0,AO42=""),1,IF(AO42&gt;B42,1,0))</f>
        <v/>
      </c>
      <c r="BV42" s="5823">
        <f>IF(AND(B42&gt;0,AP42=""),1,IF(AP42&gt;B42,1,0))</f>
        <v/>
      </c>
      <c r="BW42" s="5823">
        <f>IF(AND(B42&gt;0,AQ42=""),1,IF(AQ42&gt;B42,1,0))</f>
        <v/>
      </c>
      <c r="BX42" s="5823">
        <f>IF(AND(B42&gt;0,AR42=""),1,IF(AR42&gt;B42,1,0))</f>
        <v/>
      </c>
      <c r="BY42" s="5823">
        <f>IF(AND(B42&gt;0,AS42=""),1,IF(AS42&gt;B42,1,0))</f>
        <v/>
      </c>
    </row>
    <row r="43" ht="15" customHeight="1" s="8286">
      <c r="A43" s="5841" t="inlineStr">
        <is>
          <t>Fonoaudiólogo/a</t>
        </is>
      </c>
      <c r="B43" s="5824">
        <f>SUM(C43:D43)</f>
        <v/>
      </c>
      <c r="C43" s="1679">
        <f>SUM(E43+G43+I43+K43+M43+O43+Q43+S43+U43+W43+Y43+AA43+AC43+AE43+AG43+AI43+AK43+AM43)</f>
        <v/>
      </c>
      <c r="D43" s="5825">
        <f>SUM(F43+H43+J43+L43+N43+P43+R43+T43+V43+X43+Z43+AB43+AD43+AF43+AH43+AJ43+AL43+AN43)</f>
        <v/>
      </c>
      <c r="E43" s="5826" t="n">
        <v>0</v>
      </c>
      <c r="F43" s="5827" t="n">
        <v>1</v>
      </c>
      <c r="G43" s="5826" t="n">
        <v>15</v>
      </c>
      <c r="H43" s="5828" t="n">
        <v>7</v>
      </c>
      <c r="I43" s="5826" t="n">
        <v>0</v>
      </c>
      <c r="J43" s="5828" t="n">
        <v>0</v>
      </c>
      <c r="K43" s="5826" t="n">
        <v>0</v>
      </c>
      <c r="L43" s="5828" t="n">
        <v>0</v>
      </c>
      <c r="M43" s="5826" t="n">
        <v>0</v>
      </c>
      <c r="N43" s="5828" t="n">
        <v>0</v>
      </c>
      <c r="O43" s="5826" t="n">
        <v>0</v>
      </c>
      <c r="P43" s="5828" t="n">
        <v>0</v>
      </c>
      <c r="Q43" s="5890" t="n">
        <v>0</v>
      </c>
      <c r="R43" s="5828" t="n">
        <v>0</v>
      </c>
      <c r="S43" s="5826" t="n">
        <v>0</v>
      </c>
      <c r="T43" s="5828" t="n">
        <v>0</v>
      </c>
      <c r="U43" s="5826" t="n">
        <v>0</v>
      </c>
      <c r="V43" s="5828" t="n">
        <v>0</v>
      </c>
      <c r="W43" s="5826" t="n">
        <v>0</v>
      </c>
      <c r="X43" s="5828" t="n">
        <v>0</v>
      </c>
      <c r="Y43" s="5826" t="n">
        <v>0</v>
      </c>
      <c r="Z43" s="5828" t="n">
        <v>0</v>
      </c>
      <c r="AA43" s="5826" t="n">
        <v>0</v>
      </c>
      <c r="AB43" s="5828" t="n">
        <v>0</v>
      </c>
      <c r="AC43" s="5890" t="n">
        <v>0</v>
      </c>
      <c r="AD43" s="5828" t="n">
        <v>0</v>
      </c>
      <c r="AE43" s="5826" t="n">
        <v>0</v>
      </c>
      <c r="AF43" s="5828" t="n">
        <v>0</v>
      </c>
      <c r="AG43" s="5890" t="n">
        <v>0</v>
      </c>
      <c r="AH43" s="5828" t="n">
        <v>0</v>
      </c>
      <c r="AI43" s="5826" t="n">
        <v>0</v>
      </c>
      <c r="AJ43" s="5828" t="n">
        <v>0</v>
      </c>
      <c r="AK43" s="5890" t="n">
        <v>0</v>
      </c>
      <c r="AL43" s="5828" t="n">
        <v>0</v>
      </c>
      <c r="AM43" s="5891" t="n">
        <v>0</v>
      </c>
      <c r="AN43" s="5837" t="n">
        <v>0</v>
      </c>
      <c r="AO43" s="5850" t="n">
        <v>0</v>
      </c>
      <c r="AP43" s="5851" t="n">
        <v>0</v>
      </c>
      <c r="AQ43" s="5898" t="n">
        <v>0</v>
      </c>
      <c r="AR43" s="5851" t="n">
        <v>0</v>
      </c>
      <c r="AS43" s="5899" t="n">
        <v>0</v>
      </c>
      <c r="AT43" s="622">
        <f>BO43&amp;BP43&amp;BQ43&amp;BR43&amp;BS43</f>
        <v/>
      </c>
      <c r="BO43" s="5822">
        <f>IF(AND(B43&gt;0,AO43="")," * No olvide digitar la variable Pueblos originarios. Digite Cero si no tiene.",IF(AO43&gt;B43," * La variable Pueblos originarios No puede ser mayor al Total Ambos Sexos.",""))</f>
        <v/>
      </c>
      <c r="BP43" s="5822">
        <f>IF(AND(B43&gt;0,AP43="")," * No olvide digitar la variable Migrantes. Digite Cero si no tiene.",IF(AP43&gt;B43," * La variable Migrantes No puede ser mayor al Total Ambos Sexos.",""))</f>
        <v/>
      </c>
      <c r="BQ43" s="5822">
        <f>IF(AND(B43&gt;0,AQ43="")," * No olvide digitar la variable Espacios Amigables. Digite Cero si no tiene.",IF(AQ43&gt;B43," * La variable Espacios Amigables No puede ser mayor al Total Ambos Sexos.",""))</f>
        <v/>
      </c>
      <c r="BR43" s="5822">
        <f>IF(AND(B43&gt;0,AR43="")," * No olvide digitar la variable SENAME/ Servicio Nacional de Reinserción social Juvenil. Digite Cero si no tiene.",IF(AR43&gt;B43," * La variable SENAME/ Servicio Nacional de Reinserción social Juvenil No puede ser mayor al Total Ambos Sexos.",""))</f>
        <v/>
      </c>
      <c r="BS43" s="5822">
        <f>IF(AND(B43&gt;0,AS43="")," * No olvide digitar la variable Servicio Nacional Protección Especializada a la Niñez y Adolescencia. Digite Cero si no tiene.",IF(AS43&gt;B43," * La variable Servicio Nacional Protección Especializada a la Niñez y Adolescencia No puede ser mayor al Total Ambos Sexos.",""))</f>
        <v/>
      </c>
      <c r="BU43" s="5823">
        <f>IF(AND(B43&gt;0,AO43=""),1,IF(AO43&gt;B43,1,0))</f>
        <v/>
      </c>
      <c r="BV43" s="5823">
        <f>IF(AND(B43&gt;0,AP43=""),1,IF(AP43&gt;B43,1,0))</f>
        <v/>
      </c>
      <c r="BW43" s="5823">
        <f>IF(AND(B43&gt;0,AQ43=""),1,IF(AQ43&gt;B43,1,0))</f>
        <v/>
      </c>
      <c r="BX43" s="5823">
        <f>IF(AND(B43&gt;0,AR43=""),1,IF(AR43&gt;B43,1,0))</f>
        <v/>
      </c>
      <c r="BY43" s="5823">
        <f>IF(AND(B43&gt;0,AS43=""),1,IF(AS43&gt;B43,1,0))</f>
        <v/>
      </c>
    </row>
    <row r="44" ht="15" customHeight="1" s="8286">
      <c r="A44" s="5841" t="inlineStr">
        <is>
          <t xml:space="preserve">Terapeuta Ocupacional </t>
        </is>
      </c>
      <c r="B44" s="5824">
        <f>SUM(C44:D44)</f>
        <v/>
      </c>
      <c r="C44" s="1679">
        <f>SUM(E44+G44+I44+K44+M44+O44+Q44+S44+U44+W44+Y44+AA44+AC44+AE44+AG44+AI44+AK44+AM44)</f>
        <v/>
      </c>
      <c r="D44" s="5825">
        <f>SUM(F44+H44+J44+L44+N44+P44+R44+T44+V44+X44+Z44+AB44+AD44+AF44+AH44+AJ44+AL44+AN44)</f>
        <v/>
      </c>
      <c r="E44" s="5826" t="n"/>
      <c r="F44" s="5827" t="n"/>
      <c r="G44" s="5826" t="n"/>
      <c r="H44" s="5828" t="n"/>
      <c r="I44" s="5826" t="n"/>
      <c r="J44" s="5828" t="n"/>
      <c r="K44" s="5826" t="n"/>
      <c r="L44" s="5828" t="n"/>
      <c r="M44" s="5826" t="n"/>
      <c r="N44" s="5828" t="n"/>
      <c r="O44" s="5826" t="n"/>
      <c r="P44" s="5828" t="n"/>
      <c r="Q44" s="5890" t="n"/>
      <c r="R44" s="5828" t="n"/>
      <c r="S44" s="5826" t="n"/>
      <c r="T44" s="5828" t="n"/>
      <c r="U44" s="5826" t="n"/>
      <c r="V44" s="5828" t="n"/>
      <c r="W44" s="5826" t="n"/>
      <c r="X44" s="5828" t="n"/>
      <c r="Y44" s="5826" t="n"/>
      <c r="Z44" s="5828" t="n"/>
      <c r="AA44" s="5826" t="n"/>
      <c r="AB44" s="5828" t="n"/>
      <c r="AC44" s="5890" t="n"/>
      <c r="AD44" s="5828" t="n"/>
      <c r="AE44" s="5826" t="n"/>
      <c r="AF44" s="5828" t="n"/>
      <c r="AG44" s="5890" t="n"/>
      <c r="AH44" s="5828" t="n"/>
      <c r="AI44" s="5826" t="n"/>
      <c r="AJ44" s="5828" t="n"/>
      <c r="AK44" s="5890" t="n"/>
      <c r="AL44" s="5828" t="n"/>
      <c r="AM44" s="5891" t="n"/>
      <c r="AN44" s="5837" t="n"/>
      <c r="AO44" s="5850" t="n"/>
      <c r="AP44" s="5851" t="n"/>
      <c r="AQ44" s="5898" t="n"/>
      <c r="AR44" s="5851" t="n"/>
      <c r="AS44" s="5899" t="n"/>
      <c r="AT44" s="622">
        <f>BO44&amp;BP44&amp;BQ44&amp;BR44&amp;BS44</f>
        <v/>
      </c>
      <c r="BO44" s="5822">
        <f>IF(AND(B44&gt;0,AO44="")," * No olvide digitar la variable Pueblos originarios. Digite Cero si no tiene.",IF(AO44&gt;B44," * La variable Pueblos originarios No puede ser mayor al Total Ambos Sexos.",""))</f>
        <v/>
      </c>
      <c r="BP44" s="5822">
        <f>IF(AND(B44&gt;0,AP44="")," * No olvide digitar la variable Migrantes. Digite Cero si no tiene.",IF(AP44&gt;B44," * La variable Migrantes No puede ser mayor al Total Ambos Sexos.",""))</f>
        <v/>
      </c>
      <c r="BQ44" s="5822">
        <f>IF(AND(B44&gt;0,AQ44="")," * No olvide digitar la variable Espacios Amigables. Digite Cero si no tiene.",IF(AQ44&gt;B44," * La variable Espacios Amigables No puede ser mayor al Total Ambos Sexos.",""))</f>
        <v/>
      </c>
      <c r="BR44" s="5822">
        <f>IF(AND(B44&gt;0,AR44="")," * No olvide digitar la variable SENAME/ Servicio Nacional de Reinserción social Juvenil. Digite Cero si no tiene.",IF(AR44&gt;B44," * La variable SENAME/ Servicio Nacional de Reinserción social Juvenil No puede ser mayor al Total Ambos Sexos.",""))</f>
        <v/>
      </c>
      <c r="BS44" s="5822">
        <f>IF(AND(B44&gt;0,AS44="")," * No olvide digitar la variable Servicio Nacional Protección Especializada a la Niñez y Adolescencia. Digite Cero si no tiene.",IF(AS44&gt;B44," * La variable Servicio Nacional Protección Especializada a la Niñez y Adolescencia No puede ser mayor al Total Ambos Sexos.",""))</f>
        <v/>
      </c>
      <c r="BU44" s="5823">
        <f>IF(AND(B44&gt;0,AO44=""),1,IF(AO44&gt;B44,1,0))</f>
        <v/>
      </c>
      <c r="BV44" s="5823">
        <f>IF(AND(B44&gt;0,AP44=""),1,IF(AP44&gt;B44,1,0))</f>
        <v/>
      </c>
      <c r="BW44" s="5823">
        <f>IF(AND(B44&gt;0,AQ44=""),1,IF(AQ44&gt;B44,1,0))</f>
        <v/>
      </c>
      <c r="BX44" s="5823">
        <f>IF(AND(B44&gt;0,AR44=""),1,IF(AR44&gt;B44,1,0))</f>
        <v/>
      </c>
      <c r="BY44" s="5823">
        <f>IF(AND(B44&gt;0,AS44=""),1,IF(AS44&gt;B44,1,0))</f>
        <v/>
      </c>
    </row>
    <row r="45" ht="15" customHeight="1" s="8286">
      <c r="A45" s="5841" t="inlineStr">
        <is>
          <t>Tecnólogo/a Médico/a  (Excluye UAPO)</t>
        </is>
      </c>
      <c r="B45" s="5824">
        <f>SUM(C45:D45)</f>
        <v/>
      </c>
      <c r="C45" s="1679">
        <f>SUM(E45+G45+I45+K45+M45+O45+Q45+S45+U45+W45+Y45+AA45+AC45+AE45+AG45+AI45+AK45+AM45)</f>
        <v/>
      </c>
      <c r="D45" s="5825">
        <f>SUM(F45+H45+J45+L45+N45+P45+R45+T45+V45+X45+Z45+AB45+AD45+AF45+AH45+AJ45+AL45+AN45)</f>
        <v/>
      </c>
      <c r="E45" s="5826" t="n"/>
      <c r="F45" s="5827" t="n"/>
      <c r="G45" s="5826" t="n"/>
      <c r="H45" s="5828" t="n"/>
      <c r="I45" s="5826" t="n"/>
      <c r="J45" s="5828" t="n"/>
      <c r="K45" s="5826" t="n"/>
      <c r="L45" s="5828" t="n"/>
      <c r="M45" s="5826" t="n"/>
      <c r="N45" s="5828" t="n"/>
      <c r="O45" s="5826" t="n"/>
      <c r="P45" s="5828" t="n"/>
      <c r="Q45" s="5890" t="n"/>
      <c r="R45" s="5828" t="n"/>
      <c r="S45" s="5826" t="n"/>
      <c r="T45" s="5828" t="n"/>
      <c r="U45" s="5826" t="n"/>
      <c r="V45" s="5828" t="n"/>
      <c r="W45" s="5826" t="n"/>
      <c r="X45" s="5828" t="n"/>
      <c r="Y45" s="5826" t="n"/>
      <c r="Z45" s="5828" t="n"/>
      <c r="AA45" s="5826" t="n"/>
      <c r="AB45" s="5828" t="n"/>
      <c r="AC45" s="5890" t="n"/>
      <c r="AD45" s="5828" t="n"/>
      <c r="AE45" s="5826" t="n"/>
      <c r="AF45" s="5828" t="n"/>
      <c r="AG45" s="5890" t="n"/>
      <c r="AH45" s="5828" t="n"/>
      <c r="AI45" s="5826" t="n"/>
      <c r="AJ45" s="5828" t="n"/>
      <c r="AK45" s="5890" t="n"/>
      <c r="AL45" s="5828" t="n"/>
      <c r="AM45" s="5891" t="n"/>
      <c r="AN45" s="5837" t="n"/>
      <c r="AO45" s="5850" t="n"/>
      <c r="AP45" s="5851" t="n"/>
      <c r="AQ45" s="5898" t="n"/>
      <c r="AR45" s="5851" t="n"/>
      <c r="AS45" s="5899" t="n"/>
      <c r="AT45" s="622">
        <f>BO45&amp;BP45&amp;BQ45&amp;BR45&amp;BS45</f>
        <v/>
      </c>
      <c r="BO45" s="5822">
        <f>IF(AND(B45&gt;0,AO45="")," * No olvide digitar la variable Pueblos originarios. Digite Cero si no tiene.",IF(AO45&gt;B45," * La variable Pueblos originarios No puede ser mayor al Total Ambos Sexos.",""))</f>
        <v/>
      </c>
      <c r="BP45" s="5822">
        <f>IF(AND(B45&gt;0,AP45="")," * No olvide digitar la variable Migrantes. Digite Cero si no tiene.",IF(AP45&gt;B45," * La variable Migrantes No puede ser mayor al Total Ambos Sexos.",""))</f>
        <v/>
      </c>
      <c r="BQ45" s="5822">
        <f>IF(AND(B45&gt;0,AQ45="")," * No olvide digitar la variable Espacios Amigables. Digite Cero si no tiene.",IF(AQ45&gt;B45," * La variable Espacios Amigables No puede ser mayor al Total Ambos Sexos.",""))</f>
        <v/>
      </c>
      <c r="BR45" s="5822">
        <f>IF(AND(B45&gt;0,AR45="")," * No olvide digitar la variable SENAME/ Servicio Nacional de Reinserción social Juvenil. Digite Cero si no tiene.",IF(AR45&gt;B45," * La variable SENAME/ Servicio Nacional de Reinserción social Juvenil No puede ser mayor al Total Ambos Sexos.",""))</f>
        <v/>
      </c>
      <c r="BS45" s="5822">
        <f>IF(AND(B45&gt;0,AS45="")," * No olvide digitar la variable Servicio Nacional Protección Especializada a la Niñez y Adolescencia. Digite Cero si no tiene.",IF(AS45&gt;B45," * La variable Servicio Nacional Protección Especializada a la Niñez y Adolescencia No puede ser mayor al Total Ambos Sexos.",""))</f>
        <v/>
      </c>
      <c r="BU45" s="5823">
        <f>IF(AND(B45&gt;0,AO45=""),1,IF(AO45&gt;B45,1,0))</f>
        <v/>
      </c>
      <c r="BV45" s="5823">
        <f>IF(AND(B45&gt;0,AP45=""),1,IF(AP45&gt;B45,1,0))</f>
        <v/>
      </c>
      <c r="BW45" s="5823">
        <f>IF(AND(B45&gt;0,AQ45=""),1,IF(AQ45&gt;B45,1,0))</f>
        <v/>
      </c>
      <c r="BX45" s="5823">
        <f>IF(AND(B45&gt;0,AR45=""),1,IF(AR45&gt;B45,1,0))</f>
        <v/>
      </c>
      <c r="BY45" s="5823">
        <f>IF(AND(B45&gt;0,AS45=""),1,IF(AS45&gt;B45,1,0))</f>
        <v/>
      </c>
    </row>
    <row r="46" ht="15" customHeight="1" s="8286">
      <c r="A46" s="5844" t="inlineStr">
        <is>
          <t xml:space="preserve">Trabajador/a Social (Excluye Salud Mental) </t>
        </is>
      </c>
      <c r="B46" s="5824">
        <f>SUM(C46:D46)</f>
        <v/>
      </c>
      <c r="C46" s="1679">
        <f>SUM(E46+G46+I46+K46+M46+O46+Q46+S46+U46+W46+Y46+AA46+AC46+AE46+AG46+AI46+AK46+AM46)</f>
        <v/>
      </c>
      <c r="D46" s="5825">
        <f>SUM(F46+H46+J46+L46+N46+P46+R46+T46+V46+X46+Z46+AB46+AD46+AF46+AH46+AJ46+AL46+AN46)</f>
        <v/>
      </c>
      <c r="E46" s="5858" t="n">
        <v>0</v>
      </c>
      <c r="F46" s="5859" t="n">
        <v>0</v>
      </c>
      <c r="G46" s="5858" t="n">
        <v>2</v>
      </c>
      <c r="H46" s="5847" t="n">
        <v>1</v>
      </c>
      <c r="I46" s="5858" t="n">
        <v>8</v>
      </c>
      <c r="J46" s="5847" t="n">
        <v>5</v>
      </c>
      <c r="K46" s="5858" t="n">
        <v>5</v>
      </c>
      <c r="L46" s="5847" t="n">
        <v>7</v>
      </c>
      <c r="M46" s="5858" t="n">
        <v>6</v>
      </c>
      <c r="N46" s="5847" t="n">
        <v>6</v>
      </c>
      <c r="O46" s="5858" t="n">
        <v>1</v>
      </c>
      <c r="P46" s="5847" t="n">
        <v>11</v>
      </c>
      <c r="Q46" s="5900" t="n">
        <v>2</v>
      </c>
      <c r="R46" s="5847" t="n">
        <v>13</v>
      </c>
      <c r="S46" s="5858" t="n">
        <v>1</v>
      </c>
      <c r="T46" s="5847" t="n">
        <v>8</v>
      </c>
      <c r="U46" s="5858" t="n">
        <v>1</v>
      </c>
      <c r="V46" s="5847" t="n">
        <v>15</v>
      </c>
      <c r="W46" s="5858" t="n">
        <v>2</v>
      </c>
      <c r="X46" s="5847" t="n">
        <v>8</v>
      </c>
      <c r="Y46" s="5858" t="n">
        <v>6</v>
      </c>
      <c r="Z46" s="5847" t="n">
        <v>8</v>
      </c>
      <c r="AA46" s="5858" t="n">
        <v>7</v>
      </c>
      <c r="AB46" s="5847" t="n">
        <v>13</v>
      </c>
      <c r="AC46" s="5900" t="n">
        <v>3</v>
      </c>
      <c r="AD46" s="5847" t="n">
        <v>10</v>
      </c>
      <c r="AE46" s="5826" t="n">
        <v>8</v>
      </c>
      <c r="AF46" s="5828" t="n">
        <v>31</v>
      </c>
      <c r="AG46" s="5890" t="n">
        <v>5</v>
      </c>
      <c r="AH46" s="5828" t="n">
        <v>18</v>
      </c>
      <c r="AI46" s="5826" t="n">
        <v>6</v>
      </c>
      <c r="AJ46" s="5828" t="n">
        <v>8</v>
      </c>
      <c r="AK46" s="5890" t="n">
        <v>4</v>
      </c>
      <c r="AL46" s="5828" t="n">
        <v>8</v>
      </c>
      <c r="AM46" s="5890" t="n">
        <v>5</v>
      </c>
      <c r="AN46" s="5855" t="n">
        <v>12</v>
      </c>
      <c r="AO46" s="5850" t="n">
        <v>5</v>
      </c>
      <c r="AP46" s="5851" t="n">
        <v>4</v>
      </c>
      <c r="AQ46" s="5898" t="n">
        <v>0</v>
      </c>
      <c r="AR46" s="5851" t="n">
        <v>2</v>
      </c>
      <c r="AS46" s="5899" t="n">
        <v>3</v>
      </c>
      <c r="AT46" s="622">
        <f>BO46&amp;BP46&amp;BQ46&amp;BR46&amp;BS46</f>
        <v/>
      </c>
      <c r="BO46" s="5822">
        <f>IF(AND(B46&gt;0,AO46="")," * No olvide digitar la variable Pueblos originarios. Digite Cero si no tiene.",IF(AO46&gt;B46," * La variable Pueblos originarios No puede ser mayor al Total Ambos Sexos.",""))</f>
        <v/>
      </c>
      <c r="BP46" s="5822">
        <f>IF(AND(B46&gt;0,AP46="")," * No olvide digitar la variable Migrantes. Digite Cero si no tiene.",IF(AP46&gt;B46," * La variable Migrantes No puede ser mayor al Total Ambos Sexos.",""))</f>
        <v/>
      </c>
      <c r="BQ46" s="5822">
        <f>IF(AND(B46&gt;0,AQ46="")," * No olvide digitar la variable Espacios Amigables. Digite Cero si no tiene.",IF(AQ46&gt;B46," * La variable Espacios Amigables No puede ser mayor al Total Ambos Sexos.",""))</f>
        <v/>
      </c>
      <c r="BR46" s="5822">
        <f>IF(AND(B46&gt;0,AR46="")," * No olvide digitar la variable SENAME/ Servicio Nacional de Reinserción social Juvenil. Digite Cero si no tiene.",IF(AR46&gt;B46," * La variable SENAME/ Servicio Nacional de Reinserción social Juvenil No puede ser mayor al Total Ambos Sexos.",""))</f>
        <v/>
      </c>
      <c r="BS46" s="5822">
        <f>IF(AND(B46&gt;0,AS46="")," * No olvide digitar la variable Servicio Nacional Protección Especializada a la Niñez y Adolescencia. Digite Cero si no tiene.",IF(AS46&gt;B46," * La variable Servicio Nacional Protección Especializada a la Niñez y Adolescencia No puede ser mayor al Total Ambos Sexos.",""))</f>
        <v/>
      </c>
      <c r="BU46" s="5823">
        <f>IF(AND(B46&gt;0,AO46=""),1,IF(AO46&gt;B46,1,0))</f>
        <v/>
      </c>
      <c r="BV46" s="5823">
        <f>IF(AND(B46&gt;0,AP46=""),1,IF(AP46&gt;B46,1,0))</f>
        <v/>
      </c>
      <c r="BW46" s="5823">
        <f>IF(AND(B46&gt;0,AQ46=""),1,IF(AQ46&gt;B46,1,0))</f>
        <v/>
      </c>
      <c r="BX46" s="5823">
        <f>IF(AND(B46&gt;0,AR46=""),1,IF(AR46&gt;B46,1,0))</f>
        <v/>
      </c>
      <c r="BY46" s="5823">
        <f>IF(AND(B46&gt;0,AS46=""),1,IF(AS46&gt;B46,1,0))</f>
        <v/>
      </c>
    </row>
    <row r="47" ht="15" customHeight="1" s="8286">
      <c r="A47" s="5841" t="inlineStr">
        <is>
          <t>Educadora de Párvulos</t>
        </is>
      </c>
      <c r="B47" s="5824">
        <f>SUM(C47:D47)</f>
        <v/>
      </c>
      <c r="C47" s="1679">
        <f>SUM(E47+G47+I47)</f>
        <v/>
      </c>
      <c r="D47" s="5825">
        <f>SUM(F47+H47+J47)</f>
        <v/>
      </c>
      <c r="E47" s="5826" t="n"/>
      <c r="F47" s="5827" t="n"/>
      <c r="G47" s="5826" t="n"/>
      <c r="H47" s="5828" t="n"/>
      <c r="I47" s="5826" t="n"/>
      <c r="J47" s="5828" t="n"/>
      <c r="K47" s="5883" t="n"/>
      <c r="L47" s="5896" t="n"/>
      <c r="M47" s="5883" t="n"/>
      <c r="N47" s="5896" t="n"/>
      <c r="O47" s="5883" t="n"/>
      <c r="P47" s="5896" t="n"/>
      <c r="Q47" s="5883" t="n"/>
      <c r="R47" s="5895" t="n"/>
      <c r="S47" s="5883" t="n"/>
      <c r="T47" s="5895" t="n"/>
      <c r="U47" s="5883" t="n"/>
      <c r="V47" s="5895" t="n"/>
      <c r="W47" s="5883" t="n"/>
      <c r="X47" s="5895" t="n"/>
      <c r="Y47" s="5883" t="n"/>
      <c r="Z47" s="5895" t="n"/>
      <c r="AA47" s="5883" t="n"/>
      <c r="AB47" s="5895" t="n"/>
      <c r="AC47" s="5883" t="n"/>
      <c r="AD47" s="5895" t="n"/>
      <c r="AE47" s="5901" t="n"/>
      <c r="AF47" s="5902" t="n"/>
      <c r="AG47" s="5901" t="n"/>
      <c r="AH47" s="5902" t="n"/>
      <c r="AI47" s="5901" t="n"/>
      <c r="AJ47" s="5902" t="n"/>
      <c r="AK47" s="5901" t="n"/>
      <c r="AL47" s="5902" t="n"/>
      <c r="AM47" s="5901" t="n"/>
      <c r="AN47" s="5903" t="n"/>
      <c r="AO47" s="5832" t="n"/>
      <c r="AP47" s="5833" t="n"/>
      <c r="AQ47" s="5892" t="n"/>
      <c r="AR47" s="5833" t="n"/>
      <c r="AS47" s="5834" t="n"/>
      <c r="AT47" s="622">
        <f>BO47&amp;BP47&amp;BQ47&amp;BR47&amp;BS47</f>
        <v/>
      </c>
      <c r="BO47" s="5822">
        <f>IF(AND(B47&gt;0,AO47="")," * No olvide digitar la variable Pueblos originarios. Digite Cero si no tiene.",IF(AO47&gt;B47," * La variable Pueblos originarios No puede ser mayor al Total Ambos Sexos.",""))</f>
        <v/>
      </c>
      <c r="BP47" s="5822">
        <f>IF(AND(B47&gt;0,AP47="")," * No olvide digitar la variable Migrantes. Digite Cero si no tiene.",IF(AP47&gt;B47," * La variable Migrantes No puede ser mayor al Total Ambos Sexos.",""))</f>
        <v/>
      </c>
      <c r="BQ47" s="5822">
        <f>IF(AND(B47&gt;0,AQ47="")," * No olvide digitar la variable Espacios Amigables. Digite Cero si no tiene.",IF(AQ47&gt;B47," * La variable Espacios Amigables No puede ser mayor al Total Ambos Sexos.",""))</f>
        <v/>
      </c>
      <c r="BR47" s="5822">
        <f>IF(AND(B47&gt;0,AR47="")," * No olvide digitar la variable SENAME/ Servicio Nacional de Reinserción social Juvenil. Digite Cero si no tiene.",IF(AR47&gt;B47," * La variable SENAME/ Servicio Nacional de Reinserción social Juvenil No puede ser mayor al Total Ambos Sexos.",""))</f>
        <v/>
      </c>
      <c r="BS47" s="5822">
        <f>IF(AND(B47&gt;0,AS47="")," * No olvide digitar la variable Servicio Nacional Protección Especializada a la Niñez y Adolescencia. Digite Cero si no tiene.",IF(AS47&gt;B47," * La variable Servicio Nacional Protección Especializada a la Niñez y Adolescencia No puede ser mayor al Total Ambos Sexos.",""))</f>
        <v/>
      </c>
      <c r="BU47" s="5823">
        <f>IF(AND(B47&gt;0,AO47=""),1,IF(AO47&gt;B47,1,0))</f>
        <v/>
      </c>
      <c r="BV47" s="5823">
        <f>IF(AND(B47&gt;0,AP47=""),1,IF(AP47&gt;B47,1,0))</f>
        <v/>
      </c>
      <c r="BW47" s="5823">
        <f>IF(AND(B47&gt;0,AQ47=""),1,IF(AQ47&gt;B47,1,0))</f>
        <v/>
      </c>
      <c r="BX47" s="5823">
        <f>IF(AND(B47&gt;0,AR47=""),1,IF(AR47&gt;B47,1,0))</f>
        <v/>
      </c>
      <c r="BY47" s="5823">
        <f>IF(AND(B47&gt;0,AS47=""),1,IF(AS47&gt;B47,1,0))</f>
        <v/>
      </c>
    </row>
    <row r="48" ht="15" customHeight="1" s="8286">
      <c r="A48" s="5904" t="inlineStr">
        <is>
          <t>Kinesiólogo</t>
        </is>
      </c>
      <c r="B48" s="5905">
        <f>SUM(C48:D48)</f>
        <v/>
      </c>
      <c r="C48" s="1515">
        <f>SUM(E48+G48+I48+K48+M48+O48+Q48+S48+U48+W48+Y48+AA48+AC48+AE48+AG48+AI48+AK48+AM48)</f>
        <v/>
      </c>
      <c r="D48" s="5863">
        <f>SUM(F48+H48+J48+L48+N48+P48+R48+T48+V48+X48+Z48+AB48+AD48+AF48+AH48+AJ48+AL48+AN48)</f>
        <v/>
      </c>
      <c r="E48" s="5868" t="n"/>
      <c r="F48" s="5906" t="n"/>
      <c r="G48" s="5868" t="n"/>
      <c r="H48" s="5906" t="n"/>
      <c r="I48" s="5868" t="n"/>
      <c r="J48" s="5906" t="n"/>
      <c r="K48" s="5868" t="n"/>
      <c r="L48" s="5906" t="n"/>
      <c r="M48" s="5868" t="n"/>
      <c r="N48" s="5906" t="n"/>
      <c r="O48" s="5868" t="n"/>
      <c r="P48" s="5906" t="n"/>
      <c r="Q48" s="5868" t="n"/>
      <c r="R48" s="5906" t="n"/>
      <c r="S48" s="5868" t="n"/>
      <c r="T48" s="5906" t="n"/>
      <c r="U48" s="5868" t="n"/>
      <c r="V48" s="5906" t="n"/>
      <c r="W48" s="5868" t="n"/>
      <c r="X48" s="5906" t="n"/>
      <c r="Y48" s="5868" t="n"/>
      <c r="Z48" s="5906" t="n"/>
      <c r="AA48" s="5868" t="n"/>
      <c r="AB48" s="5906" t="n"/>
      <c r="AC48" s="5868" t="n"/>
      <c r="AD48" s="5906" t="n"/>
      <c r="AE48" s="5868" t="n"/>
      <c r="AF48" s="5906" t="n"/>
      <c r="AG48" s="5868" t="n"/>
      <c r="AH48" s="5906" t="n"/>
      <c r="AI48" s="5868" t="n"/>
      <c r="AJ48" s="5906" t="n"/>
      <c r="AK48" s="5868" t="n"/>
      <c r="AL48" s="5906" t="n"/>
      <c r="AM48" s="5868" t="n"/>
      <c r="AN48" s="5907" t="n"/>
      <c r="AO48" s="5908" t="n"/>
      <c r="AP48" s="5909" t="n"/>
      <c r="AQ48" s="5910" t="n"/>
      <c r="AR48" s="5909" t="n"/>
      <c r="AS48" s="5911" t="n"/>
      <c r="AT48" s="622">
        <f>BO48&amp;BP48&amp;BQ48&amp;BR48&amp;BS48</f>
        <v/>
      </c>
      <c r="BO48" s="5822">
        <f>IF(AND(B48&gt;0,AO48="")," * No olvide digitar la variable Pueblos originarios. Digite Cero si no tiene.",IF(AO48&gt;B48," * La variable Pueblos originarios No puede ser mayor al Total Ambos Sexos.",""))</f>
        <v/>
      </c>
      <c r="BP48" s="5822">
        <f>IF(AND(B48&gt;0,AP48="")," * No olvide digitar la variable Migrantes. Digite Cero si no tiene.",IF(AP48&gt;B48," * La variable Migrantes No puede ser mayor al Total Ambos Sexos.",""))</f>
        <v/>
      </c>
      <c r="BQ48" s="5822">
        <f>IF(AND(B48&gt;0,AQ48="")," * No olvide digitar la variable Espacios Amigables. Digite Cero si no tiene.",IF(AQ48&gt;B48," * La variable Espacios Amigables No puede ser mayor al Total Ambos Sexos.",""))</f>
        <v/>
      </c>
      <c r="BR48" s="5822">
        <f>IF(AND(B48&gt;0,AR48="")," * No olvide digitar la variable SENAME/ Servicio Nacional de Reinserción social Juvenil. Digite Cero si no tiene.",IF(AR48&gt;B48," * La variable SENAME/ Servicio Nacional de Reinserción social Juvenil No puede ser mayor al Total Ambos Sexos.",""))</f>
        <v/>
      </c>
      <c r="BS48" s="5822">
        <f>IF(AND(B48&gt;0,AS48="")," * No olvide digitar la variable Servicio Nacional Protección Especializada a la Niñez y Adolescencia. Digite Cero si no tiene.",IF(AS48&gt;B48," * La variable Servicio Nacional Protección Especializada a la Niñez y Adolescencia No puede ser mayor al Total Ambos Sexos.",""))</f>
        <v/>
      </c>
      <c r="BU48" s="5823">
        <f>IF(AND(B48&gt;0,AO48=""),1,IF(AO48&gt;B48,1,0))</f>
        <v/>
      </c>
      <c r="BV48" s="5823">
        <f>IF(AND(B48&gt;0,AP48=""),1,IF(AP48&gt;B48,1,0))</f>
        <v/>
      </c>
      <c r="BW48" s="5823">
        <f>IF(AND(B48&gt;0,AQ48=""),1,IF(AQ48&gt;B48,1,0))</f>
        <v/>
      </c>
      <c r="BX48" s="5823">
        <f>IF(AND(B48&gt;0,AR48=""),1,IF(AR48&gt;B48,1,0))</f>
        <v/>
      </c>
      <c r="BY48" s="5823">
        <f>IF(AND(B48&gt;0,AS48=""),1,IF(AS48&gt;B48,1,0))</f>
        <v/>
      </c>
    </row>
    <row r="49" ht="18" customHeight="1" s="8286">
      <c r="A49" s="1001" t="inlineStr">
        <is>
          <t>SECCIÓN C: CONSULTAS ANTICONCEPCIÓN DE EMERGENCIA (Incluidas en Sección A o B, respectivamente.)</t>
        </is>
      </c>
      <c r="B49" s="1005" t="n"/>
      <c r="C49" s="1005" t="n"/>
      <c r="D49" s="1005" t="n"/>
      <c r="E49" s="1005" t="n"/>
      <c r="F49" s="1005" t="n"/>
      <c r="G49" s="1005" t="n"/>
      <c r="H49" s="1005" t="n"/>
      <c r="I49" s="1005" t="n"/>
      <c r="J49" s="1005" t="n"/>
      <c r="K49" s="1005" t="n"/>
      <c r="L49" s="1005" t="n"/>
      <c r="M49" s="1005" t="n"/>
    </row>
    <row r="50" ht="18" customHeight="1" s="8286">
      <c r="A50" s="9810" t="inlineStr">
        <is>
          <t>PROFESIONAL</t>
        </is>
      </c>
      <c r="B50" s="9857" t="inlineStr">
        <is>
          <t>Ambos sexos</t>
        </is>
      </c>
      <c r="C50" s="9858" t="inlineStr">
        <is>
          <t xml:space="preserve">Hombres </t>
        </is>
      </c>
      <c r="D50" s="9859" t="inlineStr">
        <is>
          <t>Mujeres</t>
        </is>
      </c>
      <c r="E50" s="9860" t="inlineStr">
        <is>
          <t>Con entrega anticoncepción emergencia</t>
        </is>
      </c>
      <c r="F50" s="9584" t="n"/>
      <c r="G50" s="9584" t="n"/>
      <c r="H50" s="9584" t="n"/>
      <c r="I50" s="9584" t="n"/>
      <c r="J50" s="9584" t="n"/>
      <c r="K50" s="9584" t="n"/>
      <c r="L50" s="9647" t="n"/>
      <c r="M50" s="9861" t="inlineStr">
        <is>
          <t>Ambos sexos</t>
        </is>
      </c>
      <c r="N50" s="9857" t="inlineStr">
        <is>
          <t xml:space="preserve">Hombres </t>
        </is>
      </c>
      <c r="O50" s="9859" t="inlineStr">
        <is>
          <t>Mujeres</t>
        </is>
      </c>
      <c r="P50" s="9862" t="inlineStr">
        <is>
          <t>Sin entrega anticoncepción emergencia</t>
        </is>
      </c>
      <c r="Q50" s="9584" t="n"/>
      <c r="R50" s="9584" t="n"/>
      <c r="S50" s="9584" t="n"/>
      <c r="T50" s="9584" t="n"/>
      <c r="U50" s="9584" t="n"/>
      <c r="V50" s="9584" t="n"/>
      <c r="W50" s="9714" t="n"/>
      <c r="X50" s="9863" t="inlineStr">
        <is>
          <t>Identidad de género</t>
        </is>
      </c>
      <c r="Y50" s="9632" t="n"/>
      <c r="Z50" s="9857" t="inlineStr">
        <is>
          <t>Personas con discapacidad</t>
        </is>
      </c>
      <c r="AA50" s="9859" t="inlineStr">
        <is>
          <t>Espacios Amigables/ Adolescentes</t>
        </is>
      </c>
      <c r="AB50" s="9861" t="inlineStr">
        <is>
          <t>Pueblos Originarios</t>
        </is>
      </c>
      <c r="AC50" s="7617" t="inlineStr">
        <is>
          <t>Migrantes</t>
        </is>
      </c>
    </row>
    <row r="51" ht="14.45" customHeight="1" s="8286">
      <c r="A51" s="642" t="n"/>
      <c r="B51" s="9852" t="n"/>
      <c r="C51" s="9687" t="n"/>
      <c r="D51" s="9625" t="n"/>
      <c r="E51" s="9863" t="inlineStr">
        <is>
          <t>10 - 14 años</t>
        </is>
      </c>
      <c r="F51" s="9632" t="n"/>
      <c r="G51" s="9863" t="inlineStr">
        <is>
          <t>15 - 19 años</t>
        </is>
      </c>
      <c r="H51" s="9632" t="n"/>
      <c r="I51" s="9860" t="inlineStr">
        <is>
          <t>20 - 24 años</t>
        </is>
      </c>
      <c r="J51" s="9647" t="n"/>
      <c r="K51" s="9860" t="inlineStr">
        <is>
          <t>25 y más años</t>
        </is>
      </c>
      <c r="L51" s="9647" t="n"/>
      <c r="N51" s="9852" t="n"/>
      <c r="O51" s="9625" t="n"/>
      <c r="P51" s="9863" t="inlineStr">
        <is>
          <t>10 - 14 años</t>
        </is>
      </c>
      <c r="Q51" s="9632" t="n"/>
      <c r="R51" s="9863" t="inlineStr">
        <is>
          <t>15 - 19 años</t>
        </is>
      </c>
      <c r="S51" s="9632" t="n"/>
      <c r="T51" s="9860" t="inlineStr">
        <is>
          <t>20 - 24 años</t>
        </is>
      </c>
      <c r="U51" s="9647" t="n"/>
      <c r="V51" s="9862" t="inlineStr">
        <is>
          <t>25 y más años</t>
        </is>
      </c>
      <c r="W51" s="9714" t="n"/>
      <c r="X51" s="9857" t="inlineStr">
        <is>
          <t>Trans masculino</t>
        </is>
      </c>
      <c r="Y51" s="9811" t="inlineStr">
        <is>
          <t>No binarie</t>
        </is>
      </c>
      <c r="Z51" s="9852" t="n"/>
      <c r="AA51" s="9625" t="n"/>
      <c r="AC51" s="9614" t="n"/>
    </row>
    <row r="52" ht="21.6" customHeight="1" s="8286">
      <c r="A52" s="9698" t="n"/>
      <c r="B52" s="9800" t="n"/>
      <c r="C52" s="9688" t="n"/>
      <c r="D52" s="9641" t="n"/>
      <c r="E52" s="1855" t="inlineStr">
        <is>
          <t>Hombres</t>
        </is>
      </c>
      <c r="F52" s="7631" t="inlineStr">
        <is>
          <t>Mujeres</t>
        </is>
      </c>
      <c r="G52" s="1855" t="inlineStr">
        <is>
          <t>Hombres</t>
        </is>
      </c>
      <c r="H52" s="7631" t="inlineStr">
        <is>
          <t>Mujeres</t>
        </is>
      </c>
      <c r="I52" s="1855" t="inlineStr">
        <is>
          <t>Hombres</t>
        </is>
      </c>
      <c r="J52" s="7631" t="inlineStr">
        <is>
          <t>Mujeres</t>
        </is>
      </c>
      <c r="K52" s="1855" t="inlineStr">
        <is>
          <t>Hombres</t>
        </is>
      </c>
      <c r="L52" s="7631" t="inlineStr">
        <is>
          <t>Mujeres</t>
        </is>
      </c>
      <c r="M52" s="9591" t="n"/>
      <c r="N52" s="9800" t="n"/>
      <c r="O52" s="9641" t="n"/>
      <c r="P52" s="1855" t="inlineStr">
        <is>
          <t>Hombres</t>
        </is>
      </c>
      <c r="Q52" s="7631" t="inlineStr">
        <is>
          <t>Mujeres</t>
        </is>
      </c>
      <c r="R52" s="1855" t="inlineStr">
        <is>
          <t>Hombres</t>
        </is>
      </c>
      <c r="S52" s="7631" t="inlineStr">
        <is>
          <t>Mujeres</t>
        </is>
      </c>
      <c r="T52" s="1855" t="inlineStr">
        <is>
          <t>Hombres</t>
        </is>
      </c>
      <c r="U52" s="7631" t="inlineStr">
        <is>
          <t>Mujeres</t>
        </is>
      </c>
      <c r="V52" s="1855" t="inlineStr">
        <is>
          <t>Hombres</t>
        </is>
      </c>
      <c r="W52" s="7324" t="inlineStr">
        <is>
          <t>Mujeres</t>
        </is>
      </c>
      <c r="X52" s="9800" t="n"/>
      <c r="Y52" s="9705" t="n"/>
      <c r="Z52" s="9800" t="n"/>
      <c r="AA52" s="9641" t="n"/>
      <c r="AB52" s="9591" t="n"/>
      <c r="AC52" s="9610" t="n"/>
    </row>
    <row r="53" ht="15" customHeight="1" s="8286">
      <c r="A53" s="5913" t="inlineStr">
        <is>
          <t>Médico/a</t>
        </is>
      </c>
      <c r="B53" s="5914">
        <f>SUM(C53:D53)</f>
        <v/>
      </c>
      <c r="C53" s="5915">
        <f>+E53+G53+I53+K53</f>
        <v/>
      </c>
      <c r="D53" s="5916">
        <f>+F53+H53+J53+L53</f>
        <v/>
      </c>
      <c r="E53" s="5917" t="n"/>
      <c r="F53" s="5918" t="n"/>
      <c r="G53" s="5917" t="n"/>
      <c r="H53" s="5918" t="n"/>
      <c r="I53" s="5917" t="n"/>
      <c r="J53" s="5918" t="n"/>
      <c r="K53" s="5917" t="n"/>
      <c r="L53" s="5918" t="n"/>
      <c r="M53" s="5916">
        <f>SUM(N53:O53)</f>
        <v/>
      </c>
      <c r="N53" s="5914">
        <f>+P53+R53+T53+V53</f>
        <v/>
      </c>
      <c r="O53" s="5916">
        <f>+Q53+S53+U53+W53</f>
        <v/>
      </c>
      <c r="P53" s="5917" t="n"/>
      <c r="Q53" s="5918" t="n"/>
      <c r="R53" s="5917" t="n"/>
      <c r="S53" s="5918" t="n"/>
      <c r="T53" s="5917" t="n"/>
      <c r="U53" s="5918" t="n"/>
      <c r="V53" s="5917" t="n"/>
      <c r="W53" s="5919" t="n"/>
      <c r="X53" s="5920" t="n"/>
      <c r="Y53" s="5918" t="n"/>
      <c r="Z53" s="5920" t="n"/>
      <c r="AA53" s="5918" t="n"/>
      <c r="AB53" s="5921" t="n"/>
      <c r="AC53" s="5922" t="n"/>
      <c r="AD53" s="622">
        <f>BO53&amp;BP53&amp;BQ53</f>
        <v/>
      </c>
      <c r="BO53" s="5822">
        <f>IF(AND(B53&gt;0,AB53="")," * No olvide digitar la variable Pueblos originarios. Digite Cero si no tiene.",IF(AB53&gt;B53,"  * La variable Pueblos originarios No puede ser mayor al Total Ambos Sexos.",""))</f>
        <v/>
      </c>
      <c r="BP53" s="5822">
        <f>IF(AND(B53&gt;0,AC53="")," * No olvide digitar la variable Migrantes. Digite Cero si no tiene.",IF(AC53&gt;B53,"  * La variable Migrantes No puede ser mayor al Total Ambos Sexos.",""))</f>
        <v/>
      </c>
      <c r="BQ53" s="5822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/>
      </c>
      <c r="BV53" s="5823">
        <f>IF(AND(B53&gt;0,AC53=""),1,IF(AC53&gt;B53,1,0))</f>
        <v/>
      </c>
      <c r="BW53" s="5823">
        <f>IF(AND(B53+M53&gt;0,AA53=""),1,IF(AA53&gt;B53+M53,1,0))</f>
        <v/>
      </c>
    </row>
    <row r="54" ht="15" customHeight="1" s="8286">
      <c r="A54" s="5923" t="inlineStr">
        <is>
          <t>Matrona/ón</t>
        </is>
      </c>
      <c r="B54" s="5924">
        <f>SUM(C54:D54)</f>
        <v/>
      </c>
      <c r="C54" s="5925">
        <f>+E54+G54+I54+K54</f>
        <v/>
      </c>
      <c r="D54" s="5926">
        <f>+F54+H54+J54+L54</f>
        <v/>
      </c>
      <c r="E54" s="5927" t="n">
        <v>0</v>
      </c>
      <c r="F54" s="5928" t="n">
        <v>0</v>
      </c>
      <c r="G54" s="5927" t="n">
        <v>0</v>
      </c>
      <c r="H54" s="5928" t="n">
        <v>0</v>
      </c>
      <c r="I54" s="5927" t="n">
        <v>0</v>
      </c>
      <c r="J54" s="5928" t="n">
        <v>2</v>
      </c>
      <c r="K54" s="5927" t="n">
        <v>0</v>
      </c>
      <c r="L54" s="5928" t="n">
        <v>2</v>
      </c>
      <c r="M54" s="5926">
        <f>SUM(N54:O54)</f>
        <v/>
      </c>
      <c r="N54" s="5924">
        <f>+P54+R54+T54+V54</f>
        <v/>
      </c>
      <c r="O54" s="5926">
        <f>+Q54+S54+U54+W54</f>
        <v/>
      </c>
      <c r="P54" s="5927" t="n">
        <v>0</v>
      </c>
      <c r="Q54" s="5928" t="n">
        <v>0</v>
      </c>
      <c r="R54" s="5927" t="n">
        <v>0</v>
      </c>
      <c r="S54" s="5928" t="n">
        <v>0</v>
      </c>
      <c r="T54" s="5927" t="n">
        <v>0</v>
      </c>
      <c r="U54" s="5928" t="n">
        <v>0</v>
      </c>
      <c r="V54" s="5927" t="n">
        <v>0</v>
      </c>
      <c r="W54" s="5929" t="n">
        <v>0</v>
      </c>
      <c r="X54" s="5927" t="n">
        <v>0</v>
      </c>
      <c r="Y54" s="5928" t="n">
        <v>0</v>
      </c>
      <c r="Z54" s="5927" t="n">
        <v>0</v>
      </c>
      <c r="AA54" s="5928" t="n">
        <v>0</v>
      </c>
      <c r="AB54" s="5930" t="n">
        <v>1</v>
      </c>
      <c r="AC54" s="5931" t="n">
        <v>0</v>
      </c>
      <c r="AD54" s="622">
        <f>BO54&amp;BP54&amp;BQ54</f>
        <v/>
      </c>
      <c r="BO54" s="5822">
        <f>IF(AND(B54&gt;0,AB54="")," * No olvide digitar la variable Pueblos originarios. Digite Cero si no tiene.",IF(AB54&gt;B54,"  * La variable Pueblos originarios No puede ser mayor al Total Ambos Sexos.",""))</f>
        <v/>
      </c>
      <c r="BP54" s="5822">
        <f>IF(AND(B54&gt;0,AC54="")," * No olvide digitar la variable Migrantes. Digite Cero si no tiene.",IF(AC54&gt;B54,"  * La variable Migrantes No puede ser mayor al Total Ambos Sexos.",""))</f>
        <v/>
      </c>
      <c r="BQ54" s="5822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/>
      </c>
      <c r="BV54" s="5823">
        <f>IF(AND(B54&gt;0,AC54=""),1,IF(AC54&gt;B54,1,0))</f>
        <v/>
      </c>
      <c r="BW54" s="5823">
        <f>IF(AND(B54+M54&gt;0,AA54=""),1,IF(AA54&gt;B54+M54,1,0))</f>
        <v/>
      </c>
    </row>
    <row r="55" ht="18" customHeight="1" s="8286">
      <c r="A55" s="5932" t="inlineStr">
        <is>
          <t>SECCIÓN D: CONSULTAS EN HORARIO CONTINUADO (Incluidas en las consultas de morbilidad de sección A o B)</t>
        </is>
      </c>
      <c r="B55" s="1706" t="n"/>
      <c r="C55" s="1706" t="n"/>
      <c r="D55" s="1706" t="n"/>
      <c r="E55" s="1706" t="n"/>
      <c r="F55" s="1706" t="n"/>
      <c r="G55" s="5933" t="n"/>
      <c r="H55" s="5933" t="n"/>
      <c r="I55" s="5933" t="n"/>
      <c r="J55" s="5933" t="n"/>
      <c r="K55" s="5933" t="n"/>
      <c r="L55" s="5933" t="n"/>
      <c r="M55" s="5933" t="n"/>
      <c r="N55" s="5933" t="n"/>
      <c r="O55" s="5934" t="n"/>
      <c r="P55" s="1706" t="n"/>
      <c r="Q55" s="5933" t="n"/>
      <c r="R55" s="5933" t="n"/>
      <c r="S55" s="5934" t="n"/>
      <c r="T55" s="1706" t="n"/>
      <c r="U55" s="5933" t="n"/>
      <c r="V55" s="5934" t="n"/>
      <c r="W55" s="5935" t="n"/>
      <c r="X55" s="969" t="n"/>
    </row>
    <row r="56">
      <c r="A56" s="9592" t="inlineStr">
        <is>
          <t>TIPO JORNADA</t>
        </is>
      </c>
      <c r="B56" s="9629" t="inlineStr">
        <is>
          <t>TOTAL</t>
        </is>
      </c>
      <c r="C56" s="9602" t="n"/>
      <c r="D56" s="9630" t="n"/>
      <c r="E56" s="9737" t="inlineStr">
        <is>
          <t>RANGO ETARIO</t>
        </is>
      </c>
      <c r="F56" s="9617" t="n"/>
      <c r="G56" s="9617" t="n"/>
      <c r="H56" s="9617" t="n"/>
      <c r="I56" s="9617" t="n"/>
      <c r="J56" s="9617" t="n"/>
      <c r="K56" s="9617" t="n"/>
      <c r="L56" s="9617" t="n"/>
      <c r="M56" s="9617" t="n"/>
      <c r="N56" s="9617" t="n"/>
      <c r="O56" s="9617" t="n"/>
      <c r="P56" s="9617" t="n"/>
      <c r="Q56" s="9617" t="n"/>
      <c r="R56" s="9617" t="n"/>
      <c r="S56" s="9617" t="n"/>
      <c r="T56" s="9617" t="n"/>
      <c r="U56" s="9617" t="n"/>
      <c r="V56" s="9652" t="n"/>
      <c r="W56" s="9635" t="inlineStr">
        <is>
          <t>Pueblos Originarios</t>
        </is>
      </c>
      <c r="X56" s="7632" t="inlineStr">
        <is>
          <t>Migrantes</t>
        </is>
      </c>
    </row>
    <row r="57">
      <c r="A57" s="9588" t="n"/>
      <c r="B57" s="9638" t="n"/>
      <c r="C57" s="9697" t="n"/>
      <c r="D57" s="9639" t="n"/>
      <c r="E57" s="7632" t="inlineStr">
        <is>
          <t>Menos de 1 año</t>
        </is>
      </c>
      <c r="F57" s="7632" t="inlineStr">
        <is>
          <t>1 - 4 años</t>
        </is>
      </c>
      <c r="G57" s="9712" t="inlineStr">
        <is>
          <t>5 - 9 años</t>
        </is>
      </c>
      <c r="H57" s="9592" t="inlineStr">
        <is>
          <t>10 - 14 años</t>
        </is>
      </c>
      <c r="I57" s="9592" t="inlineStr">
        <is>
          <t>15 - 19 años</t>
        </is>
      </c>
      <c r="J57" s="9712" t="inlineStr">
        <is>
          <t>20 - 24 años</t>
        </is>
      </c>
      <c r="K57" s="9712" t="inlineStr">
        <is>
          <t>25 - 29 años</t>
        </is>
      </c>
      <c r="L57" s="9712" t="inlineStr">
        <is>
          <t>30 - 34 años</t>
        </is>
      </c>
      <c r="M57" s="9712" t="inlineStr">
        <is>
          <t>35 - 39 años</t>
        </is>
      </c>
      <c r="N57" s="9712" t="inlineStr">
        <is>
          <t>40 - 44 años</t>
        </is>
      </c>
      <c r="O57" s="9712" t="inlineStr">
        <is>
          <t>45 - 49 años</t>
        </is>
      </c>
      <c r="P57" s="9712" t="inlineStr">
        <is>
          <t>50 - 54 años</t>
        </is>
      </c>
      <c r="Q57" s="9712" t="inlineStr">
        <is>
          <t>55 - 59 años</t>
        </is>
      </c>
      <c r="R57" s="9712" t="inlineStr">
        <is>
          <t>60 - 64 años</t>
        </is>
      </c>
      <c r="S57" s="9712" t="inlineStr">
        <is>
          <t>65 - 69 años</t>
        </is>
      </c>
      <c r="T57" s="9712" t="inlineStr">
        <is>
          <t>70 - 74 años</t>
        </is>
      </c>
      <c r="U57" s="9712" t="inlineStr">
        <is>
          <t>75 - 79 años</t>
        </is>
      </c>
      <c r="V57" s="9864" t="inlineStr">
        <is>
          <t>80 y mas años</t>
        </is>
      </c>
      <c r="W57" s="9656" t="n"/>
      <c r="X57" s="9614" t="n"/>
    </row>
    <row r="58">
      <c r="A58" s="9589" t="n"/>
      <c r="B58" s="7398" t="inlineStr">
        <is>
          <t>Ambos Sexos</t>
        </is>
      </c>
      <c r="C58" s="7400" t="inlineStr">
        <is>
          <t>Hombres</t>
        </is>
      </c>
      <c r="D58" s="7280" t="inlineStr">
        <is>
          <t>Mujeres</t>
        </is>
      </c>
      <c r="E58" s="9610" t="n"/>
      <c r="F58" s="9610" t="n"/>
      <c r="G58" s="9641" t="n"/>
      <c r="H58" s="9589" t="n"/>
      <c r="I58" s="9589" t="n"/>
      <c r="J58" s="9641" t="n"/>
      <c r="K58" s="9641" t="n"/>
      <c r="L58" s="9641" t="n"/>
      <c r="M58" s="9641" t="n"/>
      <c r="N58" s="9641" t="n"/>
      <c r="O58" s="9641" t="n"/>
      <c r="P58" s="9641" t="n"/>
      <c r="Q58" s="9641" t="n"/>
      <c r="R58" s="9641" t="n"/>
      <c r="S58" s="9641" t="n"/>
      <c r="T58" s="9641" t="n"/>
      <c r="U58" s="9641" t="n"/>
      <c r="V58" s="9865" t="n"/>
      <c r="W58" s="9640" t="n"/>
      <c r="X58" s="9610" t="n"/>
    </row>
    <row r="59" ht="15" customHeight="1" s="8286">
      <c r="A59" s="5936" t="inlineStr">
        <is>
          <t xml:space="preserve">Horario continuado </t>
        </is>
      </c>
      <c r="B59" s="5805">
        <f>SUM(B60:B61)</f>
        <v/>
      </c>
      <c r="C59" s="1504">
        <f>SUM(C60:C61)</f>
        <v/>
      </c>
      <c r="D59" s="5937">
        <f>SUM(D60:D61)</f>
        <v/>
      </c>
      <c r="E59" s="5938">
        <f>SUM(E60:E61)</f>
        <v/>
      </c>
      <c r="F59" s="5938">
        <f>SUM(F60:F61)</f>
        <v/>
      </c>
      <c r="G59" s="5939">
        <f>SUM(G60:G61)</f>
        <v/>
      </c>
      <c r="H59" s="5938">
        <f>SUM(H60:H61)</f>
        <v/>
      </c>
      <c r="I59" s="5938">
        <f>SUM(I60:I61)</f>
        <v/>
      </c>
      <c r="J59" s="5875">
        <f>SUM(J60:J61)</f>
        <v/>
      </c>
      <c r="K59" s="5938">
        <f>SUM(K60:K61)</f>
        <v/>
      </c>
      <c r="L59" s="5875">
        <f>SUM(L60:L61)</f>
        <v/>
      </c>
      <c r="M59" s="5938">
        <f>SUM(M60:M61)</f>
        <v/>
      </c>
      <c r="N59" s="5875">
        <f>SUM(N60:N61)</f>
        <v/>
      </c>
      <c r="O59" s="5938">
        <f>SUM(O60:O61)</f>
        <v/>
      </c>
      <c r="P59" s="5875">
        <f>SUM(P60:P61)</f>
        <v/>
      </c>
      <c r="Q59" s="5938">
        <f>SUM(Q60:Q61)</f>
        <v/>
      </c>
      <c r="R59" s="5875">
        <f>SUM(R60:R61)</f>
        <v/>
      </c>
      <c r="S59" s="5938">
        <f>SUM(S60:S61)</f>
        <v/>
      </c>
      <c r="T59" s="5875">
        <f>SUM(T60:T61)</f>
        <v/>
      </c>
      <c r="U59" s="5938">
        <f>SUM(U60:U61)</f>
        <v/>
      </c>
      <c r="V59" s="5940">
        <f>SUM(V60:V61)</f>
        <v/>
      </c>
      <c r="W59" s="5941">
        <f>SUM(W60:W61)</f>
        <v/>
      </c>
      <c r="X59" s="5942">
        <f>SUM(X60:X61)</f>
        <v/>
      </c>
    </row>
    <row r="60" ht="15" customHeight="1" s="8286">
      <c r="A60" s="1653" t="inlineStr">
        <is>
          <t>Médico/a</t>
        </is>
      </c>
      <c r="B60" s="5814">
        <f>SUM(C60:D60)</f>
        <v/>
      </c>
      <c r="C60" s="5943" t="n">
        <v>163</v>
      </c>
      <c r="D60" s="5944" t="n">
        <v>270</v>
      </c>
      <c r="E60" s="5945" t="n">
        <v>0</v>
      </c>
      <c r="F60" s="5946" t="n">
        <v>28</v>
      </c>
      <c r="G60" s="5945" t="n">
        <v>24</v>
      </c>
      <c r="H60" s="5946" t="n">
        <v>28</v>
      </c>
      <c r="I60" s="5945" t="n">
        <v>23</v>
      </c>
      <c r="J60" s="5946" t="n">
        <v>18</v>
      </c>
      <c r="K60" s="5945" t="n">
        <v>12</v>
      </c>
      <c r="L60" s="5946" t="n">
        <v>20</v>
      </c>
      <c r="M60" s="5945" t="n">
        <v>24</v>
      </c>
      <c r="N60" s="5946" t="n">
        <v>32</v>
      </c>
      <c r="O60" s="5945" t="n">
        <v>18</v>
      </c>
      <c r="P60" s="5946" t="n">
        <v>20</v>
      </c>
      <c r="Q60" s="5945" t="n">
        <v>25</v>
      </c>
      <c r="R60" s="5946" t="n">
        <v>59</v>
      </c>
      <c r="S60" s="5945" t="n">
        <v>40</v>
      </c>
      <c r="T60" s="5946" t="n">
        <v>26</v>
      </c>
      <c r="U60" s="5945" t="n">
        <v>19</v>
      </c>
      <c r="V60" s="5947" t="n">
        <v>17</v>
      </c>
      <c r="W60" s="5948" t="n">
        <v>10</v>
      </c>
      <c r="X60" s="5945" t="n">
        <v>12</v>
      </c>
      <c r="Y60" s="622">
        <f>BO60&amp;BP60&amp;BQ60</f>
        <v/>
      </c>
      <c r="BO60" s="5822">
        <f>IF(AND(B60&gt;0,W60="")," * No olvide digitar la variable Pueblos originarios. Digite Cero si no tiene.",IF(W60&gt;B60," * La variable Pueblos originarios No puede ser mayor al Total Ambos Sexos.",""))</f>
        <v/>
      </c>
      <c r="BP60" s="5822">
        <f>IF(AND(B60&gt;0,X60="")," * No olvide digitar la variable Migrantes. Digite Cero si no tiene.",IF(X60&gt;B60," * La variable Migrantes No puede ser mayor al Total Ambos Sexos.",""))</f>
        <v/>
      </c>
      <c r="BQ60" s="5949">
        <f>IF((C60+D60)&lt;&gt;SUM(E60:V60)," * La suma de Rangos Etario debe ser igual a la suma de Hombres + Mujeres.","")</f>
        <v/>
      </c>
      <c r="BU60" s="5823">
        <f>IF(AND(B60&gt;0,W60=""),1,IF(W60&gt;B60,1,0))</f>
        <v/>
      </c>
      <c r="BV60" s="5823">
        <f>IF(AND(B60&gt;0,X60=""),1,IF(X60&gt;B60,1,0))</f>
        <v/>
      </c>
      <c r="BW60" s="5823">
        <f>IF((C60+D60)&lt;&gt;SUM(E60:V60),1,0)</f>
        <v/>
      </c>
    </row>
    <row r="61" ht="15" customHeight="1" s="8286">
      <c r="A61" s="8218" t="inlineStr">
        <is>
          <t xml:space="preserve">Otros Profesionales </t>
        </is>
      </c>
      <c r="B61" s="5951">
        <f>SUM(C61:D61)</f>
        <v/>
      </c>
      <c r="C61" s="5952" t="n">
        <v>33</v>
      </c>
      <c r="D61" s="5953" t="n">
        <v>62</v>
      </c>
      <c r="E61" s="5954" t="n">
        <v>4</v>
      </c>
      <c r="F61" s="5955" t="n">
        <v>22</v>
      </c>
      <c r="G61" s="5954" t="n">
        <v>4</v>
      </c>
      <c r="H61" s="5955" t="n">
        <v>3</v>
      </c>
      <c r="I61" s="5954" t="n">
        <v>4</v>
      </c>
      <c r="J61" s="5955" t="n">
        <v>1</v>
      </c>
      <c r="K61" s="5954" t="n">
        <v>8</v>
      </c>
      <c r="L61" s="5955" t="n">
        <v>3</v>
      </c>
      <c r="M61" s="5954" t="n">
        <v>6</v>
      </c>
      <c r="N61" s="5955" t="n">
        <v>4</v>
      </c>
      <c r="O61" s="5954" t="n">
        <v>4</v>
      </c>
      <c r="P61" s="5955" t="n">
        <v>6</v>
      </c>
      <c r="Q61" s="5954" t="n">
        <v>2</v>
      </c>
      <c r="R61" s="5955" t="n">
        <v>10</v>
      </c>
      <c r="S61" s="5954" t="n">
        <v>5</v>
      </c>
      <c r="T61" s="5955" t="n">
        <v>1</v>
      </c>
      <c r="U61" s="5954" t="n">
        <v>4</v>
      </c>
      <c r="V61" s="5956" t="n">
        <v>4</v>
      </c>
      <c r="W61" s="5957" t="n">
        <v>1</v>
      </c>
      <c r="X61" s="5954" t="n">
        <v>1</v>
      </c>
      <c r="Y61" s="622">
        <f>BO61&amp;BP61&amp;BQ61</f>
        <v/>
      </c>
      <c r="BO61" s="5822">
        <f>IF(AND(B61&gt;0,W61="")," * No olvide digitar la variable Pueblos originarios. Digite Cero si no tiene.",IF(W61&gt;B61,"  * La variable Pueblos originarios No puede ser mayor al Total.",""))</f>
        <v/>
      </c>
      <c r="BP61" s="5822">
        <f>IF(AND(B61&gt;0,X61="")," * No olvide digitar la variable Migrantes. Digite Cero si no tiene.",IF(X61&gt;B61,"  * La variable Migrantes No puede ser mayor al Total.",""))</f>
        <v/>
      </c>
      <c r="BQ61" s="5949">
        <f>IF((C61+D61)&lt;&gt;SUM(E61:V61)," * La suma de Rangos Etario debe ser igual a la suma de Hombres + Mujeres.","")</f>
        <v/>
      </c>
      <c r="BU61" s="5823">
        <f>IF(AND(B61&gt;0,W61=""),1,IF(W61&gt;B61,1,0))</f>
        <v/>
      </c>
      <c r="BV61" s="5823">
        <f>IF(AND(B61&gt;0,X61=""),1,IF(X61&gt;B61,1,0))</f>
        <v/>
      </c>
      <c r="BW61" s="5823">
        <f>IF((C61+D61)&lt;&gt;SUM(E61:V61),1,0)</f>
        <v/>
      </c>
    </row>
    <row r="62" ht="15" customHeight="1" s="8286">
      <c r="A62" s="5958" t="inlineStr">
        <is>
          <t xml:space="preserve">Sábado, Domingo o festivo </t>
        </is>
      </c>
      <c r="B62" s="5959">
        <f>SUM(B63:B64)</f>
        <v/>
      </c>
      <c r="C62" s="5960">
        <f>SUM(C63:C64)</f>
        <v/>
      </c>
      <c r="D62" s="5937">
        <f>SUM(D63:D64)</f>
        <v/>
      </c>
      <c r="E62" s="5938">
        <f>SUM(E63:E64)</f>
        <v/>
      </c>
      <c r="F62" s="5875">
        <f>SUM(F63:F64)</f>
        <v/>
      </c>
      <c r="G62" s="5938">
        <f>SUM(G63:G64)</f>
        <v/>
      </c>
      <c r="H62" s="5875">
        <f>SUM(H63:H64)</f>
        <v/>
      </c>
      <c r="I62" s="5938">
        <f>SUM(I63:I64)</f>
        <v/>
      </c>
      <c r="J62" s="5875">
        <f>SUM(J63:J64)</f>
        <v/>
      </c>
      <c r="K62" s="5938">
        <f>SUM(K63:K64)</f>
        <v/>
      </c>
      <c r="L62" s="5875">
        <f>SUM(L63:L64)</f>
        <v/>
      </c>
      <c r="M62" s="5938">
        <f>SUM(M63:M64)</f>
        <v/>
      </c>
      <c r="N62" s="5875">
        <f>SUM(N63:N64)</f>
        <v/>
      </c>
      <c r="O62" s="5938">
        <f>SUM(O63:O64)</f>
        <v/>
      </c>
      <c r="P62" s="5875">
        <f>SUM(P63:P64)</f>
        <v/>
      </c>
      <c r="Q62" s="5938">
        <f>SUM(Q63:Q64)</f>
        <v/>
      </c>
      <c r="R62" s="5875">
        <f>SUM(R63:R64)</f>
        <v/>
      </c>
      <c r="S62" s="5938">
        <f>SUM(S63:S64)</f>
        <v/>
      </c>
      <c r="T62" s="5875">
        <f>SUM(T63:T64)</f>
        <v/>
      </c>
      <c r="U62" s="5938">
        <f>SUM(U63:U64)</f>
        <v/>
      </c>
      <c r="V62" s="5940">
        <f>SUM(V63:V64)</f>
        <v/>
      </c>
      <c r="W62" s="5941">
        <f>SUM(W63:W64)</f>
        <v/>
      </c>
      <c r="X62" s="5942">
        <f>SUM(X63:X64)</f>
        <v/>
      </c>
    </row>
    <row r="63" ht="15" customHeight="1" s="8286">
      <c r="A63" s="1653" t="inlineStr">
        <is>
          <t>Médico/a</t>
        </is>
      </c>
      <c r="B63" s="5814">
        <f>SUM(C63:D63)</f>
        <v/>
      </c>
      <c r="C63" s="5943" t="n">
        <v>60</v>
      </c>
      <c r="D63" s="5944" t="n">
        <v>87</v>
      </c>
      <c r="E63" s="5945" t="n">
        <v>2</v>
      </c>
      <c r="F63" s="5946" t="n">
        <v>9</v>
      </c>
      <c r="G63" s="5945" t="n">
        <v>9</v>
      </c>
      <c r="H63" s="5946" t="n">
        <v>12</v>
      </c>
      <c r="I63" s="5945" t="n">
        <v>4</v>
      </c>
      <c r="J63" s="5946" t="n">
        <v>9</v>
      </c>
      <c r="K63" s="5945" t="n">
        <v>5</v>
      </c>
      <c r="L63" s="5946" t="n">
        <v>2</v>
      </c>
      <c r="M63" s="5945" t="n">
        <v>6</v>
      </c>
      <c r="N63" s="5946" t="n">
        <v>8</v>
      </c>
      <c r="O63" s="5945" t="n">
        <v>11</v>
      </c>
      <c r="P63" s="5946" t="n">
        <v>8</v>
      </c>
      <c r="Q63" s="5945" t="n">
        <v>14</v>
      </c>
      <c r="R63" s="5946" t="n">
        <v>10</v>
      </c>
      <c r="S63" s="5945" t="n">
        <v>14</v>
      </c>
      <c r="T63" s="5946" t="n">
        <v>12</v>
      </c>
      <c r="U63" s="5945" t="n">
        <v>6</v>
      </c>
      <c r="V63" s="5947" t="n">
        <v>6</v>
      </c>
      <c r="W63" s="5948" t="n">
        <v>5</v>
      </c>
      <c r="X63" s="5945" t="n">
        <v>1</v>
      </c>
      <c r="Y63" s="622">
        <f>BO63&amp;BP63&amp;BQ63</f>
        <v/>
      </c>
      <c r="BO63" s="5822">
        <f>IF(AND(B63&gt;0,W63="")," * No olvide digitar la variable Pueblos originarios. Digite Cero si no tiene.",IF(W63&gt;B63,"  * La variable Pueblos originarios No puede ser mayor al Total.",""))</f>
        <v/>
      </c>
      <c r="BP63" s="5822">
        <f>IF(AND(B63&gt;0,X63="")," * No olvide digitar la variable Migrantes. Digite Cero si no tiene.",IF(X63&gt;B63,"  * La variable Migrantes No puede ser mayor al Total.",""))</f>
        <v/>
      </c>
      <c r="BQ63" s="5949">
        <f>IF((C63+D63)&lt;&gt;SUM(E63:V63)," * La suma de Rangos Etario debe ser igual a la suma de Hombres + Mujeres.","")</f>
        <v/>
      </c>
      <c r="BU63" s="5823">
        <f>IF(AND(B63&gt;0,W63=""),1,IF(W63&gt;B63,1,0))</f>
        <v/>
      </c>
      <c r="BV63" s="5823">
        <f>IF(AND(B63&gt;0,X63=""),1,IF(X63&gt;B63,1,0))</f>
        <v/>
      </c>
      <c r="BW63" s="5823">
        <f>IF((C63+D63)&lt;&gt;SUM(E63:V63),1,0)</f>
        <v/>
      </c>
    </row>
    <row r="64" ht="15" customHeight="1" s="8286">
      <c r="A64" s="8218" t="inlineStr">
        <is>
          <t xml:space="preserve">Otros Profesionales </t>
        </is>
      </c>
      <c r="B64" s="5951">
        <f>SUM(C64:D64)</f>
        <v/>
      </c>
      <c r="C64" s="5952" t="n">
        <v>3</v>
      </c>
      <c r="D64" s="5953" t="n">
        <v>7</v>
      </c>
      <c r="E64" s="5954" t="n">
        <v>1</v>
      </c>
      <c r="F64" s="5955" t="n">
        <v>2</v>
      </c>
      <c r="G64" s="5954" t="n">
        <v>0</v>
      </c>
      <c r="H64" s="5955" t="n">
        <v>2</v>
      </c>
      <c r="I64" s="5954" t="n">
        <v>0</v>
      </c>
      <c r="J64" s="5955" t="n">
        <v>0</v>
      </c>
      <c r="K64" s="5954" t="n">
        <v>0</v>
      </c>
      <c r="L64" s="5955" t="n">
        <v>0</v>
      </c>
      <c r="M64" s="5954" t="n">
        <v>1</v>
      </c>
      <c r="N64" s="5955" t="n">
        <v>0</v>
      </c>
      <c r="O64" s="5954" t="n">
        <v>0</v>
      </c>
      <c r="P64" s="5955" t="n">
        <v>0</v>
      </c>
      <c r="Q64" s="5954" t="n">
        <v>1</v>
      </c>
      <c r="R64" s="5955" t="n">
        <v>3</v>
      </c>
      <c r="S64" s="5954" t="n">
        <v>0</v>
      </c>
      <c r="T64" s="5955" t="n">
        <v>0</v>
      </c>
      <c r="U64" s="5954" t="n">
        <v>0</v>
      </c>
      <c r="V64" s="5956" t="n">
        <v>0</v>
      </c>
      <c r="W64" s="5957" t="n">
        <v>0</v>
      </c>
      <c r="X64" s="5954" t="n">
        <v>0</v>
      </c>
      <c r="Y64" s="622">
        <f>BO64&amp;BP64&amp;BQ64</f>
        <v/>
      </c>
      <c r="BO64" s="5822">
        <f>IF(AND(B64&gt;0,W64="")," * No olvide digitar la variable Pueblos originarios. Digite Cero si no tiene.",IF(W64&gt;B64,"  * La variable Pueblos originarios No puede ser mayor al Total.",""))</f>
        <v/>
      </c>
      <c r="BP64" s="5822">
        <f>IF(AND(B64&gt;0,X64="")," * No olvide digitar la variable Migrantes. Digite Cero si no tiene.",IF(X64&gt;B64,"  * La variable Migrantes No puede ser mayor al Total.",""))</f>
        <v/>
      </c>
      <c r="BQ64" s="5949">
        <f>IF((C64+D64)&lt;&gt;SUM(E64:V64)," * La suma de Rangos Etario debe ser igual a la suma de Hombres + Mujeres.","")</f>
        <v/>
      </c>
      <c r="BU64" s="5823">
        <f>IF(AND(B64&gt;0,W64=""),1,IF(W64&gt;B64,1,0))</f>
        <v/>
      </c>
      <c r="BV64" s="5823">
        <f>IF(AND(B64&gt;0,X64=""),1,IF(X64&gt;B64,1,0))</f>
        <v/>
      </c>
      <c r="BW64" s="5823">
        <f>IF((C64+D64)&lt;&gt;SUM(E64:V64),1,0)</f>
        <v/>
      </c>
    </row>
    <row r="65" ht="18" customHeight="1" s="8286">
      <c r="A65" s="5932" t="inlineStr">
        <is>
          <t>SECCIÓN E: CONSULTA  ABREVIADA</t>
        </is>
      </c>
      <c r="B65" s="1005" t="n"/>
    </row>
    <row r="66" ht="15" customHeight="1" s="8286">
      <c r="A66" s="5961" t="inlineStr">
        <is>
          <t>PROFESIONAL</t>
        </is>
      </c>
      <c r="B66" s="5961" t="inlineStr">
        <is>
          <t>TOTAL</t>
        </is>
      </c>
    </row>
    <row r="67" ht="15" customHeight="1" s="8286">
      <c r="A67" s="1653" t="inlineStr">
        <is>
          <t>Médico/a</t>
        </is>
      </c>
      <c r="B67" s="5962" t="n">
        <v>457</v>
      </c>
    </row>
    <row r="68" ht="15" customHeight="1" s="8286">
      <c r="A68" s="1655" t="inlineStr">
        <is>
          <t>Matrona/ón</t>
        </is>
      </c>
      <c r="B68" s="5872" t="n">
        <v>312</v>
      </c>
    </row>
    <row r="69" ht="18" customHeight="1" s="8286">
      <c r="A69" s="1001" t="inlineStr">
        <is>
          <t>SECCIÓN F: ATENCIONES DE SANADORES INDÍGENA</t>
        </is>
      </c>
      <c r="B69" s="1005" t="n"/>
      <c r="C69" s="5963" t="n"/>
      <c r="D69" s="5963" t="n"/>
      <c r="E69" s="969" t="n"/>
      <c r="F69" s="969" t="n"/>
      <c r="G69" s="969" t="n"/>
      <c r="H69" s="969" t="n"/>
      <c r="I69" s="969" t="n"/>
      <c r="J69" s="5964" t="n"/>
      <c r="K69" s="5964" t="n"/>
      <c r="L69" s="5964" t="n"/>
      <c r="M69" s="5964" t="n"/>
      <c r="N69" s="5964" t="n"/>
      <c r="O69" s="5964" t="n"/>
      <c r="P69" s="5964" t="n"/>
      <c r="Q69" s="5964" t="n"/>
      <c r="R69" s="5964" t="n"/>
      <c r="S69" s="5964" t="n"/>
      <c r="T69" s="5965" t="n"/>
      <c r="U69" s="5965" t="n"/>
    </row>
    <row r="70" ht="15" customHeight="1" s="8286">
      <c r="A70" s="9866" t="inlineStr">
        <is>
          <t>COMPONENTE</t>
        </is>
      </c>
      <c r="B70" s="9630" t="n"/>
      <c r="C70" s="9624" t="inlineStr">
        <is>
          <t>TOTAL</t>
        </is>
      </c>
      <c r="D70" s="9584" t="n"/>
      <c r="E70" s="9647" t="n"/>
      <c r="F70" s="8173" t="inlineStr">
        <is>
          <t>RANGO ETARIO Y SEXO</t>
        </is>
      </c>
      <c r="G70" s="9602" t="n"/>
      <c r="H70" s="9602" t="n"/>
      <c r="I70" s="9602" t="n"/>
      <c r="J70" s="9602" t="n"/>
      <c r="K70" s="9602" t="n"/>
      <c r="L70" s="9602" t="n"/>
      <c r="M70" s="9602" t="n"/>
      <c r="N70" s="9602" t="n"/>
      <c r="O70" s="9602" t="n"/>
      <c r="P70" s="9602" t="n"/>
      <c r="Q70" s="9602" t="n"/>
      <c r="R70" s="9602" t="n"/>
      <c r="S70" s="9602" t="n"/>
      <c r="T70" s="9602" t="n"/>
      <c r="U70" s="9602" t="n"/>
      <c r="V70" s="9602" t="n"/>
      <c r="W70" s="9602" t="n"/>
      <c r="X70" s="9602" t="n"/>
      <c r="Y70" s="9602" t="n"/>
      <c r="Z70" s="9602" t="n"/>
      <c r="AA70" s="9602" t="n"/>
      <c r="AB70" s="9602" t="n"/>
      <c r="AC70" s="9602" t="n"/>
      <c r="AD70" s="9602" t="n"/>
      <c r="AE70" s="9602" t="n"/>
      <c r="AF70" s="9602" t="n"/>
      <c r="AG70" s="9602" t="n"/>
      <c r="AH70" s="9602" t="n"/>
      <c r="AI70" s="9602" t="n"/>
      <c r="AJ70" s="9602" t="n"/>
      <c r="AK70" s="9602" t="n"/>
      <c r="AL70" s="9602" t="n"/>
      <c r="AM70" s="9603" t="n"/>
    </row>
    <row r="71" ht="15" customHeight="1" s="8286">
      <c r="A71" s="642" t="n"/>
      <c r="B71" s="9718" t="n"/>
      <c r="C71" s="9867" t="inlineStr">
        <is>
          <t>Ambos Sexos</t>
        </is>
      </c>
      <c r="D71" s="9868" t="inlineStr">
        <is>
          <t>Hombre</t>
        </is>
      </c>
      <c r="E71" s="9869" t="inlineStr">
        <is>
          <t xml:space="preserve">Mujer </t>
        </is>
      </c>
      <c r="F71" s="9624" t="inlineStr">
        <is>
          <t>0 - 4 años</t>
        </is>
      </c>
      <c r="G71" s="9647" t="n"/>
      <c r="H71" s="9846" t="inlineStr">
        <is>
          <t>5 - 9  años</t>
        </is>
      </c>
      <c r="I71" s="9584" t="n"/>
      <c r="J71" s="9624" t="inlineStr">
        <is>
          <t>10 - 14 años</t>
        </is>
      </c>
      <c r="K71" s="9647" t="n"/>
      <c r="L71" s="9846" t="inlineStr">
        <is>
          <t>15 - 19 años</t>
        </is>
      </c>
      <c r="M71" s="9584" t="n"/>
      <c r="N71" s="9624" t="inlineStr">
        <is>
          <t>20 - 24 años</t>
        </is>
      </c>
      <c r="O71" s="9647" t="n"/>
      <c r="P71" s="9846" t="inlineStr">
        <is>
          <t>25 - 29 años</t>
        </is>
      </c>
      <c r="Q71" s="9584" t="n"/>
      <c r="R71" s="9624" t="inlineStr">
        <is>
          <t>30 - 34 años</t>
        </is>
      </c>
      <c r="S71" s="9647" t="n"/>
      <c r="T71" s="9846" t="inlineStr">
        <is>
          <t>35 - 39 años</t>
        </is>
      </c>
      <c r="U71" s="9584" t="n"/>
      <c r="V71" s="9624" t="inlineStr">
        <is>
          <t>40 - 44 años</t>
        </is>
      </c>
      <c r="W71" s="9647" t="n"/>
      <c r="X71" s="9846" t="inlineStr">
        <is>
          <t>45 - 49 años</t>
        </is>
      </c>
      <c r="Y71" s="9584" t="n"/>
      <c r="Z71" s="9624" t="inlineStr">
        <is>
          <t>50 - 54 años</t>
        </is>
      </c>
      <c r="AA71" s="9647" t="n"/>
      <c r="AB71" s="9846" t="inlineStr">
        <is>
          <t>55 - 59 años</t>
        </is>
      </c>
      <c r="AC71" s="9584" t="n"/>
      <c r="AD71" s="9624" t="inlineStr">
        <is>
          <t>60 - 64 años</t>
        </is>
      </c>
      <c r="AE71" s="9647" t="n"/>
      <c r="AF71" s="9846" t="inlineStr">
        <is>
          <t>65 - 69 años</t>
        </is>
      </c>
      <c r="AG71" s="9584" t="n"/>
      <c r="AH71" s="9624" t="inlineStr">
        <is>
          <t>70 - 74 años</t>
        </is>
      </c>
      <c r="AI71" s="9647" t="n"/>
      <c r="AJ71" s="9624" t="inlineStr">
        <is>
          <t>75 - 79 años</t>
        </is>
      </c>
      <c r="AK71" s="9647" t="n"/>
      <c r="AL71" s="9624" t="inlineStr">
        <is>
          <t>80 y mas años</t>
        </is>
      </c>
      <c r="AM71" s="9647" t="n"/>
    </row>
    <row r="72" ht="15" customHeight="1" s="8286">
      <c r="A72" s="9638" t="n"/>
      <c r="B72" s="9639" t="n"/>
      <c r="C72" s="9800" t="n"/>
      <c r="D72" s="9870" t="n"/>
      <c r="E72" s="9639" t="n"/>
      <c r="F72" s="5966" t="inlineStr">
        <is>
          <t>Hombre</t>
        </is>
      </c>
      <c r="G72" s="5967" t="inlineStr">
        <is>
          <t xml:space="preserve">Mujer </t>
        </is>
      </c>
      <c r="H72" s="5968" t="inlineStr">
        <is>
          <t>Hombre</t>
        </is>
      </c>
      <c r="I72" s="5969" t="inlineStr">
        <is>
          <t xml:space="preserve">Mujer </t>
        </is>
      </c>
      <c r="J72" s="5966" t="inlineStr">
        <is>
          <t>Hombre</t>
        </is>
      </c>
      <c r="K72" s="5967" t="inlineStr">
        <is>
          <t xml:space="preserve">Mujer </t>
        </is>
      </c>
      <c r="L72" s="5968" t="inlineStr">
        <is>
          <t>Hombre</t>
        </is>
      </c>
      <c r="M72" s="5969" t="inlineStr">
        <is>
          <t xml:space="preserve">Mujer </t>
        </is>
      </c>
      <c r="N72" s="5966" t="inlineStr">
        <is>
          <t>Hombre</t>
        </is>
      </c>
      <c r="O72" s="5967" t="inlineStr">
        <is>
          <t xml:space="preserve">Mujer </t>
        </is>
      </c>
      <c r="P72" s="5968" t="inlineStr">
        <is>
          <t>Hombre</t>
        </is>
      </c>
      <c r="Q72" s="5969" t="inlineStr">
        <is>
          <t xml:space="preserve">Mujer </t>
        </is>
      </c>
      <c r="R72" s="5966" t="inlineStr">
        <is>
          <t>Hombre</t>
        </is>
      </c>
      <c r="S72" s="5967" t="inlineStr">
        <is>
          <t xml:space="preserve">Mujer </t>
        </is>
      </c>
      <c r="T72" s="5968" t="inlineStr">
        <is>
          <t>Hombre</t>
        </is>
      </c>
      <c r="U72" s="5969" t="inlineStr">
        <is>
          <t xml:space="preserve">Mujer </t>
        </is>
      </c>
      <c r="V72" s="5966" t="inlineStr">
        <is>
          <t>Hombre</t>
        </is>
      </c>
      <c r="W72" s="5967" t="inlineStr">
        <is>
          <t xml:space="preserve">Mujer </t>
        </is>
      </c>
      <c r="X72" s="5968" t="inlineStr">
        <is>
          <t>Hombre</t>
        </is>
      </c>
      <c r="Y72" s="5969" t="inlineStr">
        <is>
          <t xml:space="preserve">Mujer </t>
        </is>
      </c>
      <c r="Z72" s="5966" t="inlineStr">
        <is>
          <t>Hombre</t>
        </is>
      </c>
      <c r="AA72" s="5967" t="inlineStr">
        <is>
          <t xml:space="preserve">Mujer </t>
        </is>
      </c>
      <c r="AB72" s="5968" t="inlineStr">
        <is>
          <t>Hombre</t>
        </is>
      </c>
      <c r="AC72" s="5969" t="inlineStr">
        <is>
          <t xml:space="preserve">Mujer </t>
        </is>
      </c>
      <c r="AD72" s="5966" t="inlineStr">
        <is>
          <t>Hombre</t>
        </is>
      </c>
      <c r="AE72" s="5967" t="inlineStr">
        <is>
          <t xml:space="preserve">Mujer </t>
        </is>
      </c>
      <c r="AF72" s="5968" t="inlineStr">
        <is>
          <t>Hombre</t>
        </is>
      </c>
      <c r="AG72" s="5969" t="inlineStr">
        <is>
          <t xml:space="preserve">Mujer </t>
        </is>
      </c>
      <c r="AH72" s="5966" t="inlineStr">
        <is>
          <t>Hombre</t>
        </is>
      </c>
      <c r="AI72" s="5967" t="inlineStr">
        <is>
          <t xml:space="preserve">Mujer </t>
        </is>
      </c>
      <c r="AJ72" s="5966" t="inlineStr">
        <is>
          <t>Hombre</t>
        </is>
      </c>
      <c r="AK72" s="5967" t="inlineStr">
        <is>
          <t xml:space="preserve">Mujer </t>
        </is>
      </c>
      <c r="AL72" s="5966" t="inlineStr">
        <is>
          <t>Hombre</t>
        </is>
      </c>
      <c r="AM72" s="5967" t="inlineStr">
        <is>
          <t xml:space="preserve">Mujer </t>
        </is>
      </c>
    </row>
    <row r="73" ht="15" customHeight="1" s="8286">
      <c r="A73" s="7632" t="inlineStr">
        <is>
          <t xml:space="preserve">Atenciones por sanadores/terapeutas de Medicina Indígena </t>
        </is>
      </c>
      <c r="B73" s="5970" t="inlineStr">
        <is>
          <t>Pueblos originarios</t>
        </is>
      </c>
      <c r="C73" s="5971">
        <f>SUM(D73:E73)</f>
        <v/>
      </c>
      <c r="D73" s="1578">
        <f>SUM(F73+H73+J73+L73+N73+P73+R73+T73+V73+X73+Z73+AB73+AD73+AF73+AH73+AJ73+AL73)</f>
        <v/>
      </c>
      <c r="E73" s="5972">
        <f>SUM(G73+I73+K73+M73+O73+Q73+S73+U73+W73+Y73+AA73+AC73+AE73+AG73+AI73+AK73+AM73)</f>
        <v/>
      </c>
      <c r="F73" s="5973" t="n"/>
      <c r="G73" s="5974" t="n"/>
      <c r="H73" s="5973" t="n"/>
      <c r="I73" s="5975" t="n"/>
      <c r="J73" s="5973" t="n"/>
      <c r="K73" s="5975" t="n"/>
      <c r="L73" s="5973" t="n"/>
      <c r="M73" s="5975" t="n"/>
      <c r="N73" s="5976" t="n"/>
      <c r="O73" s="5977" t="n"/>
      <c r="P73" s="5973" t="n"/>
      <c r="Q73" s="5975" t="n"/>
      <c r="R73" s="5976" t="n"/>
      <c r="S73" s="5977" t="n"/>
      <c r="T73" s="5973" t="n"/>
      <c r="U73" s="5977" t="n"/>
      <c r="V73" s="5973" t="n"/>
      <c r="W73" s="5975" t="n"/>
      <c r="X73" s="5976" t="n"/>
      <c r="Y73" s="5977" t="n"/>
      <c r="Z73" s="5973" t="n"/>
      <c r="AA73" s="5975" t="n"/>
      <c r="AB73" s="5976" t="n"/>
      <c r="AC73" s="5977" t="n"/>
      <c r="AD73" s="5973" t="n"/>
      <c r="AE73" s="5975" t="n"/>
      <c r="AF73" s="5976" t="n"/>
      <c r="AG73" s="5977" t="n"/>
      <c r="AH73" s="5973" t="n"/>
      <c r="AI73" s="5975" t="n"/>
      <c r="AJ73" s="5973" t="n"/>
      <c r="AK73" s="5975" t="n"/>
      <c r="AL73" s="5973" t="n"/>
      <c r="AM73" s="5975" t="n"/>
    </row>
    <row r="74" ht="15" customHeight="1" s="8286">
      <c r="A74" s="9610" t="n"/>
      <c r="B74" s="7542" t="inlineStr">
        <is>
          <t>Pueblos no originarios</t>
        </is>
      </c>
      <c r="C74" s="5978">
        <f>SUM(D74:E74)</f>
        <v/>
      </c>
      <c r="D74" s="1588">
        <f>SUM(F74+H74+J74+L74+N74+P74+R74+T74+V74+X74+Z74+AB74+AD74+AF74+AH74+AJ74+AL74)</f>
        <v/>
      </c>
      <c r="E74" s="5979">
        <f>SUM(G74+I74+K74+M74+O74+Q74+S74+U74+W74+Y74+AA74+AC74+AE74+AG74+AI74+AK74+AM74)</f>
        <v/>
      </c>
      <c r="F74" s="5980" t="n"/>
      <c r="G74" s="5981" t="n"/>
      <c r="H74" s="5980" t="n"/>
      <c r="I74" s="5982" t="n"/>
      <c r="J74" s="5980" t="n"/>
      <c r="K74" s="5982" t="n"/>
      <c r="L74" s="5980" t="n"/>
      <c r="M74" s="5982" t="n"/>
      <c r="N74" s="5983" t="n"/>
      <c r="O74" s="5984" t="n"/>
      <c r="P74" s="5980" t="n"/>
      <c r="Q74" s="5982" t="n"/>
      <c r="R74" s="5983" t="n"/>
      <c r="S74" s="5984" t="n"/>
      <c r="T74" s="5980" t="n"/>
      <c r="U74" s="5984" t="n"/>
      <c r="V74" s="5980" t="n"/>
      <c r="W74" s="5982" t="n"/>
      <c r="X74" s="5983" t="n"/>
      <c r="Y74" s="5984" t="n"/>
      <c r="Z74" s="5980" t="n"/>
      <c r="AA74" s="5982" t="n"/>
      <c r="AB74" s="5983" t="n"/>
      <c r="AC74" s="5984" t="n"/>
      <c r="AD74" s="5980" t="n"/>
      <c r="AE74" s="5982" t="n"/>
      <c r="AF74" s="5983" t="n"/>
      <c r="AG74" s="5984" t="n"/>
      <c r="AH74" s="5980" t="n"/>
      <c r="AI74" s="5982" t="n"/>
      <c r="AJ74" s="5980" t="n"/>
      <c r="AK74" s="5982" t="n"/>
      <c r="AL74" s="5980" t="n"/>
      <c r="AM74" s="5982" t="n"/>
    </row>
    <row r="75" ht="15" customHeight="1" s="8286">
      <c r="A75" s="7632" t="inlineStr">
        <is>
          <t>TOTAL</t>
        </is>
      </c>
      <c r="B75" s="9582" t="n"/>
      <c r="C75" s="5985">
        <f>SUM(D75:E75)</f>
        <v/>
      </c>
      <c r="D75" s="1588">
        <f>SUM(F75,H75,J75,L75,N75,P75,R75,T75,V75,X75,Z75,AB75,AD75,AF75,AH75,AJ75,AL75)</f>
        <v/>
      </c>
      <c r="E75" s="5979">
        <f>SUM(G75,I75,K75,M75,O75,Q75,S75,U75,W75,Y75,AA75,AC75,AE75,AG75,AI75,AK75,AM75)</f>
        <v/>
      </c>
      <c r="F75" s="5986">
        <f>SUM(F73:F74)</f>
        <v/>
      </c>
      <c r="G75" s="5987">
        <f>SUM(G73:G74)</f>
        <v/>
      </c>
      <c r="H75" s="5986">
        <f>SUM(H73:H74)</f>
        <v/>
      </c>
      <c r="I75" s="5987">
        <f>SUM(I73:I74)</f>
        <v/>
      </c>
      <c r="J75" s="5986">
        <f>SUM(J73:J74)</f>
        <v/>
      </c>
      <c r="K75" s="5987">
        <f>SUM(K73:K74)</f>
        <v/>
      </c>
      <c r="L75" s="5986">
        <f>SUM(L73:L74)</f>
        <v/>
      </c>
      <c r="M75" s="5987">
        <f>SUM(M73:M74)</f>
        <v/>
      </c>
      <c r="N75" s="5986">
        <f>SUM(N73:N74)</f>
        <v/>
      </c>
      <c r="O75" s="5987">
        <f>SUM(O73:O74)</f>
        <v/>
      </c>
      <c r="P75" s="5986">
        <f>SUM(P73:P74)</f>
        <v/>
      </c>
      <c r="Q75" s="5987">
        <f>SUM(Q73:Q74)</f>
        <v/>
      </c>
      <c r="R75" s="5986">
        <f>SUM(R73:R74)</f>
        <v/>
      </c>
      <c r="S75" s="5987">
        <f>SUM(S73:S74)</f>
        <v/>
      </c>
      <c r="T75" s="5986">
        <f>SUM(T73:T74)</f>
        <v/>
      </c>
      <c r="U75" s="5987">
        <f>SUM(U73:U74)</f>
        <v/>
      </c>
      <c r="V75" s="5986">
        <f>SUM(V73:V74)</f>
        <v/>
      </c>
      <c r="W75" s="5987">
        <f>SUM(W73:W74)</f>
        <v/>
      </c>
      <c r="X75" s="5986">
        <f>SUM(X73:X74)</f>
        <v/>
      </c>
      <c r="Y75" s="5987">
        <f>SUM(Y73:Y74)</f>
        <v/>
      </c>
      <c r="Z75" s="5986">
        <f>SUM(Z73:Z74)</f>
        <v/>
      </c>
      <c r="AA75" s="5987">
        <f>SUM(AA73:AA74)</f>
        <v/>
      </c>
      <c r="AB75" s="5986">
        <f>SUM(AB73:AB74)</f>
        <v/>
      </c>
      <c r="AC75" s="5987">
        <f>SUM(AC73:AC74)</f>
        <v/>
      </c>
      <c r="AD75" s="5986">
        <f>SUM(AD73:AD74)</f>
        <v/>
      </c>
      <c r="AE75" s="5987">
        <f>SUM(AE73:AE74)</f>
        <v/>
      </c>
      <c r="AF75" s="5986">
        <f>SUM(AF73:AF74)</f>
        <v/>
      </c>
      <c r="AG75" s="5987">
        <f>SUM(AG73:AG74)</f>
        <v/>
      </c>
      <c r="AH75" s="5986">
        <f>SUM(AH73:AH74)</f>
        <v/>
      </c>
      <c r="AI75" s="5987">
        <f>SUM(AI73:AI74)</f>
        <v/>
      </c>
      <c r="AJ75" s="5986">
        <f>SUM(AJ73:AJ74)</f>
        <v/>
      </c>
      <c r="AK75" s="5987">
        <f>SUM(AK73:AK74)</f>
        <v/>
      </c>
      <c r="AL75" s="5986">
        <f>SUM(AL73:AL74)</f>
        <v/>
      </c>
      <c r="AM75" s="5987">
        <f>SUM(AM73:AM74)</f>
        <v/>
      </c>
      <c r="BO75" s="65" t="n"/>
      <c r="BP75" s="65" t="n"/>
    </row>
    <row r="76" ht="18" customHeight="1" s="8286">
      <c r="A76" s="9871" t="inlineStr">
        <is>
          <t>SECCIÓN G: INTERVENCIÓN INDIVIDUAL DEL USUARIO EN PROGRAMA ELIGE VIDA SANA</t>
        </is>
      </c>
      <c r="B76" s="9584" t="n"/>
      <c r="C76" s="9584" t="n"/>
      <c r="D76" s="9584" t="n"/>
      <c r="E76" s="9584" t="n"/>
      <c r="F76" s="9584" t="n"/>
      <c r="G76" s="9584" t="n"/>
      <c r="H76" s="1005" t="n"/>
      <c r="I76" s="1005" t="n"/>
      <c r="J76" s="1005" t="n"/>
      <c r="K76" s="1005" t="n"/>
      <c r="L76" s="1005" t="n"/>
      <c r="M76" s="1005" t="n"/>
      <c r="N76" s="969" t="n"/>
      <c r="O76" s="969" t="n"/>
      <c r="P76" s="969" t="n"/>
      <c r="Q76" s="5988" t="n"/>
      <c r="R76" s="5988" t="n"/>
      <c r="S76" s="5988" t="n"/>
      <c r="T76" s="5988" t="n"/>
      <c r="U76" s="5988" t="n"/>
      <c r="V76" s="5988" t="n"/>
      <c r="W76" s="969" t="n"/>
      <c r="X76" s="5988" t="n"/>
      <c r="Y76" s="5988" t="n"/>
      <c r="Z76" s="5988" t="n"/>
      <c r="AA76" s="5989" t="n"/>
      <c r="AB76" s="5989" t="n"/>
      <c r="AC76" s="5989" t="n"/>
      <c r="AD76" s="5989" t="n"/>
      <c r="AE76" s="5990" t="n"/>
      <c r="AF76" s="5990" t="n"/>
      <c r="AG76" s="5990" t="n"/>
      <c r="AH76" s="5991" t="n"/>
      <c r="AI76" s="5992" t="n"/>
      <c r="AJ76" s="5992" t="n"/>
      <c r="AK76" s="5992" t="n"/>
      <c r="AL76" s="5992" t="n"/>
      <c r="AM76" s="5992" t="n"/>
      <c r="AN76" s="5992" t="n"/>
    </row>
    <row r="77" ht="15" customHeight="1" s="8286">
      <c r="A77" s="9592" t="inlineStr">
        <is>
          <t>PROFESIONAL</t>
        </is>
      </c>
      <c r="B77" s="8250" t="inlineStr">
        <is>
          <t>PRESTACIÓN</t>
        </is>
      </c>
      <c r="C77" s="9629" t="inlineStr">
        <is>
          <t>TOTAL</t>
        </is>
      </c>
      <c r="D77" s="9602" t="n"/>
      <c r="E77" s="9630" t="n"/>
      <c r="F77" s="9872" t="inlineStr">
        <is>
          <t>RANGO ETARIO Y SEXO</t>
        </is>
      </c>
      <c r="G77" s="9584" t="n"/>
      <c r="H77" s="9584" t="n"/>
      <c r="I77" s="9584" t="n"/>
      <c r="J77" s="9584" t="n"/>
      <c r="K77" s="9584" t="n"/>
      <c r="L77" s="9584" t="n"/>
      <c r="M77" s="9584" t="n"/>
      <c r="N77" s="9584" t="n"/>
      <c r="O77" s="9584" t="n"/>
      <c r="P77" s="9584" t="n"/>
      <c r="Q77" s="9584" t="n"/>
      <c r="R77" s="9584" t="n"/>
      <c r="S77" s="9584" t="n"/>
      <c r="T77" s="9584" t="n"/>
      <c r="U77" s="9584" t="n"/>
      <c r="V77" s="9584" t="n"/>
      <c r="W77" s="9584" t="n"/>
      <c r="X77" s="9584" t="n"/>
      <c r="Y77" s="9584" t="n"/>
      <c r="Z77" s="9584" t="n"/>
      <c r="AA77" s="9584" t="n"/>
      <c r="AB77" s="9584" t="n"/>
      <c r="AC77" s="9584" t="n"/>
      <c r="AD77" s="9584" t="n"/>
      <c r="AE77" s="9584" t="n"/>
      <c r="AF77" s="9584" t="n"/>
      <c r="AG77" s="9584" t="n"/>
      <c r="AH77" s="9584" t="n"/>
      <c r="AI77" s="9873" t="n"/>
      <c r="AJ77" s="9846" t="inlineStr">
        <is>
          <t>Gestantes</t>
        </is>
      </c>
      <c r="AK77" s="7632" t="inlineStr">
        <is>
          <t>Post Parto</t>
        </is>
      </c>
      <c r="AL77" s="9846" t="inlineStr">
        <is>
          <t>Pueblos Originarios</t>
        </is>
      </c>
      <c r="AM77" s="7632" t="inlineStr">
        <is>
          <t>Migrantes</t>
        </is>
      </c>
      <c r="AN77" s="7632" t="inlineStr">
        <is>
          <t>Espacios Amigables/ Adolescentes</t>
        </is>
      </c>
    </row>
    <row r="78" ht="15" customHeight="1" s="8286">
      <c r="A78" s="9588" t="n"/>
      <c r="B78" s="642" t="n"/>
      <c r="C78" s="9638" t="n"/>
      <c r="D78" s="9697" t="n"/>
      <c r="E78" s="9639" t="n"/>
      <c r="F78" s="9874" t="inlineStr">
        <is>
          <t>Menos de 2 años</t>
        </is>
      </c>
      <c r="G78" s="9647" t="n"/>
      <c r="H78" s="9874" t="inlineStr">
        <is>
          <t>2 - 4 años</t>
        </is>
      </c>
      <c r="I78" s="9647" t="n"/>
      <c r="J78" s="9624" t="inlineStr">
        <is>
          <t>5 - 9 años</t>
        </is>
      </c>
      <c r="K78" s="9647" t="n"/>
      <c r="L78" s="9624" t="inlineStr">
        <is>
          <t>10 - 14 años</t>
        </is>
      </c>
      <c r="M78" s="9647" t="n"/>
      <c r="N78" s="9874" t="inlineStr">
        <is>
          <t>15 - 18 años</t>
        </is>
      </c>
      <c r="O78" s="9647" t="n"/>
      <c r="P78" s="9874" t="inlineStr">
        <is>
          <t>19 años</t>
        </is>
      </c>
      <c r="Q78" s="9647" t="n"/>
      <c r="R78" s="9624" t="inlineStr">
        <is>
          <t>20 - 24 años</t>
        </is>
      </c>
      <c r="S78" s="9647" t="n"/>
      <c r="T78" s="9624" t="inlineStr">
        <is>
          <t>25 - 29 años</t>
        </is>
      </c>
      <c r="U78" s="9647" t="n"/>
      <c r="V78" s="9624" t="inlineStr">
        <is>
          <t>30 - 34 años</t>
        </is>
      </c>
      <c r="W78" s="9647" t="n"/>
      <c r="X78" s="9624" t="inlineStr">
        <is>
          <t>35 - 39 años</t>
        </is>
      </c>
      <c r="Y78" s="9647" t="n"/>
      <c r="Z78" s="9624" t="inlineStr">
        <is>
          <t>40 - 44 años</t>
        </is>
      </c>
      <c r="AA78" s="9647" t="n"/>
      <c r="AB78" s="9624" t="inlineStr">
        <is>
          <t>45 - 49 años</t>
        </is>
      </c>
      <c r="AC78" s="9647" t="n"/>
      <c r="AD78" s="9624" t="inlineStr">
        <is>
          <t>50 - 54 años</t>
        </is>
      </c>
      <c r="AE78" s="9647" t="n"/>
      <c r="AF78" s="9624" t="inlineStr">
        <is>
          <t>55 - 59 años</t>
        </is>
      </c>
      <c r="AG78" s="9647" t="n"/>
      <c r="AH78" s="9875" t="inlineStr">
        <is>
          <t>60 - 64 años</t>
        </is>
      </c>
      <c r="AI78" s="9873" t="n"/>
      <c r="AK78" s="9614" t="n"/>
      <c r="AM78" s="9614" t="n"/>
      <c r="AN78" s="9614" t="n"/>
    </row>
    <row r="79" ht="15" customHeight="1" s="8286">
      <c r="A79" s="9589" t="n"/>
      <c r="B79" s="9698" t="n"/>
      <c r="C79" s="5966" t="inlineStr">
        <is>
          <t>Ambos Sexos</t>
        </is>
      </c>
      <c r="D79" s="5968" t="inlineStr">
        <is>
          <t>Hombres</t>
        </is>
      </c>
      <c r="E79" s="7280" t="inlineStr">
        <is>
          <t>Mujeres</t>
        </is>
      </c>
      <c r="F79" s="5966" t="inlineStr">
        <is>
          <t>Hombres</t>
        </is>
      </c>
      <c r="G79" s="7280" t="inlineStr">
        <is>
          <t>Mujeres</t>
        </is>
      </c>
      <c r="H79" s="7400" t="inlineStr">
        <is>
          <t>Hombres</t>
        </is>
      </c>
      <c r="I79" s="7280" t="inlineStr">
        <is>
          <t>Mujeres</t>
        </is>
      </c>
      <c r="J79" s="5966" t="inlineStr">
        <is>
          <t>Hombres</t>
        </is>
      </c>
      <c r="K79" s="7280" t="inlineStr">
        <is>
          <t>Mujeres</t>
        </is>
      </c>
      <c r="L79" s="5966" t="inlineStr">
        <is>
          <t>Hombres</t>
        </is>
      </c>
      <c r="M79" s="7280" t="inlineStr">
        <is>
          <t>Mujeres</t>
        </is>
      </c>
      <c r="N79" s="5966" t="inlineStr">
        <is>
          <t>Hombres</t>
        </is>
      </c>
      <c r="O79" s="7280" t="inlineStr">
        <is>
          <t>Mujeres</t>
        </is>
      </c>
      <c r="P79" s="5966" t="inlineStr">
        <is>
          <t>Hombres</t>
        </is>
      </c>
      <c r="Q79" s="7280" t="inlineStr">
        <is>
          <t>Mujeres</t>
        </is>
      </c>
      <c r="R79" s="5966" t="inlineStr">
        <is>
          <t>Hombres</t>
        </is>
      </c>
      <c r="S79" s="7280" t="inlineStr">
        <is>
          <t>Mujeres</t>
        </is>
      </c>
      <c r="T79" s="5966" t="inlineStr">
        <is>
          <t>Hombres</t>
        </is>
      </c>
      <c r="U79" s="7280" t="inlineStr">
        <is>
          <t>Mujeres</t>
        </is>
      </c>
      <c r="V79" s="5966" t="inlineStr">
        <is>
          <t>Hombres</t>
        </is>
      </c>
      <c r="W79" s="7280" t="inlineStr">
        <is>
          <t>Mujeres</t>
        </is>
      </c>
      <c r="X79" s="5966" t="inlineStr">
        <is>
          <t>Hombres</t>
        </is>
      </c>
      <c r="Y79" s="7280" t="inlineStr">
        <is>
          <t>Mujeres</t>
        </is>
      </c>
      <c r="Z79" s="5966" t="inlineStr">
        <is>
          <t>Hombres</t>
        </is>
      </c>
      <c r="AA79" s="7280" t="inlineStr">
        <is>
          <t>Mujeres</t>
        </is>
      </c>
      <c r="AB79" s="5966" t="inlineStr">
        <is>
          <t>Hombres</t>
        </is>
      </c>
      <c r="AC79" s="7280" t="inlineStr">
        <is>
          <t>Mujeres</t>
        </is>
      </c>
      <c r="AD79" s="5966" t="inlineStr">
        <is>
          <t>Hombres</t>
        </is>
      </c>
      <c r="AE79" s="7280" t="inlineStr">
        <is>
          <t>Mujeres</t>
        </is>
      </c>
      <c r="AF79" s="5966" t="inlineStr">
        <is>
          <t>Hombres</t>
        </is>
      </c>
      <c r="AG79" s="7280" t="inlineStr">
        <is>
          <t>Mujeres</t>
        </is>
      </c>
      <c r="AH79" s="5966" t="inlineStr">
        <is>
          <t>Hombres</t>
        </is>
      </c>
      <c r="AI79" s="7570" t="inlineStr">
        <is>
          <t>Mujeres</t>
        </is>
      </c>
      <c r="AJ79" s="9591" t="n"/>
      <c r="AK79" s="9610" t="n"/>
      <c r="AL79" s="9591" t="n"/>
      <c r="AM79" s="9610" t="n"/>
      <c r="AN79" s="9610" t="n"/>
    </row>
    <row r="80" ht="15" customHeight="1" s="8286">
      <c r="A80" s="5994" t="inlineStr">
        <is>
          <t xml:space="preserve">Profesional de la actividad física </t>
        </is>
      </c>
      <c r="B80" s="5995" t="inlineStr">
        <is>
          <t xml:space="preserve">Evaluación </t>
        </is>
      </c>
      <c r="C80" s="5996">
        <f>SUM(D80:E80)</f>
        <v/>
      </c>
      <c r="D80" s="1504">
        <f>SUM(F80,H80,J80,L80,N80,P80,R80,T80,V80,X80,Z80,AB80,AD80,AF80,AH80)</f>
        <v/>
      </c>
      <c r="E80" s="5937">
        <f>SUM(G80,I80,K80,M80,O80,Q80,S80,U80,W80,Y80,AA80,AC80,AE80,AG80,AI80)</f>
        <v/>
      </c>
      <c r="F80" s="1083" t="n"/>
      <c r="G80" s="1590" t="n"/>
      <c r="H80" s="1628" t="n"/>
      <c r="I80" s="1590" t="n"/>
      <c r="J80" s="1083" t="n"/>
      <c r="K80" s="949" t="n"/>
      <c r="L80" s="1083" t="n"/>
      <c r="M80" s="949" t="n"/>
      <c r="N80" s="1083" t="n"/>
      <c r="O80" s="949" t="n"/>
      <c r="P80" s="1083" t="n"/>
      <c r="Q80" s="949" t="n"/>
      <c r="R80" s="1083" t="n"/>
      <c r="S80" s="949" t="n"/>
      <c r="T80" s="1083" t="n"/>
      <c r="U80" s="949" t="n"/>
      <c r="V80" s="1083" t="n"/>
      <c r="W80" s="949" t="n"/>
      <c r="X80" s="1083" t="n"/>
      <c r="Y80" s="949" t="n"/>
      <c r="Z80" s="1083" t="n"/>
      <c r="AA80" s="949" t="n"/>
      <c r="AB80" s="1083" t="n"/>
      <c r="AC80" s="949" t="n"/>
      <c r="AD80" s="1083" t="n"/>
      <c r="AE80" s="949" t="n"/>
      <c r="AF80" s="1083" t="n"/>
      <c r="AG80" s="949" t="n"/>
      <c r="AH80" s="1083" t="n"/>
      <c r="AI80" s="962" t="n"/>
      <c r="AJ80" s="5297" t="n"/>
      <c r="AK80" s="5298" t="n"/>
      <c r="AL80" s="5301" t="n"/>
      <c r="AM80" s="5298" t="n"/>
      <c r="AN80" s="5298" t="n"/>
      <c r="AO80" s="622">
        <f>BO80&amp;BP80&amp;BQ80&amp;BR80&amp;BS80</f>
        <v/>
      </c>
      <c r="BO80" s="5822">
        <f>IF(AND(E80&gt;0,AJ80="")," *  No olvide digitar la variable Gestantes. Digite Cero si no tiene.",IF(AJ80&gt;E80,"  * La variable Gestantes No puede ser mayor al Total Mujeres.",""))</f>
        <v/>
      </c>
      <c r="BP80" s="5822">
        <f>IF(AND(E80&gt;0,AK80="")," *  No olvide digitar la variable Postparto. Digite Cero si no tiene.",IF(AK80&gt;E80,"  * La variable Postparto No puede ser mayor al Total Mujeres.",""))</f>
        <v/>
      </c>
      <c r="BQ80" s="5822">
        <f>IF(AND(C80&gt;0,AL80="")," *  No olvide digitar la variable Pueblos originarios. Digite Cero si no tiene.",IF(AL80&gt;C80,"  * La variable Pueblos originarios No puede ser mayor al Total.",""))</f>
        <v/>
      </c>
      <c r="BR80" s="5822">
        <f>IF(AND(C80&gt;0,AM80="")," *  No olvide digitar la variable Migrantes. Digite Cero si no tiene.",IF(AM80&gt;C80,"  * La variable Migrantes No puede ser mayor al Total.",""))</f>
        <v/>
      </c>
      <c r="BS80" s="5822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/>
      </c>
      <c r="BV80" s="5823">
        <f>IF(AND(E80&gt;0,AK80=""),1,IF(AK80&gt;E80,1,0))</f>
        <v/>
      </c>
      <c r="BW80" s="5823">
        <f>IF(AND(C80&gt;0,AL80=""),1,IF(AL80&gt;C80,1,0))</f>
        <v/>
      </c>
      <c r="BX80" s="5823">
        <f>IF(AND(C80&gt;0,AM80=""),1,IF(AM80&gt;C80,1,0))</f>
        <v/>
      </c>
      <c r="BY80" s="5823">
        <f>IF(AND(C80&gt;0,AN80=""),1,IF(AN80&gt;C80,1,0))</f>
        <v/>
      </c>
    </row>
    <row r="81" ht="15" customHeight="1" s="8286">
      <c r="A81" s="9876" t="inlineStr">
        <is>
          <t xml:space="preserve">Nutricionista </t>
        </is>
      </c>
      <c r="B81" s="7472" t="inlineStr">
        <is>
          <t xml:space="preserve">Consulta Nutricional </t>
        </is>
      </c>
      <c r="C81" s="5814">
        <f>SUM(D81:E81)</f>
        <v/>
      </c>
      <c r="D81" s="1603">
        <f>SUM(F81,H81,J81,L81,N81,P81,R81,T81,V81,X81,Z81,AB81,AD81,AF81,AH81)</f>
        <v/>
      </c>
      <c r="E81" s="5998">
        <f>SUM(G81,I81,K81,M81,O81,Q81,S81,U81,W81,Y81,AA81,AC81,AE81,AG81,AI81)</f>
        <v/>
      </c>
      <c r="F81" s="5999" t="n"/>
      <c r="G81" s="1535" t="n"/>
      <c r="H81" s="1635" t="n"/>
      <c r="I81" s="1535" t="n"/>
      <c r="J81" s="5999" t="n"/>
      <c r="K81" s="943" t="n"/>
      <c r="L81" s="5999" t="n"/>
      <c r="M81" s="943" t="n"/>
      <c r="N81" s="5999" t="n"/>
      <c r="O81" s="943" t="n"/>
      <c r="P81" s="5999" t="n"/>
      <c r="Q81" s="943" t="n"/>
      <c r="R81" s="5999" t="n"/>
      <c r="S81" s="943" t="n"/>
      <c r="T81" s="5999" t="n"/>
      <c r="U81" s="943" t="n"/>
      <c r="V81" s="5999" t="n"/>
      <c r="W81" s="943" t="n"/>
      <c r="X81" s="5999" t="n"/>
      <c r="Y81" s="943" t="n"/>
      <c r="Z81" s="5999" t="n"/>
      <c r="AA81" s="943" t="n"/>
      <c r="AB81" s="5999" t="n"/>
      <c r="AC81" s="943" t="n"/>
      <c r="AD81" s="5999" t="n"/>
      <c r="AE81" s="943" t="n"/>
      <c r="AF81" s="5999" t="n"/>
      <c r="AG81" s="943" t="n"/>
      <c r="AH81" s="5999" t="n"/>
      <c r="AI81" s="1004" t="n"/>
      <c r="AJ81" s="5288" t="n"/>
      <c r="AK81" s="1645" t="n"/>
      <c r="AL81" s="1077" t="n"/>
      <c r="AM81" s="1645" t="n"/>
      <c r="AN81" s="1645" t="n"/>
      <c r="AO81" s="622">
        <f>BO81&amp;BP81&amp;BQ81&amp;BR81&amp;BS81</f>
        <v/>
      </c>
      <c r="BO81" s="5822">
        <f>IF(AND(E81&gt;0,AJ81="")," *  No olvide digitar la variable Gestantes. Digite Cero si no tiene.",IF(AJ81&gt;E81,"  * La variable Gestantes No puede ser mayor al Total Mujeres.",""))</f>
        <v/>
      </c>
      <c r="BP81" s="5822">
        <f>IF(AND(E81&gt;0,AK81="")," *  No olvide digitar la variable Postparto. Digite Cero si no tiene.",IF(AK81&gt;E81,"  * La variable Postparto No puede ser mayor al Total Mujeres.",""))</f>
        <v/>
      </c>
      <c r="BQ81" s="5822">
        <f>IF(AND(C81&gt;0,AL81="")," *  No olvide digitar la variable Pueblos originarios. Digite Cero si no tiene.",IF(AL81&gt;C81,"  * La variable Pueblos originarios No puede ser mayor al Total.",""))</f>
        <v/>
      </c>
      <c r="BR81" s="5822">
        <f>IF(AND(C81&gt;0,AM81="")," *  No olvide digitar la variable Migrantes. Digite Cero si no tiene.",IF(AM81&gt;C81,"  * La variable Migrantes No puede ser mayor al Total.",""))</f>
        <v/>
      </c>
      <c r="BS81" s="5822">
        <f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>IF(AND(E81&gt;0,AJ81=""),1,IF(AJ81&gt;E81,1,0))</f>
        <v/>
      </c>
      <c r="BV81" s="5823">
        <f>IF(AND(E81&gt;0,AK81=""),1,IF(AK81&gt;E81,1,0))</f>
        <v/>
      </c>
      <c r="BW81" s="5823">
        <f>IF(AND(C81&gt;0,AL81=""),1,IF(AL81&gt;C81,1,0))</f>
        <v/>
      </c>
      <c r="BX81" s="5823">
        <f>IF(AND(C81&gt;0,AM81=""),1,IF(AM81&gt;C81,1,0))</f>
        <v/>
      </c>
      <c r="BY81" s="5823">
        <f>IF(AND(C81&gt;0,AN81=""),1,IF(AN81&gt;C81,1,0))</f>
        <v/>
      </c>
    </row>
    <row r="82" ht="15" customHeight="1" s="8286">
      <c r="A82" s="9610" t="n"/>
      <c r="B82" s="7199" t="inlineStr">
        <is>
          <t xml:space="preserve">Consulta Nutricional de seguimiento </t>
        </is>
      </c>
      <c r="C82" s="5856">
        <f>SUM(D82:E82)</f>
        <v/>
      </c>
      <c r="D82" s="1603">
        <f>SUM(F82,H82,J82,L82,N82,P82,R82,T82,V82,X82,Z82,AB82,AD82,AF82,AH82)</f>
        <v/>
      </c>
      <c r="E82" s="5998">
        <f>SUM(G82,I82,K82,M82,O82,Q82,S82,U82,W82,Y82,AA82,AC82,AE82,AG82,AI82)</f>
        <v/>
      </c>
      <c r="F82" s="1561" t="n"/>
      <c r="G82" s="1565" t="n"/>
      <c r="H82" s="1781" t="n"/>
      <c r="I82" s="1565" t="n"/>
      <c r="J82" s="1561" t="n"/>
      <c r="K82" s="1562" t="n"/>
      <c r="L82" s="1561" t="n"/>
      <c r="M82" s="1562" t="n"/>
      <c r="N82" s="1561" t="n"/>
      <c r="O82" s="1562" t="n"/>
      <c r="P82" s="1561" t="n"/>
      <c r="Q82" s="1562" t="n"/>
      <c r="R82" s="1561" t="n"/>
      <c r="S82" s="1562" t="n"/>
      <c r="T82" s="1561" t="n"/>
      <c r="U82" s="1562" t="n"/>
      <c r="V82" s="1561" t="n"/>
      <c r="W82" s="1562" t="n"/>
      <c r="X82" s="1561" t="n"/>
      <c r="Y82" s="1562" t="n"/>
      <c r="Z82" s="1561" t="n"/>
      <c r="AA82" s="1562" t="n"/>
      <c r="AB82" s="1561" t="n"/>
      <c r="AC82" s="1562" t="n"/>
      <c r="AD82" s="1561" t="n"/>
      <c r="AE82" s="1562" t="n"/>
      <c r="AF82" s="1561" t="n"/>
      <c r="AG82" s="1562" t="n"/>
      <c r="AH82" s="1561" t="n"/>
      <c r="AI82" s="1794" t="n"/>
      <c r="AJ82" s="5292" t="n"/>
      <c r="AK82" s="5296" t="n"/>
      <c r="AL82" s="978" t="n"/>
      <c r="AM82" s="5296" t="n"/>
      <c r="AN82" s="5296" t="n"/>
      <c r="AO82" s="622">
        <f>BO82&amp;BP82&amp;BQ82&amp;BR82&amp;BS82</f>
        <v/>
      </c>
      <c r="BO82" s="5822">
        <f>IF(AND(E82&gt;0,AJ82="")," *  No olvide digitar la variable Gestantes. Digite Cero si no tiene.",IF(AJ82&gt;E82,"  * La variable Gestantes No puede ser mayor al Total Mujeres.",""))</f>
        <v/>
      </c>
      <c r="BP82" s="5822">
        <f>IF(AND(E82&gt;0,AK82="")," *  No olvide digitar la variable Postparto. Digite Cero si no tiene.",IF(AK82&gt;E82,"  * La variable Postparto No puede ser mayor al Total Mujeres.",""))</f>
        <v/>
      </c>
      <c r="BQ82" s="5822">
        <f>IF(AND(C82&gt;0,AL82="")," *  No olvide digitar la variable Pueblos originarios. Digite Cero si no tiene.",IF(AL82&gt;C82,"  * La variable Pueblos originarios No puede ser mayor al Total.",""))</f>
        <v/>
      </c>
      <c r="BR82" s="5822">
        <f>IF(AND(C82&gt;0,AM82="")," *  No olvide digitar la variable Migrantes. Digite Cero si no tiene.",IF(AM82&gt;C82,"  * La variable Migrantes No puede ser mayor al Total.",""))</f>
        <v/>
      </c>
      <c r="BS82" s="5822">
        <f>IF(AND(C82&gt;0,AN82="")," *  No olvide digitar la variable Espacios Amigables/adolescentes. Digite Cero si no tiene.",IF(AN82&gt;C82,"  * La variable Espacios Amigables/adolescentes No puede ser mayor al Total.",""))</f>
        <v/>
      </c>
      <c r="BU82" s="5823">
        <f>IF(AND(E82&gt;0,AJ82=""),1,IF(AJ82&gt;E82,1,0))</f>
        <v/>
      </c>
      <c r="BV82" s="5823">
        <f>IF(AND(E82&gt;0,AK82=""),1,IF(AK82&gt;E82,1,0))</f>
        <v/>
      </c>
      <c r="BW82" s="5823">
        <f>IF(AND(C82&gt;0,AL82=""),1,IF(AL82&gt;C82,1,0))</f>
        <v/>
      </c>
      <c r="BX82" s="5823">
        <f>IF(AND(C82&gt;0,AM82=""),1,IF(AM82&gt;C82,1,0))</f>
        <v/>
      </c>
      <c r="BY82" s="5823">
        <f>IF(AND(C82&gt;0,AN82=""),1,IF(AN82&gt;C82,1,0))</f>
        <v/>
      </c>
    </row>
    <row r="83" ht="15" customHeight="1" s="8286">
      <c r="A83" s="7576" t="inlineStr">
        <is>
          <t xml:space="preserve">Psicólogo/a </t>
        </is>
      </c>
      <c r="B83" s="6000" t="inlineStr">
        <is>
          <t xml:space="preserve">Consulta </t>
        </is>
      </c>
      <c r="C83" s="5996">
        <f>SUM(D83:E83)</f>
        <v/>
      </c>
      <c r="D83" s="1504">
        <f>SUM(F83,H83,J83,L83,N83,P83,R83,T83,V83,X83,Z83,AB83,AD83,AF83,AH83)</f>
        <v/>
      </c>
      <c r="E83" s="5937">
        <f>SUM(G83,I83,K83,M83,O83,Q83,S83,U83,W83,Y83,AA83,AC83,AE83,AG83,AI83)</f>
        <v/>
      </c>
      <c r="F83" s="6001" t="n"/>
      <c r="G83" s="1507" t="n"/>
      <c r="H83" s="6002" t="n"/>
      <c r="I83" s="1507" t="n"/>
      <c r="J83" s="6001" t="n"/>
      <c r="K83" s="6003" t="n"/>
      <c r="L83" s="6001" t="n"/>
      <c r="M83" s="6003" t="n"/>
      <c r="N83" s="6001" t="n"/>
      <c r="O83" s="6003" t="n"/>
      <c r="P83" s="6001" t="n"/>
      <c r="Q83" s="6003" t="n"/>
      <c r="R83" s="6001" t="n"/>
      <c r="S83" s="6003" t="n"/>
      <c r="T83" s="6001" t="n"/>
      <c r="U83" s="6003" t="n"/>
      <c r="V83" s="6001" t="n"/>
      <c r="W83" s="6003" t="n"/>
      <c r="X83" s="6001" t="n"/>
      <c r="Y83" s="6003" t="n"/>
      <c r="Z83" s="6001" t="n"/>
      <c r="AA83" s="6003" t="n"/>
      <c r="AB83" s="6001" t="n"/>
      <c r="AC83" s="6003" t="n"/>
      <c r="AD83" s="6001" t="n"/>
      <c r="AE83" s="6003" t="n"/>
      <c r="AF83" s="6001" t="n"/>
      <c r="AG83" s="6003" t="n"/>
      <c r="AH83" s="6001" t="n"/>
      <c r="AI83" s="6004" t="n"/>
      <c r="AJ83" s="5287" t="n"/>
      <c r="AK83" s="5293" t="n"/>
      <c r="AL83" s="6005" t="n"/>
      <c r="AM83" s="5293" t="n"/>
      <c r="AN83" s="5293" t="n"/>
      <c r="AO83" s="622">
        <f>BO83&amp;BP83&amp;BQ83&amp;BR83&amp;BS83</f>
        <v/>
      </c>
      <c r="BO83" s="5822">
        <f>IF(AND(E83&gt;0,AJ83="")," *  No olvide digitar la variable Gestantes. Digite Cero si no tiene.",IF(AJ83&gt;E83,"  * La variable Gestantes No puede ser mayor al Total Mujeres.",""))</f>
        <v/>
      </c>
      <c r="BP83" s="5822">
        <f>IF(AND(E83&gt;0,AK83="")," *  No olvide digitar la variable Postparto. Digite Cero si no tiene.",IF(AK83&gt;E83,"  * La variable Postparto No puede ser mayor al Total Mujeres.",""))</f>
        <v/>
      </c>
      <c r="BQ83" s="5822">
        <f>IF(AND(C83&gt;0,AL83="")," *  No olvide digitar la variable Pueblos originarios. Digite Cero si no tiene.",IF(AL83&gt;C83,"  * La variable Pueblos originarios No puede ser mayor al Total.",""))</f>
        <v/>
      </c>
      <c r="BR83" s="5822">
        <f>IF(AND(C83&gt;0,AM83="")," *  No olvide digitar la variable Migrantes. Digite Cero si no tiene.",IF(AM83&gt;C83,"  * La variable Migrantes No puede ser mayor al Total.",""))</f>
        <v/>
      </c>
      <c r="BS83" s="5822">
        <f>IF(AND(C83&gt;0,AN83="")," *  No olvide digitar la variable Espacios Amigables/adolescentes. Digite Cero si no tiene.",IF(AN83&gt;C83,"  * La variable Espacios Amigables/adolescentes No puede ser mayor al Total.",""))</f>
        <v/>
      </c>
      <c r="BU83" s="5823">
        <f>IF(AND(E83&gt;0,AJ83=""),1,IF(AJ83&gt;E83,1,0))</f>
        <v/>
      </c>
      <c r="BV83" s="5823">
        <f>IF(AND(E83&gt;0,AK83=""),1,IF(AK83&gt;E83,1,0))</f>
        <v/>
      </c>
      <c r="BW83" s="5823">
        <f>IF(AND(C83&gt;0,AL83=""),1,IF(AL83&gt;C83,1,0))</f>
        <v/>
      </c>
      <c r="BX83" s="5823">
        <f>IF(AND(C83&gt;0,AM83=""),1,IF(AM83&gt;C83,1,0))</f>
        <v/>
      </c>
      <c r="BY83" s="5823">
        <f>IF(AND(C83&gt;0,AN83=""),1,IF(AN83&gt;C83,1,0))</f>
        <v/>
      </c>
    </row>
    <row r="84" ht="18" customHeight="1" s="8286">
      <c r="A84" s="1001" t="inlineStr">
        <is>
          <t xml:space="preserve">SECCIÓN H.1 : SERVICIOS FARMACÉUTICOS  EN ATENCIÓN PRIMARIA </t>
        </is>
      </c>
      <c r="B84" s="969" t="n"/>
      <c r="C84" s="969" t="n"/>
      <c r="D84" s="969" t="n"/>
      <c r="E84" s="969" t="n"/>
      <c r="F84" s="969" t="n"/>
    </row>
    <row r="85" ht="31.15" customHeight="1" s="8286">
      <c r="A85" s="9618" t="inlineStr">
        <is>
          <t>COMPONENTE</t>
        </is>
      </c>
      <c r="B85" s="9877" t="n"/>
      <c r="C85" s="7632" t="inlineStr">
        <is>
          <t>Atención abierta</t>
        </is>
      </c>
      <c r="D85" s="9878" t="inlineStr">
        <is>
          <t>Atención cerrada</t>
        </is>
      </c>
      <c r="E85" s="8274" t="inlineStr">
        <is>
          <t xml:space="preserve">Servicios Farmacéuticos realizados en establecimientos de salud </t>
        </is>
      </c>
      <c r="F85" s="7632" t="inlineStr">
        <is>
          <t xml:space="preserve">Servicios Farmacéuticos realizados en domicilio </t>
        </is>
      </c>
    </row>
    <row r="86" ht="24.6" customHeight="1" s="8286">
      <c r="A86" s="9610" t="n"/>
      <c r="B86" s="9610" t="n"/>
      <c r="C86" s="9610" t="n"/>
      <c r="D86" s="9879" t="n"/>
      <c r="E86" s="9639" t="n"/>
      <c r="F86" s="9610" t="n"/>
    </row>
    <row r="87" ht="15" customHeight="1" s="8286">
      <c r="A87" s="9880" t="inlineStr">
        <is>
          <t xml:space="preserve">Atención Farmacéutica </t>
        </is>
      </c>
      <c r="B87" s="9584" t="n"/>
      <c r="C87" s="9584" t="n"/>
      <c r="D87" s="9584" t="n"/>
      <c r="E87" s="9584" t="n"/>
      <c r="F87" s="9647" t="n"/>
    </row>
    <row r="88" ht="15" customHeight="1" s="8286">
      <c r="A88" s="7472" t="inlineStr">
        <is>
          <t xml:space="preserve">Revisión de la medicación sin entrevista </t>
        </is>
      </c>
      <c r="B88" s="6006" t="n"/>
      <c r="C88" s="6007" t="n">
        <v>22</v>
      </c>
      <c r="D88" s="6008" t="n"/>
      <c r="E88" s="5817" t="n">
        <v>22</v>
      </c>
      <c r="F88" s="6007" t="n">
        <v>0</v>
      </c>
    </row>
    <row r="89" ht="15" customHeight="1" s="8286">
      <c r="A89" s="7474" t="inlineStr">
        <is>
          <t xml:space="preserve">Revisión de la mediación con entrevista </t>
        </is>
      </c>
      <c r="B89" s="6009" t="n"/>
      <c r="C89" s="6010" t="n"/>
      <c r="D89" s="6011" t="n"/>
      <c r="E89" s="5827" t="n"/>
      <c r="F89" s="6010" t="n"/>
    </row>
    <row r="90" ht="15" customHeight="1" s="8286">
      <c r="A90" s="7474" t="inlineStr">
        <is>
          <t xml:space="preserve">Conciliación farmacéutica </t>
        </is>
      </c>
      <c r="B90" s="6009" t="n"/>
      <c r="C90" s="6010" t="n"/>
      <c r="D90" s="6011" t="n"/>
      <c r="E90" s="5827" t="n"/>
      <c r="F90" s="6010" t="n"/>
    </row>
    <row r="91" ht="15" customHeight="1" s="8286">
      <c r="A91" s="7474" t="inlineStr">
        <is>
          <t xml:space="preserve">Educación farmacéutica </t>
        </is>
      </c>
      <c r="B91" s="6009" t="n"/>
      <c r="C91" s="6010" t="n">
        <v>4</v>
      </c>
      <c r="D91" s="6011" t="n"/>
      <c r="E91" s="5827" t="n">
        <v>4</v>
      </c>
      <c r="F91" s="6010" t="n">
        <v>0</v>
      </c>
    </row>
    <row r="92" ht="15" customHeight="1" s="8286">
      <c r="A92" s="7231" t="inlineStr">
        <is>
          <t xml:space="preserve">Seguimiento Farmacoterapéutico </t>
        </is>
      </c>
      <c r="B92" s="6012" t="n"/>
      <c r="C92" s="5945" t="n"/>
      <c r="D92" s="6013" t="n"/>
      <c r="E92" s="6014" t="n"/>
      <c r="F92" s="5945" t="n"/>
    </row>
    <row r="93" ht="15" customHeight="1" s="8286">
      <c r="A93" s="9880" t="inlineStr">
        <is>
          <t xml:space="preserve">Farmacovigilancia </t>
        </is>
      </c>
      <c r="B93" s="9584" t="n"/>
      <c r="C93" s="9584" t="n"/>
      <c r="D93" s="9584" t="n"/>
      <c r="E93" s="9584" t="n"/>
      <c r="F93" s="9647" t="n"/>
    </row>
    <row r="94" ht="15" customHeight="1" s="8286">
      <c r="A94" s="7198" t="inlineStr">
        <is>
          <t xml:space="preserve">Reporte reacción adversa a medicamentos </t>
        </is>
      </c>
      <c r="B94" s="6015" t="n"/>
      <c r="C94" s="6007" t="n">
        <v>9</v>
      </c>
      <c r="D94" s="6008" t="n"/>
      <c r="E94" s="5817" t="n">
        <v>9</v>
      </c>
      <c r="F94" s="6007" t="n">
        <v>0</v>
      </c>
    </row>
    <row r="95" ht="15" customHeight="1" s="8286">
      <c r="A95" s="7199" t="inlineStr">
        <is>
          <t xml:space="preserve">Reporte falla de calidad </t>
        </is>
      </c>
      <c r="B95" s="6016" t="n"/>
      <c r="C95" s="6010" t="n"/>
      <c r="D95" s="6011" t="n"/>
      <c r="E95" s="5827" t="n"/>
      <c r="F95" s="6010" t="n"/>
    </row>
    <row r="96" ht="21.6" customHeight="1" s="8286">
      <c r="A96" s="7613" t="inlineStr">
        <is>
          <t xml:space="preserve">Reporte de eventos adversos asociados a medicamentos </t>
        </is>
      </c>
      <c r="B96" s="5586" t="n"/>
      <c r="C96" s="6018" t="n"/>
      <c r="D96" s="6013" t="n"/>
      <c r="E96" s="5906" t="n"/>
      <c r="F96" s="6018" t="n"/>
    </row>
    <row r="97" ht="21.6" customHeight="1" s="8286">
      <c r="A97" s="1001" t="inlineStr">
        <is>
          <t>SECCIÓN H.2 : SERVICIOS FARMACÉUTICOS EN ATENCIÓN HOSPITALARIA</t>
        </is>
      </c>
      <c r="B97" s="969" t="n"/>
      <c r="C97" s="969" t="n"/>
      <c r="D97" s="969" t="n"/>
      <c r="E97" s="969" t="n"/>
    </row>
    <row r="98" ht="21.6" customHeight="1" s="8286">
      <c r="A98" s="9618" t="inlineStr">
        <is>
          <t>COMPONENTE</t>
        </is>
      </c>
      <c r="B98" s="7632" t="inlineStr">
        <is>
          <t>TOTAL</t>
        </is>
      </c>
      <c r="C98" s="7632" t="inlineStr">
        <is>
          <t>Atención abierta</t>
        </is>
      </c>
      <c r="D98" s="7632" t="inlineStr">
        <is>
          <t>Atención cerrada</t>
        </is>
      </c>
      <c r="E98" s="8274" t="inlineStr">
        <is>
          <t>Urgencia</t>
        </is>
      </c>
    </row>
    <row r="99" ht="21.6" customHeight="1" s="8286">
      <c r="A99" s="9610" t="n"/>
      <c r="B99" s="9610" t="n"/>
      <c r="C99" s="9610" t="n"/>
      <c r="D99" s="9610" t="n"/>
      <c r="E99" s="9639" t="n"/>
    </row>
    <row r="100" ht="15" customHeight="1" s="8286">
      <c r="A100" s="6019" t="inlineStr">
        <is>
          <t xml:space="preserve">Atención Farmacéutica </t>
        </is>
      </c>
      <c r="B100" s="6020" t="n"/>
      <c r="C100" s="6020" t="n"/>
      <c r="D100" s="6020" t="n"/>
      <c r="E100" s="6021" t="n"/>
    </row>
    <row r="101" ht="15" customHeight="1" s="8286">
      <c r="A101" s="7472" t="inlineStr">
        <is>
          <t xml:space="preserve">Revisión de la medicación sin entrevista </t>
        </is>
      </c>
      <c r="B101" s="6022">
        <f>SUM(C101:E101)</f>
        <v/>
      </c>
      <c r="C101" s="6007" t="n"/>
      <c r="D101" s="6007" t="n"/>
      <c r="E101" s="5817" t="n"/>
    </row>
    <row r="102" ht="15" customHeight="1" s="8286">
      <c r="A102" s="7474" t="inlineStr">
        <is>
          <t xml:space="preserve">Revisión de la mediación con entrevista </t>
        </is>
      </c>
      <c r="B102" s="6023">
        <f>SUM(C102:E102)</f>
        <v/>
      </c>
      <c r="C102" s="6010" t="n"/>
      <c r="D102" s="6010" t="n"/>
      <c r="E102" s="5827" t="n"/>
    </row>
    <row r="103" ht="15" customHeight="1" s="8286">
      <c r="A103" s="7474" t="inlineStr">
        <is>
          <t xml:space="preserve">Conciliación farmacéutica </t>
        </is>
      </c>
      <c r="B103" s="6023">
        <f>SUM(C103:E103)</f>
        <v/>
      </c>
      <c r="C103" s="6010" t="n"/>
      <c r="D103" s="6010" t="n"/>
      <c r="E103" s="5827" t="n"/>
    </row>
    <row r="104" ht="15" customHeight="1" s="8286">
      <c r="A104" s="7474" t="inlineStr">
        <is>
          <t xml:space="preserve">Educación farmacéutica </t>
        </is>
      </c>
      <c r="B104" s="6023">
        <f>SUM(C104:E104)</f>
        <v/>
      </c>
      <c r="C104" s="6010" t="n"/>
      <c r="D104" s="6010" t="n"/>
      <c r="E104" s="5827" t="n"/>
    </row>
    <row r="105" ht="15" customHeight="1" s="8286">
      <c r="A105" s="7231" t="inlineStr">
        <is>
          <t xml:space="preserve">Seguimiento Farmacoterapéutico </t>
        </is>
      </c>
      <c r="B105" s="6024">
        <f>SUM(C105:E105)</f>
        <v/>
      </c>
      <c r="C105" s="5945" t="n"/>
      <c r="D105" s="6018" t="n"/>
      <c r="E105" s="6014" t="n"/>
    </row>
    <row r="106" ht="15" customHeight="1" s="8286">
      <c r="A106" s="6019" t="inlineStr">
        <is>
          <t xml:space="preserve">Farmacovigilancia </t>
        </is>
      </c>
      <c r="B106" s="6020" t="n"/>
      <c r="C106" s="6020" t="n"/>
      <c r="D106" s="6020" t="n"/>
      <c r="E106" s="6021" t="n"/>
    </row>
    <row r="107" ht="15" customHeight="1" s="8286">
      <c r="A107" s="7198" t="inlineStr">
        <is>
          <t xml:space="preserve">Reporte reacción adversa a medicamentos </t>
        </is>
      </c>
      <c r="B107" s="6022">
        <f>SUM(C107:E107)</f>
        <v/>
      </c>
      <c r="C107" s="6007" t="n"/>
      <c r="D107" s="6007" t="n"/>
      <c r="E107" s="5817" t="n"/>
    </row>
    <row r="108" ht="15" customHeight="1" s="8286">
      <c r="A108" s="7199" t="inlineStr">
        <is>
          <t xml:space="preserve">Reporte falla de calidad </t>
        </is>
      </c>
      <c r="B108" s="6023">
        <f>SUM(C108:E108)</f>
        <v/>
      </c>
      <c r="C108" s="6010" t="n"/>
      <c r="D108" s="6010" t="n"/>
      <c r="E108" s="5827" t="n"/>
    </row>
    <row r="109" ht="20.25" customHeight="1" s="8286">
      <c r="A109" s="7613" t="inlineStr">
        <is>
          <t xml:space="preserve">Reporte de eventos adversos asociados a medicamentos </t>
        </is>
      </c>
      <c r="B109" s="6025">
        <f>SUM(C109:E109)</f>
        <v/>
      </c>
      <c r="C109" s="6018" t="n"/>
      <c r="D109" s="6018" t="n"/>
      <c r="E109" s="5906" t="n"/>
    </row>
    <row r="110" ht="18" customHeight="1" s="8286">
      <c r="A110" s="9881" t="inlineStr">
        <is>
          <t>SECCIÓN I.1 : DESPACHO DE RECETAS DE PACIENTES AMBULATORIOS EN ATENCIÓN PRIMARIA</t>
        </is>
      </c>
      <c r="B110" s="9591" t="n"/>
      <c r="C110" s="9591" t="n"/>
      <c r="D110" s="9591" t="n"/>
      <c r="E110" s="9591" t="n"/>
      <c r="F110" s="9882" t="n"/>
      <c r="G110" s="6026" t="n"/>
      <c r="H110" s="6026" t="n"/>
      <c r="I110" s="6026" t="n"/>
      <c r="J110" s="6026" t="n"/>
      <c r="K110" s="6026" t="n"/>
      <c r="L110" s="6026" t="n"/>
      <c r="M110" s="6026" t="n"/>
      <c r="N110" s="6026" t="n"/>
      <c r="O110" s="6026" t="n"/>
    </row>
    <row r="111" ht="24" customHeight="1" s="8286">
      <c r="A111" s="9883" t="inlineStr">
        <is>
          <t>TIPO DE RECETA</t>
        </is>
      </c>
      <c r="B111" s="9884" t="inlineStr">
        <is>
          <t>RECETAS DESPACHADAS</t>
        </is>
      </c>
      <c r="C111" s="9602" t="n"/>
      <c r="D111" s="9630" t="n"/>
      <c r="E111" s="9884" t="inlineStr">
        <is>
          <t>LUGAR DE ENTREGA</t>
        </is>
      </c>
      <c r="F111" s="9630" t="n"/>
      <c r="G111" s="9885" t="inlineStr">
        <is>
          <t>PRESCRIPCIONES</t>
        </is>
      </c>
      <c r="H111" s="9886" t="n"/>
      <c r="I111" s="9887" t="inlineStr">
        <is>
          <t xml:space="preserve">COORDINACIÓN TERRITORIAL  </t>
        </is>
      </c>
      <c r="J111" s="9886" t="n"/>
      <c r="K111" s="9888" t="inlineStr">
        <is>
          <t>Recetas despachadas con oportunidad (Entregado el mismo día)</t>
        </is>
      </c>
      <c r="L111" s="9889" t="inlineStr">
        <is>
          <t xml:space="preserve">RECETAS DESPACHADAS A PACIENTES DEL PROGRAMA DE SALUD CARDIOVASCULAR </t>
        </is>
      </c>
      <c r="M111" s="9602" t="n"/>
      <c r="N111" s="9630" t="n"/>
      <c r="O111" s="9889" t="inlineStr">
        <is>
          <t xml:space="preserve">PRESCRIPCIONES A PACIENTES DEL PROGRAMA DE SALUD CARDIOVASCULAR </t>
        </is>
      </c>
      <c r="P111" s="9630" t="n"/>
      <c r="Q111" s="9889" t="inlineStr">
        <is>
          <t xml:space="preserve">UNIDAD DE URGENCIA/EMERGENCIA </t>
        </is>
      </c>
      <c r="R111" s="9630" t="n"/>
    </row>
    <row r="112" ht="21" customHeight="1" s="8286">
      <c r="A112" s="9614" t="n"/>
      <c r="B112" s="9638" t="n"/>
      <c r="C112" s="9697" t="n"/>
      <c r="D112" s="9639" t="n"/>
      <c r="E112" s="9638" t="n"/>
      <c r="F112" s="9639" t="n"/>
      <c r="G112" s="9698" t="n"/>
      <c r="H112" s="9865" t="n"/>
      <c r="I112" s="9890" t="n"/>
      <c r="J112" s="9865" t="n"/>
      <c r="K112" s="9625" t="n"/>
      <c r="L112" s="9638" t="n"/>
      <c r="M112" s="9697" t="n"/>
      <c r="N112" s="9639" t="n"/>
      <c r="O112" s="9638" t="n"/>
      <c r="P112" s="9639" t="n"/>
      <c r="Q112" s="9638" t="n"/>
      <c r="R112" s="9639" t="n"/>
    </row>
    <row r="113" ht="41.25" customHeight="1" s="8286">
      <c r="A113" s="9610" t="n"/>
      <c r="B113" s="6029" t="inlineStr">
        <is>
          <t>DESPACHO TOTAL</t>
        </is>
      </c>
      <c r="C113" s="6029" t="inlineStr">
        <is>
          <t>Despacho Completo</t>
        </is>
      </c>
      <c r="D113" s="6030" t="inlineStr">
        <is>
          <t xml:space="preserve">Despacho Parcial </t>
        </is>
      </c>
      <c r="E113" s="6029" t="inlineStr">
        <is>
          <t>En Centro de Salud</t>
        </is>
      </c>
      <c r="F113" s="6030" t="inlineStr">
        <is>
          <t>En Domicilio</t>
        </is>
      </c>
      <c r="G113" s="6029" t="inlineStr">
        <is>
          <t>Emitidas</t>
        </is>
      </c>
      <c r="H113" s="6031" t="inlineStr">
        <is>
          <t>Rechazadas</t>
        </is>
      </c>
      <c r="I113" s="6032" t="inlineStr">
        <is>
          <t>En Centro de Salud</t>
        </is>
      </c>
      <c r="J113" s="6033" t="inlineStr">
        <is>
          <t>En Domicilio</t>
        </is>
      </c>
      <c r="K113" s="9641" t="n"/>
      <c r="L113" s="6029" t="inlineStr">
        <is>
          <t>Despacho Completo y Oportuno</t>
        </is>
      </c>
      <c r="M113" s="6034" t="inlineStr">
        <is>
          <t>Despacho Completo</t>
        </is>
      </c>
      <c r="N113" s="6035" t="inlineStr">
        <is>
          <t>Despacho
Parcial</t>
        </is>
      </c>
      <c r="O113" s="6029" t="inlineStr">
        <is>
          <t>Emitidas</t>
        </is>
      </c>
      <c r="P113" s="6036" t="inlineStr">
        <is>
          <t>Rechazadas</t>
        </is>
      </c>
      <c r="Q113" s="6029" t="inlineStr">
        <is>
          <t>Recetas despachadas</t>
        </is>
      </c>
      <c r="R113" s="6036" t="inlineStr">
        <is>
          <t>Prescripciones despachadas</t>
        </is>
      </c>
    </row>
    <row r="114" ht="15" customHeight="1" s="8286">
      <c r="A114" s="6037" t="inlineStr">
        <is>
          <t>Crónica</t>
        </is>
      </c>
      <c r="B114" s="6038">
        <f>SUM(C114:D114)</f>
        <v/>
      </c>
      <c r="C114" s="6039" t="n">
        <v>11313</v>
      </c>
      <c r="D114" s="6040" t="n">
        <v>39</v>
      </c>
      <c r="E114" s="6039" t="n">
        <v>11199</v>
      </c>
      <c r="F114" s="6040" t="n">
        <v>153</v>
      </c>
      <c r="G114" s="6039" t="n">
        <v>30615</v>
      </c>
      <c r="H114" s="6041" t="n">
        <v>1875</v>
      </c>
      <c r="I114" s="6042" t="n">
        <v>0</v>
      </c>
      <c r="J114" s="6043" t="n">
        <v>0</v>
      </c>
      <c r="K114" s="6040" t="n">
        <v>9820</v>
      </c>
      <c r="L114" s="6039" t="n">
        <v>1984</v>
      </c>
      <c r="M114" s="6044" t="n">
        <v>4833</v>
      </c>
      <c r="N114" s="6045" t="n">
        <v>13</v>
      </c>
      <c r="O114" s="6039" t="n">
        <v>14407</v>
      </c>
      <c r="P114" s="6045" t="n">
        <v>405</v>
      </c>
      <c r="Q114" s="6046" t="n"/>
      <c r="R114" s="6047" t="n"/>
    </row>
    <row r="115" ht="15" customHeight="1" s="8286">
      <c r="A115" s="6048" t="inlineStr">
        <is>
          <t>Morbilidad</t>
        </is>
      </c>
      <c r="B115" s="6038">
        <f>SUM(C115:D115)</f>
        <v/>
      </c>
      <c r="C115" s="6049" t="n">
        <v>1786</v>
      </c>
      <c r="D115" s="6050" t="n">
        <v>1</v>
      </c>
      <c r="E115" s="6049" t="n">
        <v>1786</v>
      </c>
      <c r="F115" s="6050" t="n">
        <v>1</v>
      </c>
      <c r="G115" s="6049" t="n">
        <v>3589</v>
      </c>
      <c r="H115" s="6051" t="n">
        <v>43</v>
      </c>
      <c r="I115" s="6052" t="n">
        <v>0</v>
      </c>
      <c r="J115" s="6053" t="n">
        <v>0</v>
      </c>
      <c r="K115" s="6050" t="n">
        <v>1747</v>
      </c>
      <c r="L115" s="6046" t="n"/>
      <c r="M115" s="6054" t="n"/>
      <c r="N115" s="6047" t="n"/>
      <c r="O115" s="6046" t="n"/>
      <c r="P115" s="6047" t="n"/>
      <c r="Q115" s="6039" t="n"/>
      <c r="R115" s="6045" t="n"/>
    </row>
    <row r="116" ht="15" customHeight="1" s="8286">
      <c r="A116" s="6048" t="inlineStr">
        <is>
          <t>Bajo control legal</t>
        </is>
      </c>
      <c r="B116" s="6055">
        <f>SUM(C116:D116)</f>
        <v/>
      </c>
      <c r="C116" s="6056" t="n">
        <v>366</v>
      </c>
      <c r="D116" s="6057" t="n">
        <v>1</v>
      </c>
      <c r="E116" s="6058" t="n">
        <v>361</v>
      </c>
      <c r="F116" s="6057" t="n">
        <v>6</v>
      </c>
      <c r="G116" s="6056" t="n">
        <v>372</v>
      </c>
      <c r="H116" s="6059" t="n">
        <v>148</v>
      </c>
      <c r="I116" s="6060" t="n">
        <v>0</v>
      </c>
      <c r="J116" s="6061" t="n">
        <v>0</v>
      </c>
      <c r="K116" s="6057" t="n">
        <v>206</v>
      </c>
      <c r="L116" s="6062" t="n"/>
      <c r="M116" s="6063" t="n"/>
      <c r="N116" s="6064" t="n"/>
      <c r="O116" s="6065" t="n"/>
      <c r="P116" s="6064" t="n"/>
      <c r="Q116" s="6056" t="n"/>
      <c r="R116" s="6066" t="n"/>
    </row>
    <row r="117" ht="15" customHeight="1" s="8286">
      <c r="A117" s="7592" t="inlineStr">
        <is>
          <t>TOTAL</t>
        </is>
      </c>
      <c r="B117" s="6068">
        <f>SUM(C117:D117)</f>
        <v/>
      </c>
      <c r="C117" s="6068">
        <f>SUM(C114:C116)</f>
        <v/>
      </c>
      <c r="D117" s="6069">
        <f>SUM(D114:D116)</f>
        <v/>
      </c>
      <c r="E117" s="6068">
        <f>SUM(E114:E116)</f>
        <v/>
      </c>
      <c r="F117" s="6069">
        <f>SUM(F114:F116)</f>
        <v/>
      </c>
      <c r="G117" s="6068">
        <f>SUM(G114:G116)</f>
        <v/>
      </c>
      <c r="H117" s="6070">
        <f>SUM(H114:H116)</f>
        <v/>
      </c>
      <c r="I117" s="6071">
        <f>SUM(I114:I116)</f>
        <v/>
      </c>
      <c r="J117" s="6072">
        <f>SUM(J114:J116)</f>
        <v/>
      </c>
      <c r="K117" s="6069">
        <f>SUM(K114:K116)</f>
        <v/>
      </c>
      <c r="L117" s="6068">
        <f>SUM(L114)</f>
        <v/>
      </c>
      <c r="M117" s="6073">
        <f>SUM(M114)</f>
        <v/>
      </c>
      <c r="N117" s="6074">
        <f>SUM(N114)</f>
        <v/>
      </c>
      <c r="O117" s="6068">
        <f>SUM(O114)</f>
        <v/>
      </c>
      <c r="P117" s="6074">
        <f>SUM(P114)</f>
        <v/>
      </c>
      <c r="Q117" s="6068">
        <f>SUM(Q115:Q116)</f>
        <v/>
      </c>
      <c r="R117" s="6073">
        <f>SUM(R115:R116)</f>
        <v/>
      </c>
    </row>
    <row r="118" ht="15" customHeight="1" s="8286">
      <c r="A118" s="9891" t="inlineStr">
        <is>
          <t>SECCIÓN I.2: DESPACHO DE RECETAS EN ATENCIÓN HOSPITALARIA Y ESPECIALIDAD (INCLUYE COSAM)</t>
        </is>
      </c>
      <c r="B118" s="9584" t="n"/>
      <c r="C118" s="9584" t="n"/>
      <c r="D118" s="9584" t="n"/>
      <c r="E118" s="9584" t="n"/>
      <c r="F118" s="9623" t="n"/>
      <c r="G118" s="6075" t="n"/>
      <c r="H118" s="6075" t="n"/>
      <c r="I118" s="6075" t="n"/>
      <c r="J118" s="6075" t="n"/>
      <c r="K118" s="6075" t="n"/>
      <c r="L118" s="6076" t="n"/>
      <c r="M118" s="6076" t="n"/>
      <c r="N118" s="6076" t="n"/>
      <c r="O118" s="6076" t="n"/>
      <c r="P118" s="6076" t="n"/>
      <c r="Q118" s="6076" t="n"/>
      <c r="R118" s="6076" t="n"/>
    </row>
    <row r="119" ht="15" customHeight="1" s="8286">
      <c r="A119" s="9883" t="inlineStr">
        <is>
          <t>TIPO DE RECETA</t>
        </is>
      </c>
      <c r="B119" s="9884" t="inlineStr">
        <is>
          <t>RECETAS DESPACHADAS</t>
        </is>
      </c>
      <c r="C119" s="9602" t="n"/>
      <c r="D119" s="9630" t="n"/>
      <c r="E119" s="9884" t="inlineStr">
        <is>
          <t>LUGAR DE ENTREGA</t>
        </is>
      </c>
      <c r="F119" s="9602" t="n"/>
      <c r="G119" s="9602" t="n"/>
      <c r="H119" s="9630" t="n"/>
      <c r="I119" s="9885" t="inlineStr">
        <is>
          <t>PRESCRIPCIONES</t>
        </is>
      </c>
      <c r="J119" s="9886" t="n"/>
      <c r="K119" s="9888" t="inlineStr">
        <is>
          <t>Recetas despachadas con oportunidad (Entregado el mismo día/ ventanilla)</t>
        </is>
      </c>
      <c r="L119" s="9884" t="inlineStr">
        <is>
          <t>BAJO CONTROL LEGAL</t>
        </is>
      </c>
      <c r="M119" s="9630" t="n"/>
      <c r="N119" s="6076" t="n"/>
      <c r="O119" s="6076" t="n"/>
      <c r="P119" s="6076" t="n"/>
      <c r="Q119" s="6076" t="n"/>
      <c r="R119" s="6076" t="n"/>
      <c r="S119" s="6076" t="n"/>
      <c r="T119" s="6076" t="n"/>
    </row>
    <row r="120" ht="15" customHeight="1" s="8286">
      <c r="A120" s="9614" t="n"/>
      <c r="B120" s="9638" t="n"/>
      <c r="C120" s="9697" t="n"/>
      <c r="D120" s="9639" t="n"/>
      <c r="E120" s="9638" t="n"/>
      <c r="F120" s="9697" t="n"/>
      <c r="G120" s="9697" t="n"/>
      <c r="H120" s="9639" t="n"/>
      <c r="I120" s="9698" t="n"/>
      <c r="J120" s="9865" t="n"/>
      <c r="K120" s="9625" t="n"/>
      <c r="L120" s="9638" t="n"/>
      <c r="M120" s="9639" t="n"/>
      <c r="N120" s="6076" t="n"/>
      <c r="O120" s="6076" t="n"/>
      <c r="P120" s="6076" t="n"/>
      <c r="Q120" s="6076" t="n"/>
      <c r="R120" s="6076" t="n"/>
      <c r="S120" s="6076" t="n"/>
      <c r="T120" s="6076" t="n"/>
    </row>
    <row r="121" ht="63.75" customHeight="1" s="8286">
      <c r="A121" s="9610" t="n"/>
      <c r="B121" s="6029" t="inlineStr">
        <is>
          <t>DESPACHO TOTAL</t>
        </is>
      </c>
      <c r="C121" s="6029" t="inlineStr">
        <is>
          <t>Despacho Completo</t>
        </is>
      </c>
      <c r="D121" s="6030" t="inlineStr">
        <is>
          <t xml:space="preserve">Despacho Parcial </t>
        </is>
      </c>
      <c r="E121" s="6029" t="inlineStr">
        <is>
          <t>En Centro de Salud</t>
        </is>
      </c>
      <c r="F121" s="6030" t="inlineStr">
        <is>
          <t>En Domicilio</t>
        </is>
      </c>
      <c r="G121" s="6029" t="inlineStr">
        <is>
          <t>Enviadas a otros Establecimientos para gestionar entrega al paciente</t>
        </is>
      </c>
      <c r="H121" s="6030" t="inlineStr">
        <is>
          <t>Recibido de otro Esteblacimientos para entrega a paciente</t>
        </is>
      </c>
      <c r="I121" s="6029" t="inlineStr">
        <is>
          <t>Emitidas</t>
        </is>
      </c>
      <c r="J121" s="6031" t="inlineStr">
        <is>
          <t>Rechazadas</t>
        </is>
      </c>
      <c r="K121" s="9641" t="n"/>
      <c r="L121" s="6029" t="inlineStr">
        <is>
          <t>Receta cheque</t>
        </is>
      </c>
      <c r="M121" s="6077" t="inlineStr">
        <is>
          <t>Receta médica retenida</t>
        </is>
      </c>
      <c r="N121" s="6076" t="n"/>
      <c r="O121" s="6076" t="n"/>
      <c r="P121" s="6076" t="n"/>
      <c r="Q121" s="6076" t="n"/>
      <c r="R121" s="6076" t="n"/>
      <c r="S121" s="6076" t="n"/>
      <c r="T121" s="6076" t="n"/>
    </row>
    <row r="122" ht="15" customHeight="1" s="8286">
      <c r="A122" s="6037" t="inlineStr">
        <is>
          <t>Atención Cerrada</t>
        </is>
      </c>
      <c r="B122" s="6038">
        <f>SUM(C122:D122)</f>
        <v/>
      </c>
      <c r="C122" s="6039" t="n"/>
      <c r="D122" s="6040" t="n"/>
      <c r="E122" s="6078" t="n"/>
      <c r="F122" s="6079" t="n"/>
      <c r="G122" s="6078" t="n"/>
      <c r="H122" s="6079" t="n"/>
      <c r="I122" s="6039" t="n"/>
      <c r="J122" s="6041" t="n"/>
      <c r="K122" s="6079" t="n"/>
      <c r="L122" s="6039" t="n"/>
      <c r="M122" s="6045" t="n"/>
      <c r="N122" s="6076" t="n"/>
      <c r="O122" s="6076" t="n"/>
      <c r="P122" s="6076" t="n"/>
      <c r="Q122" s="6076" t="n"/>
      <c r="R122" s="6076" t="n"/>
      <c r="S122" s="6076" t="n"/>
      <c r="T122" s="6076" t="n"/>
    </row>
    <row r="123" ht="15" customHeight="1" s="8286">
      <c r="A123" s="6048" t="inlineStr">
        <is>
          <t>Atención Abierta</t>
        </is>
      </c>
      <c r="B123" s="6038">
        <f>SUM(C123:D123)</f>
        <v/>
      </c>
      <c r="C123" s="6049" t="n"/>
      <c r="D123" s="6050" t="n"/>
      <c r="E123" s="6049" t="n"/>
      <c r="F123" s="6050" t="n"/>
      <c r="G123" s="6049" t="n"/>
      <c r="H123" s="6050" t="n"/>
      <c r="I123" s="6049" t="n"/>
      <c r="J123" s="6051" t="n"/>
      <c r="K123" s="6050" t="n"/>
      <c r="L123" s="6049" t="n"/>
      <c r="M123" s="6080" t="n"/>
      <c r="N123" s="6076" t="n"/>
      <c r="O123" s="6076" t="n"/>
      <c r="P123" s="6076" t="n"/>
      <c r="Q123" s="6076" t="n"/>
      <c r="R123" s="6076" t="n"/>
      <c r="S123" s="6076" t="n"/>
      <c r="T123" s="6076" t="n"/>
    </row>
    <row r="124" ht="15" customHeight="1" s="8286">
      <c r="A124" s="6081" t="inlineStr">
        <is>
          <t>Urgencia</t>
        </is>
      </c>
      <c r="B124" s="6055">
        <f>SUM(C124:D124)</f>
        <v/>
      </c>
      <c r="C124" s="6056" t="n"/>
      <c r="D124" s="6082" t="n"/>
      <c r="E124" s="6062" t="n"/>
      <c r="F124" s="6083" t="n"/>
      <c r="G124" s="6062" t="n"/>
      <c r="H124" s="6083" t="n"/>
      <c r="I124" s="6056" t="n"/>
      <c r="J124" s="6084" t="n"/>
      <c r="K124" s="6083" t="n"/>
      <c r="L124" s="6056" t="n"/>
      <c r="M124" s="6066" t="n"/>
      <c r="N124" s="6076" t="n"/>
      <c r="O124" s="6076" t="n"/>
      <c r="P124" s="6076" t="n"/>
      <c r="Q124" s="6076" t="n"/>
      <c r="R124" s="6076" t="n"/>
      <c r="S124" s="6076" t="n"/>
      <c r="T124" s="6076" t="n"/>
    </row>
    <row r="125" ht="18" customHeight="1" s="8286">
      <c r="A125" s="5932" t="inlineStr">
        <is>
          <t>SECCIÓN J: RONDAS POR TIPO Y PROFESIONAL</t>
        </is>
      </c>
      <c r="B125" s="6085" t="n"/>
      <c r="C125" s="6085" t="n"/>
      <c r="D125" s="6086" t="n"/>
      <c r="E125" s="6087" t="n"/>
      <c r="F125" s="6087" t="n"/>
      <c r="G125" s="6087" t="n"/>
      <c r="H125" s="6087" t="n"/>
      <c r="I125" s="6088" t="n"/>
      <c r="J125" s="5802" t="n"/>
      <c r="K125" s="6088" t="n"/>
      <c r="L125" s="5802" t="n"/>
      <c r="M125" s="6089" t="n"/>
    </row>
    <row r="126" ht="15" customHeight="1" s="8286">
      <c r="A126" s="9892" t="inlineStr">
        <is>
          <t>TIPO DE RONDA</t>
        </is>
      </c>
      <c r="B126" s="9883" t="inlineStr">
        <is>
          <t>Nº Rondas</t>
        </is>
      </c>
      <c r="C126" s="9893" t="inlineStr">
        <is>
          <t xml:space="preserve">TOTAL DE PROFESIONALES QUE PARTICIPARON EN RONDAS, SEGÚN TIPO DE PROFESIONAL  </t>
        </is>
      </c>
      <c r="D126" s="9584" t="n"/>
      <c r="E126" s="9584" t="n"/>
      <c r="F126" s="9584" t="n"/>
      <c r="G126" s="9584" t="n"/>
      <c r="H126" s="9584" t="n"/>
      <c r="I126" s="9584" t="n"/>
      <c r="J126" s="9584" t="n"/>
      <c r="K126" s="9584" t="n"/>
      <c r="L126" s="9647" t="n"/>
      <c r="M126" s="9883" t="inlineStr">
        <is>
          <t>Compra de Servicio - Nº Traslados profesionales en Ronda</t>
        </is>
      </c>
    </row>
    <row r="127" ht="38.45" customHeight="1" s="8286">
      <c r="A127" s="9698" t="n"/>
      <c r="B127" s="9610" t="n"/>
      <c r="C127" s="7376" t="inlineStr">
        <is>
          <t>Médico/a</t>
        </is>
      </c>
      <c r="D127" s="7377" t="inlineStr">
        <is>
          <t>Odontólogo</t>
        </is>
      </c>
      <c r="E127" s="7377" t="inlineStr">
        <is>
          <t>Enfermera/o</t>
        </is>
      </c>
      <c r="F127" s="7377" t="inlineStr">
        <is>
          <t>Matrona/ón</t>
        </is>
      </c>
      <c r="G127" s="7377" t="inlineStr">
        <is>
          <t>Nutricionista</t>
        </is>
      </c>
      <c r="H127" s="7383" t="inlineStr">
        <is>
          <t xml:space="preserve">Técnico en Enfermería </t>
        </is>
      </c>
      <c r="I127" s="7383" t="inlineStr">
        <is>
          <t>Trabajador Social</t>
        </is>
      </c>
      <c r="J127" s="7377" t="inlineStr">
        <is>
          <t>Psicólogo</t>
        </is>
      </c>
      <c r="K127" s="7383" t="inlineStr">
        <is>
          <t>Químico Farmacéutico</t>
        </is>
      </c>
      <c r="L127" s="7438" t="inlineStr">
        <is>
          <t>Otros</t>
        </is>
      </c>
      <c r="M127" s="9610" t="n"/>
    </row>
    <row r="128" ht="15" customHeight="1" s="8286">
      <c r="A128" s="1721" t="inlineStr">
        <is>
          <t>Terrestre</t>
        </is>
      </c>
      <c r="B128" s="6040" t="n"/>
      <c r="C128" s="6039" t="n"/>
      <c r="D128" s="6090" t="n"/>
      <c r="E128" s="6090" t="n"/>
      <c r="F128" s="6090" t="n"/>
      <c r="G128" s="6090" t="n"/>
      <c r="H128" s="6090" t="n"/>
      <c r="I128" s="6090" t="n"/>
      <c r="J128" s="6090" t="n"/>
      <c r="K128" s="6090" t="n"/>
      <c r="L128" s="6040" t="n"/>
      <c r="M128" s="6091" t="n"/>
    </row>
    <row r="129" ht="15" customHeight="1" s="8286">
      <c r="A129" s="1646" t="inlineStr">
        <is>
          <t>Aérea</t>
        </is>
      </c>
      <c r="B129" s="6057" t="n"/>
      <c r="C129" s="6058" t="n"/>
      <c r="D129" s="6092" t="n"/>
      <c r="E129" s="6092" t="n"/>
      <c r="F129" s="6092" t="n"/>
      <c r="G129" s="6092" t="n"/>
      <c r="H129" s="6092" t="n"/>
      <c r="I129" s="6092" t="n"/>
      <c r="J129" s="6092" t="n"/>
      <c r="K129" s="6092" t="n"/>
      <c r="L129" s="6057" t="n"/>
      <c r="M129" s="6093" t="n"/>
    </row>
    <row r="130" ht="15" customHeight="1" s="8286">
      <c r="A130" s="1648" t="inlineStr">
        <is>
          <t>Marítima</t>
        </is>
      </c>
      <c r="B130" s="6082" t="n"/>
      <c r="C130" s="6056" t="n"/>
      <c r="D130" s="6094" t="n"/>
      <c r="E130" s="6094" t="n"/>
      <c r="F130" s="6094" t="n"/>
      <c r="G130" s="6094" t="n"/>
      <c r="H130" s="6094" t="n"/>
      <c r="I130" s="6094" t="n"/>
      <c r="J130" s="6094" t="n"/>
      <c r="K130" s="6094" t="n"/>
      <c r="L130" s="6082" t="n"/>
      <c r="M130" s="6095" t="n"/>
    </row>
    <row r="131" ht="18" customHeight="1" s="8286">
      <c r="A131" s="1001" t="inlineStr">
        <is>
          <t>SECCIÓN K CLASIFICACIÓN DE CONSULTA NUTRICIONAL POR GRUPO DE EDAD (Incluidas en sección B)</t>
        </is>
      </c>
      <c r="B131" s="6096" t="n"/>
      <c r="C131" s="6096" t="n"/>
      <c r="D131" s="6096" t="n"/>
      <c r="E131" s="6096" t="n"/>
      <c r="F131" s="6096" t="n"/>
      <c r="G131" s="6096" t="n"/>
      <c r="H131" s="6096" t="n"/>
      <c r="I131" s="6096" t="n"/>
      <c r="J131" s="6096" t="n"/>
      <c r="K131" s="6096" t="n"/>
      <c r="L131" s="6096" t="n"/>
      <c r="M131" s="6096" t="n"/>
      <c r="N131" s="6096" t="n"/>
      <c r="O131" s="6096" t="n"/>
      <c r="P131" s="6096" t="n"/>
      <c r="Q131" s="6096" t="n"/>
      <c r="R131" s="6096" t="n"/>
      <c r="S131" s="6096" t="n"/>
      <c r="T131" s="6096" t="n"/>
      <c r="U131" s="6096" t="n"/>
      <c r="V131" s="6096" t="n"/>
      <c r="W131" s="6096" t="n"/>
      <c r="X131" s="6096" t="n"/>
      <c r="Y131" s="6096" t="n"/>
      <c r="Z131" s="6096" t="n"/>
      <c r="AA131" s="6096" t="n"/>
      <c r="AB131" s="6096" t="n"/>
      <c r="AC131" s="6096" t="n"/>
      <c r="AD131" s="6096" t="n"/>
      <c r="AE131" s="6096" t="n"/>
      <c r="AF131" s="6096" t="n"/>
      <c r="AG131" s="6096" t="n"/>
      <c r="AH131" s="6096" t="n"/>
      <c r="AI131" s="6096" t="n"/>
      <c r="AJ131" s="6096" t="n"/>
      <c r="AK131" s="6096" t="n"/>
      <c r="AL131" s="6096" t="n"/>
      <c r="AM131" s="6096" t="n"/>
      <c r="AN131" s="6096" t="n"/>
      <c r="AO131" s="6097" t="n"/>
      <c r="AP131" s="6097" t="n"/>
      <c r="AQ131" s="5988" t="n"/>
      <c r="AR131" s="5988" t="n"/>
    </row>
    <row r="132" ht="15" customHeight="1" s="8286">
      <c r="A132" s="9592" t="inlineStr">
        <is>
          <t>CLASIFICACIÓN</t>
        </is>
      </c>
      <c r="B132" s="9629" t="inlineStr">
        <is>
          <t xml:space="preserve">TOTAL      </t>
        </is>
      </c>
      <c r="C132" s="9602" t="n"/>
      <c r="D132" s="9630" t="n"/>
      <c r="E132" s="9894" t="inlineStr">
        <is>
          <t>RANGO ETARIO Y SEXO</t>
        </is>
      </c>
      <c r="F132" s="9584" t="n"/>
      <c r="G132" s="9584" t="n"/>
      <c r="H132" s="9584" t="n"/>
      <c r="I132" s="9584" t="n"/>
      <c r="J132" s="9584" t="n"/>
      <c r="K132" s="9584" t="n"/>
      <c r="L132" s="9584" t="n"/>
      <c r="M132" s="9584" t="n"/>
      <c r="N132" s="9584" t="n"/>
      <c r="O132" s="9584" t="n"/>
      <c r="P132" s="9584" t="n"/>
      <c r="Q132" s="9584" t="n"/>
      <c r="R132" s="9584" t="n"/>
      <c r="S132" s="9584" t="n"/>
      <c r="T132" s="9584" t="n"/>
      <c r="U132" s="9584" t="n"/>
      <c r="V132" s="9584" t="n"/>
      <c r="W132" s="9584" t="n"/>
      <c r="X132" s="9584" t="n"/>
      <c r="Y132" s="9584" t="n"/>
      <c r="Z132" s="9584" t="n"/>
      <c r="AA132" s="9584" t="n"/>
      <c r="AB132" s="9584" t="n"/>
      <c r="AC132" s="9584" t="n"/>
      <c r="AD132" s="9584" t="n"/>
      <c r="AE132" s="9584" t="n"/>
      <c r="AF132" s="9584" t="n"/>
      <c r="AG132" s="9584" t="n"/>
      <c r="AH132" s="9584" t="n"/>
      <c r="AI132" s="9584" t="n"/>
      <c r="AJ132" s="9584" t="n"/>
      <c r="AK132" s="9584" t="n"/>
      <c r="AL132" s="9584" t="n"/>
      <c r="AM132" s="9584" t="n"/>
      <c r="AN132" s="9595" t="n"/>
      <c r="AO132" s="9635" t="inlineStr">
        <is>
          <t>Beneficiarios</t>
        </is>
      </c>
      <c r="AP132" s="7632" t="inlineStr">
        <is>
          <t>Gestantes</t>
        </is>
      </c>
      <c r="AQ132" s="9895" t="inlineStr">
        <is>
          <t xml:space="preserve">SENAME/ Servicio Nacional de Reinserción social Juvenil </t>
        </is>
      </c>
      <c r="AR132" s="9896" t="inlineStr">
        <is>
          <t>Servicio Nacional Protección Especializada a la Niñez y Adolescencia</t>
        </is>
      </c>
    </row>
    <row r="133" ht="21" customHeight="1" s="8286">
      <c r="A133" s="9588" t="n"/>
      <c r="B133" s="9638" t="n"/>
      <c r="C133" s="9697" t="n"/>
      <c r="D133" s="9639" t="n"/>
      <c r="E133" s="7632" t="inlineStr">
        <is>
          <t>Menos de 1 año</t>
        </is>
      </c>
      <c r="F133" s="9582" t="n"/>
      <c r="G133" s="9618" t="inlineStr">
        <is>
          <t>1 - 4 años</t>
        </is>
      </c>
      <c r="H133" s="9582" t="n"/>
      <c r="I133" s="9618" t="inlineStr">
        <is>
          <t>5 - 9 años</t>
        </is>
      </c>
      <c r="J133" s="9582" t="n"/>
      <c r="K133" s="9618" t="inlineStr">
        <is>
          <t>10 - 14 años</t>
        </is>
      </c>
      <c r="L133" s="9582" t="n"/>
      <c r="M133" s="9618" t="inlineStr">
        <is>
          <t>15 - 19 años</t>
        </is>
      </c>
      <c r="N133" s="9582" t="n"/>
      <c r="O133" s="9618" t="inlineStr">
        <is>
          <t>20 - 24 años</t>
        </is>
      </c>
      <c r="P133" s="9582" t="n"/>
      <c r="Q133" s="9897" t="inlineStr">
        <is>
          <t>25 - 29 años</t>
        </is>
      </c>
      <c r="R133" s="9582" t="n"/>
      <c r="S133" s="9618" t="inlineStr">
        <is>
          <t>30 - 34 años</t>
        </is>
      </c>
      <c r="T133" s="9582" t="n"/>
      <c r="U133" s="9618" t="inlineStr">
        <is>
          <t>35 - 39 años</t>
        </is>
      </c>
      <c r="V133" s="9582" t="n"/>
      <c r="W133" s="9618" t="inlineStr">
        <is>
          <t>40 - 44 años</t>
        </is>
      </c>
      <c r="X133" s="9582" t="n"/>
      <c r="Y133" s="9618" t="inlineStr">
        <is>
          <t>45 - 49 años</t>
        </is>
      </c>
      <c r="Z133" s="9582" t="n"/>
      <c r="AA133" s="9618" t="inlineStr">
        <is>
          <t>50 - 54 años</t>
        </is>
      </c>
      <c r="AB133" s="9582" t="n"/>
      <c r="AC133" s="9618" t="inlineStr">
        <is>
          <t>55 - 59 años</t>
        </is>
      </c>
      <c r="AD133" s="9582" t="n"/>
      <c r="AE133" s="9618" t="inlineStr">
        <is>
          <t>60 - 64 años</t>
        </is>
      </c>
      <c r="AF133" s="9582" t="n"/>
      <c r="AG133" s="9618" t="inlineStr">
        <is>
          <t>65 - 69 años</t>
        </is>
      </c>
      <c r="AH133" s="9582" t="n"/>
      <c r="AI133" s="9618" t="inlineStr">
        <is>
          <t>70 - 74 años</t>
        </is>
      </c>
      <c r="AJ133" s="9582" t="n"/>
      <c r="AK133" s="9618" t="inlineStr">
        <is>
          <t>75 - 79 años</t>
        </is>
      </c>
      <c r="AL133" s="9582" t="n"/>
      <c r="AM133" s="9898" t="inlineStr">
        <is>
          <t>80 y mas años</t>
        </is>
      </c>
      <c r="AN133" s="9595" t="n"/>
      <c r="AO133" s="9656" t="n"/>
      <c r="AP133" s="9614" t="n"/>
      <c r="AR133" s="9614" t="n"/>
    </row>
    <row r="134" ht="26.25" customHeight="1" s="8286">
      <c r="A134" s="9589" t="n"/>
      <c r="B134" s="6098" t="inlineStr">
        <is>
          <t>Ambos Sexos</t>
        </is>
      </c>
      <c r="C134" s="5968" t="inlineStr">
        <is>
          <t>Hombres</t>
        </is>
      </c>
      <c r="D134" s="7542" t="inlineStr">
        <is>
          <t>Mujeres</t>
        </is>
      </c>
      <c r="E134" s="5966" t="inlineStr">
        <is>
          <t>Hombres</t>
        </is>
      </c>
      <c r="F134" s="6099" t="inlineStr">
        <is>
          <t>Mujeres</t>
        </is>
      </c>
      <c r="G134" s="5966" t="inlineStr">
        <is>
          <t>Hombres</t>
        </is>
      </c>
      <c r="H134" s="6099" t="inlineStr">
        <is>
          <t>Mujeres</t>
        </is>
      </c>
      <c r="I134" s="5966" t="inlineStr">
        <is>
          <t>Hombres</t>
        </is>
      </c>
      <c r="J134" s="6099" t="inlineStr">
        <is>
          <t>Mujeres</t>
        </is>
      </c>
      <c r="K134" s="5966" t="inlineStr">
        <is>
          <t>Hombres</t>
        </is>
      </c>
      <c r="L134" s="6099" t="inlineStr">
        <is>
          <t>Mujeres</t>
        </is>
      </c>
      <c r="M134" s="5966" t="inlineStr">
        <is>
          <t>Hombres</t>
        </is>
      </c>
      <c r="N134" s="6099" t="inlineStr">
        <is>
          <t>Mujeres</t>
        </is>
      </c>
      <c r="O134" s="5966" t="inlineStr">
        <is>
          <t>Hombres</t>
        </is>
      </c>
      <c r="P134" s="6099" t="inlineStr">
        <is>
          <t>Mujeres</t>
        </is>
      </c>
      <c r="Q134" s="5966" t="inlineStr">
        <is>
          <t>Hombres</t>
        </is>
      </c>
      <c r="R134" s="6099" t="inlineStr">
        <is>
          <t>Mujeres</t>
        </is>
      </c>
      <c r="S134" s="5966" t="inlineStr">
        <is>
          <t>Hombres</t>
        </is>
      </c>
      <c r="T134" s="6099" t="inlineStr">
        <is>
          <t>Mujeres</t>
        </is>
      </c>
      <c r="U134" s="5966" t="inlineStr">
        <is>
          <t>Hombres</t>
        </is>
      </c>
      <c r="V134" s="6099" t="inlineStr">
        <is>
          <t>Mujeres</t>
        </is>
      </c>
      <c r="W134" s="5966" t="inlineStr">
        <is>
          <t>Hombres</t>
        </is>
      </c>
      <c r="X134" s="6099" t="inlineStr">
        <is>
          <t>Mujeres</t>
        </is>
      </c>
      <c r="Y134" s="5966" t="inlineStr">
        <is>
          <t>Hombres</t>
        </is>
      </c>
      <c r="Z134" s="6099" t="inlineStr">
        <is>
          <t>Mujeres</t>
        </is>
      </c>
      <c r="AA134" s="5966" t="inlineStr">
        <is>
          <t>Hombres</t>
        </is>
      </c>
      <c r="AB134" s="6099" t="inlineStr">
        <is>
          <t>Mujeres</t>
        </is>
      </c>
      <c r="AC134" s="5966" t="inlineStr">
        <is>
          <t>Hombres</t>
        </is>
      </c>
      <c r="AD134" s="6099" t="inlineStr">
        <is>
          <t>Mujeres</t>
        </is>
      </c>
      <c r="AE134" s="5966" t="inlineStr">
        <is>
          <t>Hombres</t>
        </is>
      </c>
      <c r="AF134" s="6099" t="inlineStr">
        <is>
          <t>Mujeres</t>
        </is>
      </c>
      <c r="AG134" s="5966" t="inlineStr">
        <is>
          <t>Hombres</t>
        </is>
      </c>
      <c r="AH134" s="6099" t="inlineStr">
        <is>
          <t>Mujeres</t>
        </is>
      </c>
      <c r="AI134" s="5966" t="inlineStr">
        <is>
          <t>Hombres</t>
        </is>
      </c>
      <c r="AJ134" s="6099" t="inlineStr">
        <is>
          <t>Mujeres</t>
        </is>
      </c>
      <c r="AK134" s="5966" t="inlineStr">
        <is>
          <t>Hombres</t>
        </is>
      </c>
      <c r="AL134" s="6099" t="inlineStr">
        <is>
          <t>Mujeres</t>
        </is>
      </c>
      <c r="AM134" s="5966" t="inlineStr">
        <is>
          <t>Hombres</t>
        </is>
      </c>
      <c r="AN134" s="6100" t="inlineStr">
        <is>
          <t>Mujeres</t>
        </is>
      </c>
      <c r="AO134" s="9640" t="n"/>
      <c r="AP134" s="9610" t="n"/>
      <c r="AQ134" s="9591" t="n"/>
      <c r="AR134" s="9610" t="n"/>
    </row>
    <row r="135" ht="24.75" customHeight="1" s="8286">
      <c r="A135" s="6101" t="inlineStr">
        <is>
          <t xml:space="preserve">Mal nutrición por riesgo a desnutrir/riesgo bajo peso </t>
        </is>
      </c>
      <c r="B135" s="1646">
        <f>SUM(C135:D135)</f>
        <v/>
      </c>
      <c r="C135" s="1730">
        <f>SUM(E135+G135+I135+K135+M135+O135+Q135+S135+U135+W135+Y135+AA135+AC135+AE135+AG135+AI135+AK135+AM135)</f>
        <v/>
      </c>
      <c r="D135" s="6102">
        <f>SUM(F135+H135+J135+L135+N135+P135+R135+T135+V135+X135+Z135+AB135+AD135+AF135+AH135+AJ135+AL135+AN135)</f>
        <v/>
      </c>
      <c r="E135" s="5843" t="n">
        <v>9</v>
      </c>
      <c r="F135" s="6014" t="n">
        <v>4</v>
      </c>
      <c r="G135" s="5843" t="n">
        <v>4</v>
      </c>
      <c r="H135" s="6103" t="n">
        <v>2</v>
      </c>
      <c r="I135" s="5843" t="n">
        <v>0</v>
      </c>
      <c r="J135" s="6103" t="n">
        <v>0</v>
      </c>
      <c r="K135" s="5843" t="n">
        <v>1</v>
      </c>
      <c r="L135" s="6103" t="n">
        <v>0</v>
      </c>
      <c r="M135" s="5843" t="n">
        <v>1</v>
      </c>
      <c r="N135" s="6103" t="n">
        <v>0</v>
      </c>
      <c r="O135" s="5843" t="n">
        <v>0</v>
      </c>
      <c r="P135" s="6103" t="n">
        <v>0</v>
      </c>
      <c r="Q135" s="6104" t="n">
        <v>0</v>
      </c>
      <c r="R135" s="6103" t="n">
        <v>2</v>
      </c>
      <c r="S135" s="5843" t="n">
        <v>0</v>
      </c>
      <c r="T135" s="6103" t="n">
        <v>0</v>
      </c>
      <c r="U135" s="5843" t="n">
        <v>0</v>
      </c>
      <c r="V135" s="6103" t="n">
        <v>0</v>
      </c>
      <c r="W135" s="5843" t="n">
        <v>0</v>
      </c>
      <c r="X135" s="6103" t="n">
        <v>0</v>
      </c>
      <c r="Y135" s="5843" t="n">
        <v>0</v>
      </c>
      <c r="Z135" s="6103" t="n">
        <v>1</v>
      </c>
      <c r="AA135" s="5843" t="n">
        <v>0</v>
      </c>
      <c r="AB135" s="6103" t="n">
        <v>0</v>
      </c>
      <c r="AC135" s="5843" t="n">
        <v>0</v>
      </c>
      <c r="AD135" s="6103" t="n">
        <v>0</v>
      </c>
      <c r="AE135" s="5843" t="n">
        <v>0</v>
      </c>
      <c r="AF135" s="6103" t="n">
        <v>0</v>
      </c>
      <c r="AG135" s="5843" t="n">
        <v>0</v>
      </c>
      <c r="AH135" s="6103" t="n">
        <v>2</v>
      </c>
      <c r="AI135" s="5843" t="n">
        <v>1</v>
      </c>
      <c r="AJ135" s="6103" t="n">
        <v>1</v>
      </c>
      <c r="AK135" s="5843" t="n">
        <v>1</v>
      </c>
      <c r="AL135" s="6103" t="n">
        <v>0</v>
      </c>
      <c r="AM135" s="5946" t="n">
        <v>0</v>
      </c>
      <c r="AN135" s="6105" t="n">
        <v>2</v>
      </c>
      <c r="AO135" s="5886" t="n">
        <v>31</v>
      </c>
      <c r="AP135" s="5887" t="n">
        <v>0</v>
      </c>
      <c r="AQ135" s="5882" t="n">
        <v>0</v>
      </c>
      <c r="AR135" s="5820" t="n">
        <v>0</v>
      </c>
      <c r="AS135" s="622">
        <f>BO135&amp;BP135&amp;BQ135&amp;BR135&amp;BS135</f>
        <v/>
      </c>
      <c r="BO135" s="5822">
        <f>IF(AND(B135&gt;0,AO135="")," * No olvide digitar la variable Beneficiarios. Digite Cero si no tiene.",IF(AO135&gt;B135,"  * La variable Beneficiarios No puede ser mayor al Total.",""))</f>
        <v/>
      </c>
      <c r="BP135" s="5822">
        <f>IF(AND(D135&gt;0,AP135="")," * No olvide digitar la variable Gestantes. Digite Cero si no tiene.",IF(AP135&gt;D135,"  * La variable Gestantes No puede ser mayor al Total Mujeres.",""))</f>
        <v/>
      </c>
      <c r="BQ135" s="5822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/>
      </c>
      <c r="BV135" s="5823">
        <f>IF(AND(D135&gt;0,AP135=""),1,IF(AP135&gt;D135,1,0))</f>
        <v/>
      </c>
      <c r="BW135" s="5823">
        <f>IF(AND(B135&gt;0,AQ135=""),1,IF(AQ135&gt;B135,1,0))</f>
        <v/>
      </c>
      <c r="BX135" s="5823">
        <f>IF(AND(B135&gt;0,AR135=""),1,IF(AR135&gt;B135,1,0))</f>
        <v/>
      </c>
    </row>
    <row r="136" ht="15" customHeight="1" s="8286">
      <c r="A136" s="1586" t="inlineStr">
        <is>
          <t xml:space="preserve">Mal nutrición por riesgo obesidad sobrepeso </t>
        </is>
      </c>
      <c r="B136" s="1646">
        <f>SUM(C136:D136)</f>
        <v/>
      </c>
      <c r="C136" s="1730">
        <f>SUM(E136+G136+I136+K136+M136+O136+Q136+S136+U136+W136+Y136+AA136+AC136+AE136+AG136+AI136+AK136+AM136)</f>
        <v/>
      </c>
      <c r="D136" s="6102">
        <f>SUM(F136+H136+J136+L136+N136+P136+R136+T136+V136+X136+Z136+AB136+AD136+AF136+AH136+AJ136+AL136+AN136)</f>
        <v/>
      </c>
      <c r="E136" s="5826" t="n">
        <v>9</v>
      </c>
      <c r="F136" s="5827" t="n">
        <v>10</v>
      </c>
      <c r="G136" s="5826" t="n">
        <v>10</v>
      </c>
      <c r="H136" s="5828" t="n">
        <v>10</v>
      </c>
      <c r="I136" s="5826" t="n">
        <v>11</v>
      </c>
      <c r="J136" s="5828" t="n">
        <v>6</v>
      </c>
      <c r="K136" s="5826" t="n">
        <v>13</v>
      </c>
      <c r="L136" s="5828" t="n">
        <v>11</v>
      </c>
      <c r="M136" s="5826" t="n">
        <v>2</v>
      </c>
      <c r="N136" s="5828" t="n">
        <v>6</v>
      </c>
      <c r="O136" s="5826" t="n">
        <v>1</v>
      </c>
      <c r="P136" s="5828" t="n">
        <v>7</v>
      </c>
      <c r="Q136" s="5890" t="n">
        <v>2</v>
      </c>
      <c r="R136" s="5828" t="n">
        <v>12</v>
      </c>
      <c r="S136" s="5826" t="n">
        <v>1</v>
      </c>
      <c r="T136" s="5828" t="n">
        <v>6</v>
      </c>
      <c r="U136" s="5826" t="n">
        <v>1</v>
      </c>
      <c r="V136" s="5828" t="n">
        <v>11</v>
      </c>
      <c r="W136" s="5826" t="n">
        <v>3</v>
      </c>
      <c r="X136" s="5828" t="n">
        <v>5</v>
      </c>
      <c r="Y136" s="5826" t="n">
        <v>6</v>
      </c>
      <c r="Z136" s="5828" t="n">
        <v>5</v>
      </c>
      <c r="AA136" s="5826" t="n">
        <v>1</v>
      </c>
      <c r="AB136" s="5828" t="n">
        <v>9</v>
      </c>
      <c r="AC136" s="5826" t="n">
        <v>2</v>
      </c>
      <c r="AD136" s="5828" t="n">
        <v>17</v>
      </c>
      <c r="AE136" s="5826" t="n">
        <v>9</v>
      </c>
      <c r="AF136" s="5828" t="n">
        <v>23</v>
      </c>
      <c r="AG136" s="5826" t="n">
        <v>10</v>
      </c>
      <c r="AH136" s="5828" t="n">
        <v>14</v>
      </c>
      <c r="AI136" s="5826" t="n">
        <v>4</v>
      </c>
      <c r="AJ136" s="5828" t="n">
        <v>6</v>
      </c>
      <c r="AK136" s="5826" t="n">
        <v>6</v>
      </c>
      <c r="AL136" s="5828" t="n">
        <v>4</v>
      </c>
      <c r="AM136" s="5891" t="n">
        <v>2</v>
      </c>
      <c r="AN136" s="5837" t="n">
        <v>8</v>
      </c>
      <c r="AO136" s="5832" t="n">
        <v>263</v>
      </c>
      <c r="AP136" s="5833" t="n">
        <v>0</v>
      </c>
      <c r="AQ136" s="5888" t="n">
        <v>0</v>
      </c>
      <c r="AR136" s="5887" t="n">
        <v>0</v>
      </c>
      <c r="AS136" s="622">
        <f>BO136&amp;BP136&amp;BQ136&amp;BR136&amp;BS136</f>
        <v/>
      </c>
      <c r="BO136" s="5822">
        <f>IF(AND(B136&gt;0,AO136="")," * No olvide digitar la variable Beneficiarios. Digite Cero si no tiene.",IF(AO136&gt;B136,"  * La variable Beneficiarios No puede ser mayor al Total.",""))</f>
        <v/>
      </c>
      <c r="BP136" s="5822">
        <f>IF(AND(D136&gt;0,AP136="")," * No olvide digitar la variable Gestantes. Digite Cero si no tiene.",IF(AP136&gt;D136,"  * La variable Gestantes No puede ser mayor al Total Mujeres.",""))</f>
        <v/>
      </c>
      <c r="BQ136" s="5822">
        <f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>
        <f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>IF(AND(B136&gt;0,AO136=""),1,IF(AO136&gt;B136,1,0))</f>
        <v/>
      </c>
      <c r="BV136" s="5823">
        <f>IF(AND(D136&gt;0,AP136=""),1,IF(AP136&gt;D136,1,0))</f>
        <v/>
      </c>
      <c r="BW136" s="5823">
        <f>IF(AND(B136&gt;0,AQ136=""),1,IF(AQ136&gt;B136,1,0))</f>
        <v/>
      </c>
      <c r="BX136" s="5823">
        <f>IF(AND(B136&gt;0,AR136=""),1,IF(AR136&gt;B136,1,0))</f>
        <v/>
      </c>
    </row>
    <row r="137" ht="15" customHeight="1" s="8286">
      <c r="A137" s="1589" t="inlineStr">
        <is>
          <t xml:space="preserve">Estado nutricional normal </t>
        </is>
      </c>
      <c r="B137" s="1648">
        <f>SUM(C137:D137)</f>
        <v/>
      </c>
      <c r="C137" s="1671">
        <f>SUM(E137+G137+I137+K137+M137+O137+Q137+S137+U137+W137+Y137+AA137+AC137+AE137+AG137+AI137+AK137+AM137)</f>
        <v/>
      </c>
      <c r="D137" s="9017">
        <f>SUM(F137+H137+J137+L137+N137+P137+R137+T137+V137+X137+Z137+AB137+AD137+AF137+AH137+AJ137+AL137+AN137)</f>
        <v/>
      </c>
      <c r="E137" s="5866" t="n">
        <v>27</v>
      </c>
      <c r="F137" s="5867" t="n">
        <v>13</v>
      </c>
      <c r="G137" s="5866" t="n">
        <v>12</v>
      </c>
      <c r="H137" s="5865" t="n">
        <v>15</v>
      </c>
      <c r="I137" s="5866" t="n">
        <v>6</v>
      </c>
      <c r="J137" s="5865" t="n">
        <v>3</v>
      </c>
      <c r="K137" s="5866" t="n">
        <v>3</v>
      </c>
      <c r="L137" s="5865" t="n">
        <v>3</v>
      </c>
      <c r="M137" s="5866" t="n">
        <v>0</v>
      </c>
      <c r="N137" s="5865" t="n">
        <v>2</v>
      </c>
      <c r="O137" s="5866" t="n">
        <v>0</v>
      </c>
      <c r="P137" s="5865" t="n">
        <v>2</v>
      </c>
      <c r="Q137" s="6107" t="n">
        <v>0</v>
      </c>
      <c r="R137" s="5865" t="n">
        <v>3</v>
      </c>
      <c r="S137" s="5866" t="n">
        <v>1</v>
      </c>
      <c r="T137" s="5865" t="n">
        <v>2</v>
      </c>
      <c r="U137" s="5866" t="n">
        <v>0</v>
      </c>
      <c r="V137" s="5865" t="n">
        <v>3</v>
      </c>
      <c r="W137" s="5866" t="n">
        <v>1</v>
      </c>
      <c r="X137" s="5865" t="n">
        <v>1</v>
      </c>
      <c r="Y137" s="5866" t="n">
        <v>1</v>
      </c>
      <c r="Z137" s="5865" t="n">
        <v>1</v>
      </c>
      <c r="AA137" s="5866" t="n">
        <v>0</v>
      </c>
      <c r="AB137" s="5865" t="n">
        <v>5</v>
      </c>
      <c r="AC137" s="5866" t="n">
        <v>1</v>
      </c>
      <c r="AD137" s="5865" t="n">
        <v>0</v>
      </c>
      <c r="AE137" s="5866" t="n">
        <v>3</v>
      </c>
      <c r="AF137" s="5865" t="n">
        <v>12</v>
      </c>
      <c r="AG137" s="5866" t="n">
        <v>12</v>
      </c>
      <c r="AH137" s="5865" t="n">
        <v>8</v>
      </c>
      <c r="AI137" s="5866" t="n">
        <v>11</v>
      </c>
      <c r="AJ137" s="5865" t="n">
        <v>9</v>
      </c>
      <c r="AK137" s="5866" t="n">
        <v>1</v>
      </c>
      <c r="AL137" s="5865" t="n">
        <v>4</v>
      </c>
      <c r="AM137" s="5955" t="n">
        <v>2</v>
      </c>
      <c r="AN137" s="5870" t="n">
        <v>6</v>
      </c>
      <c r="AO137" s="5871" t="n">
        <v>173</v>
      </c>
      <c r="AP137" s="5872" t="n">
        <v>0</v>
      </c>
      <c r="AQ137" s="6108" t="n">
        <v>0</v>
      </c>
      <c r="AR137" s="5872" t="n">
        <v>0</v>
      </c>
      <c r="AS137" s="622">
        <f>BO137&amp;BP137&amp;BQ137&amp;BR137&amp;BS137</f>
        <v/>
      </c>
      <c r="BO137" s="5822">
        <f>IF(AND(B137&gt;0,AO137="")," * No olvide digitar la variable Beneficiarios. Digite Cero si no tiene.",IF(AO137&gt;B137,"  * La variable Beneficiarios No puede ser mayor al Total.",""))</f>
        <v/>
      </c>
      <c r="BP137" s="5822">
        <f>IF(AND(D137&gt;0,AP137="")," * No olvide digitar la variable Gestantes. Digite Cero si no tiene.",IF(AP137&gt;D137,"  * La variable Gestantes No puede ser mayor al Total Mujeres.",""))</f>
        <v/>
      </c>
      <c r="BQ137" s="5822">
        <f>IF(AND(B137&gt;0,AQ137="")," * No olvide digitar la variable SENAME/ Servicio Nacional de Reinserción social Juvenil . Digite Cero si no tiene.",IF(AQ137&gt;B137,"  * La variable SENAME/ Servicio Nacional de Reinserción social Juvenil  No puede ser mayor al Total.",""))</f>
        <v/>
      </c>
      <c r="BR137" s="5822">
        <f>IF(AND(B137&gt;0,AR137="")," * No olvide digitar la variable Servicio Nacional Protección Especializada a la Niñez y Adolescencia. Digite Cero si no tiene.",IF(AR137&gt;B137,"  * La variable Servicio Nacional Protección Especializada a la Niñez y Adolescencia No puede ser mayor al Total.",""))</f>
        <v/>
      </c>
      <c r="BU137" s="5823">
        <f>IF(AND(B137&gt;0,AO137=""),1,IF(AO137&gt;B137,1,0))</f>
        <v/>
      </c>
      <c r="BV137" s="5823">
        <f>IF(AND(D137&gt;0,AP137=""),1,IF(AP137&gt;D137,1,0))</f>
        <v/>
      </c>
      <c r="BW137" s="5823">
        <f>IF(AND(B137&gt;0,AQ137=""),1,IF(AQ137&gt;B137,1,0))</f>
        <v/>
      </c>
      <c r="BX137" s="5823">
        <f>IF(AND(B137&gt;0,AR137=""),1,IF(AR137&gt;B137,1,0))</f>
        <v/>
      </c>
    </row>
    <row r="138" ht="18" customHeight="1" s="8286">
      <c r="A138" s="1001" t="inlineStr">
        <is>
          <t>SECCIÓN L: CONSULTA DE LACTANCIA EN NIÑOS Y NIÑAS CONTROLADOS</t>
        </is>
      </c>
      <c r="B138" s="6109" t="n"/>
      <c r="C138" s="6109" t="n"/>
      <c r="D138" s="969" t="n"/>
      <c r="E138" s="6109" t="n"/>
      <c r="F138" s="969" t="n"/>
      <c r="G138" s="969" t="n"/>
      <c r="H138" s="969" t="n"/>
      <c r="I138" s="969" t="n"/>
      <c r="J138" s="969" t="n"/>
      <c r="K138" s="969" t="n"/>
    </row>
    <row r="139" ht="15" customHeight="1" s="8286">
      <c r="A139" s="9848" t="inlineStr">
        <is>
          <t>TIPOS DE CONSULTA</t>
        </is>
      </c>
      <c r="B139" s="9630" t="n"/>
      <c r="C139" s="9592" t="inlineStr">
        <is>
          <t>TOTAL</t>
        </is>
      </c>
      <c r="D139" s="9618" t="inlineStr">
        <is>
          <t>RANGO ETARIO</t>
        </is>
      </c>
      <c r="E139" s="9584" t="n"/>
      <c r="F139" s="9584" t="n"/>
      <c r="G139" s="9584" t="n"/>
      <c r="H139" s="9582" t="n"/>
      <c r="I139" s="9899" t="inlineStr">
        <is>
          <t>Gestantes</t>
        </is>
      </c>
      <c r="J139" s="9635" t="inlineStr">
        <is>
          <t>Pueblos Originarios</t>
        </is>
      </c>
      <c r="K139" s="9618" t="inlineStr">
        <is>
          <t>Migrantes</t>
        </is>
      </c>
    </row>
    <row r="140" ht="35.45" customHeight="1" s="8286">
      <c r="A140" s="9697" t="n"/>
      <c r="B140" s="9639" t="n"/>
      <c r="C140" s="9589" t="n"/>
      <c r="D140" s="6110" t="inlineStr">
        <is>
          <t xml:space="preserve"> De 0 a 29 días</t>
        </is>
      </c>
      <c r="E140" s="7383" t="inlineStr">
        <is>
          <t>De 1 mes a 2 meses 29 días</t>
        </is>
      </c>
      <c r="F140" s="7383" t="inlineStr">
        <is>
          <t>De 3 meses a 5 meses 29 días</t>
        </is>
      </c>
      <c r="G140" s="7383" t="inlineStr">
        <is>
          <t>De 6 meses a 11 meses 29 días</t>
        </is>
      </c>
      <c r="H140" s="7438" t="inlineStr">
        <is>
          <t>De 1 a 2 años</t>
        </is>
      </c>
      <c r="I140" s="9591" t="n"/>
      <c r="J140" s="9640" t="n"/>
      <c r="K140" s="9610" t="n"/>
    </row>
    <row r="141" ht="15" customHeight="1" s="8286">
      <c r="A141" s="9699" t="inlineStr">
        <is>
          <t>Consulta de Lactancia</t>
        </is>
      </c>
      <c r="B141" s="6112" t="inlineStr">
        <is>
          <t xml:space="preserve">Consulta Lactancia Materna de alerta </t>
        </is>
      </c>
      <c r="C141" s="1663">
        <f>SUM(D141:H141)</f>
        <v/>
      </c>
      <c r="D141" s="6113" t="n">
        <v>14</v>
      </c>
      <c r="E141" s="6114" t="n">
        <v>9</v>
      </c>
      <c r="F141" s="6114" t="n">
        <v>4</v>
      </c>
      <c r="G141" s="6114" t="n">
        <v>0</v>
      </c>
      <c r="H141" s="6115" t="n">
        <v>0</v>
      </c>
      <c r="I141" s="6116" t="n"/>
      <c r="J141" s="6117" t="n">
        <v>0</v>
      </c>
      <c r="K141" s="6118" t="n">
        <v>0</v>
      </c>
      <c r="L141" s="622">
        <f>BO141&amp;BP141&amp;BQ141</f>
        <v/>
      </c>
      <c r="BO141" s="65" t="n"/>
      <c r="BP141" s="5949">
        <f>IF(AND(C141&gt;0,J141="")," * No olvide digitar la variable Pueblos originarios. Digite Cero si no tiene.",IF(J141&gt;C141," * La variable Pueblos originarios No puede ser mayor al Total.",""))</f>
        <v/>
      </c>
      <c r="BQ141" s="5949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/>
      </c>
      <c r="BW141" s="5823">
        <f>IF(AND(C141&gt;0,K141=""),1,IF(K141&gt;C141,1,0))</f>
        <v/>
      </c>
    </row>
    <row r="142" ht="24" customHeight="1" s="8286">
      <c r="A142" s="9614" t="n"/>
      <c r="B142" s="7496" t="inlineStr">
        <is>
          <t xml:space="preserve">Consulta de Lactancia Materna de seguimiento </t>
        </is>
      </c>
      <c r="C142" s="6119">
        <f>SUM(D142:H142)</f>
        <v/>
      </c>
      <c r="D142" s="6120" t="n">
        <v>6</v>
      </c>
      <c r="E142" s="6121" t="n">
        <v>22</v>
      </c>
      <c r="F142" s="6121" t="n">
        <v>10</v>
      </c>
      <c r="G142" s="6121" t="n">
        <v>2</v>
      </c>
      <c r="H142" s="6122" t="n">
        <v>0</v>
      </c>
      <c r="I142" s="6116" t="n"/>
      <c r="J142" s="6123" t="n">
        <v>0</v>
      </c>
      <c r="K142" s="6124" t="n">
        <v>0</v>
      </c>
      <c r="L142" s="622">
        <f>BO142&amp;BP142&amp;BQ142</f>
        <v/>
      </c>
      <c r="BO142" s="65" t="n"/>
      <c r="BP142" s="5949">
        <f>IF(AND(C142&gt;0,J142="")," * No olvide digitar la variable Pueblos originarios. Digite Cero si no tiene.",IF(J142&gt;C142," * La variable Pueblos originarios No puede ser mayor al Total.",""))</f>
        <v/>
      </c>
      <c r="BQ142" s="5949">
        <f>IF(AND(C142&gt;0,K142="")," * No olvide digitar la variable Migrantes. Digite Cero si no tiene.",IF(K142&gt;C142," * La variable Migrantes No puede ser mayor al Total.",""))</f>
        <v/>
      </c>
      <c r="BV142" s="5823">
        <f>IF(AND(C142&gt;0,J142=""),1,IF(J142&gt;C142,1,0))</f>
        <v/>
      </c>
      <c r="BW142" s="5823">
        <f>IF(AND(C142&gt;0,K142=""),1,IF(K142&gt;C142,1,0))</f>
        <v/>
      </c>
    </row>
    <row r="143" ht="15" customHeight="1" s="8286">
      <c r="A143" s="9610" t="n"/>
      <c r="B143" s="7497" t="inlineStr">
        <is>
          <t xml:space="preserve">Otras consultas de Lactancia Materna </t>
        </is>
      </c>
      <c r="C143" s="6125">
        <f>SUM(D143:H143)</f>
        <v/>
      </c>
      <c r="D143" s="6126" t="n">
        <v>11</v>
      </c>
      <c r="E143" s="6127" t="n">
        <v>24</v>
      </c>
      <c r="F143" s="6127" t="n">
        <v>18</v>
      </c>
      <c r="G143" s="6127" t="n">
        <v>0</v>
      </c>
      <c r="H143" s="6128" t="n">
        <v>0</v>
      </c>
      <c r="I143" s="6116" t="n"/>
      <c r="J143" s="6129" t="n">
        <v>0</v>
      </c>
      <c r="K143" s="6130" t="n">
        <v>0</v>
      </c>
      <c r="L143" s="622">
        <f>BO143&amp;BP143&amp;BQ143</f>
        <v/>
      </c>
      <c r="BO143" s="65" t="n"/>
      <c r="BP143" s="5949">
        <f>IF(AND(C143&gt;0,J143="")," * No olvide digitar la variable Pueblos originarios. Digite Cero si no tiene.",IF(J143&gt;C143," * La variable Pueblos originarios No puede ser mayor al Total.",""))</f>
        <v/>
      </c>
      <c r="BQ143" s="5949">
        <f>IF(AND(C143&gt;0,K143="")," * No olvide digitar la variable Migrantes. Digite Cero si no tiene.",IF(K143&gt;C143," * La variable Migrantes No puede ser mayor al Total.",""))</f>
        <v/>
      </c>
      <c r="BV143" s="5823">
        <f>IF(AND(C143&gt;0,J143=""),1,IF(J143&gt;C143,1,0))</f>
        <v/>
      </c>
      <c r="BW143" s="5823">
        <f>IF(AND(C143&gt;0,K143=""),1,IF(K143&gt;C143,1,0))</f>
        <v/>
      </c>
    </row>
    <row r="144" ht="23.25" customHeight="1" s="8286">
      <c r="A144" s="9699" t="inlineStr">
        <is>
          <t>Consejería de Lactancia</t>
        </is>
      </c>
      <c r="B144" s="6131" t="inlineStr">
        <is>
          <t xml:space="preserve">Consejería prenatal en Lactancia Materna </t>
        </is>
      </c>
      <c r="C144" s="1663">
        <f>SUM(I144)</f>
        <v/>
      </c>
      <c r="D144" s="6078" t="n"/>
      <c r="E144" s="6132" t="n"/>
      <c r="F144" s="6132" t="n"/>
      <c r="G144" s="6132" t="n"/>
      <c r="H144" s="6133" t="n"/>
      <c r="I144" s="6134" t="n"/>
      <c r="J144" s="6135" t="n"/>
      <c r="K144" s="6136" t="n"/>
      <c r="L144" s="622">
        <f>BO144&amp;BP144&amp;BQ144</f>
        <v/>
      </c>
      <c r="BO144" s="5822">
        <f>IF(AND(C144&gt;0,I144="")," * No olvide digitar la variable Gestantes. Digite Cero si no tiene.",IF(I144&gt;C144,"  * La variable Pueblos Gestantes No puede ser mayor al Total.",""))</f>
        <v/>
      </c>
      <c r="BP144" s="5949">
        <f>IF(AND(C144&gt;0,J144="")," * No olvide digitar la variable Pueblos originarios. Digite Cero si no tiene.",IF(J144&gt;C144," * La variable Pueblos originarios No puede ser mayor al Total.",""))</f>
        <v/>
      </c>
      <c r="BQ144" s="5949">
        <f>IF(AND(C144&gt;0,K144="")," * No olvide digitar la variable Migrantes. Digite Cero si no tiene.",IF(K144&gt;C144," * La variable Migrantes No puede ser mayor al Total.",""))</f>
        <v/>
      </c>
      <c r="BU144" s="5823">
        <f>IF(AND(C144&gt;0,I144=""),1,IF(I144&gt;C144,1,0))</f>
        <v/>
      </c>
      <c r="BV144" s="5823">
        <f>IF(AND(C144&gt;0,J144=""),1,IF(J144&gt;C144,1,0))</f>
        <v/>
      </c>
      <c r="BW144" s="5823">
        <f>IF(AND(C144&gt;0,K144=""),1,IF(K144&gt;C144,1,0))</f>
        <v/>
      </c>
    </row>
    <row r="145" ht="25.5" customHeight="1" s="8286">
      <c r="A145" s="9610" t="n"/>
      <c r="B145" s="6137" t="inlineStr">
        <is>
          <t xml:space="preserve">Consejería posnatal en Lactancia Materna </t>
        </is>
      </c>
      <c r="C145" s="6125">
        <f>SUM(D145:H145)</f>
        <v/>
      </c>
      <c r="D145" s="6138" t="n"/>
      <c r="E145" s="6139" t="n"/>
      <c r="F145" s="6139" t="n"/>
      <c r="G145" s="6139" t="n"/>
      <c r="H145" s="6140" t="n"/>
      <c r="I145" s="6141" t="n"/>
      <c r="J145" s="6129" t="n"/>
      <c r="K145" s="6130" t="n"/>
      <c r="L145" s="622">
        <f>BO145&amp;BP145&amp;BQ145</f>
        <v/>
      </c>
      <c r="BO145" s="65" t="n"/>
      <c r="BP145" s="5949">
        <f>IF(AND(C145&gt;0,J145="")," * No olvide digitar la variable Pueblos originarios. Digite Cero si no tiene.",IF(J145&gt;C145," * La variable Pueblos originarios No puede ser mayor al Total.",""))</f>
        <v/>
      </c>
      <c r="BQ145" s="5949">
        <f>IF(AND(C145&gt;0,K145="")," * No olvide digitar la variable Migrantes. Digite Cero si no tiene.",IF(K145&gt;C145," * La variable Migrantes No puede ser mayor al Total.",""))</f>
        <v/>
      </c>
      <c r="BV145" s="5823">
        <f>IF(AND(C145&gt;0,J145=""),1,IF(J145&gt;C145,1,0))</f>
        <v/>
      </c>
      <c r="BW145" s="5823">
        <f>IF(AND(C145&gt;0,K145=""),1,IF(K145&gt;C145,1,0))</f>
        <v/>
      </c>
    </row>
    <row r="146" ht="15" customHeight="1" s="8286">
      <c r="A146" s="9615" t="inlineStr">
        <is>
          <t xml:space="preserve">Consulta de Lactancia por profesional </t>
        </is>
      </c>
      <c r="B146" s="5813" t="inlineStr">
        <is>
          <t>Médico/a</t>
        </is>
      </c>
      <c r="C146" s="1665">
        <f>SUM(D146:I146)</f>
        <v/>
      </c>
      <c r="D146" s="6142" t="n"/>
      <c r="E146" s="6143" t="n"/>
      <c r="F146" s="6143" t="n"/>
      <c r="G146" s="6143" t="n"/>
      <c r="H146" s="6115" t="n"/>
      <c r="I146" s="6144" t="n"/>
      <c r="J146" s="6145" t="n"/>
      <c r="K146" s="6146" t="n"/>
      <c r="L146" s="622">
        <f>BO146&amp;BP146&amp;BQ146</f>
        <v/>
      </c>
      <c r="BO146" s="5949">
        <f>IF(AND(C146&gt;0,I146="")," * No olvide digitar la variable Gestantes. Digite Cero si no tiene.",IF(I146&gt;C146," * La variable Gestantes No puede ser mayor al Total.",""))</f>
        <v/>
      </c>
      <c r="BP146" s="5949">
        <f>IF(AND(C146&gt;0,J146="")," * No olvide digitar la variable Pueblos originarios. Digite Cero si no tiene.",IF(J146&gt;C146," * La variable Pueblos originarios No puede ser mayor al Total.",""))</f>
        <v/>
      </c>
      <c r="BQ146" s="5949">
        <f>IF(AND(C146&gt;0,K146="")," * No olvide digitar la variable Migrantes. Digite Cero si no tiene.",IF(K146&gt;C146," * La variable Migrantes No puede ser mayor al Total.",""))</f>
        <v/>
      </c>
      <c r="BR146" s="622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/>
      </c>
      <c r="BV146" s="5823">
        <f>IF(AND(C146&gt;0,J146=""),1,IF(J146&gt;C146,1,0))</f>
        <v/>
      </c>
      <c r="BW146" s="5823">
        <f>IF(AND(C146&gt;0,K146=""),1,IF(K146&gt;C146,1,0))</f>
        <v/>
      </c>
    </row>
    <row r="147" ht="15" customHeight="1" s="8286">
      <c r="A147" s="9614" t="n"/>
      <c r="B147" s="5813" t="inlineStr">
        <is>
          <t>Matrona/ón</t>
        </is>
      </c>
      <c r="C147" s="1665">
        <f>SUM(D147:I147)</f>
        <v/>
      </c>
      <c r="D147" s="6142" t="n"/>
      <c r="E147" s="6143" t="n"/>
      <c r="F147" s="6143" t="n"/>
      <c r="G147" s="6143" t="n"/>
      <c r="H147" s="6147" t="n"/>
      <c r="I147" s="6144" t="n"/>
      <c r="J147" s="6145" t="n"/>
      <c r="K147" s="6146" t="n"/>
      <c r="L147" s="622">
        <f>BO147&amp;BP147&amp;BQ147</f>
        <v/>
      </c>
      <c r="BO147" s="5949">
        <f>IF(AND(C147&gt;0,I147="")," * No olvide digitar la variable Gestantes. Digite Cero si no tiene.",IF(I147&gt;C147," * La variable Gestantes No puede ser mayor al Total.",""))</f>
        <v/>
      </c>
      <c r="BP147" s="5949">
        <f>IF(AND(C147&gt;0,J147="")," * No olvide digitar la variable Pueblos originarios. Digite Cero si no tiene.",IF(J147&gt;C147," * La variable Pueblos originarios No puede ser mayor al Total.",""))</f>
        <v/>
      </c>
      <c r="BQ147" s="5949">
        <f>IF(AND(C147&gt;0,K147="")," * No olvide digitar la variable Migrantes. Digite Cero si no tiene.",IF(K147&gt;C147," * La variable Migrantes No puede ser mayor al Total.",""))</f>
        <v/>
      </c>
      <c r="BU147" s="5823">
        <f>IF(AND(C147&gt;0,I147=""),1,IF(I147&gt;C147,1,0))</f>
        <v/>
      </c>
      <c r="BV147" s="5823">
        <f>IF(AND(C147&gt;0,J147=""),1,IF(J147&gt;C147,1,0))</f>
        <v/>
      </c>
      <c r="BW147" s="5823">
        <f>IF(AND(C147&gt;0,K147=""),1,IF(K147&gt;C147,1,0))</f>
        <v/>
      </c>
    </row>
    <row r="148" ht="15" customHeight="1" s="8286">
      <c r="A148" s="9614" t="n"/>
      <c r="B148" s="1769" t="inlineStr">
        <is>
          <t>Enfermera/o</t>
        </is>
      </c>
      <c r="C148" s="1665">
        <f>SUM(D148:I148)</f>
        <v/>
      </c>
      <c r="D148" s="6120" t="n"/>
      <c r="E148" s="6121" t="n"/>
      <c r="F148" s="6121" t="n"/>
      <c r="G148" s="6121" t="n"/>
      <c r="H148" s="6122" t="n"/>
      <c r="I148" s="6148" t="n"/>
      <c r="J148" s="6123" t="n"/>
      <c r="K148" s="6124" t="n"/>
      <c r="L148" s="622">
        <f>BO148&amp;BP148&amp;BQ148</f>
        <v/>
      </c>
      <c r="BO148" s="5949">
        <f>IF(AND(C148&gt;0,I148="")," * No olvide digitar la variable Gestantes. Digite Cero si no tiene.",IF(I148&gt;C148," * La variable Gestantes No puede ser mayor al Total.",""))</f>
        <v/>
      </c>
      <c r="BP148" s="5949">
        <f>IF(AND(C148&gt;0,J148="")," * No olvide digitar la variable Pueblos originarios. Digite Cero si no tiene.",IF(J148&gt;C148," * La variable Pueblos originarios No puede ser mayor al Total.",""))</f>
        <v/>
      </c>
      <c r="BQ148" s="5949">
        <f>IF(AND(C148&gt;0,K148="")," * No olvide digitar la variable Migrantes. Digite Cero si no tiene.",IF(K148&gt;C148," * La variable Migrantes No puede ser mayor al Total.",""))</f>
        <v/>
      </c>
      <c r="BU148" s="5823">
        <f>IF(AND(C148&gt;0,I148=""),1,IF(I148&gt;C148,1,0))</f>
        <v/>
      </c>
      <c r="BV148" s="5823">
        <f>IF(AND(C148&gt;0,J148=""),1,IF(J148&gt;C148,1,0))</f>
        <v/>
      </c>
      <c r="BW148" s="5823">
        <f>IF(AND(C148&gt;0,K148=""),1,IF(K148&gt;C148,1,0))</f>
        <v/>
      </c>
    </row>
    <row r="149" ht="15" customHeight="1" s="8286">
      <c r="A149" s="9610" t="n"/>
      <c r="B149" s="6149" t="inlineStr">
        <is>
          <t xml:space="preserve">Nutricionista </t>
        </is>
      </c>
      <c r="C149" s="1648">
        <f>SUM(D149:I149)</f>
        <v/>
      </c>
      <c r="D149" s="6126" t="n">
        <v>31</v>
      </c>
      <c r="E149" s="6127" t="n">
        <v>55</v>
      </c>
      <c r="F149" s="6127" t="n">
        <v>32</v>
      </c>
      <c r="G149" s="6127" t="n">
        <v>2</v>
      </c>
      <c r="H149" s="6128" t="n">
        <v>0</v>
      </c>
      <c r="I149" s="6150" t="n">
        <v>0</v>
      </c>
      <c r="J149" s="6129" t="n">
        <v>0</v>
      </c>
      <c r="K149" s="6151" t="n">
        <v>0</v>
      </c>
      <c r="L149" s="622">
        <f>BO149&amp;BP149&amp;BQ149</f>
        <v/>
      </c>
      <c r="BO149" s="5949">
        <f>IF(AND(C149&gt;0,I149="")," * No olvide digitar la variable Gestantes. Digite Cero si no tiene.",IF(I149&gt;C149," * La variable Gestantes No puede ser mayor al Total.",""))</f>
        <v/>
      </c>
      <c r="BP149" s="5949">
        <f>IF(AND(C149&gt;0,J149="")," * No olvide digitar la variable Pueblos originarios. Digite Cero si no tiene.",IF(J149&gt;C149," * La variable Pueblos originarios No puede ser mayor al Total.",""))</f>
        <v/>
      </c>
      <c r="BQ149" s="5949">
        <f>IF(AND(C149&gt;0,K149="")," * No olvide digitar la variable Migrantes. Digite Cero si no tiene.",IF(K149&gt;C149," * La variable Migrantes No puede ser mayor al Total.",""))</f>
        <v/>
      </c>
      <c r="BU149" s="5823">
        <f>IF(AND(C149&gt;0,I149=""),1,IF(I149&gt;C149,1,0))</f>
        <v/>
      </c>
      <c r="BV149" s="5823">
        <f>IF(AND(C149&gt;0,J149=""),1,IF(J149&gt;C149,1,0))</f>
        <v/>
      </c>
      <c r="BW149" s="5823">
        <f>IF(AND(C149&gt;0,K149=""),1,IF(K149&gt;C149,1,0))</f>
        <v/>
      </c>
    </row>
    <row r="150" ht="18" customHeight="1" s="8286">
      <c r="A150" s="1001" t="inlineStr">
        <is>
          <t>SECCION M: ATENCIONES AMBULATORIAS POR  EL PROGRAMA TUBERCULOSIS</t>
        </is>
      </c>
      <c r="AN150" s="5802" t="n"/>
      <c r="AO150" s="5802" t="n"/>
    </row>
    <row r="151" ht="15" customHeight="1" s="8286">
      <c r="A151" s="9900" t="inlineStr">
        <is>
          <t>PROFESIONAL</t>
        </is>
      </c>
      <c r="B151" s="9900" t="inlineStr">
        <is>
          <t>TIPOS DE ATENCION</t>
        </is>
      </c>
      <c r="C151" s="9867" t="inlineStr">
        <is>
          <t>Ambos Sexos</t>
        </is>
      </c>
      <c r="D151" s="9901" t="inlineStr">
        <is>
          <t>Hombres</t>
        </is>
      </c>
      <c r="E151" s="9902" t="inlineStr">
        <is>
          <t>Mujeres</t>
        </is>
      </c>
      <c r="F151" s="9903" t="inlineStr">
        <is>
          <t>RANGO ETARIO Y SEXO</t>
        </is>
      </c>
      <c r="G151" s="9584" t="n"/>
      <c r="H151" s="9584" t="n"/>
      <c r="I151" s="9584" t="n"/>
      <c r="J151" s="9584" t="n"/>
      <c r="K151" s="9584" t="n"/>
      <c r="L151" s="9584" t="n"/>
      <c r="M151" s="9584" t="n"/>
      <c r="N151" s="9584" t="n"/>
      <c r="O151" s="9584" t="n"/>
      <c r="P151" s="9584" t="n"/>
      <c r="Q151" s="9584" t="n"/>
      <c r="R151" s="9584" t="n"/>
      <c r="S151" s="9584" t="n"/>
      <c r="T151" s="9584" t="n"/>
      <c r="U151" s="9584" t="n"/>
      <c r="V151" s="9584" t="n"/>
      <c r="W151" s="9584" t="n"/>
      <c r="X151" s="9584" t="n"/>
      <c r="Y151" s="9584" t="n"/>
      <c r="Z151" s="9584" t="n"/>
      <c r="AA151" s="9584" t="n"/>
      <c r="AB151" s="9584" t="n"/>
      <c r="AC151" s="9584" t="n"/>
      <c r="AD151" s="9584" t="n"/>
      <c r="AE151" s="9584" t="n"/>
      <c r="AF151" s="9584" t="n"/>
      <c r="AG151" s="9584" t="n"/>
      <c r="AH151" s="9584" t="n"/>
      <c r="AI151" s="9584" t="n"/>
      <c r="AJ151" s="9584" t="n"/>
      <c r="AK151" s="9584" t="n"/>
      <c r="AL151" s="9584" t="n"/>
      <c r="AM151" s="9595" t="n"/>
      <c r="AN151" s="9846" t="inlineStr">
        <is>
          <t>Pueblos Originarios</t>
        </is>
      </c>
      <c r="AO151" s="9618" t="inlineStr">
        <is>
          <t>Migrantes</t>
        </is>
      </c>
    </row>
    <row r="152" ht="15" customHeight="1" s="8286">
      <c r="A152" s="9625" t="n"/>
      <c r="B152" s="9625" t="n"/>
      <c r="C152" s="9852" t="n"/>
      <c r="D152" s="9687" t="n"/>
      <c r="E152" s="9625" t="n"/>
      <c r="F152" s="7632" t="inlineStr">
        <is>
          <t>0 - 4 años</t>
        </is>
      </c>
      <c r="G152" s="9582" t="n"/>
      <c r="H152" s="7632" t="inlineStr">
        <is>
          <t>5 - 9 años</t>
        </is>
      </c>
      <c r="I152" s="9582" t="n"/>
      <c r="J152" s="7632" t="inlineStr">
        <is>
          <t>10 - 14 años</t>
        </is>
      </c>
      <c r="K152" s="9582" t="n"/>
      <c r="L152" s="7632" t="inlineStr">
        <is>
          <t>15 - 19 años</t>
        </is>
      </c>
      <c r="M152" s="9582" t="n"/>
      <c r="N152" s="7632" t="inlineStr">
        <is>
          <t>20 - 24 años</t>
        </is>
      </c>
      <c r="O152" s="9582" t="n"/>
      <c r="P152" s="8251" t="inlineStr">
        <is>
          <t>25 - 29 años</t>
        </is>
      </c>
      <c r="Q152" s="9582" t="n"/>
      <c r="R152" s="7632" t="inlineStr">
        <is>
          <t>30 - 34 años</t>
        </is>
      </c>
      <c r="S152" s="9582" t="n"/>
      <c r="T152" s="7632" t="inlineStr">
        <is>
          <t>35 - 39 años</t>
        </is>
      </c>
      <c r="U152" s="9582" t="n"/>
      <c r="V152" s="7632" t="inlineStr">
        <is>
          <t>40 - 44 años</t>
        </is>
      </c>
      <c r="W152" s="9582" t="n"/>
      <c r="X152" s="7632" t="inlineStr">
        <is>
          <t>45 - 49 años</t>
        </is>
      </c>
      <c r="Y152" s="9582" t="n"/>
      <c r="Z152" s="7632" t="inlineStr">
        <is>
          <t>50 - 54 años</t>
        </is>
      </c>
      <c r="AA152" s="9582" t="n"/>
      <c r="AB152" s="7632" t="inlineStr">
        <is>
          <t>55 - 59 años</t>
        </is>
      </c>
      <c r="AC152" s="9582" t="n"/>
      <c r="AD152" s="7632" t="inlineStr">
        <is>
          <t>60 - 64 años</t>
        </is>
      </c>
      <c r="AE152" s="9582" t="n"/>
      <c r="AF152" s="7632" t="inlineStr">
        <is>
          <t>65 - 69 años</t>
        </is>
      </c>
      <c r="AG152" s="9582" t="n"/>
      <c r="AH152" s="7632" t="inlineStr">
        <is>
          <t>70 - 74 años</t>
        </is>
      </c>
      <c r="AI152" s="9582" t="n"/>
      <c r="AJ152" s="7632" t="inlineStr">
        <is>
          <t>75 - 79 años</t>
        </is>
      </c>
      <c r="AK152" s="9582" t="n"/>
      <c r="AL152" s="9594" t="inlineStr">
        <is>
          <t>80 y más años</t>
        </is>
      </c>
      <c r="AM152" s="9595" t="n"/>
      <c r="AO152" s="9614" t="n"/>
    </row>
    <row r="153" ht="15" customHeight="1" s="8286">
      <c r="A153" s="9641" t="n"/>
      <c r="B153" s="9641" t="n"/>
      <c r="C153" s="9800" t="n"/>
      <c r="D153" s="9688" t="n"/>
      <c r="E153" s="9641" t="n"/>
      <c r="F153" s="5966" t="inlineStr">
        <is>
          <t xml:space="preserve">Hombres </t>
        </is>
      </c>
      <c r="G153" s="5967" t="inlineStr">
        <is>
          <t>Mujeres</t>
        </is>
      </c>
      <c r="H153" s="5966" t="inlineStr">
        <is>
          <t xml:space="preserve">Hombres </t>
        </is>
      </c>
      <c r="I153" s="5967" t="inlineStr">
        <is>
          <t>Mujeres</t>
        </is>
      </c>
      <c r="J153" s="5966" t="inlineStr">
        <is>
          <t xml:space="preserve">Hombres </t>
        </is>
      </c>
      <c r="K153" s="5967" t="inlineStr">
        <is>
          <t>Mujeres</t>
        </is>
      </c>
      <c r="L153" s="5966" t="inlineStr">
        <is>
          <t xml:space="preserve">Hombres </t>
        </is>
      </c>
      <c r="M153" s="5967" t="inlineStr">
        <is>
          <t>Mujeres</t>
        </is>
      </c>
      <c r="N153" s="5966" t="inlineStr">
        <is>
          <t xml:space="preserve">Hombres </t>
        </is>
      </c>
      <c r="O153" s="5967" t="inlineStr">
        <is>
          <t>Mujeres</t>
        </is>
      </c>
      <c r="P153" s="5966" t="inlineStr">
        <is>
          <t xml:space="preserve">Hombres </t>
        </is>
      </c>
      <c r="Q153" s="5967" t="inlineStr">
        <is>
          <t>Mujeres</t>
        </is>
      </c>
      <c r="R153" s="5966" t="inlineStr">
        <is>
          <t xml:space="preserve">Hombres </t>
        </is>
      </c>
      <c r="S153" s="5967" t="inlineStr">
        <is>
          <t>Mujeres</t>
        </is>
      </c>
      <c r="T153" s="5966" t="inlineStr">
        <is>
          <t xml:space="preserve">Hombres </t>
        </is>
      </c>
      <c r="U153" s="5967" t="inlineStr">
        <is>
          <t>Mujeres</t>
        </is>
      </c>
      <c r="V153" s="5966" t="inlineStr">
        <is>
          <t xml:space="preserve">Hombres </t>
        </is>
      </c>
      <c r="W153" s="5967" t="inlineStr">
        <is>
          <t>Mujeres</t>
        </is>
      </c>
      <c r="X153" s="5966" t="inlineStr">
        <is>
          <t xml:space="preserve">Hombres </t>
        </is>
      </c>
      <c r="Y153" s="5967" t="inlineStr">
        <is>
          <t>Mujeres</t>
        </is>
      </c>
      <c r="Z153" s="5966" t="inlineStr">
        <is>
          <t xml:space="preserve">Hombres </t>
        </is>
      </c>
      <c r="AA153" s="5967" t="inlineStr">
        <is>
          <t>Mujeres</t>
        </is>
      </c>
      <c r="AB153" s="5966" t="inlineStr">
        <is>
          <t xml:space="preserve">Hombres </t>
        </is>
      </c>
      <c r="AC153" s="5967" t="inlineStr">
        <is>
          <t>Mujeres</t>
        </is>
      </c>
      <c r="AD153" s="5966" t="inlineStr">
        <is>
          <t xml:space="preserve">Hombres </t>
        </is>
      </c>
      <c r="AE153" s="5967" t="inlineStr">
        <is>
          <t>Mujeres</t>
        </is>
      </c>
      <c r="AF153" s="5966" t="inlineStr">
        <is>
          <t xml:space="preserve">Hombres </t>
        </is>
      </c>
      <c r="AG153" s="5967" t="inlineStr">
        <is>
          <t>Mujeres</t>
        </is>
      </c>
      <c r="AH153" s="5966" t="inlineStr">
        <is>
          <t xml:space="preserve">Hombres </t>
        </is>
      </c>
      <c r="AI153" s="5967" t="inlineStr">
        <is>
          <t>Mujeres</t>
        </is>
      </c>
      <c r="AJ153" s="5966" t="inlineStr">
        <is>
          <t xml:space="preserve">Hombres </t>
        </is>
      </c>
      <c r="AK153" s="5967" t="inlineStr">
        <is>
          <t>Mujeres</t>
        </is>
      </c>
      <c r="AL153" s="5966" t="inlineStr">
        <is>
          <t xml:space="preserve">Hombres </t>
        </is>
      </c>
      <c r="AM153" s="6154" t="inlineStr">
        <is>
          <t>Mujeres</t>
        </is>
      </c>
      <c r="AN153" s="9591" t="n"/>
      <c r="AO153" s="9610" t="n"/>
    </row>
    <row r="154" ht="15" customHeight="1" s="8286">
      <c r="A154" s="9699" t="inlineStr">
        <is>
          <t>Médico/a</t>
        </is>
      </c>
      <c r="B154" s="1721" t="inlineStr">
        <is>
          <t>Ingreso tratamiento</t>
        </is>
      </c>
      <c r="C154" s="1663">
        <f>SUM(D154:E154)</f>
        <v/>
      </c>
      <c r="D154" s="6155">
        <f>+F154+H154+J154+L154+N154+P154+R154+T154+V154+X154+Z154+AB154+AD154+AF154+AH154+AJ154+AL154</f>
        <v/>
      </c>
      <c r="E154" s="6156">
        <f>+G154+I154+K154+M154+O154+Q154+S154+U154+W154+Y154+AA154+AC154+AE154+AG154+AI154+AK154+AM154</f>
        <v/>
      </c>
      <c r="F154" s="5816" t="n">
        <v>0</v>
      </c>
      <c r="G154" s="5817" t="n">
        <v>0</v>
      </c>
      <c r="H154" s="5816" t="n">
        <v>0</v>
      </c>
      <c r="I154" s="5817" t="n">
        <v>0</v>
      </c>
      <c r="J154" s="5816" t="n">
        <v>0</v>
      </c>
      <c r="K154" s="5817" t="n">
        <v>0</v>
      </c>
      <c r="L154" s="5816" t="n">
        <v>0</v>
      </c>
      <c r="M154" s="5817" t="n">
        <v>0</v>
      </c>
      <c r="N154" s="5816" t="n">
        <v>0</v>
      </c>
      <c r="O154" s="5817" t="n">
        <v>0</v>
      </c>
      <c r="P154" s="5816" t="n">
        <v>0</v>
      </c>
      <c r="Q154" s="5817" t="n">
        <v>1</v>
      </c>
      <c r="R154" s="5816" t="n">
        <v>1</v>
      </c>
      <c r="S154" s="5817" t="n">
        <v>0</v>
      </c>
      <c r="T154" s="5816" t="n">
        <v>0</v>
      </c>
      <c r="U154" s="5817" t="n">
        <v>0</v>
      </c>
      <c r="V154" s="5816" t="n">
        <v>0</v>
      </c>
      <c r="W154" s="5817" t="n">
        <v>0</v>
      </c>
      <c r="X154" s="5816" t="n">
        <v>0</v>
      </c>
      <c r="Y154" s="5817" t="n">
        <v>1</v>
      </c>
      <c r="Z154" s="5816" t="n">
        <v>0</v>
      </c>
      <c r="AA154" s="5817" t="n">
        <v>0</v>
      </c>
      <c r="AB154" s="5816" t="n">
        <v>0</v>
      </c>
      <c r="AC154" s="5817" t="n">
        <v>0</v>
      </c>
      <c r="AD154" s="5816" t="n">
        <v>0</v>
      </c>
      <c r="AE154" s="5817" t="n">
        <v>0</v>
      </c>
      <c r="AF154" s="5816" t="n">
        <v>0</v>
      </c>
      <c r="AG154" s="5817" t="n">
        <v>0</v>
      </c>
      <c r="AH154" s="5816" t="n">
        <v>0</v>
      </c>
      <c r="AI154" s="5817" t="n">
        <v>0</v>
      </c>
      <c r="AJ154" s="5816" t="n">
        <v>0</v>
      </c>
      <c r="AK154" s="5817" t="n">
        <v>0</v>
      </c>
      <c r="AL154" s="5816" t="n">
        <v>0</v>
      </c>
      <c r="AM154" s="6157" t="n">
        <v>0</v>
      </c>
      <c r="AN154" s="6158" t="n">
        <v>0</v>
      </c>
      <c r="AO154" s="6159" t="n">
        <v>0</v>
      </c>
      <c r="AP154" s="622">
        <f>BO154&amp;BP154</f>
        <v/>
      </c>
      <c r="BO154" s="5822">
        <f>IF(AND(C154&gt;0,AN154=""),"  * No olvide digitar la variable Pueblos originarios. Digite Cero si no tiene.",IF(AN154&gt;C154,"  * La variable Pueblos originarios No puede ser mayor al Total.",""))</f>
        <v/>
      </c>
      <c r="BP154" s="5822">
        <f>IF(AND(C154&gt;0,AO154=""),"  * No olvide digitar la variable Migrantes. Digite Cero si no tiene.",IF(AO154&gt;C154,"  * La variable Migrantes No puede ser mayor al Total.",""))</f>
        <v/>
      </c>
      <c r="BQ154" s="5949" t="n"/>
      <c r="BR154" s="5949" t="n"/>
      <c r="BS154" s="5949" t="n"/>
      <c r="BU154" s="5823">
        <f>IF(AND(C154&gt;0,AN154=""),1,IF(AN154&gt;C154,1,0))</f>
        <v/>
      </c>
      <c r="BV154" s="5823">
        <f>IF(AND(C154&gt;0,AO154=""),1,IF(AO154&gt;C154,1,0))</f>
        <v/>
      </c>
    </row>
    <row r="155" ht="15" customHeight="1" s="8286">
      <c r="A155" s="9614" t="n"/>
      <c r="B155" s="1646" t="inlineStr">
        <is>
          <t xml:space="preserve">Ingreso Quimioprofilaxis </t>
        </is>
      </c>
      <c r="C155" s="6119">
        <f>SUM(D155:E155)</f>
        <v/>
      </c>
      <c r="D155" s="1730">
        <f>+F155+H155+J155+L155+N155+P155+R155+T155+V155+X155+Z155+AB155+AD155+AF155+AH155+AJ155+AL155</f>
        <v/>
      </c>
      <c r="E155" s="1586">
        <f>+G155+I155+K155+M155+O155+Q155+S155+U155+W155+Y155+AA155+AC155+AE155+AG155+AI155+AK155+AM155</f>
        <v/>
      </c>
      <c r="F155" s="5843" t="n">
        <v>3</v>
      </c>
      <c r="G155" s="6014" t="n">
        <v>0</v>
      </c>
      <c r="H155" s="5843" t="n">
        <v>0</v>
      </c>
      <c r="I155" s="6014" t="n">
        <v>1</v>
      </c>
      <c r="J155" s="5843" t="n">
        <v>0</v>
      </c>
      <c r="K155" s="6014" t="n">
        <v>0</v>
      </c>
      <c r="L155" s="5843" t="n">
        <v>0</v>
      </c>
      <c r="M155" s="6014" t="n">
        <v>0</v>
      </c>
      <c r="N155" s="5843" t="n">
        <v>0</v>
      </c>
      <c r="O155" s="6014" t="n">
        <v>0</v>
      </c>
      <c r="P155" s="5843" t="n">
        <v>0</v>
      </c>
      <c r="Q155" s="6014" t="n">
        <v>2</v>
      </c>
      <c r="R155" s="5843" t="n">
        <v>0</v>
      </c>
      <c r="S155" s="6014" t="n">
        <v>0</v>
      </c>
      <c r="T155" s="5843" t="n">
        <v>0</v>
      </c>
      <c r="U155" s="6014" t="n">
        <v>0</v>
      </c>
      <c r="V155" s="5843" t="n">
        <v>0</v>
      </c>
      <c r="W155" s="6014" t="n">
        <v>0</v>
      </c>
      <c r="X155" s="5843" t="n">
        <v>0</v>
      </c>
      <c r="Y155" s="6014" t="n">
        <v>0</v>
      </c>
      <c r="Z155" s="5843" t="n">
        <v>0</v>
      </c>
      <c r="AA155" s="6014" t="n">
        <v>0</v>
      </c>
      <c r="AB155" s="5843" t="n">
        <v>0</v>
      </c>
      <c r="AC155" s="6014" t="n">
        <v>0</v>
      </c>
      <c r="AD155" s="5843" t="n">
        <v>0</v>
      </c>
      <c r="AE155" s="6014" t="n">
        <v>1</v>
      </c>
      <c r="AF155" s="5843" t="n">
        <v>0</v>
      </c>
      <c r="AG155" s="6014" t="n">
        <v>0</v>
      </c>
      <c r="AH155" s="5843" t="n">
        <v>0</v>
      </c>
      <c r="AI155" s="6014" t="n">
        <v>0</v>
      </c>
      <c r="AJ155" s="5843" t="n">
        <v>0</v>
      </c>
      <c r="AK155" s="6014" t="n">
        <v>0</v>
      </c>
      <c r="AL155" s="5843" t="n">
        <v>0</v>
      </c>
      <c r="AM155" s="6160" t="n">
        <v>0</v>
      </c>
      <c r="AN155" s="5946" t="n">
        <v>0</v>
      </c>
      <c r="AO155" s="5945" t="n">
        <v>0</v>
      </c>
      <c r="AP155" s="622">
        <f>BO155&amp;BP155</f>
        <v/>
      </c>
      <c r="BO155" s="5822">
        <f>IF(AND(C155&gt;0,AN155=""),"  * No olvide digitar la variable Pueblos originarios. Digite Cero si no tiene.",IF(AN155&gt;C155,"  * La variable Pueblos originarios No puede ser mayor al Total.",""))</f>
        <v/>
      </c>
      <c r="BP155" s="5822">
        <f>IF(AND(C155&gt;0,AO155=""),"  * No olvide digitar la variable Migrantes. Digite Cero si no tiene.",IF(AO155&gt;C155,"  * La variable Migrantes No puede ser mayor al Total.",""))</f>
        <v/>
      </c>
      <c r="BQ155" s="5949" t="n"/>
      <c r="BR155" s="5949" t="n"/>
      <c r="BS155" s="5949" t="n"/>
      <c r="BU155" s="5823">
        <f>IF(AND(C155&gt;0,AN155=""),1,IF(AN155&gt;C155,1,0))</f>
        <v/>
      </c>
      <c r="BV155" s="5823">
        <f>IF(AND(C155&gt;0,AO155=""),1,IF(AO155&gt;C155,1,0))</f>
        <v/>
      </c>
    </row>
    <row r="156" ht="15" customHeight="1" s="8286">
      <c r="A156" s="9614" t="n"/>
      <c r="B156" s="1646" t="inlineStr">
        <is>
          <t>Control mensual</t>
        </is>
      </c>
      <c r="C156" s="6119">
        <f>SUM(D156:E156)</f>
        <v/>
      </c>
      <c r="D156" s="1730">
        <f>+F156+H156+J156+L156+N156+P156+R156+T156+V156+X156+Z156+AB156+AD156+AF156+AH156+AJ156+AL156</f>
        <v/>
      </c>
      <c r="E156" s="1586">
        <f>+G156+I156+K156+M156+O156+Q156+S156+U156+W156+Y156+AA156+AC156+AE156+AG156+AI156+AK156+AM156</f>
        <v/>
      </c>
      <c r="F156" s="5826" t="n"/>
      <c r="G156" s="5827" t="n"/>
      <c r="H156" s="5826" t="n"/>
      <c r="I156" s="5827" t="n"/>
      <c r="J156" s="5826" t="n"/>
      <c r="K156" s="5827" t="n"/>
      <c r="L156" s="5826" t="n"/>
      <c r="M156" s="5827" t="n"/>
      <c r="N156" s="5826" t="n"/>
      <c r="O156" s="5827" t="n"/>
      <c r="P156" s="5826" t="n"/>
      <c r="Q156" s="5827" t="n"/>
      <c r="R156" s="5826" t="n"/>
      <c r="S156" s="5827" t="n"/>
      <c r="T156" s="5826" t="n"/>
      <c r="U156" s="5827" t="n"/>
      <c r="V156" s="5826" t="n"/>
      <c r="W156" s="5827" t="n"/>
      <c r="X156" s="5826" t="n"/>
      <c r="Y156" s="5827" t="n"/>
      <c r="Z156" s="5826" t="n"/>
      <c r="AA156" s="5827" t="n"/>
      <c r="AB156" s="5826" t="n"/>
      <c r="AC156" s="5827" t="n"/>
      <c r="AD156" s="5826" t="n"/>
      <c r="AE156" s="5827" t="n"/>
      <c r="AF156" s="5826" t="n"/>
      <c r="AG156" s="5827" t="n"/>
      <c r="AH156" s="5826" t="n"/>
      <c r="AI156" s="5827" t="n"/>
      <c r="AJ156" s="5826" t="n"/>
      <c r="AK156" s="5827" t="n"/>
      <c r="AL156" s="5826" t="n"/>
      <c r="AM156" s="6161" t="n"/>
      <c r="AN156" s="6162" t="n"/>
      <c r="AO156" s="6163" t="n"/>
      <c r="AP156" s="622">
        <f>BO156&amp;BP156</f>
        <v/>
      </c>
      <c r="BO156" s="5822">
        <f>IF(AND(C156&gt;0,AN156=""),"  * No olvide digitar la variable Pueblos originarios. Digite Cero si no tiene.",IF(AN156&gt;C156,"  * La variable Pueblos originarios No puede ser mayor al Total.",""))</f>
        <v/>
      </c>
      <c r="BP156" s="5822">
        <f>IF(AND(C156&gt;0,AO156=""),"  * No olvide digitar la variable Migrantes. Digite Cero si no tiene.",IF(AO156&gt;C156,"  * La variable Migrantes No puede ser mayor al Total.",""))</f>
        <v/>
      </c>
      <c r="BQ156" s="5949" t="n"/>
      <c r="BR156" s="5949" t="n"/>
      <c r="BS156" s="5949" t="n"/>
      <c r="BU156" s="5823">
        <f>IF(AND(C156&gt;0,AN156=""),1,IF(AN156&gt;C156,1,0))</f>
        <v/>
      </c>
      <c r="BV156" s="5823">
        <f>IF(AND(C156&gt;0,AO156=""),1,IF(AO156&gt;C156,1,0))</f>
        <v/>
      </c>
    </row>
    <row r="157" ht="15" customHeight="1" s="8286">
      <c r="A157" s="9614" t="n"/>
      <c r="B157" s="1646" t="inlineStr">
        <is>
          <t>Control de seguimiento</t>
        </is>
      </c>
      <c r="C157" s="6119">
        <f>SUM(D157:E157)</f>
        <v/>
      </c>
      <c r="D157" s="1730">
        <f>+F157+H157+J157+L157+N157+P157+R157+T157+V157+X157+Z157+AB157+AD157+AF157+AH157+AJ157+AL157</f>
        <v/>
      </c>
      <c r="E157" s="1586">
        <f>+G157+I157+K157+M157+O157+Q157+S157+U157+W157+Y157+AA157+AC157+AE157+AG157+AI157+AK157+AM157</f>
        <v/>
      </c>
      <c r="F157" s="5826" t="n">
        <v>0</v>
      </c>
      <c r="G157" s="5827" t="n">
        <v>0</v>
      </c>
      <c r="H157" s="5826" t="n">
        <v>0</v>
      </c>
      <c r="I157" s="5827" t="n">
        <v>0</v>
      </c>
      <c r="J157" s="5826" t="n">
        <v>0</v>
      </c>
      <c r="K157" s="5827" t="n">
        <v>0</v>
      </c>
      <c r="L157" s="5826" t="n">
        <v>0</v>
      </c>
      <c r="M157" s="5827" t="n">
        <v>1</v>
      </c>
      <c r="N157" s="5826" t="n">
        <v>0</v>
      </c>
      <c r="O157" s="5827" t="n">
        <v>0</v>
      </c>
      <c r="P157" s="5826" t="n">
        <v>0</v>
      </c>
      <c r="Q157" s="5827" t="n">
        <v>0</v>
      </c>
      <c r="R157" s="5826" t="n">
        <v>0</v>
      </c>
      <c r="S157" s="5827" t="n">
        <v>0</v>
      </c>
      <c r="T157" s="5826" t="n">
        <v>0</v>
      </c>
      <c r="U157" s="5827" t="n">
        <v>0</v>
      </c>
      <c r="V157" s="5826" t="n">
        <v>0</v>
      </c>
      <c r="W157" s="5827" t="n">
        <v>0</v>
      </c>
      <c r="X157" s="5826" t="n">
        <v>0</v>
      </c>
      <c r="Y157" s="5827" t="n">
        <v>0</v>
      </c>
      <c r="Z157" s="5826" t="n">
        <v>0</v>
      </c>
      <c r="AA157" s="5827" t="n">
        <v>0</v>
      </c>
      <c r="AB157" s="5826" t="n">
        <v>0</v>
      </c>
      <c r="AC157" s="5827" t="n">
        <v>0</v>
      </c>
      <c r="AD157" s="5826" t="n">
        <v>0</v>
      </c>
      <c r="AE157" s="5827" t="n">
        <v>0</v>
      </c>
      <c r="AF157" s="5826" t="n">
        <v>0</v>
      </c>
      <c r="AG157" s="5827" t="n">
        <v>0</v>
      </c>
      <c r="AH157" s="5826" t="n">
        <v>0</v>
      </c>
      <c r="AI157" s="5827" t="n">
        <v>0</v>
      </c>
      <c r="AJ157" s="5826" t="n">
        <v>0</v>
      </c>
      <c r="AK157" s="5827" t="n">
        <v>0</v>
      </c>
      <c r="AL157" s="5826" t="n">
        <v>0</v>
      </c>
      <c r="AM157" s="6161" t="n">
        <v>0</v>
      </c>
      <c r="AN157" s="6162" t="n">
        <v>0</v>
      </c>
      <c r="AO157" s="6163" t="n">
        <v>0</v>
      </c>
      <c r="AP157" s="622">
        <f>BO157&amp;BP157</f>
        <v/>
      </c>
      <c r="BO157" s="5822">
        <f>IF(AND(C157&gt;0,AN157=""),"  * No olvide digitar la variable Pueblos originarios. Digite Cero si no tiene.",IF(AN157&gt;C157,"  * La variable Pueblos originarios No puede ser mayor al Total.",""))</f>
        <v/>
      </c>
      <c r="BP157" s="5822">
        <f>IF(AND(C157&gt;0,AO157=""),"  * No olvide digitar la variable Migrantes. Digite Cero si no tiene.",IF(AO157&gt;C157,"  * La variable Migrantes No puede ser mayor al Total.",""))</f>
        <v/>
      </c>
      <c r="BQ157" s="5949" t="n"/>
      <c r="BR157" s="5949" t="n"/>
      <c r="BS157" s="5949" t="n"/>
      <c r="BU157" s="5823">
        <f>IF(AND(C157&gt;0,AN157=""),1,IF(AN157&gt;C157,1,0))</f>
        <v/>
      </c>
      <c r="BV157" s="5823">
        <f>IF(AND(C157&gt;0,AO157=""),1,IF(AO157&gt;C157,1,0))</f>
        <v/>
      </c>
    </row>
    <row r="158" ht="15" customHeight="1" s="8286">
      <c r="A158" s="9614" t="n"/>
      <c r="B158" s="1646" t="inlineStr">
        <is>
          <t xml:space="preserve">Consultas espontáneas </t>
        </is>
      </c>
      <c r="C158" s="6119">
        <f>SUM(D158:E158)</f>
        <v/>
      </c>
      <c r="D158" s="1730">
        <f>+F158+H158+J158+L158+N158+P158+R158+T158+V158+X158+Z158+AB158+AD158+AF158+AH158+AJ158+AL158</f>
        <v/>
      </c>
      <c r="E158" s="1586">
        <f>+G158+I158+K158+M158+O158+Q158+S158+U158+W158+Y158+AA158+AC158+AE158+AG158+AI158+AK158+AM158</f>
        <v/>
      </c>
      <c r="F158" s="5826" t="n">
        <v>5</v>
      </c>
      <c r="G158" s="5827" t="n">
        <v>1</v>
      </c>
      <c r="H158" s="5826" t="n">
        <v>1</v>
      </c>
      <c r="I158" s="5827" t="n">
        <v>1</v>
      </c>
      <c r="J158" s="5826" t="n">
        <v>0</v>
      </c>
      <c r="K158" s="5827" t="n">
        <v>0</v>
      </c>
      <c r="L158" s="5826" t="n">
        <v>0</v>
      </c>
      <c r="M158" s="5827" t="n">
        <v>0</v>
      </c>
      <c r="N158" s="5826" t="n">
        <v>0</v>
      </c>
      <c r="O158" s="5827" t="n">
        <v>0</v>
      </c>
      <c r="P158" s="5826" t="n">
        <v>0</v>
      </c>
      <c r="Q158" s="5827" t="n">
        <v>2</v>
      </c>
      <c r="R158" s="5826" t="n">
        <v>0</v>
      </c>
      <c r="S158" s="5827" t="n">
        <v>1</v>
      </c>
      <c r="T158" s="5826" t="n">
        <v>0</v>
      </c>
      <c r="U158" s="5827" t="n">
        <v>0</v>
      </c>
      <c r="V158" s="5826" t="n">
        <v>0</v>
      </c>
      <c r="W158" s="5827" t="n">
        <v>0</v>
      </c>
      <c r="X158" s="5826" t="n">
        <v>0</v>
      </c>
      <c r="Y158" s="5827" t="n">
        <v>0</v>
      </c>
      <c r="Z158" s="5826" t="n">
        <v>2</v>
      </c>
      <c r="AA158" s="5827" t="n">
        <v>0</v>
      </c>
      <c r="AB158" s="5826" t="n">
        <v>0</v>
      </c>
      <c r="AC158" s="5827" t="n">
        <v>0</v>
      </c>
      <c r="AD158" s="5826" t="n">
        <v>1</v>
      </c>
      <c r="AE158" s="5827" t="n">
        <v>0</v>
      </c>
      <c r="AF158" s="5826" t="n">
        <v>0</v>
      </c>
      <c r="AG158" s="5827" t="n">
        <v>0</v>
      </c>
      <c r="AH158" s="5826" t="n">
        <v>0</v>
      </c>
      <c r="AI158" s="5827" t="n">
        <v>0</v>
      </c>
      <c r="AJ158" s="5826" t="n">
        <v>0</v>
      </c>
      <c r="AK158" s="5827" t="n">
        <v>0</v>
      </c>
      <c r="AL158" s="5826" t="n">
        <v>0</v>
      </c>
      <c r="AM158" s="6161" t="n">
        <v>0</v>
      </c>
      <c r="AN158" s="6162" t="n">
        <v>0</v>
      </c>
      <c r="AO158" s="6163" t="n">
        <v>0</v>
      </c>
      <c r="AP158" s="622">
        <f>BO158&amp;BP158</f>
        <v/>
      </c>
      <c r="BO158" s="5822">
        <f>IF(AND(C158&gt;0,AN158=""),"  * No olvide digitar la variable Pueblos originarios. Digite Cero si no tiene.",IF(AN158&gt;C158,"  * La variable Pueblos originarios No puede ser mayor al Total.",""))</f>
        <v/>
      </c>
      <c r="BP158" s="5822">
        <f>IF(AND(C158&gt;0,AO158=""),"  * No olvide digitar la variable Migrantes. Digite Cero si no tiene.",IF(AO158&gt;C158,"  * La variable Migrantes No puede ser mayor al Total.",""))</f>
        <v/>
      </c>
      <c r="BQ158" s="5949" t="n"/>
      <c r="BR158" s="5949" t="n"/>
      <c r="BS158" s="5949" t="n"/>
      <c r="BU158" s="5823">
        <f>IF(AND(C158&gt;0,AN158=""),1,IF(AN158&gt;C158,1,0))</f>
        <v/>
      </c>
      <c r="BV158" s="5823">
        <f>IF(AND(C158&gt;0,AO158=""),1,IF(AO158&gt;C158,1,0))</f>
        <v/>
      </c>
    </row>
    <row r="159" ht="15" customHeight="1" s="8286">
      <c r="A159" s="9614" t="n"/>
      <c r="B159" s="1646" t="inlineStr">
        <is>
          <t>Rescate</t>
        </is>
      </c>
      <c r="C159" s="6119">
        <f>SUM(D159:E159)</f>
        <v/>
      </c>
      <c r="D159" s="1730">
        <f>+F159+H159+J159+L159+N159+P159+R159+T159+V159+X159+Z159+AB159+AD159+AF159+AH159+AJ159+AL159</f>
        <v/>
      </c>
      <c r="E159" s="1586">
        <f>+G159+I159+K159+M159+O159+Q159+S159+U159+W159+Y159+AA159+AC159+AE159+AG159+AI159+AK159+AM159</f>
        <v/>
      </c>
      <c r="F159" s="5858" t="n"/>
      <c r="G159" s="5859" t="n"/>
      <c r="H159" s="5858" t="n"/>
      <c r="I159" s="5859" t="n"/>
      <c r="J159" s="5858" t="n"/>
      <c r="K159" s="5859" t="n"/>
      <c r="L159" s="5858" t="n"/>
      <c r="M159" s="5859" t="n"/>
      <c r="N159" s="5858" t="n"/>
      <c r="O159" s="5859" t="n"/>
      <c r="P159" s="5858" t="n"/>
      <c r="Q159" s="5859" t="n"/>
      <c r="R159" s="5858" t="n"/>
      <c r="S159" s="5859" t="n"/>
      <c r="T159" s="5858" t="n"/>
      <c r="U159" s="5859" t="n"/>
      <c r="V159" s="5858" t="n"/>
      <c r="W159" s="5859" t="n"/>
      <c r="X159" s="5858" t="n"/>
      <c r="Y159" s="5859" t="n"/>
      <c r="Z159" s="5858" t="n"/>
      <c r="AA159" s="5859" t="n"/>
      <c r="AB159" s="5858" t="n"/>
      <c r="AC159" s="5859" t="n"/>
      <c r="AD159" s="5858" t="n"/>
      <c r="AE159" s="5859" t="n"/>
      <c r="AF159" s="5858" t="n"/>
      <c r="AG159" s="5859" t="n"/>
      <c r="AH159" s="5858" t="n"/>
      <c r="AI159" s="5859" t="n"/>
      <c r="AJ159" s="5858" t="n"/>
      <c r="AK159" s="5859" t="n"/>
      <c r="AL159" s="5858" t="n"/>
      <c r="AM159" s="6164" t="n"/>
      <c r="AN159" s="6165" t="n"/>
      <c r="AO159" s="6166" t="n"/>
      <c r="AP159" s="622">
        <f>BO159&amp;BP159</f>
        <v/>
      </c>
      <c r="BO159" s="5822">
        <f>IF(AND(C159&gt;0,AN159=""),"  * No olvide digitar la variable Pueblos originarios. Digite Cero si no tiene.",IF(AN159&gt;C159,"  * La variable Pueblos originarios No puede ser mayor al Total.",""))</f>
        <v/>
      </c>
      <c r="BP159" s="5822">
        <f>IF(AND(C159&gt;0,AO159=""),"  * No olvide digitar la variable Migrantes. Digite Cero si no tiene.",IF(AO159&gt;C159,"  * La variable Migrantes No puede ser mayor al Total.",""))</f>
        <v/>
      </c>
      <c r="BQ159" s="5949" t="n"/>
      <c r="BR159" s="5949" t="n"/>
      <c r="BS159" s="5949" t="n"/>
      <c r="BU159" s="5823">
        <f>IF(AND(C159&gt;0,AN159=""),1,IF(AN159&gt;C159,1,0))</f>
        <v/>
      </c>
      <c r="BV159" s="5823">
        <f>IF(AND(C159&gt;0,AO159=""),1,IF(AO159&gt;C159,1,0))</f>
        <v/>
      </c>
    </row>
    <row r="160" ht="15" customHeight="1" s="8286">
      <c r="A160" s="9614" t="n"/>
      <c r="B160" s="1646" t="inlineStr">
        <is>
          <t>Control de los contactos</t>
        </is>
      </c>
      <c r="C160" s="6119">
        <f>SUM(D160:E160)</f>
        <v/>
      </c>
      <c r="D160" s="1730">
        <f>+F160+H160+J160+L160+N160+P160+R160+T160+V160+X160+Z160+AB160+AD160+AF160+AH160+AJ160+AL160</f>
        <v/>
      </c>
      <c r="E160" s="1586">
        <f>+G160+I160+K160+M160+O160+Q160+S160+U160+W160+Y160+AA160+AC160+AE160+AG160+AI160+AK160+AM160</f>
        <v/>
      </c>
      <c r="F160" s="5858" t="n">
        <v>2</v>
      </c>
      <c r="G160" s="5859" t="n">
        <v>0</v>
      </c>
      <c r="H160" s="5858" t="n">
        <v>0</v>
      </c>
      <c r="I160" s="5859" t="n">
        <v>1</v>
      </c>
      <c r="J160" s="5858" t="n">
        <v>0</v>
      </c>
      <c r="K160" s="5859" t="n">
        <v>0</v>
      </c>
      <c r="L160" s="5858" t="n">
        <v>0</v>
      </c>
      <c r="M160" s="5859" t="n">
        <v>1</v>
      </c>
      <c r="N160" s="5858" t="n">
        <v>1</v>
      </c>
      <c r="O160" s="5859" t="n">
        <v>0</v>
      </c>
      <c r="P160" s="5858" t="n">
        <v>0</v>
      </c>
      <c r="Q160" s="5859" t="n">
        <v>1</v>
      </c>
      <c r="R160" s="5858" t="n">
        <v>0</v>
      </c>
      <c r="S160" s="5859" t="n">
        <v>0</v>
      </c>
      <c r="T160" s="5858" t="n">
        <v>0</v>
      </c>
      <c r="U160" s="5859" t="n">
        <v>0</v>
      </c>
      <c r="V160" s="5858" t="n">
        <v>0</v>
      </c>
      <c r="W160" s="5859" t="n">
        <v>0</v>
      </c>
      <c r="X160" s="5858" t="n">
        <v>0</v>
      </c>
      <c r="Y160" s="5859" t="n">
        <v>0</v>
      </c>
      <c r="Z160" s="5858" t="n">
        <v>0</v>
      </c>
      <c r="AA160" s="5859" t="n">
        <v>0</v>
      </c>
      <c r="AB160" s="5858" t="n">
        <v>0</v>
      </c>
      <c r="AC160" s="5859" t="n">
        <v>0</v>
      </c>
      <c r="AD160" s="5858" t="n">
        <v>0</v>
      </c>
      <c r="AE160" s="5859" t="n">
        <v>0</v>
      </c>
      <c r="AF160" s="5858" t="n">
        <v>0</v>
      </c>
      <c r="AG160" s="5859" t="n">
        <v>0</v>
      </c>
      <c r="AH160" s="5858" t="n">
        <v>0</v>
      </c>
      <c r="AI160" s="5859" t="n">
        <v>0</v>
      </c>
      <c r="AJ160" s="5858" t="n">
        <v>0</v>
      </c>
      <c r="AK160" s="5859" t="n">
        <v>0</v>
      </c>
      <c r="AL160" s="5858" t="n">
        <v>0</v>
      </c>
      <c r="AM160" s="6164" t="n">
        <v>0</v>
      </c>
      <c r="AN160" s="6165" t="n">
        <v>1</v>
      </c>
      <c r="AO160" s="6166" t="n">
        <v>0</v>
      </c>
      <c r="AP160" s="622">
        <f>BO160&amp;BP160</f>
        <v/>
      </c>
      <c r="BO160" s="5822">
        <f>IF(AND(C160&gt;0,AN160=""),"  * No olvide digitar la variable Pueblos originarios. Digite Cero si no tiene.",IF(AN160&gt;C160,"  * La variable Pueblos originarios No puede ser mayor al Total.",""))</f>
        <v/>
      </c>
      <c r="BP160" s="5822">
        <f>IF(AND(C160&gt;0,AO160=""),"  * No olvide digitar la variable Migrantes. Digite Cero si no tiene.",IF(AO160&gt;C160,"  * La variable Migrantes No puede ser mayor al Total.",""))</f>
        <v/>
      </c>
      <c r="BQ160" s="5949" t="n"/>
      <c r="BR160" s="5949" t="n"/>
      <c r="BS160" s="5949" t="n"/>
      <c r="BU160" s="5823">
        <f>IF(AND(C160&gt;0,AN160=""),1,IF(AN160&gt;C160,1,0))</f>
        <v/>
      </c>
      <c r="BV160" s="5823">
        <f>IF(AND(C160&gt;0,AO160=""),1,IF(AO160&gt;C160,1,0))</f>
        <v/>
      </c>
    </row>
    <row r="161" ht="15" customHeight="1" s="8286">
      <c r="A161" s="9610" t="n"/>
      <c r="B161" s="1648" t="inlineStr">
        <is>
          <t>Atención domiciliaria</t>
        </is>
      </c>
      <c r="C161" s="1670">
        <f>SUM(D161:E161)</f>
        <v/>
      </c>
      <c r="D161" s="1671">
        <f>+F161+H161+J161+L161+N161+P161+R161+T161+V161+X161+Z161+AB161+AD161+AF161+AH161+AJ161+AL161</f>
        <v/>
      </c>
      <c r="E161" s="1672">
        <f>+G161+I161+K161+M161+O161+Q161+S161+U161+W161+Y161+AA161+AC161+AE161+AG161+AI161+AK161+AM161</f>
        <v/>
      </c>
      <c r="F161" s="5866" t="n"/>
      <c r="G161" s="5867" t="n"/>
      <c r="H161" s="5866" t="n"/>
      <c r="I161" s="5867" t="n"/>
      <c r="J161" s="5866" t="n"/>
      <c r="K161" s="5867" t="n"/>
      <c r="L161" s="5866" t="n"/>
      <c r="M161" s="5867" t="n"/>
      <c r="N161" s="5866" t="n"/>
      <c r="O161" s="5867" t="n"/>
      <c r="P161" s="5866" t="n"/>
      <c r="Q161" s="5867" t="n"/>
      <c r="R161" s="5866" t="n"/>
      <c r="S161" s="5867" t="n"/>
      <c r="T161" s="5866" t="n"/>
      <c r="U161" s="5867" t="n"/>
      <c r="V161" s="5866" t="n"/>
      <c r="W161" s="5867" t="n"/>
      <c r="X161" s="5866" t="n"/>
      <c r="Y161" s="5867" t="n"/>
      <c r="Z161" s="5866" t="n"/>
      <c r="AA161" s="5867" t="n"/>
      <c r="AB161" s="5866" t="n"/>
      <c r="AC161" s="5867" t="n"/>
      <c r="AD161" s="5866" t="n"/>
      <c r="AE161" s="5867" t="n"/>
      <c r="AF161" s="5866" t="n"/>
      <c r="AG161" s="5867" t="n"/>
      <c r="AH161" s="5866" t="n"/>
      <c r="AI161" s="5867" t="n"/>
      <c r="AJ161" s="5866" t="n"/>
      <c r="AK161" s="5867" t="n"/>
      <c r="AL161" s="5866" t="n"/>
      <c r="AM161" s="6167" t="n"/>
      <c r="AN161" s="5955" t="n"/>
      <c r="AO161" s="5954" t="n"/>
      <c r="AP161" s="622">
        <f>BO161&amp;BP161</f>
        <v/>
      </c>
      <c r="BO161" s="5822">
        <f>IF(AND(C161&gt;0,AN161=""),"  * No olvide digitar la variable Pueblos originarios. Digite Cero si no tiene.",IF(AN161&gt;C161,"  * La variable Pueblos originarios No puede ser mayor al Total.",""))</f>
        <v/>
      </c>
      <c r="BP161" s="5822">
        <f>IF(AND(C161&gt;0,AO161=""),"  * No olvide digitar la variable Migrantes. Digite Cero si no tiene.",IF(AO161&gt;C161,"  * La variable Migrantes No puede ser mayor al Total.",""))</f>
        <v/>
      </c>
      <c r="BQ161" s="5949" t="n"/>
      <c r="BR161" s="5949" t="n"/>
      <c r="BS161" s="5949" t="n"/>
      <c r="BU161" s="5823">
        <f>IF(AND(C161&gt;0,AN161=""),1,IF(AN161&gt;C161,1,0))</f>
        <v/>
      </c>
      <c r="BV161" s="5823">
        <f>IF(AND(C161&gt;0,AO161=""),1,IF(AO161&gt;C161,1,0))</f>
        <v/>
      </c>
    </row>
    <row r="162" ht="15" customHeight="1" s="8286">
      <c r="A162" s="9699" t="inlineStr">
        <is>
          <t>Enfermera/o</t>
        </is>
      </c>
      <c r="B162" s="1721" t="inlineStr">
        <is>
          <t>Ingreso tratamiento</t>
        </is>
      </c>
      <c r="C162" s="1663">
        <f>SUM(D162:E162)</f>
        <v/>
      </c>
      <c r="D162" s="6155">
        <f>+F162+H162+J162+L162+N162+P162+R162+T162+V162+X162+Z162+AB162+AD162+AF162+AH162+AJ162+AL162</f>
        <v/>
      </c>
      <c r="E162" s="6156">
        <f>+G162+I162+K162+M162+O162+Q162+S162+U162+W162+Y162+AA162+AC162+AE162+AG162+AI162+AK162+AM162</f>
        <v/>
      </c>
      <c r="F162" s="5816" t="n"/>
      <c r="G162" s="5817" t="n"/>
      <c r="H162" s="5816" t="n"/>
      <c r="I162" s="5817" t="n"/>
      <c r="J162" s="5816" t="n"/>
      <c r="K162" s="5817" t="n"/>
      <c r="L162" s="5816" t="n"/>
      <c r="M162" s="5817" t="n"/>
      <c r="N162" s="5816" t="n"/>
      <c r="O162" s="5817" t="n"/>
      <c r="P162" s="5816" t="n"/>
      <c r="Q162" s="5817" t="n"/>
      <c r="R162" s="5816" t="n"/>
      <c r="S162" s="5817" t="n"/>
      <c r="T162" s="5816" t="n"/>
      <c r="U162" s="5817" t="n"/>
      <c r="V162" s="5816" t="n"/>
      <c r="W162" s="5817" t="n"/>
      <c r="X162" s="5816" t="n"/>
      <c r="Y162" s="5817" t="n"/>
      <c r="Z162" s="5816" t="n"/>
      <c r="AA162" s="5817" t="n"/>
      <c r="AB162" s="5816" t="n"/>
      <c r="AC162" s="5817" t="n"/>
      <c r="AD162" s="5816" t="n"/>
      <c r="AE162" s="5817" t="n"/>
      <c r="AF162" s="5816" t="n"/>
      <c r="AG162" s="5817" t="n"/>
      <c r="AH162" s="5816" t="n"/>
      <c r="AI162" s="5817" t="n"/>
      <c r="AJ162" s="5816" t="n"/>
      <c r="AK162" s="5817" t="n"/>
      <c r="AL162" s="5816" t="n"/>
      <c r="AM162" s="6157" t="n"/>
      <c r="AN162" s="6158" t="n"/>
      <c r="AO162" s="6159" t="n"/>
      <c r="AP162" s="622">
        <f>BO162&amp;BP162</f>
        <v/>
      </c>
      <c r="BO162" s="5822">
        <f>IF(AND(C162&gt;0,AN162=""),"  * No olvide digitar la variable Pueblos originarios. Digite Cero si no tiene.",IF(AN162&gt;C162,"  * La variable Pueblos originarios No puede ser mayor al Total.",""))</f>
        <v/>
      </c>
      <c r="BP162" s="5822">
        <f>IF(AND(C162&gt;0,AO162=""),"  * No olvide digitar la variable Migrantes. Digite Cero si no tiene.",IF(AO162&gt;C162,"  * La variable Migrantes No puede ser mayor al Total.",""))</f>
        <v/>
      </c>
      <c r="BQ162" s="5949" t="n"/>
      <c r="BR162" s="5949" t="n"/>
      <c r="BS162" s="5949" t="n"/>
      <c r="BU162" s="5823">
        <f>IF(AND(C162&gt;0,AN162=""),1,IF(AN162&gt;C162,1,0))</f>
        <v/>
      </c>
      <c r="BV162" s="5823">
        <f>IF(AND(C162&gt;0,AO162=""),1,IF(AO162&gt;C162,1,0))</f>
        <v/>
      </c>
    </row>
    <row r="163" ht="15" customHeight="1" s="8286">
      <c r="A163" s="9614" t="n"/>
      <c r="B163" s="1646" t="inlineStr">
        <is>
          <t>Control mensual</t>
        </is>
      </c>
      <c r="C163" s="6119">
        <f>SUM(D163:E163)</f>
        <v/>
      </c>
      <c r="D163" s="1730">
        <f>+F163+H163+J163+L163+N163+P163+R163+T163+V163+X163+Z163+AB163+AD163+AF163+AH163+AJ163+AL163</f>
        <v/>
      </c>
      <c r="E163" s="1586">
        <f>+G163+I163+K163+M163+O163+Q163+S163+U163+W163+Y163+AA163+AC163+AE163+AG163+AI163+AK163+AM163</f>
        <v/>
      </c>
      <c r="F163" s="5826" t="n"/>
      <c r="G163" s="5827" t="n"/>
      <c r="H163" s="5826" t="n"/>
      <c r="I163" s="5827" t="n"/>
      <c r="J163" s="5826" t="n"/>
      <c r="K163" s="5827" t="n"/>
      <c r="L163" s="5826" t="n"/>
      <c r="M163" s="5827" t="n"/>
      <c r="N163" s="5826" t="n"/>
      <c r="O163" s="5827" t="n"/>
      <c r="P163" s="5826" t="n"/>
      <c r="Q163" s="5827" t="n"/>
      <c r="R163" s="5826" t="n"/>
      <c r="S163" s="5827" t="n"/>
      <c r="T163" s="5826" t="n"/>
      <c r="U163" s="5827" t="n"/>
      <c r="V163" s="5826" t="n"/>
      <c r="W163" s="5827" t="n"/>
      <c r="X163" s="5826" t="n"/>
      <c r="Y163" s="5827" t="n"/>
      <c r="Z163" s="5826" t="n"/>
      <c r="AA163" s="5827" t="n"/>
      <c r="AB163" s="5826" t="n"/>
      <c r="AC163" s="5827" t="n"/>
      <c r="AD163" s="5826" t="n"/>
      <c r="AE163" s="5827" t="n"/>
      <c r="AF163" s="5826" t="n"/>
      <c r="AG163" s="5827" t="n"/>
      <c r="AH163" s="5826" t="n"/>
      <c r="AI163" s="5827" t="n"/>
      <c r="AJ163" s="5826" t="n"/>
      <c r="AK163" s="5827" t="n"/>
      <c r="AL163" s="5826" t="n"/>
      <c r="AM163" s="6161" t="n"/>
      <c r="AN163" s="6162" t="n"/>
      <c r="AO163" s="6163" t="n"/>
      <c r="AP163" s="622">
        <f>BO163&amp;BP163</f>
        <v/>
      </c>
      <c r="BO163" s="5822">
        <f>IF(AND(C163&gt;0,AN163=""),"  * No olvide digitar la variable Pueblos originarios. Digite Cero si no tiene.",IF(AN163&gt;C163,"  * La variable Pueblos originarios No puede ser mayor al Total.",""))</f>
        <v/>
      </c>
      <c r="BP163" s="5822">
        <f>IF(AND(C163&gt;0,AO163=""),"  * No olvide digitar la variable Migrantes. Digite Cero si no tiene.",IF(AO163&gt;C163,"  * La variable Migrantes No puede ser mayor al Total.",""))</f>
        <v/>
      </c>
      <c r="BQ163" s="5949" t="n"/>
      <c r="BR163" s="5949" t="n"/>
      <c r="BS163" s="5949" t="n"/>
      <c r="BU163" s="5823">
        <f>IF(AND(C163&gt;0,AN163=""),1,IF(AN163&gt;C163,1,0))</f>
        <v/>
      </c>
      <c r="BV163" s="5823">
        <f>IF(AND(C163&gt;0,AO163=""),1,IF(AO163&gt;C163,1,0))</f>
        <v/>
      </c>
    </row>
    <row r="164" ht="15" customHeight="1" s="8286">
      <c r="A164" s="9614" t="n"/>
      <c r="B164" s="1646" t="inlineStr">
        <is>
          <t>Control de seguimiento</t>
        </is>
      </c>
      <c r="C164" s="6119">
        <f>SUM(D164:E164)</f>
        <v/>
      </c>
      <c r="D164" s="1730">
        <f>+F164+H164+J164+L164+N164+P164+R164+T164+V164+X164+Z164+AB164+AD164+AF164+AH164+AJ164+AL164</f>
        <v/>
      </c>
      <c r="E164" s="1586">
        <f>+G164+I164+K164+M164+O164+Q164+S164+U164+W164+Y164+AA164+AC164+AE164+AG164+AI164+AK164+AM164</f>
        <v/>
      </c>
      <c r="F164" s="5826" t="n"/>
      <c r="G164" s="5827" t="n"/>
      <c r="H164" s="5826" t="n"/>
      <c r="I164" s="5827" t="n"/>
      <c r="J164" s="5826" t="n"/>
      <c r="K164" s="5827" t="n"/>
      <c r="L164" s="5826" t="n"/>
      <c r="M164" s="5827" t="n"/>
      <c r="N164" s="5826" t="n"/>
      <c r="O164" s="5827" t="n"/>
      <c r="P164" s="5826" t="n"/>
      <c r="Q164" s="5827" t="n"/>
      <c r="R164" s="5826" t="n"/>
      <c r="S164" s="5827" t="n"/>
      <c r="T164" s="5826" t="n"/>
      <c r="U164" s="5827" t="n"/>
      <c r="V164" s="5826" t="n"/>
      <c r="W164" s="5827" t="n"/>
      <c r="X164" s="5826" t="n"/>
      <c r="Y164" s="5827" t="n"/>
      <c r="Z164" s="5826" t="n"/>
      <c r="AA164" s="5827" t="n"/>
      <c r="AB164" s="5826" t="n"/>
      <c r="AC164" s="5827" t="n"/>
      <c r="AD164" s="5826" t="n"/>
      <c r="AE164" s="5827" t="n"/>
      <c r="AF164" s="5826" t="n"/>
      <c r="AG164" s="5827" t="n"/>
      <c r="AH164" s="5826" t="n"/>
      <c r="AI164" s="5827" t="n"/>
      <c r="AJ164" s="5826" t="n"/>
      <c r="AK164" s="5827" t="n"/>
      <c r="AL164" s="5826" t="n"/>
      <c r="AM164" s="6161" t="n"/>
      <c r="AN164" s="6162" t="n"/>
      <c r="AO164" s="6163" t="n"/>
      <c r="AP164" s="622">
        <f>BO164&amp;BP164</f>
        <v/>
      </c>
      <c r="BO164" s="5822">
        <f>IF(AND(C164&gt;0,AN164=""),"  * No olvide digitar la variable Pueblos originarios. Digite Cero si no tiene.",IF(AN164&gt;C164,"  * La variable Pueblos originarios No puede ser mayor al Total.",""))</f>
        <v/>
      </c>
      <c r="BP164" s="5822">
        <f>IF(AND(C164&gt;0,AO164=""),"  * No olvide digitar la variable Migrantes. Digite Cero si no tiene.",IF(AO164&gt;C164,"  * La variable Migrantes No puede ser mayor al Total.",""))</f>
        <v/>
      </c>
      <c r="BQ164" s="5949" t="n"/>
      <c r="BR164" s="5949" t="n"/>
      <c r="BS164" s="5949" t="n"/>
      <c r="BU164" s="5823">
        <f>IF(AND(C164&gt;0,AN164=""),1,IF(AN164&gt;C164,1,0))</f>
        <v/>
      </c>
      <c r="BV164" s="5823">
        <f>IF(AND(C164&gt;0,AO164=""),1,IF(AO164&gt;C164,1,0))</f>
        <v/>
      </c>
    </row>
    <row r="165" ht="15" customHeight="1" s="8286">
      <c r="A165" s="9614" t="n"/>
      <c r="B165" s="1646" t="inlineStr">
        <is>
          <t xml:space="preserve">Consultas espontáneas </t>
        </is>
      </c>
      <c r="C165" s="6119">
        <f>SUM(D165:E165)</f>
        <v/>
      </c>
      <c r="D165" s="1730">
        <f>+F165+H165+J165+L165+N165+P165+R165+T165+V165+X165+Z165+AB165+AD165+AF165+AH165+AJ165+AL165</f>
        <v/>
      </c>
      <c r="E165" s="1586">
        <f>+G165+I165+K165+M165+O165+Q165+S165+U165+W165+Y165+AA165+AC165+AE165+AG165+AI165+AK165+AM165</f>
        <v/>
      </c>
      <c r="F165" s="5826" t="n"/>
      <c r="G165" s="5827" t="n"/>
      <c r="H165" s="5826" t="n"/>
      <c r="I165" s="5827" t="n"/>
      <c r="J165" s="5826" t="n"/>
      <c r="K165" s="5827" t="n"/>
      <c r="L165" s="5826" t="n"/>
      <c r="M165" s="5827" t="n"/>
      <c r="N165" s="5826" t="n"/>
      <c r="O165" s="5827" t="n"/>
      <c r="P165" s="5826" t="n"/>
      <c r="Q165" s="5827" t="n"/>
      <c r="R165" s="5826" t="n"/>
      <c r="S165" s="5827" t="n"/>
      <c r="T165" s="5826" t="n"/>
      <c r="U165" s="5827" t="n"/>
      <c r="V165" s="5826" t="n"/>
      <c r="W165" s="5827" t="n"/>
      <c r="X165" s="5826" t="n"/>
      <c r="Y165" s="5827" t="n"/>
      <c r="Z165" s="5826" t="n"/>
      <c r="AA165" s="5827" t="n"/>
      <c r="AB165" s="5826" t="n"/>
      <c r="AC165" s="5827" t="n"/>
      <c r="AD165" s="5826" t="n"/>
      <c r="AE165" s="5827" t="n"/>
      <c r="AF165" s="5826" t="n"/>
      <c r="AG165" s="5827" t="n"/>
      <c r="AH165" s="5826" t="n"/>
      <c r="AI165" s="5827" t="n"/>
      <c r="AJ165" s="5826" t="n"/>
      <c r="AK165" s="5827" t="n"/>
      <c r="AL165" s="5826" t="n"/>
      <c r="AM165" s="6161" t="n"/>
      <c r="AN165" s="6162" t="n"/>
      <c r="AO165" s="6163" t="n"/>
      <c r="AP165" s="622">
        <f>BO165&amp;BP165</f>
        <v/>
      </c>
      <c r="BO165" s="5822">
        <f>IF(AND(C165&gt;0,AN165=""),"  * No olvide digitar la variable Pueblos originarios. Digite Cero si no tiene.",IF(AN165&gt;C165,"  * La variable Pueblos originarios No puede ser mayor al Total.",""))</f>
        <v/>
      </c>
      <c r="BP165" s="5822">
        <f>IF(AND(C165&gt;0,AO165=""),"  * No olvide digitar la variable Migrantes. Digite Cero si no tiene.",IF(AO165&gt;C165,"  * La variable Migrantes No puede ser mayor al Total.",""))</f>
        <v/>
      </c>
      <c r="BQ165" s="5949" t="n"/>
      <c r="BR165" s="5949" t="n"/>
      <c r="BS165" s="5949" t="n"/>
      <c r="BU165" s="5823">
        <f>IF(AND(C165&gt;0,AN165=""),1,IF(AN165&gt;C165,1,0))</f>
        <v/>
      </c>
      <c r="BV165" s="5823">
        <f>IF(AND(C165&gt;0,AO165=""),1,IF(AO165&gt;C165,1,0))</f>
        <v/>
      </c>
    </row>
    <row r="166" ht="15" customHeight="1" s="8286">
      <c r="A166" s="9614" t="n"/>
      <c r="B166" s="1646" t="inlineStr">
        <is>
          <t>Rescate</t>
        </is>
      </c>
      <c r="C166" s="1667">
        <f>SUM(D166:E166)</f>
        <v/>
      </c>
      <c r="D166" s="1668">
        <f>+F166+H166+J166+L166+N166+P166+R166+T166+V166+X166+Z166+AB166+AD166+AF166+AH166+AJ166+AL166</f>
        <v/>
      </c>
      <c r="E166" s="1669">
        <f>+G166+I166+K166+M166+O166+Q166+S166+U166+W166+Y166+AA166+AC166+AE166+AG166+AI166+AK166+AM166</f>
        <v/>
      </c>
      <c r="F166" s="5858" t="n"/>
      <c r="G166" s="5859" t="n"/>
      <c r="H166" s="5858" t="n"/>
      <c r="I166" s="5859" t="n"/>
      <c r="J166" s="5858" t="n"/>
      <c r="K166" s="5859" t="n"/>
      <c r="L166" s="5858" t="n"/>
      <c r="M166" s="5859" t="n"/>
      <c r="N166" s="5858" t="n"/>
      <c r="O166" s="5859" t="n"/>
      <c r="P166" s="5858" t="n"/>
      <c r="Q166" s="5859" t="n"/>
      <c r="R166" s="5858" t="n"/>
      <c r="S166" s="5859" t="n"/>
      <c r="T166" s="5858" t="n"/>
      <c r="U166" s="5859" t="n"/>
      <c r="V166" s="5858" t="n"/>
      <c r="W166" s="5859" t="n"/>
      <c r="X166" s="5858" t="n"/>
      <c r="Y166" s="5859" t="n"/>
      <c r="Z166" s="5858" t="n"/>
      <c r="AA166" s="5859" t="n"/>
      <c r="AB166" s="5858" t="n"/>
      <c r="AC166" s="5859" t="n"/>
      <c r="AD166" s="5858" t="n"/>
      <c r="AE166" s="5859" t="n"/>
      <c r="AF166" s="5858" t="n"/>
      <c r="AG166" s="5859" t="n"/>
      <c r="AH166" s="5858" t="n"/>
      <c r="AI166" s="5859" t="n"/>
      <c r="AJ166" s="5858" t="n"/>
      <c r="AK166" s="5859" t="n"/>
      <c r="AL166" s="5858" t="n"/>
      <c r="AM166" s="6164" t="n"/>
      <c r="AN166" s="6165" t="n"/>
      <c r="AO166" s="6166" t="n"/>
      <c r="AP166" s="622">
        <f>BO166&amp;BP166</f>
        <v/>
      </c>
      <c r="BO166" s="5822">
        <f>IF(AND(C166&gt;0,AN166=""),"  * No olvide digitar la variable Pueblos originarios. Digite Cero si no tiene.",IF(AN166&gt;C166,"  * La variable Pueblos originarios No puede ser mayor al Total.",""))</f>
        <v/>
      </c>
      <c r="BP166" s="5822">
        <f>IF(AND(C166&gt;0,AO166=""),"  * No olvide digitar la variable Migrantes. Digite Cero si no tiene.",IF(AO166&gt;C166,"  * La variable Migrantes No puede ser mayor al Total.",""))</f>
        <v/>
      </c>
      <c r="BQ166" s="5949" t="n"/>
      <c r="BR166" s="5949" t="n"/>
      <c r="BS166" s="5949" t="n"/>
      <c r="BU166" s="5823">
        <f>IF(AND(C166&gt;0,AN166=""),1,IF(AN166&gt;C166,1,0))</f>
        <v/>
      </c>
      <c r="BV166" s="5823">
        <f>IF(AND(C166&gt;0,AO166=""),1,IF(AO166&gt;C166,1,0))</f>
        <v/>
      </c>
    </row>
    <row r="167" ht="15" customHeight="1" s="8286">
      <c r="A167" s="9610" t="n"/>
      <c r="B167" s="1648" t="inlineStr">
        <is>
          <t>Atención domiciliaria</t>
        </is>
      </c>
      <c r="C167" s="1670">
        <f>SUM(D167:E167)</f>
        <v/>
      </c>
      <c r="D167" s="1671">
        <f>+F167+H167+J167+L167+N167+P167+R167+T167+V167+X167+Z167+AB167+AD167+AF167+AH167+AJ167+AL167</f>
        <v/>
      </c>
      <c r="E167" s="1672">
        <f>+G167+I167+K167+M167+O167+Q167+S167+U167+W167+Y167+AA167+AC167+AE167+AG167+AI167+AK167+AM167</f>
        <v/>
      </c>
      <c r="F167" s="5866" t="n"/>
      <c r="G167" s="5867" t="n"/>
      <c r="H167" s="5866" t="n"/>
      <c r="I167" s="5867" t="n"/>
      <c r="J167" s="5866" t="n"/>
      <c r="K167" s="5867" t="n"/>
      <c r="L167" s="5866" t="n"/>
      <c r="M167" s="5867" t="n"/>
      <c r="N167" s="5866" t="n"/>
      <c r="O167" s="5867" t="n"/>
      <c r="P167" s="5866" t="n"/>
      <c r="Q167" s="5867" t="n"/>
      <c r="R167" s="5866" t="n"/>
      <c r="S167" s="5867" t="n"/>
      <c r="T167" s="5866" t="n"/>
      <c r="U167" s="5867" t="n"/>
      <c r="V167" s="5866" t="n"/>
      <c r="W167" s="5867" t="n"/>
      <c r="X167" s="5866" t="n"/>
      <c r="Y167" s="5867" t="n"/>
      <c r="Z167" s="5866" t="n"/>
      <c r="AA167" s="5867" t="n"/>
      <c r="AB167" s="5866" t="n"/>
      <c r="AC167" s="5867" t="n"/>
      <c r="AD167" s="5866" t="n"/>
      <c r="AE167" s="5867" t="n"/>
      <c r="AF167" s="5866" t="n"/>
      <c r="AG167" s="5867" t="n"/>
      <c r="AH167" s="5866" t="n"/>
      <c r="AI167" s="5867" t="n"/>
      <c r="AJ167" s="5866" t="n"/>
      <c r="AK167" s="5867" t="n"/>
      <c r="AL167" s="5866" t="n"/>
      <c r="AM167" s="6167" t="n"/>
      <c r="AN167" s="5955" t="n"/>
      <c r="AO167" s="5954" t="n"/>
      <c r="AP167" s="622">
        <f>BO167&amp;BP167</f>
        <v/>
      </c>
      <c r="BO167" s="5822">
        <f>IF(AND(C167&gt;0,AN167=""),"  * No olvide digitar la variable Pueblos originarios. Digite Cero si no tiene.",IF(AN167&gt;C167,"  * La variable Pueblos originarios No puede ser mayor al Total.",""))</f>
        <v/>
      </c>
      <c r="BP167" s="5822">
        <f>IF(AND(C167&gt;0,AO167=""),"  * No olvide digitar la variable Migrantes. Digite Cero si no tiene.",IF(AO167&gt;C167,"  * La variable Migrantes No puede ser mayor al Total.",""))</f>
        <v/>
      </c>
      <c r="BQ167" s="5949" t="n"/>
      <c r="BR167" s="5949" t="n"/>
      <c r="BS167" s="5949" t="n"/>
      <c r="BU167" s="5823">
        <f>IF(AND(C167&gt;0,AN167=""),1,IF(AN167&gt;C167,1,0))</f>
        <v/>
      </c>
      <c r="BV167" s="5823">
        <f>IF(AND(C167&gt;0,AO167=""),1,IF(AO167&gt;C167,1,0))</f>
        <v/>
      </c>
    </row>
    <row r="168" ht="18" customHeight="1" s="8286">
      <c r="A168" s="1001" t="inlineStr">
        <is>
          <t>SECCION N: EXÁMENES BACTERIOLOGICOS PROCESADOS</t>
        </is>
      </c>
      <c r="B168" s="932" t="n"/>
      <c r="C168" s="932" t="n"/>
      <c r="D168" s="932" t="n"/>
      <c r="E168" s="932" t="n"/>
      <c r="F168" s="932" t="n"/>
      <c r="G168" s="932" t="n"/>
      <c r="H168" s="932" t="n"/>
      <c r="I168" s="932" t="n"/>
      <c r="J168" s="932" t="n"/>
      <c r="K168" s="932" t="n"/>
      <c r="L168" s="932" t="n"/>
      <c r="M168" s="932" t="n"/>
      <c r="N168" s="932" t="n"/>
      <c r="O168" s="932" t="n"/>
      <c r="Q168" s="5802" t="n"/>
      <c r="R168" s="5802" t="n"/>
      <c r="S168" s="5802" t="n"/>
      <c r="T168" s="5802" t="n"/>
      <c r="U168" s="5802" t="n"/>
    </row>
    <row r="169" ht="15" customHeight="1" s="8286">
      <c r="A169" s="7632" t="inlineStr">
        <is>
          <t>TIPO DE MUESTRA</t>
        </is>
      </c>
      <c r="B169" s="9904" t="inlineStr">
        <is>
          <t>TOTAL</t>
        </is>
      </c>
      <c r="C169" s="9903" t="inlineStr">
        <is>
          <t>RANGO ETARIO</t>
        </is>
      </c>
      <c r="D169" s="9584" t="n"/>
      <c r="E169" s="9584" t="n"/>
      <c r="F169" s="9584" t="n"/>
      <c r="G169" s="9584" t="n"/>
      <c r="H169" s="9584" t="n"/>
      <c r="I169" s="9584" t="n"/>
      <c r="J169" s="9584" t="n"/>
      <c r="K169" s="9584" t="n"/>
      <c r="L169" s="9584" t="n"/>
      <c r="M169" s="9584" t="n"/>
      <c r="N169" s="9584" t="n"/>
      <c r="O169" s="9584" t="n"/>
      <c r="P169" s="9584" t="n"/>
      <c r="Q169" s="9584" t="n"/>
      <c r="R169" s="9584" t="n"/>
      <c r="S169" s="9595" t="n"/>
      <c r="T169" s="7623" t="inlineStr">
        <is>
          <t>Pueblos Originarios</t>
        </is>
      </c>
      <c r="U169" s="7617" t="inlineStr">
        <is>
          <t>Migrantes</t>
        </is>
      </c>
    </row>
    <row r="170" ht="15" customHeight="1" s="8286">
      <c r="A170" s="9610" t="n"/>
      <c r="B170" s="9610" t="n"/>
      <c r="C170" s="6168" t="inlineStr">
        <is>
          <t>0 - 4 años</t>
        </is>
      </c>
      <c r="D170" s="6169" t="inlineStr">
        <is>
          <t>5 - 9 años</t>
        </is>
      </c>
      <c r="E170" s="6169" t="inlineStr">
        <is>
          <t>10-14 años</t>
        </is>
      </c>
      <c r="F170" s="6169" t="inlineStr">
        <is>
          <t>15 - 19 años</t>
        </is>
      </c>
      <c r="G170" s="6169" t="inlineStr">
        <is>
          <t>20-24 años</t>
        </is>
      </c>
      <c r="H170" s="6169" t="inlineStr">
        <is>
          <t>25 - 29 años</t>
        </is>
      </c>
      <c r="I170" s="6169" t="inlineStr">
        <is>
          <t>30-34 años</t>
        </is>
      </c>
      <c r="J170" s="6169" t="inlineStr">
        <is>
          <t>35 - 39 años</t>
        </is>
      </c>
      <c r="K170" s="6169" t="inlineStr">
        <is>
          <t>40-44 años</t>
        </is>
      </c>
      <c r="L170" s="6169" t="inlineStr">
        <is>
          <t>45 - 49 años</t>
        </is>
      </c>
      <c r="M170" s="6169" t="inlineStr">
        <is>
          <t xml:space="preserve">50-54 años </t>
        </is>
      </c>
      <c r="N170" s="6169" t="inlineStr">
        <is>
          <t>55 - 59 años</t>
        </is>
      </c>
      <c r="O170" s="6169" t="inlineStr">
        <is>
          <t>60 - 64 años</t>
        </is>
      </c>
      <c r="P170" s="6169" t="inlineStr">
        <is>
          <t>65 - 69 años</t>
        </is>
      </c>
      <c r="Q170" s="6169" t="inlineStr">
        <is>
          <t>70 - 74 años</t>
        </is>
      </c>
      <c r="R170" s="6169" t="inlineStr">
        <is>
          <t>75 - 79 años</t>
        </is>
      </c>
      <c r="S170" s="7622" t="inlineStr">
        <is>
          <t>80 y más años</t>
        </is>
      </c>
      <c r="T170" s="9640" t="n"/>
      <c r="U170" s="9610" t="n"/>
    </row>
    <row r="171" ht="22.5" customHeight="1" s="8286">
      <c r="A171" s="6170" t="inlineStr">
        <is>
          <t xml:space="preserve">Muestras procesadas para diagnóstico de Tuberculosis Pulmonar mediante bacteriología </t>
        </is>
      </c>
      <c r="B171" s="6171" t="n"/>
      <c r="C171" s="6172" t="n"/>
      <c r="D171" s="6173" t="n"/>
      <c r="E171" s="6173" t="n"/>
      <c r="F171" s="6173" t="n"/>
      <c r="G171" s="6173" t="n"/>
      <c r="H171" s="6173" t="n"/>
      <c r="I171" s="6173" t="n"/>
      <c r="J171" s="6173" t="n"/>
      <c r="K171" s="6173" t="n"/>
      <c r="L171" s="6173" t="n"/>
      <c r="M171" s="6173" t="n"/>
      <c r="N171" s="6173" t="n"/>
      <c r="O171" s="6173" t="n"/>
      <c r="P171" s="6173" t="n"/>
      <c r="Q171" s="6173" t="n"/>
      <c r="R171" s="6173" t="n"/>
      <c r="S171" s="6174" t="n"/>
      <c r="T171" s="6175" t="n"/>
      <c r="U171" s="6176" t="n"/>
      <c r="V171" s="622">
        <f>BO171&amp;BP171</f>
        <v/>
      </c>
      <c r="BO171" s="5822">
        <f>IF(AND(B171&gt;0,T171=""),"  * No olvide digitar la variable Pueblos originarios. Digite Cero si no tiene.",IF(T171&gt;B171," * La variable Pueblos originarios No puede ser mayor al Total.",""))</f>
        <v/>
      </c>
      <c r="BP171" s="5822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/>
      </c>
      <c r="BV171" s="5823">
        <f>IF(AND(B171&gt;0,U171=""),1,IF(U171&gt;B171,1,0))</f>
        <v/>
      </c>
    </row>
    <row r="172" ht="18" customHeight="1" s="8286">
      <c r="A172" s="1010" t="inlineStr">
        <is>
          <t>SECCION O: ATENCIONES EN MODALIDADES DE APOYO AL DESARROLLO INFANTIL (MADIS) EN APS</t>
        </is>
      </c>
      <c r="B172" s="6177" t="n"/>
      <c r="C172" s="6178" t="n"/>
      <c r="D172" s="6178" t="n"/>
      <c r="E172" s="6178" t="n"/>
      <c r="F172" s="6178" t="n"/>
      <c r="G172" s="6178" t="n"/>
      <c r="H172" s="6178" t="n"/>
      <c r="I172" s="6178" t="n"/>
      <c r="J172" s="6178" t="n"/>
      <c r="K172" s="6178" t="n"/>
      <c r="L172" s="6178" t="n"/>
    </row>
    <row r="173">
      <c r="A173" s="9905" t="inlineStr">
        <is>
          <t>ACTIVIDAD</t>
        </is>
      </c>
      <c r="B173" s="9906" t="inlineStr">
        <is>
          <t xml:space="preserve"> Total de atenciones niños(as) en modalidades de apoyo</t>
        </is>
      </c>
      <c r="C173" s="9907" t="inlineStr">
        <is>
          <t>Sala Estimulación</t>
        </is>
      </c>
      <c r="D173" s="9584" t="n"/>
      <c r="E173" s="9584" t="n"/>
      <c r="F173" s="9584" t="n"/>
      <c r="G173" s="9584" t="n"/>
      <c r="H173" s="9584" t="n"/>
      <c r="I173" s="9584" t="n"/>
      <c r="J173" s="9584" t="n"/>
      <c r="K173" s="9582" t="n"/>
      <c r="L173" s="9904" t="inlineStr">
        <is>
          <t>Atención Domiciliaria</t>
        </is>
      </c>
      <c r="M173" s="9584" t="n"/>
      <c r="N173" s="9584" t="n"/>
      <c r="O173" s="9584" t="n"/>
      <c r="P173" s="9584" t="n"/>
      <c r="Q173" s="9584" t="n"/>
      <c r="R173" s="9584" t="n"/>
      <c r="S173" s="9584" t="n"/>
      <c r="T173" s="9582" t="n"/>
      <c r="U173" s="9903" t="inlineStr">
        <is>
          <t>Servicio Itinerante</t>
        </is>
      </c>
      <c r="V173" s="9584" t="n"/>
      <c r="W173" s="9584" t="n"/>
      <c r="X173" s="9584" t="n"/>
      <c r="Y173" s="9584" t="n"/>
      <c r="Z173" s="9584" t="n"/>
      <c r="AA173" s="9584" t="n"/>
      <c r="AB173" s="9584" t="n"/>
      <c r="AC173" s="9595" t="n"/>
      <c r="AD173" s="9846" t="inlineStr">
        <is>
          <t>Pueblos Originarios</t>
        </is>
      </c>
      <c r="AE173" s="7632" t="inlineStr">
        <is>
          <t>Migrantes</t>
        </is>
      </c>
    </row>
    <row r="174" ht="18" customHeight="1" s="8286">
      <c r="A174" s="642" t="n"/>
      <c r="B174" s="9908" t="n"/>
      <c r="C174" s="9739" t="inlineStr">
        <is>
          <t>TOTAL</t>
        </is>
      </c>
      <c r="D174" s="9584" t="n"/>
      <c r="E174" s="9582" t="n"/>
      <c r="F174" s="9909" t="inlineStr">
        <is>
          <t>0-11 meses</t>
        </is>
      </c>
      <c r="G174" s="9647" t="n"/>
      <c r="H174" s="9909" t="inlineStr">
        <is>
          <t>12-23 meses</t>
        </is>
      </c>
      <c r="I174" s="9647" t="n"/>
      <c r="J174" s="9910" t="inlineStr">
        <is>
          <t>24-59 meses</t>
        </is>
      </c>
      <c r="K174" s="9647" t="n"/>
      <c r="L174" s="9739" t="inlineStr">
        <is>
          <t>TOTAL</t>
        </is>
      </c>
      <c r="M174" s="9584" t="n"/>
      <c r="N174" s="9582" t="n"/>
      <c r="O174" s="9909" t="inlineStr">
        <is>
          <t>0-11 meses</t>
        </is>
      </c>
      <c r="P174" s="9647" t="n"/>
      <c r="Q174" s="9909" t="inlineStr">
        <is>
          <t>12-23 meses</t>
        </is>
      </c>
      <c r="R174" s="9647" t="n"/>
      <c r="S174" s="9910" t="inlineStr">
        <is>
          <t>24-59 meses</t>
        </is>
      </c>
      <c r="T174" s="9647" t="n"/>
      <c r="U174" s="9739" t="inlineStr">
        <is>
          <t>TOTAL</t>
        </is>
      </c>
      <c r="V174" s="9584" t="n"/>
      <c r="W174" s="9582" t="n"/>
      <c r="X174" s="9909" t="inlineStr">
        <is>
          <t>0-11 meses</t>
        </is>
      </c>
      <c r="Y174" s="9647" t="n"/>
      <c r="Z174" s="9909" t="inlineStr">
        <is>
          <t>12-23 meses</t>
        </is>
      </c>
      <c r="AA174" s="9647" t="n"/>
      <c r="AB174" s="9910" t="inlineStr">
        <is>
          <t>24-59 meses</t>
        </is>
      </c>
      <c r="AC174" s="9647" t="n"/>
      <c r="AE174" s="9614" t="n"/>
    </row>
    <row r="175" ht="25.9" customHeight="1" s="8286">
      <c r="A175" s="642" t="n"/>
      <c r="B175" s="9908" t="n"/>
      <c r="C175" s="6180" t="inlineStr">
        <is>
          <t xml:space="preserve">Ambos Sexos </t>
        </is>
      </c>
      <c r="D175" s="6181" t="inlineStr">
        <is>
          <t>Hombres</t>
        </is>
      </c>
      <c r="E175" s="6182" t="inlineStr">
        <is>
          <t>Mujeres</t>
        </is>
      </c>
      <c r="F175" s="6183" t="inlineStr">
        <is>
          <t>Hombres</t>
        </is>
      </c>
      <c r="G175" s="6184" t="inlineStr">
        <is>
          <t>Mujeres</t>
        </is>
      </c>
      <c r="H175" s="6183" t="inlineStr">
        <is>
          <t>Hombres</t>
        </is>
      </c>
      <c r="I175" s="6184" t="inlineStr">
        <is>
          <t>Mujeres</t>
        </is>
      </c>
      <c r="J175" s="6183" t="inlineStr">
        <is>
          <t>Hombres</t>
        </is>
      </c>
      <c r="K175" s="6184" t="inlineStr">
        <is>
          <t>Mujeres</t>
        </is>
      </c>
      <c r="L175" s="6183" t="inlineStr">
        <is>
          <t xml:space="preserve">Ambos Sexos </t>
        </is>
      </c>
      <c r="M175" s="6185" t="inlineStr">
        <is>
          <t>Hombres</t>
        </is>
      </c>
      <c r="N175" s="7635" t="inlineStr">
        <is>
          <t>Mujeres</t>
        </is>
      </c>
      <c r="O175" s="6183" t="inlineStr">
        <is>
          <t>Hombres</t>
        </is>
      </c>
      <c r="P175" s="7635" t="inlineStr">
        <is>
          <t>Mujeres</t>
        </is>
      </c>
      <c r="Q175" s="6183" t="inlineStr">
        <is>
          <t>Hombres</t>
        </is>
      </c>
      <c r="R175" s="7635" t="inlineStr">
        <is>
          <t>Mujeres</t>
        </is>
      </c>
      <c r="S175" s="6183" t="inlineStr">
        <is>
          <t>Hombres</t>
        </is>
      </c>
      <c r="T175" s="7635" t="inlineStr">
        <is>
          <t>Mujeres</t>
        </is>
      </c>
      <c r="U175" s="6183" t="inlineStr">
        <is>
          <t xml:space="preserve">Ambos Sexos </t>
        </is>
      </c>
      <c r="V175" s="6186" t="inlineStr">
        <is>
          <t>Hombres</t>
        </is>
      </c>
      <c r="W175" s="6184" t="inlineStr">
        <is>
          <t>Mujeres</t>
        </is>
      </c>
      <c r="X175" s="6183" t="inlineStr">
        <is>
          <t>Hombres</t>
        </is>
      </c>
      <c r="Y175" s="6184" t="inlineStr">
        <is>
          <t>Mujeres</t>
        </is>
      </c>
      <c r="Z175" s="6183" t="inlineStr">
        <is>
          <t>Hombres</t>
        </is>
      </c>
      <c r="AA175" s="6184" t="inlineStr">
        <is>
          <t>Mujeres</t>
        </is>
      </c>
      <c r="AB175" s="6183" t="inlineStr">
        <is>
          <t>Hombres</t>
        </is>
      </c>
      <c r="AC175" s="6187" t="inlineStr">
        <is>
          <t>Mujeres</t>
        </is>
      </c>
      <c r="AD175" s="9591" t="n"/>
      <c r="AE175" s="9610" t="n"/>
    </row>
    <row r="176" ht="25.15" customHeight="1" s="8286">
      <c r="A176" s="6188" t="inlineStr">
        <is>
          <t xml:space="preserve">Atenciones individuales de seguimiento a niñas/os categorizados Normal con Rezago </t>
        </is>
      </c>
      <c r="B176" s="6189">
        <f>SUM(C176+L176+U176)</f>
        <v/>
      </c>
      <c r="C176" s="6190">
        <f>SUM(D176:E176)</f>
        <v/>
      </c>
      <c r="D176" s="6155">
        <f>SUM(F176+H176+J176)</f>
        <v/>
      </c>
      <c r="E176" s="6191">
        <f>SUM(G176+I176+K176)</f>
        <v/>
      </c>
      <c r="F176" s="5816" t="n"/>
      <c r="G176" s="5818" t="n"/>
      <c r="H176" s="5816" t="n"/>
      <c r="I176" s="5818" t="n"/>
      <c r="J176" s="5816" t="n"/>
      <c r="K176" s="5818" t="n"/>
      <c r="L176" s="5914">
        <f>SUM(M176:N176)</f>
        <v/>
      </c>
      <c r="M176" s="6155">
        <f>SUM(O176+Q176+S176)</f>
        <v/>
      </c>
      <c r="N176" s="6156">
        <f>SUM(P176+R176+T176)</f>
        <v/>
      </c>
      <c r="O176" s="5816" t="n"/>
      <c r="P176" s="5817" t="n"/>
      <c r="Q176" s="5816" t="n"/>
      <c r="R176" s="5817" t="n"/>
      <c r="S176" s="5816" t="n"/>
      <c r="T176" s="5817" t="n"/>
      <c r="U176" s="1663">
        <f>SUM(V176:W176)</f>
        <v/>
      </c>
      <c r="V176" s="6155">
        <f>SUM(X176+Z176+AB176)</f>
        <v/>
      </c>
      <c r="W176" s="6191">
        <f>SUM(Y176+AA176+AC176)</f>
        <v/>
      </c>
      <c r="X176" s="5816" t="n"/>
      <c r="Y176" s="5818" t="n"/>
      <c r="Z176" s="5816" t="n"/>
      <c r="AA176" s="5818" t="n"/>
      <c r="AB176" s="5816" t="n"/>
      <c r="AC176" s="5881" t="n"/>
      <c r="AD176" s="5880" t="n"/>
      <c r="AE176" s="6159" t="n"/>
      <c r="AF176" s="622">
        <f>BO176&amp;BP176</f>
        <v/>
      </c>
      <c r="BO176" s="5822">
        <f>IF(AND(B176&gt;0,AD176=""),"  * No olvide digitar la variable Pueblos originarios. Digite Cero si no tiene.",IF(AD176&gt;B176," * La variable Pueblos originarios No puede ser mayor al Total.",""))</f>
        <v/>
      </c>
      <c r="BP176" s="5822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/>
      </c>
      <c r="BV176" s="5823">
        <f>IF(AND(B176&gt;0,AE176=""),1,IF(AE176&gt;B176,1,0))</f>
        <v/>
      </c>
    </row>
    <row r="177" ht="25.9" customHeight="1" s="8286">
      <c r="A177" s="8236" t="inlineStr">
        <is>
          <t xml:space="preserve">Atenciones grupales de seguimiento a niñas/os categorizados Normal con Rezago </t>
        </is>
      </c>
      <c r="B177" s="6193">
        <f>SUM(C177+U177)</f>
        <v/>
      </c>
      <c r="C177" s="6194">
        <f>SUM(D177:E177)</f>
        <v/>
      </c>
      <c r="D177" s="6195">
        <f>SUM(F177+H177+J177)</f>
        <v/>
      </c>
      <c r="E177" s="6196">
        <f>SUM(G177+I177+K177)</f>
        <v/>
      </c>
      <c r="F177" s="5866" t="n"/>
      <c r="G177" s="5865" t="n"/>
      <c r="H177" s="5866" t="n"/>
      <c r="I177" s="5865" t="n"/>
      <c r="J177" s="5866" t="n"/>
      <c r="K177" s="5865" t="n"/>
      <c r="L177" s="6197" t="n"/>
      <c r="M177" s="6198" t="n"/>
      <c r="N177" s="6199" t="n"/>
      <c r="O177" s="6197" t="n"/>
      <c r="P177" s="6199" t="n"/>
      <c r="Q177" s="6197" t="n"/>
      <c r="R177" s="6199" t="n"/>
      <c r="S177" s="6197" t="n"/>
      <c r="T177" s="6199" t="n"/>
      <c r="U177" s="1670">
        <f>SUM(V177:W177)</f>
        <v/>
      </c>
      <c r="V177" s="1671">
        <f>SUM(X177+Z177+AB177)</f>
        <v/>
      </c>
      <c r="W177" s="1732">
        <f>SUM(Y177+AA177+AC177)</f>
        <v/>
      </c>
      <c r="X177" s="5866" t="n"/>
      <c r="Y177" s="5865" t="n"/>
      <c r="Z177" s="5866" t="n"/>
      <c r="AA177" s="5865" t="n"/>
      <c r="AB177" s="5866" t="n"/>
      <c r="AC177" s="5870" t="n"/>
      <c r="AD177" s="5955" t="n"/>
      <c r="AE177" s="5954" t="n"/>
      <c r="AF177" s="622">
        <f>BO177&amp;BP177</f>
        <v/>
      </c>
      <c r="BO177" s="5822">
        <f>IF(AND(B177&gt;0,AD177=""),"  * No olvide digitar la variable Pueblos originarios. Digite Cero si no tiene.",IF(AD177&gt;B177," * La variable Pueblos originarios No puede ser mayor al Total.",""))</f>
        <v/>
      </c>
      <c r="BP177" s="5822">
        <f>IF(AND(B177&gt;0,AE177=""),"  * No olvide digitar la variable Migrantes. Digite Cero si no tiene.",IF(AE177&gt;B177," * La variable Migrantes No puede ser mayor al Total.",""))</f>
        <v/>
      </c>
      <c r="BU177" s="5823">
        <f>IF(AND(B177&gt;0,AD177=""),1,IF(AD177&gt;B177,1,0))</f>
        <v/>
      </c>
      <c r="BV177" s="5823">
        <f>IF(AND(B177&gt;0,AE177=""),1,IF(AE177&gt;B177,1,0))</f>
        <v/>
      </c>
    </row>
    <row r="178" ht="25.15" customHeight="1" s="8286">
      <c r="A178" s="6188" t="inlineStr">
        <is>
          <t xml:space="preserve">Atenciones individuales de seguimiento a niñas/os categorizados con Riesgo </t>
        </is>
      </c>
      <c r="B178" s="6189">
        <f>SUM(C178+L178+U178)</f>
        <v/>
      </c>
      <c r="C178" s="6190">
        <f>SUM(D178:E178)</f>
        <v/>
      </c>
      <c r="D178" s="6200">
        <f>SUM(F178+H178+J178)</f>
        <v/>
      </c>
      <c r="E178" s="6201">
        <f>SUM(G178+I178+K178)</f>
        <v/>
      </c>
      <c r="F178" s="5816" t="n"/>
      <c r="G178" s="5818" t="n"/>
      <c r="H178" s="5816" t="n"/>
      <c r="I178" s="5818" t="n"/>
      <c r="J178" s="5816" t="n"/>
      <c r="K178" s="5818" t="n"/>
      <c r="L178" s="5914">
        <f>SUM(M178:N178)</f>
        <v/>
      </c>
      <c r="M178" s="6155">
        <f>SUM(O178+Q178+S178)</f>
        <v/>
      </c>
      <c r="N178" s="6156">
        <f>SUM(P178+R178+T178)</f>
        <v/>
      </c>
      <c r="O178" s="5816" t="n"/>
      <c r="P178" s="5817" t="n"/>
      <c r="Q178" s="5816" t="n"/>
      <c r="R178" s="5817" t="n"/>
      <c r="S178" s="5816" t="n"/>
      <c r="T178" s="5817" t="n"/>
      <c r="U178" s="1663">
        <f>SUM(V178:W178)</f>
        <v/>
      </c>
      <c r="V178" s="6155">
        <f>SUM(X178+Z178+AB178)</f>
        <v/>
      </c>
      <c r="W178" s="6191">
        <f>SUM(Y178+AA178+AC178)</f>
        <v/>
      </c>
      <c r="X178" s="5816" t="n"/>
      <c r="Y178" s="5818" t="n"/>
      <c r="Z178" s="5816" t="n"/>
      <c r="AA178" s="5818" t="n"/>
      <c r="AB178" s="5816" t="n"/>
      <c r="AC178" s="5881" t="n"/>
      <c r="AD178" s="5880" t="n"/>
      <c r="AE178" s="6159" t="n"/>
      <c r="AF178" s="622">
        <f>BO178&amp;BP178</f>
        <v/>
      </c>
      <c r="BO178" s="5822">
        <f>IF(AND(B178&gt;0,AD178=""),"  * No olvide digitar la variable Pueblos originarios. Digite Cero si no tiene.",IF(AD178&gt;B178," * La variable Pueblos originarios No puede ser mayor al Total.",""))</f>
        <v/>
      </c>
      <c r="BP178" s="5822">
        <f>IF(AND(B178&gt;0,AE178=""),"  * No olvide digitar la variable Migrantes. Digite Cero si no tiene.",IF(AE178&gt;B178," * La variable Migrantes No puede ser mayor al Total.",""))</f>
        <v/>
      </c>
      <c r="BU178" s="5823">
        <f>IF(AND(B178&gt;0,AD178=""),1,IF(AD178&gt;B178,1,0))</f>
        <v/>
      </c>
      <c r="BV178" s="5823">
        <f>IF(AND(B178&gt;0,AE178=""),1,IF(AE178&gt;B178,1,0))</f>
        <v/>
      </c>
    </row>
    <row r="179" ht="26.45" customHeight="1" s="8286">
      <c r="A179" s="8236" t="inlineStr">
        <is>
          <t xml:space="preserve">Atenciones grupales de seguimiento a niñas/os categorizados con Riesgo </t>
        </is>
      </c>
      <c r="B179" s="6193">
        <f>SUM(C179+U179)</f>
        <v/>
      </c>
      <c r="C179" s="6194">
        <f>SUM(D179:E179)</f>
        <v/>
      </c>
      <c r="D179" s="6195">
        <f>SUM(F179+H179+J179)</f>
        <v/>
      </c>
      <c r="E179" s="6196">
        <f>SUM(G179+I179+K179)</f>
        <v/>
      </c>
      <c r="F179" s="5866" t="n"/>
      <c r="G179" s="5865" t="n"/>
      <c r="H179" s="5866" t="n"/>
      <c r="I179" s="5865" t="n"/>
      <c r="J179" s="5866" t="n"/>
      <c r="K179" s="5865" t="n"/>
      <c r="L179" s="6197" t="n"/>
      <c r="M179" s="6198" t="n"/>
      <c r="N179" s="6199" t="n"/>
      <c r="O179" s="6197" t="n"/>
      <c r="P179" s="6199" t="n"/>
      <c r="Q179" s="6197" t="n"/>
      <c r="R179" s="6199" t="n"/>
      <c r="S179" s="6197" t="n"/>
      <c r="T179" s="6199" t="n"/>
      <c r="U179" s="1670">
        <f>SUM(V179:W179)</f>
        <v/>
      </c>
      <c r="V179" s="1671">
        <f>SUM(X179+Z179+AB179)</f>
        <v/>
      </c>
      <c r="W179" s="1732">
        <f>SUM(Y179+AA179+AC179)</f>
        <v/>
      </c>
      <c r="X179" s="5866" t="n"/>
      <c r="Y179" s="5865" t="n"/>
      <c r="Z179" s="5866" t="n"/>
      <c r="AA179" s="5865" t="n"/>
      <c r="AB179" s="5866" t="n"/>
      <c r="AC179" s="5870" t="n"/>
      <c r="AD179" s="5955" t="n"/>
      <c r="AE179" s="5954" t="n"/>
      <c r="AF179" s="622">
        <f>BO179&amp;BP179</f>
        <v/>
      </c>
      <c r="BO179" s="5822">
        <f>IF(AND(B179&gt;0,AD179=""),"  * No olvide digitar la variable Pueblos originarios. Digite Cero si no tiene.",IF(AD179&gt;B179," * La variable Pueblos originarios No puede ser mayor al Total.",""))</f>
        <v/>
      </c>
      <c r="BP179" s="5822">
        <f>IF(AND(B179&gt;0,AE179=""),"  * No olvide digitar la variable Migrantes. Digite Cero si no tiene.",IF(AE179&gt;B179," * La variable Migrantes No puede ser mayor al Total.",""))</f>
        <v/>
      </c>
      <c r="BU179" s="5823">
        <f>IF(AND(B179&gt;0,AD179=""),1,IF(AD179&gt;B179,1,0))</f>
        <v/>
      </c>
      <c r="BV179" s="5823">
        <f>IF(AND(B179&gt;0,AE179=""),1,IF(AE179&gt;B179,1,0))</f>
        <v/>
      </c>
    </row>
    <row r="180" ht="21" customHeight="1" s="8286">
      <c r="A180" s="6188" t="inlineStr">
        <is>
          <t xml:space="preserve">Atenciones individuales de seguimiento a niñas/os categorizados con Retraso </t>
        </is>
      </c>
      <c r="B180" s="6189">
        <f>SUM(C180+L180+U180)</f>
        <v/>
      </c>
      <c r="C180" s="6190">
        <f>SUM(D180:E180)</f>
        <v/>
      </c>
      <c r="D180" s="6200">
        <f>SUM(F180+H180+J180)</f>
        <v/>
      </c>
      <c r="E180" s="6201">
        <f>SUM(G180+I180+K180)</f>
        <v/>
      </c>
      <c r="F180" s="5816" t="n"/>
      <c r="G180" s="5818" t="n"/>
      <c r="H180" s="5816" t="n"/>
      <c r="I180" s="5818" t="n"/>
      <c r="J180" s="5816" t="n"/>
      <c r="K180" s="5818" t="n"/>
      <c r="L180" s="5914">
        <f>SUM(M180:N180)</f>
        <v/>
      </c>
      <c r="M180" s="6155">
        <f>SUM(O180+Q180+S180)</f>
        <v/>
      </c>
      <c r="N180" s="6156">
        <f>SUM(P180+R180+T180)</f>
        <v/>
      </c>
      <c r="O180" s="5816" t="n"/>
      <c r="P180" s="5817" t="n"/>
      <c r="Q180" s="5816" t="n"/>
      <c r="R180" s="5817" t="n"/>
      <c r="S180" s="5816" t="n"/>
      <c r="T180" s="5817" t="n"/>
      <c r="U180" s="1663">
        <f>SUM(V180:W180)</f>
        <v/>
      </c>
      <c r="V180" s="6155">
        <f>SUM(X180+Z180+AB180)</f>
        <v/>
      </c>
      <c r="W180" s="6191">
        <f>SUM(Y180+AA180+AC180)</f>
        <v/>
      </c>
      <c r="X180" s="5816" t="n"/>
      <c r="Y180" s="5818" t="n"/>
      <c r="Z180" s="5816" t="n"/>
      <c r="AA180" s="5818" t="n"/>
      <c r="AB180" s="5816" t="n"/>
      <c r="AC180" s="5881" t="n"/>
      <c r="AD180" s="5880" t="n"/>
      <c r="AE180" s="6159" t="n"/>
      <c r="AF180" s="622">
        <f>BO180&amp;BP180</f>
        <v/>
      </c>
      <c r="BO180" s="5822">
        <f>IF(AND(B180&gt;0,AD180=""),"  * No olvide digitar la variable Pueblos originarios. Digite Cero si no tiene.",IF(AD180&gt;B180," * La variable Pueblos originarios No puede ser mayor al Total.",""))</f>
        <v/>
      </c>
      <c r="BP180" s="5822">
        <f>IF(AND(B180&gt;0,AE180=""),"  * No olvide digitar la variable Migrantes. Digite Cero si no tiene.",IF(AE180&gt;B180," * La variable Migrantes No puede ser mayor al Total.",""))</f>
        <v/>
      </c>
      <c r="BU180" s="5823">
        <f>IF(AND(B180&gt;0,AD180=""),1,IF(AD180&gt;B180,1,0))</f>
        <v/>
      </c>
      <c r="BV180" s="5823">
        <f>IF(AND(B180&gt;0,AE180=""),1,IF(AE180&gt;B180,1,0))</f>
        <v/>
      </c>
    </row>
    <row r="181" ht="25.9" customHeight="1" s="8286">
      <c r="A181" s="8236" t="inlineStr">
        <is>
          <t xml:space="preserve">Atenciones grupales de seguimiento a niñas/os categorizados con Retraso </t>
        </is>
      </c>
      <c r="B181" s="6193">
        <f>SUM(C181+U181)</f>
        <v/>
      </c>
      <c r="C181" s="6194">
        <f>SUM(D181:E181)</f>
        <v/>
      </c>
      <c r="D181" s="6195">
        <f>SUM(F181+H181+J181)</f>
        <v/>
      </c>
      <c r="E181" s="6196">
        <f>SUM(G181+I181+K181)</f>
        <v/>
      </c>
      <c r="F181" s="5866" t="n"/>
      <c r="G181" s="5865" t="n"/>
      <c r="H181" s="5866" t="n"/>
      <c r="I181" s="5865" t="n"/>
      <c r="J181" s="5866" t="n"/>
      <c r="K181" s="5865" t="n"/>
      <c r="L181" s="6197" t="n"/>
      <c r="M181" s="6198" t="n"/>
      <c r="N181" s="6199" t="n"/>
      <c r="O181" s="6197" t="n"/>
      <c r="P181" s="6199" t="n"/>
      <c r="Q181" s="6197" t="n"/>
      <c r="R181" s="6199" t="n"/>
      <c r="S181" s="6197" t="n"/>
      <c r="T181" s="6199" t="n"/>
      <c r="U181" s="1670">
        <f>SUM(V181:W181)</f>
        <v/>
      </c>
      <c r="V181" s="1671">
        <f>SUM(X181+Z181+AB181)</f>
        <v/>
      </c>
      <c r="W181" s="1732">
        <f>SUM(Y181+AA181+AC181)</f>
        <v/>
      </c>
      <c r="X181" s="5866" t="n"/>
      <c r="Y181" s="5865" t="n"/>
      <c r="Z181" s="5866" t="n"/>
      <c r="AA181" s="5865" t="n"/>
      <c r="AB181" s="5866" t="n"/>
      <c r="AC181" s="5870" t="n"/>
      <c r="AD181" s="5955" t="n"/>
      <c r="AE181" s="5954" t="n"/>
      <c r="AF181" s="622">
        <f>BO181&amp;BP181</f>
        <v/>
      </c>
      <c r="BO181" s="5822">
        <f>IF(AND(B181&gt;0,AD181=""),"  * No olvide digitar la variable Pueblos originarios. Digite Cero si no tiene.",IF(AD181&gt;B181," * La variable Pueblos originarios No puede ser mayor al Total.",""))</f>
        <v/>
      </c>
      <c r="BP181" s="5822">
        <f>IF(AND(B181&gt;0,AE181=""),"  * No olvide digitar la variable Migrantes. Digite Cero si no tiene.",IF(AE181&gt;B181," * La variable Migrantes No puede ser mayor al Total.",""))</f>
        <v/>
      </c>
      <c r="BU181" s="5823">
        <f>IF(AND(B181&gt;0,AD181=""),1,IF(AD181&gt;B181,1,0))</f>
        <v/>
      </c>
      <c r="BV181" s="5823">
        <f>IF(AND(B181&gt;0,AE181=""),1,IF(AE181&gt;B181,1,0))</f>
        <v/>
      </c>
    </row>
    <row r="182" ht="26.45" customHeight="1" s="8286">
      <c r="A182" s="1557" t="inlineStr">
        <is>
          <t>Atenciones individuales de seguimiento a niñas/os categorizados Normal con Riesgo Biopsicosocial</t>
        </is>
      </c>
      <c r="B182" s="6202">
        <f>SUM(C182+L182+U182)</f>
        <v/>
      </c>
      <c r="C182" s="1559">
        <f>SUM(D182:E182)</f>
        <v/>
      </c>
      <c r="D182" s="6203">
        <f>SUM(F182+H182+J182)</f>
        <v/>
      </c>
      <c r="E182" s="6204">
        <f>SUM(G182+I182+K182)</f>
        <v/>
      </c>
      <c r="F182" s="5843" t="n"/>
      <c r="G182" s="6103" t="n"/>
      <c r="H182" s="5843" t="n"/>
      <c r="I182" s="6103" t="n"/>
      <c r="J182" s="5843" t="n"/>
      <c r="K182" s="6103" t="n"/>
      <c r="L182" s="1665">
        <f>SUM(M182:N182)</f>
        <v/>
      </c>
      <c r="M182" s="1666">
        <f>SUM(O182+Q182+S182)</f>
        <v/>
      </c>
      <c r="N182" s="1583">
        <f>SUM(P182+R182+T182)</f>
        <v/>
      </c>
      <c r="O182" s="5843" t="n"/>
      <c r="P182" s="6014" t="n"/>
      <c r="Q182" s="5843" t="n"/>
      <c r="R182" s="6014" t="n"/>
      <c r="S182" s="5843" t="n"/>
      <c r="T182" s="6014" t="n"/>
      <c r="U182" s="1665">
        <f>SUM(V182:W182)</f>
        <v/>
      </c>
      <c r="V182" s="1666">
        <f>SUM(X182+Z182+AB182)</f>
        <v/>
      </c>
      <c r="W182" s="983">
        <f>SUM(Y182+AA182+AC182)</f>
        <v/>
      </c>
      <c r="X182" s="5843" t="n"/>
      <c r="Y182" s="6103" t="n"/>
      <c r="Z182" s="5843" t="n"/>
      <c r="AA182" s="6103" t="n"/>
      <c r="AB182" s="5843" t="n"/>
      <c r="AC182" s="6105" t="n"/>
      <c r="AD182" s="5946" t="n"/>
      <c r="AE182" s="5945" t="n"/>
      <c r="AF182" s="622">
        <f>BO182&amp;BP182</f>
        <v/>
      </c>
      <c r="BO182" s="5822">
        <f>IF(AND(B182&gt;0,AD182=""),"  * No olvide digitar la variable Pueblos originarios. Digite Cero si no tiene.",IF(AD182&gt;B182," * La variable Pueblos originarios No puede ser mayor al Total.",""))</f>
        <v/>
      </c>
      <c r="BP182" s="5822">
        <f>IF(AND(B182&gt;0,AE182=""),"  * No olvide digitar la variable Migrantes. Digite Cero si no tiene.",IF(AE182&gt;B182," * La variable Migrantes No puede ser mayor al Total.",""))</f>
        <v/>
      </c>
      <c r="BU182" s="5823">
        <f>IF(AND(B182&gt;0,AD182=""),1,IF(AD182&gt;B182,1,0))</f>
        <v/>
      </c>
      <c r="BV182" s="5823">
        <f>IF(AND(B182&gt;0,AE182=""),1,IF(AE182&gt;B182,1,0))</f>
        <v/>
      </c>
    </row>
    <row r="183" ht="31.15" customHeight="1" s="8286">
      <c r="A183" s="8236" t="inlineStr">
        <is>
          <t xml:space="preserve">Atenciones grupales de seguimiento a niñas/os categorizados Normal con Riesgo Biopsicosocial </t>
        </is>
      </c>
      <c r="B183" s="6193">
        <f>SUM(C183+U183)</f>
        <v/>
      </c>
      <c r="C183" s="6194">
        <f>SUM(D183:E183)</f>
        <v/>
      </c>
      <c r="D183" s="6195">
        <f>SUM(F183+H183+J183)</f>
        <v/>
      </c>
      <c r="E183" s="6196">
        <f>SUM(G183+I183+K183)</f>
        <v/>
      </c>
      <c r="F183" s="5866" t="n"/>
      <c r="G183" s="5865" t="n"/>
      <c r="H183" s="5866" t="n"/>
      <c r="I183" s="5865" t="n"/>
      <c r="J183" s="5866" t="n"/>
      <c r="K183" s="5865" t="n"/>
      <c r="L183" s="6205" t="n"/>
      <c r="M183" s="6206" t="n"/>
      <c r="N183" s="6207" t="n"/>
      <c r="O183" s="6205" t="n"/>
      <c r="P183" s="6207" t="n"/>
      <c r="Q183" s="6205" t="n"/>
      <c r="R183" s="6207" t="n"/>
      <c r="S183" s="6205" t="n"/>
      <c r="T183" s="6208" t="n"/>
      <c r="U183" s="1670">
        <f>SUM(V183:W183)</f>
        <v/>
      </c>
      <c r="V183" s="1671">
        <f>SUM(X183+Z183+AB183)</f>
        <v/>
      </c>
      <c r="W183" s="1732">
        <f>SUM(Y183+AA183+AC183)</f>
        <v/>
      </c>
      <c r="X183" s="5866" t="n"/>
      <c r="Y183" s="5865" t="n"/>
      <c r="Z183" s="5866" t="n"/>
      <c r="AA183" s="5865" t="n"/>
      <c r="AB183" s="5866" t="n"/>
      <c r="AC183" s="5870" t="n"/>
      <c r="AD183" s="5955" t="n"/>
      <c r="AE183" s="5954" t="n"/>
      <c r="AF183" s="622">
        <f>BO183&amp;BP183</f>
        <v/>
      </c>
      <c r="BO183" s="5822">
        <f>IF(AND(B183&gt;0,AD183=""),"  * No olvide digitar la variable Pueblos originarios. Digite Cero si no tiene.",IF(AD183&gt;B183," * La variable Pueblos originarios No puede ser mayor al Total.",""))</f>
        <v/>
      </c>
      <c r="BP183" s="5822">
        <f>IF(AND(B183&gt;0,AE183=""),"  * No olvide digitar la variable Migrantes. Digite Cero si no tiene.",IF(AE183&gt;B183," * La variable Migrantes No puede ser mayor al Total.",""))</f>
        <v/>
      </c>
      <c r="BU183" s="5823">
        <f>IF(AND(B183&gt;0,AD183=""),1,IF(AD183&gt;B183,1,0))</f>
        <v/>
      </c>
      <c r="BV183" s="5823">
        <f>IF(AND(B183&gt;0,AE183=""),1,IF(AE183&gt;B183,1,0))</f>
        <v/>
      </c>
    </row>
    <row r="184" ht="18" customHeight="1" s="8286">
      <c r="A184" s="6209" t="inlineStr">
        <is>
          <t>SECCIÓN P: ENCUESTA EPIDEMIOLOGICA</t>
        </is>
      </c>
      <c r="B184" s="6210" t="n"/>
      <c r="C184" s="6210" t="n"/>
      <c r="D184" s="6210" t="n"/>
      <c r="E184" s="6210" t="n"/>
    </row>
    <row r="185" ht="31.5" customHeight="1" s="8286">
      <c r="A185" s="8194" t="inlineStr">
        <is>
          <t>CONCEPTOS</t>
        </is>
      </c>
      <c r="B185" s="8166" t="inlineStr">
        <is>
          <t>TOTAL</t>
        </is>
      </c>
      <c r="C185" s="8157" t="inlineStr">
        <is>
          <t>Un Profesional / Técnico</t>
        </is>
      </c>
      <c r="D185" s="5967" t="inlineStr">
        <is>
          <t>Dos o Más 
Profesionales / Técnico</t>
        </is>
      </c>
    </row>
    <row r="186">
      <c r="A186" s="6214" t="inlineStr">
        <is>
          <t>Encuesta epidemiológica</t>
        </is>
      </c>
      <c r="B186" s="6215">
        <f>SUM(C186:D186)</f>
        <v/>
      </c>
      <c r="C186" s="5843" t="n"/>
      <c r="D186" s="6014" t="n"/>
    </row>
    <row r="187">
      <c r="A187" s="1580" t="inlineStr">
        <is>
          <t xml:space="preserve">A lugar de trabajo </t>
        </is>
      </c>
      <c r="B187" s="6216">
        <f>SUM(C187:D187)</f>
        <v/>
      </c>
      <c r="C187" s="5826" t="n"/>
      <c r="D187" s="5827" t="n"/>
    </row>
    <row r="188">
      <c r="A188" s="1580" t="inlineStr">
        <is>
          <t xml:space="preserve">A colegio, salas cuna, jardín infantil </t>
        </is>
      </c>
      <c r="B188" s="6023">
        <f>SUM(C188:D188)</f>
        <v/>
      </c>
      <c r="C188" s="5826" t="n"/>
      <c r="D188" s="5828" t="n"/>
    </row>
    <row r="189">
      <c r="A189" s="1606" t="inlineStr">
        <is>
          <t>A grupo comunitario</t>
        </is>
      </c>
      <c r="B189" s="6024">
        <f>SUM(C189:D189)</f>
        <v/>
      </c>
      <c r="C189" s="5866" t="n"/>
      <c r="D189" s="5865" t="n"/>
    </row>
    <row r="190" ht="18" customHeight="1" s="8286">
      <c r="A190" s="6209" t="inlineStr">
        <is>
          <t>SECCIÓN Q: ENTREGA DE QUIMIOPROFILAXIS PARA BLOQUEO EPIDEMIOLÓGICO</t>
        </is>
      </c>
      <c r="B190" s="6210" t="n"/>
      <c r="C190" s="6210" t="n"/>
      <c r="D190" s="6210" t="n"/>
      <c r="E190" s="6210" t="n"/>
    </row>
    <row r="191" ht="30" customHeight="1" s="8286">
      <c r="A191" s="9902" t="inlineStr">
        <is>
          <t>CONCEPTOS</t>
        </is>
      </c>
      <c r="B191" s="9712" t="inlineStr">
        <is>
          <t>TOTAL</t>
        </is>
      </c>
      <c r="C191" s="9594" t="inlineStr">
        <is>
          <t>RANGO ETARIO</t>
        </is>
      </c>
      <c r="D191" s="9584" t="n"/>
      <c r="E191" s="9595" t="n"/>
      <c r="F191" s="9901" t="inlineStr">
        <is>
          <t>Lugar de trabajo</t>
        </is>
      </c>
      <c r="G191" s="9911" t="inlineStr">
        <is>
          <t>Institución (ELEAM, cárceles,colegios, sala cuna y jardines infantiles)</t>
        </is>
      </c>
      <c r="H191" s="9712" t="inlineStr">
        <is>
          <t>Grupos comunitarios</t>
        </is>
      </c>
    </row>
    <row r="192" ht="38.25" customHeight="1" s="8286">
      <c r="A192" s="9641" t="n"/>
      <c r="B192" s="9641" t="n"/>
      <c r="C192" s="8166" t="inlineStr">
        <is>
          <t>Menor de 18 años</t>
        </is>
      </c>
      <c r="D192" s="7639" t="inlineStr">
        <is>
          <t>18 a 64 años</t>
        </is>
      </c>
      <c r="E192" s="6154" t="inlineStr">
        <is>
          <t>65 y más años</t>
        </is>
      </c>
      <c r="F192" s="9688" t="n"/>
      <c r="G192" s="9912" t="n"/>
      <c r="H192" s="9641" t="n"/>
    </row>
    <row r="193">
      <c r="A193" s="5972" t="inlineStr">
        <is>
          <t>Vacunas</t>
        </is>
      </c>
      <c r="B193" s="6218">
        <f>SUM(C193:E193)</f>
        <v/>
      </c>
      <c r="C193" s="5816" t="n"/>
      <c r="D193" s="6219" t="n"/>
      <c r="E193" s="5881" t="n"/>
      <c r="F193" s="5879" t="n"/>
      <c r="G193" s="6219" t="n"/>
      <c r="H193" s="5817" t="n"/>
      <c r="I193" s="622">
        <f>BO193&amp;BP193&amp;BQ193</f>
        <v/>
      </c>
      <c r="BO193" s="5822">
        <f>IF(AND($B193&gt;0,F193=""),"  * No olvide digitar la variable Lugar de trabajo. Digite Cero si no tiene.",IF(F193&gt;$B193," * La variable Lugar de trabajo No puede ser mayor al Total.",""))</f>
        <v/>
      </c>
      <c r="BP193" s="5822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/>
      </c>
      <c r="BV193" s="5823">
        <f>IF(AND($B193&gt;0,G193=""),1,IF(G193&gt;$B193,1,0))</f>
        <v/>
      </c>
      <c r="BW193" s="5823">
        <f>IF(AND($B193&gt;0,H193=""),1,IF(H193&gt;$B193,1,0))</f>
        <v/>
      </c>
    </row>
    <row r="194">
      <c r="A194" s="6220" t="inlineStr">
        <is>
          <t>Inmunoglobulinas</t>
        </is>
      </c>
      <c r="B194" s="6221">
        <f>SUM(C194:E194)</f>
        <v/>
      </c>
      <c r="C194" s="5826" t="n"/>
      <c r="D194" s="6222" t="n"/>
      <c r="E194" s="5837" t="n"/>
      <c r="F194" s="5890" t="n"/>
      <c r="G194" s="6222" t="n"/>
      <c r="H194" s="5827" t="n"/>
      <c r="I194" s="622">
        <f>BO194&amp;BP194&amp;BQ194</f>
        <v/>
      </c>
      <c r="BO194" s="5822">
        <f>IF(AND($B194&gt;0,F194=""),"  * No olvide digitar la variable Lugar de trabajo. Digite Cero si no tiene.",IF(F194&gt;$B194," * La variable Lugar de trabajo No puede ser mayor al Total.",""))</f>
        <v/>
      </c>
      <c r="BP194" s="5822">
        <f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>
        <f>IF(AND($B194&gt;0,H194=""),"  * No olvide digitar la variable Grupos comunitarios. Digite Cero si no tiene.",IF(H194&gt;$B194," * La variable Grupos comunitarios No puede ser mayor al Total.",""))</f>
        <v/>
      </c>
      <c r="BU194" s="5823">
        <f>IF(AND($B194&gt;0,F194=""),1,IF(F194&gt;$B194,1,0))</f>
        <v/>
      </c>
      <c r="BV194" s="5823">
        <f>IF(AND($B194&gt;0,G194=""),1,IF(G194&gt;$B194,1,0))</f>
        <v/>
      </c>
      <c r="BW194" s="5823">
        <f>IF(AND($B194&gt;0,H194=""),1,IF(H194&gt;$B194,1,0))</f>
        <v/>
      </c>
    </row>
    <row r="195">
      <c r="A195" s="6223" t="inlineStr">
        <is>
          <t>Medicamentos antibioticos</t>
        </is>
      </c>
      <c r="B195" s="6224">
        <f>SUM(C195:E195)</f>
        <v/>
      </c>
      <c r="C195" s="5843" t="n"/>
      <c r="D195" s="6225" t="n"/>
      <c r="E195" s="6105" t="n"/>
      <c r="F195" s="6104" t="n"/>
      <c r="G195" s="6225" t="n"/>
      <c r="H195" s="6014" t="n"/>
      <c r="I195" s="622">
        <f>BO195&amp;BP195&amp;BQ195</f>
        <v/>
      </c>
      <c r="BO195" s="5822">
        <f>IF(AND($B195&gt;0,F195=""),"  * No olvide digitar la variable Lugar de trabajo. Digite Cero si no tiene.",IF(F195&gt;$B195," * La variable Lugar de trabajo No puede ser mayor al Total.",""))</f>
        <v/>
      </c>
      <c r="BP195" s="5822">
        <f>IF(AND($B195&gt;0,G195=""),"  * No olvide digitar la variable Institución (ELEAM, cárceles,colegios, sala cuna y jardines infantiles). Digite Cero si no tiene.",IF(G195&gt;$B195," * La variable Institución (ELEAM, cárceles,colegios, sala cuna y jardines infantiles) No puede ser mayor al Total.",""))</f>
        <v/>
      </c>
      <c r="BQ195" s="5822">
        <f>IF(AND($B195&gt;0,H195=""),"  * No olvide digitar la variable Grupos comunitarios. Digite Cero si no tiene.",IF(H195&gt;$B195," * La variable Grupos comunitarios No puede ser mayor al Total.",""))</f>
        <v/>
      </c>
      <c r="BU195" s="5823">
        <f>IF(AND($B195&gt;0,F195=""),1,IF(F195&gt;$B195,1,0))</f>
        <v/>
      </c>
      <c r="BV195" s="5823">
        <f>IF(AND($B195&gt;0,G195=""),1,IF(G195&gt;$B195,1,0))</f>
        <v/>
      </c>
      <c r="BW195" s="5823">
        <f>IF(AND($B195&gt;0,H195=""),1,IF(H195&gt;$B195,1,0))</f>
        <v/>
      </c>
    </row>
    <row r="196">
      <c r="A196" s="6223" t="inlineStr">
        <is>
          <t>Medicamentos antivirales</t>
        </is>
      </c>
      <c r="B196" s="6224">
        <f>SUM(C196:E196)</f>
        <v/>
      </c>
      <c r="C196" s="5843" t="n"/>
      <c r="D196" s="6225" t="n"/>
      <c r="E196" s="6105" t="n"/>
      <c r="F196" s="6104" t="n"/>
      <c r="G196" s="6225" t="n"/>
      <c r="H196" s="6014" t="n"/>
      <c r="I196" s="622">
        <f>BO196&amp;BP196&amp;BQ196</f>
        <v/>
      </c>
      <c r="BO196" s="5822">
        <f>IF(AND($B196&gt;0,F196=""),"  * No olvide digitar la variable Lugar de trabajo. Digite Cero si no tiene.",IF(F196&gt;$B196," * La variable Lugar de trabajo No puede ser mayor al Total.",""))</f>
        <v/>
      </c>
      <c r="BP196" s="5822">
        <f>IF(AND($B196&gt;0,G196=""),"  * No olvide digitar la variable Institución (ELEAM, cárceles,colegios, sala cuna y jardines infantiles). Digite Cero si no tiene.",IF(G196&gt;$B196," * La variable Institución (ELEAM, cárceles,colegios, sala cuna y jardines infantiles) No puede ser mayor al Total.",""))</f>
        <v/>
      </c>
      <c r="BQ196" s="5822">
        <f>IF(AND($B196&gt;0,H196=""),"  * No olvide digitar la variable Grupos comunitarios. Digite Cero si no tiene.",IF(H196&gt;$B196," * La variable Grupos comunitarios No puede ser mayor al Total.",""))</f>
        <v/>
      </c>
      <c r="BU196" s="5823">
        <f>IF(AND($B196&gt;0,F196=""),1,IF(F196&gt;$B196,1,0))</f>
        <v/>
      </c>
      <c r="BV196" s="5823">
        <f>IF(AND($B196&gt;0,G196=""),1,IF(G196&gt;$B196,1,0))</f>
        <v/>
      </c>
      <c r="BW196" s="5823">
        <f>IF(AND($B196&gt;0,H196=""),1,IF(H196&gt;$B196,1,0))</f>
        <v/>
      </c>
    </row>
    <row r="197">
      <c r="A197" s="6223" t="inlineStr">
        <is>
          <t>Medicamentos antiparasitarios</t>
        </is>
      </c>
      <c r="B197" s="6224">
        <f>SUM(C197:E197)</f>
        <v/>
      </c>
      <c r="C197" s="5843" t="n"/>
      <c r="D197" s="6225" t="n"/>
      <c r="E197" s="6105" t="n"/>
      <c r="F197" s="6104" t="n"/>
      <c r="G197" s="6225" t="n"/>
      <c r="H197" s="6014" t="n"/>
      <c r="I197" s="622">
        <f>BO197&amp;BP197&amp;BQ197</f>
        <v/>
      </c>
      <c r="BO197" s="5822">
        <f>IF(AND($B197&gt;0,F197=""),"  * No olvide digitar la variable Lugar de trabajo. Digite Cero si no tiene.",IF(F197&gt;$B197," * La variable Lugar de trabajo No puede ser mayor al Total.",""))</f>
        <v/>
      </c>
      <c r="BP197" s="5822">
        <f>IF(AND($B197&gt;0,G197=""),"  * No olvide digitar la variable Institución (ELEAM, cárceles,colegios, sala cuna y jardines infantiles). Digite Cero si no tiene.",IF(G197&gt;$B197," * La variable Institución (ELEAM, cárceles,colegios, sala cuna y jardines infantiles) No puede ser mayor al Total.",""))</f>
        <v/>
      </c>
      <c r="BQ197" s="5822">
        <f>IF(AND($B197&gt;0,H197=""),"  * No olvide digitar la variable Grupos comunitarios. Digite Cero si no tiene.",IF(H197&gt;$B197," * La variable Grupos comunitarios No puede ser mayor al Total.",""))</f>
        <v/>
      </c>
      <c r="BU197" s="5823">
        <f>IF(AND($B197&gt;0,F197=""),1,IF(F197&gt;$B197,1,0))</f>
        <v/>
      </c>
      <c r="BV197" s="5823">
        <f>IF(AND($B197&gt;0,G197=""),1,IF(G197&gt;$B197,1,0))</f>
        <v/>
      </c>
      <c r="BW197" s="5823">
        <f>IF(AND($B197&gt;0,H197=""),1,IF(H197&gt;$B197,1,0))</f>
        <v/>
      </c>
    </row>
    <row r="198">
      <c r="A198" s="5979" t="inlineStr">
        <is>
          <t>otros medicamentos</t>
        </is>
      </c>
      <c r="B198" s="6226">
        <f>SUM(C198:E198)</f>
        <v/>
      </c>
      <c r="C198" s="5868" t="n"/>
      <c r="D198" s="6227" t="n"/>
      <c r="E198" s="6228" t="n"/>
      <c r="F198" s="6229" t="n"/>
      <c r="G198" s="6227" t="n"/>
      <c r="H198" s="5906" t="n"/>
      <c r="I198" s="622">
        <f>BO198&amp;BP198&amp;BQ198</f>
        <v/>
      </c>
      <c r="BO198" s="5822">
        <f>IF(AND($B198&gt;0,F198=""),"  * No olvide digitar la variable Lugar de trabajo. Digite Cero si no tiene.",IF(F198&gt;$B198," * La variable Lugar de trabajo No puede ser mayor al Total.",""))</f>
        <v/>
      </c>
      <c r="BP198" s="5822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>
        <f>IF(AND($B198&gt;0,H198=""),"  * No olvide digitar la variable Grupos comunitarios. Digite Cero si no tiene.",IF(H198&gt;$B198," * La variable Grupos comunitarios No puede ser mayor al Total.",""))</f>
        <v/>
      </c>
      <c r="BU198" s="5823">
        <f>IF(AND($B198&gt;0,F198=""),1,IF(F198&gt;$B198,1,0))</f>
        <v/>
      </c>
      <c r="BV198" s="5823">
        <f>IF(AND($B198&gt;0,G198=""),1,IF(G198&gt;$B198,1,0))</f>
        <v/>
      </c>
      <c r="BW198" s="5823">
        <f>IF(AND($B198&gt;0,H198=""),1,IF(H198&gt;$B198,1,0))</f>
        <v/>
      </c>
    </row>
    <row r="199" ht="18" customHeight="1" s="8286">
      <c r="A199" s="6209" t="inlineStr">
        <is>
          <t>SECCIÓN R: TOMA DE MUESTRAS PARA VIGILANCIA EPIDEMIOLÓGICA</t>
        </is>
      </c>
      <c r="B199" s="6210" t="n"/>
      <c r="C199" s="6210" t="n"/>
      <c r="D199" s="6210" t="n"/>
      <c r="E199" s="6210" t="n"/>
    </row>
    <row r="200">
      <c r="A200" s="9592" t="inlineStr">
        <is>
          <t>CONCEPTOS</t>
        </is>
      </c>
      <c r="B200" s="7632" t="inlineStr">
        <is>
          <t>TOTAL</t>
        </is>
      </c>
      <c r="C200" s="7632" t="inlineStr">
        <is>
          <t>RANGO ETARIO</t>
        </is>
      </c>
      <c r="D200" s="9584" t="n"/>
      <c r="E200" s="9582" t="n"/>
    </row>
    <row r="201" ht="21" customHeight="1" s="8286">
      <c r="A201" s="9589" t="n"/>
      <c r="B201" s="9610" t="n"/>
      <c r="C201" s="8166" t="inlineStr">
        <is>
          <t>Menor de 18 años</t>
        </is>
      </c>
      <c r="D201" s="7639" t="inlineStr">
        <is>
          <t>18 a 64 años</t>
        </is>
      </c>
      <c r="E201" s="5967" t="inlineStr">
        <is>
          <t>65 y más años</t>
        </is>
      </c>
    </row>
    <row r="202">
      <c r="A202" s="1630" t="inlineStr">
        <is>
          <t>N° muestras de sangre tomadas</t>
        </is>
      </c>
      <c r="B202" s="6230">
        <f>SUM(C202:E202)</f>
        <v/>
      </c>
      <c r="C202" s="5816" t="n"/>
      <c r="D202" s="6219" t="n"/>
      <c r="E202" s="5818" t="n"/>
    </row>
    <row r="203">
      <c r="A203" s="1580" t="inlineStr">
        <is>
          <t>N° muestras de coprocultivo tomadas</t>
        </is>
      </c>
      <c r="B203" s="6023">
        <f>SUM(C203:E203)</f>
        <v/>
      </c>
      <c r="C203" s="5826" t="n"/>
      <c r="D203" s="6222" t="n"/>
      <c r="E203" s="5828" t="n"/>
    </row>
    <row r="204">
      <c r="A204" s="1580" t="inlineStr">
        <is>
          <t>N° muestras de frotis hisopado nasofaríngeo</t>
        </is>
      </c>
      <c r="B204" s="6023">
        <f>SUM(C204:E204)</f>
        <v/>
      </c>
      <c r="C204" s="5843" t="n"/>
      <c r="D204" s="6225" t="n"/>
      <c r="E204" s="6103" t="n"/>
    </row>
    <row r="205">
      <c r="A205" s="1580" t="inlineStr">
        <is>
          <t>N° muestras de aspirado tomadas</t>
        </is>
      </c>
      <c r="B205" s="6023">
        <f>SUM(C205:E205)</f>
        <v/>
      </c>
      <c r="C205" s="5843" t="n"/>
      <c r="D205" s="6225" t="n"/>
      <c r="E205" s="6103" t="n"/>
    </row>
    <row r="206" ht="23.45" customHeight="1" s="8286">
      <c r="A206" s="1655" t="inlineStr">
        <is>
          <t>N° muestras de hisopado de lesión cutáneas tomadas</t>
        </is>
      </c>
      <c r="B206" s="6025">
        <f>SUM(C206:E206)</f>
        <v/>
      </c>
      <c r="C206" s="5866" t="n"/>
      <c r="D206" s="6231" t="n"/>
      <c r="E206" s="5865" t="n"/>
    </row>
    <row r="207" ht="18" customHeight="1" s="8286">
      <c r="A207" s="8973" t="inlineStr">
        <is>
          <t>SECCIÓN S: SEGUIMIENTO DE CASOS Y CONTACTOS/EXPUESTOS VIA TELEFONICA Y VISITAS DE SEGUIMIENTO DE CASOS  Y CONTACTOS/EXPUESTOS EN DOMICILIO</t>
        </is>
      </c>
    </row>
    <row r="208">
      <c r="A208" s="9848" t="inlineStr">
        <is>
          <t>CONCEPTOS</t>
        </is>
      </c>
      <c r="B208" s="9630" t="n"/>
      <c r="C208" s="9712" t="inlineStr">
        <is>
          <t>TOTAL</t>
        </is>
      </c>
      <c r="D208" s="7632" t="inlineStr">
        <is>
          <t>RANGO ETARIO</t>
        </is>
      </c>
      <c r="E208" s="9584" t="n"/>
      <c r="F208" s="9582" t="n"/>
    </row>
    <row r="209" ht="24" customHeight="1" s="8286">
      <c r="A209" s="9697" t="n"/>
      <c r="B209" s="9639" t="n"/>
      <c r="C209" s="9641" t="n"/>
      <c r="D209" s="8166" t="inlineStr">
        <is>
          <t>Menor de 18 años</t>
        </is>
      </c>
      <c r="E209" s="7639" t="inlineStr">
        <is>
          <t>18 a 64 años</t>
        </is>
      </c>
      <c r="F209" s="5967" t="inlineStr">
        <is>
          <t>65 y más años</t>
        </is>
      </c>
    </row>
    <row r="210">
      <c r="A210" s="9913" t="inlineStr">
        <is>
          <t>Llamadas</t>
        </is>
      </c>
      <c r="B210" s="1653" t="inlineStr">
        <is>
          <t>N° de llamadas a casos</t>
        </is>
      </c>
      <c r="C210" s="6233">
        <f>SUM(D210:F210)</f>
        <v/>
      </c>
      <c r="D210" s="5816" t="n"/>
      <c r="E210" s="6219" t="n"/>
      <c r="F210" s="5818" t="n"/>
    </row>
    <row r="211" ht="16.9" customHeight="1" s="8286">
      <c r="A211" s="9625" t="n"/>
      <c r="B211" s="1655" t="inlineStr">
        <is>
          <t>N° de llamadas a contactos/expuestos</t>
        </is>
      </c>
      <c r="C211" s="6233">
        <f>SUM(D211:F211)</f>
        <v/>
      </c>
      <c r="D211" s="5866" t="n"/>
      <c r="E211" s="6231" t="n"/>
      <c r="F211" s="5865" t="n"/>
    </row>
    <row r="212" ht="16.9" customHeight="1" s="8286">
      <c r="A212" s="9902" t="inlineStr">
        <is>
          <t>Seguimiento</t>
        </is>
      </c>
      <c r="B212" s="1657" t="inlineStr">
        <is>
          <t>N° de Visitas de seguimiento a casos</t>
        </is>
      </c>
      <c r="C212" s="6224">
        <f>SUM(D212:F212)</f>
        <v/>
      </c>
      <c r="D212" s="5843" t="n"/>
      <c r="E212" s="6225" t="n"/>
      <c r="F212" s="6103" t="n"/>
    </row>
    <row r="213" ht="21" customHeight="1" s="8286">
      <c r="A213" s="9641" t="n"/>
      <c r="B213" s="6234" t="inlineStr">
        <is>
          <t>N° de Visitas de seguimiento a contactos/ expuestos</t>
        </is>
      </c>
      <c r="C213" s="6235">
        <f>SUM(D213:F213)</f>
        <v/>
      </c>
      <c r="D213" s="5866" t="n"/>
      <c r="E213" s="6231" t="n"/>
      <c r="F213" s="5865" t="n"/>
    </row>
    <row r="214" ht="18" customHeight="1" s="8286">
      <c r="A214" s="6236" t="inlineStr">
        <is>
          <t>SECCIÓN T: BUSQUEDA ACTIVA INSTITUCIONAL (BAI) DE CASOS</t>
        </is>
      </c>
      <c r="B214" s="6237" t="n"/>
      <c r="C214" s="6210" t="n"/>
      <c r="D214" s="6210" t="n"/>
    </row>
    <row r="215">
      <c r="A215" s="9902" t="inlineStr">
        <is>
          <t>CONCEPTOS</t>
        </is>
      </c>
      <c r="B215" s="9712" t="inlineStr">
        <is>
          <t>TOTAL</t>
        </is>
      </c>
      <c r="C215" s="9846" t="inlineStr">
        <is>
          <t>REGISTROS REVISADOS</t>
        </is>
      </c>
      <c r="D215" s="9584" t="n"/>
      <c r="E215" s="9584" t="n"/>
      <c r="F215" s="6238" t="n"/>
    </row>
    <row r="216" ht="21" customHeight="1" s="8286">
      <c r="A216" s="9641" t="n"/>
      <c r="B216" s="9641" t="n"/>
      <c r="C216" s="8167" t="inlineStr">
        <is>
          <t>Menor de 100</t>
        </is>
      </c>
      <c r="D216" s="7639" t="inlineStr">
        <is>
          <t>100 a 250 registros</t>
        </is>
      </c>
      <c r="E216" s="5967" t="inlineStr">
        <is>
          <t>Mayor de 250</t>
        </is>
      </c>
    </row>
    <row r="217">
      <c r="A217" s="1653" t="inlineStr">
        <is>
          <t>BAI sarampión rubéola</t>
        </is>
      </c>
      <c r="B217" s="5815">
        <f>SUM(C217:E217)</f>
        <v/>
      </c>
      <c r="C217" s="5879" t="n"/>
      <c r="D217" s="6219" t="n"/>
      <c r="E217" s="5818" t="n"/>
    </row>
    <row r="218">
      <c r="A218" s="6240" t="inlineStr">
        <is>
          <t>BAI febriles</t>
        </is>
      </c>
      <c r="B218" s="5825">
        <f>SUM(C218:E218)</f>
        <v/>
      </c>
      <c r="C218" s="5826" t="n"/>
      <c r="D218" s="6222" t="n"/>
      <c r="E218" s="5828" t="n"/>
    </row>
    <row r="219">
      <c r="A219" s="1655" t="inlineStr">
        <is>
          <t xml:space="preserve">BAI otros eventos epidemiologicos </t>
        </is>
      </c>
      <c r="B219" s="6241">
        <f>SUM(C219:E219)</f>
        <v/>
      </c>
      <c r="C219" s="6229" t="n"/>
      <c r="D219" s="6227" t="n"/>
      <c r="E219" s="6242" t="n"/>
    </row>
    <row r="220" ht="18" customHeight="1" s="8286">
      <c r="A220" s="6236" t="inlineStr">
        <is>
          <t>SECCIÓN U: BUSQUEDA ACTIVA COMUNITARIA (BAC) DE CASOS</t>
        </is>
      </c>
      <c r="B220" s="6237" t="n"/>
    </row>
    <row r="221">
      <c r="A221" s="9902" t="inlineStr">
        <is>
          <t>CONCEPTOS</t>
        </is>
      </c>
      <c r="B221" s="7632" t="inlineStr">
        <is>
          <t>TOTAL DE UNIDADES REVISADAS</t>
        </is>
      </c>
    </row>
    <row r="222">
      <c r="A222" s="9641" t="n"/>
      <c r="B222" s="9610" t="n"/>
    </row>
    <row r="223">
      <c r="A223" s="1653" t="inlineStr">
        <is>
          <t>BAC febriles</t>
        </is>
      </c>
      <c r="B223" s="6010" t="n"/>
    </row>
    <row r="224">
      <c r="A224" s="1655" t="inlineStr">
        <is>
          <t xml:space="preserve">BAC otros eventos epidemiológicos </t>
        </is>
      </c>
      <c r="B224" s="5954" t="n"/>
    </row>
    <row r="236" hidden="1" s="8286"/>
    <row r="237" hidden="1" s="8286"/>
    <row r="238" hidden="1" ht="12.75" customHeight="1" s="8286"/>
    <row r="239" hidden="1" ht="20.1" customHeight="1" s="8286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/>
      </c>
    </row>
    <row r="240" hidden="1" ht="20.1" customHeight="1" s="8286">
      <c r="A240" s="6244">
        <f>SUM(BU13:BY198)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z43OZC2wQBcT94eQFYlU7A==" formatRows="1" sort="1" spinCount="100000" hashValue="fmyWdKNXIx2vCANXX8FUmt8rw/rzweGg1KTi+6BS5A0u/rVEYvkFut/b9zKDj1mwAeJ4G4SnB4+fOBwiG8q1Qg=="/>
  <mergeCells count="289">
    <mergeCell ref="AQ132:AQ134"/>
    <mergeCell ref="A139:B140"/>
    <mergeCell ref="AA29:AB29"/>
    <mergeCell ref="A118:F118"/>
    <mergeCell ref="A169:A170"/>
    <mergeCell ref="I111:J112"/>
    <mergeCell ref="F174:G174"/>
    <mergeCell ref="C173:K173"/>
    <mergeCell ref="AM29:AN29"/>
    <mergeCell ref="I57:I58"/>
    <mergeCell ref="H191:H192"/>
    <mergeCell ref="H152:I152"/>
    <mergeCell ref="A146:A149"/>
    <mergeCell ref="E51:F51"/>
    <mergeCell ref="J152:K152"/>
    <mergeCell ref="D139:H139"/>
    <mergeCell ref="R78:S78"/>
    <mergeCell ref="T78:U78"/>
    <mergeCell ref="A162:A167"/>
    <mergeCell ref="S57:S58"/>
    <mergeCell ref="T152:U152"/>
    <mergeCell ref="C71:C72"/>
    <mergeCell ref="Y51:Y52"/>
    <mergeCell ref="V152:W152"/>
    <mergeCell ref="E9:AN9"/>
    <mergeCell ref="M10:N10"/>
    <mergeCell ref="Y10:Z10"/>
    <mergeCell ref="A85:A86"/>
    <mergeCell ref="A173:A175"/>
    <mergeCell ref="AB174:AC174"/>
    <mergeCell ref="D71:D72"/>
    <mergeCell ref="AH78:AI78"/>
    <mergeCell ref="C126:L126"/>
    <mergeCell ref="S10:T10"/>
    <mergeCell ref="O174:P174"/>
    <mergeCell ref="L173:T173"/>
    <mergeCell ref="R51:S51"/>
    <mergeCell ref="T51:U51"/>
    <mergeCell ref="T169:T170"/>
    <mergeCell ref="M126:M127"/>
    <mergeCell ref="V51:W51"/>
    <mergeCell ref="AL77:AL79"/>
    <mergeCell ref="AC10:AD10"/>
    <mergeCell ref="AE10:AF10"/>
    <mergeCell ref="AR9:AR11"/>
    <mergeCell ref="J139:J140"/>
    <mergeCell ref="C169:S169"/>
    <mergeCell ref="A50:A52"/>
    <mergeCell ref="F71:G71"/>
    <mergeCell ref="C50:C52"/>
    <mergeCell ref="A154:A161"/>
    <mergeCell ref="K119:K121"/>
    <mergeCell ref="B28:D29"/>
    <mergeCell ref="AB78:AC78"/>
    <mergeCell ref="F57:F58"/>
    <mergeCell ref="AS9:AS11"/>
    <mergeCell ref="B119:D120"/>
    <mergeCell ref="D208:F208"/>
    <mergeCell ref="B169:B170"/>
    <mergeCell ref="D98:D99"/>
    <mergeCell ref="Q174:R174"/>
    <mergeCell ref="H71:I71"/>
    <mergeCell ref="AM77:AM79"/>
    <mergeCell ref="R57:R58"/>
    <mergeCell ref="J71:K71"/>
    <mergeCell ref="AM133:AN133"/>
    <mergeCell ref="C215:E215"/>
    <mergeCell ref="AO151:AO153"/>
    <mergeCell ref="AD71:AE71"/>
    <mergeCell ref="A191:A192"/>
    <mergeCell ref="AF71:AG71"/>
    <mergeCell ref="J57:J58"/>
    <mergeCell ref="C98:C99"/>
    <mergeCell ref="A151:A153"/>
    <mergeCell ref="L57:L58"/>
    <mergeCell ref="K111:K113"/>
    <mergeCell ref="AG29:AH29"/>
    <mergeCell ref="I133:J133"/>
    <mergeCell ref="AI29:AJ29"/>
    <mergeCell ref="K133:L133"/>
    <mergeCell ref="L111:N112"/>
    <mergeCell ref="AH71:AI71"/>
    <mergeCell ref="AJ71:AK71"/>
    <mergeCell ref="G191:G192"/>
    <mergeCell ref="W133:X133"/>
    <mergeCell ref="C85:C86"/>
    <mergeCell ref="Y133:Z133"/>
    <mergeCell ref="AQ28:AQ30"/>
    <mergeCell ref="B173:B175"/>
    <mergeCell ref="B56:D57"/>
    <mergeCell ref="F85:F86"/>
    <mergeCell ref="AS28:AS30"/>
    <mergeCell ref="X174:Y174"/>
    <mergeCell ref="K51:L51"/>
    <mergeCell ref="Z174:AA174"/>
    <mergeCell ref="O29:P29"/>
    <mergeCell ref="X56:X58"/>
    <mergeCell ref="Q29:R29"/>
    <mergeCell ref="A210:A211"/>
    <mergeCell ref="C139:C140"/>
    <mergeCell ref="C70:E70"/>
    <mergeCell ref="I119:J120"/>
    <mergeCell ref="AD173:AD175"/>
    <mergeCell ref="AP28:AP30"/>
    <mergeCell ref="E119:H120"/>
    <mergeCell ref="AH152:AI152"/>
    <mergeCell ref="F77:AI77"/>
    <mergeCell ref="E111:F112"/>
    <mergeCell ref="K57:K58"/>
    <mergeCell ref="M57:M58"/>
    <mergeCell ref="B132:D133"/>
    <mergeCell ref="G111:H112"/>
    <mergeCell ref="AK10:AL10"/>
    <mergeCell ref="AM10:AN10"/>
    <mergeCell ref="AE173:AE175"/>
    <mergeCell ref="E57:E58"/>
    <mergeCell ref="B151:B153"/>
    <mergeCell ref="F191:F192"/>
    <mergeCell ref="AP132:AP134"/>
    <mergeCell ref="N78:O78"/>
    <mergeCell ref="F152:G152"/>
    <mergeCell ref="AR132:AR134"/>
    <mergeCell ref="P78:Q78"/>
    <mergeCell ref="Q57:Q58"/>
    <mergeCell ref="O57:O58"/>
    <mergeCell ref="P152:Q152"/>
    <mergeCell ref="Z152:AA152"/>
    <mergeCell ref="Z78:AA78"/>
    <mergeCell ref="R152:S152"/>
    <mergeCell ref="I10:J10"/>
    <mergeCell ref="AJ152:AK152"/>
    <mergeCell ref="K10:L10"/>
    <mergeCell ref="AL152:AM152"/>
    <mergeCell ref="P71:Q71"/>
    <mergeCell ref="B200:B201"/>
    <mergeCell ref="U10:V10"/>
    <mergeCell ref="R71:S71"/>
    <mergeCell ref="O50:O52"/>
    <mergeCell ref="B215:B216"/>
    <mergeCell ref="AA50:AA52"/>
    <mergeCell ref="T57:T58"/>
    <mergeCell ref="I139:I140"/>
    <mergeCell ref="E132:AN132"/>
    <mergeCell ref="AC50:AC52"/>
    <mergeCell ref="C200:E200"/>
    <mergeCell ref="P51:Q51"/>
    <mergeCell ref="AP9:AP11"/>
    <mergeCell ref="Q133:R133"/>
    <mergeCell ref="AA10:AB10"/>
    <mergeCell ref="L119:M120"/>
    <mergeCell ref="A221:A222"/>
    <mergeCell ref="K29:L29"/>
    <mergeCell ref="A111:A113"/>
    <mergeCell ref="AO9:AO11"/>
    <mergeCell ref="E29:F29"/>
    <mergeCell ref="AQ9:AQ11"/>
    <mergeCell ref="A6:W6"/>
    <mergeCell ref="AK77:AK79"/>
    <mergeCell ref="A28:A30"/>
    <mergeCell ref="B98:B99"/>
    <mergeCell ref="Y29:Z29"/>
    <mergeCell ref="A75:B75"/>
    <mergeCell ref="AI133:AJ133"/>
    <mergeCell ref="A144:A145"/>
    <mergeCell ref="AK133:AL133"/>
    <mergeCell ref="Z71:AA71"/>
    <mergeCell ref="AB71:AC71"/>
    <mergeCell ref="B50:B52"/>
    <mergeCell ref="T71:U71"/>
    <mergeCell ref="D50:D52"/>
    <mergeCell ref="H57:H58"/>
    <mergeCell ref="N50:N52"/>
    <mergeCell ref="AC29:AD29"/>
    <mergeCell ref="E133:F133"/>
    <mergeCell ref="A93:F93"/>
    <mergeCell ref="V57:V58"/>
    <mergeCell ref="G133:H133"/>
    <mergeCell ref="AE29:AF29"/>
    <mergeCell ref="X51:X52"/>
    <mergeCell ref="H174:I174"/>
    <mergeCell ref="J174:K174"/>
    <mergeCell ref="O111:P112"/>
    <mergeCell ref="S133:T133"/>
    <mergeCell ref="E56:V56"/>
    <mergeCell ref="X50:Y50"/>
    <mergeCell ref="D85:D86"/>
    <mergeCell ref="L174:N174"/>
    <mergeCell ref="G51:H51"/>
    <mergeCell ref="L152:M152"/>
    <mergeCell ref="E71:E72"/>
    <mergeCell ref="C191:E191"/>
    <mergeCell ref="I51:J51"/>
    <mergeCell ref="B126:B127"/>
    <mergeCell ref="Q111:R112"/>
    <mergeCell ref="B77:B79"/>
    <mergeCell ref="M29:N29"/>
    <mergeCell ref="X152:Y152"/>
    <mergeCell ref="U169:U170"/>
    <mergeCell ref="D151:D153"/>
    <mergeCell ref="B85:B86"/>
    <mergeCell ref="K139:K140"/>
    <mergeCell ref="AJ77:AJ79"/>
    <mergeCell ref="AR28:AR30"/>
    <mergeCell ref="A98:A99"/>
    <mergeCell ref="A87:F87"/>
    <mergeCell ref="A56:A58"/>
    <mergeCell ref="A212:A213"/>
    <mergeCell ref="E50:L50"/>
    <mergeCell ref="AB152:AC152"/>
    <mergeCell ref="AD152:AE152"/>
    <mergeCell ref="A141:A143"/>
    <mergeCell ref="F78:G78"/>
    <mergeCell ref="W56:W58"/>
    <mergeCell ref="S174:T174"/>
    <mergeCell ref="H78:I78"/>
    <mergeCell ref="G57:G58"/>
    <mergeCell ref="W10:X10"/>
    <mergeCell ref="AN77:AN79"/>
    <mergeCell ref="AG10:AH10"/>
    <mergeCell ref="E98:E99"/>
    <mergeCell ref="O10:P10"/>
    <mergeCell ref="AI10:AJ10"/>
    <mergeCell ref="AN151:AN153"/>
    <mergeCell ref="E28:AN28"/>
    <mergeCell ref="P50:W50"/>
    <mergeCell ref="C77:E78"/>
    <mergeCell ref="B191:B192"/>
    <mergeCell ref="J78:K78"/>
    <mergeCell ref="A70:B72"/>
    <mergeCell ref="L78:M78"/>
    <mergeCell ref="AD78:AE78"/>
    <mergeCell ref="V78:W78"/>
    <mergeCell ref="AF78:AG78"/>
    <mergeCell ref="N152:O152"/>
    <mergeCell ref="X78:Y78"/>
    <mergeCell ref="E10:F10"/>
    <mergeCell ref="AF152:AG152"/>
    <mergeCell ref="G10:H10"/>
    <mergeCell ref="F151:AM151"/>
    <mergeCell ref="L71:M71"/>
    <mergeCell ref="A126:A127"/>
    <mergeCell ref="A77:A79"/>
    <mergeCell ref="N71:O71"/>
    <mergeCell ref="Q10:R10"/>
    <mergeCell ref="U57:U58"/>
    <mergeCell ref="M50:M52"/>
    <mergeCell ref="C174:E174"/>
    <mergeCell ref="C151:C153"/>
    <mergeCell ref="AO132:AO134"/>
    <mergeCell ref="N57:N58"/>
    <mergeCell ref="E151:E153"/>
    <mergeCell ref="A9:A11"/>
    <mergeCell ref="P57:P58"/>
    <mergeCell ref="A132:A134"/>
    <mergeCell ref="B111:D112"/>
    <mergeCell ref="U173:AC173"/>
    <mergeCell ref="A119:A121"/>
    <mergeCell ref="AK29:AL29"/>
    <mergeCell ref="M133:N133"/>
    <mergeCell ref="O133:P133"/>
    <mergeCell ref="A200:A201"/>
    <mergeCell ref="AL71:AM71"/>
    <mergeCell ref="A81:A82"/>
    <mergeCell ref="E85:E86"/>
    <mergeCell ref="AA133:AB133"/>
    <mergeCell ref="C208:C209"/>
    <mergeCell ref="AC133:AD133"/>
    <mergeCell ref="A215:A216"/>
    <mergeCell ref="B221:B222"/>
    <mergeCell ref="U174:W174"/>
    <mergeCell ref="G29:H29"/>
    <mergeCell ref="AO28:AO30"/>
    <mergeCell ref="I29:J29"/>
    <mergeCell ref="AB50:AB52"/>
    <mergeCell ref="Z50:Z52"/>
    <mergeCell ref="U133:V133"/>
    <mergeCell ref="S29:T29"/>
    <mergeCell ref="U29:V29"/>
    <mergeCell ref="AE133:AF133"/>
    <mergeCell ref="A110:F110"/>
    <mergeCell ref="W29:X29"/>
    <mergeCell ref="AG133:AH133"/>
    <mergeCell ref="A208:B209"/>
    <mergeCell ref="V71:W71"/>
    <mergeCell ref="A73:A74"/>
    <mergeCell ref="B9:D10"/>
    <mergeCell ref="X71:Y71"/>
    <mergeCell ref="F70:AM70"/>
    <mergeCell ref="A76:G76"/>
  </mergeCells>
  <dataValidations count="11">
    <dataValidation sqref="C19:C20 D144:H144 E35:J35 E37:J38 E122:H122 E124:H124 I141:I143 I145 K122 K124 L115:P116 L177:T177 L179:T179 L181:T181 L183:T183 M35:N35 Q114:R114 AC35:AN35 AS19:AS25" showDropDown="0" showInputMessage="1" showErrorMessage="1" allowBlank="0" type="whole" operator="equal">
      <formula1>0</formula1>
    </dataValidation>
    <dataValidation sqref="B171 C101:E105 C107:E109 C186:D189 E13:AR26 AS13:AS18 AS26" showDropDown="0" showInputMessage="1" showErrorMessage="1" allowBlank="0" type="whole">
      <formula1>0</formula1>
      <formula2>9.99999999999999E+37</formula2>
    </dataValidation>
    <dataValidation sqref="E53:L54 P53:AC54" showDropDown="0" showInputMessage="1" showErrorMessage="1" allowBlank="0" type="whole">
      <formula1>0</formula1>
      <formula2>9.99999999999999E+31</formula2>
    </dataValidation>
    <dataValidation sqref="B67:B68 B94:B96 C60:X61 C193:H198 D88:D92 D94:D96 F73:AM74" showDropDown="0" showInputMessage="1" showErrorMessage="1" allowBlank="0" type="whole">
      <formula1>0</formula1>
      <formula2>9.99999999999999E+38</formula2>
    </dataValidation>
    <dataValidation sqref="B223:B224 C63:X64 C88:C92 C94:C96 C217:E219 D210:F213 E32:E33 E88:F92 E94:F96 F80:AN83 G32:G33 I32:I33 M32:M33 O32:O33" showDropDown="0" showInputMessage="1" showErrorMessage="1" allowBlank="0" type="whole">
      <formula1>0</formula1>
      <formula2>9.99999999999999E+40</formula2>
    </dataValidation>
    <dataValidation sqref="B128:M130 C38 F176:K183" showDropDown="0" showInputMessage="1" showErrorMessage="1" allowBlank="0" type="whole">
      <formula1>0</formula1>
      <formula2>9.99999999999999E+41</formula2>
    </dataValidation>
    <dataValidation sqref="E135:AR137" showDropDown="0" showInputMessage="1" showErrorMessage="1" allowBlank="0" type="whole">
      <formula1>0</formula1>
      <formula2>9.99999999999999E+34</formula2>
    </dataValidation>
    <dataValidation sqref="F154:AO167 X176:AE183" showDropDown="0" showInputMessage="1" showErrorMessage="1" allowBlank="0" type="whole">
      <formula1>0</formula1>
      <formula2>9.99999999999999E+36</formula2>
    </dataValidation>
    <dataValidation sqref="B88:B92 C32:C33 C171 D171:U171" showDropDown="0" showInputMessage="1" showErrorMessage="1" allowBlank="0" type="whole">
      <formula1>0</formula1>
      <formula2>9.99999999999999E+42</formula2>
    </dataValidation>
    <dataValidation sqref="C202:E206" showDropDown="0" showInputMessage="1" showErrorMessage="1" allowBlank="0" type="whole">
      <formula1>0</formula1>
      <formula2>9.99999999999999E+35</formula2>
    </dataValidation>
    <dataValidation sqref="C114:K116 C122:D124 D141:H143 D145:H145 D146:I149 E31 E34 E36:J36 E39:J48 E123:H123 F31:F34 G31 G34 H31:H34 I31 I34 I122:M124 I144 J31:J34 J141:K149 K31:L48 L114:P114 M31 M34 M36:AN48 N31:N34 O31 O34:O35 O176:T176 O178:T178 O180:T180 O182:T182 P31:AB35 Q115:R116 AC31:AS34 AO35:AS48" showDropDown="0" showInputMessage="1" showErrorMessage="1" allowBlank="0" type="whole" operator="greaterThanOrEqual">
      <formula1>0</formula1>
    </dataValidation>
  </dataValidations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Hoja6">
    <outlinePr summaryBelow="1" summaryRight="1"/>
    <pageSetUpPr/>
  </sheetPr>
  <dimension ref="A1:CY437"/>
  <sheetViews>
    <sheetView showGridLines="0" zoomScaleNormal="100" workbookViewId="0">
      <selection activeCell="A1" sqref="A1"/>
    </sheetView>
  </sheetViews>
  <sheetFormatPr baseColWidth="10" defaultColWidth="11.42578125" defaultRowHeight="15"/>
  <cols>
    <col width="41.7109375" customWidth="1" style="8286" min="1" max="1"/>
    <col width="37.42578125" customWidth="1" style="8286" min="2" max="2"/>
    <col width="12.140625" customWidth="1" style="8286" min="3" max="3"/>
    <col width="12.7109375" customWidth="1" style="8286" min="14" max="14"/>
    <col width="13.7109375" customWidth="1" style="8286" min="15" max="15"/>
    <col width="15.85546875" customWidth="1" style="8286" min="16" max="16"/>
    <col width="12.5703125" customWidth="1" style="8286" min="17" max="17"/>
    <col width="12.85546875" customWidth="1" style="8286" min="18" max="18"/>
    <col width="11.85546875" customWidth="1" style="8286" min="20" max="20"/>
    <col width="11.5703125" customWidth="1" style="8286" min="21" max="21"/>
    <col width="12.28515625" customWidth="1" style="8286" min="22" max="22"/>
    <col width="13.140625" customWidth="1" style="8286" min="23" max="23"/>
    <col width="13.5703125" customWidth="1" style="8286" min="24" max="24"/>
    <col width="10.7109375" customWidth="1" style="8286" min="35" max="35"/>
    <col width="11.5703125" customWidth="1" style="8286" min="36" max="36"/>
    <col width="10.42578125" customWidth="1" style="8286" min="37" max="37"/>
    <col width="12.28515625" customWidth="1" style="8286" min="39" max="39"/>
    <col width="15" customWidth="1" style="8286" min="40" max="40"/>
    <col width="13.7109375" customWidth="1" style="8286" min="41" max="41"/>
    <col width="12.5703125" customWidth="1" style="8286" min="42" max="42"/>
    <col width="13.140625" customWidth="1" style="8286" min="45" max="45"/>
    <col width="11.140625" customWidth="1" style="8286" min="46" max="46"/>
    <col width="12.5703125" customWidth="1" style="8286" min="49" max="50"/>
    <col width="11.42578125" customWidth="1" style="8286" min="66" max="67"/>
    <col width="11.42578125" customWidth="1" style="8286" min="74" max="75"/>
    <col hidden="1" width="13.42578125" customWidth="1" style="8286" min="76" max="76"/>
    <col hidden="1" width="11.42578125" customWidth="1" style="8286" min="77" max="106"/>
    <col width="11.42578125" customWidth="1" style="8286" min="107" max="112"/>
  </cols>
  <sheetData>
    <row r="1">
      <c r="A1" s="25" t="inlineStr">
        <is>
          <t>SERVICIO DE SALUD</t>
        </is>
      </c>
    </row>
    <row r="2">
      <c r="A2" s="25">
        <f>CONCATENATE("COMUNA: ",NOMBRE!B2," (",NOMBRE!C2,NOMBRE!D2,NOMBRE!E2,NOMBRE!F2,NOMBRE!G2,")")</f>
        <v/>
      </c>
    </row>
    <row r="3">
      <c r="A3" s="25">
        <f>CONCATENATE("ESTABLECIMIENTO/ESTRATEGIA: ", NOMBRE!B3," (",NOMBRE!C3,NOMBRE!D3,NOMBRE!E3,NOMBRE!F3,NOMBRE!G3,NOMBRE!H3,")")</f>
        <v/>
      </c>
    </row>
    <row r="4">
      <c r="A4" s="25">
        <f>CONCATENATE("MES: ",NOMBRE!B6," (",NOMBRE!C6,NOMBRE!D6,")")</f>
        <v/>
      </c>
    </row>
    <row r="5">
      <c r="A5" s="25">
        <f>CONCATENATE("AÑO: ",NOMBRE!B7)</f>
        <v/>
      </c>
    </row>
    <row r="6" ht="18" customHeight="1" s="8286">
      <c r="A6" s="7780" t="inlineStr">
        <is>
          <t>REM-A05.   INGRESOS Y EGRESOS POR CONDICIÓN Y PROBLEMAS DE SALUD</t>
        </is>
      </c>
    </row>
    <row r="8" ht="18" customHeight="1" s="8286">
      <c r="A8" s="249" t="inlineStr">
        <is>
          <t>SECCIÓN A: INGRESOS DE GESTANTES A PROGRAMA PRENATAL</t>
        </is>
      </c>
    </row>
    <row r="9" ht="21.6" customHeight="1" s="8286">
      <c r="A9" s="9914" t="inlineStr">
        <is>
          <t>CONDICIÓN</t>
        </is>
      </c>
      <c r="B9" s="9630" t="n"/>
      <c r="C9" s="8400" t="inlineStr">
        <is>
          <t xml:space="preserve">TOTAL      </t>
        </is>
      </c>
      <c r="D9" s="9915" t="inlineStr">
        <is>
          <t>RANGO ETARIO</t>
        </is>
      </c>
      <c r="E9" s="9584" t="n"/>
      <c r="F9" s="9584" t="n"/>
      <c r="G9" s="9584" t="n"/>
      <c r="H9" s="9584" t="n"/>
      <c r="I9" s="9584" t="n"/>
      <c r="J9" s="9584" t="n"/>
      <c r="K9" s="9584" t="n"/>
      <c r="L9" s="9584" t="n"/>
      <c r="M9" s="9584" t="n"/>
      <c r="N9" s="9595" t="n"/>
      <c r="O9" s="9916" t="inlineStr">
        <is>
          <t>Víctima de Violencia de Género</t>
        </is>
      </c>
      <c r="P9" s="8400" t="inlineStr">
        <is>
          <t>Ingresos por Traslado</t>
        </is>
      </c>
      <c r="Q9" s="7829" t="inlineStr">
        <is>
          <t>Ingresos con Control Precoz Extrasistema</t>
        </is>
      </c>
      <c r="R9" s="9917" t="inlineStr">
        <is>
          <t>Derivación por IVE causal 3 &lt;14 años</t>
        </is>
      </c>
      <c r="S9" s="7733" t="inlineStr">
        <is>
          <t>Identidad de género</t>
        </is>
      </c>
      <c r="T9" s="9918" t="n"/>
      <c r="U9" s="9919" t="inlineStr">
        <is>
          <t>Personas con discapacidad</t>
        </is>
      </c>
      <c r="V9" s="9920" t="inlineStr">
        <is>
          <t>Pueblos Originarios</t>
        </is>
      </c>
      <c r="W9" s="8400" t="inlineStr">
        <is>
          <t>Migrantes</t>
        </is>
      </c>
      <c r="X9" s="9582" t="n"/>
    </row>
    <row r="10" ht="27" customHeight="1" s="8286">
      <c r="A10" s="642" t="n"/>
      <c r="B10" s="9718" t="n"/>
      <c r="C10" s="9610" t="n"/>
      <c r="D10" s="7932" t="inlineStr">
        <is>
          <t>Menor
de 14 años</t>
        </is>
      </c>
      <c r="E10" s="2011" t="inlineStr">
        <is>
          <t>14 años</t>
        </is>
      </c>
      <c r="F10" s="2012" t="inlineStr">
        <is>
          <t>15 - 19 años</t>
        </is>
      </c>
      <c r="G10" s="2012" t="inlineStr">
        <is>
          <t>20 - 24 años</t>
        </is>
      </c>
      <c r="H10" s="2012" t="inlineStr">
        <is>
          <t>25 - 29 años</t>
        </is>
      </c>
      <c r="I10" s="2012" t="inlineStr">
        <is>
          <t>30 - 34 años</t>
        </is>
      </c>
      <c r="J10" s="2012" t="inlineStr">
        <is>
          <t>35 - 39 años</t>
        </is>
      </c>
      <c r="K10" s="2012" t="inlineStr">
        <is>
          <t>40 - 44 años</t>
        </is>
      </c>
      <c r="L10" s="2012" t="inlineStr">
        <is>
          <t>45 - 49 años</t>
        </is>
      </c>
      <c r="M10" s="2012" t="inlineStr">
        <is>
          <t>50 - 54 años</t>
        </is>
      </c>
      <c r="N10" s="1981" t="inlineStr">
        <is>
          <t>55 y más años</t>
        </is>
      </c>
      <c r="O10" s="9890" t="n"/>
      <c r="P10" s="9610" t="n"/>
      <c r="Q10" s="9591" t="n"/>
      <c r="R10" s="9610" t="n"/>
      <c r="S10" s="1955" t="inlineStr">
        <is>
          <t>Trans masculino</t>
        </is>
      </c>
      <c r="T10" s="714" t="inlineStr">
        <is>
          <t>No binarie</t>
        </is>
      </c>
      <c r="U10" s="9855" t="n"/>
      <c r="V10" s="9641" t="n"/>
      <c r="W10" s="7932" t="inlineStr">
        <is>
          <t>Menor de 20 años</t>
        </is>
      </c>
      <c r="X10" s="7666" t="inlineStr">
        <is>
          <t>20 y más años</t>
        </is>
      </c>
    </row>
    <row r="11" ht="15" customHeight="1" s="8286">
      <c r="A11" s="9921" t="inlineStr">
        <is>
          <t>Gestantes Ingresadas</t>
        </is>
      </c>
      <c r="B11" s="9603" t="n"/>
      <c r="C11" s="2013">
        <f>SUM(D11:N11)</f>
        <v/>
      </c>
      <c r="D11" s="2014" t="n"/>
      <c r="E11" s="2015" t="n"/>
      <c r="F11" s="2016" t="n">
        <v>2</v>
      </c>
      <c r="G11" s="2016" t="n">
        <v>4</v>
      </c>
      <c r="H11" s="2016" t="n">
        <v>6</v>
      </c>
      <c r="I11" s="2016" t="n">
        <v>9</v>
      </c>
      <c r="J11" s="2016" t="n">
        <v>2</v>
      </c>
      <c r="K11" s="2016" t="n">
        <v>1</v>
      </c>
      <c r="L11" s="2016" t="n"/>
      <c r="M11" s="2017" t="n"/>
      <c r="N11" s="2018" t="n"/>
      <c r="O11" s="5352" t="n">
        <v>0</v>
      </c>
      <c r="P11" s="5353" t="n">
        <v>1</v>
      </c>
      <c r="Q11" s="5354" t="n"/>
      <c r="R11" s="5357" t="n">
        <v>0</v>
      </c>
      <c r="S11" s="713" t="n">
        <v>0</v>
      </c>
      <c r="T11" s="1094" t="n">
        <v>0</v>
      </c>
      <c r="U11" s="595" t="n">
        <v>0</v>
      </c>
      <c r="V11" s="2019" t="n">
        <v>0</v>
      </c>
      <c r="W11" s="2014" t="n">
        <v>0</v>
      </c>
      <c r="X11" s="2019" t="n">
        <v>2</v>
      </c>
      <c r="Y11">
        <f>CA11&amp;CB11&amp;CD11&amp;CE11&amp;CF11&amp;CG11&amp;CH11&amp;CI11&amp;CJ11</f>
        <v/>
      </c>
      <c r="CA11" s="90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>
        <f>IF(AND(C11&gt;0,P11=""),"  * No olvide digitar la variable Ingresos por Traslados. Digite Cero si no tiene.",IF(P11&gt;C11,"  *La variable Ingresos por Traslados No puede ser mayor al Total.",""))</f>
        <v/>
      </c>
      <c r="CC11" s="715" t="n"/>
      <c r="CD11" s="90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>
        <f>IF(AND($C11&gt;0,S11=""),"  * No olvide digitar la variable Trans masculino. Digite Cero si no tiene.",IF(S11&gt;$C11,"  *La variable Trans masculino No puede ser mayor al Total.",""))</f>
        <v/>
      </c>
      <c r="CF11" s="90">
        <f>IF(AND($C11&gt;0,T11=""),"  * No olvide digitar la variable No binarie. Digite Cero si no tiene.",IF(T11&gt;$C11," *La variable No binarie No puede ser mayor al Total.",""))</f>
        <v/>
      </c>
      <c r="CG11" s="90">
        <f>IF(AND($C11&gt;0,U11="")," * No olvide digitar la variable Personas con discapacidad. Digite Cero si no tiene.",IF(U11&gt;$C11," *La variable Personas con discapacidad No puede ser mayor al Total.",""))</f>
        <v/>
      </c>
      <c r="CH11" s="90">
        <f>IF(AND($C11&gt;0,V11="")," * No olvide digitar la variable Pueblos Originarios. Digite Cero si no tiene.",IF(V11&gt;$C11," *La variable Pueblos Originarios No puede ser mayor al Total.",""))</f>
        <v/>
      </c>
      <c r="CI11" s="90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>IF(AND($C11&gt;0,O11=""),1,IF(O11&gt;$C11,1,0))</f>
        <v/>
      </c>
      <c r="CP11" s="52">
        <f>IF(AND($C11&gt;0,P11=""),1,IF(P11&gt;$C11,1,0))</f>
        <v/>
      </c>
      <c r="CQ11" s="715" t="n"/>
      <c r="CR11" s="127">
        <f>IF(R11&gt;$E11+D11,1,0)</f>
        <v/>
      </c>
      <c r="CS11" s="52">
        <f>IF(AND($C11&gt;0,S11=""),1,IF(S11&gt;$C11,1,0))</f>
        <v/>
      </c>
      <c r="CT11" s="52">
        <f>IF(AND($C11&gt;0,T11=""),1,IF(T11&gt;$C11,1,0))</f>
        <v/>
      </c>
      <c r="CU11" s="52">
        <f>IF(AND($C11&gt;0,U11=""),1,IF(U11&gt;$C11,1,0))</f>
        <v/>
      </c>
      <c r="CV11" s="52">
        <f>IF(AND($C11&gt;0,V11=""),1,IF(V11&gt;$C11,1,0))</f>
        <v/>
      </c>
      <c r="CW11" s="52">
        <f>IF(AND(D11+E11+F11&gt;0,W11=""),1,IF(W11&gt;D11+E11+F11,1,0))</f>
        <v/>
      </c>
      <c r="CX11" s="52">
        <f>IF(AND($G11+$H11+$I11+$J11+$K11+$L11+$M11+$N11&gt;0,$X11=""),1,IF($G11+$H11+$I11+$J11+$K11+$L11+$M11+$N11&lt;$X11,1,0))</f>
        <v/>
      </c>
    </row>
    <row r="12" ht="15" customHeight="1" s="8286">
      <c r="A12" s="9922" t="inlineStr">
        <is>
          <t>Primigestas Ingresadas</t>
        </is>
      </c>
      <c r="B12" s="9643" t="n"/>
      <c r="C12" s="2021">
        <f>SUM(D12:N12)</f>
        <v/>
      </c>
      <c r="D12" s="2022" t="n"/>
      <c r="E12" s="2023" t="n"/>
      <c r="F12" s="835" t="n">
        <v>1</v>
      </c>
      <c r="G12" s="835" t="n">
        <v>3</v>
      </c>
      <c r="H12" s="835" t="n">
        <v>2</v>
      </c>
      <c r="I12" s="835" t="n">
        <v>5</v>
      </c>
      <c r="J12" s="835" t="n">
        <v>1</v>
      </c>
      <c r="K12" s="835" t="n"/>
      <c r="L12" s="835" t="n"/>
      <c r="M12" s="2024" t="n"/>
      <c r="N12" s="1940" t="n"/>
      <c r="O12" s="5213" t="n">
        <v>0</v>
      </c>
      <c r="P12" s="5189" t="n">
        <v>0</v>
      </c>
      <c r="Q12" s="5355" t="n"/>
      <c r="R12" s="5358" t="n">
        <v>0</v>
      </c>
      <c r="S12" s="2027" t="n">
        <v>0</v>
      </c>
      <c r="T12" s="2026" t="n">
        <v>0</v>
      </c>
      <c r="U12" s="2028" t="n">
        <v>0</v>
      </c>
      <c r="V12" s="2029" t="n">
        <v>0</v>
      </c>
      <c r="W12" s="2022" t="n">
        <v>0</v>
      </c>
      <c r="X12" s="2029" t="n">
        <v>1</v>
      </c>
      <c r="Y12">
        <f>CA12&amp;CB12&amp;CD12&amp;CE12&amp;CF12&amp;CG12&amp;CH12&amp;CI12&amp;CJ12</f>
        <v/>
      </c>
      <c r="CA12" s="90">
        <f>IF(AND($C12&gt;0,O12="")," * No olvide digitar la variable Víctima de Violencia de Género. Digite Cero si no tiene.",IF(O12&gt;$C12," *La variable Víctima de Violencia de Género No puede ser mayor al Total.",""))</f>
        <v/>
      </c>
      <c r="CB12" s="90">
        <f>IF(AND(C12&gt;0,P12=""),"  * No olvide digitar la variable Ingresos por Traslados. Digite Cero si no tiene.",IF(P12&gt;C12,"  *La variable Ingresos por Traslados No puede ser mayor al Total.",""))</f>
        <v/>
      </c>
      <c r="CC12" s="715" t="n"/>
      <c r="CD12" s="90">
        <f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>
        <f>IF(AND($C12&gt;0,S12=""),"  * No olvide digitar la variable Trans masculino. Digite Cero si no tiene.",IF(S12&gt;$C12,"  *La variable Trans masculino No puede ser mayor al Total.",""))</f>
        <v/>
      </c>
      <c r="CF12" s="90">
        <f>IF(AND($C12&gt;0,T12=""),"  * No olvide digitar la variable No binarie. Digite Cero si no tiene.",IF(T12&gt;$C12," *La variable No binarie No puede ser mayor al Total.",""))</f>
        <v/>
      </c>
      <c r="CG12" s="90">
        <f>IF(AND($C12&gt;0,U12="")," * No olvide digitar la variable Personas con discapacidad. Digite Cero si no tiene.",IF(U12&gt;$C12," *La variable Personas con discapacidad No puede ser mayor al Total.",""))</f>
        <v/>
      </c>
      <c r="CH12" s="90">
        <f>IF(AND($C12&gt;0,V12="")," * No olvide digitar la variable Pueblos Originarios. Digite Cero si no tiene.",IF(V12&gt;$C12," *La variable Pueblos Originarios No puede ser mayor al Total.",""))</f>
        <v/>
      </c>
      <c r="CI12" s="90">
        <f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>
        <f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>IF(AND($C12&gt;0,O12=""),1,IF(O12&gt;$C12,1,0))</f>
        <v/>
      </c>
      <c r="CP12" s="52">
        <f>IF(AND($C12&gt;0,P12=""),1,IF(P12&gt;$C12,1,0))</f>
        <v/>
      </c>
      <c r="CQ12" s="715" t="n"/>
      <c r="CR12" s="127">
        <f>IF(R12&gt;$E12+D12,1,0)</f>
        <v/>
      </c>
      <c r="CS12" s="52">
        <f>IF(AND($C12&gt;0,S12=""),1,IF(S12&gt;$C12,1,0))</f>
        <v/>
      </c>
      <c r="CT12" s="52">
        <f>IF(AND($C12&gt;0,T12=""),1,IF(T12&gt;$C12,1,0))</f>
        <v/>
      </c>
      <c r="CU12" s="52">
        <f>IF(AND($C12&gt;0,U12=""),1,IF(U12&gt;$C12,1,0))</f>
        <v/>
      </c>
      <c r="CV12" s="52">
        <f>IF(AND($C12&gt;0,V12=""),1,IF(V12&gt;$C12,1,0))</f>
        <v/>
      </c>
      <c r="CW12" s="52">
        <f>IF(AND(D12+E12+F12&gt;0,W12=""),1,IF(W12&gt;D12+E12+F12,1,0))</f>
        <v/>
      </c>
      <c r="CX12" s="52">
        <f>IF(AND($G12+$H12+$I12+$J12+$K12+$L12+$M12+$N12&gt;0,$X12=""),1,IF($G12+$H12+$I12+$J12+$K12+$L12+$M12+$N12&lt;$X12,1,0))</f>
        <v/>
      </c>
    </row>
    <row r="13" ht="15" customHeight="1" s="8286">
      <c r="A13" s="3849" t="inlineStr">
        <is>
          <t>Gestantes Ingresadas antes de las 14 Semanas</t>
        </is>
      </c>
      <c r="B13" s="9644" t="n"/>
      <c r="C13" s="1272">
        <f>SUM(D13:N13)</f>
        <v/>
      </c>
      <c r="D13" s="1172" t="n"/>
      <c r="E13" s="1174" t="n"/>
      <c r="F13" s="2001" t="n">
        <v>2</v>
      </c>
      <c r="G13" s="2001" t="n">
        <v>4</v>
      </c>
      <c r="H13" s="2001" t="n">
        <v>6</v>
      </c>
      <c r="I13" s="2001" t="n">
        <v>9</v>
      </c>
      <c r="J13" s="2001" t="n">
        <v>2</v>
      </c>
      <c r="K13" s="2001" t="n">
        <v>1</v>
      </c>
      <c r="L13" s="2001" t="n"/>
      <c r="M13" s="885" t="n"/>
      <c r="N13" s="1929" t="n"/>
      <c r="O13" s="5215" t="n">
        <v>0</v>
      </c>
      <c r="P13" s="3892" t="n">
        <v>0</v>
      </c>
      <c r="Q13" s="3895" t="n">
        <v>1</v>
      </c>
      <c r="R13" s="5349" t="n">
        <v>0</v>
      </c>
      <c r="S13" s="1957" t="n">
        <v>0</v>
      </c>
      <c r="T13" s="756" t="n">
        <v>0</v>
      </c>
      <c r="U13" s="1412" t="n">
        <v>0</v>
      </c>
      <c r="V13" s="1173" t="n">
        <v>0</v>
      </c>
      <c r="W13" s="1172" t="n">
        <v>0</v>
      </c>
      <c r="X13" s="1173" t="n">
        <v>1</v>
      </c>
      <c r="Y13">
        <f>CA13&amp;CB13&amp;CC13&amp;CD13&amp;CE13&amp;CF13&amp;CG13&amp;CH13&amp;CI13&amp;CJ13</f>
        <v/>
      </c>
      <c r="CA13" s="90">
        <f>IF(AND($C13&gt;0,O13="")," * No olvide digitar la variable Víctima de Violencia de Género. Digite Cero si no tiene.",IF(O13&gt;$C13," *La variable Víctima de Violencia de Género No puede ser mayor al Total.",""))</f>
        <v/>
      </c>
      <c r="CB13" s="90">
        <f>IF(AND(C13&gt;0,P13=""),"  * No olvide digitar la variable Ingresos por Traslados. Digite Cero si no tiene.",IF(P13&gt;C13,"  *La variable Ingresos por Traslados No puede ser mayor al Total.",""))</f>
        <v/>
      </c>
      <c r="CC13" s="90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>
        <f>IF(AND($C13&gt;0,R13="")," * No olvide digitar la variable Derivación por IVE causal 3 &lt;14 años. Digite Cero si no tiene.",IF(R13&gt;$C13," *La variable Derivación por IVE causal 3 &lt;14 años No puede ser mayor al Total.",""))</f>
        <v/>
      </c>
      <c r="CE13" s="90">
        <f>IF(AND($C13&gt;0,S13=""),"  * No olvide digitar la variable Trans masculino. Digite Cero si no tiene.",IF(S13&gt;$C13,"  *La variable Trans masculino No puede ser mayor al Total.",""))</f>
        <v/>
      </c>
      <c r="CF13" s="90">
        <f>IF(AND($C13&gt;0,T13=""),"  * No olvide digitar la variable No binarie. Digite Cero si no tiene.",IF(T13&gt;$C13," *La variable No binarie No puede ser mayor al Total.",""))</f>
        <v/>
      </c>
      <c r="CG13" s="90">
        <f>IF(AND($C13&gt;0,U13="")," * No olvide digitar la variable Personas con discapacidad. Digite Cero si no tiene.",IF(U13&gt;$C13," *La variable Personas con discapacidad No puede ser mayor al Total.",""))</f>
        <v/>
      </c>
      <c r="CH13" s="90">
        <f>IF(AND($C13&gt;0,V13="")," * No olvide digitar la variable Pueblos Originarios. Digite Cero si no tiene.",IF(V13&gt;$C13," *La variable Pueblos Originarios No puede ser mayor al Total.",""))</f>
        <v/>
      </c>
      <c r="CI13" s="90">
        <f>IF(AND($D13+E13+F13&gt;0,W13="")," * No olvide digitar la variable Migrantes Menor de 20 años. Digite Cero si no tiene.",IF(W13&gt;$D13+E13+F13," * La variable Migrantes Menor de 20 años No puede ser mayor a la suma del grupo Rango Etario menor de 20 años.",""))</f>
        <v/>
      </c>
      <c r="CJ13" s="90">
        <f>IF(AND($G13+$H13+$I13+$J13+$K13+$L13+$M13+$N13&gt;0,$X13="")," * No olvide digitar la variable Migrantes 20 y más años. Digite Cero si no tiene.",IF($G13+$H13+$I13+$J13+$K13+$L13+$M13+$N13&lt;$X13," * La variable Migrantes 20 y más años No puede ser mayor a la suma del grupo Rango Etario 20 y más años.",""))</f>
        <v/>
      </c>
      <c r="CO13" s="52">
        <f>IF(AND($C13&gt;0,O13=""),1,IF(O13&gt;$C13,1,0))</f>
        <v/>
      </c>
      <c r="CP13" s="52">
        <f>IF(AND($C13&gt;0,P13=""),1,IF(P13&gt;$C13,1,0))</f>
        <v/>
      </c>
      <c r="CQ13" s="52">
        <f>IF(AND($C13&gt;0,Q13=""),1,IF(Q13&gt;$C13,1,0))</f>
        <v/>
      </c>
      <c r="CR13" s="127">
        <f>IF(R13&gt;$E13+D13,1,0)</f>
        <v/>
      </c>
      <c r="CS13" s="52">
        <f>IF(AND($C13&gt;0,S13=""),1,IF(S13&gt;$C13,1,0))</f>
        <v/>
      </c>
      <c r="CT13" s="52">
        <f>IF(AND($C13&gt;0,T13=""),1,IF(T13&gt;$C13,1,0))</f>
        <v/>
      </c>
      <c r="CU13" s="52">
        <f>IF(AND($C13&gt;0,U13=""),1,IF(U13&gt;$C13,1,0))</f>
        <v/>
      </c>
      <c r="CV13" s="52">
        <f>IF(AND($C13&gt;0,V13=""),1,IF(V13&gt;$C13,1,0))</f>
        <v/>
      </c>
      <c r="CW13" s="52">
        <f>IF(AND(D13+E13+F13&gt;0,W13=""),1,IF(W13&gt;D13+E13+F13,1,0))</f>
        <v/>
      </c>
      <c r="CX13" s="52">
        <f>IF(AND($G13+$H13+$I13+$J13+$K13+$L13+$M13+$N13&gt;0,$X13=""),1,IF($G13+$H13+$I13+$J13+$K13+$L13+$M13+$N13&lt;$X13,1,0))</f>
        <v/>
      </c>
    </row>
    <row r="14" ht="15" customHeight="1" s="8286">
      <c r="A14" s="9923" t="inlineStr">
        <is>
          <t>Gestantes con Embarazo no Planificado</t>
        </is>
      </c>
      <c r="B14" s="9720" t="n"/>
      <c r="C14" s="1273">
        <f>SUM(D14:N14)</f>
        <v/>
      </c>
      <c r="D14" s="1188" t="n"/>
      <c r="E14" s="1193" t="n"/>
      <c r="F14" s="1118" t="n">
        <v>2</v>
      </c>
      <c r="G14" s="1118" t="n">
        <v>3</v>
      </c>
      <c r="H14" s="1118" t="n">
        <v>2</v>
      </c>
      <c r="I14" s="1118" t="n">
        <v>5</v>
      </c>
      <c r="J14" s="1118" t="n">
        <v>1</v>
      </c>
      <c r="K14" s="1118" t="n"/>
      <c r="L14" s="1118" t="n"/>
      <c r="M14" s="1194" t="n"/>
      <c r="N14" s="1224" t="n"/>
      <c r="O14" s="5249" t="n">
        <v>0</v>
      </c>
      <c r="P14" s="1223" t="n">
        <v>0</v>
      </c>
      <c r="Q14" s="5356" t="n"/>
      <c r="R14" s="5359" t="n">
        <v>0</v>
      </c>
      <c r="S14" s="2031" t="n">
        <v>0</v>
      </c>
      <c r="T14" s="712" t="n">
        <v>0</v>
      </c>
      <c r="U14" s="2032" t="n">
        <v>0</v>
      </c>
      <c r="V14" s="1192" t="n">
        <v>0</v>
      </c>
      <c r="W14" s="1188" t="n">
        <v>0</v>
      </c>
      <c r="X14" s="1192" t="n">
        <v>1</v>
      </c>
      <c r="Y14">
        <f>CA14&amp;CB14&amp;CD14&amp;CE14&amp;CF14&amp;CG14&amp;CH14&amp;CI14&amp;CJ14</f>
        <v/>
      </c>
      <c r="CA14" s="90">
        <f>IF(AND($C14&gt;0,O14="")," * No olvide digitar la variable Víctima de Violencia de Género. Digite Cero si no tiene.",IF(O14&gt;$C14," *La variable Víctima de Violencia de Género No puede ser mayor al Total.",""))</f>
        <v/>
      </c>
      <c r="CB14" s="90">
        <f>IF(AND(C14&gt;0,P14=""),"  * No olvide digitar la variable Ingresos por Traslados. Digite Cero si no tiene.",IF(P14&gt;C14,"  *La variable Ingresos por Traslados No puede ser mayor al Total.",""))</f>
        <v/>
      </c>
      <c r="CC14" s="715" t="n"/>
      <c r="CD14" s="90">
        <f>IF(AND($C14&gt;0,R14="")," * No olvide digitar la variable Derivación por IVE causal 3 &lt;14 años. Digite Cero si no tiene.",IF(R14&gt;$C14," *La variable Derivación por IVE causal 3 &lt;14 años No puede ser mayor al Total.",""))</f>
        <v/>
      </c>
      <c r="CE14" s="90">
        <f>IF(AND($C14&gt;0,S14=""),"  * No olvide digitar la variable Trans masculino. Digite Cero si no tiene.",IF(S14&gt;$C14,"  *La variable Trans masculino No puede ser mayor al Total.",""))</f>
        <v/>
      </c>
      <c r="CF14" s="90">
        <f>IF(AND($C14&gt;0,T14=""),"  * No olvide digitar la variable No binarie. Digite Cero si no tiene.",IF(T14&gt;$C14," *La variable No binarie No puede ser mayor al Total.",""))</f>
        <v/>
      </c>
      <c r="CG14" s="90">
        <f>IF(AND($C14&gt;0,U14="")," * No olvide digitar la variable Personas con discapacidad. Digite Cero si no tiene.",IF(U14&gt;$C14," *La variable Personas con discapacidad No puede ser mayor al Total.",""))</f>
        <v/>
      </c>
      <c r="CH14" s="90">
        <f>IF(AND($C14&gt;0,V14="")," * No olvide digitar la variable Pueblos Originarios. Digite Cero si no tiene.",IF(V14&gt;$C14," *La variable Pueblos Originarios No puede ser mayor al Total.",""))</f>
        <v/>
      </c>
      <c r="CI14" s="90">
        <f>IF(AND($D14+E14+F14&gt;0,W14="")," * No olvide digitar la variable Migrantes Menor de 20 años. Digite Cero si no tiene.",IF(W14&gt;$D14+E14+F14," * La variable Migrantes Menor de 20 años No puede ser mayor a la suma del grupo Rango Etario menor de 20 años.",""))</f>
        <v/>
      </c>
      <c r="CJ14" s="90">
        <f>IF(AND($G14+$H14+$I14+$J14+$K14+$L14+$M14+$N14&gt;0,$X14="")," * No olvide digitar la variable Migrantes 20 y más años. Digite Cero si no tiene.",IF($G14+$H14+$I14+$J14+$K14+$L14+$M14+$N14&lt;$X14," * La variable Migrantes 20 y más años No puede ser mayor a la suma del grupo Rango Etario 20 y más años.",""))</f>
        <v/>
      </c>
      <c r="CO14" s="52">
        <f>IF(AND($C14&gt;0,O14=""),1,IF(O14&gt;$C14,1,0))</f>
        <v/>
      </c>
      <c r="CP14" s="52">
        <f>IF(AND($C14&gt;0,P14=""),1,IF(P14&gt;$C14,1,0))</f>
        <v/>
      </c>
      <c r="CQ14" s="715" t="n"/>
      <c r="CR14" s="127">
        <f>IF(R14&gt;$E14+D14,1,0)</f>
        <v/>
      </c>
      <c r="CS14" s="52">
        <f>IF(AND($C14&gt;0,S14=""),1,IF(S14&gt;$C14,1,0))</f>
        <v/>
      </c>
      <c r="CT14" s="52">
        <f>IF(AND($C14&gt;0,T14=""),1,IF(T14&gt;$C14,1,0))</f>
        <v/>
      </c>
      <c r="CU14" s="52">
        <f>IF(AND($C14&gt;0,U14=""),1,IF(U14&gt;$C14,1,0))</f>
        <v/>
      </c>
      <c r="CV14" s="52">
        <f>IF(AND($C14&gt;0,V14=""),1,IF(V14&gt;$C14,1,0))</f>
        <v/>
      </c>
      <c r="CW14" s="52">
        <f>IF(AND(D14+E14+F14&gt;0,W14=""),1,IF(W14&gt;D14+E14+F14,1,0))</f>
        <v/>
      </c>
      <c r="CX14" s="52">
        <f>IF(AND($G14+$H14+$I14+$J14+$K14+$L14+$M14+$N14&gt;0,$X14=""),1,IF($G14+$H14+$I14+$J14+$K14+$L14+$M14+$N14&lt;$X14,1,0))</f>
        <v/>
      </c>
    </row>
    <row r="15" ht="18" customHeight="1" s="8286">
      <c r="A15" s="2" t="inlineStr">
        <is>
          <t>SECCIÓN B: INGRESO DE GESTANTES CON PATOLOGÍA DE ALTO RIESGO OBSTÉTRICO A LA UNIDAD DE ARO  (Nivel Secundario)</t>
        </is>
      </c>
      <c r="B15" s="57" t="n"/>
      <c r="C15" s="57" t="n"/>
      <c r="D15" s="57" t="n"/>
      <c r="E15" s="57" t="n"/>
      <c r="F15" s="57" t="n"/>
      <c r="G15" s="57" t="n"/>
      <c r="H15" s="57" t="n"/>
      <c r="I15" s="57" t="n"/>
      <c r="J15" s="57" t="n"/>
      <c r="CN15" s="17" t="n"/>
      <c r="CO15" s="17" t="n"/>
      <c r="CP15" s="17" t="n"/>
      <c r="CQ15" s="17" t="n"/>
      <c r="CR15" s="17" t="n"/>
      <c r="CS15" s="17" t="n"/>
      <c r="CT15" s="17" t="n"/>
      <c r="CU15" s="17" t="n"/>
      <c r="CV15" s="17" t="n"/>
      <c r="CW15" s="17" t="n"/>
    </row>
    <row r="16" ht="15" customHeight="1" s="8286">
      <c r="A16" s="9914" t="inlineStr">
        <is>
          <t>PATOLOGÍA</t>
        </is>
      </c>
      <c r="B16" s="9630" t="n"/>
      <c r="C16" s="9924" t="inlineStr">
        <is>
          <t>Nº de Ingreso a ARO</t>
        </is>
      </c>
      <c r="D16" s="9925" t="inlineStr">
        <is>
          <t>Víctima de violencia de género</t>
        </is>
      </c>
      <c r="E16" s="7829" t="inlineStr">
        <is>
          <t>Pueblos Originarios</t>
        </is>
      </c>
      <c r="F16" s="8400" t="inlineStr">
        <is>
          <t>Migrantes</t>
        </is>
      </c>
      <c r="CN16" s="17" t="n"/>
      <c r="CO16" s="17" t="n"/>
      <c r="CP16" s="17" t="n"/>
      <c r="CQ16" s="17" t="n"/>
      <c r="CR16" s="17" t="n"/>
      <c r="CS16" s="17" t="n"/>
      <c r="CT16" s="17" t="n"/>
      <c r="CU16" s="17" t="n"/>
      <c r="CV16" s="17" t="n"/>
      <c r="CW16" s="17" t="n"/>
    </row>
    <row r="17" ht="18.75" customHeight="1" s="8286">
      <c r="A17" s="642" t="n"/>
      <c r="B17" s="9718" t="n"/>
      <c r="C17" s="9800" t="n"/>
      <c r="D17" s="9926" t="n"/>
      <c r="E17" s="9591" t="n"/>
      <c r="F17" s="9610" t="n"/>
      <c r="CN17" s="17" t="n"/>
      <c r="CO17" s="17" t="n"/>
      <c r="CP17" s="17" t="n"/>
      <c r="CQ17" s="17" t="n"/>
      <c r="CR17" s="17" t="n"/>
      <c r="CS17" s="17" t="n"/>
      <c r="CT17" s="17" t="n"/>
      <c r="CU17" s="17" t="n"/>
      <c r="CV17" s="17" t="n"/>
      <c r="CW17" s="17" t="n"/>
    </row>
    <row r="18" ht="15" customHeight="1" s="8286">
      <c r="A18" s="9927" t="inlineStr">
        <is>
          <t>Nº de Gestantes Ingresadas</t>
        </is>
      </c>
      <c r="B18" s="9582" t="n"/>
      <c r="C18" s="2036" t="n"/>
      <c r="D18" s="2037" t="n"/>
      <c r="E18" s="5386" t="n"/>
      <c r="F18" s="5207" t="n"/>
      <c r="G18">
        <f>CA18&amp;CB18&amp;CC18</f>
        <v/>
      </c>
      <c r="CA18" s="90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>
        <f>IF(AND(C18&gt;0,E18="")," *No olvide digitar la "&amp;$E$16&amp;""&amp;" . Digite Cero si no tiene.",IF(E18&gt;C18,"  *La variable Pueblos originarios No puede ser mayor al  "&amp;$C$16&amp;""&amp;" .",""))</f>
        <v/>
      </c>
      <c r="CC18" s="90">
        <f>IF(AND(C18&gt;0,F18="")," *No olvide digitar la "&amp;$F$16&amp;""&amp;" . Digite Cero si no tiene.",IF(F18&gt;C18,"  *La variable Migrantes No puede ser mayor al  "&amp;$C$16&amp;""&amp;" .",""))</f>
        <v/>
      </c>
      <c r="CN18" s="17" t="n"/>
      <c r="CO18" s="52">
        <f>IF(AND(C18&gt;0,D18=""),1,IF(D18&gt;C18,1,0))</f>
        <v/>
      </c>
      <c r="CP18" s="52">
        <f>IF(AND(C18&gt;0,E18=""),1,IF(E18&gt;C18,1,0))</f>
        <v/>
      </c>
      <c r="CQ18" s="52">
        <f>IF(AND(C18&gt;0,F18=""),1,IF(F18&gt;C18,1,0))</f>
        <v/>
      </c>
      <c r="CR18" s="17" t="n"/>
      <c r="CS18" s="17" t="n"/>
      <c r="CT18" s="17" t="n"/>
      <c r="CU18" s="17" t="n"/>
      <c r="CV18" s="17" t="n"/>
      <c r="CW18" s="17" t="n"/>
    </row>
    <row r="19" ht="15" customHeight="1" s="8286">
      <c r="A19" s="9928" t="inlineStr">
        <is>
          <t>Preeclampsia (PE)</t>
        </is>
      </c>
      <c r="B19" s="9643" t="n"/>
      <c r="C19" s="1935" t="n"/>
      <c r="D19" s="792" t="n"/>
      <c r="E19" s="36" t="n"/>
      <c r="F19" s="1964" t="n"/>
      <c r="G19">
        <f>CA19&amp;CB19&amp;CC19</f>
        <v/>
      </c>
      <c r="CA19" s="90">
        <f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>
        <f>IF(AND(C19&gt;0,E19="")," *No olvide digitar la "&amp;$E$16&amp;""&amp;" . Digite Cero si no tiene.",IF(E19&gt;C19,"  *La variable Pueblos originarios No puede ser mayor al  "&amp;$C$16&amp;""&amp;" .",""))</f>
        <v/>
      </c>
      <c r="CC19" s="90">
        <f>IF(AND(C19&gt;0,F19="")," *No olvide digitar la "&amp;$F$16&amp;""&amp;" . Digite Cero si no tiene.",IF(F19&gt;C19,"  *La variable Migrantes No puede ser mayor al  "&amp;$C$16&amp;""&amp;" .",""))</f>
        <v/>
      </c>
      <c r="CN19" s="17" t="n"/>
      <c r="CO19" s="52">
        <f>IF(AND(C19&gt;0,D19=""),1,IF(D19&gt;C19,1,0))</f>
        <v/>
      </c>
      <c r="CP19" s="52">
        <f>IF(AND(C19&gt;0,E19=""),1,IF(E19&gt;C19,1,0))</f>
        <v/>
      </c>
      <c r="CQ19" s="52">
        <f>IF(AND(C19&gt;0,F19=""),1,IF(F19&gt;C19,1,0))</f>
        <v/>
      </c>
      <c r="CR19" s="17" t="n"/>
      <c r="CS19" s="17" t="n"/>
      <c r="CT19" s="17" t="n"/>
      <c r="CU19" s="17" t="n"/>
      <c r="CV19" s="17" t="n"/>
      <c r="CW19" s="17" t="n"/>
    </row>
    <row r="20" ht="15" customHeight="1" s="8286">
      <c r="A20" s="4064" t="inlineStr">
        <is>
          <t>Síndrome Hipertensivo del Embarazo (SHE)</t>
        </is>
      </c>
      <c r="B20" s="9644" t="n"/>
      <c r="C20" s="1172" t="n"/>
      <c r="D20" s="1929" t="n"/>
      <c r="E20" s="3895" t="n"/>
      <c r="F20" s="3892" t="n"/>
      <c r="G20">
        <f>CA20&amp;CB20&amp;CC20</f>
        <v/>
      </c>
      <c r="P20" t="inlineStr">
        <is>
          <t xml:space="preserve"> </t>
        </is>
      </c>
      <c r="CA20" s="90">
        <f>IF(AND($C20&gt;0,$D20="")," *No olvide digitar la variable "&amp;$D$16&amp;""&amp;". Digite Cero si no tiene.",IF(D20&gt;C20,"  *La variable Víctima de violencia de género No puede ser mayor al "&amp;$C$16&amp;""&amp;" .",""))</f>
        <v/>
      </c>
      <c r="CB20" s="90">
        <f>IF(AND(C20&gt;0,E20="")," *No olvide digitar la "&amp;$E$16&amp;""&amp;" . Digite Cero si no tiene.",IF(E20&gt;C20,"  *La variable Pueblos originarios No puede ser mayor al  "&amp;$C$16&amp;""&amp;" .",""))</f>
        <v/>
      </c>
      <c r="CC20" s="90">
        <f>IF(AND(C20&gt;0,F20="")," *No olvide digitar la "&amp;$F$16&amp;""&amp;" . Digite Cero si no tiene.",IF(F20&gt;C20,"  *La variable Migrantes No puede ser mayor al  "&amp;$C$16&amp;""&amp;" .",""))</f>
        <v/>
      </c>
      <c r="CN20" s="17" t="n"/>
      <c r="CO20" s="52">
        <f>IF(AND(C20&gt;0,D20=""),1,IF(D20&gt;C20,1,0))</f>
        <v/>
      </c>
      <c r="CP20" s="52">
        <f>IF(AND(C20&gt;0,E20=""),1,IF(E20&gt;C20,1,0))</f>
        <v/>
      </c>
      <c r="CQ20" s="52">
        <f>IF(AND(C20&gt;0,F20=""),1,IF(F20&gt;C20,1,0))</f>
        <v/>
      </c>
      <c r="CR20" s="17" t="n"/>
      <c r="CS20" s="17" t="n"/>
      <c r="CT20" s="17" t="n"/>
      <c r="CU20" s="17" t="n"/>
      <c r="CV20" s="17" t="n"/>
      <c r="CW20" s="17" t="n"/>
    </row>
    <row r="21" ht="15" customHeight="1" s="8286">
      <c r="A21" s="4064" t="inlineStr">
        <is>
          <t>Factores de Riesgo y Condicionantes de Parto Prematuro</t>
        </is>
      </c>
      <c r="B21" s="9644" t="n"/>
      <c r="C21" s="1172" t="n"/>
      <c r="D21" s="1929" t="n"/>
      <c r="E21" s="3895" t="n"/>
      <c r="F21" s="3892" t="n"/>
      <c r="G21">
        <f>CA21&amp;CB21&amp;CC21</f>
        <v/>
      </c>
      <c r="CA21" s="90">
        <f>IF(AND($C21&gt;0,$D21="")," *No olvide digitar la variable "&amp;$D$16&amp;""&amp;". Digite Cero si no tiene.",IF(D21&gt;C21,"  *La variable Víctima de violencia de género No puede ser mayor al "&amp;$C$16&amp;""&amp;" .",""))</f>
        <v/>
      </c>
      <c r="CB21" s="90">
        <f>IF(AND(C21&gt;0,E21="")," *No olvide digitar la "&amp;$E$16&amp;""&amp;" . Digite Cero si no tiene.",IF(E21&gt;C21,"  *La variable Pueblos originarios No puede ser mayor al  "&amp;$C$16&amp;""&amp;" .",""))</f>
        <v/>
      </c>
      <c r="CC21" s="90">
        <f>IF(AND(C21&gt;0,F21="")," *No olvide digitar la "&amp;$F$16&amp;""&amp;" . Digite Cero si no tiene.",IF(F21&gt;C21,"  *La variable Migrantes No puede ser mayor al  "&amp;$C$16&amp;""&amp;" .",""))</f>
        <v/>
      </c>
      <c r="CN21" s="17" t="n"/>
      <c r="CO21" s="52">
        <f>IF(AND(C21&gt;0,D21=""),1,IF(D21&gt;C21,1,0))</f>
        <v/>
      </c>
      <c r="CP21" s="52">
        <f>IF(AND(C21&gt;0,E21=""),1,IF(E21&gt;C21,1,0))</f>
        <v/>
      </c>
      <c r="CQ21" s="52">
        <f>IF(AND(C21&gt;0,F21=""),1,IF(F21&gt;C21,1,0))</f>
        <v/>
      </c>
      <c r="CR21" s="17" t="n"/>
      <c r="CS21" s="17" t="n"/>
      <c r="CT21" s="17" t="n"/>
      <c r="CU21" s="17" t="n"/>
      <c r="CV21" s="17" t="n"/>
      <c r="CW21" s="17" t="n"/>
    </row>
    <row r="22" ht="15" customHeight="1" s="8286">
      <c r="A22" s="4064" t="inlineStr">
        <is>
          <t>Retardo Crecimiento Intrauterino (RCIU)</t>
        </is>
      </c>
      <c r="B22" s="9644" t="n"/>
      <c r="C22" s="1172" t="n"/>
      <c r="D22" s="1929" t="n"/>
      <c r="E22" s="3895" t="n"/>
      <c r="F22" s="3892" t="n"/>
      <c r="G22">
        <f>CA22&amp;CB22&amp;CC22</f>
        <v/>
      </c>
      <c r="CA22" s="90">
        <f>IF(AND($C22&gt;0,$D22="")," *No olvide digitar la variable "&amp;$D$16&amp;""&amp;". Digite Cero si no tiene.",IF(D22&gt;C22,"  *La variable Víctima de violencia de género No puede ser mayor al "&amp;$C$16&amp;""&amp;" .",""))</f>
        <v/>
      </c>
      <c r="CB22" s="90">
        <f>IF(AND(C22&gt;0,E22="")," *No olvide digitar la "&amp;$E$16&amp;""&amp;" . Digite Cero si no tiene.",IF(E22&gt;C22,"  *La variable Pueblos originarios No puede ser mayor al  "&amp;$C$16&amp;""&amp;" .",""))</f>
        <v/>
      </c>
      <c r="CC22" s="90">
        <f>IF(AND(C22&gt;0,F22="")," *No olvide digitar la "&amp;$F$16&amp;""&amp;" . Digite Cero si no tiene.",IF(F22&gt;C22,"  *La variable Migrantes No puede ser mayor al  "&amp;$C$16&amp;""&amp;" .",""))</f>
        <v/>
      </c>
      <c r="CN22" s="17" t="n"/>
      <c r="CO22" s="52">
        <f>IF(AND(C22&gt;0,D22=""),1,IF(D22&gt;C22,1,0))</f>
        <v/>
      </c>
      <c r="CP22" s="52">
        <f>IF(AND(C22&gt;0,E22=""),1,IF(E22&gt;C22,1,0))</f>
        <v/>
      </c>
      <c r="CQ22" s="52">
        <f>IF(AND(C22&gt;0,F22=""),1,IF(F22&gt;C22,1,0))</f>
        <v/>
      </c>
      <c r="CR22" s="17" t="n"/>
      <c r="CS22" s="17" t="n"/>
      <c r="CT22" s="17" t="n"/>
      <c r="CU22" s="17" t="n"/>
      <c r="CV22" s="17" t="n"/>
      <c r="CW22" s="17" t="n"/>
    </row>
    <row r="23" ht="15" customHeight="1" s="8286">
      <c r="A23" s="4064" t="inlineStr">
        <is>
          <t>SÍFILIS</t>
        </is>
      </c>
      <c r="B23" s="9644" t="n"/>
      <c r="C23" s="1172" t="n"/>
      <c r="D23" s="1929" t="n"/>
      <c r="E23" s="3895" t="n"/>
      <c r="F23" s="3892" t="n"/>
      <c r="G23">
        <f>CA23&amp;CB23&amp;CC23</f>
        <v/>
      </c>
      <c r="CA23" s="90">
        <f>IF(AND($C23&gt;0,$D23="")," *No olvide digitar la variable "&amp;$D$16&amp;""&amp;". Digite Cero si no tiene.",IF(D23&gt;C23,"  *La variable Víctima de violencia de género No puede ser mayor al "&amp;$C$16&amp;""&amp;" .",""))</f>
        <v/>
      </c>
      <c r="CB23" s="90">
        <f>IF(AND(C23&gt;0,E23="")," *No olvide digitar la "&amp;$E$16&amp;""&amp;" . Digite Cero si no tiene.",IF(E23&gt;C23,"  *La variable Pueblos originarios No puede ser mayor al  "&amp;$C$16&amp;""&amp;" .",""))</f>
        <v/>
      </c>
      <c r="CC23" s="90">
        <f>IF(AND(C23&gt;0,F23="")," *No olvide digitar la "&amp;$F$16&amp;""&amp;" . Digite Cero si no tiene.",IF(F23&gt;C23,"  *La variable Migrantes No puede ser mayor al  "&amp;$C$16&amp;""&amp;" .",""))</f>
        <v/>
      </c>
      <c r="CN23" s="17" t="n"/>
      <c r="CO23" s="52">
        <f>IF(AND(C23&gt;0,D23=""),1,IF(D23&gt;C23,1,0))</f>
        <v/>
      </c>
      <c r="CP23" s="52">
        <f>IF(AND(C23&gt;0,E23=""),1,IF(E23&gt;C23,1,0))</f>
        <v/>
      </c>
      <c r="CQ23" s="52">
        <f>IF(AND(C23&gt;0,F23=""),1,IF(F23&gt;C23,1,0))</f>
        <v/>
      </c>
      <c r="CR23" s="17" t="n"/>
      <c r="CS23" s="17" t="n"/>
      <c r="CT23" s="17" t="n"/>
      <c r="CU23" s="17" t="n"/>
      <c r="CV23" s="17" t="n"/>
      <c r="CW23" s="17" t="n"/>
    </row>
    <row r="24" ht="15" customHeight="1" s="8286">
      <c r="A24" s="4064" t="inlineStr">
        <is>
          <t>VIH</t>
        </is>
      </c>
      <c r="B24" s="9644" t="n"/>
      <c r="C24" s="1172" t="n"/>
      <c r="D24" s="1929" t="n"/>
      <c r="E24" s="3895" t="n"/>
      <c r="F24" s="3892" t="n"/>
      <c r="G24">
        <f>CA24&amp;CB24&amp;CC24</f>
        <v/>
      </c>
      <c r="CA24" s="90">
        <f>IF(AND($C24&gt;0,$D24="")," *No olvide digitar la variable "&amp;$D$16&amp;""&amp;". Digite Cero si no tiene.",IF(D24&gt;C24,"  *La variable Víctima de violencia de género No puede ser mayor al "&amp;$C$16&amp;""&amp;" .",""))</f>
        <v/>
      </c>
      <c r="CB24" s="90">
        <f>IF(AND(C24&gt;0,E24="")," *No olvide digitar la "&amp;$E$16&amp;""&amp;" . Digite Cero si no tiene.",IF(E24&gt;C24,"  *La variable Pueblos originarios No puede ser mayor al  "&amp;$C$16&amp;""&amp;" .",""))</f>
        <v/>
      </c>
      <c r="CC24" s="90">
        <f>IF(AND(C24&gt;0,F24="")," *No olvide digitar la "&amp;$F$16&amp;""&amp;" . Digite Cero si no tiene.",IF(F24&gt;C24,"  *La variable Migrantes No puede ser mayor al  "&amp;$C$16&amp;""&amp;" .",""))</f>
        <v/>
      </c>
      <c r="CN24" s="17" t="n"/>
      <c r="CO24" s="52">
        <f>IF(AND(C24&gt;0,D24=""),1,IF(D24&gt;C24,1,0))</f>
        <v/>
      </c>
      <c r="CP24" s="52">
        <f>IF(AND(C24&gt;0,E24=""),1,IF(E24&gt;C24,1,0))</f>
        <v/>
      </c>
      <c r="CQ24" s="52">
        <f>IF(AND(C24&gt;0,F24=""),1,IF(F24&gt;C24,1,0))</f>
        <v/>
      </c>
      <c r="CR24" s="17" t="n"/>
      <c r="CS24" s="17" t="n"/>
      <c r="CT24" s="17" t="n"/>
      <c r="CU24" s="17" t="n"/>
      <c r="CV24" s="17" t="n"/>
      <c r="CW24" s="17" t="n"/>
    </row>
    <row r="25" ht="15" customHeight="1" s="8286">
      <c r="A25" s="4064" t="inlineStr">
        <is>
          <t>Diabetes</t>
        </is>
      </c>
      <c r="B25" s="9644" t="n"/>
      <c r="C25" s="1172" t="n"/>
      <c r="D25" s="1929" t="n"/>
      <c r="E25" s="3895" t="n"/>
      <c r="F25" s="3892" t="n"/>
      <c r="G25">
        <f>CA25&amp;CB25&amp;CC25</f>
        <v/>
      </c>
      <c r="CA25" s="90">
        <f>IF(AND($C25&gt;0,$D25="")," *No olvide digitar la variable "&amp;$D$16&amp;""&amp;". Digite Cero si no tiene.",IF(D25&gt;C25,"  *La variable Víctima de violencia de género No puede ser mayor al "&amp;$C$16&amp;""&amp;" .",""))</f>
        <v/>
      </c>
      <c r="CB25" s="90">
        <f>IF(AND(C25&gt;0,E25="")," *No olvide digitar la "&amp;$E$16&amp;""&amp;" . Digite Cero si no tiene.",IF(E25&gt;C25,"  *La variable Pueblos originarios No puede ser mayor al  "&amp;$C$16&amp;""&amp;" .",""))</f>
        <v/>
      </c>
      <c r="CC25" s="90">
        <f>IF(AND(C25&gt;0,F25="")," *No olvide digitar la "&amp;$F$16&amp;""&amp;" . Digite Cero si no tiene.",IF(F25&gt;C25,"  *La variable Migrantes No puede ser mayor al  "&amp;$C$16&amp;""&amp;" .",""))</f>
        <v/>
      </c>
      <c r="CN25" s="17" t="n"/>
      <c r="CO25" s="52">
        <f>IF(AND(C25&gt;0,D25=""),1,IF(D25&gt;C25,1,0))</f>
        <v/>
      </c>
      <c r="CP25" s="52">
        <f>IF(AND(C25&gt;0,E25=""),1,IF(E25&gt;C25,1,0))</f>
        <v/>
      </c>
      <c r="CQ25" s="52">
        <f>IF(AND(C25&gt;0,F25=""),1,IF(F25&gt;C25,1,0))</f>
        <v/>
      </c>
      <c r="CR25" s="17" t="n"/>
      <c r="CS25" s="17" t="n"/>
      <c r="CT25" s="17" t="n"/>
      <c r="CU25" s="17" t="n"/>
      <c r="CV25" s="17" t="n"/>
      <c r="CW25" s="17" t="n"/>
    </row>
    <row r="26" ht="15" customHeight="1" s="8286">
      <c r="A26" s="4064" t="inlineStr">
        <is>
          <t>Cesárea Anterior</t>
        </is>
      </c>
      <c r="B26" s="9644" t="n"/>
      <c r="C26" s="1172" t="n"/>
      <c r="D26" s="1929" t="n"/>
      <c r="E26" s="3895" t="n"/>
      <c r="F26" s="3892" t="n"/>
      <c r="G26">
        <f>CA26&amp;CB26&amp;CC26</f>
        <v/>
      </c>
      <c r="CA26" s="90">
        <f>IF(AND($C26&gt;0,$D26="")," *No olvide digitar la variable "&amp;$D$16&amp;""&amp;". Digite Cero si no tiene.",IF(D26&gt;C26,"  *La variable Víctima de violencia de género No puede ser mayor al "&amp;$C$16&amp;""&amp;" .",""))</f>
        <v/>
      </c>
      <c r="CB26" s="90">
        <f>IF(AND(C26&gt;0,E26="")," *No olvide digitar la "&amp;$E$16&amp;""&amp;" . Digite Cero si no tiene.",IF(E26&gt;C26,"  *La variable Pueblos originarios No puede ser mayor al  "&amp;$C$16&amp;""&amp;" .",""))</f>
        <v/>
      </c>
      <c r="CC26" s="90">
        <f>IF(AND(C26&gt;0,F26="")," *No olvide digitar la "&amp;$F$16&amp;""&amp;" . Digite Cero si no tiene.",IF(F26&gt;C26,"  *La variable Migrantes No puede ser mayor al  "&amp;$C$16&amp;""&amp;" .",""))</f>
        <v/>
      </c>
      <c r="CN26" s="17" t="n"/>
      <c r="CO26" s="52">
        <f>IF(AND(C26&gt;0,D26=""),1,IF(D26&gt;C26,1,0))</f>
        <v/>
      </c>
      <c r="CP26" s="52">
        <f>IF(AND(C26&gt;0,E26=""),1,IF(E26&gt;C26,1,0))</f>
        <v/>
      </c>
      <c r="CQ26" s="52">
        <f>IF(AND(C26&gt;0,F26=""),1,IF(F26&gt;C26,1,0))</f>
        <v/>
      </c>
      <c r="CR26" s="17" t="n"/>
      <c r="CS26" s="17" t="n"/>
      <c r="CT26" s="17" t="n"/>
      <c r="CU26" s="17" t="n"/>
      <c r="CV26" s="17" t="n"/>
      <c r="CW26" s="17" t="n"/>
    </row>
    <row r="27" ht="15" customHeight="1" s="8286">
      <c r="A27" s="4064" t="inlineStr">
        <is>
          <t>Malformación Congénita</t>
        </is>
      </c>
      <c r="B27" s="9644" t="n"/>
      <c r="C27" s="1172" t="n"/>
      <c r="D27" s="1929" t="n"/>
      <c r="E27" s="3895" t="n"/>
      <c r="F27" s="3892" t="n"/>
      <c r="G27">
        <f>CA27&amp;CB27&amp;CC27</f>
        <v/>
      </c>
      <c r="CA27" s="90">
        <f>IF(AND($C27&gt;0,$D27="")," *No olvide digitar la variable "&amp;$D$16&amp;""&amp;". Digite Cero si no tiene.",IF(D27&gt;C27,"  *La variable Víctima de violencia de género No puede ser mayor al "&amp;$C$16&amp;""&amp;" .",""))</f>
        <v/>
      </c>
      <c r="CB27" s="90">
        <f>IF(AND(C27&gt;0,E27="")," *No olvide digitar la "&amp;$E$16&amp;""&amp;" . Digite Cero si no tiene.",IF(E27&gt;C27,"  *La variable Pueblos originarios No puede ser mayor al  "&amp;$C$16&amp;""&amp;" .",""))</f>
        <v/>
      </c>
      <c r="CC27" s="90">
        <f>IF(AND(C27&gt;0,F27="")," *No olvide digitar la "&amp;$F$16&amp;""&amp;" . Digite Cero si no tiene.",IF(F27&gt;C27,"  *La variable Migrantes No puede ser mayor al  "&amp;$C$16&amp;""&amp;" .",""))</f>
        <v/>
      </c>
      <c r="CN27" s="17" t="n"/>
      <c r="CO27" s="52">
        <f>IF(AND(C27&gt;0,D27=""),1,IF(D27&gt;C27,1,0))</f>
        <v/>
      </c>
      <c r="CP27" s="52">
        <f>IF(AND(C27&gt;0,E27=""),1,IF(E27&gt;C27,1,0))</f>
        <v/>
      </c>
      <c r="CQ27" s="52">
        <f>IF(AND(C27&gt;0,F27=""),1,IF(F27&gt;C27,1,0))</f>
        <v/>
      </c>
      <c r="CR27" s="17" t="n"/>
      <c r="CS27" s="17" t="n"/>
      <c r="CT27" s="17" t="n"/>
      <c r="CU27" s="17" t="n"/>
      <c r="CV27" s="17" t="n"/>
      <c r="CW27" s="17" t="n"/>
    </row>
    <row r="28" ht="15" customHeight="1" s="8286">
      <c r="A28" s="4064" t="inlineStr">
        <is>
          <t>Hipotiroidismo</t>
        </is>
      </c>
      <c r="B28" s="9644" t="n"/>
      <c r="C28" s="1179" t="n"/>
      <c r="D28" s="1185" t="n"/>
      <c r="E28" s="35" t="n"/>
      <c r="F28" s="1229" t="n"/>
      <c r="G28">
        <f>CA28&amp;CB28&amp;CC28</f>
        <v/>
      </c>
      <c r="CA28" s="90">
        <f>IF(AND($C28&gt;0,$D28="")," *No olvide digitar la variable "&amp;$D$16&amp;""&amp;". Digite Cero si no tiene.",IF(D28&gt;C28,"  *La variable Víctima de violencia de género No puede ser mayor al "&amp;$C$16&amp;""&amp;" .",""))</f>
        <v/>
      </c>
      <c r="CB28" s="90">
        <f>IF(AND(C28&gt;0,E28="")," *No olvide digitar la "&amp;$E$16&amp;""&amp;" . Digite Cero si no tiene.",IF(E28&gt;C28,"  *La variable Pueblos originarios No puede ser mayor al  "&amp;$C$16&amp;""&amp;" .",""))</f>
        <v/>
      </c>
      <c r="CC28" s="90">
        <f>IF(AND(C28&gt;0,F28="")," *No olvide digitar la "&amp;$F$16&amp;""&amp;" . Digite Cero si no tiene.",IF(F28&gt;C28,"  *La variable Migrantes No puede ser mayor al  "&amp;$C$16&amp;""&amp;" .",""))</f>
        <v/>
      </c>
      <c r="CN28" s="17" t="n"/>
      <c r="CO28" s="52">
        <f>IF(AND(C28&gt;0,D28=""),1,IF(D28&gt;C28,1,0))</f>
        <v/>
      </c>
      <c r="CP28" s="52">
        <f>IF(AND(C28&gt;0,E28=""),1,IF(E28&gt;C28,1,0))</f>
        <v/>
      </c>
      <c r="CQ28" s="52">
        <f>IF(AND(C28&gt;0,F28=""),1,IF(F28&gt;C28,1,0))</f>
        <v/>
      </c>
      <c r="CR28" s="17" t="n"/>
      <c r="CS28" s="17" t="n"/>
      <c r="CT28" s="17" t="n"/>
      <c r="CU28" s="17" t="n"/>
      <c r="CV28" s="17" t="n"/>
      <c r="CW28" s="17" t="n"/>
    </row>
    <row r="29" ht="15" customHeight="1" s="8286">
      <c r="A29" s="4064" t="inlineStr">
        <is>
          <t>Diabetes Gestacional</t>
        </is>
      </c>
      <c r="B29" s="9644" t="n"/>
      <c r="C29" s="1179" t="n"/>
      <c r="D29" s="1185" t="n"/>
      <c r="E29" s="35" t="n"/>
      <c r="F29" s="1229" t="n"/>
      <c r="G29">
        <f>CA29&amp;CB29&amp;CC29</f>
        <v/>
      </c>
      <c r="CA29" s="90">
        <f>IF(AND($C29&gt;0,$D29="")," *No olvide digitar la variable "&amp;$D$16&amp;""&amp;". Digite Cero si no tiene.",IF(D29&gt;C29,"  *La variable Víctima de violencia de género No puede ser mayor al "&amp;$C$16&amp;""&amp;" .",""))</f>
        <v/>
      </c>
      <c r="CB29" s="90">
        <f>IF(AND(C29&gt;0,E29="")," *No olvide digitar la "&amp;$E$16&amp;""&amp;" . Digite Cero si no tiene.",IF(E29&gt;C29,"  *La variable Pueblos originarios No puede ser mayor al  "&amp;$C$16&amp;""&amp;" .",""))</f>
        <v/>
      </c>
      <c r="CC29" s="90">
        <f>IF(AND(C29&gt;0,F29="")," *No olvide digitar la "&amp;$F$16&amp;""&amp;" . Digite Cero si no tiene.",IF(F29&gt;C29,"  *La variable Migrantes No puede ser mayor al  "&amp;$C$16&amp;""&amp;" .",""))</f>
        <v/>
      </c>
      <c r="CN29" s="17" t="n"/>
      <c r="CO29" s="52">
        <f>IF(AND(C29&gt;0,D29=""),1,IF(D29&gt;C29,1,0))</f>
        <v/>
      </c>
      <c r="CP29" s="52">
        <f>IF(AND(C29&gt;0,E29=""),1,IF(E29&gt;C29,1,0))</f>
        <v/>
      </c>
      <c r="CQ29" s="52">
        <f>IF(AND(C29&gt;0,F29=""),1,IF(F29&gt;C29,1,0))</f>
        <v/>
      </c>
      <c r="CR29" s="17" t="n"/>
      <c r="CS29" s="17" t="n"/>
      <c r="CT29" s="17" t="n"/>
      <c r="CU29" s="17" t="n"/>
      <c r="CV29" s="17" t="n"/>
      <c r="CW29" s="17" t="n"/>
    </row>
    <row r="30" ht="15" customHeight="1" s="8286">
      <c r="A30" s="4064" t="inlineStr">
        <is>
          <t>Hipertensión Crónica</t>
        </is>
      </c>
      <c r="B30" s="9644" t="n"/>
      <c r="C30" s="1179" t="n"/>
      <c r="D30" s="1185" t="n"/>
      <c r="E30" s="35" t="n"/>
      <c r="F30" s="1229" t="n"/>
      <c r="G30">
        <f>CA30&amp;CB30&amp;CC30</f>
        <v/>
      </c>
      <c r="CA30" s="90">
        <f>IF(AND($C30&gt;0,$D30="")," *No olvide digitar la variable "&amp;$D$16&amp;""&amp;". Digite Cero si no tiene.",IF(D30&gt;C30,"  *La variable Víctima de violencia de género No puede ser mayor al "&amp;$C$16&amp;""&amp;" .",""))</f>
        <v/>
      </c>
      <c r="CB30" s="90">
        <f>IF(AND(C30&gt;0,E30="")," *No olvide digitar la "&amp;$E$16&amp;""&amp;" . Digite Cero si no tiene.",IF(E30&gt;C30,"  *La variable Pueblos originarios No puede ser mayor al  "&amp;$C$16&amp;""&amp;" .",""))</f>
        <v/>
      </c>
      <c r="CC30" s="90">
        <f>IF(AND(C30&gt;0,F30="")," *No olvide digitar la "&amp;$F$16&amp;""&amp;" . Digite Cero si no tiene.",IF(F30&gt;C30,"  *La variable Migrantes No puede ser mayor al  "&amp;$C$16&amp;""&amp;" .",""))</f>
        <v/>
      </c>
      <c r="CN30" s="17" t="n"/>
      <c r="CO30" s="52">
        <f>IF(AND(C30&gt;0,D30=""),1,IF(D30&gt;C30,1,0))</f>
        <v/>
      </c>
      <c r="CP30" s="52">
        <f>IF(AND(C30&gt;0,E30=""),1,IF(E30&gt;C30,1,0))</f>
        <v/>
      </c>
      <c r="CQ30" s="52">
        <f>IF(AND(C30&gt;0,F30=""),1,IF(F30&gt;C30,1,0))</f>
        <v/>
      </c>
      <c r="CR30" s="17" t="n"/>
      <c r="CS30" s="17" t="n"/>
      <c r="CT30" s="17" t="n"/>
      <c r="CU30" s="17" t="n"/>
      <c r="CV30" s="17" t="n"/>
      <c r="CW30" s="17" t="n"/>
    </row>
    <row r="31" ht="15" customHeight="1" s="8286">
      <c r="A31" s="9929" t="inlineStr">
        <is>
          <t>Otras Patologías del Embarazo</t>
        </is>
      </c>
      <c r="B31" s="9720" t="n"/>
      <c r="C31" s="1188" t="n"/>
      <c r="D31" s="1224" t="n"/>
      <c r="E31" s="1227" t="n"/>
      <c r="F31" s="1223" t="n"/>
      <c r="G31">
        <f>CA31&amp;CB31&amp;CC31</f>
        <v/>
      </c>
      <c r="CA31" s="90">
        <f>IF(AND($C31&gt;0,$D31="")," *No olvide digitar la variable "&amp;$D$16&amp;""&amp;". Digite Cero si no tiene.",IF(D31&gt;C31,"  *La variable Víctima de violencia de género No puede ser mayor al "&amp;$C$16&amp;""&amp;" .",""))</f>
        <v/>
      </c>
      <c r="CB31" s="90">
        <f>IF(AND(C31&gt;0,E31="")," *No olvide digitar la "&amp;$E$16&amp;""&amp;" . Digite Cero si no tiene.",IF(E31&gt;C31,"  *La variable Pueblos originarios No puede ser mayor al  "&amp;$C$16&amp;""&amp;" .",""))</f>
        <v/>
      </c>
      <c r="CC31" s="90">
        <f>IF(AND(C31&gt;0,F31="")," *No olvide digitar la "&amp;$F$16&amp;""&amp;" . Digite Cero si no tiene.",IF(F31&gt;C31,"  *La variable Migrantes No puede ser mayor al  "&amp;$C$16&amp;""&amp;" .",""))</f>
        <v/>
      </c>
      <c r="CN31" s="17" t="n"/>
      <c r="CO31" s="52">
        <f>IF(AND(C31&gt;0,D31=""),1,IF(D31&gt;C31,1,0))</f>
        <v/>
      </c>
      <c r="CP31" s="52">
        <f>IF(AND(C31&gt;0,E31=""),1,IF(E31&gt;C31,1,0))</f>
        <v/>
      </c>
      <c r="CQ31" s="52">
        <f>IF(AND(C31&gt;0,F31=""),1,IF(F31&gt;C31,1,0))</f>
        <v/>
      </c>
      <c r="CR31" s="17" t="n"/>
      <c r="CS31" s="17" t="n"/>
      <c r="CT31" s="17" t="n"/>
      <c r="CU31" s="17" t="n"/>
      <c r="CV31" s="17" t="n"/>
      <c r="CW31" s="17" t="n"/>
    </row>
    <row r="32" ht="18" customFormat="1" customHeight="1" s="5">
      <c r="A32" s="2" t="inlineStr">
        <is>
          <t xml:space="preserve">SECCIÓN C: INGRESOS A PROGRAMA DE REGULACIÓN DE FERTILIDAD </t>
        </is>
      </c>
      <c r="B32" s="643" t="n"/>
      <c r="C32" s="644" t="n"/>
      <c r="D32" s="3" t="n"/>
      <c r="E32" s="3" t="n"/>
      <c r="F32" s="2" t="n"/>
      <c r="G32" s="3" t="n"/>
      <c r="H32" s="3" t="n"/>
      <c r="I32" s="3" t="n"/>
      <c r="J32" s="3" t="n"/>
      <c r="K32" s="3" t="n"/>
      <c r="L32" s="3" t="n"/>
      <c r="M32" s="3" t="n"/>
      <c r="N32" s="3" t="n"/>
      <c r="O32" s="3" t="n"/>
      <c r="P32" s="3" t="n"/>
      <c r="Q32" s="3" t="n"/>
      <c r="R32" s="3" t="n"/>
      <c r="S32" s="3" t="n"/>
      <c r="T32" s="3" t="n"/>
      <c r="U32" s="3" t="n"/>
    </row>
    <row r="33" ht="22.15" customHeight="1" s="8286">
      <c r="A33" s="9914" t="inlineStr">
        <is>
          <t>MÉTODOS</t>
        </is>
      </c>
      <c r="B33" s="9630" t="n"/>
      <c r="C33" s="8400" t="inlineStr">
        <is>
          <t xml:space="preserve">TOTAL      </t>
        </is>
      </c>
      <c r="D33" s="9915" t="inlineStr">
        <is>
          <t>RANGO ETARIO</t>
        </is>
      </c>
      <c r="E33" s="9584" t="n"/>
      <c r="F33" s="9584" t="n"/>
      <c r="G33" s="9584" t="n"/>
      <c r="H33" s="9584" t="n"/>
      <c r="I33" s="9584" t="n"/>
      <c r="J33" s="9584" t="n"/>
      <c r="K33" s="9584" t="n"/>
      <c r="L33" s="9584" t="n"/>
      <c r="M33" s="9584" t="n"/>
      <c r="N33" s="9584" t="n"/>
      <c r="O33" s="9584" t="n"/>
      <c r="P33" s="9595" t="n"/>
      <c r="Q33" s="9916" t="inlineStr">
        <is>
          <t>Espacios Amigables/ Adolescentes</t>
        </is>
      </c>
      <c r="R33" s="8400" t="inlineStr">
        <is>
          <t>Ingreso por cambio de Método Anticonceptivo</t>
        </is>
      </c>
      <c r="S33" s="9920" t="inlineStr">
        <is>
          <t>Pueblos Originarios</t>
        </is>
      </c>
      <c r="T33" s="8400" t="inlineStr">
        <is>
          <t>Migrantes</t>
        </is>
      </c>
      <c r="U33" s="9582" t="n"/>
      <c r="V33" s="9930" t="inlineStr">
        <is>
          <t>Inicio precoz de MAC nivel secundario y terciario</t>
        </is>
      </c>
      <c r="W33" s="9331" t="inlineStr">
        <is>
          <t>Ingreso a Anticoncepción post aborto</t>
        </is>
      </c>
      <c r="X33" s="8400" t="inlineStr">
        <is>
          <t>Identidad de Género</t>
        </is>
      </c>
      <c r="Y33" s="9584" t="n"/>
      <c r="Z33" s="9582" t="n"/>
      <c r="AA33" s="9931" t="inlineStr">
        <is>
          <t>Personas con Discpacidad</t>
        </is>
      </c>
    </row>
    <row r="34" ht="27.75" customHeight="1" s="8286">
      <c r="A34" s="642" t="n"/>
      <c r="B34" s="9718" t="n"/>
      <c r="C34" s="9610" t="n"/>
      <c r="D34" s="7932" t="inlineStr">
        <is>
          <t>Menos
de 15 años</t>
        </is>
      </c>
      <c r="E34" s="2012" t="inlineStr">
        <is>
          <t>15 - 19 años</t>
        </is>
      </c>
      <c r="F34" s="2012" t="inlineStr">
        <is>
          <t>20 - 24 años</t>
        </is>
      </c>
      <c r="G34" s="2012" t="inlineStr">
        <is>
          <t>25 - 29 años</t>
        </is>
      </c>
      <c r="H34" s="2012" t="inlineStr">
        <is>
          <t>30 - 34 años</t>
        </is>
      </c>
      <c r="I34" s="2012" t="inlineStr">
        <is>
          <t>35 - 39 años</t>
        </is>
      </c>
      <c r="J34" s="2012" t="inlineStr">
        <is>
          <t>40 - 44 años</t>
        </is>
      </c>
      <c r="K34" s="2012" t="inlineStr">
        <is>
          <t>45 - 49 años</t>
        </is>
      </c>
      <c r="L34" s="2012" t="inlineStr">
        <is>
          <t>50 - 54 años</t>
        </is>
      </c>
      <c r="M34" s="2012" t="inlineStr">
        <is>
          <t>55 - 59 años</t>
        </is>
      </c>
      <c r="N34" s="2042" t="inlineStr">
        <is>
          <t>60 - 64 años</t>
        </is>
      </c>
      <c r="O34" s="2012" t="inlineStr">
        <is>
          <t>65 - 69 años</t>
        </is>
      </c>
      <c r="P34" s="1981" t="inlineStr">
        <is>
          <t>70 y más años</t>
        </is>
      </c>
      <c r="Q34" s="9890" t="n"/>
      <c r="R34" s="9610" t="n"/>
      <c r="S34" s="9641" t="n"/>
      <c r="T34" s="7932" t="inlineStr">
        <is>
          <t>Menor de 20 años</t>
        </is>
      </c>
      <c r="U34" s="7666" t="inlineStr">
        <is>
          <t>20 y más años</t>
        </is>
      </c>
      <c r="V34" s="9800" t="n"/>
      <c r="X34" s="8033" t="inlineStr">
        <is>
          <t>Trans masculino</t>
        </is>
      </c>
      <c r="Y34" s="2044" t="inlineStr">
        <is>
          <t>Trans femenino</t>
        </is>
      </c>
      <c r="Z34" s="255" t="inlineStr">
        <is>
          <t>No binarie</t>
        </is>
      </c>
      <c r="AA34" s="9705" t="n"/>
    </row>
    <row r="35" ht="15" customHeight="1" s="8286">
      <c r="A35" s="4569" t="inlineStr">
        <is>
          <t>TOTAL REGULACIÓN DE FERTILIDAD</t>
        </is>
      </c>
      <c r="B35" s="9647" t="n"/>
      <c r="C35" s="7725">
        <f>SUM(D35:P35)</f>
        <v/>
      </c>
      <c r="D35" s="1988">
        <f>SUM(D36:D49)</f>
        <v/>
      </c>
      <c r="E35" s="2046">
        <f>SUM(E36:E49)</f>
        <v/>
      </c>
      <c r="F35" s="2046">
        <f>SUM(F36:F49)</f>
        <v/>
      </c>
      <c r="G35" s="2046">
        <f>SUM(G36:G49)</f>
        <v/>
      </c>
      <c r="H35" s="2046">
        <f>SUM(H36:H49)</f>
        <v/>
      </c>
      <c r="I35" s="2046">
        <f>SUM(I36:I49)</f>
        <v/>
      </c>
      <c r="J35" s="2046">
        <f>SUM(J36:J49)</f>
        <v/>
      </c>
      <c r="K35" s="2046">
        <f>SUM(K36:K49)</f>
        <v/>
      </c>
      <c r="L35" s="2046">
        <f>SUM(L36:L49)</f>
        <v/>
      </c>
      <c r="M35" s="2046">
        <f>SUM(M36:M49)</f>
        <v/>
      </c>
      <c r="N35" s="2046">
        <f>SUM(N36:N48)</f>
        <v/>
      </c>
      <c r="O35" s="2046">
        <f>SUM(O36:O48)</f>
        <v/>
      </c>
      <c r="P35" s="2046">
        <f>SUM(P36:P48)</f>
        <v/>
      </c>
      <c r="Q35" s="5253">
        <f>SUM(Q36:Q49)</f>
        <v/>
      </c>
      <c r="R35" s="5262">
        <f>SUM(R36:R49)</f>
        <v/>
      </c>
      <c r="S35" s="7769">
        <f>SUM(S36:S49)</f>
        <v/>
      </c>
      <c r="T35" s="1988">
        <f>SUM(T36:T49)</f>
        <v/>
      </c>
      <c r="U35" s="7769">
        <f>SUM(U36:U49)</f>
        <v/>
      </c>
      <c r="V35" s="1988">
        <f>SUM(V36:V49)</f>
        <v/>
      </c>
      <c r="W35" s="7769">
        <f>SUM(W36:W49)</f>
        <v/>
      </c>
      <c r="X35" s="1988">
        <f>SUM(X36:X49)</f>
        <v/>
      </c>
      <c r="Y35" s="2046">
        <f>SUM(Y36:Y49)</f>
        <v/>
      </c>
      <c r="Z35" s="7769">
        <f>SUM(Z36:Z49)</f>
        <v/>
      </c>
      <c r="AA35" s="7769">
        <f>SUM(AA36:AA49)</f>
        <v/>
      </c>
    </row>
    <row r="36" ht="15" customHeight="1" s="8286">
      <c r="A36" s="4245" t="inlineStr">
        <is>
          <t>D.I.U. T con Cobre</t>
        </is>
      </c>
      <c r="B36" s="9643" t="n"/>
      <c r="C36" s="7748">
        <f>SUM(D36:M36)</f>
        <v/>
      </c>
      <c r="D36" s="2022" t="n">
        <v>0</v>
      </c>
      <c r="E36" s="835" t="n">
        <v>0</v>
      </c>
      <c r="F36" s="835" t="n">
        <v>0</v>
      </c>
      <c r="G36" s="835" t="n">
        <v>0</v>
      </c>
      <c r="H36" s="835" t="n">
        <v>1</v>
      </c>
      <c r="I36" s="835" t="n">
        <v>0</v>
      </c>
      <c r="J36" s="835" t="n">
        <v>0</v>
      </c>
      <c r="K36" s="835" t="n">
        <v>0</v>
      </c>
      <c r="L36" s="835" t="n">
        <v>0</v>
      </c>
      <c r="M36" s="835" t="n">
        <v>0</v>
      </c>
      <c r="N36" s="847" t="n"/>
      <c r="O36" s="847" t="n"/>
      <c r="P36" s="2049" t="n"/>
      <c r="Q36" s="5213" t="n">
        <v>0</v>
      </c>
      <c r="R36" s="5189" t="n">
        <v>0</v>
      </c>
      <c r="S36" s="2029" t="n">
        <v>0</v>
      </c>
      <c r="T36" s="2022" t="n">
        <v>0</v>
      </c>
      <c r="U36" s="2029" t="n">
        <v>0</v>
      </c>
      <c r="V36" s="2022" t="n">
        <v>0</v>
      </c>
      <c r="W36" s="2029" t="n">
        <v>0</v>
      </c>
      <c r="X36" s="2022" t="n">
        <v>0</v>
      </c>
      <c r="Y36" s="835" t="n">
        <v>0</v>
      </c>
      <c r="Z36" s="2029" t="n">
        <v>0</v>
      </c>
      <c r="AA36" s="2029" t="n">
        <v>0</v>
      </c>
      <c r="AB36">
        <f>CA36&amp;CB36&amp;CC36&amp;CD36&amp;CE36&amp;CF36&amp;CG36&amp;CH36&amp;CI36&amp;CJ36&amp;CK36</f>
        <v/>
      </c>
      <c r="CA36" s="90">
        <f>IF(AND($C36&gt;0,Q36="")," * No olvide digitar la variable "&amp;$Q$33&amp;""&amp;". Digite Cero si no tiene.",IF(Q36&gt;$C36," * La variable "&amp;$Q$33&amp;""&amp;" no  puede ser mayor al Total.",""))</f>
        <v/>
      </c>
      <c r="CB36" s="90">
        <f>IF(AND($C36&gt;0,R36="")," * No olvide digitar la variable "&amp;$R$33&amp;""&amp;". Digite Cero si no tiene.", "")</f>
        <v/>
      </c>
      <c r="CC36" s="90">
        <f>IF(AND($C36&gt;0,S36="")," * No olvide digitar la variable "&amp;$S$33&amp;""&amp;". Digite Cero si no tiene.",IF(S36&gt;C36," * La variable "&amp;$S$33&amp;""&amp;" no  puede ser mayor al Total.",""))</f>
        <v/>
      </c>
      <c r="CD36" s="90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>
        <f>IF(AND($C36&gt;0,V36="")," * No olvide digitar la variable "&amp;$V$33&amp;""&amp;". Digite Cero si no tiene.","")</f>
        <v/>
      </c>
      <c r="CG36" s="90">
        <f>IF(AND($C36&gt;0,W36="")," * No olvide digitar la variable "&amp;$W$33&amp;""&amp;". Digite Cero si no tiene.",IF(W36&gt;$C36," * La variable "&amp;$W$33&amp;""&amp;" no  puede ser mayor al Total.",""))</f>
        <v/>
      </c>
      <c r="CH36" s="90">
        <f>IF(AND($C36&gt;0,X36="")," * No olvide digitar la variable "&amp;$X$34&amp;""&amp;". Digite Cero si no tiene.",IF(X36&gt;$C36," * La variable "&amp;$X$34&amp;""&amp;" no  puede ser mayor al Total.",""))</f>
        <v/>
      </c>
      <c r="CI36" s="90">
        <f>IF(AND($C36&gt;0,Y36="")," * No olvide digitar la variable "&amp;$Y$34&amp;""&amp;". Digite Cero si no tiene.",IF(Y36&gt;$C36," * La variable "&amp;$Y$34&amp;""&amp;" no  puede ser mayor al Total.",""))</f>
        <v/>
      </c>
      <c r="CJ36" s="90">
        <f>IF(AND($C36&gt;0,Z36="")," * No olvide digitar la variable "&amp;$Z$34&amp;""&amp;". Digite Cero si no tiene.",IF(Z36&gt;$C36," * La variable "&amp;$Z$34&amp;""&amp;" no  puede ser mayor al Total.",""))</f>
        <v/>
      </c>
      <c r="CK36" s="90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>IF(AND($C36&gt;0,Q36=""),1,IF(Q36&gt;$C36,1,0))</f>
        <v/>
      </c>
      <c r="CP36" s="221" t="n"/>
      <c r="CQ36" s="221">
        <f>IF(AND($C36&gt;0,S36=""),1,IF(S36&gt;$C36,1,0))</f>
        <v/>
      </c>
      <c r="CR36" s="221">
        <f>IF(AND($D36+$E36&gt;0,$T36=""),1,IF(T36&gt;$D36+$E36,1,0))</f>
        <v/>
      </c>
      <c r="CS36" s="221">
        <f>IF(AND($F36+$G36+$H36+$I36+$J36+$K36+$L36+$M36&gt;0,$U36=""),1,IF($U36&gt;$F36+$G36+$H36+$I36+$J36+$K36+$L36+$M36,1,0))</f>
        <v/>
      </c>
      <c r="CT36" s="221">
        <f>IF(AND($C36&gt;0,V36=""),1,0)</f>
        <v/>
      </c>
      <c r="CU36" s="221">
        <f>IF(AND($C36&gt;0,W36=""),1,IF(W36&gt;$C36,1,0))</f>
        <v/>
      </c>
      <c r="CV36" s="221">
        <f>IF(AND($C36&gt;0,X36=""),1,IF(X36&gt;$C36,1,0))</f>
        <v/>
      </c>
      <c r="CW36" s="221">
        <f>IF(AND($C36&gt;0,Y36=""),1,IF(Y36&gt;$C36,1,0))</f>
        <v/>
      </c>
      <c r="CX36" s="221">
        <f>IF(AND($C36&gt;0,Z36=""),1,IF(Z36&gt;$C36,1,0))</f>
        <v/>
      </c>
      <c r="CY36" s="221">
        <f>IF(AND($C36&gt;0,AA36=""),1,IF(AA36&gt;$C36,1,0))</f>
        <v/>
      </c>
    </row>
    <row r="37" ht="15" customHeight="1" s="8286">
      <c r="A37" s="9932" t="inlineStr">
        <is>
          <t>D.I.U. con Levonorgestrel</t>
        </is>
      </c>
      <c r="B37" s="9720" t="n"/>
      <c r="C37" s="1117">
        <f>SUM(D37:M37)</f>
        <v/>
      </c>
      <c r="D37" s="1188" t="n">
        <v>0</v>
      </c>
      <c r="E37" s="1118" t="n">
        <v>1</v>
      </c>
      <c r="F37" s="1118" t="n">
        <v>0</v>
      </c>
      <c r="G37" s="1118" t="n">
        <v>0</v>
      </c>
      <c r="H37" s="1118" t="n">
        <v>0</v>
      </c>
      <c r="I37" s="1118" t="n">
        <v>0</v>
      </c>
      <c r="J37" s="1118" t="n">
        <v>1</v>
      </c>
      <c r="K37" s="1118" t="n">
        <v>0</v>
      </c>
      <c r="L37" s="1118" t="n">
        <v>0</v>
      </c>
      <c r="M37" s="1118" t="n">
        <v>0</v>
      </c>
      <c r="N37" s="1237" t="n"/>
      <c r="O37" s="1237" t="n"/>
      <c r="P37" s="2050" t="n"/>
      <c r="Q37" s="5249" t="n">
        <v>0</v>
      </c>
      <c r="R37" s="1223" t="n">
        <v>0</v>
      </c>
      <c r="S37" s="1192" t="n">
        <v>0</v>
      </c>
      <c r="T37" s="1188" t="n">
        <v>0</v>
      </c>
      <c r="U37" s="1192" t="n">
        <v>0</v>
      </c>
      <c r="V37" s="1188" t="n">
        <v>0</v>
      </c>
      <c r="W37" s="1192" t="n">
        <v>0</v>
      </c>
      <c r="X37" s="1188" t="n">
        <v>0</v>
      </c>
      <c r="Y37" s="1118" t="n">
        <v>0</v>
      </c>
      <c r="Z37" s="1192" t="n">
        <v>0</v>
      </c>
      <c r="AA37" s="1192" t="n">
        <v>0</v>
      </c>
      <c r="AB37">
        <f>CA37&amp;CB37&amp;CC37&amp;CD37&amp;CE37&amp;CF37&amp;CG37&amp;CH37&amp;CI37&amp;CJ37&amp;CK37</f>
        <v/>
      </c>
      <c r="CA37" s="90">
        <f>IF(AND($C37&gt;0,Q37="")," * No olvide digitar la variable "&amp;$Q$33&amp;""&amp;". Digite Cero si no tiene.",IF(Q37&gt;$C37," * La variable "&amp;$Q$33&amp;""&amp;" no  puede ser mayor al Total.",""))</f>
        <v/>
      </c>
      <c r="CB37" s="90">
        <f>IF(AND($C37&gt;0,R37="")," * No olvide digitar la variable "&amp;$R$33&amp;""&amp;". Digite Cero si no tiene.", "")</f>
        <v/>
      </c>
      <c r="CC37" s="90">
        <f>IF(AND($C37&gt;0,S37="")," * No olvide digitar la variable "&amp;$S$33&amp;""&amp;". Digite Cero si no tiene.",IF(S37&gt;C37," * La variable "&amp;$S$33&amp;""&amp;" no  puede ser mayor al Total.",""))</f>
        <v/>
      </c>
      <c r="CD37" s="90">
        <f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>
        <f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>
        <f>IF(AND($C37&gt;0,V37="")," * No olvide digitar la variable "&amp;$V$33&amp;""&amp;". Digite Cero si no tiene.","")</f>
        <v/>
      </c>
      <c r="CG37" s="90">
        <f>IF(AND($C37&gt;0,W37="")," * No olvide digitar la variable "&amp;$W$33&amp;""&amp;". Digite Cero si no tiene.",IF(W37&gt;$C37," * La variable "&amp;$W$33&amp;""&amp;" no  puede ser mayor al Total.",""))</f>
        <v/>
      </c>
      <c r="CH37" s="90">
        <f>IF(AND($C37&gt;0,X37="")," * No olvide digitar la variable "&amp;$X$34&amp;""&amp;". Digite Cero si no tiene.",IF(X37&gt;$C37," * La variable "&amp;$X$34&amp;""&amp;" no  puede ser mayor al Total.",""))</f>
        <v/>
      </c>
      <c r="CI37" s="90">
        <f>IF(AND($C37&gt;0,Y37="")," * No olvide digitar la variable "&amp;$Y$34&amp;""&amp;". Digite Cero si no tiene.",IF(Y37&gt;$C37," * La variable "&amp;$Y$34&amp;""&amp;" no  puede ser mayor al Total.",""))</f>
        <v/>
      </c>
      <c r="CJ37" s="90">
        <f>IF(AND($C37&gt;0,Z37="")," * No olvide digitar la variable "&amp;$Z$34&amp;""&amp;". Digite Cero si no tiene.",IF(Z37&gt;$C37," * La variable "&amp;$Z$34&amp;""&amp;" no  puede ser mayor al Total.",""))</f>
        <v/>
      </c>
      <c r="CK37" s="90">
        <f>IF(AND($C37&gt;0,AA37="")," * No olvide digitar la variable "&amp;$AA$33&amp;""&amp;". Digite Cero si no tiene.",IF(AA37&gt;$C37," * La variable "&amp;$AA$33&amp;""&amp;" no  puede ser mayor al Total.",""))</f>
        <v/>
      </c>
      <c r="CO37" s="221">
        <f>IF(AND($C37&gt;0,Q37=""),1,IF(Q37&gt;$C37,1,0))</f>
        <v/>
      </c>
      <c r="CP37" s="221" t="n"/>
      <c r="CQ37" s="221">
        <f>IF(AND($C37&gt;0,S37=""),1,IF(S37&gt;$C37,1,0))</f>
        <v/>
      </c>
      <c r="CR37" s="221">
        <f>IF(AND($D37+$E37&gt;0,$T37=""),1,IF(T37&gt;$D37+$E37,1,0))</f>
        <v/>
      </c>
      <c r="CS37" s="221">
        <f>IF(AND($F37+$G37+$H37+$I37+$J37+$K37+$L37+$M37&gt;0,$U37=""),1,IF($U37&gt;$F37+$G37+$H37+$I37+$J37+$K37+$L37+$M37,1,0))</f>
        <v/>
      </c>
      <c r="CT37" s="221">
        <f>IF(AND($C37&gt;0,V37=""),1,0)</f>
        <v/>
      </c>
      <c r="CU37" s="221">
        <f>IF(AND($C37&gt;0,W37=""),1,IF(W37&gt;$C37,1,0))</f>
        <v/>
      </c>
      <c r="CV37" s="221">
        <f>IF(AND($C37&gt;0,X37=""),1,IF(X37&gt;$C37,1,0))</f>
        <v/>
      </c>
      <c r="CW37" s="221">
        <f>IF(AND($C37&gt;0,Y37=""),1,IF(Y37&gt;$C37,1,0))</f>
        <v/>
      </c>
      <c r="CX37" s="221">
        <f>IF(AND($C37&gt;0,Z37=""),1,IF(Z37&gt;$C37,1,0))</f>
        <v/>
      </c>
      <c r="CY37" s="221">
        <f>IF(AND($C37&gt;0,AA37=""),1,IF(AA37&gt;$C37,1,0))</f>
        <v/>
      </c>
    </row>
    <row r="38" ht="15" customHeight="1" s="8286">
      <c r="A38" s="4456" t="inlineStr">
        <is>
          <t>Hormonal</t>
        </is>
      </c>
      <c r="B38" s="2052" t="inlineStr">
        <is>
          <t>Oral Combinado</t>
        </is>
      </c>
      <c r="C38" s="7748">
        <f>SUM(D38:M38)</f>
        <v/>
      </c>
      <c r="D38" s="2022" t="n">
        <v>0</v>
      </c>
      <c r="E38" s="835" t="n">
        <v>5</v>
      </c>
      <c r="F38" s="835" t="n">
        <v>7</v>
      </c>
      <c r="G38" s="835" t="n">
        <v>0</v>
      </c>
      <c r="H38" s="835" t="n">
        <v>3</v>
      </c>
      <c r="I38" s="835" t="n">
        <v>2</v>
      </c>
      <c r="J38" s="835" t="n">
        <v>0</v>
      </c>
      <c r="K38" s="835" t="n">
        <v>0</v>
      </c>
      <c r="L38" s="835" t="n">
        <v>0</v>
      </c>
      <c r="M38" s="835" t="n">
        <v>0</v>
      </c>
      <c r="N38" s="847" t="n"/>
      <c r="O38" s="847" t="n"/>
      <c r="P38" s="2049" t="n"/>
      <c r="Q38" s="5213" t="n">
        <v>0</v>
      </c>
      <c r="R38" s="5189" t="n">
        <v>5</v>
      </c>
      <c r="S38" s="2029" t="n">
        <v>2</v>
      </c>
      <c r="T38" s="2022" t="n">
        <v>0</v>
      </c>
      <c r="U38" s="2029" t="n">
        <v>1</v>
      </c>
      <c r="V38" s="2022" t="n">
        <v>0</v>
      </c>
      <c r="W38" s="2029" t="n">
        <v>0</v>
      </c>
      <c r="X38" s="2022" t="n">
        <v>0</v>
      </c>
      <c r="Y38" s="835" t="n">
        <v>0</v>
      </c>
      <c r="Z38" s="2029" t="n">
        <v>0</v>
      </c>
      <c r="AA38" s="2029" t="n">
        <v>0</v>
      </c>
      <c r="AB38">
        <f>CA38&amp;CB38&amp;CC38&amp;CD38&amp;CE38&amp;CF38&amp;CG38&amp;CH38&amp;CI38&amp;CJ38&amp;CK38</f>
        <v/>
      </c>
      <c r="CA38" s="90">
        <f>IF(AND($C38&gt;0,Q38="")," * No olvide digitar la variable "&amp;$Q$33&amp;""&amp;". Digite Cero si no tiene.",IF(Q38&gt;$C38," * La variable "&amp;$Q$33&amp;""&amp;" no  puede ser mayor al Total.",""))</f>
        <v/>
      </c>
      <c r="CB38" s="90">
        <f>IF(AND($C38&gt;0,R38="")," * No olvide digitar la variable "&amp;$R$33&amp;""&amp;". Digite Cero si no tiene.", "")</f>
        <v/>
      </c>
      <c r="CC38" s="90">
        <f>IF(AND($C38&gt;0,S38="")," * No olvide digitar la variable "&amp;$S$33&amp;""&amp;". Digite Cero si no tiene.",IF(S38&gt;C38," * La variable "&amp;$S$33&amp;""&amp;" no  puede ser mayor al Total.",""))</f>
        <v/>
      </c>
      <c r="CD38" s="90">
        <f>IF(AND($D38+E38&gt;0,T38="")," * No olvide digitar la variable Migrantes "&amp;$T$34&amp;""&amp;". Digite Cero si no tiene.",IF(T38&gt;$D38+E38," * La variable Migrantes "&amp;$T$34&amp;""&amp;" no  puede ser mayor al Total.",""))</f>
        <v/>
      </c>
      <c r="CE38" s="90">
        <f>IF(AND($F38+$G38+$H38+$I38+$J38+$K38+$L38+$M38&gt;0,$U38="")," * No olvide digitar la variable Migrantes "&amp;$U$34&amp;""&amp;". Digite Cero si no tiene.",IF($U38&gt;$F38+$G38+$H38+$I38+$J38+$K38+$L38+$M38," * La variable Migrantes "&amp;$U$34&amp;""&amp;" no  puede ser mayor al Total.",""))</f>
        <v/>
      </c>
      <c r="CF38" s="90">
        <f>IF(AND($C38&gt;0,V38="")," * No olvide digitar la variable "&amp;$V$33&amp;""&amp;". Digite Cero si no tiene.","")</f>
        <v/>
      </c>
      <c r="CG38" s="90">
        <f>IF(AND($C38&gt;0,W38="")," * No olvide digitar la variable "&amp;$W$33&amp;""&amp;". Digite Cero si no tiene.",IF(W38&gt;$C38," * La variable "&amp;$W$33&amp;""&amp;" no  puede ser mayor al Total.",""))</f>
        <v/>
      </c>
      <c r="CH38" s="90">
        <f>IF(AND($C38&gt;0,X38="")," * No olvide digitar la variable "&amp;$X$34&amp;""&amp;". Digite Cero si no tiene.",IF(X38&gt;$C38," * La variable "&amp;$X$34&amp;""&amp;" no  puede ser mayor al Total.",""))</f>
        <v/>
      </c>
      <c r="CI38" s="90">
        <f>IF(AND($C38&gt;0,Y38="")," * No olvide digitar la variable "&amp;$Y$34&amp;""&amp;". Digite Cero si no tiene.",IF(Y38&gt;$C38," * La variable "&amp;$Y$34&amp;""&amp;" no  puede ser mayor al Total.",""))</f>
        <v/>
      </c>
      <c r="CJ38" s="90">
        <f>IF(AND($C38&gt;0,Z38="")," * No olvide digitar la variable "&amp;$Z$34&amp;""&amp;". Digite Cero si no tiene.",IF(Z38&gt;$C38," * La variable "&amp;$Z$34&amp;""&amp;" no  puede ser mayor al Total.",""))</f>
        <v/>
      </c>
      <c r="CK38" s="90">
        <f>IF(AND($C38&gt;0,AA38="")," * No olvide digitar la variable "&amp;$AA$33&amp;""&amp;". Digite Cero si no tiene.",IF(AA38&gt;$C38," * La variable "&amp;$AA$33&amp;""&amp;" no  puede ser mayor al Total.",""))</f>
        <v/>
      </c>
      <c r="CO38" s="221">
        <f>IF(AND($C38&gt;0,Q38=""),1,IF(Q38&gt;$C38,1,0))</f>
        <v/>
      </c>
      <c r="CP38" s="221" t="n"/>
      <c r="CQ38" s="221">
        <f>IF(AND($C38&gt;0,S38=""),1,IF(S38&gt;$C38,1,0))</f>
        <v/>
      </c>
      <c r="CR38" s="221">
        <f>IF(AND($D38+$E38&gt;0,$T38=""),1,IF(T38&gt;$D38+$E38,1,0))</f>
        <v/>
      </c>
      <c r="CS38" s="221">
        <f>IF(AND($F38+$G38+$H38+$I38+$J38+$K38+$L38+$M38&gt;0,$U38=""),1,IF($U38&gt;$F38+$G38+$H38+$I38+$J38+$K38+$L38+$M38,1,0))</f>
        <v/>
      </c>
      <c r="CT38" s="221">
        <f>IF(AND($C38&gt;0,V38=""),1,0)</f>
        <v/>
      </c>
      <c r="CU38" s="221">
        <f>IF(AND($C38&gt;0,W38=""),1,IF(W38&gt;$C38,1,0))</f>
        <v/>
      </c>
      <c r="CV38" s="221">
        <f>IF(AND($C38&gt;0,X38=""),1,IF(X38&gt;$C38,1,0))</f>
        <v/>
      </c>
      <c r="CW38" s="221">
        <f>IF(AND($C38&gt;0,Y38=""),1,IF(Y38&gt;$C38,1,0))</f>
        <v/>
      </c>
      <c r="CX38" s="221">
        <f>IF(AND($C38&gt;0,Z38=""),1,IF(Z38&gt;$C38,1,0))</f>
        <v/>
      </c>
      <c r="CY38" s="221">
        <f>IF(AND($C38&gt;0,AA38=""),1,IF(AA38&gt;$C38,1,0))</f>
        <v/>
      </c>
    </row>
    <row r="39" ht="15" customHeight="1" s="8286">
      <c r="A39" s="9627" t="n"/>
      <c r="B39" s="2053" t="inlineStr">
        <is>
          <t>Oral Progestágeno</t>
        </is>
      </c>
      <c r="C39" s="1121">
        <f>SUM(D39:M39)</f>
        <v/>
      </c>
      <c r="D39" s="1172" t="n">
        <v>0</v>
      </c>
      <c r="E39" s="2001" t="n">
        <v>0</v>
      </c>
      <c r="F39" s="2001" t="n">
        <v>1</v>
      </c>
      <c r="G39" s="2001" t="n">
        <v>1</v>
      </c>
      <c r="H39" s="2001" t="n">
        <v>2</v>
      </c>
      <c r="I39" s="2001" t="n">
        <v>2</v>
      </c>
      <c r="J39" s="2001" t="n">
        <v>1</v>
      </c>
      <c r="K39" s="2001" t="n">
        <v>0</v>
      </c>
      <c r="L39" s="2001" t="n">
        <v>0</v>
      </c>
      <c r="M39" s="2001" t="n">
        <v>0</v>
      </c>
      <c r="N39" s="2054" t="n"/>
      <c r="O39" s="2054" t="n"/>
      <c r="P39" s="2055" t="n"/>
      <c r="Q39" s="5215" t="n">
        <v>0</v>
      </c>
      <c r="R39" s="3892" t="n">
        <v>12</v>
      </c>
      <c r="S39" s="1173" t="n">
        <v>0</v>
      </c>
      <c r="T39" s="1172" t="n">
        <v>0</v>
      </c>
      <c r="U39" s="1173" t="n">
        <v>0</v>
      </c>
      <c r="V39" s="1172" t="n">
        <v>0</v>
      </c>
      <c r="W39" s="1173" t="n">
        <v>0</v>
      </c>
      <c r="X39" s="1172" t="n">
        <v>0</v>
      </c>
      <c r="Y39" s="2001" t="n">
        <v>0</v>
      </c>
      <c r="Z39" s="1173" t="n">
        <v>0</v>
      </c>
      <c r="AA39" s="1173" t="n">
        <v>0</v>
      </c>
      <c r="AB39">
        <f>CA39&amp;CB39&amp;CC39&amp;CD39&amp;CE39&amp;CF39&amp;CG39&amp;CH39&amp;CI39&amp;CJ39&amp;CK39</f>
        <v/>
      </c>
      <c r="CA39" s="90">
        <f>IF(AND($C39&gt;0,Q39="")," * No olvide digitar la variable "&amp;$Q$33&amp;""&amp;". Digite Cero si no tiene.",IF(Q39&gt;$C39," * La variable "&amp;$Q$33&amp;""&amp;" no  puede ser mayor al Total.",""))</f>
        <v/>
      </c>
      <c r="CB39" s="90">
        <f>IF(AND($C39&gt;0,R39="")," * No olvide digitar la variable "&amp;$R$33&amp;""&amp;". Digite Cero si no tiene.", "")</f>
        <v/>
      </c>
      <c r="CC39" s="90">
        <f>IF(AND($C39&gt;0,S39="")," * No olvide digitar la variable "&amp;$S$33&amp;""&amp;". Digite Cero si no tiene.",IF(S39&gt;C39," * La variable "&amp;$S$33&amp;""&amp;" no  puede ser mayor al Total.",""))</f>
        <v/>
      </c>
      <c r="CD39" s="90">
        <f>IF(AND($D39+E39&gt;0,T39="")," * No olvide digitar la variable Migrantes "&amp;$T$34&amp;""&amp;". Digite Cero si no tiene.",IF(T39&gt;$D39+E39," * La variable Migrantes "&amp;$T$34&amp;""&amp;" no  puede ser mayor al Total.",""))</f>
        <v/>
      </c>
      <c r="CE39" s="90">
        <f>IF(AND($F39+$G39+$H39+$I39+$J39+$K39+$L39+$M39&gt;0,$U39="")," * No olvide digitar la variable Migrantes "&amp;$U$34&amp;""&amp;". Digite Cero si no tiene.",IF($U39&gt;$F39+$G39+$H39+$I39+$J39+$K39+$L39+$M39," * La variable Migrantes "&amp;$U$34&amp;""&amp;" no  puede ser mayor al Total.",""))</f>
        <v/>
      </c>
      <c r="CF39" s="90">
        <f>IF(AND($C39&gt;0,V39="")," * No olvide digitar la variable "&amp;$V$33&amp;""&amp;". Digite Cero si no tiene.","")</f>
        <v/>
      </c>
      <c r="CG39" s="90">
        <f>IF(AND($C39&gt;0,W39="")," * No olvide digitar la variable "&amp;$W$33&amp;""&amp;". Digite Cero si no tiene.",IF(W39&gt;$C39," * La variable "&amp;$W$33&amp;""&amp;" no  puede ser mayor al Total.",""))</f>
        <v/>
      </c>
      <c r="CH39" s="90">
        <f>IF(AND($C39&gt;0,X39="")," * No olvide digitar la variable "&amp;$X$34&amp;""&amp;". Digite Cero si no tiene.",IF(X39&gt;$C39," * La variable "&amp;$X$34&amp;""&amp;" no  puede ser mayor al Total.",""))</f>
        <v/>
      </c>
      <c r="CI39" s="90">
        <f>IF(AND($C39&gt;0,Y39="")," * No olvide digitar la variable "&amp;$Y$34&amp;""&amp;". Digite Cero si no tiene.",IF(Y39&gt;$C39," * La variable "&amp;$Y$34&amp;""&amp;" no  puede ser mayor al Total.",""))</f>
        <v/>
      </c>
      <c r="CJ39" s="90">
        <f>IF(AND($C39&gt;0,Z39="")," * No olvide digitar la variable "&amp;$Z$34&amp;""&amp;". Digite Cero si no tiene.",IF(Z39&gt;$C39," * La variable "&amp;$Z$34&amp;""&amp;" no  puede ser mayor al Total.",""))</f>
        <v/>
      </c>
      <c r="CK39" s="90">
        <f>IF(AND($C39&gt;0,AA39="")," * No olvide digitar la variable "&amp;$AA$33&amp;""&amp;". Digite Cero si no tiene.",IF(AA39&gt;$C39," * La variable "&amp;$AA$33&amp;""&amp;" no  puede ser mayor al Total.",""))</f>
        <v/>
      </c>
      <c r="CO39" s="221">
        <f>IF(AND($C39&gt;0,Q39=""),1,IF(Q39&gt;$C39,1,0))</f>
        <v/>
      </c>
      <c r="CP39" s="221" t="n"/>
      <c r="CQ39" s="221">
        <f>IF(AND($C39&gt;0,S39=""),1,IF(S39&gt;$C39,1,0))</f>
        <v/>
      </c>
      <c r="CR39" s="221">
        <f>IF(AND($D39+$E39&gt;0,$T39=""),1,IF(T39&gt;$D39+$E39,1,0))</f>
        <v/>
      </c>
      <c r="CS39" s="221">
        <f>IF(AND($F39+$G39+$H39+$I39+$J39+$K39+$L39+$M39&gt;0,$U39=""),1,IF($U39&gt;$F39+$G39+$H39+$I39+$J39+$K39+$L39+$M39,1,0))</f>
        <v/>
      </c>
      <c r="CT39" s="221">
        <f>IF(AND($C39&gt;0,V39=""),1,0)</f>
        <v/>
      </c>
      <c r="CU39" s="221">
        <f>IF(AND($C39&gt;0,W39=""),1,IF(W39&gt;$C39,1,0))</f>
        <v/>
      </c>
      <c r="CV39" s="221">
        <f>IF(AND($C39&gt;0,X39=""),1,IF(X39&gt;$C39,1,0))</f>
        <v/>
      </c>
      <c r="CW39" s="221">
        <f>IF(AND($C39&gt;0,Y39=""),1,IF(Y39&gt;$C39,1,0))</f>
        <v/>
      </c>
      <c r="CX39" s="221">
        <f>IF(AND($C39&gt;0,Z39=""),1,IF(Z39&gt;$C39,1,0))</f>
        <v/>
      </c>
      <c r="CY39" s="221">
        <f>IF(AND($C39&gt;0,AA39=""),1,IF(AA39&gt;$C39,1,0))</f>
        <v/>
      </c>
    </row>
    <row r="40" ht="15" customHeight="1" s="8286">
      <c r="A40" s="9627" t="n"/>
      <c r="B40" s="2053" t="inlineStr">
        <is>
          <t>Inyectable Combinado</t>
        </is>
      </c>
      <c r="C40" s="1121">
        <f>SUM(D40:M40)</f>
        <v/>
      </c>
      <c r="D40" s="1172" t="n">
        <v>0</v>
      </c>
      <c r="E40" s="2001" t="n">
        <v>3</v>
      </c>
      <c r="F40" s="2001" t="n">
        <v>1</v>
      </c>
      <c r="G40" s="2001" t="n">
        <v>0</v>
      </c>
      <c r="H40" s="2001" t="n">
        <v>0</v>
      </c>
      <c r="I40" s="2001" t="n">
        <v>0</v>
      </c>
      <c r="J40" s="2001" t="n">
        <v>0</v>
      </c>
      <c r="K40" s="2001" t="n">
        <v>0</v>
      </c>
      <c r="L40" s="2001" t="n">
        <v>0</v>
      </c>
      <c r="M40" s="2001" t="n">
        <v>0</v>
      </c>
      <c r="N40" s="2054" t="n"/>
      <c r="O40" s="2054" t="n"/>
      <c r="P40" s="2055" t="n"/>
      <c r="Q40" s="5215" t="n">
        <v>0</v>
      </c>
      <c r="R40" s="3892" t="n">
        <v>6</v>
      </c>
      <c r="S40" s="1173" t="n">
        <v>1</v>
      </c>
      <c r="T40" s="1172" t="n">
        <v>0</v>
      </c>
      <c r="U40" s="1173" t="n">
        <v>0</v>
      </c>
      <c r="V40" s="1172" t="n">
        <v>0</v>
      </c>
      <c r="W40" s="1173" t="n">
        <v>0</v>
      </c>
      <c r="X40" s="1172" t="n">
        <v>0</v>
      </c>
      <c r="Y40" s="2001" t="n">
        <v>0</v>
      </c>
      <c r="Z40" s="1173" t="n">
        <v>0</v>
      </c>
      <c r="AA40" s="1173" t="n">
        <v>0</v>
      </c>
      <c r="AB40">
        <f>CA40&amp;CB40&amp;CC40&amp;CD40&amp;CE40&amp;CF40&amp;CG40&amp;CH40&amp;CI40&amp;CJ40&amp;CK40</f>
        <v/>
      </c>
      <c r="CA40" s="90">
        <f>IF(AND($C40&gt;0,Q40="")," * No olvide digitar la variable "&amp;$Q$33&amp;""&amp;". Digite Cero si no tiene.",IF(Q40&gt;$C40," * La variable "&amp;$Q$33&amp;""&amp;" no  puede ser mayor al Total.",""))</f>
        <v/>
      </c>
      <c r="CB40" s="90">
        <f>IF(AND($C40&gt;0,R40="")," * No olvide digitar la variable "&amp;$R$33&amp;""&amp;". Digite Cero si no tiene.", "")</f>
        <v/>
      </c>
      <c r="CC40" s="90">
        <f>IF(AND($C40&gt;0,S40="")," * No olvide digitar la variable "&amp;$S$33&amp;""&amp;". Digite Cero si no tiene.",IF(S40&gt;C40," * La variable "&amp;$S$33&amp;""&amp;" no  puede ser mayor al Total.",""))</f>
        <v/>
      </c>
      <c r="CD40" s="90">
        <f>IF(AND($D40+E40&gt;0,T40="")," * No olvide digitar la variable Migrantes "&amp;$T$34&amp;""&amp;". Digite Cero si no tiene.",IF(T40&gt;$D40+E40," * La variable Migrantes "&amp;$T$34&amp;""&amp;" no  puede ser mayor al Total.",""))</f>
        <v/>
      </c>
      <c r="CE40" s="90">
        <f>IF(AND($F40+$G40+$H40+$I40+$J40+$K40+$L40+$M40&gt;0,$U40="")," * No olvide digitar la variable Migrantes "&amp;$U$34&amp;""&amp;". Digite Cero si no tiene.",IF($U40&gt;$F40+$G40+$H40+$I40+$J40+$K40+$L40+$M40," * La variable Migrantes "&amp;$U$34&amp;""&amp;" no  puede ser mayor al Total.",""))</f>
        <v/>
      </c>
      <c r="CF40" s="90">
        <f>IF(AND($C40&gt;0,V40="")," * No olvide digitar la variable "&amp;$V$33&amp;""&amp;". Digite Cero si no tiene.","")</f>
        <v/>
      </c>
      <c r="CG40" s="90">
        <f>IF(AND($C40&gt;0,W40="")," * No olvide digitar la variable "&amp;$W$33&amp;""&amp;". Digite Cero si no tiene.",IF(W40&gt;$C40," * La variable "&amp;$W$33&amp;""&amp;" no  puede ser mayor al Total.",""))</f>
        <v/>
      </c>
      <c r="CH40" s="90">
        <f>IF(AND($C40&gt;0,X40="")," * No olvide digitar la variable "&amp;$X$34&amp;""&amp;". Digite Cero si no tiene.",IF(X40&gt;$C40," * La variable "&amp;$X$34&amp;""&amp;" no  puede ser mayor al Total.",""))</f>
        <v/>
      </c>
      <c r="CI40" s="90">
        <f>IF(AND($C40&gt;0,Y40="")," * No olvide digitar la variable "&amp;$Y$34&amp;""&amp;". Digite Cero si no tiene.",IF(Y40&gt;$C40," * La variable "&amp;$Y$34&amp;""&amp;" no  puede ser mayor al Total.",""))</f>
        <v/>
      </c>
      <c r="CJ40" s="90">
        <f>IF(AND($C40&gt;0,Z40="")," * No olvide digitar la variable "&amp;$Z$34&amp;""&amp;". Digite Cero si no tiene.",IF(Z40&gt;$C40," * La variable "&amp;$Z$34&amp;""&amp;" no  puede ser mayor al Total.",""))</f>
        <v/>
      </c>
      <c r="CK40" s="90">
        <f>IF(AND($C40&gt;0,AA40="")," * No olvide digitar la variable "&amp;$AA$33&amp;""&amp;". Digite Cero si no tiene.",IF(AA40&gt;$C40," * La variable "&amp;$AA$33&amp;""&amp;" no  puede ser mayor al Total.",""))</f>
        <v/>
      </c>
      <c r="CO40" s="221">
        <f>IF(AND($C40&gt;0,Q40=""),1,IF(Q40&gt;$C40,1,0))</f>
        <v/>
      </c>
      <c r="CP40" s="221" t="n"/>
      <c r="CQ40" s="221">
        <f>IF(AND($C40&gt;0,S40=""),1,IF(S40&gt;$C40,1,0))</f>
        <v/>
      </c>
      <c r="CR40" s="221">
        <f>IF(AND($D40+$E40&gt;0,$T40=""),1,IF(T40&gt;$D40+$E40,1,0))</f>
        <v/>
      </c>
      <c r="CS40" s="221">
        <f>IF(AND($F40+$G40+$H40+$I40+$J40+$K40+$L40+$M40&gt;0,$U40=""),1,IF($U40&gt;$F40+$G40+$H40+$I40+$J40+$K40+$L40+$M40,1,0))</f>
        <v/>
      </c>
      <c r="CT40" s="221">
        <f>IF(AND($C40&gt;0,V40=""),1,0)</f>
        <v/>
      </c>
      <c r="CU40" s="221">
        <f>IF(AND($C40&gt;0,W40=""),1,IF(W40&gt;$C40,1,0))</f>
        <v/>
      </c>
      <c r="CV40" s="221">
        <f>IF(AND($C40&gt;0,X40=""),1,IF(X40&gt;$C40,1,0))</f>
        <v/>
      </c>
      <c r="CW40" s="221">
        <f>IF(AND($C40&gt;0,Y40=""),1,IF(Y40&gt;$C40,1,0))</f>
        <v/>
      </c>
      <c r="CX40" s="221">
        <f>IF(AND($C40&gt;0,Z40=""),1,IF(Z40&gt;$C40,1,0))</f>
        <v/>
      </c>
      <c r="CY40" s="221">
        <f>IF(AND($C40&gt;0,AA40=""),1,IF(AA40&gt;$C40,1,0))</f>
        <v/>
      </c>
    </row>
    <row r="41" ht="15" customHeight="1" s="8286">
      <c r="A41" s="9627" t="n"/>
      <c r="B41" s="2053" t="inlineStr">
        <is>
          <t>Inyectable Progestágeno</t>
        </is>
      </c>
      <c r="C41" s="1121">
        <f>SUM(D41:M41)</f>
        <v/>
      </c>
      <c r="D41" s="1172" t="n">
        <v>0</v>
      </c>
      <c r="E41" s="2001" t="n">
        <v>5</v>
      </c>
      <c r="F41" s="2001" t="n">
        <v>6</v>
      </c>
      <c r="G41" s="2001" t="n">
        <v>3</v>
      </c>
      <c r="H41" s="2001" t="n">
        <v>2</v>
      </c>
      <c r="I41" s="2001" t="n">
        <v>4</v>
      </c>
      <c r="J41" s="2001" t="n">
        <v>5</v>
      </c>
      <c r="K41" s="2001" t="n">
        <v>3</v>
      </c>
      <c r="L41" s="2001" t="n">
        <v>0</v>
      </c>
      <c r="M41" s="2001" t="n">
        <v>0</v>
      </c>
      <c r="N41" s="2054" t="n"/>
      <c r="O41" s="2054" t="n"/>
      <c r="P41" s="2055" t="n"/>
      <c r="Q41" s="5215" t="n">
        <v>0</v>
      </c>
      <c r="R41" s="3892" t="n">
        <v>10</v>
      </c>
      <c r="S41" s="1173" t="n">
        <v>3</v>
      </c>
      <c r="T41" s="1172" t="n">
        <v>0</v>
      </c>
      <c r="U41" s="1173" t="n">
        <v>1</v>
      </c>
      <c r="V41" s="1172" t="n">
        <v>0</v>
      </c>
      <c r="W41" s="1173" t="n">
        <v>0</v>
      </c>
      <c r="X41" s="1172" t="n">
        <v>0</v>
      </c>
      <c r="Y41" s="2001" t="n">
        <v>0</v>
      </c>
      <c r="Z41" s="1173" t="n">
        <v>0</v>
      </c>
      <c r="AA41" s="1173" t="n">
        <v>0</v>
      </c>
      <c r="AB41">
        <f>CA41&amp;CB41&amp;CC41&amp;CD41&amp;CE41&amp;CF41&amp;CG41&amp;CH41&amp;CI41&amp;CJ41&amp;CK41</f>
        <v/>
      </c>
      <c r="CA41" s="90">
        <f>IF(AND($C41&gt;0,Q41="")," * No olvide digitar la variable "&amp;$Q$33&amp;""&amp;". Digite Cero si no tiene.",IF(Q41&gt;$C41," * La variable "&amp;$Q$33&amp;""&amp;" no  puede ser mayor al Total.",""))</f>
        <v/>
      </c>
      <c r="CB41" s="90">
        <f>IF(AND($C41&gt;0,R41="")," * No olvide digitar la variable "&amp;$R$33&amp;""&amp;". Digite Cero si no tiene.", "")</f>
        <v/>
      </c>
      <c r="CC41" s="90">
        <f>IF(AND($C41&gt;0,S41="")," * No olvide digitar la variable "&amp;$S$33&amp;""&amp;". Digite Cero si no tiene.",IF(S41&gt;C41," * La variable "&amp;$S$33&amp;""&amp;" no  puede ser mayor al Total.",""))</f>
        <v/>
      </c>
      <c r="CD41" s="90">
        <f>IF(AND($D41+E41&gt;0,T41="")," * No olvide digitar la variable Migrantes "&amp;$T$34&amp;""&amp;". Digite Cero si no tiene.",IF(T41&gt;$D41+E41," * La variable Migrantes "&amp;$T$34&amp;""&amp;" no  puede ser mayor al Total.",""))</f>
        <v/>
      </c>
      <c r="CE41" s="90">
        <f>IF(AND($F41+$G41+$H41+$I41+$J41+$K41+$L41+$M41&gt;0,$U41="")," * No olvide digitar la variable Migrantes "&amp;$U$34&amp;""&amp;". Digite Cero si no tiene.",IF($U41&gt;$F41+$G41+$H41+$I41+$J41+$K41+$L41+$M41," * La variable Migrantes "&amp;$U$34&amp;""&amp;" no  puede ser mayor al Total.",""))</f>
        <v/>
      </c>
      <c r="CF41" s="90">
        <f>IF(AND($C41&gt;0,V41="")," * No olvide digitar la variable "&amp;$V$33&amp;""&amp;". Digite Cero si no tiene.","")</f>
        <v/>
      </c>
      <c r="CG41" s="90">
        <f>IF(AND($C41&gt;0,W41="")," * No olvide digitar la variable "&amp;$W$33&amp;""&amp;". Digite Cero si no tiene.",IF(W41&gt;$C41," * La variable "&amp;$W$33&amp;""&amp;" no  puede ser mayor al Total.",""))</f>
        <v/>
      </c>
      <c r="CH41" s="90">
        <f>IF(AND($C41&gt;0,X41="")," * No olvide digitar la variable "&amp;$X$34&amp;""&amp;". Digite Cero si no tiene.",IF(X41&gt;$C41," * La variable "&amp;$X$34&amp;""&amp;" no  puede ser mayor al Total.",""))</f>
        <v/>
      </c>
      <c r="CI41" s="90">
        <f>IF(AND($C41&gt;0,Y41="")," * No olvide digitar la variable "&amp;$Y$34&amp;""&amp;". Digite Cero si no tiene.",IF(Y41&gt;$C41," * La variable "&amp;$Y$34&amp;""&amp;" no  puede ser mayor al Total.",""))</f>
        <v/>
      </c>
      <c r="CJ41" s="90">
        <f>IF(AND($C41&gt;0,Z41="")," * No olvide digitar la variable "&amp;$Z$34&amp;""&amp;". Digite Cero si no tiene.",IF(Z41&gt;$C41," * La variable "&amp;$Z$34&amp;""&amp;" no  puede ser mayor al Total.",""))</f>
        <v/>
      </c>
      <c r="CK41" s="90">
        <f>IF(AND($C41&gt;0,AA41="")," * No olvide digitar la variable "&amp;$AA$33&amp;""&amp;". Digite Cero si no tiene.",IF(AA41&gt;$C41," * La variable "&amp;$AA$33&amp;""&amp;" no  puede ser mayor al Total.",""))</f>
        <v/>
      </c>
      <c r="CO41" s="221">
        <f>IF(AND($C41&gt;0,Q41=""),1,IF(Q41&gt;$C41,1,0))</f>
        <v/>
      </c>
      <c r="CP41" s="221" t="n"/>
      <c r="CQ41" s="221">
        <f>IF(AND($C41&gt;0,S41=""),1,IF(S41&gt;$C41,1,0))</f>
        <v/>
      </c>
      <c r="CR41" s="221">
        <f>IF(AND($D41+$E41&gt;0,$T41=""),1,IF(T41&gt;$D41+$E41,1,0))</f>
        <v/>
      </c>
      <c r="CS41" s="221">
        <f>IF(AND($F41+$G41+$H41+$I41+$J41+$K41+$L41+$M41&gt;0,$U41=""),1,IF($U41&gt;$F41+$G41+$H41+$I41+$J41+$K41+$L41+$M41,1,0))</f>
        <v/>
      </c>
      <c r="CT41" s="221">
        <f>IF(AND($C41&gt;0,V41=""),1,0)</f>
        <v/>
      </c>
      <c r="CU41" s="221">
        <f>IF(AND($C41&gt;0,W41=""),1,IF(W41&gt;$C41,1,0))</f>
        <v/>
      </c>
      <c r="CV41" s="221">
        <f>IF(AND($C41&gt;0,X41=""),1,IF(X41&gt;$C41,1,0))</f>
        <v/>
      </c>
      <c r="CW41" s="221">
        <f>IF(AND($C41&gt;0,Y41=""),1,IF(Y41&gt;$C41,1,0))</f>
        <v/>
      </c>
      <c r="CX41" s="221">
        <f>IF(AND($C41&gt;0,Z41=""),1,IF(Z41&gt;$C41,1,0))</f>
        <v/>
      </c>
      <c r="CY41" s="221">
        <f>IF(AND($C41&gt;0,AA41=""),1,IF(AA41&gt;$C41,1,0))</f>
        <v/>
      </c>
    </row>
    <row r="42" ht="15" customHeight="1" s="8286">
      <c r="A42" s="9627" t="n"/>
      <c r="B42" s="2053" t="inlineStr">
        <is>
          <t>Implante Etonogestrel (3 años)</t>
        </is>
      </c>
      <c r="C42" s="1121">
        <f>SUM(D42:M42)</f>
        <v/>
      </c>
      <c r="D42" s="1172" t="n">
        <v>1</v>
      </c>
      <c r="E42" s="2001" t="n">
        <v>2</v>
      </c>
      <c r="F42" s="2001" t="n">
        <v>2</v>
      </c>
      <c r="G42" s="2001" t="n">
        <v>1</v>
      </c>
      <c r="H42" s="2001" t="n">
        <v>1</v>
      </c>
      <c r="I42" s="2001" t="n">
        <v>0</v>
      </c>
      <c r="J42" s="2001" t="n">
        <v>0</v>
      </c>
      <c r="K42" s="2001" t="n">
        <v>0</v>
      </c>
      <c r="L42" s="2001" t="n">
        <v>0</v>
      </c>
      <c r="M42" s="2001" t="n">
        <v>0</v>
      </c>
      <c r="N42" s="2054" t="n"/>
      <c r="O42" s="2054" t="n"/>
      <c r="P42" s="2055" t="n"/>
      <c r="Q42" s="5215" t="n">
        <v>0</v>
      </c>
      <c r="R42" s="3892" t="n">
        <v>5</v>
      </c>
      <c r="S42" s="1173" t="n">
        <v>2</v>
      </c>
      <c r="T42" s="1172" t="n">
        <v>0</v>
      </c>
      <c r="U42" s="1173" t="n">
        <v>0</v>
      </c>
      <c r="V42" s="1172" t="n">
        <v>0</v>
      </c>
      <c r="W42" s="1173" t="n">
        <v>0</v>
      </c>
      <c r="X42" s="1172" t="n">
        <v>0</v>
      </c>
      <c r="Y42" s="2001" t="n">
        <v>0</v>
      </c>
      <c r="Z42" s="1173" t="n">
        <v>0</v>
      </c>
      <c r="AA42" s="1173" t="n">
        <v>0</v>
      </c>
      <c r="AB42">
        <f>CA42&amp;CB42&amp;CC42&amp;CD42&amp;CE42&amp;CF42&amp;CG42&amp;CH42&amp;CI42&amp;CJ42&amp;CK42</f>
        <v/>
      </c>
      <c r="CA42" s="90">
        <f>IF(AND($C42&gt;0,Q42="")," * No olvide digitar la variable "&amp;$Q$33&amp;""&amp;". Digite Cero si no tiene.",IF(Q42&gt;$C42," * La variable "&amp;$Q$33&amp;""&amp;" no  puede ser mayor al Total.",""))</f>
        <v/>
      </c>
      <c r="CB42" s="90">
        <f>IF(AND($C42&gt;0,R42="")," * No olvide digitar la variable "&amp;$R$33&amp;""&amp;". Digite Cero si no tiene.", "")</f>
        <v/>
      </c>
      <c r="CC42" s="90">
        <f>IF(AND($C42&gt;0,S42="")," * No olvide digitar la variable "&amp;$S$33&amp;""&amp;". Digite Cero si no tiene.",IF(S42&gt;C42," * La variable "&amp;$S$33&amp;""&amp;" no  puede ser mayor al Total.",""))</f>
        <v/>
      </c>
      <c r="CD42" s="90">
        <f>IF(AND($D42+E42&gt;0,T42="")," * No olvide digitar la variable Migrantes "&amp;$T$34&amp;""&amp;". Digite Cero si no tiene.",IF(T42&gt;$D42+E42," * La variable Migrantes "&amp;$T$34&amp;""&amp;" no  puede ser mayor al Total.",""))</f>
        <v/>
      </c>
      <c r="CE42" s="90">
        <f>IF(AND($F42+$G42+$H42+$I42+$J42+$K42+$L42+$M42&gt;0,$U42="")," * No olvide digitar la variable Migrantes "&amp;$U$34&amp;""&amp;". Digite Cero si no tiene.",IF($U42&gt;$F42+$G42+$H42+$I42+$J42+$K42+$L42+$M42," * La variable Migrantes "&amp;$U$34&amp;""&amp;" no  puede ser mayor al Total.",""))</f>
        <v/>
      </c>
      <c r="CF42" s="90">
        <f>IF(AND($C42&gt;0,V42="")," * No olvide digitar la variable "&amp;$V$33&amp;""&amp;". Digite Cero si no tiene.","")</f>
        <v/>
      </c>
      <c r="CG42" s="90">
        <f>IF(AND($C42&gt;0,W42="")," * No olvide digitar la variable "&amp;$W$33&amp;""&amp;". Digite Cero si no tiene.",IF(W42&gt;$C42," * La variable "&amp;$W$33&amp;""&amp;" no  puede ser mayor al Total.",""))</f>
        <v/>
      </c>
      <c r="CH42" s="90">
        <f>IF(AND($C42&gt;0,X42="")," * No olvide digitar la variable "&amp;$X$34&amp;""&amp;". Digite Cero si no tiene.",IF(X42&gt;$C42," * La variable "&amp;$X$34&amp;""&amp;" no  puede ser mayor al Total.",""))</f>
        <v/>
      </c>
      <c r="CI42" s="90">
        <f>IF(AND($C42&gt;0,Y42="")," * No olvide digitar la variable "&amp;$Y$34&amp;""&amp;". Digite Cero si no tiene.",IF(Y42&gt;$C42," * La variable "&amp;$Y$34&amp;""&amp;" no  puede ser mayor al Total.",""))</f>
        <v/>
      </c>
      <c r="CJ42" s="90">
        <f>IF(AND($C42&gt;0,Z42="")," * No olvide digitar la variable "&amp;$Z$34&amp;""&amp;". Digite Cero si no tiene.",IF(Z42&gt;$C42," * La variable "&amp;$Z$34&amp;""&amp;" no  puede ser mayor al Total.",""))</f>
        <v/>
      </c>
      <c r="CK42" s="90">
        <f>IF(AND($C42&gt;0,AA42="")," * No olvide digitar la variable "&amp;$AA$33&amp;""&amp;". Digite Cero si no tiene.",IF(AA42&gt;$C42," * La variable "&amp;$AA$33&amp;""&amp;" no  puede ser mayor al Total.",""))</f>
        <v/>
      </c>
      <c r="CO42" s="221">
        <f>IF(AND($C42&gt;0,Q42=""),1,IF(Q42&gt;$C42,1,0))</f>
        <v/>
      </c>
      <c r="CP42" s="221" t="n"/>
      <c r="CQ42" s="221">
        <f>IF(AND($C42&gt;0,S42=""),1,IF(S42&gt;$C42,1,0))</f>
        <v/>
      </c>
      <c r="CR42" s="221">
        <f>IF(AND($D42+$E42&gt;0,$T42=""),1,IF(T42&gt;$D42+$E42,1,0))</f>
        <v/>
      </c>
      <c r="CS42" s="221">
        <f>IF(AND($F42+$G42+$H42+$I42+$J42+$K42+$L42+$M42&gt;0,$U42=""),1,IF($U42&gt;$F42+$G42+$H42+$I42+$J42+$K42+$L42+$M42,1,0))</f>
        <v/>
      </c>
      <c r="CT42" s="221">
        <f>IF(AND($C42&gt;0,V42=""),1,0)</f>
        <v/>
      </c>
      <c r="CU42" s="221">
        <f>IF(AND($C42&gt;0,W42=""),1,IF(W42&gt;$C42,1,0))</f>
        <v/>
      </c>
      <c r="CV42" s="221">
        <f>IF(AND($C42&gt;0,X42=""),1,IF(X42&gt;$C42,1,0))</f>
        <v/>
      </c>
      <c r="CW42" s="221">
        <f>IF(AND($C42&gt;0,Y42=""),1,IF(Y42&gt;$C42,1,0))</f>
        <v/>
      </c>
      <c r="CX42" s="221">
        <f>IF(AND($C42&gt;0,Z42=""),1,IF(Z42&gt;$C42,1,0))</f>
        <v/>
      </c>
      <c r="CY42" s="221">
        <f>IF(AND($C42&gt;0,AA42=""),1,IF(AA42&gt;$C42,1,0))</f>
        <v/>
      </c>
    </row>
    <row r="43" ht="15" customHeight="1" s="8286">
      <c r="A43" s="9627" t="n"/>
      <c r="B43" s="2056" t="inlineStr">
        <is>
          <t>Implante Levonorgestrel (5 años)</t>
        </is>
      </c>
      <c r="C43" s="637">
        <f>SUM(D43:M43)</f>
        <v/>
      </c>
      <c r="D43" s="645" t="n">
        <v>0</v>
      </c>
      <c r="E43" s="145" t="n">
        <v>0</v>
      </c>
      <c r="F43" s="145" t="n">
        <v>0</v>
      </c>
      <c r="G43" s="145" t="n">
        <v>0</v>
      </c>
      <c r="H43" s="145" t="n">
        <v>0</v>
      </c>
      <c r="I43" s="145" t="n">
        <v>0</v>
      </c>
      <c r="J43" s="145" t="n">
        <v>0</v>
      </c>
      <c r="K43" s="145" t="n">
        <v>0</v>
      </c>
      <c r="L43" s="145" t="n">
        <v>0</v>
      </c>
      <c r="M43" s="145" t="n">
        <v>0</v>
      </c>
      <c r="N43" s="146" t="n"/>
      <c r="O43" s="146" t="n"/>
      <c r="P43" s="1095" t="n"/>
      <c r="Q43" s="5247" t="n">
        <v>0</v>
      </c>
      <c r="R43" s="670" t="n">
        <v>0</v>
      </c>
      <c r="S43" s="2057" t="n">
        <v>0</v>
      </c>
      <c r="T43" s="645" t="n">
        <v>0</v>
      </c>
      <c r="U43" s="2057" t="n">
        <v>0</v>
      </c>
      <c r="V43" s="645" t="n">
        <v>0</v>
      </c>
      <c r="W43" s="2057" t="n">
        <v>0</v>
      </c>
      <c r="X43" s="645" t="n">
        <v>0</v>
      </c>
      <c r="Y43" s="145" t="n">
        <v>0</v>
      </c>
      <c r="Z43" s="2057" t="n">
        <v>0</v>
      </c>
      <c r="AA43" s="2057" t="n">
        <v>0</v>
      </c>
      <c r="AB43">
        <f>CA43&amp;CB43&amp;CC43&amp;CD43&amp;CE43&amp;CF43&amp;CG43&amp;CH43&amp;CI43&amp;CJ43&amp;CK43</f>
        <v/>
      </c>
      <c r="CA43" s="90">
        <f>IF(AND($C43&gt;0,Q43="")," * No olvide digitar la variable "&amp;$Q$33&amp;""&amp;". Digite Cero si no tiene.",IF(Q43&gt;$C43," * La variable "&amp;$Q$33&amp;""&amp;" no  puede ser mayor al Total.",""))</f>
        <v/>
      </c>
      <c r="CB43" s="90">
        <f>IF(AND($C43&gt;0,R43="")," * No olvide digitar la variable "&amp;$R$33&amp;""&amp;". Digite Cero si no tiene.", "")</f>
        <v/>
      </c>
      <c r="CC43" s="90">
        <f>IF(AND($C43&gt;0,S43="")," * No olvide digitar la variable "&amp;$S$33&amp;""&amp;". Digite Cero si no tiene.",IF(S43&gt;C43," * La variable "&amp;$S$33&amp;""&amp;" no  puede ser mayor al Total.",""))</f>
        <v/>
      </c>
      <c r="CD43" s="90">
        <f>IF(AND($D43+E43&gt;0,T43="")," * No olvide digitar la variable Migrantes "&amp;$T$34&amp;""&amp;". Digite Cero si no tiene.",IF(T43&gt;$D43+E43," * La variable Migrantes "&amp;$T$34&amp;""&amp;" no  puede ser mayor al Total.",""))</f>
        <v/>
      </c>
      <c r="CE43" s="90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>
        <f>IF(AND($C43&gt;0,V43="")," * No olvide digitar la variable "&amp;$V$33&amp;""&amp;". Digite Cero si no tiene.","")</f>
        <v/>
      </c>
      <c r="CG43" s="90">
        <f>IF(AND($C43&gt;0,W43="")," * No olvide digitar la variable "&amp;$W$33&amp;""&amp;". Digite Cero si no tiene.",IF(W43&gt;$C43," * La variable "&amp;$W$33&amp;""&amp;" no  puede ser mayor al Total.",""))</f>
        <v/>
      </c>
      <c r="CH43" s="90">
        <f>IF(AND($C43&gt;0,X43="")," * No olvide digitar la variable "&amp;$X$34&amp;""&amp;". Digite Cero si no tiene.",IF(X43&gt;$C43," * La variable "&amp;$X$34&amp;""&amp;" no  puede ser mayor al Total.",""))</f>
        <v/>
      </c>
      <c r="CI43" s="90">
        <f>IF(AND($C43&gt;0,Y43="")," * No olvide digitar la variable "&amp;$Y$34&amp;""&amp;". Digite Cero si no tiene.",IF(Y43&gt;$C43," * La variable "&amp;$Y$34&amp;""&amp;" no  puede ser mayor al Total.",""))</f>
        <v/>
      </c>
      <c r="CJ43" s="90">
        <f>IF(AND($C43&gt;0,Z43="")," * No olvide digitar la variable "&amp;$Z$34&amp;""&amp;". Digite Cero si no tiene.",IF(Z43&gt;$C43," * La variable "&amp;$Z$34&amp;""&amp;" no  puede ser mayor al Total.",""))</f>
        <v/>
      </c>
      <c r="CK43" s="90">
        <f>IF(AND($C43&gt;0,AA43="")," * No olvide digitar la variable "&amp;$AA$33&amp;""&amp;". Digite Cero si no tiene.",IF(AA43&gt;$C43," * La variable "&amp;$AA$33&amp;""&amp;" no  puede ser mayor al Total.",""))</f>
        <v/>
      </c>
      <c r="CO43" s="221">
        <f>IF(AND($C43&gt;0,Q43=""),1,IF(Q43&gt;$C43,1,0))</f>
        <v/>
      </c>
      <c r="CP43" s="221" t="n"/>
      <c r="CQ43" s="221">
        <f>IF(AND($C43&gt;0,S43=""),1,IF(S43&gt;$C43,1,0))</f>
        <v/>
      </c>
      <c r="CR43" s="221">
        <f>IF(AND($D43+$E43&gt;0,$T43=""),1,IF(T43&gt;$D43+$E43,1,0))</f>
        <v/>
      </c>
      <c r="CS43" s="221">
        <f>IF(AND($F43+$G43+$H43+$I43+$J43+$K43+$L43+$M43&gt;0,$U43=""),1,IF($U43&gt;$F43+$G43+$H43+$I43+$J43+$K43+$L43+$M43,1,0))</f>
        <v/>
      </c>
      <c r="CT43" s="221">
        <f>IF(AND($C43&gt;0,V43=""),1,0)</f>
        <v/>
      </c>
      <c r="CU43" s="221">
        <f>IF(AND($C43&gt;0,W43=""),1,IF(W43&gt;$C43,1,0))</f>
        <v/>
      </c>
      <c r="CV43" s="221">
        <f>IF(AND($C43&gt;0,X43=""),1,IF(X43&gt;$C43,1,0))</f>
        <v/>
      </c>
      <c r="CW43" s="221">
        <f>IF(AND($C43&gt;0,Y43=""),1,IF(Y43&gt;$C43,1,0))</f>
        <v/>
      </c>
      <c r="CX43" s="221">
        <f>IF(AND($C43&gt;0,Z43=""),1,IF(Z43&gt;$C43,1,0))</f>
        <v/>
      </c>
      <c r="CY43" s="221">
        <f>IF(AND($C43&gt;0,AA43=""),1,IF(AA43&gt;$C43,1,0))</f>
        <v/>
      </c>
    </row>
    <row r="44" ht="15" customHeight="1" s="8286">
      <c r="A44" s="9621" t="n"/>
      <c r="B44" s="8051" t="inlineStr">
        <is>
          <t>Anillo Vaginal</t>
        </is>
      </c>
      <c r="C44" s="1117">
        <f>SUM(D44:M44)</f>
        <v/>
      </c>
      <c r="D44" s="1188" t="n">
        <v>0</v>
      </c>
      <c r="E44" s="1118" t="n">
        <v>1</v>
      </c>
      <c r="F44" s="1118" t="n">
        <v>0</v>
      </c>
      <c r="G44" s="1118" t="n">
        <v>0</v>
      </c>
      <c r="H44" s="1118" t="n">
        <v>0</v>
      </c>
      <c r="I44" s="1118" t="n">
        <v>0</v>
      </c>
      <c r="J44" s="1118" t="n">
        <v>0</v>
      </c>
      <c r="K44" s="1118" t="n">
        <v>0</v>
      </c>
      <c r="L44" s="1118" t="n">
        <v>0</v>
      </c>
      <c r="M44" s="1118" t="n">
        <v>0</v>
      </c>
      <c r="N44" s="1237" t="n"/>
      <c r="O44" s="1237" t="n"/>
      <c r="P44" s="2050" t="n"/>
      <c r="Q44" s="5249" t="n">
        <v>0</v>
      </c>
      <c r="R44" s="1223" t="n">
        <v>0</v>
      </c>
      <c r="S44" s="1192" t="n">
        <v>0</v>
      </c>
      <c r="T44" s="1188" t="n">
        <v>0</v>
      </c>
      <c r="U44" s="1192" t="n">
        <v>0</v>
      </c>
      <c r="V44" s="1188" t="n">
        <v>0</v>
      </c>
      <c r="W44" s="1192" t="n">
        <v>0</v>
      </c>
      <c r="X44" s="1188" t="n">
        <v>0</v>
      </c>
      <c r="Y44" s="1118" t="n">
        <v>0</v>
      </c>
      <c r="Z44" s="1192" t="n">
        <v>0</v>
      </c>
      <c r="AA44" s="1192" t="n">
        <v>0</v>
      </c>
      <c r="AB44">
        <f>CA44&amp;CB44&amp;CC44&amp;CD44&amp;CE44&amp;CF44&amp;CG44&amp;CH44&amp;CI44&amp;CJ44&amp;CK44</f>
        <v/>
      </c>
      <c r="CA44" s="90">
        <f>IF(AND($C44&gt;0,Q44="")," * No olvide digitar la variable "&amp;$Q$33&amp;""&amp;". Digite Cero si no tiene.",IF(Q44&gt;$C44," * La variable "&amp;$Q$33&amp;""&amp;" no  puede ser mayor al Total.",""))</f>
        <v/>
      </c>
      <c r="CB44" s="90">
        <f>IF(AND($C44&gt;0,R44="")," * No olvide digitar la variable "&amp;$R$33&amp;""&amp;". Digite Cero si no tiene.", "")</f>
        <v/>
      </c>
      <c r="CC44" s="90">
        <f>IF(AND($C44&gt;0,S44="")," * No olvide digitar la variable "&amp;$S$33&amp;""&amp;". Digite Cero si no tiene.",IF(S44&gt;C44," * La variable "&amp;$S$33&amp;""&amp;" no  puede ser mayor al Total.",""))</f>
        <v/>
      </c>
      <c r="CD44" s="90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>
        <f>IF(AND($F44+$G44+$H44+$I44+$J44+$K44+$L44+$M44&gt;0,$U44="")," * No olvide digitar la variable Migrantes "&amp;$U$34&amp;""&amp;". Digite Cero si no tiene.",IF($U44&gt;$F44+$G44+$H44+$I44+$J44+$K44+$L44+$M44," * La variable Migrantes "&amp;$U$34&amp;""&amp;" no  puede ser mayor al Total.",""))</f>
        <v/>
      </c>
      <c r="CF44" s="90">
        <f>IF(AND($C44&gt;0,V44="")," * No olvide digitar la variable "&amp;$V$33&amp;""&amp;". Digite Cero si no tiene.","")</f>
        <v/>
      </c>
      <c r="CG44" s="90">
        <f>IF(AND($C44&gt;0,W44="")," * No olvide digitar la variable "&amp;$W$33&amp;""&amp;". Digite Cero si no tiene.",IF(W44&gt;$C44," * La variable "&amp;$W$33&amp;""&amp;" no  puede ser mayor al Total.",""))</f>
        <v/>
      </c>
      <c r="CH44" s="90">
        <f>IF(AND($C44&gt;0,X44="")," * No olvide digitar la variable "&amp;$X$34&amp;""&amp;". Digite Cero si no tiene.",IF(X44&gt;$C44," * La variable "&amp;$X$34&amp;""&amp;" no  puede ser mayor al Total.",""))</f>
        <v/>
      </c>
      <c r="CI44" s="90">
        <f>IF(AND($C44&gt;0,Y44="")," * No olvide digitar la variable "&amp;$Y$34&amp;""&amp;". Digite Cero si no tiene.",IF(Y44&gt;$C44," * La variable "&amp;$Y$34&amp;""&amp;" no  puede ser mayor al Total.",""))</f>
        <v/>
      </c>
      <c r="CJ44" s="90">
        <f>IF(AND($C44&gt;0,Z44="")," * No olvide digitar la variable "&amp;$Z$34&amp;""&amp;". Digite Cero si no tiene.",IF(Z44&gt;$C44," * La variable "&amp;$Z$34&amp;""&amp;" no  puede ser mayor al Total.",""))</f>
        <v/>
      </c>
      <c r="CK44" s="90">
        <f>IF(AND($C44&gt;0,AA44="")," * No olvide digitar la variable "&amp;$AA$33&amp;""&amp;". Digite Cero si no tiene.",IF(AA44&gt;$C44," * La variable "&amp;$AA$33&amp;""&amp;" no  puede ser mayor al Total.",""))</f>
        <v/>
      </c>
      <c r="CO44" s="221">
        <f>IF(AND($C44&gt;0,Q44=""),1,IF(Q44&gt;$C44,1,0))</f>
        <v/>
      </c>
      <c r="CP44" s="221" t="n"/>
      <c r="CQ44" s="221">
        <f>IF(AND($C44&gt;0,S44=""),1,IF(S44&gt;$C44,1,0))</f>
        <v/>
      </c>
      <c r="CR44" s="221">
        <f>IF(AND($D44+$E44&gt;0,$T44=""),1,IF(T44&gt;$D44+$E44,1,0))</f>
        <v/>
      </c>
      <c r="CS44" s="221">
        <f>IF(AND($F44+$G44+$H44+$I44+$J44+$K44+$L44+$M44&gt;0,$U44=""),1,IF($U44&gt;$F44+$G44+$H44+$I44+$J44+$K44+$L44+$M44,1,0))</f>
        <v/>
      </c>
      <c r="CT44" s="221">
        <f>IF(AND($C44&gt;0,V44=""),1,0)</f>
        <v/>
      </c>
      <c r="CU44" s="221">
        <f>IF(AND($C44&gt;0,W44=""),1,IF(W44&gt;$C44,1,0))</f>
        <v/>
      </c>
      <c r="CV44" s="221">
        <f>IF(AND($C44&gt;0,X44=""),1,IF(X44&gt;$C44,1,0))</f>
        <v/>
      </c>
      <c r="CW44" s="221">
        <f>IF(AND($C44&gt;0,Y44=""),1,IF(Y44&gt;$C44,1,0))</f>
        <v/>
      </c>
      <c r="CX44" s="221">
        <f>IF(AND($C44&gt;0,Z44=""),1,IF(Z44&gt;$C44,1,0))</f>
        <v/>
      </c>
      <c r="CY44" s="221">
        <f>IF(AND($C44&gt;0,AA44=""),1,IF(AA44&gt;$C44,1,0))</f>
        <v/>
      </c>
    </row>
    <row r="45" ht="15" customHeight="1" s="8286">
      <c r="A45" s="9933" t="inlineStr">
        <is>
      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      </is>
      </c>
      <c r="B45" s="2052" t="inlineStr">
        <is>
          <t>Mujer</t>
        </is>
      </c>
      <c r="C45" s="7748">
        <f>SUM(D45:P45)</f>
        <v/>
      </c>
      <c r="D45" s="2022" t="n">
        <v>0</v>
      </c>
      <c r="E45" s="835" t="n">
        <v>0</v>
      </c>
      <c r="F45" s="835" t="n">
        <v>0</v>
      </c>
      <c r="G45" s="835" t="n">
        <v>0</v>
      </c>
      <c r="H45" s="835" t="n">
        <v>2</v>
      </c>
      <c r="I45" s="835" t="n">
        <v>0</v>
      </c>
      <c r="J45" s="835" t="n">
        <v>0</v>
      </c>
      <c r="K45" s="835" t="n">
        <v>0</v>
      </c>
      <c r="L45" s="835" t="n">
        <v>0</v>
      </c>
      <c r="M45" s="835" t="n">
        <v>0</v>
      </c>
      <c r="N45" s="863" t="n"/>
      <c r="O45" s="863" t="n"/>
      <c r="P45" s="863" t="n"/>
      <c r="Q45" s="5213" t="n">
        <v>0</v>
      </c>
      <c r="R45" s="5189" t="n">
        <v>1</v>
      </c>
      <c r="S45" s="2029" t="n">
        <v>0</v>
      </c>
      <c r="T45" s="2022" t="n">
        <v>0</v>
      </c>
      <c r="U45" s="2029" t="n">
        <v>0</v>
      </c>
      <c r="V45" s="2022" t="n">
        <v>0</v>
      </c>
      <c r="W45" s="2029" t="n">
        <v>0</v>
      </c>
      <c r="X45" s="2022" t="n">
        <v>0</v>
      </c>
      <c r="Y45" s="835" t="n">
        <v>0</v>
      </c>
      <c r="Z45" s="2029" t="n">
        <v>0</v>
      </c>
      <c r="AA45" s="2029" t="n">
        <v>0</v>
      </c>
      <c r="AB45">
        <f>CA45&amp;CB45&amp;CC45&amp;CD45&amp;CE45&amp;CF45&amp;CG45&amp;CH45&amp;CI45&amp;CJ45&amp;CK45</f>
        <v/>
      </c>
      <c r="CA45" s="90">
        <f>IF(AND($C45&gt;0,Q45="")," * No olvide digitar la variable "&amp;$Q$33&amp;""&amp;". Digite Cero si no tiene.",IF(Q45&gt;$C45," * La variable "&amp;$Q$33&amp;""&amp;" no  puede ser mayor al Total.",""))</f>
        <v/>
      </c>
      <c r="CB45" s="90">
        <f>IF(AND($C45&gt;0,R45="")," * No olvide digitar la variable "&amp;$R$33&amp;""&amp;". Digite Cero si no tiene.", "")</f>
        <v/>
      </c>
      <c r="CC45" s="90">
        <f>IF(AND($C45&gt;0,S45="")," * No olvide digitar la variable "&amp;$S$33&amp;""&amp;". Digite Cero si no tiene.",IF(S45&gt;C45," * La variable "&amp;$S$33&amp;""&amp;" no  puede ser mayor al Total.",""))</f>
        <v/>
      </c>
      <c r="CD45" s="90">
        <f>IF(AND($D45+E45&gt;0,T45="")," * No olvide digitar la variable Migrantes "&amp;$T$34&amp;""&amp;". Digite Cero si no tiene.",IF(T45&gt;$D45+E45," * La variable Migrantes "&amp;$T$34&amp;""&amp;" no  puede ser mayor al Total.",""))</f>
        <v/>
      </c>
      <c r="CE45" s="90">
        <f>IF(AND($F45+$G45+$H45+$I45+$J45+$K45+$L45+$M45&gt;0,$U45="")," * No olvide digitar la variable Migrantes "&amp;$U$34&amp;""&amp;". Digite Cero si no tiene.",IF($U45&gt;$F45+$G45+$H45+$I45+$J45+$K45+$L45+$M45," * La variable Migrantes "&amp;$U$34&amp;""&amp;" no  puede ser mayor al Total.",""))</f>
        <v/>
      </c>
      <c r="CF45" s="90">
        <f>IF(AND($C45&gt;0,V45="")," * No olvide digitar la variable "&amp;$V$33&amp;""&amp;". Digite Cero si no tiene.","")</f>
        <v/>
      </c>
      <c r="CG45" s="90">
        <f>IF(AND($C45&gt;0,W45="")," * No olvide digitar la variable "&amp;$W$33&amp;""&amp;". Digite Cero si no tiene.",IF(W45&gt;$C45," * La variable "&amp;$W$33&amp;""&amp;" no  puede ser mayor al Total.",""))</f>
        <v/>
      </c>
      <c r="CH45" s="90">
        <f>IF(AND($C45&gt;0,X45="")," * No olvide digitar la variable "&amp;$X$34&amp;""&amp;". Digite Cero si no tiene.",IF(X45&gt;$C45," * La variable "&amp;$X$34&amp;""&amp;" no  puede ser mayor al Total.",""))</f>
        <v/>
      </c>
      <c r="CI45" s="90">
        <f>IF(AND($C45&gt;0,Y45="")," * No olvide digitar la variable "&amp;$Y$34&amp;""&amp;". Digite Cero si no tiene.",IF(Y45&gt;$C45," * La variable "&amp;$Y$34&amp;""&amp;" no  puede ser mayor al Total.",""))</f>
        <v/>
      </c>
      <c r="CJ45" s="90">
        <f>IF(AND($C45&gt;0,Z45="")," * No olvide digitar la variable "&amp;$Z$34&amp;""&amp;". Digite Cero si no tiene.",IF(Z45&gt;$C45," * La variable "&amp;$Z$34&amp;""&amp;" no  puede ser mayor al Total.",""))</f>
        <v/>
      </c>
      <c r="CK45" s="90">
        <f>IF(AND($C45&gt;0,AA45="")," * No olvide digitar la variable "&amp;$AA$33&amp;""&amp;". Digite Cero si no tiene.",IF(AA45&gt;$C45," * La variable "&amp;$AA$33&amp;""&amp;" no  puede ser mayor al Total.",""))</f>
        <v/>
      </c>
      <c r="CO45" s="221">
        <f>IF(AND($C45&gt;0,Q45=""),1,IF(Q45&gt;$C45,1,0))</f>
        <v/>
      </c>
      <c r="CP45" s="221" t="n"/>
      <c r="CQ45" s="221">
        <f>IF(AND($C45&gt;0,S45=""),1,IF(S45&gt;$C45,1,0))</f>
        <v/>
      </c>
      <c r="CR45" s="221">
        <f>IF(AND($D45+$E45&gt;0,$T45=""),1,IF(T45&gt;$D45+$E45,1,0))</f>
        <v/>
      </c>
      <c r="CS45" s="221">
        <f>IF(AND($F45+$G45+$H45+$I45+$J45+$K45+$L45+$M45&gt;0,$U45=""),1,IF($U45&gt;$F45+$G45+$H45+$I45+$J45+$K45+$L45+$M45,1,0))</f>
        <v/>
      </c>
      <c r="CT45" s="221">
        <f>IF(AND($C45&gt;0,V45=""),1,0)</f>
        <v/>
      </c>
      <c r="CU45" s="221">
        <f>IF(AND($C45&gt;0,W45=""),1,IF(W45&gt;$C45,1,0))</f>
        <v/>
      </c>
      <c r="CV45" s="221">
        <f>IF(AND($C45&gt;0,X45=""),1,IF(X45&gt;$C45,1,0))</f>
        <v/>
      </c>
      <c r="CW45" s="221">
        <f>IF(AND($C45&gt;0,Y45=""),1,IF(Y45&gt;$C45,1,0))</f>
        <v/>
      </c>
      <c r="CX45" s="221">
        <f>IF(AND($C45&gt;0,Z45=""),1,IF(Z45&gt;$C45,1,0))</f>
        <v/>
      </c>
      <c r="CY45" s="221">
        <f>IF(AND($C45&gt;0,AA45=""),1,IF(AA45&gt;$C45,1,0))</f>
        <v/>
      </c>
    </row>
    <row r="46" ht="15" customHeight="1" s="8286">
      <c r="A46" s="9610" t="n"/>
      <c r="B46" s="2058" t="inlineStr">
        <is>
          <t>Hombre</t>
        </is>
      </c>
      <c r="C46" s="1117">
        <f>SUM(D46:P46)</f>
        <v/>
      </c>
      <c r="D46" s="1188" t="n">
        <v>0</v>
      </c>
      <c r="E46" s="1118" t="n">
        <v>0</v>
      </c>
      <c r="F46" s="1118" t="n">
        <v>0</v>
      </c>
      <c r="G46" s="1118" t="n">
        <v>0</v>
      </c>
      <c r="H46" s="1118" t="n">
        <v>0</v>
      </c>
      <c r="I46" s="1118" t="n">
        <v>0</v>
      </c>
      <c r="J46" s="1118" t="n">
        <v>0</v>
      </c>
      <c r="K46" s="1118" t="n">
        <v>0</v>
      </c>
      <c r="L46" s="1118" t="n">
        <v>0</v>
      </c>
      <c r="M46" s="1118" t="n">
        <v>0</v>
      </c>
      <c r="N46" s="1118" t="n">
        <v>0</v>
      </c>
      <c r="O46" s="1118" t="n">
        <v>0</v>
      </c>
      <c r="P46" s="1118" t="n">
        <v>0</v>
      </c>
      <c r="Q46" s="5249" t="n">
        <v>0</v>
      </c>
      <c r="R46" s="1223" t="n">
        <v>0</v>
      </c>
      <c r="S46" s="1192" t="n">
        <v>0</v>
      </c>
      <c r="T46" s="1188" t="n">
        <v>0</v>
      </c>
      <c r="U46" s="1192" t="n">
        <v>0</v>
      </c>
      <c r="V46" s="1188" t="n">
        <v>0</v>
      </c>
      <c r="W46" s="1192" t="n">
        <v>0</v>
      </c>
      <c r="X46" s="1188" t="n">
        <v>0</v>
      </c>
      <c r="Y46" s="1118" t="n">
        <v>0</v>
      </c>
      <c r="Z46" s="1192" t="n">
        <v>0</v>
      </c>
      <c r="AA46" s="1192" t="n">
        <v>0</v>
      </c>
      <c r="AB46">
        <f>CA46&amp;CB46&amp;CC46&amp;CD46&amp;CE46&amp;CF46&amp;CG46&amp;CH46&amp;CI46&amp;CJ46&amp;CK46</f>
        <v/>
      </c>
      <c r="CA46" s="90">
        <f>IF(AND($C46&gt;0,Q46="")," * No olvide digitar la variable "&amp;$Q$33&amp;""&amp;". Digite Cero si no tiene.",IF(Q46&gt;$C46," * La variable "&amp;$Q$33&amp;""&amp;" no  puede ser mayor al Total.",""))</f>
        <v/>
      </c>
      <c r="CB46" s="90">
        <f>IF(AND($C46&gt;0,R46="")," * No olvide digitar la variable "&amp;$R$33&amp;""&amp;". Digite Cero si no tiene.", "")</f>
        <v/>
      </c>
      <c r="CC46" s="90">
        <f>IF(AND($C46&gt;0,S46="")," * No olvide digitar la variable "&amp;$S$33&amp;""&amp;". Digite Cero si no tiene.",IF(S46&gt;C46," * La variable "&amp;$S$33&amp;""&amp;" no  puede ser mayor al Total.",""))</f>
        <v/>
      </c>
      <c r="CD46" s="90">
        <f>IF(AND($D46+E46&gt;0,T46="")," * No olvide digitar la variable Migrantes "&amp;$T$34&amp;""&amp;". Digite Cero si no tiene.",IF(T46&gt;$D46+E46," * La variable Migrantes "&amp;$T$34&amp;""&amp;" no  puede ser mayor al Total.",""))</f>
        <v/>
      </c>
      <c r="CE46" s="90">
        <f>IF(AND($F46+$G46+$H46+$I46+$J46+$K46+$L46+$M46&gt;0,$U46="")," * No olvide digitar la variable Migrantes "&amp;$U$34&amp;""&amp;". Digite Cero si no tiene.",IF($U46&gt;$F46+$G46+$H46+$I46+$J46+$K46+$L46+$M46," * La variable Migrantes "&amp;$U$34&amp;""&amp;" no  puede ser mayor al Total.",""))</f>
        <v/>
      </c>
      <c r="CF46" s="90">
        <f>IF(AND($C46&gt;0,V46="")," * No olvide digitar la variable "&amp;$V$33&amp;""&amp;". Digite Cero si no tiene.","")</f>
        <v/>
      </c>
      <c r="CG46" s="90">
        <f>IF(AND($C46&gt;0,W46="")," * No olvide digitar la variable "&amp;$W$33&amp;""&amp;". Digite Cero si no tiene.",IF(W46&gt;$C46," * La variable "&amp;$W$33&amp;""&amp;" no  puede ser mayor al Total.",""))</f>
        <v/>
      </c>
      <c r="CH46" s="90">
        <f>IF(AND($C46&gt;0,X46="")," * No olvide digitar la variable "&amp;$X$34&amp;""&amp;". Digite Cero si no tiene.",IF(X46&gt;$C46," * La variable "&amp;$X$34&amp;""&amp;" no  puede ser mayor al Total.",""))</f>
        <v/>
      </c>
      <c r="CI46" s="90">
        <f>IF(AND($C46&gt;0,Y46="")," * No olvide digitar la variable "&amp;$Y$34&amp;""&amp;". Digite Cero si no tiene.",IF(Y46&gt;$C46," * La variable "&amp;$Y$34&amp;""&amp;" no  puede ser mayor al Total.",""))</f>
        <v/>
      </c>
      <c r="CJ46" s="90">
        <f>IF(AND($C46&gt;0,Z46="")," * No olvide digitar la variable "&amp;$Z$34&amp;""&amp;". Digite Cero si no tiene.",IF(Z46&gt;$C46," * La variable "&amp;$Z$34&amp;""&amp;" no  puede ser mayor al Total.",""))</f>
        <v/>
      </c>
      <c r="CK46" s="90">
        <f>IF(AND($C46&gt;0,AA46="")," * No olvide digitar la variable "&amp;$AA$33&amp;""&amp;". Digite Cero si no tiene.",IF(AA46&gt;$C46," * La variable "&amp;$AA$33&amp;""&amp;" no  puede ser mayor al Total.",""))</f>
        <v/>
      </c>
      <c r="CO46" s="221">
        <f>IF(AND($C46&gt;0,Q46=""),1,IF(Q46&gt;$C46,1,0))</f>
        <v/>
      </c>
      <c r="CP46" s="221" t="n"/>
      <c r="CQ46" s="221">
        <f>IF(AND($C46&gt;0,S46=""),1,IF(S46&gt;$C46,1,0))</f>
        <v/>
      </c>
      <c r="CR46" s="221">
        <f>IF(AND($D46+$E46&gt;0,$T46=""),1,IF(T46&gt;$D46+$E46,1,0))</f>
        <v/>
      </c>
      <c r="CS46" s="221">
        <f>IF(AND($F46+$G46+$H46+$I46+$J46+$K46+$L46+$M46&gt;0,$U46=""),1,IF($U46&gt;$F46+$G46+$H46+$I46+$J46+$K46+$L46+$M46,1,0))</f>
        <v/>
      </c>
      <c r="CT46" s="221">
        <f>IF(AND($C46&gt;0,V46=""),1,0)</f>
        <v/>
      </c>
      <c r="CU46" s="221">
        <f>IF(AND($C46&gt;0,W46=""),1,IF(W46&gt;$C46,1,0))</f>
        <v/>
      </c>
      <c r="CV46" s="221">
        <f>IF(AND($C46&gt;0,X46=""),1,IF(X46&gt;$C46,1,0))</f>
        <v/>
      </c>
      <c r="CW46" s="221">
        <f>IF(AND($C46&gt;0,Y46=""),1,IF(Y46&gt;$C46,1,0))</f>
        <v/>
      </c>
      <c r="CX46" s="221">
        <f>IF(AND($C46&gt;0,Z46=""),1,IF(Z46&gt;$C46,1,0))</f>
        <v/>
      </c>
      <c r="CY46" s="221">
        <f>IF(AND($C46&gt;0,AA46=""),1,IF(AA46&gt;$C46,1,0))</f>
        <v/>
      </c>
    </row>
    <row r="47" ht="15" customHeight="1" s="8286">
      <c r="A47" s="9933" t="inlineStr">
        <is>
          <t>Esterilización Quirúrgica</t>
        </is>
      </c>
      <c r="B47" s="2052" t="inlineStr">
        <is>
          <t>Mujer</t>
        </is>
      </c>
      <c r="C47" s="7748">
        <f>SUM(D47:M47)</f>
        <v/>
      </c>
      <c r="D47" s="2022" t="n">
        <v>0</v>
      </c>
      <c r="E47" s="835" t="n">
        <v>0</v>
      </c>
      <c r="F47" s="835" t="n">
        <v>0</v>
      </c>
      <c r="G47" s="835" t="n">
        <v>0</v>
      </c>
      <c r="H47" s="835" t="n">
        <v>0</v>
      </c>
      <c r="I47" s="835" t="n">
        <v>0</v>
      </c>
      <c r="J47" s="835" t="n">
        <v>0</v>
      </c>
      <c r="K47" s="835" t="n">
        <v>0</v>
      </c>
      <c r="L47" s="835" t="n">
        <v>0</v>
      </c>
      <c r="M47" s="835" t="n">
        <v>0</v>
      </c>
      <c r="N47" s="847" t="n"/>
      <c r="O47" s="847" t="n"/>
      <c r="P47" s="2049" t="n"/>
      <c r="Q47" s="5213" t="n">
        <v>0</v>
      </c>
      <c r="R47" s="5189" t="n">
        <v>0</v>
      </c>
      <c r="S47" s="2029" t="n">
        <v>0</v>
      </c>
      <c r="T47" s="2022" t="n">
        <v>0</v>
      </c>
      <c r="U47" s="2029" t="n">
        <v>0</v>
      </c>
      <c r="V47" s="2022" t="n">
        <v>0</v>
      </c>
      <c r="W47" s="2029" t="n">
        <v>0</v>
      </c>
      <c r="X47" s="2022" t="n">
        <v>0</v>
      </c>
      <c r="Y47" s="835" t="n">
        <v>0</v>
      </c>
      <c r="Z47" s="2029" t="n">
        <v>0</v>
      </c>
      <c r="AA47" s="2029" t="n">
        <v>0</v>
      </c>
      <c r="AB47">
        <f>CA47&amp;CB47&amp;CC47&amp;CD47&amp;CE47&amp;CF47&amp;CG47&amp;CH47&amp;CI47&amp;CJ47&amp;CK47</f>
        <v/>
      </c>
      <c r="CA47" s="90">
        <f>IF(AND($C47&gt;0,Q47="")," * No olvide digitar la variable "&amp;$Q$33&amp;""&amp;". Digite Cero si no tiene.",IF(Q47&gt;$C47," * La variable "&amp;$Q$33&amp;""&amp;" no  puede ser mayor al Total.",""))</f>
        <v/>
      </c>
      <c r="CB47" s="90">
        <f>IF(AND($C47&gt;0,R47="")," * No olvide digitar la variable "&amp;$R$33&amp;""&amp;". Digite Cero si no tiene.", "")</f>
        <v/>
      </c>
      <c r="CC47" s="90">
        <f>IF(AND($C47&gt;0,S47="")," * No olvide digitar la variable "&amp;$S$33&amp;""&amp;". Digite Cero si no tiene.",IF(S47&gt;C47," * La variable "&amp;$S$33&amp;""&amp;" no  puede ser mayor al Total.",""))</f>
        <v/>
      </c>
      <c r="CD47" s="90">
        <f>IF(AND($D47+E47&gt;0,T47="")," * No olvide digitar la variable Migrantes "&amp;$T$34&amp;""&amp;". Digite Cero si no tiene.",IF(T47&gt;$D47+E47," * La variable Migrantes "&amp;$T$34&amp;""&amp;" no  puede ser mayor al Total.",""))</f>
        <v/>
      </c>
      <c r="CE47" s="90">
        <f>IF(AND($F47+$G47+$H47+$I47+$J47+$K47+$L47+$M47&gt;0,$U47="")," * No olvide digitar la variable Migrantes "&amp;$U$34&amp;""&amp;". Digite Cero si no tiene.",IF($U47&gt;$F47+$G47+$H47+$I47+$J47+$K47+$L47+$M47," * La variable Migrantes "&amp;$U$34&amp;""&amp;" no  puede ser mayor al Total.",""))</f>
        <v/>
      </c>
      <c r="CF47" s="90">
        <f>IF(AND($C47&gt;0,V47="")," * No olvide digitar la variable "&amp;$V$33&amp;""&amp;". Digite Cero si no tiene.","")</f>
        <v/>
      </c>
      <c r="CG47" s="90">
        <f>IF(AND($C47&gt;0,W47="")," * No olvide digitar la variable "&amp;$W$33&amp;""&amp;". Digite Cero si no tiene.",IF(W47&gt;$C47," * La variable "&amp;$W$33&amp;""&amp;" no  puede ser mayor al Total.",""))</f>
        <v/>
      </c>
      <c r="CH47" s="90">
        <f>IF(AND($C47&gt;0,X47="")," * No olvide digitar la variable "&amp;$X$34&amp;""&amp;". Digite Cero si no tiene.",IF(X47&gt;$C47," * La variable "&amp;$X$34&amp;""&amp;" no  puede ser mayor al Total.",""))</f>
        <v/>
      </c>
      <c r="CI47" s="90">
        <f>IF(AND($C47&gt;0,Y47="")," * No olvide digitar la variable "&amp;$Y$34&amp;""&amp;". Digite Cero si no tiene.",IF(Y47&gt;$C47," * La variable "&amp;$Y$34&amp;""&amp;" no  puede ser mayor al Total.",""))</f>
        <v/>
      </c>
      <c r="CJ47" s="90">
        <f>IF(AND($C47&gt;0,Z47="")," * No olvide digitar la variable "&amp;$Z$34&amp;""&amp;". Digite Cero si no tiene.",IF(Z47&gt;$C47," * La variable "&amp;$Z$34&amp;""&amp;" no  puede ser mayor al Total.",""))</f>
        <v/>
      </c>
      <c r="CK47" s="90">
        <f>IF(AND($C47&gt;0,AA47="")," * No olvide digitar la variable "&amp;$AA$33&amp;""&amp;". Digite Cero si no tiene.",IF(AA47&gt;$C47," * La variable "&amp;$AA$33&amp;""&amp;" no  puede ser mayor al Total.",""))</f>
        <v/>
      </c>
      <c r="CO47" s="221">
        <f>IF(AND($C47&gt;0,Q47=""),1,IF(Q47&gt;$C47,1,0))</f>
        <v/>
      </c>
      <c r="CP47" s="221" t="n"/>
      <c r="CQ47" s="221">
        <f>IF(AND($C47&gt;0,S47=""),1,IF(S47&gt;$C47,1,0))</f>
        <v/>
      </c>
      <c r="CR47" s="221">
        <f>IF(AND($D47+$E47&gt;0,$T47=""),1,IF(T47&gt;$D47+$E47,1,0))</f>
        <v/>
      </c>
      <c r="CS47" s="221">
        <f>IF(AND($F47+$G47+$H47+$I47+$J47+$K47+$L47+$M47&gt;0,$U47=""),1,IF($U47&gt;$F47+$G47+$H47+$I47+$J47+$K47+$L47+$M47,1,0))</f>
        <v/>
      </c>
      <c r="CT47" s="221">
        <f>IF(AND($C47&gt;0,V47=""),1,0)</f>
        <v/>
      </c>
      <c r="CU47" s="221">
        <f>IF(AND($C47&gt;0,W47=""),1,IF(W47&gt;$C47,1,0))</f>
        <v/>
      </c>
      <c r="CV47" s="221">
        <f>IF(AND($C47&gt;0,X47=""),1,IF(X47&gt;$C47,1,0))</f>
        <v/>
      </c>
      <c r="CW47" s="221">
        <f>IF(AND($C47&gt;0,Y47=""),1,IF(Y47&gt;$C47,1,0))</f>
        <v/>
      </c>
      <c r="CX47" s="221">
        <f>IF(AND($C47&gt;0,Z47=""),1,IF(Z47&gt;$C47,1,0))</f>
        <v/>
      </c>
      <c r="CY47" s="221">
        <f>IF(AND($C47&gt;0,AA47=""),1,IF(AA47&gt;$C47,1,0))</f>
        <v/>
      </c>
    </row>
    <row r="48" ht="15" customHeight="1" s="8286">
      <c r="A48" s="9610" t="n"/>
      <c r="B48" s="2059" t="inlineStr">
        <is>
          <t>Hombre</t>
        </is>
      </c>
      <c r="C48" s="2060">
        <f>SUM(D48:M48)</f>
        <v/>
      </c>
      <c r="D48" s="872" t="n">
        <v>0</v>
      </c>
      <c r="E48" s="155" t="n">
        <v>0</v>
      </c>
      <c r="F48" s="155" t="n">
        <v>0</v>
      </c>
      <c r="G48" s="155" t="n">
        <v>0</v>
      </c>
      <c r="H48" s="155" t="n">
        <v>0</v>
      </c>
      <c r="I48" s="155" t="n">
        <v>0</v>
      </c>
      <c r="J48" s="155" t="n">
        <v>0</v>
      </c>
      <c r="K48" s="155" t="n">
        <v>0</v>
      </c>
      <c r="L48" s="155" t="n">
        <v>0</v>
      </c>
      <c r="M48" s="155" t="n">
        <v>0</v>
      </c>
      <c r="N48" s="174" t="n"/>
      <c r="O48" s="174" t="n"/>
      <c r="P48" s="175" t="n"/>
      <c r="Q48" s="5360" t="n">
        <v>0</v>
      </c>
      <c r="R48" s="5362" t="n">
        <v>0</v>
      </c>
      <c r="S48" s="1953" t="n">
        <v>0</v>
      </c>
      <c r="T48" s="872" t="n">
        <v>0</v>
      </c>
      <c r="U48" s="1953" t="n">
        <v>0</v>
      </c>
      <c r="V48" s="872" t="n">
        <v>0</v>
      </c>
      <c r="W48" s="1953" t="n">
        <v>0</v>
      </c>
      <c r="X48" s="872" t="n">
        <v>0</v>
      </c>
      <c r="Y48" s="155" t="n">
        <v>0</v>
      </c>
      <c r="Z48" s="1953" t="n">
        <v>0</v>
      </c>
      <c r="AA48" s="1953" t="n">
        <v>0</v>
      </c>
      <c r="AB48">
        <f>CA48&amp;CB48&amp;CC48&amp;CD48&amp;CE48&amp;CF48&amp;CG48&amp;CH48&amp;CI48&amp;CJ48&amp;CK48</f>
        <v/>
      </c>
      <c r="CA48" s="90">
        <f>IF(AND($C48&gt;0,Q48="")," * No olvide digitar la variable "&amp;$Q$33&amp;""&amp;". Digite Cero si no tiene.",IF(Q48&gt;$C48," * La variable "&amp;$Q$33&amp;""&amp;" no  puede ser mayor al Total.",""))</f>
        <v/>
      </c>
      <c r="CB48" s="90">
        <f>IF(AND($C48&gt;0,R48="")," * No olvide digitar la variable "&amp;$R$33&amp;""&amp;". Digite Cero si no tiene.", "")</f>
        <v/>
      </c>
      <c r="CC48" s="90">
        <f>IF(AND($C48&gt;0,S48="")," * No olvide digitar la variable "&amp;$S$33&amp;""&amp;". Digite Cero si no tiene.",IF(S48&gt;C48," * La variable "&amp;$S$33&amp;""&amp;" no  puede ser mayor al Total.",""))</f>
        <v/>
      </c>
      <c r="CD48" s="90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>
        <f>IF(AND($F48+$G48+$H48+$I48+$J48+$K48+$L48+$M48&gt;0,$U48="")," * No olvide digitar la variable Migrantes "&amp;$U$34&amp;""&amp;". Digite Cero si no tiene.",IF($U48&gt;$F48+$G48+$H48+$I48+$J48+$K48+$L48+$M48," * La variable Migrantes "&amp;$U$34&amp;""&amp;" no  puede ser mayor al Total.",""))</f>
        <v/>
      </c>
      <c r="CF48" s="90">
        <f>IF(AND($C48&gt;0,V48="")," * No olvide digitar la variable "&amp;$V$33&amp;""&amp;". Digite Cero si no tiene.","")</f>
        <v/>
      </c>
      <c r="CG48" s="90">
        <f>IF(AND($C48&gt;0,W48="")," * No olvide digitar la variable "&amp;$W$33&amp;""&amp;". Digite Cero si no tiene.",IF(W48&gt;$C48," * La variable "&amp;$W$33&amp;""&amp;" no  puede ser mayor al Total.",""))</f>
        <v/>
      </c>
      <c r="CH48" s="90">
        <f>IF(AND($C48&gt;0,X48="")," * No olvide digitar la variable "&amp;$X$34&amp;""&amp;". Digite Cero si no tiene.",IF(X48&gt;$C48," * La variable "&amp;$X$34&amp;""&amp;" no  puede ser mayor al Total.",""))</f>
        <v/>
      </c>
      <c r="CI48" s="90">
        <f>IF(AND($C48&gt;0,Y48="")," * No olvide digitar la variable "&amp;$Y$34&amp;""&amp;". Digite Cero si no tiene.",IF(Y48&gt;$C48," * La variable "&amp;$Y$34&amp;""&amp;" no  puede ser mayor al Total.",""))</f>
        <v/>
      </c>
      <c r="CJ48" s="90">
        <f>IF(AND($C48&gt;0,Z48="")," * No olvide digitar la variable "&amp;$Z$34&amp;""&amp;". Digite Cero si no tiene.",IF(Z48&gt;$C48," * La variable "&amp;$Z$34&amp;""&amp;" no  puede ser mayor al Total.",""))</f>
        <v/>
      </c>
      <c r="CK48" s="90">
        <f>IF(AND($C48&gt;0,AA48="")," * No olvide digitar la variable "&amp;$AA$33&amp;""&amp;". Digite Cero si no tiene.",IF(AA48&gt;$C48," * La variable "&amp;$AA$33&amp;""&amp;" no  puede ser mayor al Total.",""))</f>
        <v/>
      </c>
      <c r="CO48" s="221">
        <f>IF(AND($C48&gt;0,Q48=""),1,IF(Q48&gt;$C48,1,0))</f>
        <v/>
      </c>
      <c r="CP48" s="221" t="n"/>
      <c r="CQ48" s="221">
        <f>IF(AND($C48&gt;0,S48=""),1,IF(S48&gt;$C48,1,0))</f>
        <v/>
      </c>
      <c r="CR48" s="221">
        <f>IF(AND($D48+$E48&gt;0,$T48=""),1,IF(T48&gt;$D48+$E48,1,0))</f>
        <v/>
      </c>
      <c r="CS48" s="221">
        <f>IF(AND($F48+$G48+$H48+$I48+$J48+$K48+$L48+$M48&gt;0,$U48=""),1,IF($U48&gt;$F48+$G48+$H48+$I48+$J48+$K48+$L48+$M48,1,0))</f>
        <v/>
      </c>
      <c r="CT48" s="221">
        <f>IF(AND($C48&gt;0,V48=""),1,0)</f>
        <v/>
      </c>
      <c r="CU48" s="221">
        <f>IF(AND($C48&gt;0,W48=""),1,IF(W48&gt;$C48,1,0))</f>
        <v/>
      </c>
      <c r="CV48" s="221">
        <f>IF(AND($C48&gt;0,X48=""),1,IF(X48&gt;$C48,1,0))</f>
        <v/>
      </c>
      <c r="CW48" s="221">
        <f>IF(AND($C48&gt;0,Y48=""),1,IF(Y48&gt;$C48,1,0))</f>
        <v/>
      </c>
      <c r="CX48" s="221">
        <f>IF(AND($C48&gt;0,Z48=""),1,IF(Z48&gt;$C48,1,0))</f>
        <v/>
      </c>
      <c r="CY48" s="221">
        <f>IF(AND($C48&gt;0,AA48=""),1,IF(AA48&gt;$C48,1,0))</f>
        <v/>
      </c>
    </row>
    <row r="49" ht="15" customHeight="1" s="8286">
      <c r="A49" s="9933" t="inlineStr">
        <is>
          <t>Otros</t>
        </is>
      </c>
      <c r="B49" s="9582" t="n"/>
      <c r="C49" s="7725">
        <f>SUM(D49:M49)</f>
        <v/>
      </c>
      <c r="D49" s="2036" t="n">
        <v>0</v>
      </c>
      <c r="E49" s="2061" t="n">
        <v>0</v>
      </c>
      <c r="F49" s="2061" t="n">
        <v>0</v>
      </c>
      <c r="G49" s="2061" t="n">
        <v>0</v>
      </c>
      <c r="H49" s="2061" t="n">
        <v>0</v>
      </c>
      <c r="I49" s="2061" t="n">
        <v>0</v>
      </c>
      <c r="J49" s="2061" t="n">
        <v>0</v>
      </c>
      <c r="K49" s="2061" t="n">
        <v>0</v>
      </c>
      <c r="L49" s="2061" t="n">
        <v>0</v>
      </c>
      <c r="M49" s="2061" t="n">
        <v>0</v>
      </c>
      <c r="N49" s="2062" t="n"/>
      <c r="O49" s="2062" t="n"/>
      <c r="P49" s="2063" t="n"/>
      <c r="Q49" s="5361" t="n">
        <v>0</v>
      </c>
      <c r="R49" s="5207" t="n">
        <v>0</v>
      </c>
      <c r="S49" s="2039" t="n">
        <v>0</v>
      </c>
      <c r="T49" s="2036" t="n">
        <v>0</v>
      </c>
      <c r="U49" s="2039" t="n">
        <v>0</v>
      </c>
      <c r="V49" s="2036" t="n">
        <v>0</v>
      </c>
      <c r="W49" s="2039" t="n">
        <v>0</v>
      </c>
      <c r="X49" s="2036" t="n">
        <v>0</v>
      </c>
      <c r="Y49" s="2061" t="n">
        <v>0</v>
      </c>
      <c r="Z49" s="2039" t="n">
        <v>0</v>
      </c>
      <c r="AA49" s="2039" t="n">
        <v>0</v>
      </c>
      <c r="AB49">
        <f>CA49&amp;CB49&amp;CC49&amp;CD49&amp;CE49&amp;CF49&amp;CG49&amp;CH49&amp;CI49&amp;CJ49&amp;CK49</f>
        <v/>
      </c>
      <c r="CA49" s="90">
        <f>IF(AND($C49&gt;0,Q49="")," * No olvide digitar la variable "&amp;$Q$33&amp;""&amp;". Digite Cero si no tiene.",IF(Q49&gt;$C49," * La variable "&amp;$Q$33&amp;""&amp;" no  puede ser mayor al Total.",""))</f>
        <v/>
      </c>
      <c r="CB49" s="90">
        <f>IF(AND($C49&gt;0,R49="")," * No olvide digitar la variable "&amp;$R$33&amp;""&amp;". Digite Cero si no tiene.", "")</f>
        <v/>
      </c>
      <c r="CC49" s="90">
        <f>IF(AND($C49&gt;0,S49="")," * No olvide digitar la variable "&amp;$S$33&amp;""&amp;". Digite Cero si no tiene.",IF(S49&gt;C49," * La variable "&amp;$S$33&amp;""&amp;" no  puede ser mayor al Total.",""))</f>
        <v/>
      </c>
      <c r="CD49" s="90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>
        <f>IF(AND($F49+$G49+$H49+$I49+$J49+$K49+$L49+$M49&gt;0,$U49="")," * No olvide digitar la variable Migrantes "&amp;$U$34&amp;""&amp;". Digite Cero si no tiene.",IF($U49&gt;$F49+$G49+$H49+$I49+$J49+$K49+$L49+$M49," * La variable Migrantes "&amp;$U$34&amp;""&amp;" no  puede ser mayor al Total.",""))</f>
        <v/>
      </c>
      <c r="CF49" s="90">
        <f>IF(AND($C49&gt;0,V49="")," * No olvide digitar la variable "&amp;$V$33&amp;""&amp;". Digite Cero si no tiene.","")</f>
        <v/>
      </c>
      <c r="CG49" s="90">
        <f>IF(AND($C49&gt;0,W49="")," * No olvide digitar la variable "&amp;$W$33&amp;""&amp;". Digite Cero si no tiene.",IF(W49&gt;$C49," * La variable "&amp;$W$33&amp;""&amp;" no  puede ser mayor al Total.",""))</f>
        <v/>
      </c>
      <c r="CH49" s="90">
        <f>IF(AND($C49&gt;0,X49="")," * No olvide digitar la variable "&amp;$X$34&amp;""&amp;". Digite Cero si no tiene.",IF(X49&gt;$C49," * La variable "&amp;$X$34&amp;""&amp;" no  puede ser mayor al Total.",""))</f>
        <v/>
      </c>
      <c r="CI49" s="90">
        <f>IF(AND($C49&gt;0,Y49="")," * No olvide digitar la variable "&amp;$Y$34&amp;""&amp;". Digite Cero si no tiene.",IF(Y49&gt;$C49," * La variable "&amp;$Y$34&amp;""&amp;" no  puede ser mayor al Total.",""))</f>
        <v/>
      </c>
      <c r="CJ49" s="90">
        <f>IF(AND($C49&gt;0,Z49="")," * No olvide digitar la variable "&amp;$Z$34&amp;""&amp;". Digite Cero si no tiene.",IF(Z49&gt;$C49," * La variable "&amp;$Z$34&amp;""&amp;" no  puede ser mayor al Total.",""))</f>
        <v/>
      </c>
      <c r="CK49" s="90">
        <f>IF(AND($C49&gt;0,AA49="")," * No olvide digitar la variable "&amp;$AA$33&amp;""&amp;". Digite Cero si no tiene.",IF(AA49&gt;$C49," * La variable "&amp;$AA$33&amp;""&amp;" no  puede ser mayor al Total.",""))</f>
        <v/>
      </c>
      <c r="CO49" s="221">
        <f>IF(AND($C49&gt;0,Q49=""),1,IF(Q49&gt;$C49,1,0))</f>
        <v/>
      </c>
      <c r="CP49" s="221" t="n"/>
      <c r="CQ49" s="221">
        <f>IF(AND($C49&gt;0,S49=""),1,IF(S49&gt;$C49,1,0))</f>
        <v/>
      </c>
      <c r="CR49" s="221">
        <f>IF(AND($D49+$E49&gt;0,$T49=""),1,IF(T49&gt;$D49+$E49,1,0))</f>
        <v/>
      </c>
      <c r="CS49" s="221">
        <f>IF(AND($F49+$G49+$H49+$I49+$J49+$K49+$L49+$M49&gt;0,$U49=""),1,IF($U49&gt;$F49+$G49+$H49+$I49+$J49+$K49+$L49+$M49,1,0))</f>
        <v/>
      </c>
      <c r="CT49" s="221">
        <f>IF(AND($C49&gt;0,V49=""),1,0)</f>
        <v/>
      </c>
      <c r="CU49" s="221">
        <f>IF(AND($C49&gt;0,W49=""),1,IF(W49&gt;$C49,1,0))</f>
        <v/>
      </c>
      <c r="CV49" s="221">
        <f>IF(AND($C49&gt;0,X49=""),1,IF(X49&gt;$C49,1,0))</f>
        <v/>
      </c>
      <c r="CW49" s="221">
        <f>IF(AND($C49&gt;0,Y49=""),1,IF(Y49&gt;$C49,1,0))</f>
        <v/>
      </c>
      <c r="CX49" s="221">
        <f>IF(AND($C49&gt;0,Z49=""),1,IF(Z49&gt;$C49,1,0))</f>
        <v/>
      </c>
      <c r="CY49" s="221">
        <f>IF(AND($C49&gt;0,AA49=""),1,IF(AA49&gt;$C49,1,0))</f>
        <v/>
      </c>
    </row>
    <row r="50" ht="15" customHeight="1" s="8286">
      <c r="A50" s="9934" t="inlineStr">
        <is>
          <t>Método de Regulación de Fertilidad más Preservativos</t>
        </is>
      </c>
      <c r="B50" s="9935" t="n"/>
      <c r="C50" s="1946">
        <f>SUM(D50:M50)</f>
        <v/>
      </c>
      <c r="D50" s="1935" t="n">
        <v>0</v>
      </c>
      <c r="E50" s="793" t="n">
        <v>7</v>
      </c>
      <c r="F50" s="793" t="n">
        <v>2</v>
      </c>
      <c r="G50" s="793" t="n">
        <v>0</v>
      </c>
      <c r="H50" s="793" t="n">
        <v>1</v>
      </c>
      <c r="I50" s="793" t="n">
        <v>2</v>
      </c>
      <c r="J50" s="793" t="n">
        <v>2</v>
      </c>
      <c r="K50" s="793" t="n">
        <v>0</v>
      </c>
      <c r="L50" s="793" t="n">
        <v>0</v>
      </c>
      <c r="M50" s="793" t="n">
        <v>0</v>
      </c>
      <c r="N50" s="794" t="n"/>
      <c r="O50" s="794" t="n"/>
      <c r="P50" s="795" t="n"/>
      <c r="Q50" s="5214" t="n">
        <v>0</v>
      </c>
      <c r="R50" s="1964" t="n">
        <v>0</v>
      </c>
      <c r="S50" s="1186" t="n">
        <v>1</v>
      </c>
      <c r="T50" s="1935" t="n">
        <v>0</v>
      </c>
      <c r="U50" s="1186" t="n">
        <v>0</v>
      </c>
      <c r="V50" s="1935" t="n">
        <v>0</v>
      </c>
      <c r="W50" s="1186" t="n">
        <v>0</v>
      </c>
      <c r="X50" s="1935" t="n">
        <v>0</v>
      </c>
      <c r="Y50" s="793" t="n">
        <v>0</v>
      </c>
      <c r="Z50" s="1186" t="n">
        <v>0</v>
      </c>
      <c r="AA50" s="1186" t="n">
        <v>0</v>
      </c>
      <c r="AB50">
        <f>CA50&amp;CB50&amp;CC50&amp;CD50&amp;CE50&amp;CF50&amp;CG50&amp;CH50&amp;CI50&amp;CJ50&amp;CK50</f>
        <v/>
      </c>
      <c r="CA50" s="90">
        <f>IF(AND($C50&gt;0,Q50="")," * No olvide digitar la variable "&amp;$Q$33&amp;""&amp;". Digite Cero si no tiene.",IF(Q50&gt;$C50," * La variable "&amp;$Q$33&amp;""&amp;" no  puede ser mayor al Total.",""))</f>
        <v/>
      </c>
      <c r="CB50" s="90">
        <f>IF(AND($C50&gt;0,R50="")," * No olvide digitar la variable "&amp;$R$33&amp;""&amp;". Digite Cero si no tiene.", "")</f>
        <v/>
      </c>
      <c r="CC50" s="90">
        <f>IF(AND($C50&gt;0,S50="")," * No olvide digitar la variable "&amp;$S$33&amp;""&amp;". Digite Cero si no tiene.",IF(S50&gt;C50," * La variable "&amp;$S$33&amp;""&amp;" no  puede ser mayor al Total.",""))</f>
        <v/>
      </c>
      <c r="CD50" s="90">
        <f>IF(AND($D50+E50&gt;0,T50="")," * No olvide digitar la variable Migrantes "&amp;$T$34&amp;""&amp;". Digite Cero si no tiene.",IF(T50&gt;$D50+E50," * La variable Migrantes "&amp;$T$34&amp;""&amp;" no  puede ser mayor al Total.",""))</f>
        <v/>
      </c>
      <c r="CE50" s="90">
        <f>IF(AND($F50+$G50+$H50+$I50+$J50+$K50+$L50+$M50&gt;0,$U50="")," * No olvide digitar la variable Migrantes "&amp;$U$34&amp;""&amp;". Digite Cero si no tiene.",IF($U50&gt;$F50+$G50+$H50+$I50+$J50+$K50+$L50+$M50," * La variable Migrantes "&amp;$U$34&amp;""&amp;" no  puede ser mayor al Total.",""))</f>
        <v/>
      </c>
      <c r="CF50" s="90">
        <f>IF(AND($C50&gt;0,V50="")," * No olvide digitar la variable "&amp;$V$33&amp;""&amp;". Digite Cero si no tiene.","")</f>
        <v/>
      </c>
      <c r="CG50" s="90">
        <f>IF(AND($C50&gt;0,W50="")," * No olvide digitar la variable "&amp;$W$33&amp;""&amp;". Digite Cero si no tiene.",IF(W50&gt;$C50," * La variable "&amp;$W$33&amp;""&amp;" no  puede ser mayor al Total.",""))</f>
        <v/>
      </c>
      <c r="CH50" s="90">
        <f>IF(AND($C50&gt;0,X50="")," * No olvide digitar la variable "&amp;$X$34&amp;""&amp;". Digite Cero si no tiene.",IF(X50&gt;$C50," * La variable "&amp;$X$34&amp;""&amp;" no  puede ser mayor al Total.",""))</f>
        <v/>
      </c>
      <c r="CI50" s="90">
        <f>IF(AND($C50&gt;0,Y50="")," * No olvide digitar la variable "&amp;$Y$34&amp;""&amp;". Digite Cero si no tiene.",IF(Y50&gt;$C50," * La variable "&amp;$Y$34&amp;""&amp;" no  puede ser mayor al Total.",""))</f>
        <v/>
      </c>
      <c r="CJ50" s="90">
        <f>IF(AND($C50&gt;0,Z50="")," * No olvide digitar la variable "&amp;$Z$34&amp;""&amp;". Digite Cero si no tiene.",IF(Z50&gt;$C50," * La variable "&amp;$Z$34&amp;""&amp;" no  puede ser mayor al Total.",""))</f>
        <v/>
      </c>
      <c r="CK50" s="90">
        <f>IF(AND($C50&gt;0,AA50="")," * No olvide digitar la variable "&amp;$AA$33&amp;""&amp;". Digite Cero si no tiene.",IF(AA50&gt;$C50," * La variable "&amp;$AA$33&amp;""&amp;" no  puede ser mayor al Total.",""))</f>
        <v/>
      </c>
      <c r="CO50" s="221">
        <f>IF(AND($C50&gt;0,Q50=""),1,IF(Q50&gt;$C50,1,0))</f>
        <v/>
      </c>
      <c r="CP50" s="221" t="n"/>
      <c r="CQ50" s="221">
        <f>IF(AND($C50&gt;0,S50=""),1,IF(S50&gt;$C50,1,0))</f>
        <v/>
      </c>
      <c r="CR50" s="221">
        <f>IF(AND($D50+$E50&gt;0,$T50=""),1,IF(T50&gt;$D50+$E50,1,0))</f>
        <v/>
      </c>
      <c r="CS50" s="221">
        <f>IF(AND($F50+$G50+$H50+$I50+$J50+$K50+$L50+$M50&gt;0,$U50=""),1,IF($U50&gt;$F50+$G50+$H50+$I50+$J50+$K50+$L50+$M50,1,0))</f>
        <v/>
      </c>
      <c r="CT50" s="221">
        <f>IF(AND($C50&gt;0,V50=""),1,0)</f>
        <v/>
      </c>
      <c r="CU50" s="221">
        <f>IF(AND($C50&gt;0,W50=""),1,IF(W50&gt;$C50,1,0))</f>
        <v/>
      </c>
      <c r="CV50" s="221">
        <f>IF(AND($C50&gt;0,X50=""),1,IF(X50&gt;$C50,1,0))</f>
        <v/>
      </c>
      <c r="CW50" s="221">
        <f>IF(AND($C50&gt;0,Y50=""),1,IF(Y50&gt;$C50,1,0))</f>
        <v/>
      </c>
      <c r="CX50" s="221">
        <f>IF(AND($C50&gt;0,Z50=""),1,IF(Z50&gt;$C50,1,0))</f>
        <v/>
      </c>
      <c r="CY50" s="221">
        <f>IF(AND($C50&gt;0,AA50=""),1,IF(AA50&gt;$C50,1,0))</f>
        <v/>
      </c>
    </row>
    <row r="51" ht="15" customHeight="1" s="8286">
      <c r="A51" s="9936" t="inlineStr">
        <is>
          <t>Gestantes que reciben preservativo</t>
        </is>
      </c>
      <c r="B51" s="9639" t="n"/>
      <c r="C51" s="2060">
        <f>SUM(D51:M51)</f>
        <v/>
      </c>
      <c r="D51" s="872" t="n">
        <v>0</v>
      </c>
      <c r="E51" s="155" t="n">
        <v>0</v>
      </c>
      <c r="F51" s="155" t="n">
        <v>0</v>
      </c>
      <c r="G51" s="155" t="n">
        <v>0</v>
      </c>
      <c r="H51" s="155" t="n">
        <v>0</v>
      </c>
      <c r="I51" s="155" t="n">
        <v>0</v>
      </c>
      <c r="J51" s="155" t="n">
        <v>0</v>
      </c>
      <c r="K51" s="155" t="n">
        <v>0</v>
      </c>
      <c r="L51" s="155" t="n">
        <v>0</v>
      </c>
      <c r="M51" s="155" t="n">
        <v>0</v>
      </c>
      <c r="N51" s="174" t="n"/>
      <c r="O51" s="174" t="n"/>
      <c r="P51" s="175" t="n"/>
      <c r="Q51" s="5360" t="n">
        <v>0</v>
      </c>
      <c r="R51" s="5362" t="n">
        <v>0</v>
      </c>
      <c r="S51" s="1953" t="n">
        <v>0</v>
      </c>
      <c r="T51" s="872" t="n">
        <v>0</v>
      </c>
      <c r="U51" s="1953" t="n">
        <v>0</v>
      </c>
      <c r="V51" s="872" t="n">
        <v>0</v>
      </c>
      <c r="W51" s="1953" t="n">
        <v>0</v>
      </c>
      <c r="X51" s="872" t="n">
        <v>0</v>
      </c>
      <c r="Y51" s="155" t="n">
        <v>0</v>
      </c>
      <c r="Z51" s="1953" t="n">
        <v>0</v>
      </c>
      <c r="AA51" s="1953" t="n">
        <v>0</v>
      </c>
      <c r="AB51">
        <f>CA51&amp;CB51&amp;CC51&amp;CD51&amp;CE51&amp;CF51&amp;CG51&amp;CH51&amp;CI51&amp;CJ51&amp;CK51</f>
        <v/>
      </c>
      <c r="CA51" s="90">
        <f>IF(AND($C51&gt;0,Q51="")," * No olvide digitar la variable "&amp;$Q$33&amp;""&amp;". Digite Cero si no tiene.",IF(Q51&gt;$C51," * La variable "&amp;$Q$33&amp;""&amp;" no  puede ser mayor al Total.",""))</f>
        <v/>
      </c>
      <c r="CB51" s="90">
        <f>IF(AND($C51&gt;0,R51="")," * No olvide digitar la variable "&amp;$R$33&amp;""&amp;". Digite Cero si no tiene.", "")</f>
        <v/>
      </c>
      <c r="CC51" s="90">
        <f>IF(AND($C51&gt;0,S51="")," * No olvide digitar la variable "&amp;$S$33&amp;""&amp;". Digite Cero si no tiene.",IF(S51&gt;C51," * La variable "&amp;$S$33&amp;""&amp;" no  puede ser mayor al Total.",""))</f>
        <v/>
      </c>
      <c r="CD51" s="90">
        <f>IF(AND($D51+E51&gt;0,T51="")," * No olvide digitar la variable Migrantes "&amp;$T$34&amp;""&amp;". Digite Cero si no tiene.",IF(T51&gt;$D51+E51," * La variable Migrantes "&amp;$T$34&amp;""&amp;" no  puede ser mayor al Total.",""))</f>
        <v/>
      </c>
      <c r="CE51" s="90">
        <f>IF(AND($F51+$G51+$H51+$I51+$J51+$K51+$L51+$M51&gt;0,$U51="")," * No olvide digitar la variable Migrantes "&amp;$U$34&amp;""&amp;". Digite Cero si no tiene.",IF($U51&gt;$F51+$G51+$H51+$I51+$J51+$K51+$L51+$M51," * La variable Migrantes "&amp;$U$34&amp;""&amp;" no  puede ser mayor al Total.",""))</f>
        <v/>
      </c>
      <c r="CF51" s="90">
        <f>IF(AND($C51&gt;0,V51="")," * No olvide digitar la variable "&amp;$V$33&amp;""&amp;". Digite Cero si no tiene.","")</f>
        <v/>
      </c>
      <c r="CG51" s="90">
        <f>IF(AND($C51&gt;0,W51="")," * No olvide digitar la variable "&amp;$W$33&amp;""&amp;". Digite Cero si no tiene.",IF(W51&gt;$C51," * La variable "&amp;$W$33&amp;""&amp;" no  puede ser mayor al Total.",""))</f>
        <v/>
      </c>
      <c r="CH51" s="90">
        <f>IF(AND($C51&gt;0,X51="")," * No olvide digitar la variable "&amp;$X$34&amp;""&amp;". Digite Cero si no tiene.",IF(X51&gt;$C51," * La variable "&amp;$X$34&amp;""&amp;" no  puede ser mayor al Total.",""))</f>
        <v/>
      </c>
      <c r="CI51" s="90">
        <f>IF(AND($C51&gt;0,Y51="")," * No olvide digitar la variable "&amp;$Y$34&amp;""&amp;". Digite Cero si no tiene.",IF(Y51&gt;$C51," * La variable "&amp;$Y$34&amp;""&amp;" no  puede ser mayor al Total.",""))</f>
        <v/>
      </c>
      <c r="CJ51" s="90">
        <f>IF(AND($C51&gt;0,Z51="")," * No olvide digitar la variable "&amp;$Z$34&amp;""&amp;". Digite Cero si no tiene.",IF(Z51&gt;$C51," * La variable "&amp;$Z$34&amp;""&amp;" no  puede ser mayor al Total.",""))</f>
        <v/>
      </c>
      <c r="CK51" s="90">
        <f>IF(AND($C51&gt;0,AA51="")," * No olvide digitar la variable "&amp;$AA$33&amp;""&amp;". Digite Cero si no tiene.",IF(AA51&gt;$C51," * La variable "&amp;$AA$33&amp;""&amp;" no  puede ser mayor al Total.",""))</f>
        <v/>
      </c>
      <c r="CO51" s="221">
        <f>IF(AND($C51&gt;0,Q51=""),1,IF(Q51&gt;$C51,1,0))</f>
        <v/>
      </c>
      <c r="CP51" s="221" t="n"/>
      <c r="CQ51" s="221">
        <f>IF(AND($C51&gt;0,S51=""),1,IF(S51&gt;$C51,1,0))</f>
        <v/>
      </c>
      <c r="CR51" s="221">
        <f>IF(AND($D51+$E51&gt;0,$T51=""),1,IF(T51&gt;$D51+$E51,1,0))</f>
        <v/>
      </c>
      <c r="CS51" s="221">
        <f>IF(AND($F51+$G51+$H51+$I51+$J51+$K51+$L51+$M51&gt;0,$U51=""),1,IF($U51&gt;$F51+$G51+$H51+$I51+$J51+$K51+$L51+$M51,1,0))</f>
        <v/>
      </c>
      <c r="CT51" s="221">
        <f>IF(AND($C51&gt;0,V51=""),1,0)</f>
        <v/>
      </c>
      <c r="CU51" s="221">
        <f>IF(AND($C51&gt;0,W51=""),1,IF(W51&gt;$C51,1,0))</f>
        <v/>
      </c>
      <c r="CV51" s="221">
        <f>IF(AND($C51&gt;0,X51=""),1,IF(X51&gt;$C51,1,0))</f>
        <v/>
      </c>
      <c r="CW51" s="221">
        <f>IF(AND($C51&gt;0,Y51=""),1,IF(Y51&gt;$C51,1,0))</f>
        <v/>
      </c>
      <c r="CX51" s="221">
        <f>IF(AND($C51&gt;0,Z51=""),1,IF(Z51&gt;$C51,1,0))</f>
        <v/>
      </c>
      <c r="CY51" s="221">
        <f>IF(AND($C51&gt;0,AA51=""),1,IF(AA51&gt;$C51,1,0))</f>
        <v/>
      </c>
    </row>
    <row r="52" ht="24.75" customHeight="1" s="8286">
      <c r="A52" s="2" t="inlineStr">
        <is>
          <t>SECCIÓN C1: INGRESOS A SALUD SEXUAL</t>
        </is>
      </c>
      <c r="CB52" s="17" t="n"/>
      <c r="CC52" s="17" t="n"/>
      <c r="CD52" s="17" t="n"/>
      <c r="CE52" s="17" t="n"/>
      <c r="CF52" s="17" t="n"/>
      <c r="CO52" s="902" t="n"/>
    </row>
    <row r="53" ht="22.9" customHeight="1" s="8286">
      <c r="A53" s="9914" t="inlineStr">
        <is>
          <t>MÉTODOS</t>
        </is>
      </c>
      <c r="B53" s="9630" t="n"/>
      <c r="C53" s="8400" t="inlineStr">
        <is>
          <t xml:space="preserve">TOTAL      </t>
        </is>
      </c>
      <c r="D53" s="9915" t="inlineStr">
        <is>
          <t>RANGO ETARIO</t>
        </is>
      </c>
      <c r="E53" s="9584" t="n"/>
      <c r="F53" s="9584" t="n"/>
      <c r="G53" s="9584" t="n"/>
      <c r="H53" s="9584" t="n"/>
      <c r="I53" s="9584" t="n"/>
      <c r="J53" s="9584" t="n"/>
      <c r="K53" s="9584" t="n"/>
      <c r="L53" s="9584" t="n"/>
      <c r="M53" s="9584" t="n"/>
      <c r="N53" s="9584" t="n"/>
      <c r="O53" s="9584" t="n"/>
      <c r="P53" s="9595" t="n"/>
      <c r="Q53" s="9916" t="inlineStr">
        <is>
          <t>Espacios Amigables/ Adolescentes</t>
        </is>
      </c>
      <c r="R53" s="8400" t="inlineStr">
        <is>
          <t>Pueblos Originarios</t>
        </is>
      </c>
      <c r="S53" s="8400" t="inlineStr">
        <is>
          <t>Migrantes</t>
        </is>
      </c>
      <c r="T53" s="9582" t="n"/>
      <c r="U53" s="8400" t="inlineStr">
        <is>
          <t>Identidad de Género</t>
        </is>
      </c>
      <c r="V53" s="9584" t="n"/>
      <c r="W53" s="9582" t="n"/>
      <c r="X53" s="9920" t="inlineStr">
        <is>
          <t>Personas con Discpacidad</t>
        </is>
      </c>
      <c r="CA53" s="17" t="n"/>
      <c r="CB53" s="17" t="n"/>
      <c r="CC53" s="17" t="n"/>
      <c r="CD53" s="17" t="n"/>
      <c r="CE53" s="17" t="n"/>
      <c r="CQ53" s="902" t="n"/>
    </row>
    <row r="54" ht="28.5" customHeight="1" s="8286">
      <c r="A54" s="642" t="n"/>
      <c r="B54" s="9718" t="n"/>
      <c r="C54" s="9610" t="n"/>
      <c r="D54" s="7932" t="inlineStr">
        <is>
          <t>Menos
de 15 años</t>
        </is>
      </c>
      <c r="E54" s="2012" t="inlineStr">
        <is>
          <t>15 - 19 años</t>
        </is>
      </c>
      <c r="F54" s="2012" t="inlineStr">
        <is>
          <t>20 - 24 años</t>
        </is>
      </c>
      <c r="G54" s="2012" t="inlineStr">
        <is>
          <t>25 - 29 años</t>
        </is>
      </c>
      <c r="H54" s="2012" t="inlineStr">
        <is>
          <t>30 - 34 años</t>
        </is>
      </c>
      <c r="I54" s="2012" t="inlineStr">
        <is>
          <t>35 - 39 años</t>
        </is>
      </c>
      <c r="J54" s="2012" t="inlineStr">
        <is>
          <t>40 - 44 años</t>
        </is>
      </c>
      <c r="K54" s="2012" t="inlineStr">
        <is>
          <t>45 - 49 años</t>
        </is>
      </c>
      <c r="L54" s="2012" t="inlineStr">
        <is>
          <t>50 - 54 años</t>
        </is>
      </c>
      <c r="M54" s="2012" t="inlineStr">
        <is>
          <t>55 - 59 años</t>
        </is>
      </c>
      <c r="N54" s="2042" t="inlineStr">
        <is>
          <t>60 - 64 años</t>
        </is>
      </c>
      <c r="O54" s="2012" t="inlineStr">
        <is>
          <t>65 - 69 años</t>
        </is>
      </c>
      <c r="P54" s="1981" t="inlineStr">
        <is>
          <t>70 y más años</t>
        </is>
      </c>
      <c r="Q54" s="9890" t="n"/>
      <c r="R54" s="9610" t="n"/>
      <c r="S54" s="7932" t="inlineStr">
        <is>
          <t>Menor de 20 años</t>
        </is>
      </c>
      <c r="T54" s="7666" t="inlineStr">
        <is>
          <t>20 y más años</t>
        </is>
      </c>
      <c r="U54" s="8033" t="inlineStr">
        <is>
          <t>Trans masculino</t>
        </is>
      </c>
      <c r="V54" s="2044" t="inlineStr">
        <is>
          <t>Trans femenino</t>
        </is>
      </c>
      <c r="W54" s="9481" t="inlineStr">
        <is>
          <t>No binarie</t>
        </is>
      </c>
      <c r="X54" s="9641" t="n"/>
      <c r="CA54" s="17" t="n"/>
      <c r="CB54" s="17" t="n"/>
      <c r="CC54" s="17" t="n"/>
      <c r="CD54" s="17" t="n"/>
      <c r="CE54" s="17" t="n"/>
      <c r="CQ54" s="902" t="n"/>
    </row>
    <row r="55" ht="15" customHeight="1" s="8286">
      <c r="A55" s="9933" t="inlineStr">
        <is>
          <t>Preservativo/Practica Sexual Segura</t>
        </is>
      </c>
      <c r="B55" s="2065" t="inlineStr">
        <is>
          <t>Mujer</t>
        </is>
      </c>
      <c r="C55" s="7748">
        <f>SUM(D55:P55)</f>
        <v/>
      </c>
      <c r="D55" s="2022" t="n"/>
      <c r="E55" s="835" t="n"/>
      <c r="F55" s="835" t="n"/>
      <c r="G55" s="835" t="n"/>
      <c r="H55" s="835" t="n"/>
      <c r="I55" s="835" t="n"/>
      <c r="J55" s="835" t="n"/>
      <c r="K55" s="835" t="n"/>
      <c r="L55" s="835" t="n"/>
      <c r="M55" s="835" t="n"/>
      <c r="N55" s="2023" t="n"/>
      <c r="O55" s="835" t="n"/>
      <c r="P55" s="1940" t="n"/>
      <c r="Q55" s="5213" t="n"/>
      <c r="R55" s="5189" t="n"/>
      <c r="S55" s="2022" t="n"/>
      <c r="T55" s="2029" t="n"/>
      <c r="U55" s="2022" t="n"/>
      <c r="V55" s="835" t="n"/>
      <c r="W55" s="2029" t="n"/>
      <c r="X55" s="2029" t="n"/>
      <c r="Y55">
        <f>CA55&amp;CB55&amp;CC55&amp;CD55&amp;CE55&amp;CF55&amp;CG55&amp;CH55</f>
        <v/>
      </c>
      <c r="CA55" s="90">
        <f>IF(AND($C55&gt;0,Q55="")," * No olvide digitar la variable "&amp;Q$53&amp;""&amp;". Digite Cero si no tiene.",IF(Q55&gt;$C55," * La variable "&amp;Q$53&amp;""&amp;" no  puede ser mayor al Total.",""))</f>
        <v/>
      </c>
      <c r="CB55" s="90">
        <f>IF(AND($C55&gt;0,R55="")," * No olvide digitar la variable "&amp;R$53&amp;""&amp;". Digite Cero si no tiene.",IF(R55&gt;$C55," * La variable "&amp;R$53&amp;""&amp;" no  puede ser mayor al Total.",""))</f>
        <v/>
      </c>
      <c r="CC55" s="90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>
        <f>IF(AND($C55&gt;0,U55="")," * No olvide digitar la variable "&amp;U$54&amp;""&amp;". Digite Cero si no tiene.",IF(U55&gt;$C55," * La variable "&amp;U$54&amp;""&amp;" no  puede ser mayor al Total.",""))</f>
        <v/>
      </c>
      <c r="CF55" s="90">
        <f>IF(AND($C55&gt;0,V55="")," * No olvide digitar la variable "&amp;V$54&amp;""&amp;". Digite Cero si no tiene.",IF(V55&gt;$C55," * La variable "&amp;V$54&amp;""&amp;" no  puede ser mayor al Total.",""))</f>
        <v/>
      </c>
      <c r="CG55" s="90">
        <f>IF(AND($C55&gt;0,W55="")," * No olvide digitar la variable "&amp;W$54&amp;""&amp;". Digite Cero si no tiene.",IF(W55&gt;$C55," * La variable "&amp;W$54&amp;""&amp;" no  puede ser mayor al Total.",""))</f>
        <v/>
      </c>
      <c r="CH55" s="90">
        <f>IF(AND($C55&gt;0,X55="")," * No olvide digitar la variable "&amp;X$53&amp;""&amp;". Digite Cero si no tiene.",IF(X55&gt;$C55," * La variable "&amp;X$53&amp;""&amp;" no  puede ser mayor al Total.",""))</f>
        <v/>
      </c>
      <c r="CI55" s="17" t="n"/>
      <c r="CO55" s="903">
        <f>IF(AND($C55&gt;0,Q55=""),1,IF(Q55&gt;$C55,1,0))</f>
        <v/>
      </c>
      <c r="CP55" s="903">
        <f>IF(AND($C55&gt;0,R55=""),1,IF(R55&gt;$C55,1,0))</f>
        <v/>
      </c>
      <c r="CQ55" s="903">
        <f>IF(AND($D55+$E55&gt;0,S55=""),1,IF(S55&gt;$D55+$E55,1,0))</f>
        <v/>
      </c>
      <c r="CR55" s="903">
        <f>IF(AND($F55+$G55+$H55+$I55+$J55+$K55+$L55+$M55+$N55+$O55+$P55&gt;0,$T55=""),1,IF($T55&gt;$F55+$G55+$H55+$I55+$J55+$K55+$L55+$M55+$N55+$O55+$P55,1,0))</f>
        <v/>
      </c>
      <c r="CS55" s="903">
        <f>IF(AND($C55&gt;0,U55=""),1,IF(U55&gt;$C55,1,0))</f>
        <v/>
      </c>
      <c r="CT55" s="903">
        <f>IF(AND($C55&gt;0,V55=""),1,IF(V55&gt;$C55,1,0))</f>
        <v/>
      </c>
      <c r="CU55" s="903">
        <f>IF(AND($C55&gt;0,W55=""),1,IF(W55&gt;$C55,1,0))</f>
        <v/>
      </c>
      <c r="CV55" s="903">
        <f>IF(AND($C55&gt;0,X55=""),1,IF(X55&gt;$C55,1,0))</f>
        <v/>
      </c>
      <c r="CW55" s="904" t="n"/>
    </row>
    <row r="56" ht="15" customHeight="1" s="8286">
      <c r="A56" s="9610" t="n"/>
      <c r="B56" s="2066" t="inlineStr">
        <is>
          <t>Hombres</t>
        </is>
      </c>
      <c r="C56" s="2060">
        <f>SUM(D56:P56)</f>
        <v/>
      </c>
      <c r="D56" s="872" t="n"/>
      <c r="E56" s="155" t="n"/>
      <c r="F56" s="155" t="n"/>
      <c r="G56" s="155" t="n"/>
      <c r="H56" s="155" t="n"/>
      <c r="I56" s="155" t="n"/>
      <c r="J56" s="155" t="n"/>
      <c r="K56" s="155" t="n"/>
      <c r="L56" s="155" t="n"/>
      <c r="M56" s="155" t="n"/>
      <c r="N56" s="1434" t="n"/>
      <c r="O56" s="155" t="n"/>
      <c r="P56" s="176" t="n"/>
      <c r="Q56" s="5360" t="n"/>
      <c r="R56" s="5362" t="n"/>
      <c r="S56" s="872" t="n"/>
      <c r="T56" s="1953" t="n"/>
      <c r="U56" s="872" t="n"/>
      <c r="V56" s="155" t="n"/>
      <c r="W56" s="1953" t="n"/>
      <c r="X56" s="1953" t="n"/>
      <c r="Y56">
        <f>CA56&amp;CB56&amp;CC56&amp;CD56&amp;CE56&amp;CF56&amp;CG56&amp;CH56</f>
        <v/>
      </c>
      <c r="CA56" s="90">
        <f>IF(AND($C56&gt;0,Q56="")," * No olvide digitar la variable "&amp;Q$53&amp;""&amp;". Digite Cero si no tiene.",IF(Q56&gt;$C56," * La variable "&amp;Q$53&amp;""&amp;" no  puede ser mayor al Total.",""))</f>
        <v/>
      </c>
      <c r="CB56" s="90">
        <f>IF(AND($C56&gt;0,R56="")," * No olvide digitar la variable "&amp;R$53&amp;""&amp;". Digite Cero si no tiene.",IF(R56&gt;$C56," * La variable "&amp;R$53&amp;""&amp;" no  puede ser mayor al Total.",""))</f>
        <v/>
      </c>
      <c r="CC56" s="90">
        <f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>
        <f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>
        <f>IF(AND($C56&gt;0,U56="")," * No olvide digitar la variable "&amp;U$54&amp;""&amp;". Digite Cero si no tiene.",IF(U56&gt;$C56," * La variable "&amp;U$54&amp;""&amp;" no  puede ser mayor al Total.",""))</f>
        <v/>
      </c>
      <c r="CF56" s="90">
        <f>IF(AND($C56&gt;0,V56="")," * No olvide digitar la variable "&amp;V$54&amp;""&amp;". Digite Cero si no tiene.",IF(V56&gt;$C56," * La variable "&amp;V$54&amp;""&amp;" no  puede ser mayor al Total.",""))</f>
        <v/>
      </c>
      <c r="CG56" s="90">
        <f>IF(AND($C56&gt;0,W56="")," * No olvide digitar la variable "&amp;W$54&amp;""&amp;". Digite Cero si no tiene.",IF(W56&gt;$C56," * La variable "&amp;W$54&amp;""&amp;" no  puede ser mayor al Total.",""))</f>
        <v/>
      </c>
      <c r="CH56" s="90">
        <f>IF(AND($C56&gt;0,X56="")," * No olvide digitar la variable "&amp;X$53&amp;""&amp;". Digite Cero si no tiene.",IF(X56&gt;$C56," * La variable "&amp;X$53&amp;""&amp;" no  puede ser mayor al Total.",""))</f>
        <v/>
      </c>
      <c r="CO56" s="903">
        <f>IF(AND($C56&gt;0,Q56=""),1,IF(Q56&gt;$C56,1,0))</f>
        <v/>
      </c>
      <c r="CP56" s="903">
        <f>IF(AND($C56&gt;0,R56=""),1,IF(R56&gt;$C56,1,0))</f>
        <v/>
      </c>
      <c r="CQ56" s="903">
        <f>IF(AND($D56+$E56&gt;0,S56=""),1,IF(S56&gt;$D56+$E56,1,0))</f>
        <v/>
      </c>
      <c r="CR56" s="903">
        <f>IF(AND($F56+$G56+$H56+$I56+$J56+$K56+$L56+$M56+$N56+$O56+$P56&gt;0,$T56=""),1,IF($T56&gt;$F56+$G56+$H56+$I56+$J56+$K56+$L56+$M56+$N56+$O56+$P56,1,0))</f>
        <v/>
      </c>
      <c r="CS56" s="903">
        <f>IF(AND($C56&gt;0,U56=""),1,IF(U56&gt;$C56,1,0))</f>
        <v/>
      </c>
      <c r="CT56" s="903">
        <f>IF(AND($C56&gt;0,V56=""),1,IF(V56&gt;$C56,1,0))</f>
        <v/>
      </c>
      <c r="CU56" s="903">
        <f>IF(AND($C56&gt;0,W56=""),1,IF(W56&gt;$C56,1,0))</f>
        <v/>
      </c>
      <c r="CV56" s="903">
        <f>IF(AND($C56&gt;0,X56=""),1,IF(X56&gt;$C56,1,0))</f>
        <v/>
      </c>
    </row>
    <row r="57" ht="15" customHeight="1" s="8286">
      <c r="A57" s="9933" t="inlineStr">
        <is>
          <t>Lubricantes</t>
        </is>
      </c>
      <c r="B57" s="2065" t="inlineStr">
        <is>
          <t>Mujer</t>
        </is>
      </c>
      <c r="C57" s="7748">
        <f>SUM(D57:P57)</f>
        <v/>
      </c>
      <c r="D57" s="2022" t="n"/>
      <c r="E57" s="835" t="n"/>
      <c r="F57" s="835" t="n"/>
      <c r="G57" s="835" t="n"/>
      <c r="H57" s="835" t="n"/>
      <c r="I57" s="835" t="n"/>
      <c r="J57" s="835" t="n"/>
      <c r="K57" s="835" t="n"/>
      <c r="L57" s="835" t="n"/>
      <c r="M57" s="835" t="n"/>
      <c r="N57" s="2023" t="n"/>
      <c r="O57" s="835" t="n"/>
      <c r="P57" s="1940" t="n"/>
      <c r="Q57" s="5213" t="n"/>
      <c r="R57" s="5189" t="n"/>
      <c r="S57" s="2022" t="n"/>
      <c r="T57" s="2029" t="n"/>
      <c r="U57" s="2022" t="n"/>
      <c r="V57" s="835" t="n"/>
      <c r="W57" s="2029" t="n"/>
      <c r="X57" s="2029" t="n"/>
      <c r="Y57">
        <f>CA57&amp;CB57&amp;CC57&amp;CD57&amp;CE57&amp;CF57&amp;CG57&amp;CH57</f>
        <v/>
      </c>
      <c r="CA57" s="90">
        <f>IF(AND($C57&gt;0,Q57="")," * No olvide digitar la variable "&amp;Q$53&amp;""&amp;". Digite Cero si no tiene.",IF(Q57&gt;$C57," * La variable "&amp;Q$53&amp;""&amp;" no  puede ser mayor al Total.",""))</f>
        <v/>
      </c>
      <c r="CB57" s="90">
        <f>IF(AND($C57&gt;0,R57="")," * No olvide digitar la variable "&amp;R$53&amp;""&amp;". Digite Cero si no tiene.",IF(R57&gt;$C57," * La variable "&amp;R$53&amp;""&amp;" no  puede ser mayor al Total.",""))</f>
        <v/>
      </c>
      <c r="CC57" s="90">
        <f>IF(AND($D57+$E57&gt;0,$S57="")," * No olvide digitar la variable Migrantes "&amp;S$54&amp;""&amp;". Digite Cero si no tiene.",IF($S57&gt;$D57+$E57," * La variable Migrantes "&amp;S$54&amp;""&amp;" no  puede ser mayor al Total.",""))</f>
        <v/>
      </c>
      <c r="CD57" s="90">
        <f>IF(AND($F57+$G57+$H57+$I57+$J57+$K57+$L57+$M57+$N57+$O57+$P57&gt;0,$T57="")," * No olvide digitar la variable Migrantes "&amp;T$54&amp;""&amp;". Digite Cero si no tiene.",IF(T57&gt;$F57+$G57+$H57+$I57+$J57+$K57+$L57+$M57+$N57+$O57+$P57," * La variable Migrantes "&amp;T$54&amp;""&amp;" no  puede ser mayor al Total.",""))</f>
        <v/>
      </c>
      <c r="CE57" s="90">
        <f>IF(AND($C57&gt;0,U57="")," * No olvide digitar la variable "&amp;U$54&amp;""&amp;". Digite Cero si no tiene.",IF(U57&gt;$C57," * La variable "&amp;U$54&amp;""&amp;" no  puede ser mayor al Total.",""))</f>
        <v/>
      </c>
      <c r="CF57" s="90">
        <f>IF(AND($C57&gt;0,V57="")," * No olvide digitar la variable "&amp;V$54&amp;""&amp;". Digite Cero si no tiene.",IF(V57&gt;$C57," * La variable "&amp;V$54&amp;""&amp;" no  puede ser mayor al Total.",""))</f>
        <v/>
      </c>
      <c r="CG57" s="90">
        <f>IF(AND($C57&gt;0,W57="")," * No olvide digitar la variable "&amp;W$54&amp;""&amp;". Digite Cero si no tiene.",IF(W57&gt;$C57," * La variable "&amp;W$54&amp;""&amp;" no  puede ser mayor al Total.",""))</f>
        <v/>
      </c>
      <c r="CH57" s="90">
        <f>IF(AND($C57&gt;0,X57="")," * No olvide digitar la variable "&amp;X$53&amp;""&amp;". Digite Cero si no tiene.",IF(X57&gt;$C57," * La variable "&amp;X$53&amp;""&amp;" no  puede ser mayor al Total.",""))</f>
        <v/>
      </c>
      <c r="CO57" s="903">
        <f>IF(AND($C57&gt;0,Q57=""),1,IF(Q57&gt;$C57,1,0))</f>
        <v/>
      </c>
      <c r="CP57" s="903">
        <f>IF(AND($C57&gt;0,R57=""),1,IF(R57&gt;$C57,1,0))</f>
        <v/>
      </c>
      <c r="CQ57" s="903">
        <f>IF(AND($D57+$E57&gt;0,S57=""),1,IF(S57&gt;$D57+$E57,1,0))</f>
        <v/>
      </c>
      <c r="CR57" s="903">
        <f>IF(AND($F57+$G57+$H57+$I57+$J57+$K57+$L57+$M57+$N57+$O57+$P57&gt;0,$T57=""),1,IF($T57&gt;$F57+$G57+$H57+$I57+$J57+$K57+$L57+$M57+$N57+$O57+$P57,1,0))</f>
        <v/>
      </c>
      <c r="CS57" s="903">
        <f>IF(AND($C57&gt;0,U57=""),1,IF(U57&gt;$C57,1,0))</f>
        <v/>
      </c>
      <c r="CT57" s="903">
        <f>IF(AND($C57&gt;0,V57=""),1,IF(V57&gt;$C57,1,0))</f>
        <v/>
      </c>
      <c r="CU57" s="903">
        <f>IF(AND($C57&gt;0,W57=""),1,IF(W57&gt;$C57,1,0))</f>
        <v/>
      </c>
      <c r="CV57" s="903">
        <f>IF(AND($C57&gt;0,X57=""),1,IF(X57&gt;$C57,1,0))</f>
        <v/>
      </c>
    </row>
    <row r="58" ht="15" customHeight="1" s="8286">
      <c r="A58" s="9610" t="n"/>
      <c r="B58" s="2067" t="inlineStr">
        <is>
          <t>Hombres</t>
        </is>
      </c>
      <c r="C58" s="2060">
        <f>SUM(D58:P58)</f>
        <v/>
      </c>
      <c r="D58" s="872" t="n"/>
      <c r="E58" s="155" t="n"/>
      <c r="F58" s="155" t="n"/>
      <c r="G58" s="155" t="n"/>
      <c r="H58" s="155" t="n"/>
      <c r="I58" s="155" t="n"/>
      <c r="J58" s="155" t="n"/>
      <c r="K58" s="155" t="n"/>
      <c r="L58" s="155" t="n"/>
      <c r="M58" s="155" t="n"/>
      <c r="N58" s="1434" t="n"/>
      <c r="O58" s="155" t="n"/>
      <c r="P58" s="176" t="n"/>
      <c r="Q58" s="5360" t="n"/>
      <c r="R58" s="5362" t="n"/>
      <c r="S58" s="872" t="n"/>
      <c r="T58" s="1953" t="n"/>
      <c r="U58" s="872" t="n"/>
      <c r="V58" s="155" t="n"/>
      <c r="W58" s="1953" t="n"/>
      <c r="X58" s="1953" t="n"/>
      <c r="Y58">
        <f>CA58&amp;CB58&amp;CC58&amp;CD58&amp;CE58&amp;CF58&amp;CG58&amp;CH58</f>
        <v/>
      </c>
      <c r="CA58" s="90">
        <f>IF(AND($C58&gt;0,Q58="")," * No olvide digitar la variable "&amp;Q$53&amp;""&amp;". Digite Cero si no tiene.",IF(Q58&gt;$C58," * La variable "&amp;Q$53&amp;""&amp;" no  puede ser mayor al Total.",""))</f>
        <v/>
      </c>
      <c r="CB58" s="90">
        <f>IF(AND($C58&gt;0,R58="")," * No olvide digitar la variable "&amp;R$53&amp;""&amp;". Digite Cero si no tiene.",IF(R58&gt;$C58," * La variable "&amp;R$53&amp;""&amp;" no  puede ser mayor al Total.",""))</f>
        <v/>
      </c>
      <c r="CC58" s="90">
        <f>IF(AND($D58+$E58&gt;0,$S58="")," * No olvide digitar la variable Migrantes "&amp;S$54&amp;""&amp;". Digite Cero si no tiene.",IF($S58&gt;$D58+$E58," * La variable Migrantes "&amp;S$54&amp;""&amp;" no  puede ser mayor al Total.",""))</f>
        <v/>
      </c>
      <c r="CD58" s="90">
        <f>IF(AND($F58+$G58+$H58+$I58+$J58+$K58+$L58+$M58+$N58+$O58+$P58&gt;0,$T58="")," * No olvide digitar la variable Migrantes "&amp;T$54&amp;""&amp;". Digite Cero si no tiene.",IF(T58&gt;$F58+$G58+$H58+$I58+$J58+$K58+$L58+$M58+$N58+$O58+$P58," * La variable Migrantes "&amp;T$54&amp;""&amp;" no  puede ser mayor al Total.",""))</f>
        <v/>
      </c>
      <c r="CE58" s="90">
        <f>IF(AND($C58&gt;0,U58="")," * No olvide digitar la variable "&amp;U$54&amp;""&amp;". Digite Cero si no tiene.",IF(U58&gt;$C58," * La variable "&amp;U$54&amp;""&amp;" no  puede ser mayor al Total.",""))</f>
        <v/>
      </c>
      <c r="CF58" s="90">
        <f>IF(AND($C58&gt;0,V58="")," * No olvide digitar la variable "&amp;V$54&amp;""&amp;". Digite Cero si no tiene.",IF(V58&gt;$C58," * La variable "&amp;V$54&amp;""&amp;" no  puede ser mayor al Total.",""))</f>
        <v/>
      </c>
      <c r="CG58" s="90">
        <f>IF(AND($C58&gt;0,W58="")," * No olvide digitar la variable "&amp;W$54&amp;""&amp;". Digite Cero si no tiene.",IF(W58&gt;$C58," * La variable "&amp;W$54&amp;""&amp;" no  puede ser mayor al Total.",""))</f>
        <v/>
      </c>
      <c r="CH58" s="90">
        <f>IF(AND($C58&gt;0,X58="")," * No olvide digitar la variable "&amp;X$53&amp;""&amp;". Digite Cero si no tiene.",IF(X58&gt;$C58," * La variable "&amp;X$53&amp;""&amp;" no  puede ser mayor al Total.",""))</f>
        <v/>
      </c>
      <c r="CO58" s="903">
        <f>IF(AND($C58&gt;0,Q58=""),1,IF(Q58&gt;$C58,1,0))</f>
        <v/>
      </c>
      <c r="CP58" s="903">
        <f>IF(AND($C58&gt;0,R58=""),1,IF(R58&gt;$C58,1,0))</f>
        <v/>
      </c>
      <c r="CQ58" s="903">
        <f>IF(AND($D58+$E58&gt;0,S58=""),1,IF(S58&gt;$D58+$E58,1,0))</f>
        <v/>
      </c>
      <c r="CR58" s="903">
        <f>IF(AND($F58+$G58+$H58+$I58+$J58+$K58+$L58+$M58+$N58+$O58+$P58&gt;0,$T58=""),1,IF($T58&gt;$F58+$G58+$H58+$I58+$J58+$K58+$L58+$M58+$N58+$O58+$P58,1,0))</f>
        <v/>
      </c>
      <c r="CS58" s="903">
        <f>IF(AND($C58&gt;0,U58=""),1,IF(U58&gt;$C58,1,0))</f>
        <v/>
      </c>
      <c r="CT58" s="903">
        <f>IF(AND($C58&gt;0,V58=""),1,IF(V58&gt;$C58,1,0))</f>
        <v/>
      </c>
      <c r="CU58" s="903">
        <f>IF(AND($C58&gt;0,W58=""),1,IF(W58&gt;$C58,1,0))</f>
        <v/>
      </c>
      <c r="CV58" s="903">
        <f>IF(AND($C58&gt;0,X58=""),1,IF(X58&gt;$C58,1,0))</f>
        <v/>
      </c>
    </row>
    <row r="59" ht="15" customHeight="1" s="8286">
      <c r="A59" s="9937" t="inlineStr">
        <is>
          <t>Condón Femenino</t>
        </is>
      </c>
      <c r="B59" s="9938" t="n"/>
      <c r="C59" s="2060">
        <f>SUM(D59:P59)</f>
        <v/>
      </c>
      <c r="D59" s="872" t="n"/>
      <c r="E59" s="155" t="n"/>
      <c r="F59" s="155" t="n"/>
      <c r="G59" s="155" t="n"/>
      <c r="H59" s="155" t="n"/>
      <c r="I59" s="155" t="n"/>
      <c r="J59" s="155" t="n"/>
      <c r="K59" s="155" t="n"/>
      <c r="L59" s="155" t="n"/>
      <c r="M59" s="155" t="n"/>
      <c r="N59" s="1434" t="n"/>
      <c r="O59" s="155" t="n"/>
      <c r="P59" s="176" t="n"/>
      <c r="Q59" s="5360" t="n"/>
      <c r="R59" s="5362" t="n"/>
      <c r="S59" s="872" t="n"/>
      <c r="T59" s="1953" t="n"/>
      <c r="U59" s="872" t="n"/>
      <c r="V59" s="155" t="n"/>
      <c r="W59" s="1953" t="n"/>
      <c r="X59" s="1953" t="n"/>
      <c r="Y59">
        <f>CA59&amp;CB59&amp;CC59&amp;CD59&amp;CE59&amp;CF59&amp;CG59&amp;CH59</f>
        <v/>
      </c>
      <c r="CA59" s="90">
        <f>IF(AND($C59&gt;0,Q59="")," * No olvide digitar la variable "&amp;Q$53&amp;""&amp;". Digite Cero si no tiene.",IF(Q59&gt;$C59," * La variable "&amp;Q$53&amp;""&amp;" no  puede ser mayor al Total.",""))</f>
        <v/>
      </c>
      <c r="CB59" s="90">
        <f>IF(AND($C59&gt;0,R59="")," * No olvide digitar la variable "&amp;R$53&amp;""&amp;". Digite Cero si no tiene.",IF(R59&gt;$C59," * La variable "&amp;R$53&amp;""&amp;" no  puede ser mayor al Total.",""))</f>
        <v/>
      </c>
      <c r="CC59" s="90">
        <f>IF(AND($D59+$E59&gt;0,$S59="")," * No olvide digitar la variable Migrantes "&amp;S$54&amp;""&amp;". Digite Cero si no tiene.",IF($S59&gt;$D59+$E59," * La variable Migrantes "&amp;S$54&amp;""&amp;" no  puede ser mayor al Total.",""))</f>
        <v/>
      </c>
      <c r="CD59" s="90">
        <f>IF(AND($F59+$G59+$H59+$I59+$J59+$K59+$L59+$M59+$N59+$O59+$P59&gt;0,$T59="")," * No olvide digitar la variable Migrantes "&amp;T$54&amp;""&amp;". Digite Cero si no tiene.",IF(T59&gt;$F59+$G59+$H59+$I59+$J59+$K59+$L59+$M59+$N59+$O59+$P59," * La variable Migrantes "&amp;T$54&amp;""&amp;" no  puede ser mayor al Total.",""))</f>
        <v/>
      </c>
      <c r="CE59" s="90">
        <f>IF(AND($C59&gt;0,U59="")," * No olvide digitar la variable "&amp;U$54&amp;""&amp;". Digite Cero si no tiene.",IF(U59&gt;$C59," * La variable "&amp;U$54&amp;""&amp;" no  puede ser mayor al Total.",""))</f>
        <v/>
      </c>
      <c r="CF59" s="90">
        <f>IF(AND($C59&gt;0,V59="")," * No olvide digitar la variable "&amp;V$54&amp;""&amp;". Digite Cero si no tiene.",IF(V59&gt;$C59," * La variable "&amp;V$54&amp;""&amp;" no  puede ser mayor al Total.",""))</f>
        <v/>
      </c>
      <c r="CG59" s="90">
        <f>IF(AND($C59&gt;0,W59="")," * No olvide digitar la variable "&amp;W$54&amp;""&amp;". Digite Cero si no tiene.",IF(W59&gt;$C59," * La variable "&amp;W$54&amp;""&amp;" no  puede ser mayor al Total.",""))</f>
        <v/>
      </c>
      <c r="CH59" s="90">
        <f>IF(AND($C59&gt;0,X59="")," * No olvide digitar la variable "&amp;X$53&amp;""&amp;". Digite Cero si no tiene.",IF(X59&gt;$C59," * La variable "&amp;X$53&amp;""&amp;" no  puede ser mayor al Total.",""))</f>
        <v/>
      </c>
      <c r="CO59" s="903">
        <f>IF(AND($C59&gt;0,Q59=""),1,IF(Q59&gt;$C59,1,0))</f>
        <v/>
      </c>
      <c r="CP59" s="903">
        <f>IF(AND($C59&gt;0,R59=""),1,IF(R59&gt;$C59,1,0))</f>
        <v/>
      </c>
      <c r="CQ59" s="903">
        <f>IF(AND($D59+$E59&gt;0,S59=""),1,IF(S59&gt;$D59+$E59,1,0))</f>
        <v/>
      </c>
      <c r="CR59" s="903">
        <f>IF(AND($F59+$G59+$H59+$I59+$J59+$K59+$L59+$M59+$N59+$O59+$P59&gt;0,$T59=""),1,IF($T59&gt;$F59+$G59+$H59+$I59+$J59+$K59+$L59+$M59+$N59+$O59+$P59,1,0))</f>
        <v/>
      </c>
      <c r="CS59" s="903">
        <f>IF(AND($C59&gt;0,U59=""),1,IF(U59&gt;$C59,1,0))</f>
        <v/>
      </c>
      <c r="CT59" s="903">
        <f>IF(AND($C59&gt;0,V59=""),1,IF(V59&gt;$C59,1,0))</f>
        <v/>
      </c>
      <c r="CU59" s="903">
        <f>IF(AND($C59&gt;0,W59=""),1,IF(W59&gt;$C59,1,0))</f>
        <v/>
      </c>
      <c r="CV59" s="903">
        <f>IF(AND($C59&gt;0,X59=""),1,IF(X59&gt;$C59,1,0))</f>
        <v/>
      </c>
    </row>
    <row r="60" ht="18" customFormat="1" customHeight="1" s="5">
      <c r="A60" s="2" t="inlineStr">
        <is>
          <t>SECCIÓN C2: EGRESOS DE PROGRAMA DE REGULACIÓN DE FERTILIDAD Y SALUD SEXUAL</t>
        </is>
      </c>
      <c r="B60" s="643" t="n"/>
      <c r="C60" s="644" t="n"/>
      <c r="D60" s="3" t="n"/>
      <c r="E60" s="3" t="n"/>
      <c r="F60" s="2" t="n"/>
      <c r="G60" s="3" t="n"/>
      <c r="H60" s="3" t="n"/>
      <c r="I60" s="3" t="n"/>
      <c r="J60" s="3" t="n"/>
      <c r="K60" s="3" t="n"/>
      <c r="L60" s="3" t="n"/>
      <c r="M60" s="3" t="n"/>
      <c r="N60" s="3" t="n"/>
      <c r="O60" s="3" t="n"/>
      <c r="P60" s="3" t="n"/>
      <c r="Q60" s="3" t="n"/>
      <c r="R60" s="3" t="n"/>
    </row>
    <row r="61">
      <c r="A61" s="9939" t="inlineStr">
        <is>
          <t>MÉTODOS</t>
        </is>
      </c>
      <c r="B61" s="9630" t="n"/>
      <c r="C61" s="8400" t="inlineStr">
        <is>
          <t xml:space="preserve">TOTAL      </t>
        </is>
      </c>
      <c r="D61" s="9915" t="inlineStr">
        <is>
          <t>RANGO ETARIO</t>
        </is>
      </c>
      <c r="E61" s="9584" t="n"/>
      <c r="F61" s="9584" t="n"/>
      <c r="G61" s="9584" t="n"/>
      <c r="H61" s="9584" t="n"/>
      <c r="I61" s="9584" t="n"/>
      <c r="J61" s="9584" t="n"/>
      <c r="K61" s="9584" t="n"/>
      <c r="L61" s="9584" t="n"/>
      <c r="M61" s="9584" t="n"/>
      <c r="N61" s="9584" t="n"/>
      <c r="O61" s="9584" t="n"/>
      <c r="P61" s="9595" t="n"/>
      <c r="Q61" s="9916" t="inlineStr">
        <is>
          <t>Pueblos Originarios</t>
        </is>
      </c>
      <c r="R61" s="8400" t="inlineStr">
        <is>
          <t>Migrantes</t>
        </is>
      </c>
    </row>
    <row r="62" ht="21" customHeight="1" s="8286">
      <c r="A62" s="9638" t="n"/>
      <c r="B62" s="9639" t="n"/>
      <c r="C62" s="9610" t="n"/>
      <c r="D62" s="7932" t="inlineStr">
        <is>
          <t>Menos
de 15 años</t>
        </is>
      </c>
      <c r="E62" s="2012" t="inlineStr">
        <is>
          <t>15 - 19 años</t>
        </is>
      </c>
      <c r="F62" s="2012" t="inlineStr">
        <is>
          <t>20 - 24 años</t>
        </is>
      </c>
      <c r="G62" s="2012" t="inlineStr">
        <is>
          <t>25 - 29 años</t>
        </is>
      </c>
      <c r="H62" s="2012" t="inlineStr">
        <is>
          <t>30 - 34 años</t>
        </is>
      </c>
      <c r="I62" s="2012" t="inlineStr">
        <is>
          <t>35 - 39 años</t>
        </is>
      </c>
      <c r="J62" s="2012" t="inlineStr">
        <is>
          <t>40 - 44 años</t>
        </is>
      </c>
      <c r="K62" s="2012" t="inlineStr">
        <is>
          <t>45 - 49 años</t>
        </is>
      </c>
      <c r="L62" s="2012" t="inlineStr">
        <is>
          <t>50 - 54 años</t>
        </is>
      </c>
      <c r="M62" s="2012" t="inlineStr">
        <is>
          <t>55 - 59 años</t>
        </is>
      </c>
      <c r="N62" s="2042" t="inlineStr">
        <is>
          <t>60 - 64 años</t>
        </is>
      </c>
      <c r="O62" s="2012" t="inlineStr">
        <is>
          <t>65 - 69 años</t>
        </is>
      </c>
      <c r="P62" s="1981" t="inlineStr">
        <is>
          <t>70 y más años</t>
        </is>
      </c>
      <c r="Q62" s="9890" t="n"/>
      <c r="R62" s="9610" t="n"/>
    </row>
    <row r="63" ht="15" customHeight="1" s="8286">
      <c r="A63" s="5262" t="inlineStr">
        <is>
          <t>TOTAL REGULACIÓN DE FERTILIDAD</t>
        </is>
      </c>
      <c r="B63" s="9582" t="n"/>
      <c r="C63" s="7725">
        <f>SUM(D63:P63)</f>
        <v/>
      </c>
      <c r="D63" s="1988">
        <f>SUM(D64:D76)</f>
        <v/>
      </c>
      <c r="E63" s="2046">
        <f>SUM(E64:E76)</f>
        <v/>
      </c>
      <c r="F63" s="2046">
        <f>SUM(F64:F76)</f>
        <v/>
      </c>
      <c r="G63" s="2046">
        <f>SUM(G64:G76)</f>
        <v/>
      </c>
      <c r="H63" s="2046">
        <f>SUM(H64:H76)</f>
        <v/>
      </c>
      <c r="I63" s="2046">
        <f>SUM(I64:I76)</f>
        <v/>
      </c>
      <c r="J63" s="2046">
        <f>SUM(J64:J76)</f>
        <v/>
      </c>
      <c r="K63" s="2046">
        <f>SUM(K64:K76)</f>
        <v/>
      </c>
      <c r="L63" s="2046">
        <f>SUM(L64:L76)</f>
        <v/>
      </c>
      <c r="M63" s="2046">
        <f>SUM(M64:M76)</f>
        <v/>
      </c>
      <c r="N63" s="2046">
        <f>SUM(N79:N83)</f>
        <v/>
      </c>
      <c r="O63" s="2046">
        <f>SUM(O79:O83)</f>
        <v/>
      </c>
      <c r="P63" s="2069">
        <f>SUM(P79:P83)</f>
        <v/>
      </c>
      <c r="Q63" s="5253">
        <f>SUM(Q64:Q76)</f>
        <v/>
      </c>
      <c r="R63" s="5262">
        <f>SUM(R64:R76)</f>
        <v/>
      </c>
    </row>
    <row r="64" ht="15" customHeight="1" s="8286">
      <c r="A64" s="4245" t="inlineStr">
        <is>
          <t>D.I.U. T con Cobre</t>
        </is>
      </c>
      <c r="B64" s="9643" t="n"/>
      <c r="C64" s="7748">
        <f>SUM(D64:M64)</f>
        <v/>
      </c>
      <c r="D64" s="2022" t="n"/>
      <c r="E64" s="835" t="n"/>
      <c r="F64" s="835" t="n"/>
      <c r="G64" s="835" t="n"/>
      <c r="H64" s="835" t="n"/>
      <c r="I64" s="835" t="n"/>
      <c r="J64" s="835" t="n"/>
      <c r="K64" s="835" t="n"/>
      <c r="L64" s="835" t="n"/>
      <c r="M64" s="835" t="n"/>
      <c r="N64" s="2070" t="n"/>
      <c r="O64" s="847" t="n"/>
      <c r="P64" s="2049" t="n"/>
      <c r="Q64" s="5213" t="n"/>
      <c r="R64" s="5189" t="n"/>
      <c r="S64">
        <f>CA64&amp;CB64</f>
        <v/>
      </c>
      <c r="CA64" s="90">
        <f>IF(AND($C64&gt;0,Q64="")," * No olvide digitar la variable "&amp;$Q$61&amp;""&amp;". Digite Cero si no tiene.",IF(Q64&gt;$C64," * La variable  "&amp;$Q$61&amp;""&amp;" No puede ser mayor al Total.",""))</f>
        <v/>
      </c>
      <c r="CB64" s="90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/>
      </c>
      <c r="CP64" s="221">
        <f>IF(AND(C64&gt;0,R64=""),1,IF(R64&gt;C64,1,0))</f>
        <v/>
      </c>
    </row>
    <row r="65" ht="15" customHeight="1" s="8286">
      <c r="A65" s="9932" t="inlineStr">
        <is>
          <t>D.I.U. con Levonorgestrel</t>
        </is>
      </c>
      <c r="B65" s="9720" t="n"/>
      <c r="C65" s="1117">
        <f>SUM(D65:M65)</f>
        <v/>
      </c>
      <c r="D65" s="1188" t="n"/>
      <c r="E65" s="1118" t="n"/>
      <c r="F65" s="1118" t="n"/>
      <c r="G65" s="1118" t="n"/>
      <c r="H65" s="1118" t="n"/>
      <c r="I65" s="1118" t="n"/>
      <c r="J65" s="1118" t="n"/>
      <c r="K65" s="1118" t="n"/>
      <c r="L65" s="1118" t="n"/>
      <c r="M65" s="1118" t="n"/>
      <c r="N65" s="2071" t="n"/>
      <c r="O65" s="1237" t="n"/>
      <c r="P65" s="2050" t="n"/>
      <c r="Q65" s="5214" t="n"/>
      <c r="R65" s="1964" t="n"/>
      <c r="S65">
        <f>CA65&amp;CB65</f>
        <v/>
      </c>
      <c r="CA65" s="90">
        <f>IF(AND($C65&gt;0,Q65="")," * No olvide digitar la variable "&amp;$Q$61&amp;""&amp;". Digite Cero si no tiene.",IF(Q65&gt;$C65," * La variable  "&amp;$Q$61&amp;""&amp;" No puede ser mayor al Total.",""))</f>
        <v/>
      </c>
      <c r="CB65" s="90">
        <f>IF(AND($C65&gt;0,R65="")," * No olvide digitar la variable  "&amp;$R$61&amp;""&amp;". Digite Cero si no tiene.",IF(R65&gt;$C65,"  * La variable  "&amp;$R$61&amp;""&amp;" No puede ser mayor al Total.",""))</f>
        <v/>
      </c>
      <c r="CO65" s="221">
        <f>IF(AND(C65&gt;0,Q65=""),1,IF(Q65&gt;C65,1,0))</f>
        <v/>
      </c>
      <c r="CP65" s="221">
        <f>IF(AND(C65&gt;0,R65=""),1,IF(R65&gt;C65,1,0))</f>
        <v/>
      </c>
    </row>
    <row r="66" ht="15" customHeight="1" s="8286">
      <c r="A66" s="9933" t="inlineStr">
        <is>
          <t>Hormonal</t>
        </is>
      </c>
      <c r="B66" s="2052" t="inlineStr">
        <is>
          <t>Oral Combinado</t>
        </is>
      </c>
      <c r="C66" s="7748">
        <f>SUM(D66:M66)</f>
        <v/>
      </c>
      <c r="D66" s="2022" t="n"/>
      <c r="E66" s="835" t="n"/>
      <c r="F66" s="835" t="n"/>
      <c r="G66" s="835" t="n"/>
      <c r="H66" s="835" t="n"/>
      <c r="I66" s="835" t="n"/>
      <c r="J66" s="835" t="n"/>
      <c r="K66" s="835" t="n"/>
      <c r="L66" s="835" t="n"/>
      <c r="M66" s="835" t="n"/>
      <c r="N66" s="2070" t="n"/>
      <c r="O66" s="847" t="n"/>
      <c r="P66" s="2049" t="n"/>
      <c r="Q66" s="5213" t="n"/>
      <c r="R66" s="5189" t="n"/>
      <c r="S66">
        <f>CA66&amp;CB66</f>
        <v/>
      </c>
      <c r="CA66" s="90">
        <f>IF(AND($C66&gt;0,Q66="")," * No olvide digitar la variable "&amp;$Q$61&amp;""&amp;". Digite Cero si no tiene.",IF(Q66&gt;$C66," * La variable  "&amp;$Q$61&amp;""&amp;" No puede ser mayor al Total.",""))</f>
        <v/>
      </c>
      <c r="CB66" s="90">
        <f>IF(AND($C66&gt;0,R66="")," * No olvide digitar la variable  "&amp;$R$61&amp;""&amp;". Digite Cero si no tiene.",IF(R66&gt;$C66,"  * La variable  "&amp;$R$61&amp;""&amp;" No puede ser mayor al Total.",""))</f>
        <v/>
      </c>
      <c r="CO66" s="221">
        <f>IF(AND(C66&gt;0,Q66=""),1,IF(Q66&gt;C66,1,0))</f>
        <v/>
      </c>
      <c r="CP66" s="221">
        <f>IF(AND(C66&gt;0,R66=""),1,IF(R66&gt;C66,1,0))</f>
        <v/>
      </c>
    </row>
    <row r="67" ht="15" customHeight="1" s="8286">
      <c r="A67" s="9614" t="n"/>
      <c r="B67" s="2053" t="inlineStr">
        <is>
          <t>Oral Progestágeno</t>
        </is>
      </c>
      <c r="C67" s="1121">
        <f>SUM(D67:M67)</f>
        <v/>
      </c>
      <c r="D67" s="1172" t="n"/>
      <c r="E67" s="2001" t="n"/>
      <c r="F67" s="2001" t="n"/>
      <c r="G67" s="2001" t="n"/>
      <c r="H67" s="2001" t="n"/>
      <c r="I67" s="2001" t="n"/>
      <c r="J67" s="2001" t="n"/>
      <c r="K67" s="2001" t="n"/>
      <c r="L67" s="2001" t="n"/>
      <c r="M67" s="2001" t="n"/>
      <c r="N67" s="1942" t="n"/>
      <c r="O67" s="2054" t="n"/>
      <c r="P67" s="2055" t="n"/>
      <c r="Q67" s="5215" t="n"/>
      <c r="R67" s="3892" t="n"/>
      <c r="S67">
        <f>CA67&amp;CB67</f>
        <v/>
      </c>
      <c r="CA67" s="90">
        <f>IF(AND($C67&gt;0,Q67="")," * No olvide digitar la variable "&amp;$Q$61&amp;""&amp;". Digite Cero si no tiene.",IF(Q67&gt;$C67," * La variable  "&amp;$Q$61&amp;""&amp;" No puede ser mayor al Total.",""))</f>
        <v/>
      </c>
      <c r="CB67" s="90">
        <f>IF(AND($C67&gt;0,R67="")," * No olvide digitar la variable  "&amp;$R$61&amp;""&amp;". Digite Cero si no tiene.",IF(R67&gt;$C67,"  * La variable  "&amp;$R$61&amp;""&amp;" No puede ser mayor al Total.",""))</f>
        <v/>
      </c>
      <c r="CO67" s="221">
        <f>IF(AND(C67&gt;0,Q67=""),1,IF(Q67&gt;C67,1,0))</f>
        <v/>
      </c>
      <c r="CP67" s="221">
        <f>IF(AND(C67&gt;0,R67=""),1,IF(R67&gt;C67,1,0))</f>
        <v/>
      </c>
    </row>
    <row r="68" ht="15" customHeight="1" s="8286">
      <c r="A68" s="9614" t="n"/>
      <c r="B68" s="2053" t="inlineStr">
        <is>
          <t>Inyectable Combinado</t>
        </is>
      </c>
      <c r="C68" s="1121">
        <f>SUM(D68:M68)</f>
        <v/>
      </c>
      <c r="D68" s="1172" t="n"/>
      <c r="E68" s="2001" t="n"/>
      <c r="F68" s="2001" t="n"/>
      <c r="G68" s="2001" t="n"/>
      <c r="H68" s="2001" t="n"/>
      <c r="I68" s="2001" t="n"/>
      <c r="J68" s="2001" t="n"/>
      <c r="K68" s="2001" t="n"/>
      <c r="L68" s="2001" t="n"/>
      <c r="M68" s="2001" t="n"/>
      <c r="N68" s="1942" t="n"/>
      <c r="O68" s="2054" t="n"/>
      <c r="P68" s="2055" t="n"/>
      <c r="Q68" s="5215" t="n"/>
      <c r="R68" s="3892" t="n"/>
      <c r="S68">
        <f>CA68&amp;CB68</f>
        <v/>
      </c>
      <c r="CA68" s="90">
        <f>IF(AND($C68&gt;0,Q68="")," * No olvide digitar la variable "&amp;$Q$61&amp;""&amp;". Digite Cero si no tiene.",IF(Q68&gt;$C68," * La variable  "&amp;$Q$61&amp;""&amp;" No puede ser mayor al Total.",""))</f>
        <v/>
      </c>
      <c r="CB68" s="90">
        <f>IF(AND($C68&gt;0,R68="")," * No olvide digitar la variable  "&amp;$R$61&amp;""&amp;". Digite Cero si no tiene.",IF(R68&gt;$C68,"  * La variable  "&amp;$R$61&amp;""&amp;" No puede ser mayor al Total.",""))</f>
        <v/>
      </c>
      <c r="CO68" s="221">
        <f>IF(AND(C68&gt;0,Q68=""),1,IF(Q68&gt;C68,1,0))</f>
        <v/>
      </c>
      <c r="CP68" s="221">
        <f>IF(AND(C68&gt;0,R68=""),1,IF(R68&gt;C68,1,0))</f>
        <v/>
      </c>
    </row>
    <row r="69" ht="15" customHeight="1" s="8286">
      <c r="A69" s="9614" t="n"/>
      <c r="B69" s="2053" t="inlineStr">
        <is>
          <t>Inyectable Progestágeno</t>
        </is>
      </c>
      <c r="C69" s="1121">
        <f>SUM(D69:M69)</f>
        <v/>
      </c>
      <c r="D69" s="1172" t="n"/>
      <c r="E69" s="2001" t="n"/>
      <c r="F69" s="2001" t="n"/>
      <c r="G69" s="2001" t="n"/>
      <c r="H69" s="2001" t="n"/>
      <c r="I69" s="2001" t="n"/>
      <c r="J69" s="2001" t="n"/>
      <c r="K69" s="2001" t="n"/>
      <c r="L69" s="2001" t="n"/>
      <c r="M69" s="2001" t="n"/>
      <c r="N69" s="1942" t="n"/>
      <c r="O69" s="2054" t="n"/>
      <c r="P69" s="2055" t="n"/>
      <c r="Q69" s="5215" t="n"/>
      <c r="R69" s="3892" t="n"/>
      <c r="S69">
        <f>CA69&amp;CB69</f>
        <v/>
      </c>
      <c r="CA69" s="90">
        <f>IF(AND($C69&gt;0,Q69="")," * No olvide digitar la variable "&amp;$Q$61&amp;""&amp;". Digite Cero si no tiene.",IF(Q69&gt;$C69," * La variable  "&amp;$Q$61&amp;""&amp;" No puede ser mayor al Total.",""))</f>
        <v/>
      </c>
      <c r="CB69" s="90">
        <f>IF(AND($C69&gt;0,R69="")," * No olvide digitar la variable  "&amp;$R$61&amp;""&amp;". Digite Cero si no tiene.",IF(R69&gt;$C69,"  * La variable  "&amp;$R$61&amp;""&amp;" No puede ser mayor al Total.",""))</f>
        <v/>
      </c>
      <c r="CO69" s="221">
        <f>IF(AND(C69&gt;0,Q69=""),1,IF(Q69&gt;C69,1,0))</f>
        <v/>
      </c>
      <c r="CP69" s="221">
        <f>IF(AND(C69&gt;0,R69=""),1,IF(R69&gt;C69,1,0))</f>
        <v/>
      </c>
    </row>
    <row r="70" ht="15" customHeight="1" s="8286">
      <c r="A70" s="9614" t="n"/>
      <c r="B70" s="2053" t="inlineStr">
        <is>
          <t>Implante Etonogestrel (3 años)</t>
        </is>
      </c>
      <c r="C70" s="1121">
        <f>SUM(D70:M70)</f>
        <v/>
      </c>
      <c r="D70" s="1172" t="n"/>
      <c r="E70" s="2001" t="n"/>
      <c r="F70" s="2001" t="n"/>
      <c r="G70" s="2001" t="n"/>
      <c r="H70" s="2001" t="n"/>
      <c r="I70" s="2001" t="n"/>
      <c r="J70" s="2001" t="n"/>
      <c r="K70" s="2001" t="n"/>
      <c r="L70" s="2001" t="n"/>
      <c r="M70" s="2001" t="n"/>
      <c r="N70" s="1942" t="n"/>
      <c r="O70" s="2054" t="n"/>
      <c r="P70" s="2055" t="n"/>
      <c r="Q70" s="5215" t="n"/>
      <c r="R70" s="3892" t="n"/>
      <c r="S70">
        <f>CA70&amp;CB70</f>
        <v/>
      </c>
      <c r="CA70" s="90">
        <f>IF(AND($C70&gt;0,Q70="")," * No olvide digitar la variable "&amp;$Q$61&amp;""&amp;". Digite Cero si no tiene.",IF(Q70&gt;$C70," * La variable  "&amp;$Q$61&amp;""&amp;" No puede ser mayor al Total.",""))</f>
        <v/>
      </c>
      <c r="CB70" s="90">
        <f>IF(AND($C70&gt;0,R70="")," * No olvide digitar la variable  "&amp;$R$61&amp;""&amp;". Digite Cero si no tiene.",IF(R70&gt;$C70,"  * La variable  "&amp;$R$61&amp;""&amp;" No puede ser mayor al Total.",""))</f>
        <v/>
      </c>
      <c r="CO70" s="221">
        <f>IF(AND(C70&gt;0,Q70=""),1,IF(Q70&gt;C70,1,0))</f>
        <v/>
      </c>
      <c r="CP70" s="221">
        <f>IF(AND(C70&gt;0,R70=""),1,IF(R70&gt;C70,1,0))</f>
        <v/>
      </c>
    </row>
    <row r="71" ht="15" customHeight="1" s="8286">
      <c r="A71" s="9614" t="n"/>
      <c r="B71" s="2056" t="inlineStr">
        <is>
          <t>Implante Levonorgestrel (5 años)</t>
        </is>
      </c>
      <c r="C71" s="637">
        <f>SUM(D71:M71)</f>
        <v/>
      </c>
      <c r="D71" s="645" t="n"/>
      <c r="E71" s="145" t="n"/>
      <c r="F71" s="145" t="n"/>
      <c r="G71" s="145" t="n"/>
      <c r="H71" s="145" t="n"/>
      <c r="I71" s="145" t="n"/>
      <c r="J71" s="145" t="n"/>
      <c r="K71" s="145" t="n"/>
      <c r="L71" s="145" t="n"/>
      <c r="M71" s="145" t="n"/>
      <c r="N71" s="203" t="n"/>
      <c r="O71" s="146" t="n"/>
      <c r="P71" s="1095" t="n"/>
      <c r="Q71" s="5247" t="n"/>
      <c r="R71" s="670" t="n"/>
      <c r="S71">
        <f>CA71&amp;CB71</f>
        <v/>
      </c>
      <c r="CA71" s="90">
        <f>IF(AND($C71&gt;0,Q71="")," * No olvide digitar la variable "&amp;$Q$61&amp;""&amp;". Digite Cero si no tiene.",IF(Q71&gt;$C71," * La variable  "&amp;$Q$61&amp;""&amp;" No puede ser mayor al Total.",""))</f>
        <v/>
      </c>
      <c r="CB71" s="90">
        <f>IF(AND($C71&gt;0,R71="")," * No olvide digitar la variable  "&amp;$R$61&amp;""&amp;". Digite Cero si no tiene.",IF(R71&gt;$C71,"  * La variable  "&amp;$R$61&amp;""&amp;" No puede ser mayor al Total.",""))</f>
        <v/>
      </c>
      <c r="CO71" s="221">
        <f>IF(AND(C71&gt;0,Q71=""),1,IF(Q71&gt;C71,1,0))</f>
        <v/>
      </c>
      <c r="CP71" s="221">
        <f>IF(AND(C71&gt;0,R71=""),1,IF(R71&gt;C71,1,0))</f>
        <v/>
      </c>
    </row>
    <row r="72" ht="15" customHeight="1" s="8286">
      <c r="A72" s="9610" t="n"/>
      <c r="B72" s="8051" t="inlineStr">
        <is>
          <t>Anillo Vaginal</t>
        </is>
      </c>
      <c r="C72" s="1117">
        <f>SUM(D72:M72)</f>
        <v/>
      </c>
      <c r="D72" s="1188" t="n"/>
      <c r="E72" s="1118" t="n"/>
      <c r="F72" s="1118" t="n"/>
      <c r="G72" s="1118" t="n"/>
      <c r="H72" s="1118" t="n"/>
      <c r="I72" s="1118" t="n"/>
      <c r="J72" s="1118" t="n"/>
      <c r="K72" s="1118" t="n"/>
      <c r="L72" s="1118" t="n"/>
      <c r="M72" s="1118" t="n"/>
      <c r="N72" s="2071" t="n"/>
      <c r="O72" s="1237" t="n"/>
      <c r="P72" s="2050" t="n"/>
      <c r="Q72" s="5249" t="n"/>
      <c r="R72" s="1223" t="n"/>
      <c r="S72">
        <f>CA72&amp;CB72</f>
        <v/>
      </c>
      <c r="CA72" s="90">
        <f>IF(AND($C72&gt;0,Q72="")," * No olvide digitar la variable "&amp;$Q$61&amp;""&amp;". Digite Cero si no tiene.",IF(Q72&gt;$C72," * La variable  "&amp;$Q$61&amp;""&amp;" No puede ser mayor al Total.",""))</f>
        <v/>
      </c>
      <c r="CB72" s="90">
        <f>IF(AND($C72&gt;0,R72="")," * No olvide digitar la variable  "&amp;$R$61&amp;""&amp;". Digite Cero si no tiene.",IF(R72&gt;$C72,"  * La variable  "&amp;$R$61&amp;""&amp;" No puede ser mayor al Total.",""))</f>
        <v/>
      </c>
      <c r="CO72" s="221">
        <f>IF(AND(C72&gt;0,Q72=""),1,IF(Q72&gt;C72,1,0))</f>
        <v/>
      </c>
      <c r="CP72" s="221">
        <f>IF(AND(C72&gt;0,R72=""),1,IF(R72&gt;C72,1,0))</f>
        <v/>
      </c>
    </row>
    <row r="73" ht="15" customHeight="1" s="8286">
      <c r="A73" s="9933" t="inlineStr">
        <is>
      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      </is>
      </c>
      <c r="B73" s="2052" t="inlineStr">
        <is>
          <t>Mujer</t>
        </is>
      </c>
      <c r="C73" s="7748">
        <f>SUM(D73:P73)</f>
        <v/>
      </c>
      <c r="D73" s="2022" t="n"/>
      <c r="E73" s="835" t="n"/>
      <c r="F73" s="835" t="n"/>
      <c r="G73" s="835" t="n"/>
      <c r="H73" s="835" t="n"/>
      <c r="I73" s="835" t="n"/>
      <c r="J73" s="835" t="n"/>
      <c r="K73" s="835" t="n"/>
      <c r="L73" s="835" t="n"/>
      <c r="M73" s="835" t="n"/>
      <c r="N73" s="863" t="n"/>
      <c r="O73" s="863" t="n"/>
      <c r="P73" s="863" t="n"/>
      <c r="Q73" s="5213" t="n"/>
      <c r="R73" s="5189" t="n"/>
      <c r="S73">
        <f>CA73&amp;CB73</f>
        <v/>
      </c>
      <c r="CA73" s="90">
        <f>IF(AND($C73&gt;0,Q73="")," * No olvide digitar la variable "&amp;$Q$61&amp;""&amp;". Digite Cero si no tiene.",IF(Q73&gt;$C73," * La variable  "&amp;$Q$61&amp;""&amp;" No puede ser mayor al Total.",""))</f>
        <v/>
      </c>
      <c r="CB73" s="90">
        <f>IF(AND($C73&gt;0,R73="")," * No olvide digitar la variable  "&amp;$R$61&amp;""&amp;". Digite Cero si no tiene.",IF(R73&gt;$C73,"  * La variable  "&amp;$R$61&amp;""&amp;" No puede ser mayor al Total.",""))</f>
        <v/>
      </c>
      <c r="CO73" s="221">
        <f>IF(AND(C73&gt;0,Q73=""),1,IF(Q73&gt;C73,1,0))</f>
        <v/>
      </c>
      <c r="CP73" s="221">
        <f>IF(AND(C73&gt;0,R73=""),1,IF(R73&gt;C73,1,0))</f>
        <v/>
      </c>
    </row>
    <row r="74" ht="15" customHeight="1" s="8286">
      <c r="A74" s="9610" t="n"/>
      <c r="B74" s="2058" t="inlineStr">
        <is>
          <t>Hombres</t>
        </is>
      </c>
      <c r="C74" s="1117">
        <f>SUM(D74:P74)</f>
        <v/>
      </c>
      <c r="D74" s="1188" t="n"/>
      <c r="E74" s="1118" t="n"/>
      <c r="F74" s="1118" t="n"/>
      <c r="G74" s="1118" t="n"/>
      <c r="H74" s="1118" t="n"/>
      <c r="I74" s="1118" t="n"/>
      <c r="J74" s="1118" t="n"/>
      <c r="K74" s="1118" t="n"/>
      <c r="L74" s="1118" t="n"/>
      <c r="M74" s="1118" t="n"/>
      <c r="N74" s="1118" t="n"/>
      <c r="O74" s="1118" t="n"/>
      <c r="P74" s="1118" t="n"/>
      <c r="Q74" s="5249" t="n"/>
      <c r="R74" s="1223" t="n"/>
      <c r="S74">
        <f>CA74&amp;CB74</f>
        <v/>
      </c>
      <c r="CA74" s="90">
        <f>IF(AND($C74&gt;0,Q74="")," * No olvide digitar la variable "&amp;$Q$61&amp;""&amp;". Digite Cero si no tiene.",IF(Q74&gt;$C74," * La variable  "&amp;$Q$61&amp;""&amp;" No puede ser mayor al Total.",""))</f>
        <v/>
      </c>
      <c r="CB74" s="90">
        <f>IF(AND($C74&gt;0,R74="")," * No olvide digitar la variable  "&amp;$R$61&amp;""&amp;". Digite Cero si no tiene.",IF(R74&gt;$C74,"  * La variable  "&amp;$R$61&amp;""&amp;" No puede ser mayor al Total.",""))</f>
        <v/>
      </c>
      <c r="CO74" s="221">
        <f>IF(AND(C74&gt;0,Q74=""),1,IF(Q74&gt;C74,1,0))</f>
        <v/>
      </c>
      <c r="CP74" s="221">
        <f>IF(AND(C74&gt;0,R74=""),1,IF(R74&gt;C74,1,0))</f>
        <v/>
      </c>
    </row>
    <row r="75" ht="15" customHeight="1" s="8286">
      <c r="A75" s="9940" t="inlineStr">
        <is>
          <t>Esterilización Quirúrgica</t>
        </is>
      </c>
      <c r="B75" s="2052" t="inlineStr">
        <is>
          <t>Mujer</t>
        </is>
      </c>
      <c r="C75" s="7748">
        <f>SUM(D75:M75)</f>
        <v/>
      </c>
      <c r="D75" s="835" t="n"/>
      <c r="E75" s="835" t="n"/>
      <c r="F75" s="835" t="n"/>
      <c r="G75" s="835" t="n"/>
      <c r="H75" s="835" t="n"/>
      <c r="I75" s="835" t="n"/>
      <c r="J75" s="835" t="n"/>
      <c r="K75" s="835" t="n"/>
      <c r="L75" s="835" t="n"/>
      <c r="M75" s="835" t="n"/>
      <c r="N75" s="2070" t="n"/>
      <c r="O75" s="847" t="n"/>
      <c r="P75" s="2049" t="n"/>
      <c r="Q75" s="5213" t="n"/>
      <c r="R75" s="5189" t="n"/>
      <c r="S75">
        <f>CA75&amp;CB75</f>
        <v/>
      </c>
      <c r="CA75" s="90">
        <f>IF(AND($C75&gt;0,Q75="")," * No olvide digitar la variable "&amp;$Q$61&amp;""&amp;". Digite Cero si no tiene.",IF(Q75&gt;$C75," * La variable  "&amp;$Q$61&amp;""&amp;" No puede ser mayor al Total.",""))</f>
        <v/>
      </c>
      <c r="CB75" s="90">
        <f>IF(AND($C75&gt;0,R75="")," * No olvide digitar la variable  "&amp;$R$61&amp;""&amp;". Digite Cero si no tiene.",IF(R75&gt;$C75,"  * La variable  "&amp;$R$61&amp;""&amp;" No puede ser mayor al Total.",""))</f>
        <v/>
      </c>
      <c r="CO75" s="221">
        <f>IF(AND(C75&gt;0,Q75=""),1,IF(Q75&gt;C75,1,0))</f>
        <v/>
      </c>
      <c r="CP75" s="221">
        <f>IF(AND(C75&gt;0,R75=""),1,IF(R75&gt;C75,1,0))</f>
        <v/>
      </c>
    </row>
    <row r="76" ht="15" customHeight="1" s="8286" thickBot="1">
      <c r="A76" s="9941" t="n"/>
      <c r="B76" s="102" t="inlineStr">
        <is>
          <t>Hombres</t>
        </is>
      </c>
      <c r="C76" s="103">
        <f>SUM(D76:M76)</f>
        <v/>
      </c>
      <c r="D76" s="104" t="n"/>
      <c r="E76" s="104" t="n"/>
      <c r="F76" s="104" t="n"/>
      <c r="G76" s="104" t="n"/>
      <c r="H76" s="104" t="n"/>
      <c r="I76" s="104" t="n"/>
      <c r="J76" s="104" t="n"/>
      <c r="K76" s="104" t="n"/>
      <c r="L76" s="104" t="n"/>
      <c r="M76" s="104" t="n"/>
      <c r="N76" s="105" t="n"/>
      <c r="O76" s="106" t="n"/>
      <c r="P76" s="107" t="n"/>
      <c r="Q76" s="5363" t="n"/>
      <c r="R76" s="5364" t="n"/>
      <c r="S76">
        <f>CA76&amp;CB76</f>
        <v/>
      </c>
      <c r="CA76" s="90">
        <f>IF(AND($C76&gt;0,Q76="")," * No olvide digitar la variable "&amp;$Q$61&amp;""&amp;". Digite Cero si no tiene.",IF(Q76&gt;$C76," * La variable  "&amp;$Q$61&amp;""&amp;" No puede ser mayor al Total.",""))</f>
        <v/>
      </c>
      <c r="CB76" s="90">
        <f>IF(AND($C76&gt;0,R76="")," * No olvide digitar la variable  "&amp;$R$61&amp;""&amp;". Digite Cero si no tiene.",IF(R76&gt;$C76,"  * La variable  "&amp;$R$61&amp;""&amp;" No puede ser mayor al Total.",""))</f>
        <v/>
      </c>
      <c r="CO76" s="221">
        <f>IF(AND(C76&gt;0,Q76=""),1,IF(Q76&gt;C76,1,0))</f>
        <v/>
      </c>
      <c r="CP76" s="221">
        <f>IF(AND(C76&gt;0,R76=""),1,IF(R76&gt;C76,1,0))</f>
        <v/>
      </c>
    </row>
    <row r="77" ht="15" customHeight="1" s="8286" thickTop="1">
      <c r="A77" s="9942" t="inlineStr">
        <is>
          <t>Método de Regulación de Fertilidad más Preservativos</t>
        </is>
      </c>
      <c r="B77" s="9943" t="n"/>
      <c r="C77" s="1946">
        <f>SUM(D77:M77)</f>
        <v/>
      </c>
      <c r="D77" s="793" t="n"/>
      <c r="E77" s="793" t="n"/>
      <c r="F77" s="793" t="n"/>
      <c r="G77" s="793" t="n"/>
      <c r="H77" s="793" t="n"/>
      <c r="I77" s="793" t="n"/>
      <c r="J77" s="793" t="n"/>
      <c r="K77" s="793" t="n"/>
      <c r="L77" s="793" t="n"/>
      <c r="M77" s="793" t="n"/>
      <c r="N77" s="2074" t="n"/>
      <c r="O77" s="794" t="n"/>
      <c r="P77" s="795" t="n"/>
      <c r="Q77" s="5214" t="n"/>
      <c r="R77" s="1964" t="n"/>
      <c r="S77">
        <f>CA77&amp;CB77</f>
        <v/>
      </c>
      <c r="CA77" s="90">
        <f>IF(AND($C77&gt;0,Q77="")," * No olvide digitar la variable "&amp;$Q$61&amp;""&amp;". Digite Cero si no tiene.",IF(Q77&gt;$C77," * La variable  "&amp;$Q$61&amp;""&amp;" No puede ser mayor al Total.",""))</f>
        <v/>
      </c>
      <c r="CB77" s="90">
        <f>IF(AND($C77&gt;0,R77="")," * No olvide digitar la variable  "&amp;$R$61&amp;""&amp;". Digite Cero si no tiene.",IF(R77&gt;$C77,"  * La variable  "&amp;$R$61&amp;""&amp;" No puede ser mayor al Total.",""))</f>
        <v/>
      </c>
      <c r="CO77" s="221">
        <f>IF(AND(C77&gt;0,Q77=""),1,IF(Q77&gt;C77,1,0))</f>
        <v/>
      </c>
      <c r="CP77" s="221">
        <f>IF(AND(C77&gt;0,R77=""),1,IF(R77&gt;C77,1,0))</f>
        <v/>
      </c>
    </row>
    <row r="78" ht="15" customHeight="1" s="8286">
      <c r="A78" s="9944" t="inlineStr">
        <is>
          <t>Gestantes que reciben preservativo</t>
        </is>
      </c>
      <c r="B78" s="9720" t="n"/>
      <c r="C78" s="2060">
        <f>SUM(D78:M78)</f>
        <v/>
      </c>
      <c r="D78" s="155" t="n"/>
      <c r="E78" s="155" t="n"/>
      <c r="F78" s="155" t="n"/>
      <c r="G78" s="155" t="n"/>
      <c r="H78" s="155" t="n"/>
      <c r="I78" s="155" t="n"/>
      <c r="J78" s="155" t="n"/>
      <c r="K78" s="155" t="n"/>
      <c r="L78" s="155" t="n"/>
      <c r="M78" s="155" t="n"/>
      <c r="N78" s="2075" t="n"/>
      <c r="O78" s="174" t="n"/>
      <c r="P78" s="175" t="n"/>
      <c r="Q78" s="5249" t="n"/>
      <c r="R78" s="1223" t="n"/>
      <c r="S78">
        <f>CA78&amp;CB78</f>
        <v/>
      </c>
      <c r="CA78" s="90">
        <f>IF(AND($C78&gt;0,Q78="")," * No olvide digitar la variable "&amp;$Q$61&amp;""&amp;". Digite Cero si no tiene.",IF(Q78&gt;$C78," * La variable  "&amp;$Q$61&amp;""&amp;" No puede ser mayor al Total.",""))</f>
        <v/>
      </c>
      <c r="CB78" s="90">
        <f>IF(AND($C78&gt;0,R78="")," * No olvide digitar la variable  "&amp;$R$61&amp;""&amp;". Digite Cero si no tiene.",IF(R78&gt;$C78,"  * La variable  "&amp;$R$61&amp;""&amp;" No puede ser mayor al Total.",""))</f>
        <v/>
      </c>
      <c r="CO78" s="221">
        <f>IF(AND(C78&gt;0,Q78=""),1,IF(Q78&gt;C78,1,0))</f>
        <v/>
      </c>
      <c r="CP78" s="221">
        <f>IF(AND(C78&gt;0,R78=""),1,IF(R78&gt;C78,1,0))</f>
        <v/>
      </c>
    </row>
    <row r="79" ht="15" customHeight="1" s="8286">
      <c r="A79" s="9933" t="inlineStr">
        <is>
          <t>Preservativo/Practica Sexual Segura</t>
        </is>
      </c>
      <c r="B79" s="2065" t="inlineStr">
        <is>
          <t>Mujer</t>
        </is>
      </c>
      <c r="C79" s="7748">
        <f>SUM(D79:P79)</f>
        <v/>
      </c>
      <c r="D79" s="2022" t="n"/>
      <c r="E79" s="835" t="n"/>
      <c r="F79" s="835" t="n"/>
      <c r="G79" s="835" t="n"/>
      <c r="H79" s="835" t="n"/>
      <c r="I79" s="835" t="n"/>
      <c r="J79" s="835" t="n"/>
      <c r="K79" s="835" t="n"/>
      <c r="L79" s="835" t="n"/>
      <c r="M79" s="835" t="n"/>
      <c r="N79" s="2023" t="n"/>
      <c r="O79" s="835" t="n"/>
      <c r="P79" s="1940" t="n"/>
      <c r="Q79" s="5213" t="n"/>
      <c r="R79" s="5189" t="n"/>
      <c r="S79">
        <f>CA79&amp;CB79</f>
        <v/>
      </c>
      <c r="CA79" s="90">
        <f>IF(AND($C79&gt;0,Q79="")," * No olvide digitar la variable "&amp;$Q$61&amp;""&amp;". Digite Cero si no tiene.",IF(Q79&gt;$C79," * La variable  "&amp;$Q$61&amp;""&amp;" No puede ser mayor al Total.",""))</f>
        <v/>
      </c>
      <c r="CB79" s="90">
        <f>IF(AND($C79&gt;0,R79="")," * No olvide digitar la variable  "&amp;$R$61&amp;""&amp;". Digite Cero si no tiene.",IF(R79&gt;$C79,"  * La variable  "&amp;$R$61&amp;""&amp;" No puede ser mayor al Total.",""))</f>
        <v/>
      </c>
      <c r="CO79" s="221">
        <f>IF(AND(C79&gt;0,Q79=""),1,IF(Q79&gt;C79,1,0))</f>
        <v/>
      </c>
      <c r="CP79" s="221">
        <f>IF(AND(C79&gt;0,R79=""),1,IF(R79&gt;C79,1,0))</f>
        <v/>
      </c>
    </row>
    <row r="80" ht="15" customHeight="1" s="8286">
      <c r="A80" s="9610" t="n"/>
      <c r="B80" s="2066" t="inlineStr">
        <is>
          <t>Hombres</t>
        </is>
      </c>
      <c r="C80" s="2060">
        <f>SUM(D80:P80)</f>
        <v/>
      </c>
      <c r="D80" s="872" t="n"/>
      <c r="E80" s="155" t="n"/>
      <c r="F80" s="155" t="n"/>
      <c r="G80" s="155" t="n"/>
      <c r="H80" s="155" t="n"/>
      <c r="I80" s="155" t="n"/>
      <c r="J80" s="155" t="n"/>
      <c r="K80" s="155" t="n"/>
      <c r="L80" s="155" t="n"/>
      <c r="M80" s="155" t="n"/>
      <c r="N80" s="1434" t="n"/>
      <c r="O80" s="155" t="n"/>
      <c r="P80" s="176" t="n"/>
      <c r="Q80" s="5360" t="n"/>
      <c r="R80" s="5362" t="n"/>
      <c r="S80">
        <f>CA80&amp;CB80</f>
        <v/>
      </c>
      <c r="CA80" s="90">
        <f>IF(AND($C80&gt;0,Q80="")," * No olvide digitar la variable "&amp;$Q$61&amp;""&amp;". Digite Cero si no tiene.",IF(Q80&gt;$C80," * La variable  "&amp;$Q$61&amp;""&amp;" No puede ser mayor al Total.",""))</f>
        <v/>
      </c>
      <c r="CB80" s="90">
        <f>IF(AND($C80&gt;0,R80="")," * No olvide digitar la variable  "&amp;$R$61&amp;""&amp;". Digite Cero si no tiene.",IF(R80&gt;$C80,"  * La variable  "&amp;$R$61&amp;""&amp;" No puede ser mayor al Total.",""))</f>
        <v/>
      </c>
      <c r="CO80" s="221">
        <f>IF(AND(C80&gt;0,Q80=""),1,IF(Q80&gt;C80,1,0))</f>
        <v/>
      </c>
      <c r="CP80" s="221">
        <f>IF(AND(C80&gt;0,R80=""),1,IF(R80&gt;C80,1,0))</f>
        <v/>
      </c>
    </row>
    <row r="81" ht="15" customHeight="1" s="8286">
      <c r="A81" s="9933" t="inlineStr">
        <is>
          <t>Lubricantes</t>
        </is>
      </c>
      <c r="B81" s="2065" t="inlineStr">
        <is>
          <t>Mujer</t>
        </is>
      </c>
      <c r="C81" s="7748">
        <f>SUM(D81:P81)</f>
        <v/>
      </c>
      <c r="D81" s="835" t="n"/>
      <c r="E81" s="835" t="n"/>
      <c r="F81" s="835" t="n"/>
      <c r="G81" s="835" t="n"/>
      <c r="H81" s="835" t="n"/>
      <c r="I81" s="835" t="n"/>
      <c r="J81" s="835" t="n"/>
      <c r="K81" s="835" t="n"/>
      <c r="L81" s="835" t="n"/>
      <c r="M81" s="835" t="n"/>
      <c r="N81" s="2023" t="n"/>
      <c r="O81" s="835" t="n"/>
      <c r="P81" s="1940" t="n"/>
      <c r="Q81" s="5214" t="n"/>
      <c r="R81" s="1964" t="n"/>
      <c r="S81">
        <f>CA81&amp;CB81</f>
        <v/>
      </c>
      <c r="CA81" s="90">
        <f>IF(AND($C81&gt;0,Q81="")," * No olvide digitar la variable "&amp;$Q$61&amp;""&amp;". Digite Cero si no tiene.",IF(Q81&gt;$C81," * La variable  "&amp;$Q$61&amp;""&amp;" No puede ser mayor al Total.",""))</f>
        <v/>
      </c>
      <c r="CB81" s="90">
        <f>IF(AND($C81&gt;0,R81="")," * No olvide digitar la variable  "&amp;$R$61&amp;""&amp;". Digite Cero si no tiene.",IF(R81&gt;$C81,"  * La variable  "&amp;$R$61&amp;""&amp;" No puede ser mayor al Total.",""))</f>
        <v/>
      </c>
      <c r="CO81" s="221">
        <f>IF(AND(C81&gt;0,Q81=""),1,IF(Q81&gt;C81,1,0))</f>
        <v/>
      </c>
      <c r="CP81" s="221">
        <f>IF(AND(C81&gt;0,R81=""),1,IF(R81&gt;C81,1,0))</f>
        <v/>
      </c>
    </row>
    <row r="82" ht="15" customHeight="1" s="8286">
      <c r="A82" s="9610" t="n"/>
      <c r="B82" s="2067" t="inlineStr">
        <is>
          <t>Hombres</t>
        </is>
      </c>
      <c r="C82" s="2060">
        <f>SUM(D82:P82)</f>
        <v/>
      </c>
      <c r="D82" s="155" t="n"/>
      <c r="E82" s="155" t="n"/>
      <c r="F82" s="155" t="n"/>
      <c r="G82" s="155" t="n"/>
      <c r="H82" s="155" t="n"/>
      <c r="I82" s="155" t="n"/>
      <c r="J82" s="155" t="n"/>
      <c r="K82" s="155" t="n"/>
      <c r="L82" s="155" t="n"/>
      <c r="M82" s="155" t="n"/>
      <c r="N82" s="1434" t="n"/>
      <c r="O82" s="155" t="n"/>
      <c r="P82" s="176" t="n"/>
      <c r="Q82" s="5360" t="n"/>
      <c r="R82" s="5362" t="n"/>
      <c r="S82">
        <f>CA82&amp;CB82</f>
        <v/>
      </c>
      <c r="CA82" s="90">
        <f>IF(AND($C82&gt;0,Q82="")," * No olvide digitar la variable "&amp;$Q$61&amp;""&amp;". Digite Cero si no tiene.",IF(Q82&gt;$C82," * La variable  "&amp;$Q$61&amp;""&amp;" No puede ser mayor al Total.",""))</f>
        <v/>
      </c>
      <c r="CB82" s="90">
        <f>IF(AND($C82&gt;0,R82="")," * No olvide digitar la variable  "&amp;$R$61&amp;""&amp;". Digite Cero si no tiene.",IF(R82&gt;$C82,"  * La variable  "&amp;$R$61&amp;""&amp;" No puede ser mayor al Total.",""))</f>
        <v/>
      </c>
      <c r="CO82" s="221">
        <f>IF(AND(C82&gt;0,Q82=""),1,IF(Q82&gt;C82,1,0))</f>
        <v/>
      </c>
      <c r="CP82" s="221">
        <f>IF(AND(C82&gt;0,R82=""),1,IF(R82&gt;C82,1,0))</f>
        <v/>
      </c>
    </row>
    <row r="83" ht="15" customHeight="1" s="8286">
      <c r="A83" s="9945" t="inlineStr">
        <is>
          <t>Condón Femenino</t>
        </is>
      </c>
      <c r="B83" s="9938" t="n"/>
      <c r="C83" s="2060">
        <f>SUM(D83:P83)</f>
        <v/>
      </c>
      <c r="D83" s="872" t="n"/>
      <c r="E83" s="155" t="n"/>
      <c r="F83" s="155" t="n"/>
      <c r="G83" s="155" t="n"/>
      <c r="H83" s="155" t="n"/>
      <c r="I83" s="155" t="n"/>
      <c r="J83" s="155" t="n"/>
      <c r="K83" s="155" t="n"/>
      <c r="L83" s="155" t="n"/>
      <c r="M83" s="155" t="n"/>
      <c r="N83" s="1434" t="n"/>
      <c r="O83" s="155" t="n"/>
      <c r="P83" s="176" t="n"/>
      <c r="Q83" s="5360" t="n"/>
      <c r="R83" s="5362" t="n"/>
      <c r="S83">
        <f>CA83&amp;CB83</f>
        <v/>
      </c>
      <c r="CA83" s="90">
        <f>IF(AND($C83&gt;0,Q83="")," * No olvide digitar la variable "&amp;$Q$61&amp;""&amp;". Digite Cero si no tiene.",IF(Q83&gt;$C83," * La variable  "&amp;$Q$61&amp;""&amp;" No puede ser mayor al Total.",""))</f>
        <v/>
      </c>
      <c r="CB83" s="90">
        <f>IF(AND($C83&gt;0,R83="")," * No olvide digitar la variable  "&amp;$R$61&amp;""&amp;". Digite Cero si no tiene.",IF(R83&gt;$C83,"  * La variable  "&amp;$R$61&amp;""&amp;" No puede ser mayor al Total.",""))</f>
        <v/>
      </c>
      <c r="CO83" s="221">
        <f>IF(AND(C83&gt;0,Q83=""),1,IF(Q83&gt;C83,1,0))</f>
        <v/>
      </c>
      <c r="CP83" s="221">
        <f>IF(AND(C83&gt;0,R83=""),1,IF(R83&gt;C83,1,0))</f>
        <v/>
      </c>
    </row>
    <row r="84" ht="18" customHeight="1" s="8286">
      <c r="A84" s="2" t="inlineStr">
        <is>
          <t xml:space="preserve">SECCIÓN D: INGRESOS A PROGRAMA CONTROL DE CLIMATERIO </t>
        </is>
      </c>
      <c r="B84" s="3" t="n"/>
      <c r="C84" s="58" t="n"/>
    </row>
    <row r="85" ht="33.6" customHeight="1" s="8286">
      <c r="A85" s="7776" t="inlineStr">
        <is>
          <t>CONCEPTO</t>
        </is>
      </c>
      <c r="B85" s="7784" t="inlineStr">
        <is>
          <t>TOTAL</t>
        </is>
      </c>
      <c r="C85" s="1986" t="inlineStr">
        <is>
          <t>Trans masculino</t>
        </is>
      </c>
      <c r="D85" s="257" t="inlineStr">
        <is>
          <t>Personas con discapacidad</t>
        </is>
      </c>
    </row>
    <row r="86" ht="18" customHeight="1" s="8286">
      <c r="A86" s="7768" t="inlineStr">
        <is>
          <t>Ingresos</t>
        </is>
      </c>
      <c r="B86" s="2078" t="n">
        <v>3</v>
      </c>
      <c r="C86" s="2079" t="n">
        <v>0</v>
      </c>
      <c r="D86" s="2080" t="n">
        <v>0</v>
      </c>
      <c r="E86">
        <f>CA86&amp;CB86</f>
        <v/>
      </c>
      <c r="CA86" s="90">
        <f>IF(AND($B86&gt;0,C86="")," * No olvide digitar la variable "&amp;$C$85&amp;""&amp;". Digite Cero si no tiene.",IF(C86&gt;$B86," * La variable "&amp;$C$85&amp;""&amp;" No puede ser mayor al Total.",""))</f>
        <v/>
      </c>
      <c r="CB86" s="90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/>
      </c>
      <c r="CP86" s="221">
        <f>IF(AND(B86&gt;0,D86=""),1,IF(D86&gt;B86,1,0))</f>
        <v/>
      </c>
    </row>
    <row r="87" ht="18" customHeight="1" s="8286">
      <c r="A87" s="646" t="inlineStr">
        <is>
          <t>SECCIÓN E:  INGRESOS  A CONTROL DE SALUD DE RECIÉN NACIDOS</t>
        </is>
      </c>
      <c r="B87" s="3" t="n"/>
      <c r="C87" s="7" t="n"/>
      <c r="D87" s="7" t="n"/>
      <c r="E87" s="2081" t="n"/>
    </row>
    <row r="88">
      <c r="A88" s="7674" t="inlineStr">
        <is>
          <t>EDAD</t>
        </is>
      </c>
      <c r="B88" s="9603" t="n"/>
      <c r="C88" s="7932" t="inlineStr">
        <is>
          <t>TOTAL</t>
        </is>
      </c>
      <c r="D88" s="2011" t="inlineStr">
        <is>
          <t>Niños</t>
        </is>
      </c>
      <c r="E88" s="7933" t="inlineStr">
        <is>
          <t>Niñas</t>
        </is>
      </c>
    </row>
    <row r="89" ht="18" customHeight="1" s="8286">
      <c r="A89" s="5262" t="inlineStr">
        <is>
          <t xml:space="preserve">Menor o igual a 28 días </t>
        </is>
      </c>
      <c r="B89" s="9582" t="n"/>
      <c r="C89" s="1988">
        <f>SUM(D89:E89)</f>
        <v/>
      </c>
      <c r="D89" s="2038" t="n">
        <v>17</v>
      </c>
      <c r="E89" s="2039" t="n">
        <v>8</v>
      </c>
      <c r="CA89" s="90">
        <f>IF(AND($C89&gt;0,D89="")," * No olvide digitar la variable "&amp;$D$88&amp;""&amp;". Digite Cero si no tiene.",IF(D89&gt;$C89," * La variable  "&amp;$D$88&amp;""&amp;" No puede ser mayor al Total.",""))</f>
        <v/>
      </c>
      <c r="CB89" s="90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/>
      </c>
      <c r="CP89" s="221">
        <f>IF(AND(C89&gt;0,E89=""),1,IF(E89&gt;C89,1,0))</f>
        <v/>
      </c>
    </row>
    <row r="90" ht="18" customFormat="1" customHeight="1" s="5">
      <c r="A90" s="1096" t="inlineStr">
        <is>
          <t xml:space="preserve">SECCIÓN F:  INGRESOS Y EGRESOS A SALA DE ESTIMULACIÓN, SERVICIO ITINERANTE Y ATENCIÓN DOMICILIARIA </t>
        </is>
      </c>
      <c r="B90" s="134" t="n"/>
      <c r="C90" s="134" t="n"/>
      <c r="D90" s="134" t="n"/>
      <c r="E90" s="134" t="n"/>
      <c r="F90" s="134" t="n"/>
      <c r="G90" s="134" t="n"/>
      <c r="H90" s="134" t="n"/>
      <c r="I90" s="134" t="n"/>
      <c r="J90" s="134" t="n"/>
      <c r="K90" s="134" t="n"/>
      <c r="L90" s="134" t="n"/>
      <c r="M90" s="134" t="n"/>
      <c r="N90" s="134" t="n"/>
      <c r="O90" s="134" t="n"/>
      <c r="P90" s="134" t="n"/>
      <c r="Q90" s="134" t="n"/>
      <c r="R90" s="134" t="n"/>
      <c r="S90" s="134" t="n"/>
      <c r="T90" s="134" t="n"/>
      <c r="U90" s="134" t="n"/>
      <c r="V90" s="134" t="n"/>
      <c r="W90" s="134" t="n"/>
      <c r="X90" s="134" t="n"/>
      <c r="Y90" s="134" t="n"/>
      <c r="Z90" s="134" t="n"/>
      <c r="AA90" s="134" t="n"/>
      <c r="AB90" s="134" t="n"/>
      <c r="AC90" s="134" t="n"/>
      <c r="AD90" s="134" t="n"/>
      <c r="AE90" s="134" t="n"/>
      <c r="AF90" s="134" t="n"/>
      <c r="AG90" s="134" t="n"/>
      <c r="AH90" s="134" t="n"/>
      <c r="AI90" s="134" t="n"/>
      <c r="AJ90" s="134" t="n"/>
      <c r="AK90" s="134" t="n"/>
      <c r="AL90" s="134" t="n"/>
      <c r="AM90" s="134" t="n"/>
      <c r="AN90" s="134" t="n"/>
      <c r="AO90" s="134" t="n"/>
      <c r="AP90" s="134" t="n"/>
      <c r="AQ90" s="134" t="n"/>
      <c r="AR90" s="134" t="n"/>
      <c r="AS90" s="134" t="n"/>
      <c r="AT90" s="134" t="n"/>
      <c r="AU90" s="134" t="n"/>
      <c r="AV90" s="134" t="n"/>
      <c r="AW90" s="134" t="n"/>
    </row>
    <row r="91" ht="18" customFormat="1" customHeight="1" s="5">
      <c r="A91" s="9946" t="inlineStr">
        <is>
          <t xml:space="preserve">NIÑO / A (CON) </t>
        </is>
      </c>
      <c r="B91" s="9630" t="n"/>
      <c r="C91" s="9946" t="inlineStr">
        <is>
          <t xml:space="preserve">TOTAL    </t>
        </is>
      </c>
      <c r="D91" s="9602" t="n"/>
      <c r="E91" s="9630" t="n"/>
      <c r="F91" s="9947" t="inlineStr">
        <is>
          <t>INGRESOS</t>
        </is>
      </c>
      <c r="G91" s="9725" t="n"/>
      <c r="H91" s="9725" t="n"/>
      <c r="I91" s="9725" t="n"/>
      <c r="J91" s="9725" t="n"/>
      <c r="K91" s="9725" t="n"/>
      <c r="L91" s="9725" t="n"/>
      <c r="M91" s="9725" t="n"/>
      <c r="N91" s="9725" t="n"/>
      <c r="O91" s="9725" t="n"/>
      <c r="P91" s="9725" t="n"/>
      <c r="Q91" s="9725" t="n"/>
      <c r="R91" s="9725" t="n"/>
      <c r="S91" s="9725" t="n"/>
      <c r="T91" s="9725" t="n"/>
      <c r="U91" s="9725" t="n"/>
      <c r="V91" s="9725" t="n"/>
      <c r="W91" s="9725" t="n"/>
      <c r="X91" s="9725" t="n"/>
      <c r="Y91" s="9725" t="n"/>
      <c r="Z91" s="9725" t="n"/>
      <c r="AA91" s="9725" t="n"/>
      <c r="AB91" s="9725" t="n"/>
      <c r="AC91" s="9948" t="n"/>
      <c r="AD91" s="7919" t="inlineStr">
        <is>
          <t>Egresos</t>
        </is>
      </c>
      <c r="AE91" s="9725" t="n"/>
      <c r="AF91" s="9725" t="n"/>
      <c r="AG91" s="9725" t="n"/>
      <c r="AH91" s="9725" t="n"/>
      <c r="AI91" s="9725" t="n"/>
      <c r="AJ91" s="9725" t="n"/>
      <c r="AK91" s="9725" t="n"/>
      <c r="AL91" s="9725" t="n"/>
      <c r="AM91" s="9725" t="n"/>
      <c r="AN91" s="9725" t="n"/>
      <c r="AO91" s="9725" t="n"/>
      <c r="AP91" s="9725" t="n"/>
      <c r="AQ91" s="9725" t="n"/>
      <c r="AR91" s="9725" t="n"/>
      <c r="AS91" s="9725" t="n"/>
      <c r="AT91" s="9949" t="n"/>
      <c r="AU91" s="9950" t="inlineStr">
        <is>
          <t>Pueblos Originarios</t>
        </is>
      </c>
      <c r="AV91" s="9951" t="inlineStr">
        <is>
          <t>Migrantes</t>
        </is>
      </c>
      <c r="AW91" s="9952" t="inlineStr">
        <is>
          <t>Servicio Nacional Protección Especializada a la Niñez y Adolescencia</t>
        </is>
      </c>
    </row>
    <row r="92" ht="18" customFormat="1" customHeight="1" s="5">
      <c r="A92" s="642" t="n"/>
      <c r="B92" s="9718" t="n"/>
      <c r="C92" s="642" t="n"/>
      <c r="E92" s="9718" t="n"/>
      <c r="F92" s="9953" t="inlineStr">
        <is>
          <t>Sala de Estimulación</t>
        </is>
      </c>
      <c r="G92" s="9830" t="n"/>
      <c r="H92" s="9830" t="n"/>
      <c r="I92" s="9830" t="n"/>
      <c r="J92" s="9830" t="n"/>
      <c r="K92" s="9830" t="n"/>
      <c r="L92" s="9830" t="n"/>
      <c r="M92" s="9830" t="n"/>
      <c r="N92" s="9830" t="n"/>
      <c r="O92" s="9830" t="n"/>
      <c r="P92" s="9830" t="n"/>
      <c r="Q92" s="9954" t="n"/>
      <c r="R92" s="9955" t="inlineStr">
        <is>
          <t>Servicio Itinerante en Centro de Salud</t>
        </is>
      </c>
      <c r="S92" s="9830" t="n"/>
      <c r="T92" s="9830" t="n"/>
      <c r="U92" s="9830" t="n"/>
      <c r="V92" s="9830" t="n"/>
      <c r="W92" s="9954" t="n"/>
      <c r="X92" s="7903" t="inlineStr">
        <is>
          <t>Atención Domiciliaria</t>
        </is>
      </c>
      <c r="Y92" s="9830" t="n"/>
      <c r="Z92" s="9830" t="n"/>
      <c r="AA92" s="9830" t="n"/>
      <c r="AB92" s="9830" t="n"/>
      <c r="AC92" s="9956" t="n"/>
      <c r="AD92" s="7905" t="inlineStr">
        <is>
          <t xml:space="preserve">Cumplimiento de tratamiento Sala de Estimulación </t>
        </is>
      </c>
      <c r="AE92" s="9725" t="n"/>
      <c r="AF92" s="9725" t="n"/>
      <c r="AG92" s="9725" t="n"/>
      <c r="AH92" s="9725" t="n"/>
      <c r="AI92" s="9725" t="n"/>
      <c r="AJ92" s="9725" t="n"/>
      <c r="AK92" s="9725" t="n"/>
      <c r="AL92" s="9725" t="n"/>
      <c r="AM92" s="9725" t="n"/>
      <c r="AN92" s="9725" t="n"/>
      <c r="AO92" s="9726" t="n"/>
      <c r="AP92" s="9957" t="inlineStr">
        <is>
          <t>Servicio Itinerante</t>
        </is>
      </c>
      <c r="AQ92" s="9958" t="inlineStr">
        <is>
          <t>Atención Domiciliaria</t>
        </is>
      </c>
      <c r="AR92" s="9958" t="inlineStr">
        <is>
          <t>Derivación a Especialidad</t>
        </is>
      </c>
      <c r="AS92" s="9958" t="inlineStr">
        <is>
          <t>Otros</t>
        </is>
      </c>
      <c r="AT92" s="9959" t="inlineStr">
        <is>
          <t>Inasistente</t>
        </is>
      </c>
      <c r="AV92" s="9614" t="n"/>
      <c r="AW92" s="9668" t="n"/>
    </row>
    <row r="93" ht="15" customFormat="1" customHeight="1" s="5">
      <c r="A93" s="642" t="n"/>
      <c r="B93" s="9718" t="n"/>
      <c r="C93" s="9638" t="n"/>
      <c r="D93" s="9697" t="n"/>
      <c r="E93" s="9639" t="n"/>
      <c r="F93" s="9960" t="inlineStr">
        <is>
          <t>Menos de 7 meses</t>
        </is>
      </c>
      <c r="G93" s="9961" t="n"/>
      <c r="H93" s="9962" t="inlineStr">
        <is>
          <t>7 - 11 meses</t>
        </is>
      </c>
      <c r="I93" s="9961" t="n"/>
      <c r="J93" s="9962" t="inlineStr">
        <is>
          <t>12 - 17 meses</t>
        </is>
      </c>
      <c r="K93" s="9961" t="n"/>
      <c r="L93" s="9962" t="inlineStr">
        <is>
          <t>18 - 23 meses</t>
        </is>
      </c>
      <c r="M93" s="9961" t="n"/>
      <c r="N93" s="9962" t="inlineStr">
        <is>
          <t>24 - 47 meses</t>
        </is>
      </c>
      <c r="O93" s="9961" t="n"/>
      <c r="P93" s="9963" t="inlineStr">
        <is>
          <t>48 - 59 meses</t>
        </is>
      </c>
      <c r="Q93" s="9582" t="n"/>
      <c r="R93" s="9960" t="inlineStr">
        <is>
          <t>0-11 meses</t>
        </is>
      </c>
      <c r="S93" s="9961" t="n"/>
      <c r="T93" s="9962" t="inlineStr">
        <is>
          <t>12-23 meses</t>
        </is>
      </c>
      <c r="U93" s="9961" t="n"/>
      <c r="V93" s="9963" t="inlineStr">
        <is>
          <t>24-59 meses</t>
        </is>
      </c>
      <c r="W93" s="9582" t="n"/>
      <c r="X93" s="7744" t="inlineStr">
        <is>
          <t>0-11 meses</t>
        </is>
      </c>
      <c r="Y93" s="9961" t="n"/>
      <c r="Z93" s="9962" t="inlineStr">
        <is>
          <t>12-23 meses</t>
        </is>
      </c>
      <c r="AA93" s="9961" t="n"/>
      <c r="AB93" s="9964" t="inlineStr">
        <is>
          <t>24-59 meses</t>
        </is>
      </c>
      <c r="AC93" s="9873" t="n"/>
      <c r="AD93" s="7744" t="inlineStr">
        <is>
          <t>Menos de 7 meses</t>
        </is>
      </c>
      <c r="AE93" s="9961" t="n"/>
      <c r="AF93" s="9962" t="inlineStr">
        <is>
          <t>7 - 11 meses</t>
        </is>
      </c>
      <c r="AG93" s="9961" t="n"/>
      <c r="AH93" s="9962" t="inlineStr">
        <is>
          <t>12 - 17 meses</t>
        </is>
      </c>
      <c r="AI93" s="9961" t="n"/>
      <c r="AJ93" s="9962" t="inlineStr">
        <is>
          <t>18 - 23 meses</t>
        </is>
      </c>
      <c r="AK93" s="9961" t="n"/>
      <c r="AL93" s="9962" t="inlineStr">
        <is>
          <t>24 - 47 meses</t>
        </is>
      </c>
      <c r="AM93" s="9961" t="n"/>
      <c r="AN93" s="9962" t="inlineStr">
        <is>
          <t>48 - 59 meses</t>
        </is>
      </c>
      <c r="AO93" s="9961" t="n"/>
      <c r="AP93" s="9965" t="n"/>
      <c r="AQ93" s="9966" t="n"/>
      <c r="AR93" s="9966" t="n"/>
      <c r="AS93" s="9966" t="n"/>
      <c r="AT93" s="9967" t="n"/>
      <c r="AV93" s="9614" t="n"/>
      <c r="AW93" s="9668" t="n"/>
    </row>
    <row r="94" ht="18" customFormat="1" customHeight="1" s="5">
      <c r="A94" s="9638" t="n"/>
      <c r="B94" s="9639" t="n"/>
      <c r="C94" s="2084" t="inlineStr">
        <is>
          <t>Ambos Sexos</t>
        </is>
      </c>
      <c r="D94" s="2085" t="inlineStr">
        <is>
          <t>Hombres</t>
        </is>
      </c>
      <c r="E94" s="2086" t="inlineStr">
        <is>
          <t>Mujeres</t>
        </is>
      </c>
      <c r="F94" s="7737" t="inlineStr">
        <is>
          <t>Hombres</t>
        </is>
      </c>
      <c r="G94" s="2087" t="inlineStr">
        <is>
          <t>Mujeres</t>
        </is>
      </c>
      <c r="H94" s="7737" t="inlineStr">
        <is>
          <t>Hombres</t>
        </is>
      </c>
      <c r="I94" s="2087" t="inlineStr">
        <is>
          <t>Mujeres</t>
        </is>
      </c>
      <c r="J94" s="7737" t="inlineStr">
        <is>
          <t>Hombres</t>
        </is>
      </c>
      <c r="K94" s="2087" t="inlineStr">
        <is>
          <t>Mujeres</t>
        </is>
      </c>
      <c r="L94" s="7737" t="inlineStr">
        <is>
          <t>Hombres</t>
        </is>
      </c>
      <c r="M94" s="2087" t="inlineStr">
        <is>
          <t>Mujeres</t>
        </is>
      </c>
      <c r="N94" s="7737" t="inlineStr">
        <is>
          <t>Hombres</t>
        </is>
      </c>
      <c r="O94" s="2087" t="inlineStr">
        <is>
          <t>Mujeres</t>
        </is>
      </c>
      <c r="P94" s="7737" t="inlineStr">
        <is>
          <t>Hombres</t>
        </is>
      </c>
      <c r="Q94" s="2088" t="inlineStr">
        <is>
          <t>Mujeres</t>
        </is>
      </c>
      <c r="R94" s="7737" t="inlineStr">
        <is>
          <t>Hombres</t>
        </is>
      </c>
      <c r="S94" s="2087" t="inlineStr">
        <is>
          <t>Mujeres</t>
        </is>
      </c>
      <c r="T94" s="7737" t="inlineStr">
        <is>
          <t>Hombres</t>
        </is>
      </c>
      <c r="U94" s="2087" t="inlineStr">
        <is>
          <t>Mujeres</t>
        </is>
      </c>
      <c r="V94" s="2089" t="inlineStr">
        <is>
          <t>Hombres</t>
        </is>
      </c>
      <c r="W94" s="2086" t="inlineStr">
        <is>
          <t>Mujeres</t>
        </is>
      </c>
      <c r="X94" s="2090" t="inlineStr">
        <is>
          <t>Hombres</t>
        </is>
      </c>
      <c r="Y94" s="2087" t="inlineStr">
        <is>
          <t>Mujeres</t>
        </is>
      </c>
      <c r="Z94" s="7737" t="inlineStr">
        <is>
          <t>Hombres</t>
        </is>
      </c>
      <c r="AA94" s="2087" t="inlineStr">
        <is>
          <t>Mujeres</t>
        </is>
      </c>
      <c r="AB94" s="7737" t="inlineStr">
        <is>
          <t>Hombres</t>
        </is>
      </c>
      <c r="AC94" s="2091" t="inlineStr">
        <is>
          <t>Mujeres</t>
        </is>
      </c>
      <c r="AD94" s="2090" t="inlineStr">
        <is>
          <t>Hombres</t>
        </is>
      </c>
      <c r="AE94" s="2087" t="inlineStr">
        <is>
          <t>Mujeres</t>
        </is>
      </c>
      <c r="AF94" s="7737" t="inlineStr">
        <is>
          <t>Hombres</t>
        </is>
      </c>
      <c r="AG94" s="2087" t="inlineStr">
        <is>
          <t>Mujeres</t>
        </is>
      </c>
      <c r="AH94" s="7737" t="inlineStr">
        <is>
          <t>Hombres</t>
        </is>
      </c>
      <c r="AI94" s="2087" t="inlineStr">
        <is>
          <t>Mujeres</t>
        </is>
      </c>
      <c r="AJ94" s="7737" t="inlineStr">
        <is>
          <t>Hombres</t>
        </is>
      </c>
      <c r="AK94" s="2087" t="inlineStr">
        <is>
          <t>Mujeres</t>
        </is>
      </c>
      <c r="AL94" s="7737" t="inlineStr">
        <is>
          <t>Hombres</t>
        </is>
      </c>
      <c r="AM94" s="2087" t="inlineStr">
        <is>
          <t>Mujeres</t>
        </is>
      </c>
      <c r="AN94" s="7737" t="inlineStr">
        <is>
          <t>Hombres</t>
        </is>
      </c>
      <c r="AO94" s="2087" t="inlineStr">
        <is>
          <t>Mujeres</t>
        </is>
      </c>
      <c r="AP94" s="9968" t="n"/>
      <c r="AQ94" s="9969" t="n"/>
      <c r="AR94" s="9969" t="n"/>
      <c r="AS94" s="9969" t="n"/>
      <c r="AT94" s="9970" t="n"/>
      <c r="AU94" s="9591" t="n"/>
      <c r="AV94" s="9610" t="n"/>
      <c r="AW94" s="9855" t="n"/>
      <c r="CA94" s="17" t="n"/>
      <c r="CB94" s="17" t="n"/>
    </row>
    <row r="95" ht="15" customFormat="1" customHeight="1" s="5">
      <c r="A95" s="5122" t="inlineStr">
        <is>
          <t>Normal con Rezago</t>
        </is>
      </c>
      <c r="B95" s="9643" t="n"/>
      <c r="C95" s="2092">
        <f>SUM(D95:E95)</f>
        <v/>
      </c>
      <c r="D95" s="2093">
        <f>+F95+H95+J95+L95+N95+P95+R95+T95+V95+X95+Z95+AB95</f>
        <v/>
      </c>
      <c r="E95" s="2094">
        <f>+G95+I95+K95+M95+O95+Q95+S95+U95+W95+Y95+AA95+AC95</f>
        <v/>
      </c>
      <c r="F95" s="2095" t="n"/>
      <c r="G95" s="1412" t="n"/>
      <c r="H95" s="2096" t="n"/>
      <c r="I95" s="1412" t="n"/>
      <c r="J95" s="2096" t="n"/>
      <c r="K95" s="1412" t="n"/>
      <c r="L95" s="2096" t="n"/>
      <c r="M95" s="1412" t="n"/>
      <c r="N95" s="2096" t="n"/>
      <c r="O95" s="1412" t="n"/>
      <c r="P95" s="2096" t="n"/>
      <c r="Q95" s="1413" t="n"/>
      <c r="R95" s="2095" t="n"/>
      <c r="S95" s="1412" t="n"/>
      <c r="T95" s="2096" t="n"/>
      <c r="U95" s="1412" t="n"/>
      <c r="V95" s="2096" t="n"/>
      <c r="W95" s="1413" t="n"/>
      <c r="X95" s="2027" t="n"/>
      <c r="Y95" s="1412" t="n"/>
      <c r="Z95" s="2096" t="n"/>
      <c r="AA95" s="2028" t="n"/>
      <c r="AB95" s="2027" t="n"/>
      <c r="AC95" s="2097" t="n"/>
      <c r="AD95" s="2027" t="n"/>
      <c r="AE95" s="2028" t="n"/>
      <c r="AF95" s="2096" t="n"/>
      <c r="AG95" s="1412" t="n"/>
      <c r="AH95" s="2096" t="n"/>
      <c r="AI95" s="2028" t="n"/>
      <c r="AJ95" s="2096" t="n"/>
      <c r="AK95" s="1412" t="n"/>
      <c r="AL95" s="2096" t="n"/>
      <c r="AM95" s="2028" t="n"/>
      <c r="AN95" s="2027" t="n"/>
      <c r="AO95" s="1412" t="n"/>
      <c r="AP95" s="2098" t="n"/>
      <c r="AQ95" s="832" t="n"/>
      <c r="AR95" s="258" t="n"/>
      <c r="AS95" s="258" t="n"/>
      <c r="AT95" s="2097" t="n"/>
      <c r="AU95" s="5348" t="n"/>
      <c r="AV95" s="5349" t="n"/>
      <c r="AW95" s="1412" t="n"/>
      <c r="AX95">
        <f>CA95&amp;CB95&amp;CC95</f>
        <v/>
      </c>
      <c r="AZ95">
        <f>CA95&amp;CB95</f>
        <v/>
      </c>
      <c r="CA95" s="90">
        <f>IF(AND($C95&gt;0,AU95="")," *No olvide digitar la variable Pueblos originarios. Digite Cero si no tiene.",IF(AU95&gt;$C95," *La variable Pueblos originarios No puede ser mayor al Total Ambos Sexos.",""))</f>
        <v/>
      </c>
      <c r="CB95" s="90">
        <f>IF(AND($C95&gt;0,AV95=""),"  *No olvide digitar la variable Migrantes. Digite Cero si no tiene.",IF(AV95&gt;$C95,"  *La variable Migrantes No puede ser mayor al Total Ambos Sexos.",""))</f>
        <v/>
      </c>
      <c r="CC95" s="90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/>
      </c>
      <c r="CP95" s="28">
        <f>IF(AND($C95&gt;0,AV95=""),1,IF(AV95&gt;$C95,1,0))</f>
        <v/>
      </c>
      <c r="CQ95" s="28">
        <f>IF(AND($C95&gt;0,AW95=""),1,IF(AW95&gt;$C95,1,0))</f>
        <v/>
      </c>
    </row>
    <row r="96" ht="15" customFormat="1" customHeight="1" s="5">
      <c r="A96" s="9971" t="inlineStr">
        <is>
          <t>Riesgo</t>
        </is>
      </c>
      <c r="B96" s="9644" t="n"/>
      <c r="C96" s="2099">
        <f>SUM(D96:E96)</f>
        <v/>
      </c>
      <c r="D96" s="2100">
        <f>+F96+H96+J96+L96+N96+P96+R96+T96+V96+X96+Z96+AB96</f>
        <v/>
      </c>
      <c r="E96" s="1401">
        <f>+G96+I96+K96+M96+O96+Q96+S96+U96+W96+Y96+AA96+AC96</f>
        <v/>
      </c>
      <c r="F96" s="1956" t="n"/>
      <c r="G96" s="2101" t="n"/>
      <c r="H96" s="2102" t="n"/>
      <c r="I96" s="2101" t="n"/>
      <c r="J96" s="2102" t="n"/>
      <c r="K96" s="2101" t="n"/>
      <c r="L96" s="2102" t="n"/>
      <c r="M96" s="2101" t="n"/>
      <c r="N96" s="2102" t="n"/>
      <c r="O96" s="2101" t="n"/>
      <c r="P96" s="2102" t="n"/>
      <c r="Q96" s="2103" t="n"/>
      <c r="R96" s="1956" t="n"/>
      <c r="S96" s="2101" t="n"/>
      <c r="T96" s="2102" t="n"/>
      <c r="U96" s="2101" t="n"/>
      <c r="V96" s="2102" t="n"/>
      <c r="W96" s="2103" t="n"/>
      <c r="X96" s="1957" t="n"/>
      <c r="Y96" s="2101" t="n"/>
      <c r="Z96" s="2102" t="n"/>
      <c r="AA96" s="1412" t="n"/>
      <c r="AB96" s="1957" t="n"/>
      <c r="AC96" s="2097" t="n"/>
      <c r="AD96" s="1957" t="n"/>
      <c r="AE96" s="1412" t="n"/>
      <c r="AF96" s="2102" t="n"/>
      <c r="AG96" s="1412" t="n"/>
      <c r="AH96" s="2102" t="n"/>
      <c r="AI96" s="1412" t="n"/>
      <c r="AJ96" s="2102" t="n"/>
      <c r="AK96" s="1412" t="n"/>
      <c r="AL96" s="2102" t="n"/>
      <c r="AM96" s="1412" t="n"/>
      <c r="AN96" s="1957" t="n"/>
      <c r="AO96" s="1412" t="n"/>
      <c r="AP96" s="2104" t="n"/>
      <c r="AQ96" s="258" t="n"/>
      <c r="AR96" s="258" t="n"/>
      <c r="AS96" s="258" t="n"/>
      <c r="AT96" s="2097" t="n"/>
      <c r="AU96" s="5348" t="n"/>
      <c r="AV96" s="5349" t="n"/>
      <c r="AW96" s="1412" t="n"/>
      <c r="AX96">
        <f>CA96&amp;CB96&amp;CC96</f>
        <v/>
      </c>
      <c r="AZ96">
        <f>CA96&amp;CB96</f>
        <v/>
      </c>
      <c r="CA96" s="90">
        <f>IF(AND($C96&gt;0,AU96="")," *No olvide digitar la variable Pueblos originarios. Digite Cero si no tiene.",IF(AU96&gt;$C96," *La variable Pueblos originarios No puede ser mayor al Total Ambos Sexos.",""))</f>
        <v/>
      </c>
      <c r="CB96" s="90">
        <f>IF(AND($C96&gt;0,AV96=""),"  *No olvide digitar la variable Migrantes. Digite Cero si no tiene.",IF(AV96&gt;$C96,"  *La variable Migrantes No puede ser mayor al Total Ambos Sexos.",""))</f>
        <v/>
      </c>
      <c r="CC96" s="90">
        <f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>IF(AND($C96&gt;0,AU96=""),1,IF(AU96&gt;$C96,1,0))</f>
        <v/>
      </c>
      <c r="CP96" s="28">
        <f>IF(AND($C96&gt;0,AV96=""),1,IF(AV96&gt;$C96,1,0))</f>
        <v/>
      </c>
      <c r="CQ96" s="28">
        <f>IF(AND($C96&gt;0,AW96=""),1,IF(AW96&gt;$C96,1,0))</f>
        <v/>
      </c>
    </row>
    <row r="97" ht="15" customFormat="1" customHeight="1" s="5">
      <c r="A97" s="9971" t="inlineStr">
        <is>
          <t>Retraso</t>
        </is>
      </c>
      <c r="B97" s="9644" t="n"/>
      <c r="C97" s="2105">
        <f>SUM(D97:E97)</f>
        <v/>
      </c>
      <c r="D97" s="2100">
        <f>+F97+H97+J97+L97+N97+P97+R97+T97+V97+X97+Z97+AB97</f>
        <v/>
      </c>
      <c r="E97" s="1401">
        <f>+G97+I97+K97+M97+O97+Q97+S97+U97+W97+Y97+AA97+AC97</f>
        <v/>
      </c>
      <c r="F97" s="1956" t="n"/>
      <c r="G97" s="1412" t="n"/>
      <c r="H97" s="2102" t="n"/>
      <c r="I97" s="1412" t="n"/>
      <c r="J97" s="2102" t="n"/>
      <c r="K97" s="1412" t="n"/>
      <c r="L97" s="2102" t="n"/>
      <c r="M97" s="1412" t="n"/>
      <c r="N97" s="2102" t="n"/>
      <c r="O97" s="1412" t="n"/>
      <c r="P97" s="2102" t="n"/>
      <c r="Q97" s="1413" t="n"/>
      <c r="R97" s="1956" t="n"/>
      <c r="S97" s="1412" t="n"/>
      <c r="T97" s="2102" t="n"/>
      <c r="U97" s="1412" t="n"/>
      <c r="V97" s="2102" t="n"/>
      <c r="W97" s="1413" t="n"/>
      <c r="X97" s="1957" t="n"/>
      <c r="Y97" s="1412" t="n"/>
      <c r="Z97" s="2102" t="n"/>
      <c r="AA97" s="1412" t="n"/>
      <c r="AB97" s="1957" t="n"/>
      <c r="AC97" s="2097" t="n"/>
      <c r="AD97" s="1957" t="n"/>
      <c r="AE97" s="1412" t="n"/>
      <c r="AF97" s="2102" t="n"/>
      <c r="AG97" s="1412" t="n"/>
      <c r="AH97" s="2102" t="n"/>
      <c r="AI97" s="1412" t="n"/>
      <c r="AJ97" s="2102" t="n"/>
      <c r="AK97" s="1412" t="n"/>
      <c r="AL97" s="2102" t="n"/>
      <c r="AM97" s="1412" t="n"/>
      <c r="AN97" s="1957" t="n"/>
      <c r="AO97" s="1412" t="n"/>
      <c r="AP97" s="2104" t="n"/>
      <c r="AQ97" s="258" t="n"/>
      <c r="AR97" s="258" t="n"/>
      <c r="AS97" s="258" t="n"/>
      <c r="AT97" s="2097" t="n"/>
      <c r="AU97" s="5348" t="n"/>
      <c r="AV97" s="5349" t="n"/>
      <c r="AW97" s="1412" t="n"/>
      <c r="AX97">
        <f>CA97&amp;CB97&amp;CC97</f>
        <v/>
      </c>
      <c r="AZ97">
        <f>CA97&amp;CB97</f>
        <v/>
      </c>
      <c r="CA97" s="90">
        <f>IF(AND($C97&gt;0,AU97="")," *No olvide digitar la variable Pueblos originarios. Digite Cero si no tiene.",IF(AU97&gt;$C97," *La variable Pueblos originarios No puede ser mayor al Total Ambos Sexos.",""))</f>
        <v/>
      </c>
      <c r="CB97" s="90">
        <f>IF(AND($C97&gt;0,AV97=""),"  *No olvide digitar la variable Migrantes. Digite Cero si no tiene.",IF(AV97&gt;$C97,"  *La variable Migrantes No puede ser mayor al Total Ambos Sexos.",""))</f>
        <v/>
      </c>
      <c r="CC97" s="90">
        <f>IF(AND($C97&gt;0,AW97="")," *No olvide digitar la variable Servicio Nacional Protección Especializada a la Niñez y Adolescencia. Digite Cero si no tiene.",IF(AW97&gt;$C97," *La variable Servicio Nacional Protección Especializada a la Niñez y Adolescencia No puede ser mayor al Total Ambos Sexos.",""))</f>
        <v/>
      </c>
      <c r="CO97" s="28">
        <f>IF(AND($C97&gt;0,AU97=""),1,IF(AU97&gt;$C97,1,0))</f>
        <v/>
      </c>
      <c r="CP97" s="28">
        <f>IF(AND($C97&gt;0,AV97=""),1,IF(AV97&gt;$C97,1,0))</f>
        <v/>
      </c>
      <c r="CQ97" s="28">
        <f>IF(AND($C97&gt;0,AW97=""),1,IF(AW97&gt;$C97,1,0))</f>
        <v/>
      </c>
    </row>
    <row r="98" ht="15" customFormat="1" customHeight="1" s="5">
      <c r="A98" s="9972" t="inlineStr">
        <is>
          <t>Normal con Riesgo Biopsicosocial</t>
        </is>
      </c>
      <c r="B98" s="9720" t="n"/>
      <c r="C98" s="1093">
        <f>SUM(D98:E98)</f>
        <v/>
      </c>
      <c r="D98" s="1959">
        <f>+F98+H98+J98+L98+N98+P98+R98+T98+V98+X98+Z98+AB98</f>
        <v/>
      </c>
      <c r="E98" s="1402">
        <f>+G98+I98+K98+M98+O98+Q98+S98+U98+W98+Y98+AA98+AC98</f>
        <v/>
      </c>
      <c r="F98" s="871" t="n"/>
      <c r="G98" s="2032" t="n"/>
      <c r="H98" s="1097" t="n"/>
      <c r="I98" s="2032" t="n"/>
      <c r="J98" s="1097" t="n"/>
      <c r="K98" s="2032" t="n"/>
      <c r="L98" s="1097" t="n"/>
      <c r="M98" s="2032" t="n"/>
      <c r="N98" s="1097" t="n"/>
      <c r="O98" s="2032" t="n"/>
      <c r="P98" s="1097" t="n"/>
      <c r="Q98" s="2106" t="n"/>
      <c r="R98" s="871" t="n"/>
      <c r="S98" s="2032" t="n"/>
      <c r="T98" s="1097" t="n"/>
      <c r="U98" s="2032" t="n"/>
      <c r="V98" s="1097" t="n"/>
      <c r="W98" s="2106" t="n"/>
      <c r="X98" s="1961" t="n"/>
      <c r="Y98" s="2107" t="n"/>
      <c r="Z98" s="2108" t="n"/>
      <c r="AA98" s="2107" t="n"/>
      <c r="AB98" s="1961" t="n"/>
      <c r="AC98" s="864" t="n"/>
      <c r="AD98" s="2031" t="n"/>
      <c r="AE98" s="2032" t="n"/>
      <c r="AF98" s="1097" t="n"/>
      <c r="AG98" s="2032" t="n"/>
      <c r="AH98" s="1097" t="n"/>
      <c r="AI98" s="2032" t="n"/>
      <c r="AJ98" s="1097" t="n"/>
      <c r="AK98" s="2032" t="n"/>
      <c r="AL98" s="1097" t="n"/>
      <c r="AM98" s="2032" t="n"/>
      <c r="AN98" s="2031" t="n"/>
      <c r="AO98" s="2032" t="n"/>
      <c r="AP98" s="1098" t="n"/>
      <c r="AQ98" s="259" t="n"/>
      <c r="AR98" s="259" t="n"/>
      <c r="AS98" s="259" t="n"/>
      <c r="AT98" s="2109" t="n"/>
      <c r="AU98" s="5365" t="n"/>
      <c r="AV98" s="5359" t="n"/>
      <c r="AW98" s="5366" t="n"/>
      <c r="AX98">
        <f>CA98&amp;CB98&amp;CC98</f>
        <v/>
      </c>
      <c r="CA98" s="90">
        <f>IF(AND($C98&gt;0,AU98="")," *No olvide digitar la variable Pueblos originarios. Digite Cero si no tiene.",IF(AU98&gt;$C98," *La variable Pueblos originarios No puede ser mayor al Total Ambos Sexos.",""))</f>
        <v/>
      </c>
      <c r="CB98" s="90">
        <f>IF(AND($C98&gt;0,AV98=""),"  *No olvide digitar la variable Migrantes. Digite Cero si no tiene.",IF(AV98&gt;$C98,"  *La variable Migrantes No puede ser mayor al Total Ambos Sexos.",""))</f>
        <v/>
      </c>
      <c r="CC98" s="90">
        <f>IF(AND($C98&gt;0,AW98="")," *No olvide digitar la variable Servicio Nacional Protección Especializada a la Niñez y Adolescencia. Digite Cero si no tiene.",IF(AW98&gt;$C98," *La variable Servicio Nacional Protección Especializada a la Niñez y Adolescencia No puede ser mayor al Total Ambos Sexos.",""))</f>
        <v/>
      </c>
      <c r="CO98" s="28">
        <f>IF(AND($C98&gt;0,AU98=""),1,IF(AU98&gt;$C98,1,0))</f>
        <v/>
      </c>
      <c r="CP98" s="28">
        <f>IF(AND($C98&gt;0,AV98=""),1,IF(AV98&gt;$C98,1,0))</f>
        <v/>
      </c>
      <c r="CQ98" s="28">
        <f>IF(AND($C98&gt;0,AW98=""),1,IF(AW98&gt;$C98,1,0))</f>
        <v/>
      </c>
    </row>
    <row r="99" ht="18" customFormat="1" customHeight="1" s="5">
      <c r="A99" s="646" t="inlineStr">
        <is>
          <t>SECCIÓN F.1: REINGRESOS Y EGRESOS POR SEGUNDA VEZ A SALA DE ESTIMULACIÓN, SERVICIO ITINERANTE Y ATENCIÓN DOMICILIARIA</t>
        </is>
      </c>
      <c r="B99" s="3" t="n"/>
      <c r="C99" s="3" t="n"/>
      <c r="D99" s="3" t="n"/>
      <c r="E99" s="3" t="n"/>
      <c r="F99" s="3" t="n"/>
      <c r="G99" s="3" t="n"/>
      <c r="H99" s="3" t="n"/>
      <c r="I99" s="3" t="n"/>
      <c r="J99" s="3" t="n"/>
      <c r="K99" s="3" t="n"/>
      <c r="L99" s="3" t="n"/>
      <c r="M99" s="3" t="n"/>
      <c r="N99" s="3" t="n"/>
      <c r="O99" s="3" t="n"/>
      <c r="P99" s="3" t="n"/>
      <c r="Q99" s="3" t="n"/>
      <c r="R99" s="3" t="n"/>
      <c r="S99" s="3" t="n"/>
      <c r="T99" s="3" t="n"/>
      <c r="U99" s="3" t="n"/>
      <c r="V99" s="3" t="n"/>
    </row>
    <row r="100" ht="18" customFormat="1" customHeight="1" s="5">
      <c r="A100" s="9939" t="inlineStr">
        <is>
          <t xml:space="preserve">NIÑO / A (CON) </t>
        </is>
      </c>
      <c r="B100" s="9630" t="n"/>
      <c r="C100" s="9939" t="inlineStr">
        <is>
          <t xml:space="preserve">TOTAL    </t>
        </is>
      </c>
      <c r="D100" s="9602" t="n"/>
      <c r="E100" s="9630" t="n"/>
      <c r="F100" s="8473" t="inlineStr">
        <is>
          <t>SALA DE ESTIMULACIÓN</t>
        </is>
      </c>
      <c r="G100" s="9584" t="n"/>
      <c r="H100" s="9584" t="n"/>
      <c r="I100" s="9584" t="n"/>
      <c r="J100" s="9584" t="n"/>
      <c r="K100" s="9584" t="n"/>
      <c r="L100" s="9584" t="n"/>
      <c r="M100" s="9584" t="n"/>
      <c r="N100" s="9584" t="n"/>
      <c r="O100" s="9584" t="n"/>
      <c r="P100" s="9584" t="n"/>
      <c r="Q100" s="9582" t="n"/>
      <c r="R100" s="9973" t="inlineStr">
        <is>
          <t>SERVICIO ITINERANTE</t>
        </is>
      </c>
      <c r="S100" s="9584" t="n"/>
      <c r="T100" s="9584" t="n"/>
      <c r="U100" s="9584" t="n"/>
      <c r="V100" s="9584" t="n"/>
      <c r="W100" s="9582" t="n"/>
      <c r="X100" s="9973" t="inlineStr">
        <is>
          <t>ATENCIÓN DOMICILIARIA</t>
        </is>
      </c>
      <c r="Y100" s="9584" t="n"/>
      <c r="Z100" s="9584" t="n"/>
      <c r="AA100" s="9584" t="n"/>
      <c r="AB100" s="9584" t="n"/>
      <c r="AC100" s="9582" t="n"/>
      <c r="AD100" s="9974" t="inlineStr">
        <is>
          <t xml:space="preserve">EGRESOS POR SEGUNDA VEZ Y RESULTADOS DE REEVALUACIÓN POST EGRESO </t>
        </is>
      </c>
      <c r="AE100" s="9584" t="n"/>
      <c r="AF100" s="9584" t="n"/>
      <c r="AG100" s="9584" t="n"/>
      <c r="AH100" s="9584" t="n"/>
      <c r="AI100" s="9582" t="n"/>
      <c r="AJ100" s="7829" t="inlineStr">
        <is>
          <t>Pueblos Originarios</t>
        </is>
      </c>
      <c r="AK100" s="8400" t="inlineStr">
        <is>
          <t>Migrantes</t>
        </is>
      </c>
      <c r="AL100" s="9975" t="inlineStr">
        <is>
          <t>Servicio Nacional Protección Especializada a la Niñez y Adolescencia</t>
        </is>
      </c>
    </row>
    <row r="101" ht="21.95" customFormat="1" customHeight="1" s="5">
      <c r="A101" s="642" t="n"/>
      <c r="B101" s="9718" t="n"/>
      <c r="C101" s="9638" t="n"/>
      <c r="D101" s="9697" t="n"/>
      <c r="E101" s="9639" t="n"/>
      <c r="F101" s="9960" t="inlineStr">
        <is>
          <t>Menos de 7 meses</t>
        </is>
      </c>
      <c r="G101" s="9961" t="n"/>
      <c r="H101" s="9962" t="inlineStr">
        <is>
          <t>7 - 11 meses</t>
        </is>
      </c>
      <c r="I101" s="9961" t="n"/>
      <c r="J101" s="9962" t="inlineStr">
        <is>
          <t>12 - 17 meses</t>
        </is>
      </c>
      <c r="K101" s="9961" t="n"/>
      <c r="L101" s="9962" t="inlineStr">
        <is>
          <t>18 - 23 meses</t>
        </is>
      </c>
      <c r="M101" s="9961" t="n"/>
      <c r="N101" s="9962" t="inlineStr">
        <is>
          <t>24 - 47 meses</t>
        </is>
      </c>
      <c r="O101" s="9961" t="n"/>
      <c r="P101" s="9963" t="inlineStr">
        <is>
          <t>48 - 59 meses</t>
        </is>
      </c>
      <c r="Q101" s="9582" t="n"/>
      <c r="R101" s="8400" t="inlineStr">
        <is>
          <t>0-11 meses</t>
        </is>
      </c>
      <c r="S101" s="9582" t="n"/>
      <c r="T101" s="8400" t="inlineStr">
        <is>
          <t>12-23 meses</t>
        </is>
      </c>
      <c r="U101" s="9582" t="n"/>
      <c r="V101" s="8400" t="inlineStr">
        <is>
          <t>24- 59 meses</t>
        </is>
      </c>
      <c r="W101" s="9582" t="n"/>
      <c r="X101" s="9975" t="inlineStr">
        <is>
          <t>0-11 meses</t>
        </is>
      </c>
      <c r="Y101" s="9582" t="n"/>
      <c r="Z101" s="8400" t="inlineStr">
        <is>
          <t>12-23 meses</t>
        </is>
      </c>
      <c r="AA101" s="9582" t="n"/>
      <c r="AB101" s="9240" t="inlineStr">
        <is>
          <t>24- 59 meses</t>
        </is>
      </c>
      <c r="AC101" s="9647" t="n"/>
      <c r="AD101" s="9975" t="inlineStr">
        <is>
          <t>Motivo Egreso</t>
        </is>
      </c>
      <c r="AE101" s="9584" t="n"/>
      <c r="AF101" s="9584" t="n"/>
      <c r="AG101" s="9582" t="n"/>
      <c r="AH101" s="8400" t="inlineStr">
        <is>
          <t>Resultado de Reevaluación</t>
        </is>
      </c>
      <c r="AI101" s="9582" t="n"/>
      <c r="AK101" s="9614" t="n"/>
      <c r="AL101" s="9625" t="n"/>
    </row>
    <row r="102" ht="35.25" customFormat="1" customHeight="1" s="5">
      <c r="A102" s="9638" t="n"/>
      <c r="B102" s="9639" t="n"/>
      <c r="C102" s="7932" t="inlineStr">
        <is>
          <t>Ambos Sexos</t>
        </is>
      </c>
      <c r="D102" s="2110" t="inlineStr">
        <is>
          <t>Hombres</t>
        </is>
      </c>
      <c r="E102" s="7666" t="inlineStr">
        <is>
          <t>Mujeres</t>
        </is>
      </c>
      <c r="F102" s="7691" t="inlineStr">
        <is>
          <t>Hombres</t>
        </is>
      </c>
      <c r="G102" s="7686" t="inlineStr">
        <is>
          <t>Mujeres</t>
        </is>
      </c>
      <c r="H102" s="7691" t="inlineStr">
        <is>
          <t>Hombres</t>
        </is>
      </c>
      <c r="I102" s="7686" t="inlineStr">
        <is>
          <t>Mujeres</t>
        </is>
      </c>
      <c r="J102" s="7691" t="inlineStr">
        <is>
          <t>Hombres</t>
        </is>
      </c>
      <c r="K102" s="7686" t="inlineStr">
        <is>
          <t>Mujeres</t>
        </is>
      </c>
      <c r="L102" s="7691" t="inlineStr">
        <is>
          <t>Hombres</t>
        </is>
      </c>
      <c r="M102" s="7686" t="inlineStr">
        <is>
          <t>Mujeres</t>
        </is>
      </c>
      <c r="N102" s="7691" t="inlineStr">
        <is>
          <t>Hombres</t>
        </is>
      </c>
      <c r="O102" s="7686" t="inlineStr">
        <is>
          <t>Mujeres</t>
        </is>
      </c>
      <c r="P102" s="7691" t="inlineStr">
        <is>
          <t>Hombres</t>
        </is>
      </c>
      <c r="Q102" s="7686" t="inlineStr">
        <is>
          <t>Mujeres</t>
        </is>
      </c>
      <c r="R102" s="7691" t="inlineStr">
        <is>
          <t>Hombres</t>
        </is>
      </c>
      <c r="S102" s="7686" t="inlineStr">
        <is>
          <t>Mujeres</t>
        </is>
      </c>
      <c r="T102" s="7691" t="inlineStr">
        <is>
          <t>Hombres</t>
        </is>
      </c>
      <c r="U102" s="7686" t="inlineStr">
        <is>
          <t>Mujeres</t>
        </is>
      </c>
      <c r="V102" s="7691" t="inlineStr">
        <is>
          <t>Hombres</t>
        </is>
      </c>
      <c r="W102" s="7686" t="inlineStr">
        <is>
          <t>Mujeres</t>
        </is>
      </c>
      <c r="X102" s="7669" t="inlineStr">
        <is>
          <t>Hombres</t>
        </is>
      </c>
      <c r="Y102" s="7686" t="inlineStr">
        <is>
          <t>Mujeres</t>
        </is>
      </c>
      <c r="Z102" s="7691" t="inlineStr">
        <is>
          <t>Hombres</t>
        </is>
      </c>
      <c r="AA102" s="7686" t="inlineStr">
        <is>
          <t>Mujeres</t>
        </is>
      </c>
      <c r="AB102" s="7932" t="inlineStr">
        <is>
          <t>Hombres</t>
        </is>
      </c>
      <c r="AC102" s="7684" t="inlineStr">
        <is>
          <t>Mujeres</t>
        </is>
      </c>
      <c r="AD102" s="2111" t="inlineStr">
        <is>
          <t>Cumplimiento de tratamiento</t>
        </is>
      </c>
      <c r="AE102" s="7776" t="inlineStr">
        <is>
          <t>Derivación a Especialidad</t>
        </is>
      </c>
      <c r="AF102" s="7680" t="inlineStr">
        <is>
          <t>Otros</t>
        </is>
      </c>
      <c r="AG102" s="7694" t="inlineStr">
        <is>
          <t>Inasistente</t>
        </is>
      </c>
      <c r="AH102" s="7932" t="inlineStr">
        <is>
          <t>Recuperado</t>
        </is>
      </c>
      <c r="AI102" s="7686" t="inlineStr">
        <is>
          <t>No Recuperado</t>
        </is>
      </c>
      <c r="AJ102" s="9591" t="n"/>
      <c r="AK102" s="9610" t="n"/>
      <c r="AL102" s="9611" t="n"/>
    </row>
    <row r="103" ht="15" customFormat="1" customHeight="1" s="5">
      <c r="A103" s="9928" t="inlineStr">
        <is>
          <t>Normal con Rezago</t>
        </is>
      </c>
      <c r="B103" s="9643" t="n"/>
      <c r="C103" s="2112">
        <f>SUM(D103:E103)</f>
        <v/>
      </c>
      <c r="D103" s="1982">
        <f>SUM(F103+H103+J103+L103+N103+P103+R103+T103+V103+X103+Z103+AB103)</f>
        <v/>
      </c>
      <c r="E103" s="1993">
        <f>SUM(G103+I103+K103+M103+O103+Q103+S103+U103+W103+Y103+AA103+AC103)</f>
        <v/>
      </c>
      <c r="F103" s="2022" t="n"/>
      <c r="G103" s="2029" t="n"/>
      <c r="H103" s="2022" t="n"/>
      <c r="I103" s="2029" t="n"/>
      <c r="J103" s="2022" t="n"/>
      <c r="K103" s="2029" t="n"/>
      <c r="L103" s="2022" t="n"/>
      <c r="M103" s="2029" t="n"/>
      <c r="N103" s="2022" t="n"/>
      <c r="O103" s="2029" t="n"/>
      <c r="P103" s="2022" t="n"/>
      <c r="Q103" s="2029" t="n"/>
      <c r="R103" s="2022" t="n"/>
      <c r="S103" s="2029" t="n"/>
      <c r="T103" s="2022" t="n"/>
      <c r="U103" s="2029" t="n"/>
      <c r="V103" s="2022" t="n"/>
      <c r="W103" s="2029" t="n"/>
      <c r="X103" s="2023" t="n"/>
      <c r="Y103" s="2029" t="n"/>
      <c r="Z103" s="2022" t="n"/>
      <c r="AA103" s="2029" t="n"/>
      <c r="AB103" s="2022" t="n"/>
      <c r="AC103" s="1983" t="n"/>
      <c r="AD103" s="2113" t="n"/>
      <c r="AE103" s="2114" t="n"/>
      <c r="AF103" s="2114" t="n"/>
      <c r="AG103" s="2115" t="n"/>
      <c r="AH103" s="2022" t="n"/>
      <c r="AI103" s="2029" t="n"/>
      <c r="AJ103" s="3783" t="n"/>
      <c r="AK103" s="5189" t="n"/>
      <c r="AL103" s="5185" t="n"/>
      <c r="AM103">
        <f>CA103&amp;CB103</f>
        <v/>
      </c>
      <c r="CA103" s="90">
        <f>IF(AND($C103&gt;0,AJ103="")," *No olvide digitar la variable Pueblos Originarios. Digite Cero si no tiene.",IF(AJ103&gt;$C103," *La variable Pueblos Originarios No puede ser mayor al Total Ambos Sexos.",""))</f>
        <v/>
      </c>
      <c r="CB103" s="90">
        <f>IF(AND($C103&gt;0,AK103="")," *No olvide digitar la variable Migrantes. Digite Cero si no tiene.",IF(AK103&gt;$C103," *La variable Migrantes No puede ser mayor al Total Ambos Sexos.",""))</f>
        <v/>
      </c>
      <c r="CC103" s="90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/>
      </c>
      <c r="CP103" s="28">
        <f>IF(AND($C103&gt;0,AK103=""),1,IF(AK103&gt;$C103,1,0))</f>
        <v/>
      </c>
      <c r="CQ103" s="28">
        <f>IF(AND($C103&gt;0,AL103=""),1,IF(AL103&gt;$C103,1,0))</f>
        <v/>
      </c>
    </row>
    <row r="104" ht="15" customFormat="1" customHeight="1" s="5">
      <c r="A104" s="4064" t="inlineStr">
        <is>
          <t>Riesgo</t>
        </is>
      </c>
      <c r="B104" s="9644" t="n"/>
      <c r="C104" s="1485">
        <f>SUM(D104:E104)</f>
        <v/>
      </c>
      <c r="D104" s="1486">
        <f>SUM(F104+H104+J104+L104+N104+P104+R104+T104+V104+X104+Z104+AB104)</f>
        <v/>
      </c>
      <c r="E104" s="894">
        <f>SUM(G104+I104+K104+M104+O104+Q104+S104+U104+W104+Y104+AA104+AC104)</f>
        <v/>
      </c>
      <c r="F104" s="1172" t="n"/>
      <c r="G104" s="1173" t="n"/>
      <c r="H104" s="1172" t="n"/>
      <c r="I104" s="1173" t="n"/>
      <c r="J104" s="1172" t="n"/>
      <c r="K104" s="1173" t="n"/>
      <c r="L104" s="1172" t="n"/>
      <c r="M104" s="1173" t="n"/>
      <c r="N104" s="1172" t="n"/>
      <c r="O104" s="1173" t="n"/>
      <c r="P104" s="1172" t="n"/>
      <c r="Q104" s="1173" t="n"/>
      <c r="R104" s="1172" t="n"/>
      <c r="S104" s="1173" t="n"/>
      <c r="T104" s="1172" t="n"/>
      <c r="U104" s="1173" t="n"/>
      <c r="V104" s="1172" t="n"/>
      <c r="W104" s="1173" t="n"/>
      <c r="X104" s="1174" t="n"/>
      <c r="Y104" s="1173" t="n"/>
      <c r="Z104" s="1172" t="n"/>
      <c r="AA104" s="1173" t="n"/>
      <c r="AB104" s="1172" t="n"/>
      <c r="AC104" s="1221" t="n"/>
      <c r="AD104" s="892" t="n"/>
      <c r="AE104" s="1220" t="n"/>
      <c r="AF104" s="1220" t="n"/>
      <c r="AG104" s="1222" t="n"/>
      <c r="AH104" s="1172" t="n"/>
      <c r="AI104" s="1173" t="n"/>
      <c r="AJ104" s="3792" t="n"/>
      <c r="AK104" s="3892" t="n"/>
      <c r="AL104" s="3788" t="n"/>
      <c r="AM104">
        <f>CA104&amp;CB104</f>
        <v/>
      </c>
      <c r="CA104" s="90">
        <f>IF(AND($C104&gt;0,AJ104="")," *No olvide digitar la variable Pueblos Originarios. Digite Cero si no tiene.",IF(AJ104&gt;$C104," *La variable Pueblos Originarios No puede ser mayor al Total Ambos Sexos.",""))</f>
        <v/>
      </c>
      <c r="CB104" s="90">
        <f>IF(AND($C104&gt;0,AK104="")," *No olvide digitar la variable Migrantes. Digite Cero si no tiene.",IF(AK104&gt;$C104," *La variable Migrantes No puede ser mayor al Total Ambos Sexos.",""))</f>
        <v/>
      </c>
      <c r="CC104" s="90">
        <f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>IF(AND($C104&gt;0,AJ104=""),1,IF(AJ104&gt;$C104,1,0))</f>
        <v/>
      </c>
      <c r="CP104" s="28">
        <f>IF(AND($C104&gt;0,AK104=""),1,IF(AK104&gt;$C104,1,0))</f>
        <v/>
      </c>
      <c r="CQ104" s="28">
        <f>IF(AND($C104&gt;0,AL104=""),1,IF(AL104&gt;$C104,1,0))</f>
        <v/>
      </c>
    </row>
    <row r="105" ht="15" customFormat="1" customHeight="1" s="5">
      <c r="A105" s="4064" t="inlineStr">
        <is>
          <t>Retraso</t>
        </is>
      </c>
      <c r="B105" s="9644" t="n"/>
      <c r="C105" s="1485">
        <f>SUM(D105:E105)</f>
        <v/>
      </c>
      <c r="D105" s="1486">
        <f>SUM(F105+H105+J105+L105+N105+P105+R105+T105+V105+X105+Z105+AB105)</f>
        <v/>
      </c>
      <c r="E105" s="894">
        <f>SUM(G105+I105+K105+M105+O105+Q105+S105+U105+W105+Y105+AA105+AC105)</f>
        <v/>
      </c>
      <c r="F105" s="1172" t="n"/>
      <c r="G105" s="1173" t="n"/>
      <c r="H105" s="1172" t="n"/>
      <c r="I105" s="1173" t="n"/>
      <c r="J105" s="1172" t="n"/>
      <c r="K105" s="1173" t="n"/>
      <c r="L105" s="1172" t="n"/>
      <c r="M105" s="1173" t="n"/>
      <c r="N105" s="1172" t="n"/>
      <c r="O105" s="1173" t="n"/>
      <c r="P105" s="1172" t="n"/>
      <c r="Q105" s="1173" t="n"/>
      <c r="R105" s="1172" t="n"/>
      <c r="S105" s="1173" t="n"/>
      <c r="T105" s="1172" t="n"/>
      <c r="U105" s="1173" t="n"/>
      <c r="V105" s="1172" t="n"/>
      <c r="W105" s="1173" t="n"/>
      <c r="X105" s="1174" t="n"/>
      <c r="Y105" s="1173" t="n"/>
      <c r="Z105" s="1172" t="n"/>
      <c r="AA105" s="1173" t="n"/>
      <c r="AB105" s="1172" t="n"/>
      <c r="AC105" s="1221" t="n"/>
      <c r="AD105" s="892" t="n"/>
      <c r="AE105" s="1220" t="n"/>
      <c r="AF105" s="1220" t="n"/>
      <c r="AG105" s="1222" t="n"/>
      <c r="AH105" s="1172" t="n"/>
      <c r="AI105" s="1173" t="n"/>
      <c r="AJ105" s="3792" t="n"/>
      <c r="AK105" s="3892" t="n"/>
      <c r="AL105" s="3788" t="n"/>
      <c r="AM105">
        <f>CA105&amp;CB105</f>
        <v/>
      </c>
      <c r="CA105" s="90">
        <f>IF(AND($C105&gt;0,AJ105="")," *No olvide digitar la variable Pueblos Originarios. Digite Cero si no tiene.",IF(AJ105&gt;$C105," *La variable Pueblos Originarios No puede ser mayor al Total Ambos Sexos.",""))</f>
        <v/>
      </c>
      <c r="CB105" s="90">
        <f>IF(AND($C105&gt;0,AK105="")," *No olvide digitar la variable Migrantes. Digite Cero si no tiene.",IF(AK105&gt;$C105," *La variable Migrantes No puede ser mayor al Total Ambos Sexos.",""))</f>
        <v/>
      </c>
      <c r="CC105" s="90">
        <f>IF(AND($C105&gt;0,AL105="")," *No olvide digitar la variable Servicio Nacional Protección Especializada a la Niñez y Adolescencia. Digite Cero si no tiene.",IF(AL105&gt;$C105," *La variable Servicio Nacional Protección Especializada a la Niñez y Adolescencia No puede ser mayor al Total Ambos Sexos.",""))</f>
        <v/>
      </c>
      <c r="CO105" s="28">
        <f>IF(AND($C105&gt;0,AJ105=""),1,IF(AJ105&gt;$C105,1,0))</f>
        <v/>
      </c>
      <c r="CP105" s="28">
        <f>IF(AND($C105&gt;0,AK105=""),1,IF(AK105&gt;$C105,1,0))</f>
        <v/>
      </c>
      <c r="CQ105" s="28">
        <f>IF(AND($C105&gt;0,AL105=""),1,IF(AL105&gt;$C105,1,0))</f>
        <v/>
      </c>
    </row>
    <row r="106" ht="15" customFormat="1" customHeight="1" s="5">
      <c r="A106" s="9929" t="inlineStr">
        <is>
          <t>Normal con Riesgo Biopsicosocial</t>
        </is>
      </c>
      <c r="B106" s="9720" t="n"/>
      <c r="C106" s="869">
        <f>SUM(D106:E106)</f>
        <v/>
      </c>
      <c r="D106" s="1379">
        <f>SUM(F106+H106+J106+L106+N106+P106+R106+T106+V106+X106+Z106+AB106)</f>
        <v/>
      </c>
      <c r="E106" s="1359">
        <f>SUM(G106+I106+K106+M106+O106+Q106+S106+U106+W106+Y106+AA106+AC106)</f>
        <v/>
      </c>
      <c r="F106" s="1188" t="n"/>
      <c r="G106" s="1192" t="n"/>
      <c r="H106" s="1188" t="n"/>
      <c r="I106" s="1192" t="n"/>
      <c r="J106" s="1188" t="n"/>
      <c r="K106" s="1192" t="n"/>
      <c r="L106" s="1188" t="n"/>
      <c r="M106" s="1192" t="n"/>
      <c r="N106" s="1188" t="n"/>
      <c r="O106" s="1192" t="n"/>
      <c r="P106" s="1188" t="n"/>
      <c r="Q106" s="1192" t="n"/>
      <c r="R106" s="1188" t="n"/>
      <c r="S106" s="1192" t="n"/>
      <c r="T106" s="1188" t="n"/>
      <c r="U106" s="1192" t="n"/>
      <c r="V106" s="1188" t="n"/>
      <c r="W106" s="1192" t="n"/>
      <c r="X106" s="1193" t="n"/>
      <c r="Y106" s="1192" t="n"/>
      <c r="Z106" s="1188" t="n"/>
      <c r="AA106" s="1192" t="n"/>
      <c r="AB106" s="1188" t="n"/>
      <c r="AC106" s="1226" t="n"/>
      <c r="AD106" s="1330" t="n"/>
      <c r="AE106" s="1223" t="n"/>
      <c r="AF106" s="1223" t="n"/>
      <c r="AG106" s="1227" t="n"/>
      <c r="AH106" s="891" t="n"/>
      <c r="AI106" s="2116" t="n"/>
      <c r="AJ106" s="1195" t="n"/>
      <c r="AK106" s="1223" t="n"/>
      <c r="AL106" s="1192" t="n"/>
      <c r="AM106">
        <f>CA106&amp;CB106</f>
        <v/>
      </c>
      <c r="CA106" s="90">
        <f>IF(AND($C106&gt;0,AJ106="")," *No olvide digitar la variable Pueblos Originarios. Digite Cero si no tiene.",IF(AJ106&gt;$C106," *La variable Pueblos Originarios No puede ser mayor al Total Ambos Sexos.",""))</f>
        <v/>
      </c>
      <c r="CB106" s="90">
        <f>IF(AND($C106&gt;0,AK106="")," *No olvide digitar la variable Migrantes. Digite Cero si no tiene.",IF(AK106&gt;$C106," *La variable Migrantes No puede ser mayor al Total Ambos Sexos.",""))</f>
        <v/>
      </c>
      <c r="CC106" s="90">
        <f>IF(AND($C106&gt;0,AL106="")," *No olvide digitar la variable Servicio Nacional Protección Especializada a la Niñez y Adolescencia. Digite Cero si no tiene.",IF(AL106&gt;$C106," *La variable Servicio Nacional Protección Especializada a la Niñez y Adolescencia No puede ser mayor al Total Ambos Sexos.",""))</f>
        <v/>
      </c>
      <c r="CO106" s="28">
        <f>IF(AND($C106&gt;0,AJ106=""),1,IF(AJ106&gt;$C106,1,0))</f>
        <v/>
      </c>
      <c r="CP106" s="28">
        <f>IF(AND($C106&gt;0,AK106=""),1,IF(AK106&gt;$C106,1,0))</f>
        <v/>
      </c>
      <c r="CQ106" s="28">
        <f>IF(AND($C106&gt;0,AL106=""),1,IF(AL106&gt;$C106,1,0))</f>
        <v/>
      </c>
    </row>
    <row r="107" ht="18" customFormat="1" customHeight="1" s="5">
      <c r="A107" s="646" t="inlineStr">
        <is>
          <t>SECCIÓN G: INGRESO DE NIÑOS, NIÑAS Y ADOLESCENTES CON NECESIDADES ESPECIALES  A CONTROL DE SALUD EN APS</t>
        </is>
      </c>
      <c r="B107" s="59" t="n"/>
      <c r="C107" s="3" t="n"/>
      <c r="D107" s="3" t="n"/>
      <c r="E107" s="3" t="n"/>
      <c r="F107" s="3" t="n"/>
      <c r="G107" s="3" t="n"/>
      <c r="H107" s="3" t="n"/>
      <c r="I107" s="3" t="n"/>
      <c r="J107" s="3" t="n"/>
      <c r="K107" s="3" t="n"/>
      <c r="L107" s="3" t="n"/>
      <c r="M107" s="3" t="n"/>
    </row>
    <row r="108">
      <c r="A108" s="9939" t="inlineStr">
        <is>
          <t>NANEAS</t>
        </is>
      </c>
      <c r="B108" s="9630" t="n"/>
      <c r="C108" s="9914" t="inlineStr">
        <is>
          <t>TOTAL</t>
        </is>
      </c>
      <c r="D108" s="9602" t="n"/>
      <c r="E108" s="9630" t="n"/>
      <c r="F108" s="8400" t="inlineStr">
        <is>
          <t>RANGO ETARIO Y SEXO</t>
        </is>
      </c>
      <c r="G108" s="9584" t="n"/>
      <c r="H108" s="9584" t="n"/>
      <c r="I108" s="9584" t="n"/>
      <c r="J108" s="9584" t="n"/>
      <c r="K108" s="9584" t="n"/>
      <c r="L108" s="9584" t="n"/>
      <c r="M108" s="9582" t="n"/>
    </row>
    <row r="109">
      <c r="A109" s="642" t="n"/>
      <c r="B109" s="9718" t="n"/>
      <c r="C109" s="642" t="n"/>
      <c r="E109" s="9718" t="n"/>
      <c r="F109" s="8400" t="inlineStr">
        <is>
          <t xml:space="preserve"> 0 - 4 años</t>
        </is>
      </c>
      <c r="G109" s="9582" t="n"/>
      <c r="H109" s="8400" t="inlineStr">
        <is>
          <t xml:space="preserve"> 5 - 9 años</t>
        </is>
      </c>
      <c r="I109" s="9582" t="n"/>
      <c r="J109" s="8400" t="inlineStr">
        <is>
          <t xml:space="preserve"> 10 -14 años</t>
        </is>
      </c>
      <c r="K109" s="9582" t="n"/>
      <c r="L109" s="8400" t="inlineStr">
        <is>
          <t>15 - 19 años</t>
        </is>
      </c>
      <c r="M109" s="9582" t="n"/>
    </row>
    <row r="110">
      <c r="A110" s="9638" t="n"/>
      <c r="B110" s="9639" t="n"/>
      <c r="C110" s="2117" t="inlineStr">
        <is>
          <t>Ambos Sexos</t>
        </is>
      </c>
      <c r="D110" s="2110" t="inlineStr">
        <is>
          <t>Hombres</t>
        </is>
      </c>
      <c r="E110" s="7686" t="inlineStr">
        <is>
          <t>Mujeres</t>
        </is>
      </c>
      <c r="F110" s="7932" t="inlineStr">
        <is>
          <t>Hombres</t>
        </is>
      </c>
      <c r="G110" s="7686" t="inlineStr">
        <is>
          <t>Mujeres</t>
        </is>
      </c>
      <c r="H110" s="7932" t="inlineStr">
        <is>
          <t>Hombres</t>
        </is>
      </c>
      <c r="I110" s="7686" t="inlineStr">
        <is>
          <t>Mujeres</t>
        </is>
      </c>
      <c r="J110" s="7932" t="inlineStr">
        <is>
          <t>Hombres</t>
        </is>
      </c>
      <c r="K110" s="7686" t="inlineStr">
        <is>
          <t>Mujeres</t>
        </is>
      </c>
      <c r="L110" s="7932" t="inlineStr">
        <is>
          <t>Hombres</t>
        </is>
      </c>
      <c r="M110" s="7686" t="inlineStr">
        <is>
          <t>Mujeres</t>
        </is>
      </c>
    </row>
    <row r="111" ht="15" customHeight="1" s="8286">
      <c r="A111" s="5395" t="inlineStr">
        <is>
          <t>Total Ingresos</t>
        </is>
      </c>
      <c r="B111" s="9582" t="n"/>
      <c r="C111" s="2118">
        <f>SUM(D111:E111)</f>
        <v/>
      </c>
      <c r="D111" s="2119">
        <f>+F111+H111+J111+L111</f>
        <v/>
      </c>
      <c r="E111" s="2120">
        <f>+G111+I111+K111+M111</f>
        <v/>
      </c>
      <c r="F111" s="1988">
        <f>SUM(F112:F114)</f>
        <v/>
      </c>
      <c r="G111" s="2121">
        <f>SUM(G112:G114)</f>
        <v/>
      </c>
      <c r="H111" s="1988">
        <f>SUM(H112:H114)</f>
        <v/>
      </c>
      <c r="I111" s="2121">
        <f>SUM(I112:I114)</f>
        <v/>
      </c>
      <c r="J111" s="1988">
        <f>SUM(J112:J114)</f>
        <v/>
      </c>
      <c r="K111" s="2121">
        <f>SUM(K112:K114)</f>
        <v/>
      </c>
      <c r="L111" s="1988">
        <f>SUM(L112:L114)</f>
        <v/>
      </c>
      <c r="M111" s="7769">
        <f>SUM(M112:M114)</f>
        <v/>
      </c>
    </row>
    <row r="112" ht="15" customHeight="1" s="8286">
      <c r="A112" s="4366" t="inlineStr">
        <is>
          <t>Baja Complejidad</t>
        </is>
      </c>
      <c r="B112" s="9643" t="n"/>
      <c r="C112" s="2122">
        <f>SUM(D112:E112)</f>
        <v/>
      </c>
      <c r="D112" s="865">
        <f>+F112+H112+J112+L112</f>
        <v/>
      </c>
      <c r="E112" s="2123">
        <f>+G112+I112+K112+M112</f>
        <v/>
      </c>
      <c r="F112" s="2022" t="n">
        <v>0</v>
      </c>
      <c r="G112" s="2029" t="n">
        <v>0</v>
      </c>
      <c r="H112" s="2022" t="n">
        <v>0</v>
      </c>
      <c r="I112" s="2029" t="n">
        <v>0</v>
      </c>
      <c r="J112" s="2022" t="n"/>
      <c r="K112" s="2124" t="n"/>
      <c r="L112" s="2022" t="n"/>
      <c r="M112" s="2124" t="n"/>
    </row>
    <row r="113" ht="15" customHeight="1" s="8286">
      <c r="A113" s="3849" t="inlineStr">
        <is>
          <t>Mediana Complejidad</t>
        </is>
      </c>
      <c r="B113" s="9644" t="n"/>
      <c r="C113" s="2125">
        <f>SUM(D113:E113)</f>
        <v/>
      </c>
      <c r="D113" s="2126">
        <f>+F113+H113+J113+L113</f>
        <v/>
      </c>
      <c r="E113" s="2127">
        <f>+G113+I113+K113+M113</f>
        <v/>
      </c>
      <c r="F113" s="1172" t="n">
        <v>0</v>
      </c>
      <c r="G113" s="1173" t="n">
        <v>0</v>
      </c>
      <c r="H113" s="1172" t="n">
        <v>0</v>
      </c>
      <c r="I113" s="1173" t="n">
        <v>0</v>
      </c>
      <c r="J113" s="1172" t="n"/>
      <c r="K113" s="886" t="n"/>
      <c r="L113" s="1172" t="n"/>
      <c r="M113" s="886" t="n"/>
    </row>
    <row r="114" ht="15" customHeight="1" s="8286">
      <c r="A114" s="9923" t="inlineStr">
        <is>
          <t>Alta Complejidad</t>
        </is>
      </c>
      <c r="B114" s="9720" t="n"/>
      <c r="C114" s="2128">
        <f>SUM(D114:E114)</f>
        <v/>
      </c>
      <c r="D114" s="2129">
        <f>+F114+H114+J114+L114</f>
        <v/>
      </c>
      <c r="E114" s="2130">
        <f>+G114+I114+K114+M114</f>
        <v/>
      </c>
      <c r="F114" s="1188" t="n">
        <v>0</v>
      </c>
      <c r="G114" s="1192" t="n">
        <v>0</v>
      </c>
      <c r="H114" s="1188" t="n">
        <v>0</v>
      </c>
      <c r="I114" s="1192" t="n">
        <v>0</v>
      </c>
      <c r="J114" s="1188" t="n"/>
      <c r="K114" s="1119" t="n"/>
      <c r="L114" s="1188" t="n"/>
      <c r="M114" s="1119" t="n"/>
    </row>
    <row r="115" ht="18" customFormat="1" customHeight="1" s="5">
      <c r="A115" s="647" t="inlineStr">
        <is>
          <t>SECCIÓN H: INGRESOS AL PROGRAMA DE SALUD CARDIOVASCULAR (PSCV)</t>
        </is>
      </c>
      <c r="B115" s="2131" t="n"/>
      <c r="C115" s="7" t="n"/>
      <c r="D115" s="7" t="n"/>
      <c r="E115" s="7" t="n"/>
      <c r="F115" s="7" t="n"/>
      <c r="G115" s="7" t="n"/>
      <c r="H115" s="7" t="n"/>
      <c r="I115" s="7" t="n"/>
      <c r="J115" s="7" t="n"/>
      <c r="K115" s="7" t="n"/>
      <c r="L115" s="7" t="n"/>
      <c r="M115" s="7" t="n"/>
      <c r="N115" s="7" t="n"/>
      <c r="O115" s="7" t="n"/>
      <c r="P115" s="7" t="n"/>
      <c r="Q115" s="7" t="n"/>
      <c r="R115" s="7" t="n"/>
      <c r="S115" s="7" t="n"/>
      <c r="T115" s="7" t="n"/>
      <c r="U115" s="7" t="n"/>
      <c r="V115" s="7" t="n"/>
      <c r="W115" s="7" t="n"/>
      <c r="X115" s="7" t="n"/>
      <c r="Y115" s="7" t="n"/>
      <c r="Z115" s="7" t="n"/>
      <c r="AA115" s="7" t="n"/>
      <c r="AB115" s="7" t="n"/>
      <c r="AC115" s="7" t="n"/>
      <c r="AD115" s="7" t="n"/>
      <c r="AE115" s="7" t="n"/>
      <c r="AF115" s="7" t="n"/>
      <c r="AG115" s="7" t="n"/>
      <c r="AH115" s="7" t="n"/>
      <c r="AI115" s="7" t="n"/>
    </row>
    <row r="116">
      <c r="A116" s="9939" t="inlineStr">
        <is>
          <t>CONCEPTO</t>
        </is>
      </c>
      <c r="B116" s="9630" t="n"/>
      <c r="C116" s="9914" t="inlineStr">
        <is>
          <t>TOTAL</t>
        </is>
      </c>
      <c r="D116" s="9602" t="n"/>
      <c r="E116" s="9630" t="n"/>
      <c r="F116" s="9976" t="inlineStr">
        <is>
          <t>RANGO ETARIO Y SEXO</t>
        </is>
      </c>
      <c r="G116" s="9584" t="n"/>
      <c r="H116" s="9584" t="n"/>
      <c r="I116" s="9584" t="n"/>
      <c r="J116" s="9584" t="n"/>
      <c r="K116" s="9584" t="n"/>
      <c r="L116" s="9584" t="n"/>
      <c r="M116" s="9584" t="n"/>
      <c r="N116" s="9584" t="n"/>
      <c r="O116" s="9584" t="n"/>
      <c r="P116" s="9584" t="n"/>
      <c r="Q116" s="9584" t="n"/>
      <c r="R116" s="9584" t="n"/>
      <c r="S116" s="9584" t="n"/>
      <c r="T116" s="9584" t="n"/>
      <c r="U116" s="9584" t="n"/>
      <c r="V116" s="9584" t="n"/>
      <c r="W116" s="9584" t="n"/>
      <c r="X116" s="9584" t="n"/>
      <c r="Y116" s="9584" t="n"/>
      <c r="Z116" s="9584" t="n"/>
      <c r="AA116" s="9584" t="n"/>
      <c r="AB116" s="9584" t="n"/>
      <c r="AC116" s="9584" t="n"/>
      <c r="AD116" s="9584" t="n"/>
      <c r="AE116" s="9584" t="n"/>
      <c r="AF116" s="9584" t="n"/>
      <c r="AG116" s="9595" t="n"/>
      <c r="AH116" s="9916" t="inlineStr">
        <is>
          <t>Pueblos Originarios</t>
        </is>
      </c>
      <c r="AI116" s="8400" t="inlineStr">
        <is>
          <t>Migrantes</t>
        </is>
      </c>
    </row>
    <row r="117">
      <c r="A117" s="642" t="n"/>
      <c r="B117" s="9718" t="n"/>
      <c r="C117" s="642" t="n"/>
      <c r="E117" s="9718" t="n"/>
      <c r="F117" s="9977" t="inlineStr">
        <is>
          <t>15 - 19 años</t>
        </is>
      </c>
      <c r="G117" s="9582" t="n"/>
      <c r="H117" s="4505" t="inlineStr">
        <is>
          <t>20 - 24 años</t>
        </is>
      </c>
      <c r="I117" s="9647" t="n"/>
      <c r="J117" s="4505" t="inlineStr">
        <is>
          <t>25 - 29 años</t>
        </is>
      </c>
      <c r="K117" s="9647" t="n"/>
      <c r="L117" s="4505" t="inlineStr">
        <is>
          <t>30 - 34 años</t>
        </is>
      </c>
      <c r="M117" s="9647" t="n"/>
      <c r="N117" s="4505" t="inlineStr">
        <is>
          <t>35 - 39 años</t>
        </is>
      </c>
      <c r="O117" s="9647" t="n"/>
      <c r="P117" s="4505" t="inlineStr">
        <is>
          <t>40 - 44 años</t>
        </is>
      </c>
      <c r="Q117" s="9647" t="n"/>
      <c r="R117" s="4505" t="inlineStr">
        <is>
          <t>45 - 49 años</t>
        </is>
      </c>
      <c r="S117" s="9647" t="n"/>
      <c r="T117" s="4505" t="inlineStr">
        <is>
          <t>50 - 54 años</t>
        </is>
      </c>
      <c r="U117" s="9647" t="n"/>
      <c r="V117" s="4505" t="inlineStr">
        <is>
          <t>55 - 59 años</t>
        </is>
      </c>
      <c r="W117" s="9647" t="n"/>
      <c r="X117" s="4505" t="inlineStr">
        <is>
          <t>60 - 64 años</t>
        </is>
      </c>
      <c r="Y117" s="9647" t="n"/>
      <c r="Z117" s="8400" t="inlineStr">
        <is>
          <t>65 - 69 años</t>
        </is>
      </c>
      <c r="AA117" s="9582" t="n"/>
      <c r="AB117" s="8400" t="inlineStr">
        <is>
          <t>70 - 74 años</t>
        </is>
      </c>
      <c r="AC117" s="9582" t="n"/>
      <c r="AD117" s="8400" t="inlineStr">
        <is>
          <t>75 - 79 años</t>
        </is>
      </c>
      <c r="AE117" s="9582" t="n"/>
      <c r="AF117" s="9976" t="inlineStr">
        <is>
          <t>80 y más años</t>
        </is>
      </c>
      <c r="AG117" s="9595" t="n"/>
      <c r="AH117" s="9978" t="n"/>
      <c r="AI117" s="9614" t="n"/>
    </row>
    <row r="118">
      <c r="A118" s="9638" t="n"/>
      <c r="B118" s="9639" t="n"/>
      <c r="C118" s="7932" t="inlineStr">
        <is>
          <t>Ambos Sexos</t>
        </is>
      </c>
      <c r="D118" s="2110" t="inlineStr">
        <is>
          <t>Hombres</t>
        </is>
      </c>
      <c r="E118" s="7686" t="inlineStr">
        <is>
          <t>Mujeres</t>
        </is>
      </c>
      <c r="F118" s="7691" t="inlineStr">
        <is>
          <t>Hombres</t>
        </is>
      </c>
      <c r="G118" s="7708" t="inlineStr">
        <is>
          <t>Mujeres</t>
        </is>
      </c>
      <c r="H118" s="7691" t="inlineStr">
        <is>
          <t>Hombres</t>
        </is>
      </c>
      <c r="I118" s="7708" t="inlineStr">
        <is>
          <t>Mujeres</t>
        </is>
      </c>
      <c r="J118" s="7691" t="inlineStr">
        <is>
          <t>Hombres</t>
        </is>
      </c>
      <c r="K118" s="7708" t="inlineStr">
        <is>
          <t>Mujeres</t>
        </is>
      </c>
      <c r="L118" s="7691" t="inlineStr">
        <is>
          <t>Hombres</t>
        </is>
      </c>
      <c r="M118" s="7708" t="inlineStr">
        <is>
          <t>Mujeres</t>
        </is>
      </c>
      <c r="N118" s="7691" t="inlineStr">
        <is>
          <t>Hombres</t>
        </is>
      </c>
      <c r="O118" s="7708" t="inlineStr">
        <is>
          <t>Mujeres</t>
        </is>
      </c>
      <c r="P118" s="7691" t="inlineStr">
        <is>
          <t>Hombres</t>
        </is>
      </c>
      <c r="Q118" s="7708" t="inlineStr">
        <is>
          <t>Mujeres</t>
        </is>
      </c>
      <c r="R118" s="7691" t="inlineStr">
        <is>
          <t>Hombres</t>
        </is>
      </c>
      <c r="S118" s="7708" t="inlineStr">
        <is>
          <t>Mujeres</t>
        </is>
      </c>
      <c r="T118" s="7691" t="inlineStr">
        <is>
          <t>Hombres</t>
        </is>
      </c>
      <c r="U118" s="7708" t="inlineStr">
        <is>
          <t>Mujeres</t>
        </is>
      </c>
      <c r="V118" s="7691" t="inlineStr">
        <is>
          <t>Hombres</t>
        </is>
      </c>
      <c r="W118" s="7708" t="inlineStr">
        <is>
          <t>Mujeres</t>
        </is>
      </c>
      <c r="X118" s="7691" t="inlineStr">
        <is>
          <t>Hombres</t>
        </is>
      </c>
      <c r="Y118" s="7708" t="inlineStr">
        <is>
          <t>Mujeres</t>
        </is>
      </c>
      <c r="Z118" s="7691" t="inlineStr">
        <is>
          <t>Hombres</t>
        </is>
      </c>
      <c r="AA118" s="7708" t="inlineStr">
        <is>
          <t>Mujeres</t>
        </is>
      </c>
      <c r="AB118" s="7691" t="inlineStr">
        <is>
          <t>Hombres</t>
        </is>
      </c>
      <c r="AC118" s="7708" t="inlineStr">
        <is>
          <t>Mujeres</t>
        </is>
      </c>
      <c r="AD118" s="7691" t="inlineStr">
        <is>
          <t>Hombres</t>
        </is>
      </c>
      <c r="AE118" s="7708" t="inlineStr">
        <is>
          <t>Mujeres</t>
        </is>
      </c>
      <c r="AF118" s="7691" t="inlineStr">
        <is>
          <t>Hombres</t>
        </is>
      </c>
      <c r="AG118" s="7781" t="inlineStr">
        <is>
          <t>Mujeres</t>
        </is>
      </c>
      <c r="AH118" s="9890" t="n"/>
      <c r="AI118" s="9610" t="n"/>
    </row>
    <row r="119" ht="15" customHeight="1" s="8286">
      <c r="A119" s="5262" t="inlineStr">
        <is>
          <t>Ingresos al PSCV</t>
        </is>
      </c>
      <c r="B119" s="9582" t="n"/>
      <c r="C119" s="1988">
        <f>SUM(D119:E119)</f>
        <v/>
      </c>
      <c r="D119" s="2046">
        <f>SUM(F119+H119+J119+L119+N119+P119+R119+T119+V119+X119+Z119+AB119+AD119+AF119)</f>
        <v/>
      </c>
      <c r="E119" s="2133">
        <f>SUM(+G119+I119+K119+M119+O119+Q119+S119+U119+W119+Y119+AA119+AC119+AE119+AG119)</f>
        <v/>
      </c>
      <c r="F119" s="2022" t="n"/>
      <c r="G119" s="2023" t="n"/>
      <c r="H119" s="2022" t="n">
        <v>1</v>
      </c>
      <c r="I119" s="2023" t="n"/>
      <c r="J119" s="2022" t="n"/>
      <c r="K119" s="2023" t="n">
        <v>1</v>
      </c>
      <c r="L119" s="2022" t="n"/>
      <c r="M119" s="2023" t="n"/>
      <c r="N119" s="2022" t="n">
        <v>1</v>
      </c>
      <c r="O119" s="2023" t="n">
        <v>1</v>
      </c>
      <c r="P119" s="2022" t="n">
        <v>1</v>
      </c>
      <c r="Q119" s="2023" t="n">
        <v>2</v>
      </c>
      <c r="R119" s="2022" t="n"/>
      <c r="S119" s="2023" t="n"/>
      <c r="T119" s="2022" t="n">
        <v>5</v>
      </c>
      <c r="U119" s="2023" t="n">
        <v>1</v>
      </c>
      <c r="V119" s="2022" t="n">
        <v>6</v>
      </c>
      <c r="W119" s="2023" t="n">
        <v>4</v>
      </c>
      <c r="X119" s="2022" t="n">
        <v>3</v>
      </c>
      <c r="Y119" s="2023" t="n">
        <v>7</v>
      </c>
      <c r="Z119" s="2022" t="n">
        <v>4</v>
      </c>
      <c r="AA119" s="2023" t="n">
        <v>5</v>
      </c>
      <c r="AB119" s="2022" t="n">
        <v>2</v>
      </c>
      <c r="AC119" s="2023" t="n">
        <v>1</v>
      </c>
      <c r="AD119" s="2022" t="n"/>
      <c r="AE119" s="2023" t="n">
        <v>1</v>
      </c>
      <c r="AF119" s="2022" t="n">
        <v>1</v>
      </c>
      <c r="AG119" s="1940" t="n">
        <v>3</v>
      </c>
      <c r="AH119" s="5213" t="n">
        <v>0</v>
      </c>
      <c r="AI119" s="5189" t="n">
        <v>0</v>
      </c>
      <c r="AJ119">
        <f>CA119&amp;CB119</f>
        <v/>
      </c>
      <c r="CA119" s="90">
        <f>IF(AND(C119&gt;0,AH119="")," * No olvide digitar la variable Pueblos originarios. Digite Cero si no tiene.",IF(AH119&gt;C119,"* La variable Pueblos originarios No puede ser mayor al Total.",""))</f>
        <v/>
      </c>
      <c r="CB119" s="90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/>
      </c>
      <c r="CP119" s="221">
        <f>IF(AND($C119&gt;0,AI119=""),1,IF(AI119&gt;$C119,1,0))</f>
        <v/>
      </c>
    </row>
    <row r="120" ht="15" customHeight="1" s="8286">
      <c r="A120" s="9933" t="inlineStr">
        <is>
          <t>Programa de Salud Cardiovascular</t>
        </is>
      </c>
      <c r="B120" s="7748" t="inlineStr">
        <is>
          <t>Hipertensión Arterial</t>
        </is>
      </c>
      <c r="C120" s="1978">
        <f>SUM(D120:E120)</f>
        <v/>
      </c>
      <c r="D120" s="796">
        <f>SUM(F120+H120+J120+L120+N120+P120+R120+T120+V120+X120+Z120+AB120+AD120+AF120)</f>
        <v/>
      </c>
      <c r="E120" s="752">
        <f>SUM(+G120+I120+K120+M120+O120+Q120+S120+U120+W120+Y120+AA120+AC120+AE120+AG120)</f>
        <v/>
      </c>
      <c r="F120" s="2022" t="n"/>
      <c r="G120" s="2029" t="n"/>
      <c r="H120" s="2022" t="n">
        <v>1</v>
      </c>
      <c r="I120" s="2029" t="n"/>
      <c r="J120" s="2022" t="n"/>
      <c r="K120" s="2029" t="n">
        <v>1</v>
      </c>
      <c r="L120" s="2022" t="n"/>
      <c r="M120" s="2029" t="n"/>
      <c r="N120" s="2022" t="n">
        <v>1</v>
      </c>
      <c r="O120" s="2029" t="n">
        <v>1</v>
      </c>
      <c r="P120" s="2022" t="n"/>
      <c r="Q120" s="2029" t="n">
        <v>1</v>
      </c>
      <c r="R120" s="2022" t="n"/>
      <c r="S120" s="2029" t="n"/>
      <c r="T120" s="2022" t="n">
        <v>3</v>
      </c>
      <c r="U120" s="2029" t="n">
        <v>1</v>
      </c>
      <c r="V120" s="2022" t="n">
        <v>6</v>
      </c>
      <c r="W120" s="2029" t="n">
        <v>4</v>
      </c>
      <c r="X120" s="2022" t="n">
        <v>3</v>
      </c>
      <c r="Y120" s="2029" t="n">
        <v>5</v>
      </c>
      <c r="Z120" s="2022" t="n">
        <v>4</v>
      </c>
      <c r="AA120" s="2029" t="n">
        <v>3</v>
      </c>
      <c r="AB120" s="2022" t="n">
        <v>2</v>
      </c>
      <c r="AC120" s="2029" t="n">
        <v>1</v>
      </c>
      <c r="AD120" s="2022" t="n"/>
      <c r="AE120" s="2029" t="n">
        <v>1</v>
      </c>
      <c r="AF120" s="2022" t="n">
        <v>1</v>
      </c>
      <c r="AG120" s="1940" t="n">
        <v>3</v>
      </c>
      <c r="AH120" s="5213" t="n">
        <v>0</v>
      </c>
      <c r="AI120" s="5189" t="n">
        <v>0</v>
      </c>
      <c r="AJ120">
        <f>CA120&amp;CB120</f>
        <v/>
      </c>
      <c r="CA120" s="90">
        <f>IF(AND(C120&gt;0,AH120="")," * No olvide digitar la variable Pueblos originarios. Digite Cero si no tiene.",IF(AH120&gt;C120,"* La variable Pueblos originarios No puede ser mayor al Total.",""))</f>
        <v/>
      </c>
      <c r="CB120" s="90">
        <f>IF(AND(C120&gt;0,AI120="")," * No olvide digitar la variable Migrantes. Digite Cero si no tiene.",IF(AI120&gt;C120,"* La variable Migrantes No puede ser mayor al Total.",""))</f>
        <v/>
      </c>
      <c r="CO120" s="221">
        <f>IF(AND($C120&gt;0,AH120=""),1,IF(AH120&gt;$C120,1,0))</f>
        <v/>
      </c>
      <c r="CP120" s="221">
        <f>IF(AND($C120&gt;0,AI120=""),1,IF(AI120&gt;$C120,1,0))</f>
        <v/>
      </c>
    </row>
    <row r="121" ht="15" customHeight="1" s="8286">
      <c r="A121" s="9614" t="n"/>
      <c r="B121" s="1121" t="inlineStr">
        <is>
          <t>Diabetes Mellitus</t>
        </is>
      </c>
      <c r="C121" s="1485">
        <f>SUM(D121:E121)</f>
        <v/>
      </c>
      <c r="D121" s="2134">
        <f>SUM(F121+H121+J121+L121+N121+P121+R121+T121+V121+X121+Z121+AB121+AD121+AF121)</f>
        <v/>
      </c>
      <c r="E121" s="894">
        <f>SUM(+G121+I121+K121+M121+O121+Q121+S121+U121+W121+Y121+AA121+AC121+AE121+AG121)</f>
        <v/>
      </c>
      <c r="F121" s="1172" t="n"/>
      <c r="G121" s="1173" t="n"/>
      <c r="H121" s="1172" t="n"/>
      <c r="I121" s="1173" t="n"/>
      <c r="J121" s="1172" t="n"/>
      <c r="K121" s="1173" t="n"/>
      <c r="L121" s="1172" t="n"/>
      <c r="M121" s="1173" t="n"/>
      <c r="N121" s="1172" t="n">
        <v>1</v>
      </c>
      <c r="O121" s="1173" t="n">
        <v>1</v>
      </c>
      <c r="P121" s="1172" t="n">
        <v>1</v>
      </c>
      <c r="Q121" s="1173" t="n">
        <v>1</v>
      </c>
      <c r="R121" s="1172" t="n"/>
      <c r="S121" s="1173" t="n"/>
      <c r="T121" s="1172" t="n">
        <v>2</v>
      </c>
      <c r="U121" s="1173" t="n">
        <v>1</v>
      </c>
      <c r="V121" s="1172" t="n">
        <v>3</v>
      </c>
      <c r="W121" s="1173" t="n">
        <v>1</v>
      </c>
      <c r="X121" s="1172" t="n">
        <v>1</v>
      </c>
      <c r="Y121" s="1173" t="n">
        <v>1</v>
      </c>
      <c r="Z121" s="1172" t="n">
        <v>2</v>
      </c>
      <c r="AA121" s="1173" t="n"/>
      <c r="AB121" s="1172" t="n">
        <v>2</v>
      </c>
      <c r="AC121" s="1173" t="n"/>
      <c r="AD121" s="1172" t="n"/>
      <c r="AE121" s="1173" t="n"/>
      <c r="AF121" s="1172" t="n"/>
      <c r="AG121" s="1929" t="n">
        <v>2</v>
      </c>
      <c r="AH121" s="5215" t="n">
        <v>0</v>
      </c>
      <c r="AI121" s="3892" t="n">
        <v>0</v>
      </c>
      <c r="AJ121">
        <f>CA121&amp;CB121</f>
        <v/>
      </c>
      <c r="CA121" s="90">
        <f>IF(AND(C121&gt;0,AH121="")," * No olvide digitar la variable Pueblos originarios. Digite Cero si no tiene.",IF(AH121&gt;C121,"* La variable Pueblos originarios No puede ser mayor al Total.",""))</f>
        <v/>
      </c>
      <c r="CB121" s="90">
        <f>IF(AND(C121&gt;0,AI121="")," * No olvide digitar la variable Migrantes. Digite Cero si no tiene.",IF(AI121&gt;C121,"* La variable Migrantes No puede ser mayor al Total.",""))</f>
        <v/>
      </c>
      <c r="CO121" s="221">
        <f>IF(AND($C121&gt;0,AH121=""),1,IF(AH121&gt;$C121,1,0))</f>
        <v/>
      </c>
      <c r="CP121" s="221">
        <f>IF(AND($C121&gt;0,AI121=""),1,IF(AI121&gt;$C121,1,0))</f>
        <v/>
      </c>
    </row>
    <row r="122" ht="15" customHeight="1" s="8286">
      <c r="A122" s="9614" t="n"/>
      <c r="B122" s="1121" t="inlineStr">
        <is>
          <t>Dislipidemia</t>
        </is>
      </c>
      <c r="C122" s="1485">
        <f>SUM(D122:E122)</f>
        <v/>
      </c>
      <c r="D122" s="2134">
        <f>SUM(F122+H122+J122+L122+N122+P122+R122+T122+V122+X122+Z122+AB122+AD122+AF122)</f>
        <v/>
      </c>
      <c r="E122" s="894">
        <f>SUM(+G122+I122+K122+M122+O122+Q122+S122+U122+W122+Y122+AA122+AC122+AE122+AG122)</f>
        <v/>
      </c>
      <c r="F122" s="1172" t="n"/>
      <c r="G122" s="1173" t="n"/>
      <c r="H122" s="1172" t="n"/>
      <c r="I122" s="1173" t="n"/>
      <c r="J122" s="1172" t="n"/>
      <c r="K122" s="1173" t="n"/>
      <c r="L122" s="1172" t="n"/>
      <c r="M122" s="1173" t="n"/>
      <c r="N122" s="1172" t="n">
        <v>1</v>
      </c>
      <c r="O122" s="1173" t="n">
        <v>1</v>
      </c>
      <c r="P122" s="1172" t="n"/>
      <c r="Q122" s="1173" t="n"/>
      <c r="R122" s="1172" t="n">
        <v>1</v>
      </c>
      <c r="S122" s="1173" t="n"/>
      <c r="T122" s="1172" t="n">
        <v>1</v>
      </c>
      <c r="U122" s="1173" t="n">
        <v>2</v>
      </c>
      <c r="V122" s="1172" t="n">
        <v>1</v>
      </c>
      <c r="W122" s="1173" t="n">
        <v>1</v>
      </c>
      <c r="X122" s="1172" t="n">
        <v>1</v>
      </c>
      <c r="Y122" s="1173" t="n">
        <v>4</v>
      </c>
      <c r="Z122" s="1172" t="n">
        <v>1</v>
      </c>
      <c r="AA122" s="1173" t="n">
        <v>6</v>
      </c>
      <c r="AB122" s="1172" t="n">
        <v>1</v>
      </c>
      <c r="AC122" s="1173" t="n">
        <v>1</v>
      </c>
      <c r="AD122" s="1172" t="n"/>
      <c r="AE122" s="1173" t="n">
        <v>2</v>
      </c>
      <c r="AF122" s="1172" t="n"/>
      <c r="AG122" s="1929" t="n">
        <v>2</v>
      </c>
      <c r="AH122" s="5215" t="n">
        <v>0</v>
      </c>
      <c r="AI122" s="3892" t="n">
        <v>0</v>
      </c>
      <c r="AJ122">
        <f>CA122&amp;CB122</f>
        <v/>
      </c>
      <c r="CA122" s="90">
        <f>IF(AND(C122&gt;0,AH122="")," * No olvide digitar la variable Pueblos originarios. Digite Cero si no tiene.",IF(AH122&gt;C122,"* La variable Pueblos originarios No puede ser mayor al Total.",""))</f>
        <v/>
      </c>
      <c r="CB122" s="90">
        <f>IF(AND(C122&gt;0,AI122="")," * No olvide digitar la variable Migrantes. Digite Cero si no tiene.",IF(AI122&gt;C122,"* La variable Migrantes No puede ser mayor al Total.",""))</f>
        <v/>
      </c>
      <c r="CO122" s="221">
        <f>IF(AND($C122&gt;0,AH122=""),1,IF(AH122&gt;$C122,1,0))</f>
        <v/>
      </c>
      <c r="CP122" s="221">
        <f>IF(AND($C122&gt;0,AI122=""),1,IF(AI122&gt;$C122,1,0))</f>
        <v/>
      </c>
    </row>
    <row r="123" ht="22.5" customHeight="1" s="8286">
      <c r="A123" s="9614" t="n"/>
      <c r="B123" s="1209" t="inlineStr">
        <is>
          <t>Antecedentes de Infarto Agudo al Miocardio (IAM)</t>
        </is>
      </c>
      <c r="C123" s="1485">
        <f>SUM(D123:E123)</f>
        <v/>
      </c>
      <c r="D123" s="2134">
        <f>SUM(F123+H123+J123+L123+N123+P123+R123+T123+V123+X123+Z123+AB123+AD123+AF123)</f>
        <v/>
      </c>
      <c r="E123" s="894">
        <f>SUM(+G123+I123+K123+M123+O123+Q123+S123+U123+W123+Y123+AA123+AC123+AE123+AG123)</f>
        <v/>
      </c>
      <c r="F123" s="1172" t="n"/>
      <c r="G123" s="1173" t="n"/>
      <c r="H123" s="1172" t="n"/>
      <c r="I123" s="1173" t="n"/>
      <c r="J123" s="1172" t="n"/>
      <c r="K123" s="1173" t="n"/>
      <c r="L123" s="1172" t="n"/>
      <c r="M123" s="1173" t="n"/>
      <c r="N123" s="1172" t="n"/>
      <c r="O123" s="1173" t="n"/>
      <c r="P123" s="1172" t="n"/>
      <c r="Q123" s="1173" t="n"/>
      <c r="R123" s="1172" t="n"/>
      <c r="S123" s="1173" t="n"/>
      <c r="T123" s="1172" t="n"/>
      <c r="U123" s="1173" t="n"/>
      <c r="V123" s="1172" t="n">
        <v>1</v>
      </c>
      <c r="W123" s="1173" t="n"/>
      <c r="X123" s="1172" t="n"/>
      <c r="Y123" s="1173" t="n"/>
      <c r="Z123" s="1172" t="n"/>
      <c r="AA123" s="1173" t="n"/>
      <c r="AB123" s="1172" t="n"/>
      <c r="AC123" s="1173" t="n"/>
      <c r="AD123" s="1172" t="n"/>
      <c r="AE123" s="1173" t="n"/>
      <c r="AF123" s="1172" t="n">
        <v>1</v>
      </c>
      <c r="AG123" s="1929" t="n"/>
      <c r="AH123" s="5215" t="n">
        <v>0</v>
      </c>
      <c r="AI123" s="3892" t="n">
        <v>0</v>
      </c>
      <c r="AJ123">
        <f>CA123&amp;CB123</f>
        <v/>
      </c>
      <c r="CA123" s="90">
        <f>IF(AND(C123&gt;0,AH123="")," * No olvide digitar la variable Pueblos originarios. Digite Cero si no tiene.",IF(AH123&gt;C123,"* La variable Pueblos originarios No puede ser mayor al Total.",""))</f>
        <v/>
      </c>
      <c r="CB123" s="90">
        <f>IF(AND(C123&gt;0,AI123="")," * No olvide digitar la variable Migrantes. Digite Cero si no tiene.",IF(AI123&gt;C123,"* La variable Migrantes No puede ser mayor al Total.",""))</f>
        <v/>
      </c>
      <c r="CO123" s="221">
        <f>IF(AND($C123&gt;0,AH123=""),1,IF(AH123&gt;$C123,1,0))</f>
        <v/>
      </c>
      <c r="CP123" s="221">
        <f>IF(AND($C123&gt;0,AI123=""),1,IF(AI123&gt;$C123,1,0))</f>
        <v/>
      </c>
    </row>
    <row r="124" ht="26.25" customHeight="1" s="8286">
      <c r="A124" s="9614" t="n"/>
      <c r="B124" s="1209" t="inlineStr">
        <is>
          <t>Antecedentes de otras enfermedades cardiovasculares (se excluye IAM y ACV)</t>
        </is>
      </c>
      <c r="C124" s="1485">
        <f>SUM(D124:E124)</f>
        <v/>
      </c>
      <c r="D124" s="2134">
        <f>SUM(F124+H124+J124+L124+N124+P124+R124+T124+V124+X124+Z124+AB124+AD124+AF124)</f>
        <v/>
      </c>
      <c r="E124" s="894">
        <f>SUM(+G124+I124+K124+M124+O124+Q124+S124+U124+W124+Y124+AA124+AC124+AE124+AG124)</f>
        <v/>
      </c>
      <c r="F124" s="1179" t="n"/>
      <c r="G124" s="1180" t="n"/>
      <c r="H124" s="1179" t="n"/>
      <c r="I124" s="1180" t="n"/>
      <c r="J124" s="1179" t="n"/>
      <c r="K124" s="1180" t="n"/>
      <c r="L124" s="1179" t="n"/>
      <c r="M124" s="1180" t="n"/>
      <c r="N124" s="1179" t="n"/>
      <c r="O124" s="1180" t="n"/>
      <c r="P124" s="1179" t="n"/>
      <c r="Q124" s="1180" t="n"/>
      <c r="R124" s="1179" t="n"/>
      <c r="S124" s="1180" t="n"/>
      <c r="T124" s="1179" t="n"/>
      <c r="U124" s="1180" t="n"/>
      <c r="V124" s="1179" t="n"/>
      <c r="W124" s="1180" t="n"/>
      <c r="X124" s="1179" t="n">
        <v>2</v>
      </c>
      <c r="Y124" s="1180" t="n"/>
      <c r="Z124" s="1179" t="n">
        <v>1</v>
      </c>
      <c r="AA124" s="1180" t="n"/>
      <c r="AB124" s="1179" t="n"/>
      <c r="AC124" s="1180" t="n"/>
      <c r="AD124" s="1179" t="n"/>
      <c r="AE124" s="1180" t="n"/>
      <c r="AF124" s="1179" t="n"/>
      <c r="AG124" s="1185" t="n"/>
      <c r="AH124" s="5248" t="n">
        <v>0</v>
      </c>
      <c r="AI124" s="1229" t="n">
        <v>0</v>
      </c>
      <c r="AJ124">
        <f>CA124&amp;CB124</f>
        <v/>
      </c>
      <c r="CA124" s="90">
        <f>IF(AND(C124&gt;0,AH124="")," * No olvide digitar la variable Pueblos originarios. Digite Cero si no tiene.",IF(AH124&gt;C124,"* La variable Pueblos originarios No puede ser mayor al Total.",""))</f>
        <v/>
      </c>
      <c r="CB124" s="90">
        <f>IF(AND(C124&gt;0,AI124="")," * No olvide digitar la variable Migrantes. Digite Cero si no tiene.",IF(AI124&gt;C124,"* La variable Migrantes No puede ser mayor al Total.",""))</f>
        <v/>
      </c>
      <c r="CO124" s="221">
        <f>IF(AND($C124&gt;0,AH124=""),1,IF(AH124&gt;$C124,1,0))</f>
        <v/>
      </c>
      <c r="CP124" s="221">
        <f>IF(AND($C124&gt;0,AI124=""),1,IF(AI124&gt;$C124,1,0))</f>
        <v/>
      </c>
    </row>
    <row r="125" ht="15" customHeight="1" s="8286">
      <c r="A125" s="9614" t="n"/>
      <c r="B125" s="1209" t="inlineStr">
        <is>
          <t>Antecedentes Enf. Cerebrovascular (ACV)</t>
        </is>
      </c>
      <c r="C125" s="1485">
        <f>SUM(D125:E125)</f>
        <v/>
      </c>
      <c r="D125" s="2134">
        <f>SUM(F125+H125+J125+L125+N125+P125+R125+T125+V125+X125+Z125+AB125+AD125+AF125)</f>
        <v/>
      </c>
      <c r="E125" s="894">
        <f>SUM(+G125+I125+K125+M125+O125+Q125+S125+U125+W125+Y125+AA125+AC125+AE125+AG125)</f>
        <v/>
      </c>
      <c r="F125" s="1179" t="n"/>
      <c r="G125" s="1180" t="n"/>
      <c r="H125" s="1179" t="n"/>
      <c r="I125" s="1180" t="n"/>
      <c r="J125" s="1179" t="n"/>
      <c r="K125" s="1180" t="n"/>
      <c r="L125" s="1179" t="n"/>
      <c r="M125" s="1180" t="n"/>
      <c r="N125" s="1179" t="n"/>
      <c r="O125" s="1180" t="n"/>
      <c r="P125" s="1179" t="n"/>
      <c r="Q125" s="1180" t="n"/>
      <c r="R125" s="1179" t="n"/>
      <c r="S125" s="1180" t="n"/>
      <c r="T125" s="1179" t="n">
        <v>1</v>
      </c>
      <c r="U125" s="1180" t="n"/>
      <c r="V125" s="1179" t="n"/>
      <c r="W125" s="1180" t="n"/>
      <c r="X125" s="1179" t="n"/>
      <c r="Y125" s="1180" t="n">
        <v>1</v>
      </c>
      <c r="Z125" s="1179" t="n">
        <v>1</v>
      </c>
      <c r="AA125" s="1180" t="n"/>
      <c r="AB125" s="1179" t="n"/>
      <c r="AC125" s="1180" t="n"/>
      <c r="AD125" s="1179" t="n"/>
      <c r="AE125" s="1180" t="n">
        <v>1</v>
      </c>
      <c r="AF125" s="1179" t="n"/>
      <c r="AG125" s="1185" t="n"/>
      <c r="AH125" s="5248" t="n">
        <v>0</v>
      </c>
      <c r="AI125" s="1229" t="n">
        <v>0</v>
      </c>
      <c r="AJ125">
        <f>CA125&amp;CB125</f>
        <v/>
      </c>
      <c r="CA125" s="90">
        <f>IF(AND(C125&gt;0,AH125="")," * No olvide digitar la variable Pueblos originarios. Digite Cero si no tiene.",IF(AH125&gt;C125,"* La variable Pueblos originarios No puede ser mayor al Total.",""))</f>
        <v/>
      </c>
      <c r="CB125" s="90">
        <f>IF(AND(C125&gt;0,AI125="")," * No olvide digitar la variable Migrantes. Digite Cero si no tiene.",IF(AI125&gt;C125,"* La variable Migrantes No puede ser mayor al Total.",""))</f>
        <v/>
      </c>
      <c r="CO125" s="221">
        <f>IF(AND($C125&gt;0,AH125=""),1,IF(AH125&gt;$C125,1,0))</f>
        <v/>
      </c>
      <c r="CP125" s="221">
        <f>IF(AND($C125&gt;0,AI125=""),1,IF(AI125&gt;$C125,1,0))</f>
        <v/>
      </c>
    </row>
    <row r="126" ht="15" customHeight="1" s="8286">
      <c r="A126" s="9614" t="n"/>
      <c r="B126" s="1361" t="inlineStr">
        <is>
          <t>Enfermedad Renal Crónica</t>
        </is>
      </c>
      <c r="C126" s="1485">
        <f>SUM(D126:E126)</f>
        <v/>
      </c>
      <c r="D126" s="2134">
        <f>SUM(F126+H126+J126+L126+N126+P126+R126+T126+V126+X126+Z126+AB126+AD126+AF126)</f>
        <v/>
      </c>
      <c r="E126" s="894">
        <f>SUM(+G126+I126+K126+M126+O126+Q126+S126+U126+W126+Y126+AA126+AC126+AE126+AG126)</f>
        <v/>
      </c>
      <c r="F126" s="1179" t="n"/>
      <c r="G126" s="1180" t="n"/>
      <c r="H126" s="1179" t="n"/>
      <c r="I126" s="1180" t="n"/>
      <c r="J126" s="1179" t="n"/>
      <c r="K126" s="1180" t="n"/>
      <c r="L126" s="1179" t="n"/>
      <c r="M126" s="1180" t="n"/>
      <c r="N126" s="1179" t="n"/>
      <c r="O126" s="1180" t="n">
        <v>2</v>
      </c>
      <c r="P126" s="1179" t="n"/>
      <c r="Q126" s="1180" t="n"/>
      <c r="R126" s="1179" t="n"/>
      <c r="S126" s="1180" t="n">
        <v>1</v>
      </c>
      <c r="T126" s="1179" t="n">
        <v>2</v>
      </c>
      <c r="U126" s="1180" t="n">
        <v>1</v>
      </c>
      <c r="V126" s="1179" t="n">
        <v>3</v>
      </c>
      <c r="W126" s="1180" t="n">
        <v>3</v>
      </c>
      <c r="X126" s="1179" t="n">
        <v>1</v>
      </c>
      <c r="Y126" s="1180" t="n">
        <v>4</v>
      </c>
      <c r="Z126" s="1179" t="n">
        <v>2</v>
      </c>
      <c r="AA126" s="1180" t="n">
        <v>3</v>
      </c>
      <c r="AB126" s="1179" t="n">
        <v>3</v>
      </c>
      <c r="AC126" s="1180" t="n">
        <v>1</v>
      </c>
      <c r="AD126" s="1179" t="n"/>
      <c r="AE126" s="1180" t="n"/>
      <c r="AF126" s="1179" t="n">
        <v>1</v>
      </c>
      <c r="AG126" s="1185" t="n">
        <v>3</v>
      </c>
      <c r="AH126" s="5248" t="n">
        <v>0</v>
      </c>
      <c r="AI126" s="1229" t="n">
        <v>0</v>
      </c>
      <c r="AJ126">
        <f>CA126&amp;CB126</f>
        <v/>
      </c>
      <c r="CA126" s="90">
        <f>IF(AND(C126&gt;0,AH126="")," * No olvide digitar la variable Pueblos originarios. Digite Cero si no tiene.",IF(AH126&gt;C126,"* La variable Pueblos originarios No puede ser mayor al Total.",""))</f>
        <v/>
      </c>
      <c r="CB126" s="90">
        <f>IF(AND(C126&gt;0,AI126="")," * No olvide digitar la variable Migrantes. Digite Cero si no tiene.",IF(AI126&gt;C126,"* La variable Migrantes No puede ser mayor al Total.",""))</f>
        <v/>
      </c>
      <c r="CO126" s="221">
        <f>IF(AND($C126&gt;0,AH126=""),1,IF(AH126&gt;$C126,1,0))</f>
        <v/>
      </c>
      <c r="CP126" s="221">
        <f>IF(AND($C126&gt;0,AI126=""),1,IF(AI126&gt;$C126,1,0))</f>
        <v/>
      </c>
    </row>
    <row r="127" ht="15" customHeight="1" s="8286">
      <c r="A127" s="9610" t="n"/>
      <c r="B127" s="1117" t="inlineStr">
        <is>
          <t>Tabaquismo ≥ 55 años</t>
        </is>
      </c>
      <c r="C127" s="1383">
        <f>SUM(D127:E127)</f>
        <v/>
      </c>
      <c r="D127" s="2135">
        <f>SUM(V127+X127+Z127+AB127+AD127+AF127)</f>
        <v/>
      </c>
      <c r="E127" s="1382">
        <f>SUM(W127+Y127+AA127+AC127+AE127+AG127)</f>
        <v/>
      </c>
      <c r="F127" s="2136" t="n"/>
      <c r="G127" s="2137" t="n"/>
      <c r="H127" s="2136" t="n"/>
      <c r="I127" s="2137" t="n"/>
      <c r="J127" s="2136" t="n"/>
      <c r="K127" s="2137" t="n"/>
      <c r="L127" s="2136" t="n"/>
      <c r="M127" s="2137" t="n"/>
      <c r="N127" s="2136" t="n"/>
      <c r="O127" s="2137" t="n"/>
      <c r="P127" s="2136" t="n"/>
      <c r="Q127" s="2137" t="n"/>
      <c r="R127" s="2136" t="n"/>
      <c r="S127" s="2137" t="n"/>
      <c r="T127" s="2136" t="n"/>
      <c r="U127" s="2137" t="n"/>
      <c r="V127" s="1188" t="n">
        <v>2</v>
      </c>
      <c r="W127" s="1192" t="n"/>
      <c r="X127" s="1188" t="n">
        <v>1</v>
      </c>
      <c r="Y127" s="1192" t="n">
        <v>5</v>
      </c>
      <c r="Z127" s="1188" t="n">
        <v>1</v>
      </c>
      <c r="AA127" s="1192" t="n"/>
      <c r="AB127" s="1188" t="n"/>
      <c r="AC127" s="1192" t="n">
        <v>1</v>
      </c>
      <c r="AD127" s="1188" t="n"/>
      <c r="AE127" s="1192" t="n"/>
      <c r="AF127" s="1188" t="n"/>
      <c r="AG127" s="1224" t="n">
        <v>1</v>
      </c>
      <c r="AH127" s="5249" t="n">
        <v>0</v>
      </c>
      <c r="AI127" s="1223" t="n">
        <v>0</v>
      </c>
      <c r="AJ127">
        <f>CA127&amp;CB127</f>
        <v/>
      </c>
      <c r="CA127" s="90">
        <f>IF(AND(C127&gt;0,AH127="")," * No olvide digitar la variable Pueblos originarios. Digite Cero si no tiene.",IF(AH127&gt;C127,"* La variable Pueblos originarios No puede ser mayor al Total.",""))</f>
        <v/>
      </c>
      <c r="CB127" s="90">
        <f>IF(AND(C127&gt;0,AI127="")," * No olvide digitar la variable Migrantes. Digite Cero si no tiene.",IF(AI127&gt;C127,"* La variable Migrantes No puede ser mayor al Total.",""))</f>
        <v/>
      </c>
      <c r="CO127" s="221">
        <f>IF(AND($C127&gt;0,AH127=""),1,IF(AH127&gt;$C127,1,0))</f>
        <v/>
      </c>
      <c r="CP127" s="221">
        <f>IF(AND($C127&gt;0,AI127=""),1,IF(AI127&gt;$C127,1,0))</f>
        <v/>
      </c>
    </row>
    <row r="128" ht="15" customHeight="1" s="8286">
      <c r="A128" s="4456" t="inlineStr">
        <is>
          <t>Protocolo HEARTS</t>
        </is>
      </c>
      <c r="B128" s="9647" t="n"/>
      <c r="C128" s="1988">
        <f>SUM(D128:E128)</f>
        <v/>
      </c>
      <c r="D128" s="2046">
        <f>SUM(F128+H128+J128+L128+N128+P128+R128+T128+V128+X128+Z128+AB128+AD128+AF128)</f>
        <v/>
      </c>
      <c r="E128" s="2133">
        <f>SUM(+G128+I128+K128+M128+O128+Q128+S128+U128+W128+Y128+AA128+AC128+AE128+AG128)</f>
        <v/>
      </c>
      <c r="F128" s="2036" t="n"/>
      <c r="G128" s="2039" t="n"/>
      <c r="H128" s="2036" t="n"/>
      <c r="I128" s="2039" t="n"/>
      <c r="J128" s="2036" t="n"/>
      <c r="K128" s="2039" t="n"/>
      <c r="L128" s="2036" t="n"/>
      <c r="M128" s="2039" t="n"/>
      <c r="N128" s="2036" t="n">
        <v>1</v>
      </c>
      <c r="O128" s="2039" t="n">
        <v>1</v>
      </c>
      <c r="P128" s="2036" t="n"/>
      <c r="Q128" s="2039" t="n"/>
      <c r="R128" s="2036" t="n"/>
      <c r="S128" s="2039" t="n"/>
      <c r="T128" s="2036" t="n">
        <v>2</v>
      </c>
      <c r="U128" s="2039" t="n"/>
      <c r="V128" s="2036" t="n">
        <v>4</v>
      </c>
      <c r="W128" s="2039" t="n">
        <v>2</v>
      </c>
      <c r="X128" s="2036" t="n">
        <v>2</v>
      </c>
      <c r="Y128" s="2039" t="n">
        <v>3</v>
      </c>
      <c r="Z128" s="2036" t="n">
        <v>2</v>
      </c>
      <c r="AA128" s="2039" t="n">
        <v>2</v>
      </c>
      <c r="AB128" s="2036" t="n">
        <v>1</v>
      </c>
      <c r="AC128" s="2039" t="n">
        <v>1</v>
      </c>
      <c r="AD128" s="2036" t="n"/>
      <c r="AE128" s="2039" t="n"/>
      <c r="AF128" s="2036" t="n"/>
      <c r="AG128" s="2037" t="n">
        <v>1</v>
      </c>
      <c r="AH128" s="5361" t="n">
        <v>0</v>
      </c>
      <c r="AI128" s="5207" t="n">
        <v>0</v>
      </c>
      <c r="AJ128">
        <f>CA128&amp;CB128</f>
        <v/>
      </c>
      <c r="CA128" s="90">
        <f>IF(AND(C128&gt;0,AH128="")," * No olvide digitar la variable Pueblos originarios. Digite Cero si no tiene.",IF(AH128&gt;C128,"* La variable Pueblos originarios No puede ser mayor al Total.",""))</f>
        <v/>
      </c>
      <c r="CB128" s="90">
        <f>IF(AND(C128&gt;0,AI128="")," * No olvide digitar la variable Migrantes. Digite Cero si no tiene.",IF(AI128&gt;C128,"* La variable Migrantes No puede ser mayor al Total.",""))</f>
        <v/>
      </c>
      <c r="CO128" s="221">
        <f>IF(AND($C128&gt;0,AH128=""),1,IF(AH128&gt;$C128,1,0))</f>
        <v/>
      </c>
      <c r="CP128" s="221">
        <f>IF(AND($C128&gt;0,AI128=""),1,IF(AI128&gt;$C128,1,0))</f>
        <v/>
      </c>
    </row>
    <row r="129" ht="18" customFormat="1" customHeight="1" s="5">
      <c r="A129" s="646" t="inlineStr">
        <is>
          <t>SECCIÓN I: EGRESOS  DEL PROGAMA DE SALUD CARDIOVASCULAR (PSCV)</t>
        </is>
      </c>
      <c r="B129" s="646" t="n"/>
      <c r="C129" s="3" t="n"/>
      <c r="D129" s="3" t="n"/>
      <c r="E129" s="3" t="n"/>
      <c r="F129" s="3" t="n"/>
      <c r="G129" s="3" t="n"/>
      <c r="H129" s="3" t="n"/>
      <c r="I129" s="3" t="n"/>
      <c r="J129" s="3" t="n"/>
      <c r="K129" s="3" t="n"/>
      <c r="L129" s="3" t="n"/>
      <c r="M129" s="3" t="n"/>
      <c r="N129" s="3" t="n"/>
      <c r="O129" s="3" t="n"/>
      <c r="P129" s="3" t="n"/>
      <c r="Q129" s="3" t="n"/>
      <c r="R129" s="3" t="n"/>
      <c r="S129" s="3" t="n"/>
      <c r="T129" s="3" t="n"/>
      <c r="U129" s="3" t="n"/>
      <c r="V129" s="3" t="n"/>
      <c r="W129" s="3" t="n"/>
      <c r="X129" s="3" t="n"/>
      <c r="Y129" s="3" t="n"/>
      <c r="Z129" s="3" t="n"/>
      <c r="AA129" s="3" t="n"/>
      <c r="AB129" s="3" t="n"/>
      <c r="AC129" s="3" t="n"/>
      <c r="AD129" s="3" t="n"/>
      <c r="AE129" s="3" t="n"/>
      <c r="AF129" s="3" t="n"/>
      <c r="AG129" s="3" t="n"/>
      <c r="AH129" s="3" t="n"/>
      <c r="AI129" s="3" t="n"/>
      <c r="AJ129" s="3" t="n"/>
      <c r="AK129" s="3" t="n"/>
      <c r="AL129" s="2138" t="n"/>
      <c r="AM129" s="2138" t="n"/>
    </row>
    <row r="130">
      <c r="A130" s="9939" t="inlineStr">
        <is>
          <t>CONCEPTO</t>
        </is>
      </c>
      <c r="B130" s="9630" t="n"/>
      <c r="C130" s="7674" t="inlineStr">
        <is>
          <t>TOTAL</t>
        </is>
      </c>
      <c r="D130" s="9602" t="n"/>
      <c r="E130" s="9603" t="n"/>
      <c r="F130" s="9976" t="inlineStr">
        <is>
          <t>RANGO ETARIO Y SEXO</t>
        </is>
      </c>
      <c r="G130" s="9584" t="n"/>
      <c r="H130" s="9584" t="n"/>
      <c r="I130" s="9584" t="n"/>
      <c r="J130" s="9584" t="n"/>
      <c r="K130" s="9584" t="n"/>
      <c r="L130" s="9584" t="n"/>
      <c r="M130" s="9584" t="n"/>
      <c r="N130" s="9584" t="n"/>
      <c r="O130" s="9584" t="n"/>
      <c r="P130" s="9584" t="n"/>
      <c r="Q130" s="9584" t="n"/>
      <c r="R130" s="9584" t="n"/>
      <c r="S130" s="9584" t="n"/>
      <c r="T130" s="9584" t="n"/>
      <c r="U130" s="9584" t="n"/>
      <c r="V130" s="9584" t="n"/>
      <c r="W130" s="9584" t="n"/>
      <c r="X130" s="9584" t="n"/>
      <c r="Y130" s="9584" t="n"/>
      <c r="Z130" s="9584" t="n"/>
      <c r="AA130" s="9584" t="n"/>
      <c r="AB130" s="9584" t="n"/>
      <c r="AC130" s="9584" t="n"/>
      <c r="AD130" s="9584" t="n"/>
      <c r="AE130" s="9584" t="n"/>
      <c r="AF130" s="9584" t="n"/>
      <c r="AG130" s="9595" t="n"/>
      <c r="AH130" s="9979" t="inlineStr">
        <is>
          <t>CAUSAL DE EGRESO</t>
        </is>
      </c>
      <c r="AI130" s="9617" t="n"/>
      <c r="AJ130" s="9617" t="n"/>
      <c r="AK130" s="9597" t="n"/>
      <c r="AL130" s="9916" t="inlineStr">
        <is>
          <t>Pueblos Originarios</t>
        </is>
      </c>
      <c r="AM130" s="8400" t="inlineStr">
        <is>
          <t>Migrantes</t>
        </is>
      </c>
    </row>
    <row r="131">
      <c r="A131" s="642" t="n"/>
      <c r="B131" s="9718" t="n"/>
      <c r="C131" s="642" t="n"/>
      <c r="E131" s="9625" t="n"/>
      <c r="F131" s="4505" t="inlineStr">
        <is>
          <t>15 - 19 años</t>
        </is>
      </c>
      <c r="G131" s="9647" t="n"/>
      <c r="H131" s="4505" t="inlineStr">
        <is>
          <t>20 - 24 años</t>
        </is>
      </c>
      <c r="I131" s="9647" t="n"/>
      <c r="J131" s="4505" t="inlineStr">
        <is>
          <t>25 - 29 años</t>
        </is>
      </c>
      <c r="K131" s="9647" t="n"/>
      <c r="L131" s="4505" t="inlineStr">
        <is>
          <t>30 - 34 años</t>
        </is>
      </c>
      <c r="M131" s="9647" t="n"/>
      <c r="N131" s="4505" t="inlineStr">
        <is>
          <t>35 - 39 años</t>
        </is>
      </c>
      <c r="O131" s="9647" t="n"/>
      <c r="P131" s="4505" t="inlineStr">
        <is>
          <t>40 - 44 años</t>
        </is>
      </c>
      <c r="Q131" s="9647" t="n"/>
      <c r="R131" s="4505" t="inlineStr">
        <is>
          <t>45 - 49 años</t>
        </is>
      </c>
      <c r="S131" s="9647" t="n"/>
      <c r="T131" s="4505" t="inlineStr">
        <is>
          <t>50 - 54 años</t>
        </is>
      </c>
      <c r="U131" s="9647" t="n"/>
      <c r="V131" s="4505" t="inlineStr">
        <is>
          <t>55 - 59 años</t>
        </is>
      </c>
      <c r="W131" s="9647" t="n"/>
      <c r="X131" s="4505" t="inlineStr">
        <is>
          <t>60 - 64 años</t>
        </is>
      </c>
      <c r="Y131" s="9647" t="n"/>
      <c r="Z131" s="8400" t="inlineStr">
        <is>
          <t>65 - 69 años</t>
        </is>
      </c>
      <c r="AA131" s="9582" t="n"/>
      <c r="AB131" s="8400" t="inlineStr">
        <is>
          <t>70 - 74 años</t>
        </is>
      </c>
      <c r="AC131" s="9582" t="n"/>
      <c r="AD131" s="8400" t="inlineStr">
        <is>
          <t>75 - 79 años</t>
        </is>
      </c>
      <c r="AE131" s="9582" t="n"/>
      <c r="AF131" s="9976" t="inlineStr">
        <is>
          <t>80 y más años</t>
        </is>
      </c>
      <c r="AG131" s="9595" t="n"/>
      <c r="AH131" s="9980" t="inlineStr">
        <is>
          <t>Abandono</t>
        </is>
      </c>
      <c r="AI131" s="9981" t="inlineStr">
        <is>
          <t>Traslado</t>
        </is>
      </c>
      <c r="AJ131" s="9981" t="inlineStr">
        <is>
          <t>Fallecimiento</t>
        </is>
      </c>
      <c r="AK131" s="9982" t="inlineStr">
        <is>
          <t>No cumple criterio de inclusión</t>
        </is>
      </c>
      <c r="AL131" s="9978" t="n"/>
      <c r="AM131" s="9614" t="n"/>
    </row>
    <row r="132" ht="18.75" customHeight="1" s="8286">
      <c r="A132" s="9638" t="n"/>
      <c r="B132" s="9639" t="n"/>
      <c r="C132" s="7932" t="inlineStr">
        <is>
          <t>Ambos Sexos</t>
        </is>
      </c>
      <c r="D132" s="2110" t="inlineStr">
        <is>
          <t>Hombres</t>
        </is>
      </c>
      <c r="E132" s="7686" t="inlineStr">
        <is>
          <t>Mujeres</t>
        </is>
      </c>
      <c r="F132" s="7691" t="inlineStr">
        <is>
          <t>Hombres</t>
        </is>
      </c>
      <c r="G132" s="7694" t="inlineStr">
        <is>
          <t>Mujeres</t>
        </is>
      </c>
      <c r="H132" s="7691" t="inlineStr">
        <is>
          <t>Hombres</t>
        </is>
      </c>
      <c r="I132" s="7694" t="inlineStr">
        <is>
          <t>Mujeres</t>
        </is>
      </c>
      <c r="J132" s="7691" t="inlineStr">
        <is>
          <t>Hombres</t>
        </is>
      </c>
      <c r="K132" s="7694" t="inlineStr">
        <is>
          <t>Mujeres</t>
        </is>
      </c>
      <c r="L132" s="7691" t="inlineStr">
        <is>
          <t>Hombres</t>
        </is>
      </c>
      <c r="M132" s="7694" t="inlineStr">
        <is>
          <t>Mujeres</t>
        </is>
      </c>
      <c r="N132" s="7691" t="inlineStr">
        <is>
          <t>Hombres</t>
        </is>
      </c>
      <c r="O132" s="7694" t="inlineStr">
        <is>
          <t>Mujeres</t>
        </is>
      </c>
      <c r="P132" s="7691" t="inlineStr">
        <is>
          <t>Hombres</t>
        </is>
      </c>
      <c r="Q132" s="7694" t="inlineStr">
        <is>
          <t>Mujeres</t>
        </is>
      </c>
      <c r="R132" s="7691" t="inlineStr">
        <is>
          <t>Hombres</t>
        </is>
      </c>
      <c r="S132" s="7694" t="inlineStr">
        <is>
          <t>Mujeres</t>
        </is>
      </c>
      <c r="T132" s="7691" t="inlineStr">
        <is>
          <t>Hombres</t>
        </is>
      </c>
      <c r="U132" s="7694" t="inlineStr">
        <is>
          <t>Mujeres</t>
        </is>
      </c>
      <c r="V132" s="7691" t="inlineStr">
        <is>
          <t>Hombres</t>
        </is>
      </c>
      <c r="W132" s="7694" t="inlineStr">
        <is>
          <t>Mujeres</t>
        </is>
      </c>
      <c r="X132" s="7691" t="inlineStr">
        <is>
          <t>Hombres</t>
        </is>
      </c>
      <c r="Y132" s="7694" t="inlineStr">
        <is>
          <t>Mujeres</t>
        </is>
      </c>
      <c r="Z132" s="7691" t="inlineStr">
        <is>
          <t>Hombres</t>
        </is>
      </c>
      <c r="AA132" s="7694" t="inlineStr">
        <is>
          <t>Mujeres</t>
        </is>
      </c>
      <c r="AB132" s="7691" t="inlineStr">
        <is>
          <t>Hombres</t>
        </is>
      </c>
      <c r="AC132" s="7694" t="inlineStr">
        <is>
          <t>Mujeres</t>
        </is>
      </c>
      <c r="AD132" s="7691" t="inlineStr">
        <is>
          <t>Hombres</t>
        </is>
      </c>
      <c r="AE132" s="7694" t="inlineStr">
        <is>
          <t>Mujeres</t>
        </is>
      </c>
      <c r="AF132" s="7691" t="inlineStr">
        <is>
          <t>Hombres</t>
        </is>
      </c>
      <c r="AG132" s="7689" t="inlineStr">
        <is>
          <t>Mujeres</t>
        </is>
      </c>
      <c r="AH132" s="9604" t="n"/>
      <c r="AI132" s="9912" t="n"/>
      <c r="AJ132" s="9912" t="n"/>
      <c r="AK132" s="9865" t="n"/>
      <c r="AL132" s="9890" t="n"/>
      <c r="AM132" s="9610" t="n"/>
    </row>
    <row r="133">
      <c r="A133" s="5262" t="inlineStr">
        <is>
          <t>Egresos del PSCV</t>
        </is>
      </c>
      <c r="B133" s="9582" t="n"/>
      <c r="C133" s="1988">
        <f>SUM(D133:E133)</f>
        <v/>
      </c>
      <c r="D133" s="2046">
        <f>SUM(F133+H133+J133+L133+N133+P133+R133+T133+V133+X133+Z133+AB133+AD133+AF133)</f>
        <v/>
      </c>
      <c r="E133" s="2133">
        <f>SUM(G133+I133+K133+M133+O133+Q133+S133+U133+W133+Y133+AA133+AC133+AE133+AG133)</f>
        <v/>
      </c>
      <c r="F133" s="2022" t="n"/>
      <c r="G133" s="2029" t="n"/>
      <c r="H133" s="2022" t="n"/>
      <c r="I133" s="2029" t="n"/>
      <c r="J133" s="2022" t="n"/>
      <c r="K133" s="2029" t="n"/>
      <c r="L133" s="2022" t="n"/>
      <c r="M133" s="2029" t="n"/>
      <c r="N133" s="2022" t="n"/>
      <c r="O133" s="2029" t="n"/>
      <c r="P133" s="2022" t="n">
        <v>1</v>
      </c>
      <c r="Q133" s="2029" t="n"/>
      <c r="R133" s="2022" t="n"/>
      <c r="S133" s="2029" t="n"/>
      <c r="T133" s="2022" t="n"/>
      <c r="U133" s="2029" t="n"/>
      <c r="V133" s="2022" t="n"/>
      <c r="W133" s="2029" t="n">
        <v>1</v>
      </c>
      <c r="X133" s="2022" t="n">
        <v>2</v>
      </c>
      <c r="Y133" s="2029" t="n">
        <v>1</v>
      </c>
      <c r="Z133" s="2022" t="n">
        <v>1</v>
      </c>
      <c r="AA133" s="2029" t="n">
        <v>2</v>
      </c>
      <c r="AB133" s="2022" t="n">
        <v>1</v>
      </c>
      <c r="AC133" s="2029" t="n"/>
      <c r="AD133" s="2022" t="n"/>
      <c r="AE133" s="2029" t="n">
        <v>1</v>
      </c>
      <c r="AF133" s="2022" t="n">
        <v>4</v>
      </c>
      <c r="AG133" s="1983" t="n">
        <v>2</v>
      </c>
      <c r="AH133" s="2025" t="n"/>
      <c r="AI133" s="835" t="n"/>
      <c r="AJ133" s="835" t="n">
        <v>16</v>
      </c>
      <c r="AK133" s="1983" t="n"/>
      <c r="AL133" s="5213" t="n">
        <v>0</v>
      </c>
      <c r="AM133" s="5189" t="n">
        <v>0</v>
      </c>
      <c r="AN133">
        <f>CB133&amp;CC133&amp;CA133</f>
        <v/>
      </c>
      <c r="CA133" s="260">
        <f>IF(OR(AH133+AI133+AJ133+AK133&gt;C133,)," ** La suma de Causal de Egresos no deben ser mayor que el Total Ambos Sexos","")</f>
        <v/>
      </c>
      <c r="CB133" s="90">
        <f>IF(AND($C133&gt;0,AL133=""),"  * No olvide digitar la variable Pueblos originarios. Digite Cero si no tiene.",IF(AL133&gt;$C133,"  * La variable Pueblos originarios No puede ser mayor al Total.",""))</f>
        <v/>
      </c>
      <c r="CC133" s="90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/>
      </c>
      <c r="CP133" s="221">
        <f>IF(AND($C133&gt;0,AL133=""),1,IF(AL133&gt;$C133,1,0))</f>
        <v/>
      </c>
      <c r="CQ133" s="221">
        <f>IF(AND($C133&gt;0,AM133=""),1,IF(AM133&gt;$C133,1,0))</f>
        <v/>
      </c>
    </row>
    <row r="134">
      <c r="A134" s="9933" t="inlineStr">
        <is>
          <t>Programa de Salud Cardiovascular</t>
        </is>
      </c>
      <c r="B134" s="7748" t="inlineStr">
        <is>
          <t>Hipertensión Arterial</t>
        </is>
      </c>
      <c r="C134" s="1978">
        <f>SUM(D134:E134)</f>
        <v/>
      </c>
      <c r="D134" s="796">
        <f>SUM(F134+H134+J134+L134+N134+P134+R134+T134+V134+X134+Z134+AB134+AD134+AF134)</f>
        <v/>
      </c>
      <c r="E134" s="752">
        <f>SUM(G134+I134+K134+M134+O134+Q134+S134+U134+W134+Y134+AA134+AC134+AE134+AG134)</f>
        <v/>
      </c>
      <c r="F134" s="2022" t="n"/>
      <c r="G134" s="2029" t="n"/>
      <c r="H134" s="2022" t="n"/>
      <c r="I134" s="2029" t="n"/>
      <c r="J134" s="2022" t="n"/>
      <c r="K134" s="2029" t="n"/>
      <c r="L134" s="2022" t="n"/>
      <c r="M134" s="2029" t="n"/>
      <c r="N134" s="2022" t="n"/>
      <c r="O134" s="2029" t="n"/>
      <c r="P134" s="2022" t="n">
        <v>1</v>
      </c>
      <c r="Q134" s="2029" t="n"/>
      <c r="R134" s="2022" t="n"/>
      <c r="S134" s="2029" t="n"/>
      <c r="T134" s="2022" t="n"/>
      <c r="U134" s="2029" t="n"/>
      <c r="V134" s="2022" t="n"/>
      <c r="W134" s="2029" t="n">
        <v>1</v>
      </c>
      <c r="X134" s="2022" t="n">
        <v>1</v>
      </c>
      <c r="Y134" s="2029" t="n">
        <v>1</v>
      </c>
      <c r="Z134" s="2022" t="n">
        <v>1</v>
      </c>
      <c r="AA134" s="2029" t="n">
        <v>2</v>
      </c>
      <c r="AB134" s="2022" t="n">
        <v>1</v>
      </c>
      <c r="AC134" s="2029" t="n"/>
      <c r="AD134" s="2022" t="n"/>
      <c r="AE134" s="2029" t="n">
        <v>1</v>
      </c>
      <c r="AF134" s="2022" t="n">
        <v>4</v>
      </c>
      <c r="AG134" s="1983" t="n">
        <v>2</v>
      </c>
      <c r="AH134" s="2025" t="n"/>
      <c r="AI134" s="835" t="n"/>
      <c r="AJ134" s="835" t="n">
        <v>15</v>
      </c>
      <c r="AK134" s="1983" t="n"/>
      <c r="AL134" s="5213" t="n">
        <v>0</v>
      </c>
      <c r="AM134" s="5189" t="n">
        <v>0</v>
      </c>
      <c r="AN134">
        <f>CB134&amp;CC134&amp;CA134</f>
        <v/>
      </c>
      <c r="CA134" s="260">
        <f>IF(OR(AH134+AI134+AJ134+AK134&gt;C134,)," ** La suma de Causal de Egresos no deben ser mayor que el Total Ambos Sexos","")</f>
        <v/>
      </c>
      <c r="CB134" s="90">
        <f>IF(AND($C134&gt;0,AL134=""),"  * No olvide digitar la variable Pueblos originarios. Digite Cero si no tiene.",IF(AL134&gt;$C134,"  * La variable Pueblos originarios No puede ser mayor al Total.",""))</f>
        <v/>
      </c>
      <c r="CC134" s="90">
        <f>IF(AND($C134&gt;0,AM134="")," * No olvide digitar la variable Migrantes. Digite Cero si no tiene.",IF(AM134&gt;$C134," * La variable Migrantes No puede ser mayor al Total.",""))</f>
        <v/>
      </c>
      <c r="CO134" s="221">
        <f>IF((AH134+AI134+AJ134+AK134)&gt;$C134,1,0)</f>
        <v/>
      </c>
      <c r="CP134" s="221">
        <f>IF(AND($C134&gt;0,AL134=""),1,IF(AL134&gt;$C134,1,0))</f>
        <v/>
      </c>
      <c r="CQ134" s="221">
        <f>IF(AND($C134&gt;0,AM134=""),1,IF(AM134&gt;$C134,1,0))</f>
        <v/>
      </c>
    </row>
    <row r="135">
      <c r="A135" s="9614" t="n"/>
      <c r="B135" s="1121" t="inlineStr">
        <is>
          <t>Diabetes Mellitus</t>
        </is>
      </c>
      <c r="C135" s="1485">
        <f>SUM(D135:E135)</f>
        <v/>
      </c>
      <c r="D135" s="2134">
        <f>SUM(F135+H135+J135+L135+N135+P135+R135+T135+V135+X135+Z135+AB135+AD135+AF135)</f>
        <v/>
      </c>
      <c r="E135" s="894">
        <f>SUM(G135+I135+K135+M135+O135+Q135+S135+U135+W135+Y135+AA135+AC135+AE135+AG135)</f>
        <v/>
      </c>
      <c r="F135" s="1172" t="n"/>
      <c r="G135" s="1173" t="n"/>
      <c r="H135" s="1172" t="n"/>
      <c r="I135" s="1173" t="n"/>
      <c r="J135" s="1172" t="n"/>
      <c r="K135" s="1173" t="n"/>
      <c r="L135" s="1172" t="n"/>
      <c r="M135" s="1173" t="n"/>
      <c r="N135" s="1172" t="n"/>
      <c r="O135" s="1173" t="n"/>
      <c r="P135" s="1172" t="n">
        <v>1</v>
      </c>
      <c r="Q135" s="1173" t="n"/>
      <c r="R135" s="1172" t="n"/>
      <c r="S135" s="1173" t="n"/>
      <c r="T135" s="1172" t="n"/>
      <c r="U135" s="1173" t="n"/>
      <c r="V135" s="1172" t="n"/>
      <c r="W135" s="1173" t="n">
        <v>1</v>
      </c>
      <c r="X135" s="1172" t="n">
        <v>2</v>
      </c>
      <c r="Y135" s="1173" t="n"/>
      <c r="Z135" s="1172" t="n">
        <v>1</v>
      </c>
      <c r="AA135" s="1173" t="n">
        <v>1</v>
      </c>
      <c r="AB135" s="1172" t="n">
        <v>1</v>
      </c>
      <c r="AC135" s="1173" t="n"/>
      <c r="AD135" s="1172" t="n"/>
      <c r="AE135" s="1173" t="n">
        <v>1</v>
      </c>
      <c r="AF135" s="1172" t="n">
        <v>3</v>
      </c>
      <c r="AG135" s="1221" t="n"/>
      <c r="AH135" s="887" t="n"/>
      <c r="AI135" s="2001" t="n"/>
      <c r="AJ135" s="2001" t="n">
        <v>11</v>
      </c>
      <c r="AK135" s="1221" t="n"/>
      <c r="AL135" s="5215" t="n">
        <v>0</v>
      </c>
      <c r="AM135" s="3892" t="n">
        <v>0</v>
      </c>
      <c r="AN135">
        <f>CB135&amp;CC135&amp;CA135</f>
        <v/>
      </c>
      <c r="CA135" s="260">
        <f>IF(OR(AH135+AI135+AJ135+AK135&gt;C135,)," ** La suma de Causal de Egresos no deben ser mayor que el Total Ambos Sexos","")</f>
        <v/>
      </c>
      <c r="CB135" s="90">
        <f>IF(AND($C135&gt;0,AL135=""),"  * No olvide digitar la variable Pueblos originarios. Digite Cero si no tiene.",IF(AL135&gt;$C135,"  * La variable Pueblos originarios No puede ser mayor al Total.",""))</f>
        <v/>
      </c>
      <c r="CC135" s="90">
        <f>IF(AND($C135&gt;0,AM135="")," * No olvide digitar la variable Migrantes. Digite Cero si no tiene.",IF(AM135&gt;$C135," * La variable Migrantes No puede ser mayor al Total.",""))</f>
        <v/>
      </c>
      <c r="CO135" s="221">
        <f>IF((AH135+AI135+AJ135+AK135)&gt;$C135,1,0)</f>
        <v/>
      </c>
      <c r="CP135" s="221">
        <f>IF(AND($C135&gt;0,AL135=""),1,IF(AL135&gt;$C135,1,0))</f>
        <v/>
      </c>
      <c r="CQ135" s="221">
        <f>IF(AND($C135&gt;0,AM135=""),1,IF(AM135&gt;$C135,1,0))</f>
        <v/>
      </c>
    </row>
    <row r="136">
      <c r="A136" s="9614" t="n"/>
      <c r="B136" s="1121" t="inlineStr">
        <is>
          <t>Dislipidemia</t>
        </is>
      </c>
      <c r="C136" s="1485">
        <f>SUM(D136:E136)</f>
        <v/>
      </c>
      <c r="D136" s="2134">
        <f>SUM(F136+H136+J136+L136+N136+P136+R136+T136+V136+X136+Z136+AB136+AD136+AF136)</f>
        <v/>
      </c>
      <c r="E136" s="894">
        <f>SUM(G136+I136+K136+M136+O136+Q136+S136+U136+W136+Y136+AA136+AC136+AE136+AG136)</f>
        <v/>
      </c>
      <c r="F136" s="1172" t="n"/>
      <c r="G136" s="1173" t="n"/>
      <c r="H136" s="1172" t="n"/>
      <c r="I136" s="1173" t="n"/>
      <c r="J136" s="1172" t="n"/>
      <c r="K136" s="1173" t="n"/>
      <c r="L136" s="1172" t="n"/>
      <c r="M136" s="1173" t="n"/>
      <c r="N136" s="1172" t="n"/>
      <c r="O136" s="1173" t="n"/>
      <c r="P136" s="1172" t="n"/>
      <c r="Q136" s="1173" t="n"/>
      <c r="R136" s="1172" t="n"/>
      <c r="S136" s="1173" t="n"/>
      <c r="T136" s="1172" t="n"/>
      <c r="U136" s="1173" t="n"/>
      <c r="V136" s="1172" t="n"/>
      <c r="W136" s="1173" t="n"/>
      <c r="X136" s="1172" t="n">
        <v>1</v>
      </c>
      <c r="Y136" s="1173" t="n"/>
      <c r="Z136" s="1172" t="n"/>
      <c r="AA136" s="1173" t="n"/>
      <c r="AB136" s="1172" t="n">
        <v>1</v>
      </c>
      <c r="AC136" s="1173" t="n"/>
      <c r="AD136" s="1172" t="n"/>
      <c r="AE136" s="1173" t="n">
        <v>1</v>
      </c>
      <c r="AF136" s="1172" t="n">
        <v>1</v>
      </c>
      <c r="AG136" s="1221" t="n"/>
      <c r="AH136" s="887" t="n"/>
      <c r="AI136" s="2001" t="n"/>
      <c r="AJ136" s="2001" t="n">
        <v>4</v>
      </c>
      <c r="AK136" s="1221" t="n"/>
      <c r="AL136" s="5215" t="n">
        <v>0</v>
      </c>
      <c r="AM136" s="3892" t="n">
        <v>0</v>
      </c>
      <c r="AN136">
        <f>CB136&amp;CC136&amp;CA136</f>
        <v/>
      </c>
      <c r="CA136" s="260">
        <f>IF(OR(AH136+AI136+AJ136+AK136&gt;C136,)," ** La suma de Causal de Egresos no deben ser mayor que el Total Ambos Sexos","")</f>
        <v/>
      </c>
      <c r="CB136" s="90">
        <f>IF(AND($C136&gt;0,AL136=""),"  * No olvide digitar la variable Pueblos originarios. Digite Cero si no tiene.",IF(AL136&gt;$C136,"  * La variable Pueblos originarios No puede ser mayor al Total.",""))</f>
        <v/>
      </c>
      <c r="CC136" s="90">
        <f>IF(AND($C136&gt;0,AM136="")," * No olvide digitar la variable Migrantes. Digite Cero si no tiene.",IF(AM136&gt;$C136," * La variable Migrantes No puede ser mayor al Total.",""))</f>
        <v/>
      </c>
      <c r="CO136" s="221">
        <f>IF((AH136+AI136+AJ136+AK136)&gt;$C136,1,0)</f>
        <v/>
      </c>
      <c r="CP136" s="221">
        <f>IF(AND($C136&gt;0,AL136=""),1,IF(AL136&gt;$C136,1,0))</f>
        <v/>
      </c>
      <c r="CQ136" s="221">
        <f>IF(AND($C136&gt;0,AM136=""),1,IF(AM136&gt;$C136,1,0))</f>
        <v/>
      </c>
    </row>
    <row r="137" ht="22.5" customHeight="1" s="8286">
      <c r="A137" s="9614" t="n"/>
      <c r="B137" s="1209" t="inlineStr">
        <is>
          <t>Antecedentes Infarto Agudo al Miocardio (IAM)</t>
        </is>
      </c>
      <c r="C137" s="1485">
        <f>SUM(D137:E137)</f>
        <v/>
      </c>
      <c r="D137" s="2134">
        <f>SUM(F137+H137+J137+L137+N137+P137+R137+T137+V137+X137+Z137+AB137+AD137+AF137)</f>
        <v/>
      </c>
      <c r="E137" s="894">
        <f>SUM(G137+I137+K137+M137+O137+Q137+S137+U137+W137+Y137+AA137+AC137+AE137+AG137)</f>
        <v/>
      </c>
      <c r="F137" s="1172" t="n"/>
      <c r="G137" s="1173" t="n"/>
      <c r="H137" s="1172" t="n"/>
      <c r="I137" s="1173" t="n"/>
      <c r="J137" s="1172" t="n"/>
      <c r="K137" s="1173" t="n"/>
      <c r="L137" s="1172" t="n"/>
      <c r="M137" s="1173" t="n"/>
      <c r="N137" s="1172" t="n"/>
      <c r="O137" s="1173" t="n"/>
      <c r="P137" s="1172" t="n"/>
      <c r="Q137" s="1173" t="n"/>
      <c r="R137" s="1172" t="n"/>
      <c r="S137" s="1173" t="n"/>
      <c r="T137" s="1172" t="n"/>
      <c r="U137" s="1173" t="n"/>
      <c r="V137" s="1172" t="n"/>
      <c r="W137" s="1173" t="n"/>
      <c r="X137" s="1172" t="n"/>
      <c r="Y137" s="1173" t="n"/>
      <c r="Z137" s="1172" t="n"/>
      <c r="AA137" s="1173" t="n"/>
      <c r="AB137" s="1172" t="n"/>
      <c r="AC137" s="1173" t="n"/>
      <c r="AD137" s="1172" t="n"/>
      <c r="AE137" s="1173" t="n"/>
      <c r="AF137" s="1172" t="n"/>
      <c r="AG137" s="1221" t="n"/>
      <c r="AH137" s="887" t="n"/>
      <c r="AI137" s="2001" t="n"/>
      <c r="AJ137" s="2001" t="n"/>
      <c r="AK137" s="1221" t="n"/>
      <c r="AL137" s="5215" t="n"/>
      <c r="AM137" s="3892" t="n"/>
      <c r="AN137">
        <f>CB137&amp;CC137&amp;CA137</f>
        <v/>
      </c>
      <c r="CA137" s="260">
        <f>IF(OR(AH137+AI137+AJ137+AK137&gt;C137,)," ** La suma de Causal de Egresos no deben ser mayor que el Total Ambos Sexos","")</f>
        <v/>
      </c>
      <c r="CB137" s="90">
        <f>IF(AND($C137&gt;0,AL137=""),"  * No olvide digitar la variable Pueblos originarios. Digite Cero si no tiene.",IF(AL137&gt;$C137,"  * La variable Pueblos originarios No puede ser mayor al Total.",""))</f>
        <v/>
      </c>
      <c r="CC137" s="90">
        <f>IF(AND($C137&gt;0,AM137="")," * No olvide digitar la variable Migrantes. Digite Cero si no tiene.",IF(AM137&gt;$C137," * La variable Migrantes No puede ser mayor al Total.",""))</f>
        <v/>
      </c>
      <c r="CO137" s="221">
        <f>IF((AH137+AI137+AJ137+AK137)&gt;$C137,1,0)</f>
        <v/>
      </c>
      <c r="CP137" s="221">
        <f>IF(AND($C137&gt;0,AL137=""),1,IF(AL137&gt;$C137,1,0))</f>
        <v/>
      </c>
      <c r="CQ137" s="221">
        <f>IF(AND($C137&gt;0,AM137=""),1,IF(AM137&gt;$C137,1,0))</f>
        <v/>
      </c>
    </row>
    <row r="138" ht="24.6" customHeight="1" s="8286">
      <c r="A138" s="9614" t="n"/>
      <c r="B138" s="1209" t="inlineStr">
        <is>
          <t>Antecedentes de otras enfermedades cardiovasculares (se excluye IAM y ACV)</t>
        </is>
      </c>
      <c r="C138" s="1485">
        <f>SUM(D138:E138)</f>
        <v/>
      </c>
      <c r="D138" s="2134">
        <f>SUM(F138+H138+J138+L138+N138+P138+R138+T138+V138+X138+Z138+AB138+AD138+AF138)</f>
        <v/>
      </c>
      <c r="E138" s="894">
        <f>SUM(G138+I138+K138+M138+O138+Q138+S138+U138+W138+Y138+AA138+AC138+AE138+AG138)</f>
        <v/>
      </c>
      <c r="F138" s="1179" t="n"/>
      <c r="G138" s="1180" t="n"/>
      <c r="H138" s="1179" t="n"/>
      <c r="I138" s="1180" t="n"/>
      <c r="J138" s="1179" t="n"/>
      <c r="K138" s="1180" t="n"/>
      <c r="L138" s="1179" t="n"/>
      <c r="M138" s="1180" t="n"/>
      <c r="N138" s="1179" t="n"/>
      <c r="O138" s="1180" t="n"/>
      <c r="P138" s="1179" t="n"/>
      <c r="Q138" s="1180" t="n"/>
      <c r="R138" s="1179" t="n"/>
      <c r="S138" s="1180" t="n"/>
      <c r="T138" s="1179" t="n"/>
      <c r="U138" s="1180" t="n"/>
      <c r="V138" s="1179" t="n"/>
      <c r="W138" s="1180" t="n"/>
      <c r="X138" s="1179" t="n"/>
      <c r="Y138" s="1180" t="n"/>
      <c r="Z138" s="1179" t="n"/>
      <c r="AA138" s="1180" t="n"/>
      <c r="AB138" s="1179" t="n"/>
      <c r="AC138" s="1180" t="n"/>
      <c r="AD138" s="1179" t="n"/>
      <c r="AE138" s="1180" t="n"/>
      <c r="AF138" s="1179" t="n"/>
      <c r="AG138" s="1231" t="n"/>
      <c r="AH138" s="1230" t="n"/>
      <c r="AI138" s="1228" t="n"/>
      <c r="AJ138" s="1228" t="n"/>
      <c r="AK138" s="1231" t="n"/>
      <c r="AL138" s="5248" t="n"/>
      <c r="AM138" s="1229" t="n"/>
      <c r="CA138" s="260">
        <f>IF(OR(AH138+AI138+AJ138+AK138&gt;C138,)," ** La suma de Causal de Egresos no deben ser mayor que el Total Ambos Sexos","")</f>
        <v/>
      </c>
      <c r="CB138" s="90">
        <f>IF(AND($C138&gt;0,AL138=""),"  * No olvide digitar la variable Pueblos originarios. Digite Cero si no tiene.",IF(AL138&gt;$C138,"  * La variable Pueblos originarios No puede ser mayor al Total.",""))</f>
        <v/>
      </c>
      <c r="CC138" s="90">
        <f>IF(AND($C138&gt;0,AM138="")," * No olvide digitar la variable Migrantes. Digite Cero si no tiene.",IF(AM138&gt;$C138," * La variable Migrantes No puede ser mayor al Total.",""))</f>
        <v/>
      </c>
      <c r="CO138" s="221">
        <f>IF((AH138+AI138+AJ138+AK138)&gt;$C138,1,0)</f>
        <v/>
      </c>
      <c r="CP138" s="221">
        <f>IF(AND($C138&gt;0,AL138=""),1,IF(AL138&gt;$C138,1,0))</f>
        <v/>
      </c>
      <c r="CQ138" s="221">
        <f>IF(AND($C138&gt;0,AM138=""),1,IF(AM138&gt;$C138,1,0))</f>
        <v/>
      </c>
    </row>
    <row r="139">
      <c r="A139" s="9614" t="n"/>
      <c r="B139" s="1209" t="inlineStr">
        <is>
          <t>Antecedentes Enf. Cerebrovascular (ACV)</t>
        </is>
      </c>
      <c r="C139" s="1485">
        <f>SUM(D139:E139)</f>
        <v/>
      </c>
      <c r="D139" s="2134">
        <f>SUM(F139+H139+J139+L139+N139+P139+R139+T139+V139+X139+Z139+AB139+AD139+AF139)</f>
        <v/>
      </c>
      <c r="E139" s="894">
        <f>SUM(G139+I139+K139+M139+O139+Q139+S139+U139+W139+Y139+AA139+AC139+AE139+AG139)</f>
        <v/>
      </c>
      <c r="F139" s="1179" t="n"/>
      <c r="G139" s="1180" t="n"/>
      <c r="H139" s="1179" t="n"/>
      <c r="I139" s="1180" t="n"/>
      <c r="J139" s="1179" t="n"/>
      <c r="K139" s="1180" t="n"/>
      <c r="L139" s="1179" t="n"/>
      <c r="M139" s="1180" t="n"/>
      <c r="N139" s="1179" t="n"/>
      <c r="O139" s="1180" t="n"/>
      <c r="P139" s="1179" t="n"/>
      <c r="Q139" s="1180" t="n"/>
      <c r="R139" s="1179" t="n"/>
      <c r="S139" s="1180" t="n"/>
      <c r="T139" s="1179" t="n"/>
      <c r="U139" s="1180" t="n"/>
      <c r="V139" s="1179" t="n"/>
      <c r="W139" s="1180" t="n"/>
      <c r="X139" s="1179" t="n"/>
      <c r="Y139" s="1180" t="n"/>
      <c r="Z139" s="1179" t="n"/>
      <c r="AA139" s="1180" t="n"/>
      <c r="AB139" s="1179" t="n"/>
      <c r="AC139" s="1180" t="n"/>
      <c r="AD139" s="1179" t="n"/>
      <c r="AE139" s="1180" t="n"/>
      <c r="AF139" s="1179" t="n"/>
      <c r="AG139" s="1231" t="n"/>
      <c r="AH139" s="1230" t="n"/>
      <c r="AI139" s="1228" t="n"/>
      <c r="AJ139" s="1228" t="n"/>
      <c r="AK139" s="1231" t="n"/>
      <c r="AL139" s="5248" t="n"/>
      <c r="AM139" s="1229" t="n"/>
      <c r="AN139">
        <f>CB139&amp;CC139&amp;CA139</f>
        <v/>
      </c>
      <c r="CA139" s="260">
        <f>IF(OR(AH139+AI139+AJ139+AK139&gt;C139,)," ** La suma de Causal de Egresos no deben ser mayor que el Total Ambos Sexos","")</f>
        <v/>
      </c>
      <c r="CB139" s="90">
        <f>IF(AND($C139&gt;0,AL139=""),"  * No olvide digitar la variable Pueblos originarios. Digite Cero si no tiene.",IF(AL139&gt;$C139,"  * La variable Pueblos originarios No puede ser mayor al Total.",""))</f>
        <v/>
      </c>
      <c r="CC139" s="90">
        <f>IF(AND($C139&gt;0,AM139="")," * No olvide digitar la variable Migrantes. Digite Cero si no tiene.",IF(AM139&gt;$C139," * La variable Migrantes No puede ser mayor al Total.",""))</f>
        <v/>
      </c>
      <c r="CO139" s="221">
        <f>IF((AH139+AI139+AJ139+AK139)&gt;$C139,1,0)</f>
        <v/>
      </c>
      <c r="CP139" s="221">
        <f>IF(AND($C139&gt;0,AL139=""),1,IF(AL139&gt;$C139,1,0))</f>
        <v/>
      </c>
      <c r="CQ139" s="221">
        <f>IF(AND($C139&gt;0,AM139=""),1,IF(AM139&gt;$C139,1,0))</f>
        <v/>
      </c>
    </row>
    <row r="140">
      <c r="A140" s="9614" t="n"/>
      <c r="B140" s="1361" t="inlineStr">
        <is>
          <t>Enfermedad Renal Crónica</t>
        </is>
      </c>
      <c r="C140" s="1485">
        <f>SUM(D140:E140)</f>
        <v/>
      </c>
      <c r="D140" s="2134">
        <f>SUM(F140+H140+J140+L140+N140+P140+R140+T140+V140+X140+Z140+AB140+AD140+AF140)</f>
        <v/>
      </c>
      <c r="E140" s="894">
        <f>SUM(G140+I140+K140+M140+O140+Q140+S140+U140+W140+Y140+AA140+AC140+AE140+AG140)</f>
        <v/>
      </c>
      <c r="F140" s="1179" t="n"/>
      <c r="G140" s="1180" t="n"/>
      <c r="H140" s="1179" t="n"/>
      <c r="I140" s="1180" t="n"/>
      <c r="J140" s="1179" t="n"/>
      <c r="K140" s="1180" t="n"/>
      <c r="L140" s="1179" t="n"/>
      <c r="M140" s="1180" t="n"/>
      <c r="N140" s="1179" t="n"/>
      <c r="O140" s="1180" t="n"/>
      <c r="P140" s="1179" t="n"/>
      <c r="Q140" s="1180" t="n"/>
      <c r="R140" s="1179" t="n"/>
      <c r="S140" s="1180" t="n"/>
      <c r="T140" s="1179" t="n"/>
      <c r="U140" s="1180" t="n"/>
      <c r="V140" s="1179" t="n"/>
      <c r="W140" s="1180" t="n"/>
      <c r="X140" s="1179" t="n"/>
      <c r="Y140" s="1180" t="n"/>
      <c r="Z140" s="1179" t="n"/>
      <c r="AA140" s="1180" t="n"/>
      <c r="AB140" s="1179" t="n"/>
      <c r="AC140" s="1180" t="n"/>
      <c r="AD140" s="1179" t="n"/>
      <c r="AE140" s="1180" t="n"/>
      <c r="AF140" s="1179" t="n"/>
      <c r="AG140" s="1231" t="n"/>
      <c r="AH140" s="1230" t="n"/>
      <c r="AI140" s="1228" t="n"/>
      <c r="AJ140" s="1228" t="n"/>
      <c r="AK140" s="1231" t="n"/>
      <c r="AL140" s="5248" t="n"/>
      <c r="AM140" s="1229" t="n"/>
      <c r="AN140">
        <f>CB140&amp;CC140&amp;CA140</f>
        <v/>
      </c>
      <c r="CA140" s="260">
        <f>IF(OR(AH140+AI140+AJ140+AK140&gt;C140,)," ** La suma de Causal de Egresos no deben ser mayor que el Total Ambos Sexos","")</f>
        <v/>
      </c>
      <c r="CB140" s="90">
        <f>IF(AND($C140&gt;0,AL140=""),"  * No olvide digitar la variable Pueblos originarios. Digite Cero si no tiene.",IF(AL140&gt;$C140,"  * La variable Pueblos originarios No puede ser mayor al Total.",""))</f>
        <v/>
      </c>
      <c r="CC140" s="90">
        <f>IF(AND($C140&gt;0,AM140="")," * No olvide digitar la variable Migrantes. Digite Cero si no tiene.",IF(AM140&gt;$C140," * La variable Migrantes No puede ser mayor al Total.",""))</f>
        <v/>
      </c>
      <c r="CO140" s="221">
        <f>IF((AH140+AI140+AJ140+AK140)&gt;$C140,1,0)</f>
        <v/>
      </c>
      <c r="CP140" s="221">
        <f>IF(AND($C140&gt;0,AL140=""),1,IF(AL140&gt;$C140,1,0))</f>
        <v/>
      </c>
      <c r="CQ140" s="221">
        <f>IF(AND($C140&gt;0,AM140=""),1,IF(AM140&gt;$C140,1,0))</f>
        <v/>
      </c>
    </row>
    <row r="141">
      <c r="A141" s="9610" t="n"/>
      <c r="B141" s="1117" t="inlineStr">
        <is>
          <t>Tabaquismo ≥ 55 años</t>
        </is>
      </c>
      <c r="C141" s="1360">
        <f>SUM(D141:E141)</f>
        <v/>
      </c>
      <c r="D141" s="1358">
        <f>SUM(V141+X141+Z141+AB141+AD141+AF141)</f>
        <v/>
      </c>
      <c r="E141" s="1359">
        <f>SUM(W141+Y141+AA141+AC141+AE141+AG141)</f>
        <v/>
      </c>
      <c r="F141" s="2136" t="n"/>
      <c r="G141" s="2137" t="n"/>
      <c r="H141" s="2136" t="n"/>
      <c r="I141" s="2137" t="n"/>
      <c r="J141" s="2136" t="n"/>
      <c r="K141" s="2137" t="n"/>
      <c r="L141" s="2136" t="n"/>
      <c r="M141" s="2137" t="n"/>
      <c r="N141" s="2136" t="n"/>
      <c r="O141" s="2137" t="n"/>
      <c r="P141" s="2136" t="n"/>
      <c r="Q141" s="2137" t="n"/>
      <c r="R141" s="2136" t="n"/>
      <c r="S141" s="2137" t="n"/>
      <c r="T141" s="2136" t="n"/>
      <c r="U141" s="2137" t="n"/>
      <c r="V141" s="1188" t="n"/>
      <c r="W141" s="1192" t="n">
        <v>1</v>
      </c>
      <c r="X141" s="1188" t="n"/>
      <c r="Y141" s="1192" t="n"/>
      <c r="Z141" s="1188" t="n">
        <v>1</v>
      </c>
      <c r="AA141" s="1192" t="n">
        <v>1</v>
      </c>
      <c r="AB141" s="1188" t="n"/>
      <c r="AC141" s="1192" t="n"/>
      <c r="AD141" s="1188" t="n"/>
      <c r="AE141" s="1192" t="n"/>
      <c r="AF141" s="1188" t="n"/>
      <c r="AG141" s="1226" t="n"/>
      <c r="AH141" s="1225" t="n"/>
      <c r="AI141" s="1118" t="n"/>
      <c r="AJ141" s="1118" t="n">
        <v>2</v>
      </c>
      <c r="AK141" s="1226" t="n"/>
      <c r="AL141" s="5249" t="n">
        <v>0</v>
      </c>
      <c r="AM141" s="1223" t="n">
        <v>0</v>
      </c>
      <c r="AN141">
        <f>CB141&amp;CC141&amp;CA141</f>
        <v/>
      </c>
      <c r="CA141" s="260">
        <f>IF(OR(AH141+AI141+AJ141+AK141&gt;C141,)," ** La suma de Causal de Egresos no deben ser mayor que el Total Ambos Sexos","")</f>
        <v/>
      </c>
      <c r="CB141" s="90">
        <f>IF(AND($C141&gt;0,AL141=""),"  * No olvide digitar la variable Pueblos originarios. Digite Cero si no tiene.",IF(AL141&gt;$C141,"  * La variable Pueblos originarios No puede ser mayor al Total.",""))</f>
        <v/>
      </c>
      <c r="CC141" s="90">
        <f>IF(AND($C141&gt;0,AM141="")," * No olvide digitar la variable Migrantes. Digite Cero si no tiene.",IF(AM141&gt;$C141," * La variable Migrantes No puede ser mayor al Total.",""))</f>
        <v/>
      </c>
      <c r="CO141" s="221">
        <f>IF((AH141+AI141+AJ141+AK141)&gt;$C141,1,0)</f>
        <v/>
      </c>
      <c r="CP141" s="221">
        <f>IF(AND($C141&gt;0,AL141=""),1,IF(AL141&gt;$C141,1,0))</f>
        <v/>
      </c>
      <c r="CQ141" s="221">
        <f>IF(AND($C141&gt;0,AM141=""),1,IF(AM141&gt;$C141,1,0))</f>
        <v/>
      </c>
    </row>
    <row r="142" ht="18" customFormat="1" customHeight="1" s="5">
      <c r="A142" s="646" t="inlineStr">
        <is>
          <t xml:space="preserve">SECCIÓN J: INGRESOS Y EGRESOS AL PROGRAMA DE PACIENTES CON DEPENDENCIA LEVE, MODERADA Y SEVERA </t>
        </is>
      </c>
      <c r="B142" s="646" t="n"/>
      <c r="C142" s="3" t="n"/>
      <c r="D142" s="3" t="n"/>
      <c r="E142" s="3" t="n"/>
      <c r="F142" s="3" t="n"/>
      <c r="G142" s="3" t="n"/>
      <c r="H142" s="3" t="n"/>
      <c r="I142" s="3" t="n"/>
      <c r="J142" s="3" t="n"/>
      <c r="K142" s="3" t="n"/>
      <c r="L142" s="3" t="n"/>
      <c r="M142" s="3" t="n"/>
      <c r="N142" s="3" t="n"/>
      <c r="O142" s="3" t="n"/>
      <c r="P142" s="3" t="n"/>
      <c r="Q142" s="3" t="n"/>
      <c r="R142" s="3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</row>
    <row r="143" ht="15" customHeight="1" s="8286">
      <c r="A143" s="9939" t="inlineStr">
        <is>
          <t>CONCEPTO</t>
        </is>
      </c>
      <c r="B143" s="9630" t="n"/>
      <c r="C143" s="9914" t="inlineStr">
        <is>
          <t>TOTAL INGRESOS</t>
        </is>
      </c>
      <c r="D143" s="9602" t="n"/>
      <c r="E143" s="9630" t="n"/>
      <c r="F143" s="9976" t="inlineStr">
        <is>
          <t>RANGO ETARIO Y SEXO</t>
        </is>
      </c>
      <c r="G143" s="9584" t="n"/>
      <c r="H143" s="9584" t="n"/>
      <c r="I143" s="9584" t="n"/>
      <c r="J143" s="9584" t="n"/>
      <c r="K143" s="9584" t="n"/>
      <c r="L143" s="9584" t="n"/>
      <c r="M143" s="9584" t="n"/>
      <c r="N143" s="9584" t="n"/>
      <c r="O143" s="9584" t="n"/>
      <c r="P143" s="9584" t="n"/>
      <c r="Q143" s="9584" t="n"/>
      <c r="R143" s="9584" t="n"/>
      <c r="S143" s="9584" t="n"/>
      <c r="T143" s="9584" t="n"/>
      <c r="U143" s="9584" t="n"/>
      <c r="V143" s="9584" t="n"/>
      <c r="W143" s="9584" t="n"/>
      <c r="X143" s="9584" t="n"/>
      <c r="Y143" s="9584" t="n"/>
      <c r="Z143" s="9584" t="n"/>
      <c r="AA143" s="9584" t="n"/>
      <c r="AB143" s="9584" t="n"/>
      <c r="AC143" s="9584" t="n"/>
      <c r="AD143" s="9584" t="n"/>
      <c r="AE143" s="9584" t="n"/>
      <c r="AF143" s="9584" t="n"/>
      <c r="AG143" s="9584" t="n"/>
      <c r="AH143" s="9584" t="n"/>
      <c r="AI143" s="9584" t="n"/>
      <c r="AJ143" s="9584" t="n"/>
      <c r="AK143" s="9584" t="n"/>
      <c r="AL143" s="9584" t="n"/>
      <c r="AM143" s="9595" t="n"/>
      <c r="AN143" s="9983" t="inlineStr">
        <is>
          <t>CAUSAL DE EGRESO</t>
        </is>
      </c>
      <c r="AO143" s="9617" t="n"/>
      <c r="AP143" s="9632" t="n"/>
      <c r="AQ143" s="9916" t="inlineStr">
        <is>
          <t>Pueblos Originarios</t>
        </is>
      </c>
      <c r="AR143" s="8400" t="inlineStr">
        <is>
          <t>Migrantes</t>
        </is>
      </c>
    </row>
    <row r="144" ht="15" customHeight="1" s="8286">
      <c r="A144" s="642" t="n"/>
      <c r="B144" s="9718" t="n"/>
      <c r="C144" s="642" t="n"/>
      <c r="E144" s="9718" t="n"/>
      <c r="F144" s="8400" t="inlineStr">
        <is>
          <t xml:space="preserve"> 0 - 4 años</t>
        </is>
      </c>
      <c r="G144" s="9582" t="n"/>
      <c r="H144" s="8400" t="inlineStr">
        <is>
          <t xml:space="preserve"> 5 - 9 años</t>
        </is>
      </c>
      <c r="I144" s="9582" t="n"/>
      <c r="J144" s="8400" t="inlineStr">
        <is>
          <t xml:space="preserve"> 10 - 14 años</t>
        </is>
      </c>
      <c r="K144" s="9582" t="n"/>
      <c r="L144" s="8400" t="inlineStr">
        <is>
          <t>15 - 19 años</t>
        </is>
      </c>
      <c r="M144" s="9582" t="n"/>
      <c r="N144" s="4505" t="inlineStr">
        <is>
          <t>20 - 24 años</t>
        </is>
      </c>
      <c r="O144" s="9647" t="n"/>
      <c r="P144" s="4505" t="inlineStr">
        <is>
          <t>25 - 29 años</t>
        </is>
      </c>
      <c r="Q144" s="9647" t="n"/>
      <c r="R144" s="4505" t="inlineStr">
        <is>
          <t>30 - 34 años</t>
        </is>
      </c>
      <c r="S144" s="9647" t="n"/>
      <c r="T144" s="4505" t="inlineStr">
        <is>
          <t>35 - 39 años</t>
        </is>
      </c>
      <c r="U144" s="9647" t="n"/>
      <c r="V144" s="4505" t="inlineStr">
        <is>
          <t>40 - 44 años</t>
        </is>
      </c>
      <c r="W144" s="9647" t="n"/>
      <c r="X144" s="4505" t="inlineStr">
        <is>
          <t>45 - 49 años</t>
        </is>
      </c>
      <c r="Y144" s="9647" t="n"/>
      <c r="Z144" s="4505" t="inlineStr">
        <is>
          <t>50 - 54 años</t>
        </is>
      </c>
      <c r="AA144" s="9647" t="n"/>
      <c r="AB144" s="4505" t="inlineStr">
        <is>
          <t>55 - 59 años</t>
        </is>
      </c>
      <c r="AC144" s="9647" t="n"/>
      <c r="AD144" s="4505" t="inlineStr">
        <is>
          <t>60 - 64 años</t>
        </is>
      </c>
      <c r="AE144" s="9647" t="n"/>
      <c r="AF144" s="8400" t="inlineStr">
        <is>
          <t>65 - 69 años</t>
        </is>
      </c>
      <c r="AG144" s="9582" t="n"/>
      <c r="AH144" s="8400" t="inlineStr">
        <is>
          <t>70 - 74 años</t>
        </is>
      </c>
      <c r="AI144" s="9582" t="n"/>
      <c r="AJ144" s="8400" t="inlineStr">
        <is>
          <t>75 - 79 años</t>
        </is>
      </c>
      <c r="AK144" s="9582" t="n"/>
      <c r="AL144" s="9976" t="inlineStr">
        <is>
          <t>80 y más años</t>
        </is>
      </c>
      <c r="AM144" s="9595" t="n"/>
      <c r="AN144" s="9980" t="inlineStr">
        <is>
          <t>Altas</t>
        </is>
      </c>
      <c r="AO144" s="9981" t="inlineStr">
        <is>
          <t>Abandono/
Traslado</t>
        </is>
      </c>
      <c r="AP144" s="9982" t="inlineStr">
        <is>
          <t>Fallecimiento</t>
        </is>
      </c>
      <c r="AQ144" s="9978" t="n"/>
      <c r="AR144" s="9614" t="n"/>
    </row>
    <row r="145" ht="15" customHeight="1" s="8286">
      <c r="A145" s="9638" t="n"/>
      <c r="B145" s="9639" t="n"/>
      <c r="C145" s="7932" t="inlineStr">
        <is>
          <t>Ambos Sexos</t>
        </is>
      </c>
      <c r="D145" s="2110" t="inlineStr">
        <is>
          <t>Hombres</t>
        </is>
      </c>
      <c r="E145" s="7686" t="inlineStr">
        <is>
          <t>Mujeres</t>
        </is>
      </c>
      <c r="F145" s="7691" t="inlineStr">
        <is>
          <t>Hombres</t>
        </is>
      </c>
      <c r="G145" s="7694" t="inlineStr">
        <is>
          <t>Mujeres</t>
        </is>
      </c>
      <c r="H145" s="7691" t="inlineStr">
        <is>
          <t>Hombres</t>
        </is>
      </c>
      <c r="I145" s="7694" t="inlineStr">
        <is>
          <t>Mujeres</t>
        </is>
      </c>
      <c r="J145" s="7691" t="inlineStr">
        <is>
          <t>Hombres</t>
        </is>
      </c>
      <c r="K145" s="7694" t="inlineStr">
        <is>
          <t>Mujeres</t>
        </is>
      </c>
      <c r="L145" s="7691" t="inlineStr">
        <is>
          <t>Hombres</t>
        </is>
      </c>
      <c r="M145" s="7694" t="inlineStr">
        <is>
          <t>Mujeres</t>
        </is>
      </c>
      <c r="N145" s="7691" t="inlineStr">
        <is>
          <t>Hombres</t>
        </is>
      </c>
      <c r="O145" s="7694" t="inlineStr">
        <is>
          <t>Mujeres</t>
        </is>
      </c>
      <c r="P145" s="7691" t="inlineStr">
        <is>
          <t>Hombres</t>
        </is>
      </c>
      <c r="Q145" s="7694" t="inlineStr">
        <is>
          <t>Mujeres</t>
        </is>
      </c>
      <c r="R145" s="7691" t="inlineStr">
        <is>
          <t>Hombres</t>
        </is>
      </c>
      <c r="S145" s="7694" t="inlineStr">
        <is>
          <t>Mujeres</t>
        </is>
      </c>
      <c r="T145" s="7691" t="inlineStr">
        <is>
          <t>Hombres</t>
        </is>
      </c>
      <c r="U145" s="7694" t="inlineStr">
        <is>
          <t>Mujeres</t>
        </is>
      </c>
      <c r="V145" s="7691" t="inlineStr">
        <is>
          <t>Hombres</t>
        </is>
      </c>
      <c r="W145" s="7694" t="inlineStr">
        <is>
          <t>Mujeres</t>
        </is>
      </c>
      <c r="X145" s="7691" t="inlineStr">
        <is>
          <t>Hombres</t>
        </is>
      </c>
      <c r="Y145" s="7694" t="inlineStr">
        <is>
          <t>Mujeres</t>
        </is>
      </c>
      <c r="Z145" s="7691" t="inlineStr">
        <is>
          <t>Hombres</t>
        </is>
      </c>
      <c r="AA145" s="7694" t="inlineStr">
        <is>
          <t>Mujeres</t>
        </is>
      </c>
      <c r="AB145" s="7691" t="inlineStr">
        <is>
          <t>Hombres</t>
        </is>
      </c>
      <c r="AC145" s="7694" t="inlineStr">
        <is>
          <t>Mujeres</t>
        </is>
      </c>
      <c r="AD145" s="7691" t="inlineStr">
        <is>
          <t>Hombres</t>
        </is>
      </c>
      <c r="AE145" s="7694" t="inlineStr">
        <is>
          <t>Mujeres</t>
        </is>
      </c>
      <c r="AF145" s="7691" t="inlineStr">
        <is>
          <t>Hombres</t>
        </is>
      </c>
      <c r="AG145" s="7694" t="inlineStr">
        <is>
          <t>Mujeres</t>
        </is>
      </c>
      <c r="AH145" s="7691" t="inlineStr">
        <is>
          <t>Hombres</t>
        </is>
      </c>
      <c r="AI145" s="7694" t="inlineStr">
        <is>
          <t>Mujeres</t>
        </is>
      </c>
      <c r="AJ145" s="7691" t="inlineStr">
        <is>
          <t>Hombres</t>
        </is>
      </c>
      <c r="AK145" s="7694" t="inlineStr">
        <is>
          <t>Mujeres</t>
        </is>
      </c>
      <c r="AL145" s="7691" t="inlineStr">
        <is>
          <t>Hombres</t>
        </is>
      </c>
      <c r="AM145" s="7689" t="inlineStr">
        <is>
          <t>Mujeres</t>
        </is>
      </c>
      <c r="AN145" s="9604" t="n"/>
      <c r="AO145" s="9912" t="n"/>
      <c r="AP145" s="9865" t="n"/>
      <c r="AQ145" s="9890" t="n"/>
      <c r="AR145" s="9610" t="n"/>
    </row>
    <row r="146" ht="15" customHeight="1" s="8286">
      <c r="A146" s="9928" t="inlineStr">
        <is>
          <t>Dependencia Leve</t>
        </is>
      </c>
      <c r="B146" s="9643" t="n"/>
      <c r="C146" s="2112">
        <f>SUM(D146:E146)</f>
        <v/>
      </c>
      <c r="D146" s="833">
        <f>SUM(F146+H146+J146+L146+N146+P146+R146+T146+V146+X146+Z146+AB146+AD146+AF146+AH146+AJ146+AL146)</f>
        <v/>
      </c>
      <c r="E146" s="8308">
        <f>SUM(G146+I146+K146+M146+O146+Q146+S146+U146+W146+Y146+AA146+AC146+AE146+AG146+AI146+AK146+AM146)</f>
        <v/>
      </c>
      <c r="F146" s="2022" t="n"/>
      <c r="G146" s="2029" t="n"/>
      <c r="H146" s="2022" t="n"/>
      <c r="I146" s="2029" t="n"/>
      <c r="J146" s="2022" t="n"/>
      <c r="K146" s="2029" t="n"/>
      <c r="L146" s="2022" t="n"/>
      <c r="M146" s="2029" t="n"/>
      <c r="N146" s="2022" t="n"/>
      <c r="O146" s="2029" t="n"/>
      <c r="P146" s="2022" t="n"/>
      <c r="Q146" s="2029" t="n"/>
      <c r="R146" s="2022" t="n"/>
      <c r="S146" s="2029" t="n"/>
      <c r="T146" s="2022" t="n"/>
      <c r="U146" s="2029" t="n"/>
      <c r="V146" s="2022" t="n"/>
      <c r="W146" s="2029" t="n"/>
      <c r="X146" s="2022" t="n"/>
      <c r="Y146" s="2029" t="n"/>
      <c r="Z146" s="2022" t="n"/>
      <c r="AA146" s="2029" t="n"/>
      <c r="AB146" s="2022" t="n"/>
      <c r="AC146" s="2029" t="n"/>
      <c r="AD146" s="2022" t="n"/>
      <c r="AE146" s="2029" t="n"/>
      <c r="AF146" s="2022" t="n"/>
      <c r="AG146" s="2029" t="n"/>
      <c r="AH146" s="2022" t="n"/>
      <c r="AI146" s="2029" t="n"/>
      <c r="AJ146" s="2022" t="n"/>
      <c r="AK146" s="2029" t="n"/>
      <c r="AL146" s="2022" t="n"/>
      <c r="AM146" s="1983" t="n"/>
      <c r="AN146" s="2025" t="n"/>
      <c r="AO146" s="835" t="n"/>
      <c r="AP146" s="1983" t="n"/>
      <c r="AQ146" s="5213" t="n"/>
      <c r="AR146" s="5189" t="n"/>
      <c r="AS146">
        <f>CA146&amp;CB146&amp;CC146</f>
        <v/>
      </c>
      <c r="CA146" s="260" t="n"/>
      <c r="CB146" s="90">
        <f>IF(AND($C146&gt;0,AQ146="")," * No olvide digitar la variable Pueblos originarios. Digite Cero si no tiene.",IF(AQ146&gt;$C146," * La variable Pueblos originarios No puede ser mayor al Total.",""))</f>
        <v/>
      </c>
      <c r="CC146" s="90">
        <f>IF(AND($C146&gt;0,AR146="")," * No olvide digitar la variable Migrantes. Digite Cero si no tiene.",IF(AR146&gt;$C146," * La variable Migrantes No puede ser mayor al Total.",""))</f>
        <v/>
      </c>
      <c r="CO146" s="221" t="n"/>
      <c r="CP146" s="221">
        <f>IF(AND($C146&gt;0,AQ146=""),1,IF(AQ146&gt;$C146,1,0))</f>
        <v/>
      </c>
      <c r="CQ146" s="221">
        <f>IF(AND($C146&gt;0,AR146=""),1,IF(AR146&gt;$C146,1,0))</f>
        <v/>
      </c>
    </row>
    <row r="147" ht="15" customHeight="1" s="8286">
      <c r="A147" s="9929" t="inlineStr">
        <is>
          <t>Dependencia Moderada</t>
        </is>
      </c>
      <c r="B147" s="9720" t="n"/>
      <c r="C147" s="1383">
        <f>SUM(D147:E147)</f>
        <v/>
      </c>
      <c r="D147" s="2135">
        <f>SUM(F147+H147+J147+L147+N147+P147+R147+T147+V147+X147+Z147+AB147+AD147+AF147+AH147+AJ147+AL147)</f>
        <v/>
      </c>
      <c r="E147" s="1984">
        <f>SUM(G147+I147+K147+M147+O147+Q147+S147+U147+W147+Y147+AA147+AC147+AE147+AG147+AI147+AK147+AM147)</f>
        <v/>
      </c>
      <c r="F147" s="1179" t="n"/>
      <c r="G147" s="1180" t="n"/>
      <c r="H147" s="1179" t="n"/>
      <c r="I147" s="1180" t="n"/>
      <c r="J147" s="1179" t="n"/>
      <c r="K147" s="1180" t="n"/>
      <c r="L147" s="1179" t="n"/>
      <c r="M147" s="1180" t="n"/>
      <c r="N147" s="1179" t="n"/>
      <c r="O147" s="1180" t="n"/>
      <c r="P147" s="1179" t="n"/>
      <c r="Q147" s="1180" t="n"/>
      <c r="R147" s="1179" t="n"/>
      <c r="S147" s="1180" t="n"/>
      <c r="T147" s="1179" t="n"/>
      <c r="U147" s="1180" t="n"/>
      <c r="V147" s="1179" t="n"/>
      <c r="W147" s="1180" t="n"/>
      <c r="X147" s="1179" t="n"/>
      <c r="Y147" s="1180" t="n"/>
      <c r="Z147" s="1179" t="n"/>
      <c r="AA147" s="1180" t="n"/>
      <c r="AB147" s="1179" t="n"/>
      <c r="AC147" s="1180" t="n"/>
      <c r="AD147" s="1179" t="n"/>
      <c r="AE147" s="1180" t="n"/>
      <c r="AF147" s="1179" t="n"/>
      <c r="AG147" s="1180" t="n"/>
      <c r="AH147" s="1179" t="n"/>
      <c r="AI147" s="1180" t="n"/>
      <c r="AJ147" s="1179" t="n"/>
      <c r="AK147" s="1180" t="n"/>
      <c r="AL147" s="1179" t="n"/>
      <c r="AM147" s="1231" t="n"/>
      <c r="AN147" s="1230" t="n"/>
      <c r="AO147" s="1228" t="n"/>
      <c r="AP147" s="1231" t="n"/>
      <c r="AQ147" s="5248" t="n"/>
      <c r="AR147" s="1229" t="n"/>
      <c r="AS147">
        <f>CA147&amp;CB147&amp;CC147</f>
        <v/>
      </c>
      <c r="CA147" s="260" t="n"/>
      <c r="CB147" s="90">
        <f>IF(AND($C147&gt;0,AQ147="")," * No olvide digitar la variable Pueblos originarios. Digite Cero si no tiene.",IF(AQ147&gt;$C147," * La variable Pueblos originarios No puede ser mayor al Total.",""))</f>
        <v/>
      </c>
      <c r="CC147" s="90">
        <f>IF(AND($C147&gt;0,AR147="")," * No olvide digitar la variable Migrantes. Digite Cero si no tiene.",IF(AR147&gt;$C147," * La variable Migrantes No puede ser mayor al Total.",""))</f>
        <v/>
      </c>
      <c r="CO147" s="221" t="n"/>
      <c r="CP147" s="221">
        <f>IF(AND($C147&gt;0,AQ147=""),1,IF(AQ147&gt;$C147,1,0))</f>
        <v/>
      </c>
      <c r="CQ147" s="221">
        <f>IF(AND($C147&gt;0,AR147=""),1,IF(AR147&gt;$C147,1,0))</f>
        <v/>
      </c>
    </row>
    <row r="148" ht="15" customHeight="1" s="8286">
      <c r="A148" s="9933" t="inlineStr">
        <is>
          <t xml:space="preserve">Dependencia Severa  </t>
        </is>
      </c>
      <c r="B148" s="7748" t="inlineStr">
        <is>
          <t>Oncológico</t>
        </is>
      </c>
      <c r="C148" s="2112">
        <f>SUM(D148:E148)</f>
        <v/>
      </c>
      <c r="D148" s="833">
        <f>SUM(F148+H148+J148+L148+N148+P148+R148+T148+V148+X148+Z148+AB148+AD148+AF148+AH148+AJ148+AL148)</f>
        <v/>
      </c>
      <c r="E148" s="8308">
        <f>SUM(G148+I148+K148+M148+O148+Q148+S148+U148+W148+Y148+AA148+AC148+AE148+AG148+AI148+AK148+AM148)</f>
        <v/>
      </c>
      <c r="F148" s="2022" t="n"/>
      <c r="G148" s="2029" t="n"/>
      <c r="H148" s="2022" t="n"/>
      <c r="I148" s="2029" t="n"/>
      <c r="J148" s="2022" t="n"/>
      <c r="K148" s="2029" t="n"/>
      <c r="L148" s="2022" t="n"/>
      <c r="M148" s="2029" t="n"/>
      <c r="N148" s="2022" t="n"/>
      <c r="O148" s="2029" t="n"/>
      <c r="P148" s="2022" t="n"/>
      <c r="Q148" s="2029" t="n"/>
      <c r="R148" s="2022" t="n"/>
      <c r="S148" s="2029" t="n"/>
      <c r="T148" s="2022" t="n"/>
      <c r="U148" s="2029" t="n"/>
      <c r="V148" s="2022" t="n"/>
      <c r="W148" s="2029" t="n"/>
      <c r="X148" s="2022" t="n"/>
      <c r="Y148" s="2029" t="n"/>
      <c r="Z148" s="2022" t="n"/>
      <c r="AA148" s="2029" t="n"/>
      <c r="AB148" s="2022" t="n"/>
      <c r="AC148" s="2029" t="n"/>
      <c r="AD148" s="2022" t="n"/>
      <c r="AE148" s="2029" t="n"/>
      <c r="AF148" s="2022" t="n"/>
      <c r="AG148" s="2029" t="n"/>
      <c r="AH148" s="2022" t="n"/>
      <c r="AI148" s="2029" t="n"/>
      <c r="AJ148" s="2022" t="n"/>
      <c r="AK148" s="2029" t="n">
        <v>1</v>
      </c>
      <c r="AL148" s="2022" t="n"/>
      <c r="AM148" s="1983" t="n"/>
      <c r="AN148" s="2025" t="n">
        <v>0</v>
      </c>
      <c r="AO148" s="835" t="n">
        <v>0</v>
      </c>
      <c r="AP148" s="1983" t="n">
        <v>1</v>
      </c>
      <c r="AQ148" s="5213" t="n">
        <v>0</v>
      </c>
      <c r="AR148" s="5189" t="n">
        <v>0</v>
      </c>
      <c r="AS148">
        <f>CA148&amp;CB148&amp;CC148</f>
        <v/>
      </c>
      <c r="CA148" s="260" t="n"/>
      <c r="CB148" s="90">
        <f>IF(AND($C148&gt;0,AQ148="")," * No olvide digitar la variable Pueblos originarios. Digite Cero si no tiene.",IF(AQ148&gt;$C148," * La variable Pueblos originarios No puede ser mayor al Total.",""))</f>
        <v/>
      </c>
      <c r="CC148" s="90">
        <f>IF(AND($C148&gt;0,AR148="")," * No olvide digitar la variable Migrantes. Digite Cero si no tiene.",IF(AR148&gt;$C148," * La variable Migrantes No puede ser mayor al Total.",""))</f>
        <v/>
      </c>
      <c r="CO148" s="221" t="n"/>
      <c r="CP148" s="221">
        <f>IF(AND($C148&gt;0,AQ148=""),1,IF(AQ148&gt;$C148,1,0))</f>
        <v/>
      </c>
      <c r="CQ148" s="221">
        <f>IF(AND($C148&gt;0,AR148=""),1,IF(AR148&gt;$C148,1,0))</f>
        <v/>
      </c>
    </row>
    <row r="149" ht="15" customHeight="1" s="8286">
      <c r="A149" s="9610" t="n"/>
      <c r="B149" s="1117" t="inlineStr">
        <is>
          <t>No Oncológico</t>
        </is>
      </c>
      <c r="C149" s="1360">
        <f>SUM(D149:E149)</f>
        <v/>
      </c>
      <c r="D149" s="1358">
        <f>SUM(F149+H149+J149+L149+N149+P149+R149+T149+V149+X149+Z149+AB149+AD149+AF149+AH149+AJ149+AL149)</f>
        <v/>
      </c>
      <c r="E149" s="7764">
        <f>SUM(G149+I149+K149+M149+O149+Q149+S149+U149+W149+Y149+AA149+AC149+AE149+AG149+AI149+AK149+AM149)</f>
        <v/>
      </c>
      <c r="F149" s="1188" t="n">
        <v>1</v>
      </c>
      <c r="G149" s="1192" t="n">
        <v>1</v>
      </c>
      <c r="H149" s="1188" t="n"/>
      <c r="I149" s="1192" t="n"/>
      <c r="J149" s="1188" t="n"/>
      <c r="K149" s="1192" t="n"/>
      <c r="L149" s="1188" t="n"/>
      <c r="M149" s="1192" t="n"/>
      <c r="N149" s="1188" t="n"/>
      <c r="O149" s="1192" t="n"/>
      <c r="P149" s="1188" t="n"/>
      <c r="Q149" s="1192" t="n"/>
      <c r="R149" s="1188" t="n"/>
      <c r="S149" s="1192" t="n"/>
      <c r="T149" s="1188" t="n"/>
      <c r="U149" s="1192" t="n"/>
      <c r="V149" s="1188" t="n"/>
      <c r="W149" s="1192" t="n"/>
      <c r="X149" s="1188" t="n"/>
      <c r="Y149" s="1192" t="n"/>
      <c r="Z149" s="1188" t="n"/>
      <c r="AA149" s="1192" t="n"/>
      <c r="AB149" s="1188" t="n"/>
      <c r="AC149" s="1192" t="n"/>
      <c r="AD149" s="1188" t="n"/>
      <c r="AE149" s="1192" t="n"/>
      <c r="AF149" s="1188" t="n"/>
      <c r="AG149" s="1192" t="n"/>
      <c r="AH149" s="1188" t="n"/>
      <c r="AI149" s="1192" t="n"/>
      <c r="AJ149" s="1188" t="n"/>
      <c r="AK149" s="1192" t="n"/>
      <c r="AL149" s="1188" t="n">
        <v>2</v>
      </c>
      <c r="AM149" s="1226" t="n">
        <v>2</v>
      </c>
      <c r="AN149" s="1225" t="n">
        <v>0</v>
      </c>
      <c r="AO149" s="1118" t="n">
        <v>0</v>
      </c>
      <c r="AP149" s="1226" t="n">
        <v>10</v>
      </c>
      <c r="AQ149" s="5249" t="n">
        <v>0</v>
      </c>
      <c r="AR149" s="1223" t="n">
        <v>0</v>
      </c>
      <c r="AS149">
        <f>CA149&amp;CB149&amp;CC149</f>
        <v/>
      </c>
      <c r="CA149" s="260" t="n"/>
      <c r="CB149" s="90">
        <f>IF(AND($C149&gt;0,AQ149="")," * No olvide digitar la variable Pueblos originarios. Digite Cero si no tiene.",IF(AQ149&gt;$C149," * La variable Pueblos originarios No puede ser mayor al Total.",""))</f>
        <v/>
      </c>
      <c r="CC149" s="90">
        <f>IF(AND($C149&gt;0,AR149="")," * No olvide digitar la variable Migrantes. Digite Cero si no tiene.",IF(AR149&gt;$C149," * La variable Migrantes No puede ser mayor al Total.",""))</f>
        <v/>
      </c>
      <c r="CO149" s="221" t="n"/>
      <c r="CP149" s="221">
        <f>IF(AND($C149&gt;0,AQ149=""),1,IF(AQ149&gt;$C149,1,0))</f>
        <v/>
      </c>
      <c r="CQ149" s="221">
        <f>IF(AND($C149&gt;0,AR149=""),1,IF(AR149&gt;$C149,1,0))</f>
        <v/>
      </c>
    </row>
    <row r="150" ht="15" customHeight="1" s="8286">
      <c r="A150" s="9984" t="inlineStr">
        <is>
          <t>Dependencia severa (lesiones por presión)</t>
        </is>
      </c>
      <c r="B150" s="9639" t="n"/>
      <c r="C150" s="869">
        <f>SUM(D150:E150)</f>
        <v/>
      </c>
      <c r="D150" s="177">
        <f>SUM(F150+H150+J150+L150+N150+P150+R150+T150+V150+X150+Z150+AB150+AD150+AF150+AH150+AJ150+AL150)</f>
        <v/>
      </c>
      <c r="E150" s="7816">
        <f>SUM(G150+I150+K150+M150+O150+Q150+S150+U150+W150+Y150+AA150+AC150+AE150+AG150+AI150+AK150+AM150)</f>
        <v/>
      </c>
      <c r="F150" s="872" t="n"/>
      <c r="G150" s="1953" t="n"/>
      <c r="H150" s="872" t="n"/>
      <c r="I150" s="1953" t="n"/>
      <c r="J150" s="872" t="n"/>
      <c r="K150" s="1953" t="n"/>
      <c r="L150" s="872" t="n"/>
      <c r="M150" s="1953" t="n"/>
      <c r="N150" s="872" t="n"/>
      <c r="O150" s="1953" t="n"/>
      <c r="P150" s="872" t="n"/>
      <c r="Q150" s="1953" t="n"/>
      <c r="R150" s="872" t="n"/>
      <c r="S150" s="1953" t="n"/>
      <c r="T150" s="872" t="n"/>
      <c r="U150" s="1953" t="n"/>
      <c r="V150" s="872" t="n"/>
      <c r="W150" s="1953" t="n"/>
      <c r="X150" s="872" t="n"/>
      <c r="Y150" s="1953" t="n"/>
      <c r="Z150" s="872" t="n"/>
      <c r="AA150" s="1953" t="n"/>
      <c r="AB150" s="872" t="n"/>
      <c r="AC150" s="1953" t="n"/>
      <c r="AD150" s="872" t="n"/>
      <c r="AE150" s="1953" t="n"/>
      <c r="AF150" s="872" t="n"/>
      <c r="AG150" s="1953" t="n"/>
      <c r="AH150" s="872" t="n"/>
      <c r="AI150" s="1953" t="n"/>
      <c r="AJ150" s="872" t="n"/>
      <c r="AK150" s="1953" t="n"/>
      <c r="AL150" s="872" t="n"/>
      <c r="AM150" s="1954" t="n"/>
      <c r="AN150" s="159" t="n"/>
      <c r="AO150" s="155" t="n"/>
      <c r="AP150" s="1954" t="n"/>
      <c r="AQ150" s="5360" t="n"/>
      <c r="AR150" s="5362" t="n"/>
      <c r="AS150">
        <f>CA150&amp;CB150&amp;CC150</f>
        <v/>
      </c>
      <c r="CA150" s="260" t="n"/>
      <c r="CB150" s="90">
        <f>IF(AND($C150&gt;0,AQ150="")," * No olvide digitar la variable Pueblos originarios. Digite Cero si no tiene.",IF(AQ150&gt;$C150," * La variable Pueblos originarios No puede ser mayor al Total.",""))</f>
        <v/>
      </c>
      <c r="CC150" s="90">
        <f>IF(AND($C150&gt;0,AR150="")," * No olvide digitar la variable Migrantes. Digite Cero si no tiene.",IF(AR150&gt;$C150," * La variable Migrantes No puede ser mayor al Total.",""))</f>
        <v/>
      </c>
      <c r="CO150" s="221" t="n"/>
      <c r="CP150" s="221">
        <f>IF(AND($C150&gt;0,AQ150=""),1,IF(AQ150&gt;$C150,1,0))</f>
        <v/>
      </c>
      <c r="CQ150" s="221">
        <f>IF(AND($C150&gt;0,AR150=""),1,IF(AR150&gt;$C150,1,0))</f>
        <v/>
      </c>
    </row>
    <row r="151" ht="18" customFormat="1" customHeight="1" s="5">
      <c r="A151" s="646" t="inlineStr">
        <is>
          <t>SECCIÓN K: INGRESOS AL PROGRAMA DEL ADULTO MAYOR SEGÚN CONDICIÓN DE FUNCIONALIDAD Y DEPENDENCIA</t>
        </is>
      </c>
      <c r="B151" s="646" t="n"/>
      <c r="C151" s="3" t="n"/>
      <c r="D151" s="3" t="n"/>
      <c r="E151" s="3" t="n"/>
      <c r="F151" s="3" t="n"/>
      <c r="G151" s="3" t="n"/>
      <c r="H151" s="3" t="n"/>
      <c r="I151" s="3" t="n"/>
      <c r="J151" s="3" t="n"/>
      <c r="K151" s="3" t="n"/>
      <c r="L151" s="3" t="n"/>
      <c r="M151" s="2142" t="n"/>
      <c r="N151" s="2143" t="n"/>
      <c r="O151" s="2144" t="n"/>
    </row>
    <row r="152" ht="15" customHeight="1" s="8286">
      <c r="A152" s="9939" t="inlineStr">
        <is>
          <t>CONDICIÓN</t>
        </is>
      </c>
      <c r="B152" s="9630" t="n"/>
      <c r="C152" s="9240" t="inlineStr">
        <is>
          <t>TOTAL</t>
        </is>
      </c>
      <c r="D152" s="9584" t="n"/>
      <c r="E152" s="9647" t="n"/>
      <c r="F152" s="9240" t="inlineStr">
        <is>
          <t>65 - 69 años</t>
        </is>
      </c>
      <c r="G152" s="9647" t="n"/>
      <c r="H152" s="9240" t="inlineStr">
        <is>
          <t>70 - 74 años</t>
        </is>
      </c>
      <c r="I152" s="9647" t="n"/>
      <c r="J152" s="9240" t="inlineStr">
        <is>
          <t>75 - 79 años</t>
        </is>
      </c>
      <c r="K152" s="9647" t="n"/>
      <c r="L152" s="9976" t="inlineStr">
        <is>
          <t>80 y más años</t>
        </is>
      </c>
      <c r="M152" s="9595" t="n"/>
      <c r="N152" s="9916" t="inlineStr">
        <is>
          <t>Pueblos Originarios</t>
        </is>
      </c>
      <c r="O152" s="8400" t="inlineStr">
        <is>
          <t>Migrantes</t>
        </is>
      </c>
    </row>
    <row r="153" ht="15" customHeight="1" s="8286">
      <c r="A153" s="9638" t="n"/>
      <c r="B153" s="9639" t="n"/>
      <c r="C153" s="7932" t="inlineStr">
        <is>
          <t>Ambos Sexos</t>
        </is>
      </c>
      <c r="D153" s="2110" t="inlineStr">
        <is>
          <t>Hombres</t>
        </is>
      </c>
      <c r="E153" s="7729" t="inlineStr">
        <is>
          <t>Mujeres</t>
        </is>
      </c>
      <c r="F153" s="7932" t="inlineStr">
        <is>
          <t>Hombres</t>
        </is>
      </c>
      <c r="G153" s="7729" t="inlineStr">
        <is>
          <t>Mujeres</t>
        </is>
      </c>
      <c r="H153" s="7932" t="inlineStr">
        <is>
          <t>Hombres</t>
        </is>
      </c>
      <c r="I153" s="7729" t="inlineStr">
        <is>
          <t>Mujeres</t>
        </is>
      </c>
      <c r="J153" s="7932" t="inlineStr">
        <is>
          <t>Hombres</t>
        </is>
      </c>
      <c r="K153" s="7729" t="inlineStr">
        <is>
          <t>Mujeres</t>
        </is>
      </c>
      <c r="L153" s="7932" t="inlineStr">
        <is>
          <t>Hombres</t>
        </is>
      </c>
      <c r="M153" s="7684" t="inlineStr">
        <is>
          <t>Mujeres</t>
        </is>
      </c>
      <c r="N153" s="9890" t="n"/>
      <c r="O153" s="9610" t="n"/>
    </row>
    <row r="154" ht="15" customHeight="1" s="8286">
      <c r="A154" s="9985" t="inlineStr">
        <is>
          <t>EMPAM</t>
        </is>
      </c>
      <c r="B154" s="7748" t="inlineStr">
        <is>
          <t>Autovalente sin Riesgo</t>
        </is>
      </c>
      <c r="C154" s="2112">
        <f>SUM(D154:E154)</f>
        <v/>
      </c>
      <c r="D154" s="833">
        <f>SUM(F154+H154+J154+L154)</f>
        <v/>
      </c>
      <c r="E154" s="8308">
        <f>SUM(G154+I154+K154+M154)</f>
        <v/>
      </c>
      <c r="F154" s="1935" t="n">
        <v>11</v>
      </c>
      <c r="G154" s="1186" t="n">
        <v>15</v>
      </c>
      <c r="H154" s="1935" t="n">
        <v>8</v>
      </c>
      <c r="I154" s="1186" t="n">
        <v>5</v>
      </c>
      <c r="J154" s="1935" t="n">
        <v>3</v>
      </c>
      <c r="K154" s="1186" t="n">
        <v>2</v>
      </c>
      <c r="L154" s="1935" t="n">
        <v>3</v>
      </c>
      <c r="M154" s="1297" t="n">
        <v>1</v>
      </c>
      <c r="N154" s="5214" t="n">
        <v>0</v>
      </c>
      <c r="O154" s="1964" t="n">
        <v>0</v>
      </c>
      <c r="P154">
        <f>CA154&amp;CB154</f>
        <v/>
      </c>
      <c r="CA154" s="90">
        <f>IF(AND(C154&gt;0,N154="")," * No olvide digitar la variable Pueblos originarios. Digite Cero si no tiene.",IF(N154&gt;C154," * La variable Pueblos originarios No puede ser mayor al Total.",""))</f>
        <v/>
      </c>
      <c r="CB154" s="90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/>
      </c>
      <c r="CP154" s="221">
        <f>IF(AND($C154&gt;0,O154=""),1,IF(O154&gt;$C154,1,0))</f>
        <v/>
      </c>
    </row>
    <row r="155" ht="15" customHeight="1" s="8286">
      <c r="A155" s="9614" t="n"/>
      <c r="B155" s="1121" t="inlineStr">
        <is>
          <t>Autovalente con Riesgo</t>
        </is>
      </c>
      <c r="C155" s="1485">
        <f>SUM(D155:E155)</f>
        <v/>
      </c>
      <c r="D155" s="2134">
        <f>SUM(F155+H155+J155+L155)</f>
        <v/>
      </c>
      <c r="E155" s="8311">
        <f>SUM(G155+I155+K155+M155)</f>
        <v/>
      </c>
      <c r="F155" s="1935" t="n">
        <v>2</v>
      </c>
      <c r="G155" s="1186" t="n">
        <v>6</v>
      </c>
      <c r="H155" s="1935" t="n">
        <v>3</v>
      </c>
      <c r="I155" s="1186" t="n">
        <v>3</v>
      </c>
      <c r="J155" s="1935" t="n">
        <v>3</v>
      </c>
      <c r="K155" s="1186" t="n">
        <v>2</v>
      </c>
      <c r="L155" s="1935" t="n">
        <v>1</v>
      </c>
      <c r="M155" s="1297" t="n">
        <v>2</v>
      </c>
      <c r="N155" s="5214" t="n">
        <v>0</v>
      </c>
      <c r="O155" s="1964" t="n">
        <v>0</v>
      </c>
      <c r="P155">
        <f>CA155&amp;CB155</f>
        <v/>
      </c>
      <c r="CA155" s="90">
        <f>IF(AND(C155&gt;0,N155="")," * No olvide digitar la variable Pueblos originarios. Digite Cero si no tiene.",IF(N155&gt;C155," * La variable Pueblos originarios No puede ser mayor al Total.",""))</f>
        <v/>
      </c>
      <c r="CB155" s="90">
        <f>IF(AND(C155&gt;0,O155="")," * No olvide digitar la variable Migrantes. Digite Cero si no tiene.",IF(O155&gt;C155," * La variable Pueblos Migrantes No puede ser mayor al Total.",""))</f>
        <v/>
      </c>
      <c r="CO155" s="221">
        <f>IF(AND($C155&gt;0,N155=""),1,IF(N155&gt;$C155,1,0))</f>
        <v/>
      </c>
      <c r="CP155" s="221">
        <f>IF(AND($C155&gt;0,O155=""),1,IF(O155&gt;$C155,1,0))</f>
        <v/>
      </c>
    </row>
    <row r="156" ht="15" customHeight="1" s="8286">
      <c r="A156" s="9614" t="n"/>
      <c r="B156" s="2146" t="inlineStr">
        <is>
          <t>Riesgo de Dependencia</t>
        </is>
      </c>
      <c r="C156" s="1383">
        <f>SUM(D156:E156)</f>
        <v/>
      </c>
      <c r="D156" s="2135">
        <f>SUM(F156+H156+J156+L156)</f>
        <v/>
      </c>
      <c r="E156" s="1984">
        <f>SUM(G156+I156+K156+M156)</f>
        <v/>
      </c>
      <c r="F156" s="1935" t="n">
        <v>1</v>
      </c>
      <c r="G156" s="1186" t="n"/>
      <c r="H156" s="1935" t="n"/>
      <c r="I156" s="1186" t="n"/>
      <c r="J156" s="1935" t="n"/>
      <c r="K156" s="1186" t="n"/>
      <c r="L156" s="1935" t="n"/>
      <c r="M156" s="1297" t="n"/>
      <c r="N156" s="5214" t="n">
        <v>0</v>
      </c>
      <c r="O156" s="1964" t="n">
        <v>0</v>
      </c>
      <c r="P156">
        <f>CA156&amp;CB156</f>
        <v/>
      </c>
      <c r="CA156" s="90">
        <f>IF(AND(C156&gt;0,N156="")," * No olvide digitar la variable Pueblos originarios. Digite Cero si no tiene.",IF(N156&gt;C156," * La variable Pueblos originarios No puede ser mayor al Total.",""))</f>
        <v/>
      </c>
      <c r="CB156" s="90">
        <f>IF(AND(C156&gt;0,O156="")," * No olvide digitar la variable Migrantes. Digite Cero si no tiene.",IF(O156&gt;C156," * La variable Pueblos Migrantes No puede ser mayor al Total.",""))</f>
        <v/>
      </c>
      <c r="CO156" s="221">
        <f>IF(AND($C156&gt;0,N156=""),1,IF(N156&gt;$C156,1,0))</f>
        <v/>
      </c>
      <c r="CP156" s="221">
        <f>IF(AND($C156&gt;0,O156=""),1,IF(O156&gt;$C156,1,0))</f>
        <v/>
      </c>
    </row>
    <row r="157" ht="15" customFormat="1" customHeight="1" s="24">
      <c r="A157" s="9986" t="inlineStr">
        <is>
          <t>SUBTOTAL</t>
        </is>
      </c>
      <c r="B157" s="9647" t="n"/>
      <c r="C157" s="1988">
        <f>SUM(C154:C156)</f>
        <v/>
      </c>
      <c r="D157" s="2046">
        <f>SUM(D154:D156)</f>
        <v/>
      </c>
      <c r="E157" s="2147">
        <f>SUM(E154:E156)</f>
        <v/>
      </c>
      <c r="F157" s="1988">
        <f>SUM(F154:F156)</f>
        <v/>
      </c>
      <c r="G157" s="2147">
        <f>SUM(G154:G156)</f>
        <v/>
      </c>
      <c r="H157" s="1988">
        <f>SUM(H154:H156)</f>
        <v/>
      </c>
      <c r="I157" s="2147">
        <f>SUM(I154:I156)</f>
        <v/>
      </c>
      <c r="J157" s="1988">
        <f>SUM(J154:J156)</f>
        <v/>
      </c>
      <c r="K157" s="2147">
        <f>SUM(K154:K156)</f>
        <v/>
      </c>
      <c r="L157" s="1988">
        <f>SUM(L154:L156)</f>
        <v/>
      </c>
      <c r="M157" s="2069">
        <f>SUM(M154:M156)</f>
        <v/>
      </c>
      <c r="N157" s="5253">
        <f>SUM(N154:N156)</f>
        <v/>
      </c>
      <c r="O157" s="5262">
        <f>SUM(O154:O156)</f>
        <v/>
      </c>
    </row>
    <row r="158">
      <c r="A158" s="9933" t="inlineStr">
        <is>
          <t>BARTHEL</t>
        </is>
      </c>
      <c r="B158" s="1946" t="inlineStr">
        <is>
          <t>Dependiente Leve</t>
        </is>
      </c>
      <c r="C158" s="1978">
        <f>SUM(D158:E158)</f>
        <v/>
      </c>
      <c r="D158" s="796">
        <f>SUM(F158+H158+J158+L158)</f>
        <v/>
      </c>
      <c r="E158" s="8322">
        <f>SUM(G158+I158+K158+M158)</f>
        <v/>
      </c>
      <c r="F158" s="1935" t="n">
        <v>2</v>
      </c>
      <c r="G158" s="1186" t="n"/>
      <c r="H158" s="1935" t="n"/>
      <c r="I158" s="1186" t="n"/>
      <c r="J158" s="1935" t="n"/>
      <c r="K158" s="1186" t="n"/>
      <c r="L158" s="1935" t="n">
        <v>2</v>
      </c>
      <c r="M158" s="1297" t="n">
        <v>2</v>
      </c>
      <c r="N158" s="5214" t="n">
        <v>0</v>
      </c>
      <c r="O158" s="1964" t="n">
        <v>0</v>
      </c>
      <c r="P158">
        <f>CA158&amp;CB158</f>
        <v/>
      </c>
      <c r="CA158" s="90">
        <f>IF(AND(C158&gt;0,N158="")," * No olvide digitar la variable Pueblos originarios. Digite Cero si no tiene.",IF(N158&gt;C158," * La variable Pueblos originarios No puede ser mayor al Total.",""))</f>
        <v/>
      </c>
      <c r="CB158" s="90">
        <f>IF(AND(C158&gt;0,O158=""),"  * No olvide digitar la variable Migrantes. Digite Cero si no tiene.",IF(O158&gt;C158,"  * La variable Pueblos Migrantes No puede ser mayor al Total.",""))</f>
        <v/>
      </c>
      <c r="CO158" s="221">
        <f>IF(AND($C158&gt;0,N158=""),1,IF(N158&gt;$C158,1,0))</f>
        <v/>
      </c>
      <c r="CP158" s="221">
        <f>IF(AND($C158&gt;0,O158=""),1,IF(O158&gt;$C158,1,0))</f>
        <v/>
      </c>
    </row>
    <row r="159">
      <c r="A159" s="9614" t="n"/>
      <c r="B159" s="1121" t="inlineStr">
        <is>
          <t>Dependiente Moderado</t>
        </is>
      </c>
      <c r="C159" s="1485">
        <f>SUM(D159:E159)</f>
        <v/>
      </c>
      <c r="D159" s="2134">
        <f>SUM(F159+H159+J159+L159)</f>
        <v/>
      </c>
      <c r="E159" s="8311">
        <f>SUM(G159+I159+K159+M159)</f>
        <v/>
      </c>
      <c r="F159" s="1172" t="n"/>
      <c r="G159" s="1173" t="n"/>
      <c r="H159" s="1172" t="n"/>
      <c r="I159" s="1173" t="n"/>
      <c r="J159" s="1172" t="n"/>
      <c r="K159" s="1173" t="n"/>
      <c r="L159" s="1172" t="n"/>
      <c r="M159" s="1221" t="n">
        <v>1</v>
      </c>
      <c r="N159" s="5215" t="n">
        <v>0</v>
      </c>
      <c r="O159" s="3892" t="n">
        <v>0</v>
      </c>
      <c r="P159">
        <f>CA159&amp;CB159</f>
        <v/>
      </c>
      <c r="CA159" s="90">
        <f>IF(AND(C159&gt;0,N159=""),"  * No olvide digitar la variable Pueblos originarios. Digite Cero si no tiene.",IF(N159&gt;C159,"  * La variable Pueblos originarios No puede ser mayor al Total.",""))</f>
        <v/>
      </c>
      <c r="CB159" s="90">
        <f>IF(AND(C159&gt;0,O159=""),"  * No olvide digitar la variable Migrantes. Digite Cero si no tiene.",IF(O159&gt;C159,"  * La variable Pueblos Migrantes No puede ser mayor al Total.",""))</f>
        <v/>
      </c>
      <c r="CO159" s="221">
        <f>IF(AND($C159&gt;0,N159=""),1,IF(N159&gt;$C159,1,0))</f>
        <v/>
      </c>
      <c r="CP159" s="221">
        <f>IF(AND($C159&gt;0,O159=""),1,IF(O159&gt;$C159,1,0))</f>
        <v/>
      </c>
    </row>
    <row r="160">
      <c r="A160" s="9614" t="n"/>
      <c r="B160" s="1121" t="inlineStr">
        <is>
          <t>Dependiente Grave</t>
        </is>
      </c>
      <c r="C160" s="1485">
        <f>SUM(D160:E160)</f>
        <v/>
      </c>
      <c r="D160" s="2134">
        <f>SUM(F160+H160+J160+L160)</f>
        <v/>
      </c>
      <c r="E160" s="8311">
        <f>SUM(G160+I160+K160+M160)</f>
        <v/>
      </c>
      <c r="F160" s="1172" t="n"/>
      <c r="G160" s="1173" t="n"/>
      <c r="H160" s="1172" t="n"/>
      <c r="I160" s="1173" t="n"/>
      <c r="J160" s="1172" t="n"/>
      <c r="K160" s="1173" t="n">
        <v>1</v>
      </c>
      <c r="L160" s="1172" t="n"/>
      <c r="M160" s="1221" t="n"/>
      <c r="N160" s="5215" t="n">
        <v>0</v>
      </c>
      <c r="O160" s="3892" t="n">
        <v>0</v>
      </c>
      <c r="P160">
        <f>CA160&amp;CB160</f>
        <v/>
      </c>
      <c r="CA160" s="90">
        <f>IF(AND(C160&gt;0,N160=""),"  * No olvide digitar la variable Pueblos originarios. Digite Cero si no tiene.",IF(N160&gt;C160,"  * La variable Pueblos originarios No puede ser mayor al Total.",""))</f>
        <v/>
      </c>
      <c r="CB160" s="90">
        <f>IF(AND(C160&gt;0,O160=""),"  * No olvide digitar la variable Migrantes. Digite Cero si no tiene.",IF(O160&gt;C160,"  * La variable Pueblos Migrantes No puede ser mayor al Total.",""))</f>
        <v/>
      </c>
      <c r="CO160" s="221">
        <f>IF(AND($C160&gt;0,N160=""),1,IF(N160&gt;$C160,1,0))</f>
        <v/>
      </c>
      <c r="CP160" s="221">
        <f>IF(AND($C160&gt;0,O160=""),1,IF(O160&gt;$C160,1,0))</f>
        <v/>
      </c>
    </row>
    <row r="161">
      <c r="A161" s="9610" t="n"/>
      <c r="B161" s="1308" t="inlineStr">
        <is>
          <t>Dependiente Total</t>
        </is>
      </c>
      <c r="C161" s="1383">
        <f>SUM(D161:E161)</f>
        <v/>
      </c>
      <c r="D161" s="2135">
        <f>SUM(F161+H161+J161+L161)</f>
        <v/>
      </c>
      <c r="E161" s="1984">
        <f>SUM(G161+I161+K161+M161)</f>
        <v/>
      </c>
      <c r="F161" s="1179" t="n"/>
      <c r="G161" s="1180" t="n"/>
      <c r="H161" s="1179" t="n"/>
      <c r="I161" s="1180" t="n"/>
      <c r="J161" s="1179" t="n"/>
      <c r="K161" s="1180" t="n"/>
      <c r="L161" s="1179" t="n"/>
      <c r="M161" s="1231" t="n"/>
      <c r="N161" s="5248" t="n"/>
      <c r="O161" s="1229" t="n"/>
      <c r="P161">
        <f>CA161&amp;CB161</f>
        <v/>
      </c>
      <c r="CA161" s="90">
        <f>IF(AND(C161&gt;0,N161=""),"  * No olvide digitar la variable Pueblos originarios. Digite Cero si no tiene.",IF(N161&gt;C161,"  * La variable Pueblos originarios No puede ser mayor al Total.",""))</f>
        <v/>
      </c>
      <c r="CB161" s="90">
        <f>IF(AND(C161&gt;0,O161=""),"  * No olvide digitar la variable Migrantes. Digite Cero si no tiene.",IF(O161&gt;C161,"  * La variable Pueblos Migrantes No puede ser mayor al Total.",""))</f>
        <v/>
      </c>
      <c r="CO161" s="221">
        <f>IF(AND($C161&gt;0,N161=""),1,IF(N161&gt;$C161,1,0))</f>
        <v/>
      </c>
      <c r="CP161" s="221">
        <f>IF(AND($C161&gt;0,O161=""),1,IF(O161&gt;$C161,1,0))</f>
        <v/>
      </c>
    </row>
    <row r="162" ht="15" customFormat="1" customHeight="1" s="24">
      <c r="A162" s="9987" t="inlineStr">
        <is>
          <t>SUBTOTAL</t>
        </is>
      </c>
      <c r="B162" s="9776" t="n"/>
      <c r="C162" s="1988">
        <f>SUM(C158:C161)</f>
        <v/>
      </c>
      <c r="D162" s="2046">
        <f>SUM(D158:D161)</f>
        <v/>
      </c>
      <c r="E162" s="2147">
        <f>SUM(E158:E161)</f>
        <v/>
      </c>
      <c r="F162" s="1988">
        <f>SUM(F158:F161)</f>
        <v/>
      </c>
      <c r="G162" s="2147">
        <f>SUM(G158:G161)</f>
        <v/>
      </c>
      <c r="H162" s="1988">
        <f>SUM(H158:H161)</f>
        <v/>
      </c>
      <c r="I162" s="2147">
        <f>SUM(I158:I161)</f>
        <v/>
      </c>
      <c r="J162" s="1988">
        <f>SUM(J158:J161)</f>
        <v/>
      </c>
      <c r="K162" s="2147">
        <f>SUM(K158:K161)</f>
        <v/>
      </c>
      <c r="L162" s="1988">
        <f>SUM(L158:L161)</f>
        <v/>
      </c>
      <c r="M162" s="2069">
        <f>SUM(M158:M161)</f>
        <v/>
      </c>
      <c r="N162" s="5253">
        <f>SUM(N158:N161)</f>
        <v/>
      </c>
      <c r="O162" s="5262">
        <f>SUM(O158:O161)</f>
        <v/>
      </c>
    </row>
    <row r="163">
      <c r="A163" s="9987" t="inlineStr">
        <is>
          <t xml:space="preserve">TOTAL  </t>
        </is>
      </c>
      <c r="B163" s="9776" t="n"/>
      <c r="C163" s="869">
        <f>SUM(C157+C162)</f>
        <v/>
      </c>
      <c r="D163" s="177">
        <f>SUM(D157+D162)</f>
        <v/>
      </c>
      <c r="E163" s="7816">
        <f>SUM(E157+E162)</f>
        <v/>
      </c>
      <c r="F163" s="869">
        <f>SUM(F157+F162)</f>
        <v/>
      </c>
      <c r="G163" s="7816">
        <f>SUM(G157+G162)</f>
        <v/>
      </c>
      <c r="H163" s="869">
        <f>SUM(H157+H162)</f>
        <v/>
      </c>
      <c r="I163" s="7816">
        <f>SUM(I157+I162)</f>
        <v/>
      </c>
      <c r="J163" s="869">
        <f>SUM(J157+J162)</f>
        <v/>
      </c>
      <c r="K163" s="7816">
        <f>SUM(K157+K162)</f>
        <v/>
      </c>
      <c r="L163" s="869">
        <f>SUM(L157+L162)</f>
        <v/>
      </c>
      <c r="M163" s="2148">
        <f>SUM(M157+M162)</f>
        <v/>
      </c>
      <c r="N163" s="5367">
        <f>SUM(N157+N162)</f>
        <v/>
      </c>
      <c r="O163" s="5368">
        <f>SUM(O157+O162)</f>
        <v/>
      </c>
    </row>
    <row r="164" ht="18" customFormat="1" customHeight="1" s="5">
      <c r="A164" s="646" t="inlineStr">
        <is>
          <t>SECCIÓN L: EGRESOS DEL PROGRAMA DEL ADULTO MAYOR SEGÚN CONDICIÓN DE FUNCIONALIDAD Y DEPENDENCIA</t>
        </is>
      </c>
      <c r="B164" s="646" t="n"/>
      <c r="C164" s="3" t="n"/>
      <c r="D164" s="3" t="n"/>
      <c r="E164" s="3" t="n"/>
      <c r="F164" s="3" t="n"/>
      <c r="G164" s="3" t="n"/>
      <c r="H164" s="3" t="n"/>
      <c r="I164" s="3" t="n"/>
      <c r="J164" s="3" t="n"/>
      <c r="K164" s="3" t="n"/>
      <c r="L164" s="3" t="n"/>
      <c r="M164" s="3" t="n"/>
      <c r="N164" s="3" t="n"/>
      <c r="O164" s="3" t="n"/>
      <c r="P164" s="3" t="n"/>
      <c r="Q164" s="2143" t="n"/>
      <c r="R164" s="2144" t="n"/>
    </row>
    <row r="165">
      <c r="A165" s="9939" t="inlineStr">
        <is>
          <t>CONDICIÓN</t>
        </is>
      </c>
      <c r="B165" s="9630" t="n"/>
      <c r="C165" s="9240" t="inlineStr">
        <is>
          <t>TOTAL</t>
        </is>
      </c>
      <c r="D165" s="9584" t="n"/>
      <c r="E165" s="9647" t="n"/>
      <c r="F165" s="9240" t="inlineStr">
        <is>
          <t>65 - 69 años</t>
        </is>
      </c>
      <c r="G165" s="9647" t="n"/>
      <c r="H165" s="9240" t="inlineStr">
        <is>
          <t>70 - 74 años</t>
        </is>
      </c>
      <c r="I165" s="9647" t="n"/>
      <c r="J165" s="9240" t="inlineStr">
        <is>
          <t>75 - 79 años</t>
        </is>
      </c>
      <c r="K165" s="9647" t="n"/>
      <c r="L165" s="9976" t="inlineStr">
        <is>
          <t>80 y más años</t>
        </is>
      </c>
      <c r="M165" s="9595" t="n"/>
      <c r="N165" s="9988" t="inlineStr">
        <is>
          <t>CAUSAL DE EGRESO</t>
        </is>
      </c>
      <c r="O165" s="9617" t="n"/>
      <c r="P165" s="9597" t="n"/>
      <c r="Q165" s="9916" t="inlineStr">
        <is>
          <t>Pueblos Originarios</t>
        </is>
      </c>
      <c r="R165" s="8400" t="inlineStr">
        <is>
          <t>Migrantes</t>
        </is>
      </c>
    </row>
    <row r="166">
      <c r="A166" s="9638" t="n"/>
      <c r="B166" s="9639" t="n"/>
      <c r="C166" s="7932" t="inlineStr">
        <is>
          <t>Ambos Sexos</t>
        </is>
      </c>
      <c r="D166" s="2110" t="inlineStr">
        <is>
          <t>Hombres</t>
        </is>
      </c>
      <c r="E166" s="7729" t="inlineStr">
        <is>
          <t>Mujeres</t>
        </is>
      </c>
      <c r="F166" s="7932" t="inlineStr">
        <is>
          <t>Hombres</t>
        </is>
      </c>
      <c r="G166" s="7729" t="inlineStr">
        <is>
          <t>Mujeres</t>
        </is>
      </c>
      <c r="H166" s="7932" t="inlineStr">
        <is>
          <t>Hombres</t>
        </is>
      </c>
      <c r="I166" s="7729" t="inlineStr">
        <is>
          <t>Mujeres</t>
        </is>
      </c>
      <c r="J166" s="7932" t="inlineStr">
        <is>
          <t>Hombres</t>
        </is>
      </c>
      <c r="K166" s="7729" t="inlineStr">
        <is>
          <t>Mujeres</t>
        </is>
      </c>
      <c r="L166" s="7932" t="inlineStr">
        <is>
          <t>Hombres</t>
        </is>
      </c>
      <c r="M166" s="7927" t="inlineStr">
        <is>
          <t>Mujeres</t>
        </is>
      </c>
      <c r="N166" s="2150" t="inlineStr">
        <is>
          <t>Abandono</t>
        </is>
      </c>
      <c r="O166" s="2110" t="inlineStr">
        <is>
          <t>Traslado</t>
        </is>
      </c>
      <c r="P166" s="7684" t="inlineStr">
        <is>
          <t>Fallecimiento</t>
        </is>
      </c>
      <c r="Q166" s="9890" t="n"/>
      <c r="R166" s="9610" t="n"/>
    </row>
    <row r="167">
      <c r="A167" s="9985" t="inlineStr">
        <is>
          <t>EMPAM</t>
        </is>
      </c>
      <c r="B167" s="7748" t="inlineStr">
        <is>
          <t>Autovalente sin Riesgo</t>
        </is>
      </c>
      <c r="C167" s="2151">
        <f>SUM(D167:E167)</f>
        <v/>
      </c>
      <c r="D167" s="840">
        <f>SUM(F167+H167+J167+L167)</f>
        <v/>
      </c>
      <c r="E167" s="2152">
        <f>SUM(G167+I167+K167+M167)</f>
        <v/>
      </c>
      <c r="F167" s="2022" t="n"/>
      <c r="G167" s="2029" t="n"/>
      <c r="H167" s="2022" t="n"/>
      <c r="I167" s="2029" t="n"/>
      <c r="J167" s="2022" t="n"/>
      <c r="K167" s="2029" t="n"/>
      <c r="L167" s="2022" t="n"/>
      <c r="M167" s="2115" t="n"/>
      <c r="N167" s="2025" t="n"/>
      <c r="O167" s="835" t="n"/>
      <c r="P167" s="1983" t="n"/>
      <c r="Q167" s="5213" t="n"/>
      <c r="R167" s="5189" t="n"/>
      <c r="S167">
        <f>CA167&amp;CB167&amp;CC167</f>
        <v/>
      </c>
      <c r="CA167" s="90">
        <f>IF(AND(C167&gt;0,Q167=""),"  * No olvide digitar la variable Pueblos originarios. Digite Cero si no tiene.",IF(Q167&gt;C167," * La variable Pueblos originarios No puede ser mayor al Total.",""))</f>
        <v/>
      </c>
      <c r="CB167" s="90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/>
      </c>
      <c r="CP167" s="221">
        <f>IF(AND(C167&gt;0,R167=""),1,IF(R167&gt;C167,1,0))</f>
        <v/>
      </c>
    </row>
    <row r="168">
      <c r="A168" s="9614" t="n"/>
      <c r="B168" s="1121" t="inlineStr">
        <is>
          <t>Autovalente con Riesgo</t>
        </is>
      </c>
      <c r="C168" s="1162">
        <f>SUM(D168:E168)</f>
        <v/>
      </c>
      <c r="D168" s="2153">
        <f>SUM(F168+H168+J168+L168)</f>
        <v/>
      </c>
      <c r="E168" s="1171">
        <f>SUM(G168+I168+K168+M168)</f>
        <v/>
      </c>
      <c r="F168" s="1172" t="n"/>
      <c r="G168" s="1173" t="n"/>
      <c r="H168" s="1172" t="n"/>
      <c r="I168" s="1173" t="n"/>
      <c r="J168" s="1172" t="n"/>
      <c r="K168" s="1173" t="n"/>
      <c r="L168" s="1172" t="n"/>
      <c r="M168" s="1222" t="n"/>
      <c r="N168" s="887" t="n"/>
      <c r="O168" s="2001" t="n"/>
      <c r="P168" s="1221" t="n"/>
      <c r="Q168" s="5215" t="n"/>
      <c r="R168" s="3892" t="n"/>
      <c r="S168">
        <f>CA168&amp;CB168&amp;CC168</f>
        <v/>
      </c>
      <c r="CA168" s="90">
        <f>IF(AND(C168&gt;0,Q168=""),"   * No olvide digitar la variable Pueblos originarios. Digite Cero si no tiene.",IF(Q168&gt;C168," *  La variable Pueblos originarios No puede ser mayor al Total.",""))</f>
        <v/>
      </c>
      <c r="CB168" s="90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/>
      </c>
      <c r="CP168" s="221">
        <f>IF(AND(C168&gt;0,R168=""),1,IF(R168&gt;C168,1,0))</f>
        <v/>
      </c>
    </row>
    <row r="169">
      <c r="A169" s="9614" t="n"/>
      <c r="B169" s="2146" t="inlineStr">
        <is>
          <t>Riesgo de Dependencia</t>
        </is>
      </c>
      <c r="C169" s="1190">
        <f>SUM(D169:E169)</f>
        <v/>
      </c>
      <c r="D169" s="1248">
        <f>SUM(F169+H169+J169+L169)</f>
        <v/>
      </c>
      <c r="E169" s="2154">
        <f>SUM(G169+I169+K169+M169)</f>
        <v/>
      </c>
      <c r="F169" s="1179" t="n"/>
      <c r="G169" s="1180" t="n"/>
      <c r="H169" s="1179" t="n"/>
      <c r="I169" s="1180" t="n"/>
      <c r="J169" s="1179" t="n"/>
      <c r="K169" s="1180" t="n"/>
      <c r="L169" s="1179" t="n"/>
      <c r="M169" s="35" t="n"/>
      <c r="N169" s="1230" t="n"/>
      <c r="O169" s="1228" t="n"/>
      <c r="P169" s="1231" t="n"/>
      <c r="Q169" s="5248" t="n"/>
      <c r="R169" s="1229" t="n"/>
      <c r="S169">
        <f>CA169&amp;CB169&amp;CC169</f>
        <v/>
      </c>
      <c r="CA169" s="90">
        <f>IF(AND(C169&gt;0,Q169=""),"   * No olvide digitar la variable Pueblos originarios. Digite Cero si no tiene.",IF(Q169&gt;C169," *  La variable Pueblos originarios No puede ser mayor al Total.",""))</f>
        <v/>
      </c>
      <c r="CB169" s="90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/>
      </c>
      <c r="CP169" s="221">
        <f>IF(AND(C169&gt;0,R169=""),1,IF(R169&gt;C169,1,0))</f>
        <v/>
      </c>
    </row>
    <row r="170" ht="15" customHeight="1" s="8286">
      <c r="A170" s="9986" t="inlineStr">
        <is>
          <t>SUBTOTAL</t>
        </is>
      </c>
      <c r="B170" s="9647" t="n"/>
      <c r="C170" s="2155">
        <f>SUM(C167:C169)</f>
        <v/>
      </c>
      <c r="D170" s="2156">
        <f>SUM(D167:D169)</f>
        <v/>
      </c>
      <c r="E170" s="2157">
        <f>SUM(E167:E169)</f>
        <v/>
      </c>
      <c r="F170" s="2155">
        <f>SUM(F167:F169)</f>
        <v/>
      </c>
      <c r="G170" s="2157">
        <f>SUM(G167:G169)</f>
        <v/>
      </c>
      <c r="H170" s="2155">
        <f>SUM(H167:H169)</f>
        <v/>
      </c>
      <c r="I170" s="2157">
        <f>SUM(I167:I169)</f>
        <v/>
      </c>
      <c r="J170" s="2155">
        <f>SUM(J167:J169)</f>
        <v/>
      </c>
      <c r="K170" s="2157">
        <f>SUM(K167:K169)</f>
        <v/>
      </c>
      <c r="L170" s="2155">
        <f>SUM(L167:L169)</f>
        <v/>
      </c>
      <c r="M170" s="2158">
        <f>SUM(M167:M169)</f>
        <v/>
      </c>
      <c r="N170" s="2159">
        <f>SUM(N167:N169)</f>
        <v/>
      </c>
      <c r="O170" s="2156">
        <f>SUM(O167:O169)</f>
        <v/>
      </c>
      <c r="P170" s="2160">
        <f>SUM(P167:P169)</f>
        <v/>
      </c>
      <c r="Q170" s="5369">
        <f>SUM(Q167:Q169)</f>
        <v/>
      </c>
      <c r="R170" s="5371">
        <f>SUM(R167:R169)</f>
        <v/>
      </c>
    </row>
    <row r="171">
      <c r="A171" s="9933" t="inlineStr">
        <is>
          <t>BARTHEL</t>
        </is>
      </c>
      <c r="B171" s="1946" t="inlineStr">
        <is>
          <t>Dependiente Leve</t>
        </is>
      </c>
      <c r="C171" s="1926">
        <f>SUM(D171:E171)</f>
        <v/>
      </c>
      <c r="D171" s="791">
        <f>SUM(F171+H171+J171+L171)</f>
        <v/>
      </c>
      <c r="E171" s="1161">
        <f>SUM(G171+I171+K171+M171)</f>
        <v/>
      </c>
      <c r="F171" s="1935" t="n"/>
      <c r="G171" s="1186" t="n"/>
      <c r="H171" s="1935" t="n"/>
      <c r="I171" s="1186" t="n"/>
      <c r="J171" s="1935" t="n"/>
      <c r="K171" s="1186" t="n"/>
      <c r="L171" s="1935" t="n"/>
      <c r="M171" s="36" t="n"/>
      <c r="N171" s="1966" t="n"/>
      <c r="O171" s="793" t="n"/>
      <c r="P171" s="1297" t="n"/>
      <c r="Q171" s="5214" t="n"/>
      <c r="R171" s="1964" t="n"/>
      <c r="S171">
        <f>CA171&amp;CB171&amp;CC171</f>
        <v/>
      </c>
      <c r="CA171" s="90">
        <f>IF(AND(C171&gt;0,Q171=""),"   * No olvide digitar la variable Pueblos originarios. Digite Cero si no tiene.",IF(Q171&gt;C171," *  La variable Pueblos originarios No puede ser mayor al Total.",""))</f>
        <v/>
      </c>
      <c r="CB171" s="90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/>
      </c>
      <c r="CP171" s="221">
        <f>IF(AND(C171&gt;0,R171=""),1,IF(R171&gt;C171,1,0))</f>
        <v/>
      </c>
    </row>
    <row r="172">
      <c r="A172" s="9614" t="n"/>
      <c r="B172" s="1121" t="inlineStr">
        <is>
          <t>Dependiente Moderado</t>
        </is>
      </c>
      <c r="C172" s="1162">
        <f>SUM(D172:E172)</f>
        <v/>
      </c>
      <c r="D172" s="2153">
        <f>SUM(F172+H172+J172+L172)</f>
        <v/>
      </c>
      <c r="E172" s="1171">
        <f>SUM(G172+I172+K172+M172)</f>
        <v/>
      </c>
      <c r="F172" s="1172" t="n"/>
      <c r="G172" s="1173" t="n"/>
      <c r="H172" s="1172" t="n"/>
      <c r="I172" s="1173" t="n"/>
      <c r="J172" s="1172" t="n"/>
      <c r="K172" s="1173" t="n"/>
      <c r="L172" s="1172" t="n"/>
      <c r="M172" s="1222" t="n"/>
      <c r="N172" s="887" t="n"/>
      <c r="O172" s="2001" t="n"/>
      <c r="P172" s="1221" t="n"/>
      <c r="Q172" s="5215" t="n"/>
      <c r="R172" s="3892" t="n"/>
      <c r="S172">
        <f>CA172&amp;CB172&amp;CC172</f>
        <v/>
      </c>
      <c r="CA172" s="90">
        <f>IF(AND(C172&gt;0,Q172=""),"   * No olvide digitar la variable Pueblos originarios. Digite Cero si no tiene.",IF(Q172&gt;C172," *  La variable Pueblos originarios No puede ser mayor al Total.",""))</f>
        <v/>
      </c>
      <c r="CB172" s="90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/>
      </c>
      <c r="CP172" s="221">
        <f>IF(AND(C172&gt;0,R172=""),1,IF(R172&gt;C172,1,0))</f>
        <v/>
      </c>
    </row>
    <row r="173">
      <c r="A173" s="9614" t="n"/>
      <c r="B173" s="1121" t="inlineStr">
        <is>
          <t>Dependiente Grave</t>
        </is>
      </c>
      <c r="C173" s="1162">
        <f>SUM(D173:E173)</f>
        <v/>
      </c>
      <c r="D173" s="2153">
        <f>SUM(F173+H173+J173+L173)</f>
        <v/>
      </c>
      <c r="E173" s="1171">
        <f>SUM(G173+I173+K173+M173)</f>
        <v/>
      </c>
      <c r="F173" s="1172" t="n"/>
      <c r="G173" s="1173" t="n"/>
      <c r="H173" s="1172" t="n"/>
      <c r="I173" s="1173" t="n"/>
      <c r="J173" s="1172" t="n"/>
      <c r="K173" s="1173" t="n"/>
      <c r="L173" s="1172" t="n"/>
      <c r="M173" s="1222" t="n"/>
      <c r="N173" s="887" t="n"/>
      <c r="O173" s="2001" t="n"/>
      <c r="P173" s="1221" t="n"/>
      <c r="Q173" s="5215" t="n"/>
      <c r="R173" s="3892" t="n"/>
      <c r="S173">
        <f>CA173&amp;CB173&amp;CC173</f>
        <v/>
      </c>
      <c r="CA173" s="90">
        <f>IF(AND(C173&gt;0,Q173=""),"   * No olvide digitar la variable Pueblos originarios. Digite Cero si no tiene.",IF(Q173&gt;C173," *  La variable Pueblos originarios No puede ser mayor al Total.",""))</f>
        <v/>
      </c>
      <c r="CB173" s="90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/>
      </c>
      <c r="CP173" s="221">
        <f>IF(AND(C173&gt;0,R173=""),1,IF(R173&gt;C173,1,0))</f>
        <v/>
      </c>
    </row>
    <row r="174">
      <c r="A174" s="9610" t="n"/>
      <c r="B174" s="1308" t="inlineStr">
        <is>
          <t>Dependiente Total</t>
        </is>
      </c>
      <c r="C174" s="1190">
        <f>SUM(D174:E174)</f>
        <v/>
      </c>
      <c r="D174" s="1248">
        <f>SUM(F174+H174+J174+L174)</f>
        <v/>
      </c>
      <c r="E174" s="2154">
        <f>SUM(G174+I174+K174+M174)</f>
        <v/>
      </c>
      <c r="F174" s="1179" t="n"/>
      <c r="G174" s="1180" t="n"/>
      <c r="H174" s="1179" t="n"/>
      <c r="I174" s="1180" t="n"/>
      <c r="J174" s="1179" t="n"/>
      <c r="K174" s="1180" t="n"/>
      <c r="L174" s="1179" t="n"/>
      <c r="M174" s="35" t="n"/>
      <c r="N174" s="1230" t="n"/>
      <c r="O174" s="1228" t="n"/>
      <c r="P174" s="1231" t="n"/>
      <c r="Q174" s="5248" t="n"/>
      <c r="R174" s="1229" t="n"/>
      <c r="S174">
        <f>CA174&amp;CB174&amp;CC174</f>
        <v/>
      </c>
      <c r="CA174" s="90">
        <f>IF(AND(C174&gt;0,Q174=""),"   * No olvide digitar la variable Pueblos originarios. Digite Cero si no tiene.",IF(Q174&gt;C174," *  La variable Pueblos originarios No puede ser mayor al Total.",""))</f>
        <v/>
      </c>
      <c r="CB174" s="90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/>
      </c>
      <c r="CP174" s="221">
        <f>IF(AND(C174&gt;0,R174=""),1,IF(R174&gt;C174,1,0))</f>
        <v/>
      </c>
    </row>
    <row r="175" ht="15" customHeight="1" s="8286">
      <c r="A175" s="9987" t="inlineStr">
        <is>
          <t>SUBTOTAL</t>
        </is>
      </c>
      <c r="B175" s="9776" t="n"/>
      <c r="C175" s="2155">
        <f>SUM(C171:C174)</f>
        <v/>
      </c>
      <c r="D175" s="2156">
        <f>SUM(D171:D174)</f>
        <v/>
      </c>
      <c r="E175" s="2157">
        <f>SUM(E171:E174)</f>
        <v/>
      </c>
      <c r="F175" s="2155">
        <f>SUM(F171:F174)</f>
        <v/>
      </c>
      <c r="G175" s="2157">
        <f>SUM(G171:G174)</f>
        <v/>
      </c>
      <c r="H175" s="2155">
        <f>SUM(H171:H174)</f>
        <v/>
      </c>
      <c r="I175" s="2157">
        <f>SUM(I171:I174)</f>
        <v/>
      </c>
      <c r="J175" s="2155">
        <f>SUM(J171:J174)</f>
        <v/>
      </c>
      <c r="K175" s="2157">
        <f>SUM(K171:K174)</f>
        <v/>
      </c>
      <c r="L175" s="2155">
        <f>SUM(L171:L174)</f>
        <v/>
      </c>
      <c r="M175" s="2158">
        <f>SUM(M171:M174)</f>
        <v/>
      </c>
      <c r="N175" s="2159">
        <f>SUM(N171:N174)</f>
        <v/>
      </c>
      <c r="O175" s="2156">
        <f>SUM(O171:O174)</f>
        <v/>
      </c>
      <c r="P175" s="2160">
        <f>SUM(P171:P174)</f>
        <v/>
      </c>
      <c r="Q175" s="5369">
        <f>SUM(Q171:Q174)</f>
        <v/>
      </c>
      <c r="R175" s="5371">
        <f>SUM(R171:R174)</f>
        <v/>
      </c>
    </row>
    <row r="176">
      <c r="A176" s="9987" t="inlineStr">
        <is>
          <t xml:space="preserve">TOTAL  </t>
        </is>
      </c>
      <c r="B176" s="9776" t="n"/>
      <c r="C176" s="870">
        <f>SUM(C170+C175)</f>
        <v/>
      </c>
      <c r="D176" s="179">
        <f>SUM(D170+D175)</f>
        <v/>
      </c>
      <c r="E176" s="2161">
        <f>SUM(E170+E175)</f>
        <v/>
      </c>
      <c r="F176" s="870">
        <f>SUM(F170+F175)</f>
        <v/>
      </c>
      <c r="G176" s="2161">
        <f>SUM(G170+G175)</f>
        <v/>
      </c>
      <c r="H176" s="870">
        <f>SUM(H170+H175)</f>
        <v/>
      </c>
      <c r="I176" s="2161">
        <f>SUM(I170+I175)</f>
        <v/>
      </c>
      <c r="J176" s="870">
        <f>SUM(J170+J175)</f>
        <v/>
      </c>
      <c r="K176" s="2161">
        <f>SUM(K170+K175)</f>
        <v/>
      </c>
      <c r="L176" s="870">
        <f>SUM(L170+L175)</f>
        <v/>
      </c>
      <c r="M176" s="2162">
        <f>SUM(M170+M175)</f>
        <v/>
      </c>
      <c r="N176" s="180">
        <f>SUM(N170+N175)</f>
        <v/>
      </c>
      <c r="O176" s="179">
        <f>SUM(O170+O175)</f>
        <v/>
      </c>
      <c r="P176" s="2163">
        <f>SUM(P170+P175)</f>
        <v/>
      </c>
      <c r="Q176" s="5370">
        <f>SUM(Q170+Q175)</f>
        <v/>
      </c>
      <c r="R176" s="5372">
        <f>SUM(R170+R175)</f>
        <v/>
      </c>
    </row>
    <row r="177" ht="18" customFormat="1" customHeight="1" s="5">
      <c r="A177" s="646" t="inlineStr">
        <is>
          <t>SECCIÓN M: INGRESOS Y EGRESOS DEL PROGRAMA MÁS ADULTOS MAYORES AUTOVALENTES</t>
        </is>
      </c>
      <c r="B177" s="646" t="n"/>
      <c r="C177" s="3" t="n"/>
      <c r="D177" s="3" t="n"/>
      <c r="E177" s="3" t="n"/>
      <c r="F177" s="3" t="n"/>
      <c r="G177" s="3" t="n"/>
      <c r="H177" s="3" t="n"/>
      <c r="I177" s="3" t="n"/>
      <c r="J177" s="3" t="n"/>
      <c r="K177" s="3" t="n"/>
      <c r="L177" s="3" t="n"/>
      <c r="M177" s="3" t="n"/>
      <c r="N177" s="3" t="n"/>
      <c r="O177" s="3" t="n"/>
      <c r="P177" s="3" t="n"/>
      <c r="Q177" s="3" t="n"/>
    </row>
    <row r="178" ht="15" customHeight="1" s="8286">
      <c r="A178" s="9939" t="inlineStr">
        <is>
          <t>CONDICIÓN</t>
        </is>
      </c>
      <c r="B178" s="9630" t="n"/>
      <c r="C178" s="7834" t="inlineStr">
        <is>
          <t>TOTAL</t>
        </is>
      </c>
      <c r="D178" s="9584" t="n"/>
      <c r="E178" s="9647" t="n"/>
      <c r="F178" s="9240" t="inlineStr">
        <is>
          <t>60 - 64 años</t>
        </is>
      </c>
      <c r="G178" s="9647" t="n"/>
      <c r="H178" s="9240" t="inlineStr">
        <is>
          <t>65 - 69 años</t>
        </is>
      </c>
      <c r="I178" s="9647" t="n"/>
      <c r="J178" s="9240" t="inlineStr">
        <is>
          <t>70 - 74 años</t>
        </is>
      </c>
      <c r="K178" s="9647" t="n"/>
      <c r="L178" s="9240" t="inlineStr">
        <is>
          <t>75 - 79 años</t>
        </is>
      </c>
      <c r="M178" s="9647" t="n"/>
      <c r="N178" s="9976" t="inlineStr">
        <is>
          <t>80 y más años</t>
        </is>
      </c>
      <c r="O178" s="9595" t="n"/>
      <c r="P178" s="9916" t="inlineStr">
        <is>
          <t>Pueblos Originarios</t>
        </is>
      </c>
      <c r="Q178" s="8400" t="inlineStr">
        <is>
          <t>Migrantes</t>
        </is>
      </c>
    </row>
    <row r="179" ht="15" customHeight="1" s="8286">
      <c r="A179" s="9638" t="n"/>
      <c r="B179" s="9639" t="n"/>
      <c r="C179" s="7932" t="inlineStr">
        <is>
          <t>Ambos Sexos</t>
        </is>
      </c>
      <c r="D179" s="2110" t="inlineStr">
        <is>
          <t>Hombres</t>
        </is>
      </c>
      <c r="E179" s="7729" t="inlineStr">
        <is>
          <t>Mujeres</t>
        </is>
      </c>
      <c r="F179" s="7932" t="inlineStr">
        <is>
          <t>Hombres</t>
        </is>
      </c>
      <c r="G179" s="7729" t="inlineStr">
        <is>
          <t>Mujeres</t>
        </is>
      </c>
      <c r="H179" s="7932" t="inlineStr">
        <is>
          <t>Hombres</t>
        </is>
      </c>
      <c r="I179" s="7729" t="inlineStr">
        <is>
          <t>Mujeres</t>
        </is>
      </c>
      <c r="J179" s="7932" t="inlineStr">
        <is>
          <t>Hombres</t>
        </is>
      </c>
      <c r="K179" s="7729" t="inlineStr">
        <is>
          <t>Mujeres</t>
        </is>
      </c>
      <c r="L179" s="7932" t="inlineStr">
        <is>
          <t>Hombres</t>
        </is>
      </c>
      <c r="M179" s="7729" t="inlineStr">
        <is>
          <t>Mujeres</t>
        </is>
      </c>
      <c r="N179" s="7932" t="inlineStr">
        <is>
          <t>Hombres</t>
        </is>
      </c>
      <c r="O179" s="1981" t="inlineStr">
        <is>
          <t>Mujeres</t>
        </is>
      </c>
      <c r="P179" s="9890" t="n"/>
      <c r="Q179" s="9610" t="n"/>
    </row>
    <row r="180" ht="15" customHeight="1" s="8286">
      <c r="A180" s="9933" t="inlineStr">
        <is>
          <t>Ingreso</t>
        </is>
      </c>
      <c r="B180" s="7748" t="inlineStr">
        <is>
          <t>Autovalente sin Riesgo</t>
        </is>
      </c>
      <c r="C180" s="2112">
        <f>SUM(D180+E180)</f>
        <v/>
      </c>
      <c r="D180" s="833">
        <f>SUM(F180+H180+J180+L180+N180)</f>
        <v/>
      </c>
      <c r="E180" s="8308">
        <f>SUM(G180+I180+K180+M180+O180)</f>
        <v/>
      </c>
      <c r="F180" s="2022" t="n">
        <v>1</v>
      </c>
      <c r="G180" s="2029" t="n">
        <v>21</v>
      </c>
      <c r="H180" s="2022" t="n">
        <v>5</v>
      </c>
      <c r="I180" s="2029" t="n">
        <v>21</v>
      </c>
      <c r="J180" s="2022" t="n">
        <v>4</v>
      </c>
      <c r="K180" s="2029" t="n">
        <v>18</v>
      </c>
      <c r="L180" s="2022" t="n">
        <v>1</v>
      </c>
      <c r="M180" s="2029" t="n">
        <v>8</v>
      </c>
      <c r="N180" s="2022" t="n">
        <v>2</v>
      </c>
      <c r="O180" s="1940" t="n">
        <v>4</v>
      </c>
      <c r="P180" s="5213" t="n">
        <v>0</v>
      </c>
      <c r="Q180" s="5189" t="n">
        <v>0</v>
      </c>
      <c r="R180">
        <f>CA180&amp;CB180</f>
        <v/>
      </c>
      <c r="CA180" s="90">
        <f>IF(AND(C180&gt;0,P180="")," * No olvide digitar la variable Pueblos originarios. Digite Cero si no tiene.",IF(P180&gt;C180," * La variable Pueblos originarios No puede ser mayor al Total.",""))</f>
        <v/>
      </c>
      <c r="CB180" s="90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/>
      </c>
      <c r="CP180" s="221">
        <f>IF(AND(C180&gt;0,Q180=""),1,IF(Q180&gt;C180,1,0))</f>
        <v/>
      </c>
    </row>
    <row r="181" ht="15" customHeight="1" s="8286">
      <c r="A181" s="9614" t="n"/>
      <c r="B181" s="1121" t="inlineStr">
        <is>
          <t>Autovalente con Riesgo</t>
        </is>
      </c>
      <c r="C181" s="1485">
        <f>SUM(D181+E181)</f>
        <v/>
      </c>
      <c r="D181" s="2134">
        <f>SUM(H181+J181+L181+N181)</f>
        <v/>
      </c>
      <c r="E181" s="8311">
        <f>SUM(I181+K181+M181+O181)</f>
        <v/>
      </c>
      <c r="F181" s="1325" t="n"/>
      <c r="G181" s="1289" t="n"/>
      <c r="H181" s="1935" t="n">
        <v>1</v>
      </c>
      <c r="I181" s="1186" t="n">
        <v>11</v>
      </c>
      <c r="J181" s="1935" t="n">
        <v>3</v>
      </c>
      <c r="K181" s="1186" t="n">
        <v>5</v>
      </c>
      <c r="L181" s="1935" t="n">
        <v>0</v>
      </c>
      <c r="M181" s="1186" t="n">
        <v>4</v>
      </c>
      <c r="N181" s="1935" t="n">
        <v>1</v>
      </c>
      <c r="O181" s="792" t="n">
        <v>7</v>
      </c>
      <c r="P181" s="5214" t="n">
        <v>0</v>
      </c>
      <c r="Q181" s="1964" t="n">
        <v>0</v>
      </c>
      <c r="R181">
        <f>CA181&amp;CB181</f>
        <v/>
      </c>
      <c r="CA181" s="90">
        <f>IF(AND(C181&gt;0,P181=""),"   * No olvide digitar la variable Pueblos originarios. Digite Cero si no tiene.",IF(P181&gt;C181," *  La variable Pueblos originarios No puede ser mayor al Total.",""))</f>
        <v/>
      </c>
      <c r="CB181" s="90">
        <f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/>
      </c>
      <c r="CP181" s="221">
        <f>IF(AND(C181&gt;0,Q181=""),1,IF(Q181&gt;C181,1,0))</f>
        <v/>
      </c>
    </row>
    <row r="182" ht="15" customHeight="1" s="8286">
      <c r="A182" s="9614" t="n"/>
      <c r="B182" s="1308" t="inlineStr">
        <is>
          <t>Riesgo de Dependencia</t>
        </is>
      </c>
      <c r="C182" s="1360">
        <f>SUM(D182+E182)</f>
        <v/>
      </c>
      <c r="D182" s="1358">
        <f>SUM(H182+J182+L182+N182)</f>
        <v/>
      </c>
      <c r="E182" s="7764">
        <f>SUM(I182+K182+M182+O182)</f>
        <v/>
      </c>
      <c r="F182" s="1312" t="n"/>
      <c r="G182" s="1314" t="n"/>
      <c r="H182" s="1188" t="n">
        <v>0</v>
      </c>
      <c r="I182" s="1192" t="n">
        <v>1</v>
      </c>
      <c r="J182" s="1188" t="n">
        <v>0</v>
      </c>
      <c r="K182" s="1192" t="n">
        <v>0</v>
      </c>
      <c r="L182" s="1188" t="n">
        <v>1</v>
      </c>
      <c r="M182" s="1192" t="n">
        <v>0</v>
      </c>
      <c r="N182" s="1188" t="n">
        <v>0</v>
      </c>
      <c r="O182" s="1224" t="n">
        <v>1</v>
      </c>
      <c r="P182" s="5249" t="n">
        <v>0</v>
      </c>
      <c r="Q182" s="1223" t="n">
        <v>0</v>
      </c>
      <c r="R182">
        <f>CA182&amp;CB182</f>
        <v/>
      </c>
      <c r="CA182" s="90">
        <f>IF(AND(C182&gt;0,P182=""),"   * No olvide digitar la variable Pueblos originarios. Digite Cero si no tiene.",IF(P182&gt;C182," *  La variable Pueblos originarios No puede ser mayor al Total.",""))</f>
        <v/>
      </c>
      <c r="CB182" s="90">
        <f>IF(AND(C182&gt;0,Q182="")," * No olvide digitar la variable Migrantes. Digite Cero si no tiene.",IF(Q182&gt;C182," * La variable Migrantes No puede ser mayor al Total.",""))</f>
        <v/>
      </c>
      <c r="CO182" s="221">
        <f>IF(AND(C182&gt;0,P182=""),1,IF(P182&gt;C182,1,0))</f>
        <v/>
      </c>
      <c r="CP182" s="221">
        <f>IF(AND(C182&gt;0,Q182=""),1,IF(Q182&gt;C182,1,0))</f>
        <v/>
      </c>
    </row>
    <row r="183" ht="15" customHeight="1" s="8286">
      <c r="A183" s="9610" t="n"/>
      <c r="B183" s="7727" t="inlineStr">
        <is>
          <t>TOTAL INGRESOS</t>
        </is>
      </c>
      <c r="C183" s="869">
        <f>SUM(C180:C182)</f>
        <v/>
      </c>
      <c r="D183" s="177">
        <f>SUM(D180:D182)</f>
        <v/>
      </c>
      <c r="E183" s="7816">
        <f>SUM(E180:E182)</f>
        <v/>
      </c>
      <c r="F183" s="869">
        <f>SUM(F180:F182)</f>
        <v/>
      </c>
      <c r="G183" s="7816">
        <f>SUM(G180:G182)</f>
        <v/>
      </c>
      <c r="H183" s="869">
        <f>SUM(H180:H182)</f>
        <v/>
      </c>
      <c r="I183" s="7816">
        <f>SUM(I180:I182)</f>
        <v/>
      </c>
      <c r="J183" s="869">
        <f>SUM(J180:J182)</f>
        <v/>
      </c>
      <c r="K183" s="7816">
        <f>SUM(K180:K182)</f>
        <v/>
      </c>
      <c r="L183" s="869">
        <f>SUM(L180:L182)</f>
        <v/>
      </c>
      <c r="M183" s="7816">
        <f>SUM(M180:M182)</f>
        <v/>
      </c>
      <c r="N183" s="869">
        <f>SUM(N180:N182)</f>
        <v/>
      </c>
      <c r="O183" s="181">
        <f>SUM(O180:O182)</f>
        <v/>
      </c>
      <c r="P183" s="5367">
        <f>SUM(P180:P182)</f>
        <v/>
      </c>
      <c r="Q183" s="5368">
        <f>SUM(Q180:Q182)</f>
        <v/>
      </c>
    </row>
    <row r="184" ht="15" customHeight="1" s="8286">
      <c r="A184" s="9989" t="inlineStr">
        <is>
          <t>Egreso</t>
        </is>
      </c>
      <c r="B184" s="1946" t="inlineStr">
        <is>
          <t>Completa Ciclo</t>
        </is>
      </c>
      <c r="C184" s="1978">
        <f>SUM(D184+E184)</f>
        <v/>
      </c>
      <c r="D184" s="796">
        <f>SUM(F184+H184+J184+L184+N184)</f>
        <v/>
      </c>
      <c r="E184" s="8322">
        <f>SUM(G184+I184+K184+M184+O184)</f>
        <v/>
      </c>
      <c r="F184" s="2164" t="n"/>
      <c r="G184" s="755" t="n"/>
      <c r="H184" s="37" t="n"/>
      <c r="I184" s="755" t="n"/>
      <c r="J184" s="1935" t="n"/>
      <c r="K184" s="1186" t="n"/>
      <c r="L184" s="1935" t="n"/>
      <c r="M184" s="1186" t="n"/>
      <c r="N184" s="648" t="n"/>
      <c r="O184" s="792" t="n"/>
      <c r="P184" s="5247" t="n"/>
      <c r="Q184" s="1964" t="n"/>
      <c r="R184">
        <f>CA184&amp;CB184</f>
        <v/>
      </c>
      <c r="CA184" s="90">
        <f>IF(AND(C184&gt;0,P184="")," * No olvide digitar la variable Pueblos originarios. Digite Cero si no tiene.",IF(P184&gt;C184," * La variable Pueblos originarios No puede ser mayor al Total.",""))</f>
        <v/>
      </c>
      <c r="CB184" s="90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/>
      </c>
      <c r="CP184" s="221">
        <f>IF(AND(C184&gt;0,Q184=""),1,IF(Q184&gt;C184,1,0))</f>
        <v/>
      </c>
    </row>
    <row r="185" ht="15" customHeight="1" s="8286">
      <c r="A185" s="9614" t="n"/>
      <c r="B185" s="1121" t="inlineStr">
        <is>
          <t>Abandono</t>
        </is>
      </c>
      <c r="C185" s="2165">
        <f>SUM(D185+E185)</f>
        <v/>
      </c>
      <c r="D185" s="791">
        <f>SUM(F185+H185+J185+L185+N185)</f>
        <v/>
      </c>
      <c r="E185" s="1161">
        <f>SUM(G185+I185+K185+M185+O185)</f>
        <v/>
      </c>
      <c r="F185" s="1935" t="n"/>
      <c r="G185" s="1186" t="n"/>
      <c r="H185" s="1172" t="n"/>
      <c r="I185" s="1186" t="n"/>
      <c r="J185" s="1172" t="n"/>
      <c r="K185" s="1186" t="n"/>
      <c r="L185" s="1935" t="n"/>
      <c r="M185" s="1186" t="n"/>
      <c r="N185" s="1172" t="n"/>
      <c r="O185" s="792" t="n"/>
      <c r="P185" s="5215" t="n"/>
      <c r="Q185" s="1964" t="n"/>
      <c r="R185">
        <f>CA185&amp;CB185</f>
        <v/>
      </c>
      <c r="CA185" s="90">
        <f>IF(AND(C185&gt;0,P185="")," * No olvide digitar la variable Pueblos originarios. Digite Cero si no tiene.",IF(P185&gt;C185," * La variable Pueblos originarios No puede ser mayor al Total.",""))</f>
        <v/>
      </c>
      <c r="CB185" s="90">
        <f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/>
      </c>
      <c r="CP185" s="221">
        <f>IF(AND(C185&gt;0,Q185=""),1,IF(Q185&gt;C185,1,0))</f>
        <v/>
      </c>
    </row>
    <row r="186" ht="15" customHeight="1" s="8286">
      <c r="A186" s="9614" t="n"/>
      <c r="B186" s="1121" t="inlineStr">
        <is>
          <t>Traslado</t>
        </is>
      </c>
      <c r="C186" s="1162">
        <f>SUM(D186+E186)</f>
        <v/>
      </c>
      <c r="D186" s="2153">
        <f>SUM(F186+H186+J186+L186+N186)</f>
        <v/>
      </c>
      <c r="E186" s="1171">
        <f>SUM(G186+I186+K186+M186+O186)</f>
        <v/>
      </c>
      <c r="F186" s="1172" t="n"/>
      <c r="G186" s="1173" t="n"/>
      <c r="H186" s="1172" t="n"/>
      <c r="I186" s="1173" t="n"/>
      <c r="J186" s="1172" t="n"/>
      <c r="K186" s="1173" t="n"/>
      <c r="L186" s="1172" t="n"/>
      <c r="M186" s="1173" t="n"/>
      <c r="N186" s="1172" t="n"/>
      <c r="O186" s="1929" t="n"/>
      <c r="P186" s="5215" t="n"/>
      <c r="Q186" s="3892" t="n"/>
      <c r="R186">
        <f>CA186&amp;CB186</f>
        <v/>
      </c>
      <c r="CA186" s="90">
        <f>IF(AND(C186&gt;0,P186="")," * No olvide digitar la variable Pueblos originarios. Digite Cero si no tiene.",IF(P186&gt;C186," * La variable Pueblos originarios No puede ser mayor al Total.",""))</f>
        <v/>
      </c>
      <c r="CB186" s="90">
        <f>IF(AND(C186&gt;0,Q186=""),"   No olvide digitar la variable Migrantes. Digite Cero si no tiene.",IF(Q186&gt;C186," * La variable Migrantes No puede ser mayor al Total.",""))</f>
        <v/>
      </c>
      <c r="CO186" s="221">
        <f>IF(AND(C186&gt;0,P186=""),1,IF(P186&gt;C186,1,0))</f>
        <v/>
      </c>
      <c r="CP186" s="221">
        <f>IF(AND(C186&gt;0,Q186=""),1,IF(Q186&gt;C186,1,0))</f>
        <v/>
      </c>
    </row>
    <row r="187" ht="15" customHeight="1" s="8286">
      <c r="A187" s="9610" t="n"/>
      <c r="B187" s="1117" t="inlineStr">
        <is>
          <t>Fallecimiento</t>
        </is>
      </c>
      <c r="C187" s="1176">
        <f>SUM(D187+E187)</f>
        <v/>
      </c>
      <c r="D187" s="2166">
        <f>SUM(F187+H187+J187+L187+N187)</f>
        <v/>
      </c>
      <c r="E187" s="1178">
        <f>SUM(G187+I187+K187+M187+O187)</f>
        <v/>
      </c>
      <c r="F187" s="1188" t="n"/>
      <c r="G187" s="1192" t="n"/>
      <c r="H187" s="1188" t="n"/>
      <c r="I187" s="1192" t="n"/>
      <c r="J187" s="1188" t="n"/>
      <c r="K187" s="1192" t="n"/>
      <c r="L187" s="1188" t="n"/>
      <c r="M187" s="1192" t="n"/>
      <c r="N187" s="1188" t="n"/>
      <c r="O187" s="1224" t="n"/>
      <c r="P187" s="5249" t="n"/>
      <c r="Q187" s="1223" t="n"/>
      <c r="R187">
        <f>CA187&amp;CB187</f>
        <v/>
      </c>
      <c r="CA187" s="90">
        <f>IF(AND(C187&gt;0,P187="")," * No olvide digitar la variable Pueblos originarios. Digite Cero si no tiene.",IF(P187&gt;C187," * La variable Pueblos originarios No puede ser mayor al Total.",""))</f>
        <v/>
      </c>
      <c r="CB187" s="90">
        <f>IF(AND(C187&gt;0,Q187=""),"   No olvide digitar la variable Migrantes. Digite Cero si no tiene.",IF(Q187&gt;C187," * La variable Migrantes No puede ser mayor al Total.",""))</f>
        <v/>
      </c>
      <c r="CO187" s="221">
        <f>IF(AND(C187&gt;0,P187=""),1,IF(P187&gt;C187,1,0))</f>
        <v/>
      </c>
      <c r="CP187" s="221">
        <f>IF(AND(C187&gt;0,Q187=""),1,IF(Q187&gt;C187,1,0))</f>
        <v/>
      </c>
    </row>
    <row r="188">
      <c r="A188" s="8347" t="inlineStr">
        <is>
          <t>* Los pacientes de 60 a 64 años, no debe desagregarse por condición de funcionalidad, por ello sólo se registran en la primera fila (Autovalente sin riesgo).</t>
        </is>
      </c>
      <c r="B188" s="8347" t="n"/>
      <c r="C188" s="8337" t="n"/>
      <c r="D188" s="8337" t="n"/>
      <c r="E188" s="8337" t="n"/>
      <c r="F188" s="8337" t="n"/>
      <c r="G188" s="8337" t="n"/>
      <c r="H188" s="8337" t="n"/>
    </row>
    <row r="189">
      <c r="A189" s="8347" t="inlineStr">
        <is>
          <t>** Para la desagregación por funcionalidad se contabiliza desde 65 y mas años. Sólo para el cálculo del total de los ingresos se contabiliza el rango de 60 - 64 años.</t>
        </is>
      </c>
      <c r="B189" s="8347" t="n"/>
      <c r="C189" s="8337" t="n"/>
      <c r="D189" s="8337" t="n"/>
      <c r="E189" s="8337" t="n"/>
      <c r="F189" s="8337" t="n"/>
      <c r="G189" s="8337" t="n"/>
      <c r="H189" s="8337" t="n"/>
    </row>
    <row r="190" ht="18" customFormat="1" customHeight="1" s="5">
      <c r="A190" s="646" t="inlineStr">
        <is>
          <t>SECCIÓN N: INGRESOS AL PROGRAMA DE SALUD MENTAL EN APS /ESPECIALIDAD</t>
        </is>
      </c>
      <c r="B190" s="646" t="n"/>
      <c r="C190" s="3" t="n"/>
      <c r="D190" s="3" t="n"/>
      <c r="E190" s="3" t="n"/>
      <c r="F190" s="3" t="n"/>
      <c r="G190" s="3" t="n"/>
      <c r="H190" s="3" t="n"/>
      <c r="I190" s="3" t="n"/>
      <c r="J190" s="3" t="n"/>
      <c r="K190" s="3" t="n"/>
      <c r="L190" s="3" t="n"/>
      <c r="M190" s="3" t="n"/>
      <c r="N190" s="3" t="n"/>
      <c r="O190" s="3" t="n"/>
      <c r="P190" s="3" t="n"/>
      <c r="Q190" s="3" t="n"/>
      <c r="R190" s="3" t="n"/>
      <c r="S190" s="3" t="n"/>
      <c r="T190" s="3" t="n"/>
      <c r="U190" s="3" t="n"/>
      <c r="V190" s="3" t="n"/>
      <c r="W190" s="3" t="n"/>
      <c r="X190" s="3" t="n"/>
      <c r="Y190" s="3" t="n"/>
      <c r="Z190" s="3" t="n"/>
      <c r="AA190" s="3" t="n"/>
      <c r="AB190" s="3" t="n"/>
      <c r="AC190" s="3" t="n"/>
      <c r="AD190" s="3" t="n"/>
      <c r="AE190" s="3" t="n"/>
      <c r="AF190" s="3" t="n"/>
      <c r="AG190" s="3" t="n"/>
      <c r="AH190" s="3" t="n"/>
      <c r="AI190" s="3" t="n"/>
      <c r="AJ190" s="3" t="n"/>
      <c r="AK190" s="3" t="n"/>
      <c r="AL190" s="3" t="n"/>
      <c r="AM190" s="3" t="n"/>
      <c r="AN190" s="3" t="n"/>
      <c r="AO190" s="3" t="n"/>
      <c r="AP190" s="3" t="n"/>
      <c r="AQ190" s="3" t="n"/>
      <c r="AR190" s="3" t="n"/>
      <c r="AS190" s="3" t="n"/>
      <c r="AT190" s="3" t="n"/>
      <c r="AU190" s="60" t="n"/>
      <c r="AV190" s="60" t="n"/>
      <c r="AW190" s="60" t="n"/>
    </row>
    <row r="191" ht="30" customHeight="1" s="8286">
      <c r="A191" s="9939" t="inlineStr">
        <is>
          <t>MOTIVO DE INGRESO</t>
        </is>
      </c>
      <c r="B191" s="9630" t="n"/>
      <c r="C191" s="4505" t="inlineStr">
        <is>
          <t>TOTAL</t>
        </is>
      </c>
      <c r="D191" s="9584" t="n"/>
      <c r="E191" s="9647" t="n"/>
      <c r="F191" s="4505" t="inlineStr">
        <is>
          <t>0 - 4 años</t>
        </is>
      </c>
      <c r="G191" s="9647" t="n"/>
      <c r="H191" s="4505" t="inlineStr">
        <is>
          <t>5 - 9 años</t>
        </is>
      </c>
      <c r="I191" s="9647" t="n"/>
      <c r="J191" s="4505" t="inlineStr">
        <is>
          <t>10 - 14 años</t>
        </is>
      </c>
      <c r="K191" s="9647" t="n"/>
      <c r="L191" s="4505" t="inlineStr">
        <is>
          <t>15 - 19 años</t>
        </is>
      </c>
      <c r="M191" s="9647" t="n"/>
      <c r="N191" s="9977" t="inlineStr">
        <is>
          <t>20 - 24 años</t>
        </is>
      </c>
      <c r="O191" s="9582" t="n"/>
      <c r="P191" s="9240" t="inlineStr">
        <is>
          <t>25 - 29 años</t>
        </is>
      </c>
      <c r="Q191" s="9647" t="n"/>
      <c r="R191" s="9240" t="inlineStr">
        <is>
          <t>30 - 34 años</t>
        </is>
      </c>
      <c r="S191" s="9647" t="n"/>
      <c r="T191" s="9240" t="inlineStr">
        <is>
          <t>35 - 39 años</t>
        </is>
      </c>
      <c r="U191" s="9647" t="n"/>
      <c r="V191" s="9240" t="inlineStr">
        <is>
          <t>40 - 44 años</t>
        </is>
      </c>
      <c r="W191" s="9647" t="n"/>
      <c r="X191" s="9240" t="inlineStr">
        <is>
          <t>45 - 49 años</t>
        </is>
      </c>
      <c r="Y191" s="9647" t="n"/>
      <c r="Z191" s="9240" t="inlineStr">
        <is>
          <t>50 - 54 años</t>
        </is>
      </c>
      <c r="AA191" s="9647" t="n"/>
      <c r="AB191" s="9240" t="inlineStr">
        <is>
          <t>55 - 59 años</t>
        </is>
      </c>
      <c r="AC191" s="9647" t="n"/>
      <c r="AD191" s="9240" t="inlineStr">
        <is>
          <t>60 - 64 años</t>
        </is>
      </c>
      <c r="AE191" s="9647" t="n"/>
      <c r="AF191" s="9240" t="inlineStr">
        <is>
          <t>65 - 69 años</t>
        </is>
      </c>
      <c r="AG191" s="9647" t="n"/>
      <c r="AH191" s="9240" t="inlineStr">
        <is>
          <t>70 - 74 años</t>
        </is>
      </c>
      <c r="AI191" s="9647" t="n"/>
      <c r="AJ191" s="9240" t="inlineStr">
        <is>
          <t>75 - 79 años</t>
        </is>
      </c>
      <c r="AK191" s="9647" t="n"/>
      <c r="AL191" s="9240" t="inlineStr">
        <is>
          <t>80 y más años</t>
        </is>
      </c>
      <c r="AM191" s="9647" t="n"/>
      <c r="AN191" s="7825" t="inlineStr">
        <is>
          <t>Gestantes</t>
        </is>
      </c>
      <c r="AO191" s="7827" t="inlineStr">
        <is>
          <t xml:space="preserve">Madre de hijo menor de 5 años </t>
        </is>
      </c>
      <c r="AP191" s="7834" t="inlineStr">
        <is>
          <t>Pueblos Originarios</t>
        </is>
      </c>
      <c r="AQ191" s="9647" t="n"/>
      <c r="AR191" s="9924" t="inlineStr">
        <is>
          <t xml:space="preserve">SENAME/ Servicio Nacional de Reinserción social Juvenil </t>
        </is>
      </c>
      <c r="AS191" s="9920" t="inlineStr">
        <is>
          <t>Servicio Nacional Protección Especializada a la Niñez y Adolescencia</t>
        </is>
      </c>
      <c r="AT191" s="9240" t="inlineStr">
        <is>
          <t>Migrantes</t>
        </is>
      </c>
      <c r="AU191" s="9647" t="n"/>
      <c r="AV191" s="9977" t="inlineStr">
        <is>
          <t>TRANS</t>
        </is>
      </c>
      <c r="AW191" s="9582" t="n"/>
      <c r="AX191" s="8400" t="inlineStr">
        <is>
          <t>Adolescentes derivados de Espacios Amigables</t>
        </is>
      </c>
    </row>
    <row r="192" ht="39" customHeight="1" s="8286">
      <c r="A192" s="9638" t="n"/>
      <c r="B192" s="9639" t="n"/>
      <c r="C192" s="2167" t="inlineStr">
        <is>
          <t>Ambos Sexos</t>
        </is>
      </c>
      <c r="D192" s="2012" t="inlineStr">
        <is>
          <t>Hombres</t>
        </is>
      </c>
      <c r="E192" s="1968" t="inlineStr">
        <is>
          <t>Mujeres</t>
        </is>
      </c>
      <c r="F192" s="2167" t="inlineStr">
        <is>
          <t>Hombres</t>
        </is>
      </c>
      <c r="G192" s="1968" t="inlineStr">
        <is>
          <t>Mujeres</t>
        </is>
      </c>
      <c r="H192" s="2167" t="inlineStr">
        <is>
          <t>Hombres</t>
        </is>
      </c>
      <c r="I192" s="1968" t="inlineStr">
        <is>
          <t>Mujeres</t>
        </is>
      </c>
      <c r="J192" s="2167" t="inlineStr">
        <is>
          <t>Hombres</t>
        </is>
      </c>
      <c r="K192" s="1968" t="inlineStr">
        <is>
          <t>Mujeres</t>
        </is>
      </c>
      <c r="L192" s="2167" t="inlineStr">
        <is>
          <t>Hombres</t>
        </is>
      </c>
      <c r="M192" s="1968" t="inlineStr">
        <is>
          <t>Mujeres</t>
        </is>
      </c>
      <c r="N192" s="2167" t="inlineStr">
        <is>
          <t>Hombres</t>
        </is>
      </c>
      <c r="O192" s="1968" t="inlineStr">
        <is>
          <t>Mujeres</t>
        </is>
      </c>
      <c r="P192" s="2167" t="inlineStr">
        <is>
          <t>Hombres</t>
        </is>
      </c>
      <c r="Q192" s="1968" t="inlineStr">
        <is>
          <t>Mujeres</t>
        </is>
      </c>
      <c r="R192" s="2167" t="inlineStr">
        <is>
          <t>Hombres</t>
        </is>
      </c>
      <c r="S192" s="1968" t="inlineStr">
        <is>
          <t>Mujeres</t>
        </is>
      </c>
      <c r="T192" s="2167" t="inlineStr">
        <is>
          <t>Hombres</t>
        </is>
      </c>
      <c r="U192" s="1968" t="inlineStr">
        <is>
          <t>Mujeres</t>
        </is>
      </c>
      <c r="V192" s="2167" t="inlineStr">
        <is>
          <t>Hombres</t>
        </is>
      </c>
      <c r="W192" s="1968" t="inlineStr">
        <is>
          <t>Mujeres</t>
        </is>
      </c>
      <c r="X192" s="2167" t="inlineStr">
        <is>
          <t>Hombres</t>
        </is>
      </c>
      <c r="Y192" s="1968" t="inlineStr">
        <is>
          <t>Mujeres</t>
        </is>
      </c>
      <c r="Z192" s="2167" t="inlineStr">
        <is>
          <t>Hombres</t>
        </is>
      </c>
      <c r="AA192" s="1968" t="inlineStr">
        <is>
          <t>Mujeres</t>
        </is>
      </c>
      <c r="AB192" s="2167" t="inlineStr">
        <is>
          <t>Hombres</t>
        </is>
      </c>
      <c r="AC192" s="1968" t="inlineStr">
        <is>
          <t>Mujeres</t>
        </is>
      </c>
      <c r="AD192" s="2167" t="inlineStr">
        <is>
          <t>Hombres</t>
        </is>
      </c>
      <c r="AE192" s="1968" t="inlineStr">
        <is>
          <t>Mujeres</t>
        </is>
      </c>
      <c r="AF192" s="2167" t="inlineStr">
        <is>
          <t>Hombres</t>
        </is>
      </c>
      <c r="AG192" s="1968" t="inlineStr">
        <is>
          <t>Mujeres</t>
        </is>
      </c>
      <c r="AH192" s="2167" t="inlineStr">
        <is>
          <t>Hombres</t>
        </is>
      </c>
      <c r="AI192" s="1968" t="inlineStr">
        <is>
          <t>Mujeres</t>
        </is>
      </c>
      <c r="AJ192" s="2167" t="inlineStr">
        <is>
          <t>Hombres</t>
        </is>
      </c>
      <c r="AK192" s="1968" t="inlineStr">
        <is>
          <t>Mujeres</t>
        </is>
      </c>
      <c r="AL192" s="2167" t="inlineStr">
        <is>
          <t>Hombres</t>
        </is>
      </c>
      <c r="AM192" s="1429" t="inlineStr">
        <is>
          <t>Mujeres</t>
        </is>
      </c>
      <c r="AN192" s="9990" t="n"/>
      <c r="AO192" s="9991" t="n"/>
      <c r="AP192" s="5379" t="inlineStr">
        <is>
          <t>Hombres</t>
        </is>
      </c>
      <c r="AQ192" s="1968" t="inlineStr">
        <is>
          <t>Mujeres</t>
        </is>
      </c>
      <c r="AR192" s="9800" t="n"/>
      <c r="AS192" s="9641" t="n"/>
      <c r="AT192" s="2167" t="inlineStr">
        <is>
          <t>Hombres</t>
        </is>
      </c>
      <c r="AU192" s="1968" t="inlineStr">
        <is>
          <t>Mujeres</t>
        </is>
      </c>
      <c r="AV192" s="7664" t="inlineStr">
        <is>
          <t>Masculino</t>
        </is>
      </c>
      <c r="AW192" s="7666" t="inlineStr">
        <is>
          <t>Femenino</t>
        </is>
      </c>
      <c r="AX192" s="9610" t="n"/>
    </row>
    <row r="193" ht="18" customFormat="1" customHeight="1" s="5">
      <c r="A193" s="9992" t="inlineStr">
        <is>
          <t>INGRESOS AL PROGRAMA</t>
        </is>
      </c>
      <c r="B193" s="9647" t="n"/>
      <c r="C193" s="2169">
        <f>SUM(D193+E193)</f>
        <v/>
      </c>
      <c r="D193" s="2170">
        <f>SUM(F193+H193+J193+L193+N193+P193+R193+T193+V193+X193+Z193+AB193+AD193+AF193+AH193+AJ193+AL193)</f>
        <v/>
      </c>
      <c r="E193" s="2171">
        <f>SUM(G193+I193+K193+M193+O193+Q193+S193+U193+W193+Y193+AA193+AC193+AE193+AG193+AI193+AK193+AM193)</f>
        <v/>
      </c>
      <c r="F193" s="2036" t="n"/>
      <c r="G193" s="2057" t="n"/>
      <c r="H193" s="2036" t="n">
        <v>5</v>
      </c>
      <c r="I193" s="2057" t="n">
        <v>4</v>
      </c>
      <c r="J193" s="2036" t="n"/>
      <c r="K193" s="2057" t="n">
        <v>1</v>
      </c>
      <c r="L193" s="2036" t="n"/>
      <c r="M193" s="2057" t="n">
        <v>2</v>
      </c>
      <c r="N193" s="2036" t="n">
        <v>1</v>
      </c>
      <c r="O193" s="2057" t="n"/>
      <c r="P193" s="2036" t="n">
        <v>1</v>
      </c>
      <c r="Q193" s="2057" t="n">
        <v>1</v>
      </c>
      <c r="R193" s="2036" t="n"/>
      <c r="S193" s="2057" t="n">
        <v>2</v>
      </c>
      <c r="T193" s="2036" t="n"/>
      <c r="U193" s="2057" t="n"/>
      <c r="V193" s="2036" t="n"/>
      <c r="W193" s="2057" t="n">
        <v>2</v>
      </c>
      <c r="X193" s="2036" t="n">
        <v>2</v>
      </c>
      <c r="Y193" s="2057" t="n"/>
      <c r="Z193" s="2036" t="n">
        <v>1</v>
      </c>
      <c r="AA193" s="2057" t="n">
        <v>1</v>
      </c>
      <c r="AB193" s="2036" t="n"/>
      <c r="AC193" s="2057" t="n">
        <v>2</v>
      </c>
      <c r="AD193" s="872" t="n">
        <v>1</v>
      </c>
      <c r="AE193" s="2057" t="n">
        <v>2</v>
      </c>
      <c r="AF193" s="872" t="n">
        <v>2</v>
      </c>
      <c r="AG193" s="2057" t="n">
        <v>1</v>
      </c>
      <c r="AH193" s="872" t="n"/>
      <c r="AI193" s="2057" t="n">
        <v>1</v>
      </c>
      <c r="AJ193" s="872" t="n"/>
      <c r="AK193" s="2057" t="n"/>
      <c r="AL193" s="872" t="n">
        <v>1</v>
      </c>
      <c r="AM193" s="37" t="n"/>
      <c r="AN193" s="5361" t="n">
        <v>0</v>
      </c>
      <c r="AO193" s="670" t="n">
        <v>0</v>
      </c>
      <c r="AP193" s="5380" t="n">
        <v>0</v>
      </c>
      <c r="AQ193" s="2057" t="n">
        <v>0</v>
      </c>
      <c r="AR193" s="2036" t="n">
        <v>0</v>
      </c>
      <c r="AS193" s="2039" t="n">
        <v>0</v>
      </c>
      <c r="AT193" s="2172" t="n">
        <v>0</v>
      </c>
      <c r="AU193" s="2173" t="n">
        <v>0</v>
      </c>
      <c r="AV193" s="2172" t="n">
        <v>0</v>
      </c>
      <c r="AW193" s="2173" t="n">
        <v>0</v>
      </c>
      <c r="AX193" s="2174" t="n">
        <v>0</v>
      </c>
      <c r="AY193" s="5">
        <f>CA193&amp;CB193&amp;CC193&amp;CD193&amp;CE193&amp;CF193&amp;CG193&amp;CH193&amp;CI193&amp;CJ193&amp;CK193</f>
        <v/>
      </c>
      <c r="CA193" s="90">
        <f>IF(AND(E193&gt;0,AN193=""), "* No olvide digitar la variable Gestantes. Digite Cero si no tiene.",IF(AN193&gt;E193,"  * La variable Gestantes No puede ser mayor al Total Mujeres.",""))</f>
        <v/>
      </c>
      <c r="CB193" s="90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>
        <f>IF(AND(D193&gt;0,OR(AT193="")), "* No olvide digitar la variable Migrantes - Hombres. Digite Cero si no tiene.",IF((AT193)&gt;D193,"  * La variable Migrantes - Hombres No puede ser mayor al Total Hombres.",""))</f>
        <v/>
      </c>
      <c r="CH193" s="90">
        <f>IF(AND(E193&gt;0,OR(AU193="")), "* No olvide digitar la variable Migrantes - Mujeres. Digite Cero si no tiene.",IF((AU193)&gt;E193,"  * La variable Migrantes - Mujeres No puede ser mayor al Total Mujeres.",""))</f>
        <v/>
      </c>
      <c r="CI193" s="90">
        <f>IF(AND(E193&gt;0,OR(AV193="")), "* No olvide digitar la variable Trans Masculino. Digite Cero si no tiene.",IF((AV193)&gt;E193,"  * La variable Trans Masculino No puede ser mayor al Total Mujeres.",""))</f>
        <v/>
      </c>
      <c r="CJ193" s="90">
        <f>IF(AND(D193&gt;0,OR(AW193="")), "* No olvide digitar la variable Trans Femenino. Digite Cero si no tiene.",IF((AW193)&gt;D193,"  * La variable Trans Femenino No puede ser mayor al Total Mujeres.",""))</f>
        <v/>
      </c>
      <c r="CK193" s="90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/>
      </c>
      <c r="CP193" s="29">
        <f>IF(AND(E193&gt;0,AO193=""),1,IF(AO193&gt;E193,1,0))</f>
        <v/>
      </c>
      <c r="CQ193" s="29">
        <f>IF(AND(D193&gt;0,OR(AP193="")),1,IF((AP193)&gt;D193,1,0))</f>
        <v/>
      </c>
      <c r="CR193" s="29">
        <f>IF(AND(E193&gt;0,OR(AQ193="")),1,IF((AQ193)&gt;E193,1,0))</f>
        <v/>
      </c>
      <c r="CS193" s="29">
        <f>IF(AND(C193&gt;0,AR193=""),1,IF(AR193&gt;C193,1,0))</f>
        <v/>
      </c>
      <c r="CT193" s="29">
        <f>IF(AND(C193&gt;0,AS193=""),1,IF(AS193&gt;C193,1,0))</f>
        <v/>
      </c>
      <c r="CU193" s="29">
        <f>IF(AND(D193&gt;0,OR(AT193="")),1,IF((AT193)&gt;D193,1,0))</f>
        <v/>
      </c>
      <c r="CV193" s="29">
        <f>IF(AND(E193&gt;0,OR(AU193="")),1,IF((AU193)&gt;E193,1,0))</f>
        <v/>
      </c>
      <c r="CW193" s="29">
        <f>IF(AND(E193&gt;0,OR(AV193="")),1,IF((AV193)&gt;E193,1,0))</f>
        <v/>
      </c>
      <c r="CX193" s="29">
        <f>IF(AND(D193&gt;0,OR(AW193="")),1,IF((AW193)&gt;D193,1,0))</f>
        <v/>
      </c>
      <c r="CY193" s="29">
        <f>IF(AND(C193&gt;0,AX193=""),1,IF(AX193&gt;C193,1,0))</f>
        <v/>
      </c>
    </row>
    <row r="194" ht="18" customFormat="1" customHeight="1" s="5">
      <c r="A194" s="9993" t="inlineStr">
        <is>
          <t>FACTORES DE RIESGO Y CONDICIONANTES DE LA SALUD MENTAL</t>
        </is>
      </c>
      <c r="B194" s="9647" t="n"/>
      <c r="C194" s="2175" t="n"/>
      <c r="D194" s="2176" t="n"/>
      <c r="E194" s="2176" t="n"/>
      <c r="F194" s="2176" t="n"/>
      <c r="G194" s="2176" t="n"/>
      <c r="H194" s="2176" t="n"/>
      <c r="I194" s="2176" t="n"/>
      <c r="J194" s="2176" t="n"/>
      <c r="K194" s="2176" t="n"/>
      <c r="L194" s="2176" t="n"/>
      <c r="M194" s="2176" t="n"/>
      <c r="N194" s="2176" t="n"/>
      <c r="O194" s="2176" t="n"/>
      <c r="P194" s="2176" t="n"/>
      <c r="Q194" s="2176" t="n"/>
      <c r="R194" s="2176" t="n"/>
      <c r="S194" s="2176" t="n"/>
      <c r="T194" s="2176" t="n"/>
      <c r="U194" s="2176" t="n"/>
      <c r="V194" s="2176" t="n"/>
      <c r="W194" s="2176" t="n"/>
      <c r="X194" s="2176" t="n"/>
      <c r="Y194" s="2176" t="n"/>
      <c r="Z194" s="2176" t="n"/>
      <c r="AA194" s="2176" t="n"/>
      <c r="AB194" s="2176" t="n"/>
      <c r="AC194" s="2176" t="n"/>
      <c r="AD194" s="2176" t="n"/>
      <c r="AE194" s="2176" t="n"/>
      <c r="AF194" s="2176" t="n"/>
      <c r="AG194" s="2176" t="n"/>
      <c r="AH194" s="2176" t="n"/>
      <c r="AI194" s="2176" t="n"/>
      <c r="AJ194" s="2176" t="n"/>
      <c r="AK194" s="2176" t="n"/>
      <c r="AL194" s="2176" t="n"/>
      <c r="AM194" s="2176" t="n"/>
      <c r="AN194" s="5373" t="n"/>
      <c r="AO194" s="5382" t="n"/>
      <c r="AP194" s="5373" t="n"/>
      <c r="AQ194" s="2176" t="n"/>
      <c r="AR194" s="2176" t="n"/>
      <c r="AS194" s="2176" t="n"/>
      <c r="AT194" s="2176" t="n"/>
      <c r="AU194" s="2176" t="n"/>
      <c r="AV194" s="2176" t="n"/>
      <c r="AW194" s="2177" t="n"/>
      <c r="AX194" s="2178" t="n"/>
    </row>
    <row r="195" ht="15" customFormat="1" customHeight="1" s="5">
      <c r="A195" s="9933" t="inlineStr">
        <is>
          <t>Violencia Física</t>
        </is>
      </c>
      <c r="B195" s="2179" t="inlineStr">
        <is>
          <t>Victima</t>
        </is>
      </c>
      <c r="C195" s="2180">
        <f>SUM(D195+E195)</f>
        <v/>
      </c>
      <c r="D195" s="855">
        <f>SUM(F195+H195+J195+L195+N195+P195+R195+T195+V195+X195+Z195+AB195+AD195+AF195+AH195+AJ195+AL195)</f>
        <v/>
      </c>
      <c r="E195" s="2179">
        <f>SUM(G195+I195+K195+M195+O195+Q195+S195+U195+W195+Y195+AA195+AC195+AE195+AG195+AI195+AK195+AM195)</f>
        <v/>
      </c>
      <c r="F195" s="2022" t="n"/>
      <c r="G195" s="2029" t="n"/>
      <c r="H195" s="2022" t="n"/>
      <c r="I195" s="2029" t="n"/>
      <c r="J195" s="2022" t="n"/>
      <c r="K195" s="2029" t="n"/>
      <c r="L195" s="2022" t="n"/>
      <c r="M195" s="2029" t="n"/>
      <c r="N195" s="2022" t="n"/>
      <c r="O195" s="2029" t="n"/>
      <c r="P195" s="2022" t="n"/>
      <c r="Q195" s="2029" t="n"/>
      <c r="R195" s="2022" t="n"/>
      <c r="S195" s="2029" t="n"/>
      <c r="T195" s="2022" t="n"/>
      <c r="U195" s="2029" t="n"/>
      <c r="V195" s="2022" t="n"/>
      <c r="W195" s="2029" t="n"/>
      <c r="X195" s="2022" t="n"/>
      <c r="Y195" s="2029" t="n"/>
      <c r="Z195" s="2022" t="n"/>
      <c r="AA195" s="2029" t="n"/>
      <c r="AB195" s="2022" t="n"/>
      <c r="AC195" s="2029" t="n"/>
      <c r="AD195" s="2022" t="n"/>
      <c r="AE195" s="2029" t="n"/>
      <c r="AF195" s="2022" t="n"/>
      <c r="AG195" s="2029" t="n"/>
      <c r="AH195" s="2022" t="n"/>
      <c r="AI195" s="2029" t="n"/>
      <c r="AJ195" s="2022" t="n"/>
      <c r="AK195" s="2029" t="n"/>
      <c r="AL195" s="2022" t="n"/>
      <c r="AM195" s="2115" t="n"/>
      <c r="AN195" s="5213" t="n">
        <v>0</v>
      </c>
      <c r="AO195" s="5189" t="n">
        <v>0</v>
      </c>
      <c r="AP195" s="3503" t="n">
        <v>0</v>
      </c>
      <c r="AQ195" s="2029" t="n">
        <v>0</v>
      </c>
      <c r="AR195" s="2022" t="n">
        <v>0</v>
      </c>
      <c r="AS195" s="2029" t="n">
        <v>0</v>
      </c>
      <c r="AT195" s="2115" t="n">
        <v>0</v>
      </c>
      <c r="AU195" s="2124" t="n">
        <v>0</v>
      </c>
      <c r="AV195" s="2115" t="n">
        <v>0</v>
      </c>
      <c r="AW195" s="2124" t="n">
        <v>0</v>
      </c>
      <c r="AX195" s="2029" t="n">
        <v>0</v>
      </c>
      <c r="AY195" s="5">
        <f>CA195&amp;CB195&amp;CC195&amp;CD195&amp;CE195&amp;CF195&amp;CG195&amp;CH195&amp;CI195&amp;CJ195&amp;CK195</f>
        <v/>
      </c>
      <c r="CA195" s="90">
        <f>IF(AND(E195&gt;0,AN195=""), "* No olvide digitar la variable Gestantes. Digite Cero si no tiene.",IF(AN195&gt;E195,"  * La variable Gestantes No puede ser mayor al Total Mujeres.",""))</f>
        <v/>
      </c>
      <c r="CB195" s="90">
        <f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>
        <f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>
        <f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>
        <f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>
        <f>IF(AND(D195&gt;0,OR(AT195="")), "* No olvide digitar la variable Migrantes - Hombres. Digite Cero si no tiene.",IF((AT195)&gt;D195,"  * La variable Migrantes - Hombres No puede ser mayor al Total Hombres.",""))</f>
        <v/>
      </c>
      <c r="CH195" s="90">
        <f>IF(AND(E195&gt;0,OR(AU195="")), "* No olvide digitar la variable Migrantes - Mujeres. Digite Cero si no tiene.",IF((AU195)&gt;E195,"  * La variable Migrantes - Mujeres No puede ser mayor al Total Mujeres.",""))</f>
        <v/>
      </c>
      <c r="CI195" s="90">
        <f>IF(AND(E195&gt;0,OR(AV195="")), "* No olvide digitar la variable Trans Masculino. Digite Cero si no tiene.",IF((AV195)&gt;E195,"  * La variable Trans Masculino No puede ser mayor al Total Mujeres.",""))</f>
        <v/>
      </c>
      <c r="CJ195" s="90">
        <f>IF(AND(D195&gt;0,OR(AW195="")), "* No olvide digitar la variable Trans Femenino. Digite Cero si no tiene.",IF((AW195)&gt;D195,"  * La variable Trans Femenino No puede ser mayor al Total Hombres.",""))</f>
        <v/>
      </c>
      <c r="CK195" s="90">
        <f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>IF(AND(E195&gt;0,AN195=""),1,IF(AN195&gt;E195,1,0))</f>
        <v/>
      </c>
      <c r="CP195" s="29">
        <f>IF(AND(E195&gt;0,AO195=""),1,IF(AO195&gt;E195,1,0))</f>
        <v/>
      </c>
      <c r="CQ195" s="29">
        <f>IF(AND(D195&gt;0,OR(AP195="")),1,IF((AP195)&gt;D195,1,0))</f>
        <v/>
      </c>
      <c r="CR195" s="29">
        <f>IF(AND(E195&gt;0,OR(AQ195="")),1,IF((AQ195)&gt;E195,1,0))</f>
        <v/>
      </c>
      <c r="CS195" s="29">
        <f>IF(AND(C195&gt;0,AR195=""),1,IF(AR195&gt;C195,1,0))</f>
        <v/>
      </c>
      <c r="CT195" s="29">
        <f>IF(AND(C195&gt;0,AS195=""),1,IF(AS195&gt;C195,1,0))</f>
        <v/>
      </c>
      <c r="CU195" s="29">
        <f>IF(AND(D195&gt;0,OR(AT195="")),1,IF((AT195)&gt;D195,1,0))</f>
        <v/>
      </c>
      <c r="CV195" s="29">
        <f>IF(AND(E195&gt;0,OR(AU195="")),1,IF((AU195)&gt;E195,1,0))</f>
        <v/>
      </c>
      <c r="CW195" s="29">
        <f>IF(AND(E195&gt;0,OR(AV195="")),1,IF((AV195)&gt;E195,1,0))</f>
        <v/>
      </c>
      <c r="CX195" s="29">
        <f>IF(AND(D195&gt;0,OR(AW195="")),1,IF((AW195)&gt;D195,1,0))</f>
        <v/>
      </c>
      <c r="CY195" s="29">
        <f>IF(AND(C195&gt;0,AX195=""),1,IF(AX195&gt;C195,1,0))</f>
        <v/>
      </c>
    </row>
    <row r="196" ht="15" customFormat="1" customHeight="1" s="5">
      <c r="A196" s="9610" t="n"/>
      <c r="B196" s="7752" t="inlineStr">
        <is>
          <t>Agresor/a</t>
        </is>
      </c>
      <c r="C196" s="2181">
        <f>SUM(D196+E196)</f>
        <v/>
      </c>
      <c r="D196" s="797">
        <f>SUM(F196+H196+J196+L196+N196+P196+R196+T196+V196+X196+Z196+AB196+AD196+AF196+AH196+AJ196+AL196)</f>
        <v/>
      </c>
      <c r="E196" s="7833">
        <f>SUM(G196+I196+K196+M196+O196+Q196+S196+U196+W196+Y196+AA196+AC196+AE196+AG196+AI196+AK196+AM196)</f>
        <v/>
      </c>
      <c r="F196" s="1935" t="n"/>
      <c r="G196" s="1186" t="n"/>
      <c r="H196" s="1935" t="n"/>
      <c r="I196" s="1186" t="n"/>
      <c r="J196" s="1935" t="n"/>
      <c r="K196" s="1186" t="n"/>
      <c r="L196" s="1935" t="n"/>
      <c r="M196" s="1186" t="n"/>
      <c r="N196" s="1935" t="n"/>
      <c r="O196" s="1186" t="n"/>
      <c r="P196" s="1935" t="n"/>
      <c r="Q196" s="1186" t="n"/>
      <c r="R196" s="1935" t="n"/>
      <c r="S196" s="1186" t="n"/>
      <c r="T196" s="1935" t="n"/>
      <c r="U196" s="1186" t="n"/>
      <c r="V196" s="1935" t="n"/>
      <c r="W196" s="1186" t="n"/>
      <c r="X196" s="1935" t="n"/>
      <c r="Y196" s="1186" t="n"/>
      <c r="Z196" s="1935" t="n"/>
      <c r="AA196" s="1186" t="n"/>
      <c r="AB196" s="1935" t="n"/>
      <c r="AC196" s="1186" t="n"/>
      <c r="AD196" s="1935" t="n"/>
      <c r="AE196" s="1186" t="n"/>
      <c r="AF196" s="1935" t="n"/>
      <c r="AG196" s="1186" t="n"/>
      <c r="AH196" s="1935" t="n"/>
      <c r="AI196" s="1186" t="n"/>
      <c r="AJ196" s="1935" t="n"/>
      <c r="AK196" s="1186" t="n"/>
      <c r="AL196" s="1935" t="n"/>
      <c r="AM196" s="36" t="n"/>
      <c r="AN196" s="5214" t="n">
        <v>0</v>
      </c>
      <c r="AO196" s="1964" t="n">
        <v>0</v>
      </c>
      <c r="AP196" s="5222" t="n">
        <v>0</v>
      </c>
      <c r="AQ196" s="1186" t="n">
        <v>0</v>
      </c>
      <c r="AR196" s="1935" t="n">
        <v>0</v>
      </c>
      <c r="AS196" s="1186" t="n">
        <v>0</v>
      </c>
      <c r="AT196" s="36" t="n">
        <v>0</v>
      </c>
      <c r="AU196" s="755" t="n">
        <v>0</v>
      </c>
      <c r="AV196" s="36" t="n">
        <v>0</v>
      </c>
      <c r="AW196" s="755" t="n">
        <v>0</v>
      </c>
      <c r="AX196" s="1186" t="n">
        <v>0</v>
      </c>
      <c r="AY196" s="5">
        <f>CA196&amp;CB196&amp;CC196&amp;CD196&amp;CE196&amp;CF196&amp;CG196&amp;CH196&amp;CI196&amp;CJ196&amp;CK196</f>
        <v/>
      </c>
      <c r="CA196" s="90">
        <f>IF(AND(E196&gt;0,AN196=""), "* No olvide digitar la variable Gestantes. Digite Cero si no tiene.",IF(AN196&gt;E196,"  * La variable Gestantes No puede ser mayor al Total Mujeres.",""))</f>
        <v/>
      </c>
      <c r="CB196" s="90">
        <f>IF(AND(E196&gt;0,AO196=""), "* No olvide digitar la variable Madre de hijo menor de 5 años. Digite Cero si no tiene.",IF(AO196&gt;E196,"  * La variable Madre de hijo menor de 5 años No puede ser mayor al Total de Mujeres.",""))</f>
        <v/>
      </c>
      <c r="CC196" s="90">
        <f>IF(AND(D196&gt;0,OR(AP196="")), "* No olvide digitar la variable Pueblos originarios - Hombres. Digite Cero si no tiene.",IF((AP196)&gt;D196,"  * La variable Pueblos originarios - Hombres No puede ser mayor al Total Hombres.",""))</f>
        <v/>
      </c>
      <c r="CD196" s="90">
        <f>IF(AND(E196&gt;0,OR(AQ196="")), "* No olvide digitar la variable Pueblos originarios - Mujeres. Digite Cero si no tiene.",IF((AQ196)&gt;E196,"  * La variable Pueblos originarios - Mujeres No puede ser mayor al Total Mujeres.",""))</f>
        <v/>
      </c>
      <c r="CE196" s="90">
        <f>IF(AND($C196&gt;0,AR196=""), "* No olvide digitar la variable Niños, niñas, adolescentes y jóvenes SENAME. Digite Cero si no tiene.",IF(AR196&gt;$C196,"  * La variable Niños, niñas, adolescentes y jóvenes SENAME No puede ser mayor al Total.",""))</f>
        <v/>
      </c>
      <c r="CF196" s="90">
        <f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>
        <f>IF(AND(D196&gt;0,OR(AT196="")), "* No olvide digitar la variable Migrantes - Hombres. Digite Cero si no tiene.",IF((AT196)&gt;D196,"  * La variable Migrantes - Hombres No puede ser mayor al Total Hombres.",""))</f>
        <v/>
      </c>
      <c r="CH196" s="90">
        <f>IF(AND(E196&gt;0,OR(AU196="")), "* No olvide digitar la variable Migrantes - Mujeres. Digite Cero si no tiene.",IF((AU196)&gt;E196,"  * La variable Migrantes - Mujeres No puede ser mayor al Total Mujeres.",""))</f>
        <v/>
      </c>
      <c r="CI196" s="90">
        <f>IF(AND(E196&gt;0,OR(AV196="")), "* No olvide digitar la variable Trans Masculino. Digite Cero si no tiene.",IF((AV196)&gt;E196,"  * La variable Trans Masculino No puede ser mayor al Total Mujeres.",""))</f>
        <v/>
      </c>
      <c r="CJ196" s="90">
        <f>IF(AND(D196&gt;0,OR(AW196="")), "* No olvide digitar la variable Trans Femenino. Digite Cero si no tiene.",IF((AW196)&gt;D196,"  * La variable Trans Femenino No puede ser mayor al Total Hombres.",""))</f>
        <v/>
      </c>
      <c r="CK196" s="90">
        <f>IF(AND($C196&gt;0,AX196=""), "* No olvide digitar la variable Adolescentes derivados de Espacios Amigables. Digite Cero si no tiene.",IF(AX196&gt;$C196,"  * La variable Adolescentes derivados de Espacios Amigables No puede ser mayor al Total.",""))</f>
        <v/>
      </c>
      <c r="CO196" s="29">
        <f>IF(AND(E196&gt;0,AN196=""),1,IF(AN196&gt;E196,1,0))</f>
        <v/>
      </c>
      <c r="CP196" s="29">
        <f>IF(AND(E196&gt;0,AO196=""),1,IF(AO196&gt;E196,1,0))</f>
        <v/>
      </c>
      <c r="CQ196" s="29">
        <f>IF(AND(D196&gt;0,OR(AP196="")),1,IF((AP196)&gt;D196,1,0))</f>
        <v/>
      </c>
      <c r="CR196" s="29">
        <f>IF(AND(E196&gt;0,OR(AQ196="")),1,IF((AQ196)&gt;E196,1,0))</f>
        <v/>
      </c>
      <c r="CS196" s="29">
        <f>IF(AND(C196&gt;0,AR196=""),1,IF(AR196&gt;C196,1,0))</f>
        <v/>
      </c>
      <c r="CT196" s="29">
        <f>IF(AND(C196&gt;0,AS196=""),1,IF(AS196&gt;C196,1,0))</f>
        <v/>
      </c>
      <c r="CU196" s="29">
        <f>IF(AND(D196&gt;0,OR(AT196="")),1,IF((AT196)&gt;D196,1,0))</f>
        <v/>
      </c>
      <c r="CV196" s="29">
        <f>IF(AND(E196&gt;0,OR(AU196="")),1,IF((AU196)&gt;E196,1,0))</f>
        <v/>
      </c>
      <c r="CW196" s="29">
        <f>IF(AND(E196&gt;0,OR(AV196="")),1,IF((AV196)&gt;E196,1,0))</f>
        <v/>
      </c>
      <c r="CX196" s="29">
        <f>IF(AND(D196&gt;0,OR(AW196="")),1,IF((AW196)&gt;D196,1,0))</f>
        <v/>
      </c>
      <c r="CY196" s="29">
        <f>IF(AND(C196&gt;0,AX196=""),1,IF(AX196&gt;C196,1,0))</f>
        <v/>
      </c>
    </row>
    <row r="197" ht="15" customFormat="1" customHeight="1" s="5">
      <c r="A197" s="9933" t="inlineStr">
        <is>
          <t>Violencia Sexual</t>
        </is>
      </c>
      <c r="B197" s="2179" t="inlineStr">
        <is>
          <t>Victima</t>
        </is>
      </c>
      <c r="C197" s="2180">
        <f>SUM(D197+E197)</f>
        <v/>
      </c>
      <c r="D197" s="855">
        <f>SUM(F197+H197+J197+L197+N197+P197+R197+T197+V197+X197+Z197+AB197+AD197+AF197+AH197+AJ197+AL197)</f>
        <v/>
      </c>
      <c r="E197" s="2179">
        <f>SUM(G197+I197+K197+M197+O197+Q197+S197+U197+W197+Y197+AA197+AC197+AE197+AG197+AI197+AK197+AM197)</f>
        <v/>
      </c>
      <c r="F197" s="2022" t="n"/>
      <c r="G197" s="2029" t="n"/>
      <c r="H197" s="2022" t="n"/>
      <c r="I197" s="2029" t="n"/>
      <c r="J197" s="2022" t="n"/>
      <c r="K197" s="2029" t="n"/>
      <c r="L197" s="2022" t="n"/>
      <c r="M197" s="2029" t="n"/>
      <c r="N197" s="2022" t="n"/>
      <c r="O197" s="2029" t="n"/>
      <c r="P197" s="2022" t="n"/>
      <c r="Q197" s="2029" t="n"/>
      <c r="R197" s="2022" t="n"/>
      <c r="S197" s="2029" t="n"/>
      <c r="T197" s="2022" t="n"/>
      <c r="U197" s="2029" t="n"/>
      <c r="V197" s="2022" t="n"/>
      <c r="W197" s="2029" t="n"/>
      <c r="X197" s="2022" t="n"/>
      <c r="Y197" s="2029" t="n"/>
      <c r="Z197" s="2022" t="n"/>
      <c r="AA197" s="2029" t="n"/>
      <c r="AB197" s="2022" t="n"/>
      <c r="AC197" s="2029" t="n"/>
      <c r="AD197" s="2022" t="n"/>
      <c r="AE197" s="2029" t="n"/>
      <c r="AF197" s="2022" t="n"/>
      <c r="AG197" s="2029" t="n"/>
      <c r="AH197" s="2022" t="n"/>
      <c r="AI197" s="2029" t="n"/>
      <c r="AJ197" s="2022" t="n"/>
      <c r="AK197" s="2029" t="n"/>
      <c r="AL197" s="2022" t="n"/>
      <c r="AM197" s="2115" t="n"/>
      <c r="AN197" s="5213" t="n">
        <v>0</v>
      </c>
      <c r="AO197" s="5189" t="n">
        <v>0</v>
      </c>
      <c r="AP197" s="3503" t="n">
        <v>0</v>
      </c>
      <c r="AQ197" s="2029" t="n">
        <v>0</v>
      </c>
      <c r="AR197" s="2022" t="n">
        <v>0</v>
      </c>
      <c r="AS197" s="2029" t="n">
        <v>0</v>
      </c>
      <c r="AT197" s="2115" t="n">
        <v>0</v>
      </c>
      <c r="AU197" s="2124" t="n">
        <v>0</v>
      </c>
      <c r="AV197" s="2115" t="n">
        <v>0</v>
      </c>
      <c r="AW197" s="2124" t="n">
        <v>0</v>
      </c>
      <c r="AX197" s="2029" t="n">
        <v>0</v>
      </c>
      <c r="AY197" s="5">
        <f>CA197&amp;CB197&amp;CC197&amp;CD197&amp;CE197&amp;CF197&amp;CG197&amp;CH197&amp;CI197&amp;CJ197&amp;CK197</f>
        <v/>
      </c>
      <c r="CA197" s="90">
        <f>IF(AND(E197&gt;0,AN197=""), "* No olvide digitar la variable Gestantes. Digite Cero si no tiene.",IF(AN197&gt;E197,"  * La variable Gestantes No puede ser mayor al Total Mujeres.",""))</f>
        <v/>
      </c>
      <c r="CB197" s="90">
        <f>IF(AND(E197&gt;0,AO197=""), "* No olvide digitar la variable Madre de hijo menor de 5 años. Digite Cero si no tiene.",IF(AO197&gt;E197,"  * La variable Madre de hijo menor de 5 años No puede ser mayor al Total de Mujeres.",""))</f>
        <v/>
      </c>
      <c r="CC197" s="90">
        <f>IF(AND(D197&gt;0,OR(AP197="")), "* No olvide digitar la variable Pueblos originarios - Hombres. Digite Cero si no tiene.",IF((AP197)&gt;D197,"  * La variable Pueblos originarios - Hombres No puede ser mayor al Total Hombres.",""))</f>
        <v/>
      </c>
      <c r="CD197" s="90">
        <f>IF(AND(E197&gt;0,OR(AQ197="")), "* No olvide digitar la variable Pueblos originarios - Mujeres. Digite Cero si no tiene.",IF((AQ197)&gt;E197,"  * La variable Pueblos originarios - Mujeres No puede ser mayor al Total Mujeres.",""))</f>
        <v/>
      </c>
      <c r="CE197" s="90">
        <f>IF(AND($C197&gt;0,AR197=""), "* No olvide digitar la variable Niños, niñas, adolescentes y jóvenes SENAME. Digite Cero si no tiene.",IF(AR197&gt;$C197,"  * La variable Niños, niñas, adolescentes y jóvenes SENAME No puede ser mayor al Total.",""))</f>
        <v/>
      </c>
      <c r="CF197" s="90">
        <f>IF(AND(C197&gt;0,AS197=""), "* No olvide digitar la variable Servicio Nacional Protección Especializada a la Niñez y Adolescencia. Digite Cero si no tiene.",IF(AS197&gt;C197,"  * La variable Servicio Nacional Protección Especializada a la Niñez y Adolescencia No puede ser mayor al Total.",""))</f>
        <v/>
      </c>
      <c r="CG197" s="90">
        <f>IF(AND(D197&gt;0,OR(AT197="")), "* No olvide digitar la variable Migrantes - Hombres. Digite Cero si no tiene.",IF((AT197)&gt;D197,"  * La variable Migrantes - Hombres No puede ser mayor al Total Hombres.",""))</f>
        <v/>
      </c>
      <c r="CH197" s="90">
        <f>IF(AND(E197&gt;0,OR(AU197="")), "* No olvide digitar la variable Migrantes - Mujeres. Digite Cero si no tiene.",IF((AU197)&gt;E197,"  * La variable Migrantes - Mujeres No puede ser mayor al Total Mujeres.",""))</f>
        <v/>
      </c>
      <c r="CI197" s="90">
        <f>IF(AND(E197&gt;0,OR(AV197="")), "* No olvide digitar la variable Trans Masculino. Digite Cero si no tiene.",IF((AV197)&gt;E197,"  * La variable Trans Masculino No puede ser mayor al Total Mujeres.",""))</f>
        <v/>
      </c>
      <c r="CJ197" s="90">
        <f>IF(AND(D197&gt;0,OR(AW197="")), "* No olvide digitar la variable Trans Femenino. Digite Cero si no tiene.",IF((AW197)&gt;D197,"  * La variable Trans Femenino No puede ser mayor al Total Hombres.",""))</f>
        <v/>
      </c>
      <c r="CK197" s="90">
        <f>IF(AND($C197&gt;0,AX197=""), "* No olvide digitar la variable Adolescentes derivados de Espacios Amigables. Digite Cero si no tiene.",IF(AX197&gt;$C197,"  * La variable Adolescentes derivados de Espacios Amigables No puede ser mayor al Total.",""))</f>
        <v/>
      </c>
      <c r="CO197" s="29">
        <f>IF(AND(E197&gt;0,AN197=""),1,IF(AN197&gt;E197,1,0))</f>
        <v/>
      </c>
      <c r="CP197" s="29">
        <f>IF(AND(E197&gt;0,AO197=""),1,IF(AO197&gt;E197,1,0))</f>
        <v/>
      </c>
      <c r="CQ197" s="29">
        <f>IF(AND(D197&gt;0,OR(AP197="")),1,IF((AP197)&gt;D197,1,0))</f>
        <v/>
      </c>
      <c r="CR197" s="29">
        <f>IF(AND(E197&gt;0,OR(AQ197="")),1,IF((AQ197)&gt;E197,1,0))</f>
        <v/>
      </c>
      <c r="CS197" s="29">
        <f>IF(AND(C197&gt;0,AR197=""),1,IF(AR197&gt;C197,1,0))</f>
        <v/>
      </c>
      <c r="CT197" s="29">
        <f>IF(AND(C197&gt;0,AS197=""),1,IF(AS197&gt;C197,1,0))</f>
        <v/>
      </c>
      <c r="CU197" s="29">
        <f>IF(AND(D197&gt;0,OR(AT197="")),1,IF((AT197)&gt;D197,1,0))</f>
        <v/>
      </c>
      <c r="CV197" s="29">
        <f>IF(AND(E197&gt;0,OR(AU197="")),1,IF((AU197)&gt;E197,1,0))</f>
        <v/>
      </c>
      <c r="CW197" s="29">
        <f>IF(AND(E197&gt;0,OR(AV197="")),1,IF((AV197)&gt;E197,1,0))</f>
        <v/>
      </c>
      <c r="CX197" s="29">
        <f>IF(AND(D197&gt;0,OR(AW197="")),1,IF((AW197)&gt;D197,1,0))</f>
        <v/>
      </c>
      <c r="CY197" s="29">
        <f>IF(AND(C197&gt;0,AX197=""),1,IF(AX197&gt;C197,1,0))</f>
        <v/>
      </c>
    </row>
    <row r="198" ht="15" customFormat="1" customHeight="1" s="5">
      <c r="A198" s="9610" t="n"/>
      <c r="B198" s="7752" t="inlineStr">
        <is>
          <t>Agresor/a</t>
        </is>
      </c>
      <c r="C198" s="2181">
        <f>SUM(D198+E198)</f>
        <v/>
      </c>
      <c r="D198" s="797">
        <f>SUM(F198+H198+J198+L198+N198+P198+R198+T198+V198+X198+Z198+AB198+AD198+AF198+AH198+AJ198+AL198)</f>
        <v/>
      </c>
      <c r="E198" s="7833">
        <f>SUM(G198+I198+K198+M198+O198+Q198+S198+U198+W198+Y198+AA198+AC198+AE198+AG198+AI198+AK198+AM198)</f>
        <v/>
      </c>
      <c r="F198" s="1935" t="n"/>
      <c r="G198" s="1186" t="n"/>
      <c r="H198" s="1935" t="n"/>
      <c r="I198" s="1186" t="n"/>
      <c r="J198" s="1935" t="n"/>
      <c r="K198" s="1186" t="n"/>
      <c r="L198" s="1935" t="n"/>
      <c r="M198" s="1186" t="n"/>
      <c r="N198" s="1935" t="n"/>
      <c r="O198" s="1186" t="n"/>
      <c r="P198" s="1935" t="n"/>
      <c r="Q198" s="1186" t="n"/>
      <c r="R198" s="1935" t="n"/>
      <c r="S198" s="1186" t="n"/>
      <c r="T198" s="1935" t="n"/>
      <c r="U198" s="1186" t="n"/>
      <c r="V198" s="1935" t="n"/>
      <c r="W198" s="1186" t="n"/>
      <c r="X198" s="1935" t="n"/>
      <c r="Y198" s="1186" t="n"/>
      <c r="Z198" s="1935" t="n"/>
      <c r="AA198" s="1186" t="n"/>
      <c r="AB198" s="1935" t="n"/>
      <c r="AC198" s="1186" t="n"/>
      <c r="AD198" s="1935" t="n"/>
      <c r="AE198" s="1186" t="n"/>
      <c r="AF198" s="1935" t="n"/>
      <c r="AG198" s="1186" t="n"/>
      <c r="AH198" s="1935" t="n"/>
      <c r="AI198" s="1186" t="n"/>
      <c r="AJ198" s="1935" t="n"/>
      <c r="AK198" s="1186" t="n"/>
      <c r="AL198" s="1935" t="n"/>
      <c r="AM198" s="36" t="n"/>
      <c r="AN198" s="5214" t="n">
        <v>0</v>
      </c>
      <c r="AO198" s="1964" t="n">
        <v>0</v>
      </c>
      <c r="AP198" s="5222" t="n">
        <v>0</v>
      </c>
      <c r="AQ198" s="1186" t="n">
        <v>0</v>
      </c>
      <c r="AR198" s="1935" t="n">
        <v>0</v>
      </c>
      <c r="AS198" s="1186" t="n">
        <v>0</v>
      </c>
      <c r="AT198" s="36" t="n">
        <v>0</v>
      </c>
      <c r="AU198" s="755" t="n">
        <v>0</v>
      </c>
      <c r="AV198" s="36" t="n">
        <v>0</v>
      </c>
      <c r="AW198" s="755" t="n">
        <v>0</v>
      </c>
      <c r="AX198" s="1186" t="n">
        <v>0</v>
      </c>
      <c r="AY198" s="5">
        <f>CA198&amp;CB198&amp;CC198&amp;CD198&amp;CE198&amp;CF198&amp;CG198&amp;CH198&amp;CI198&amp;CJ198&amp;CK198</f>
        <v/>
      </c>
      <c r="CA198" s="90">
        <f>IF(AND(E198&gt;0,AN198=""), "* No olvide digitar la variable Gestantes. Digite Cero si no tiene.",IF(AN198&gt;E198,"  * La variable Gestantes No puede ser mayor al Total Mujeres.",""))</f>
        <v/>
      </c>
      <c r="CB198" s="90">
        <f>IF(AND(E198&gt;0,AO198=""), "* No olvide digitar la variable Madre de hijo menor de 5 años. Digite Cero si no tiene.",IF(AO198&gt;E198,"  * La variable Madre de hijo menor de 5 años No puede ser mayor al Total de Mujeres.",""))</f>
        <v/>
      </c>
      <c r="CC198" s="90">
        <f>IF(AND(D198&gt;0,OR(AP198="")), "* No olvide digitar la variable Pueblos originarios - Hombres. Digite Cero si no tiene.",IF((AP198)&gt;D198,"  * La variable Pueblos originarios - Hombres No puede ser mayor al Total Hombres.",""))</f>
        <v/>
      </c>
      <c r="CD198" s="90">
        <f>IF(AND(E198&gt;0,OR(AQ198="")), "* No olvide digitar la variable Pueblos originarios - Mujeres. Digite Cero si no tiene.",IF((AQ198)&gt;E198,"  * La variable Pueblos originarios - Mujeres No puede ser mayor al Total Mujeres.",""))</f>
        <v/>
      </c>
      <c r="CE198" s="90">
        <f>IF(AND($C198&gt;0,AR198=""), "* No olvide digitar la variable Niños, niñas, adolescentes y jóvenes SENAME. Digite Cero si no tiene.",IF(AR198&gt;$C198,"  * La variable Niños, niñas, adolescentes y jóvenes SENAME No puede ser mayor al Total.",""))</f>
        <v/>
      </c>
      <c r="CF198" s="90">
        <f>IF(AND(C198&gt;0,AS198=""), "* No olvide digitar la variable Servicio Nacional Protección Especializada a la Niñez y Adolescencia. Digite Cero si no tiene.",IF(AS198&gt;C198,"  * La variable Servicio Nacional Protección Especializada a la Niñez y Adolescencia No puede ser mayor al Total.",""))</f>
        <v/>
      </c>
      <c r="CG198" s="90">
        <f>IF(AND(D198&gt;0,OR(AT198="")), "* No olvide digitar la variable Migrantes - Hombres. Digite Cero si no tiene.",IF((AT198)&gt;D198,"  * La variable Migrantes - Hombres No puede ser mayor al Total Hombres.",""))</f>
        <v/>
      </c>
      <c r="CH198" s="90">
        <f>IF(AND(E198&gt;0,OR(AU198="")), "* No olvide digitar la variable Migrantes - Mujeres. Digite Cero si no tiene.",IF((AU198)&gt;E198,"  * La variable Migrantes - Mujeres No puede ser mayor al Total Mujeres.",""))</f>
        <v/>
      </c>
      <c r="CI198" s="90">
        <f>IF(AND(E198&gt;0,OR(AV198="")), "* No olvide digitar la variable Trans Masculino. Digite Cero si no tiene.",IF((AV198)&gt;E198,"  * La variable Trans Masculino No puede ser mayor al Total Mujeres.",""))</f>
        <v/>
      </c>
      <c r="CJ198" s="90">
        <f>IF(AND(D198&gt;0,OR(AW198="")), "* No olvide digitar la variable Trans Femenino. Digite Cero si no tiene.",IF((AW198)&gt;D198,"  * La variable Trans Femenino No puede ser mayor al Total Hombres.",""))</f>
        <v/>
      </c>
      <c r="CK198" s="90">
        <f>IF(AND($C198&gt;0,AX198=""), "* No olvide digitar la variable Adolescentes derivados de Espacios Amigables. Digite Cero si no tiene.",IF(AX198&gt;$C198,"  * La variable Adolescentes derivados de Espacios Amigables No puede ser mayor al Total.",""))</f>
        <v/>
      </c>
      <c r="CO198" s="29">
        <f>IF(AND(E198&gt;0,AN198=""),1,IF(AN198&gt;E198,1,0))</f>
        <v/>
      </c>
      <c r="CP198" s="29">
        <f>IF(AND(E198&gt;0,AO198=""),1,IF(AO198&gt;E198,1,0))</f>
        <v/>
      </c>
      <c r="CQ198" s="29">
        <f>IF(AND(D198&gt;0,OR(AP198="")),1,IF((AP198)&gt;D198,1,0))</f>
        <v/>
      </c>
      <c r="CR198" s="29">
        <f>IF(AND(E198&gt;0,OR(AQ198="")),1,IF((AQ198)&gt;E198,1,0))</f>
        <v/>
      </c>
      <c r="CS198" s="29">
        <f>IF(AND(C198&gt;0,AR198=""),1,IF(AR198&gt;C198,1,0))</f>
        <v/>
      </c>
      <c r="CT198" s="29">
        <f>IF(AND(C198&gt;0,AS198=""),1,IF(AS198&gt;C198,1,0))</f>
        <v/>
      </c>
      <c r="CU198" s="29">
        <f>IF(AND(D198&gt;0,OR(AT198="")),1,IF((AT198)&gt;D198,1,0))</f>
        <v/>
      </c>
      <c r="CV198" s="29">
        <f>IF(AND(E198&gt;0,OR(AU198="")),1,IF((AU198)&gt;E198,1,0))</f>
        <v/>
      </c>
      <c r="CW198" s="29">
        <f>IF(AND(E198&gt;0,OR(AV198="")),1,IF((AV198)&gt;E198,1,0))</f>
        <v/>
      </c>
      <c r="CX198" s="29">
        <f>IF(AND(D198&gt;0,OR(AW198="")),1,IF((AW198)&gt;D198,1,0))</f>
        <v/>
      </c>
      <c r="CY198" s="29">
        <f>IF(AND(C198&gt;0,AX198=""),1,IF(AX198&gt;C198,1,0))</f>
        <v/>
      </c>
    </row>
    <row r="199" ht="15" customHeight="1" s="8286">
      <c r="A199" s="9933" t="inlineStr">
        <is>
          <t>Violencia Psicológica</t>
        </is>
      </c>
      <c r="B199" s="2179" t="inlineStr">
        <is>
          <t>Victima</t>
        </is>
      </c>
      <c r="C199" s="2180">
        <f>SUM(D199+E199)</f>
        <v/>
      </c>
      <c r="D199" s="855">
        <f>SUM(F199+H199+J199+L199+N199+P199+R199+T199+V199+X199+Z199+AB199+AD199+AF199+AH199+AJ199+AL199)</f>
        <v/>
      </c>
      <c r="E199" s="2179">
        <f>SUM(G199+I199+K199+M199+O199+Q199+S199+U199+W199+Y199+AA199+AC199+AE199+AG199+AI199+AK199+AM199)</f>
        <v/>
      </c>
      <c r="F199" s="2022" t="n"/>
      <c r="G199" s="2029" t="n"/>
      <c r="H199" s="2022" t="n"/>
      <c r="I199" s="2029" t="n"/>
      <c r="J199" s="2022" t="n"/>
      <c r="K199" s="2029" t="n"/>
      <c r="L199" s="2022" t="n"/>
      <c r="M199" s="2029" t="n"/>
      <c r="N199" s="2022" t="n"/>
      <c r="O199" s="2029" t="n"/>
      <c r="P199" s="2022" t="n"/>
      <c r="Q199" s="2029" t="n"/>
      <c r="R199" s="2022" t="n"/>
      <c r="S199" s="2029" t="n"/>
      <c r="T199" s="2022" t="n"/>
      <c r="U199" s="2029" t="n"/>
      <c r="V199" s="2022" t="n"/>
      <c r="W199" s="2029" t="n"/>
      <c r="X199" s="2022" t="n"/>
      <c r="Y199" s="2029" t="n"/>
      <c r="Z199" s="2022" t="n"/>
      <c r="AA199" s="2029" t="n"/>
      <c r="AB199" s="2022" t="n"/>
      <c r="AC199" s="2029" t="n"/>
      <c r="AD199" s="2022" t="n"/>
      <c r="AE199" s="2029" t="n"/>
      <c r="AF199" s="2022" t="n"/>
      <c r="AG199" s="2029" t="n"/>
      <c r="AH199" s="2022" t="n"/>
      <c r="AI199" s="2029" t="n"/>
      <c r="AJ199" s="2022" t="n"/>
      <c r="AK199" s="2029" t="n"/>
      <c r="AL199" s="2022" t="n"/>
      <c r="AM199" s="2115" t="n"/>
      <c r="AN199" s="5213" t="n">
        <v>0</v>
      </c>
      <c r="AO199" s="5189" t="n">
        <v>0</v>
      </c>
      <c r="AP199" s="3503" t="n">
        <v>0</v>
      </c>
      <c r="AQ199" s="2029" t="n">
        <v>0</v>
      </c>
      <c r="AR199" s="2022" t="n">
        <v>0</v>
      </c>
      <c r="AS199" s="2029" t="n">
        <v>0</v>
      </c>
      <c r="AT199" s="2115" t="n">
        <v>0</v>
      </c>
      <c r="AU199" s="2124" t="n">
        <v>0</v>
      </c>
      <c r="AV199" s="2115" t="n">
        <v>0</v>
      </c>
      <c r="AW199" s="2124" t="n">
        <v>0</v>
      </c>
      <c r="AX199" s="2029" t="n">
        <v>0</v>
      </c>
      <c r="AY199" s="5">
        <f>CA199&amp;CB199&amp;CC199&amp;CD199&amp;CE199&amp;CF199&amp;CG199&amp;CH199&amp;CI199&amp;CJ199&amp;CK199</f>
        <v/>
      </c>
      <c r="CA199" s="90">
        <f>IF(AND(E199&gt;0,AN199=""), "* No olvide digitar la variable Gestantes. Digite Cero si no tiene.",IF(AN199&gt;E199,"  * La variable Gestantes No puede ser mayor al Total Mujeres.",""))</f>
        <v/>
      </c>
      <c r="CB199" s="90">
        <f>IF(AND(E199&gt;0,AO199=""), "* No olvide digitar la variable Madre de hijo menor de 5 años. Digite Cero si no tiene.",IF(AO199&gt;E199,"  * La variable Madre de hijo menor de 5 años No puede ser mayor al Total de Mujeres.",""))</f>
        <v/>
      </c>
      <c r="CC199" s="90">
        <f>IF(AND(D199&gt;0,OR(AP199="")), "* No olvide digitar la variable Pueblos originarios - Hombres. Digite Cero si no tiene.",IF((AP199)&gt;D199,"  * La variable Pueblos originarios - Hombres No puede ser mayor al Total Hombres.",""))</f>
        <v/>
      </c>
      <c r="CD199" s="90">
        <f>IF(AND(E199&gt;0,OR(AQ199="")), "* No olvide digitar la variable Pueblos originarios - Mujeres. Digite Cero si no tiene.",IF((AQ199)&gt;E199,"  * La variable Pueblos originarios - Mujeres No puede ser mayor al Total Mujeres.",""))</f>
        <v/>
      </c>
      <c r="CE199" s="90">
        <f>IF(AND($C199&gt;0,AR199=""), "* No olvide digitar la variable Niños, niñas, adolescentes y jóvenes SENAME. Digite Cero si no tiene.",IF(AR199&gt;$C199,"  * La variable Niños, niñas, adolescentes y jóvenes SENAME No puede ser mayor al Total.",""))</f>
        <v/>
      </c>
      <c r="CF199" s="90">
        <f>IF(AND(C199&gt;0,AS199=""), "* No olvide digitar la variable Servicio Nacional Protección Especializada a la Niñez y Adolescencia. Digite Cero si no tiene.",IF(AS199&gt;C199,"  * La variable Servicio Nacional Protección Especializada a la Niñez y Adolescencia No puede ser mayor al Total.",""))</f>
        <v/>
      </c>
      <c r="CG199" s="90">
        <f>IF(AND(D199&gt;0,OR(AT199="")), "* No olvide digitar la variable Migrantes - Hombres. Digite Cero si no tiene.",IF((AT199)&gt;D199,"  * La variable Migrantes - Hombres No puede ser mayor al Total Hombres.",""))</f>
        <v/>
      </c>
      <c r="CH199" s="90">
        <f>IF(AND(E199&gt;0,OR(AU199="")), "* No olvide digitar la variable Migrantes - Mujeres. Digite Cero si no tiene.",IF((AU199)&gt;E199,"  * La variable Migrantes - Mujeres No puede ser mayor al Total Mujeres.",""))</f>
        <v/>
      </c>
      <c r="CI199" s="90">
        <f>IF(AND(E199&gt;0,OR(AV199="")), "* No olvide digitar la variable Trans Masculino. Digite Cero si no tiene.",IF((AV199)&gt;E199,"  * La variable Trans Masculino No puede ser mayor al Total Mujeres.",""))</f>
        <v/>
      </c>
      <c r="CJ199" s="90">
        <f>IF(AND(D199&gt;0,OR(AW199="")), "* No olvide digitar la variable Trans Femenino. Digite Cero si no tiene.",IF((AW199)&gt;D199,"  * La variable Trans Femenino No puede ser mayor al Total Hombres.",""))</f>
        <v/>
      </c>
      <c r="CK199" s="90">
        <f>IF(AND($C199&gt;0,AX199=""), "* No olvide digitar la variable Adolescentes derivados de Espacios Amigables. Digite Cero si no tiene.",IF(AX199&gt;$C199,"  * La variable Adolescentes derivados de Espacios Amigables No puede ser mayor al Total.",""))</f>
        <v/>
      </c>
      <c r="CL199" s="5" t="n"/>
      <c r="CM199" s="5" t="n"/>
      <c r="CN199" s="5" t="n"/>
      <c r="CO199" s="29">
        <f>IF(AND(E199&gt;0,AN199=""),1,IF(AN199&gt;E199,1,0))</f>
        <v/>
      </c>
      <c r="CP199" s="29">
        <f>IF(AND(E199&gt;0,AO199=""),1,IF(AO199&gt;E199,1,0))</f>
        <v/>
      </c>
      <c r="CQ199" s="29">
        <f>IF(AND(D199&gt;0,OR(AP199="")),1,IF((AP199)&gt;D199,1,0))</f>
        <v/>
      </c>
      <c r="CR199" s="29">
        <f>IF(AND(E199&gt;0,OR(AQ199="")),1,IF((AQ199)&gt;E199,1,0))</f>
        <v/>
      </c>
      <c r="CS199" s="29">
        <f>IF(AND(C199&gt;0,AR199=""),1,IF(AR199&gt;C199,1,0))</f>
        <v/>
      </c>
      <c r="CT199" s="29">
        <f>IF(AND(C199&gt;0,AS199=""),1,IF(AS199&gt;C199,1,0))</f>
        <v/>
      </c>
      <c r="CU199" s="29">
        <f>IF(AND(D199&gt;0,OR(AT199="")),1,IF((AT199)&gt;D199,1,0))</f>
        <v/>
      </c>
      <c r="CV199" s="29">
        <f>IF(AND(E199&gt;0,OR(AU199="")),1,IF((AU199)&gt;E199,1,0))</f>
        <v/>
      </c>
      <c r="CW199" s="29">
        <f>IF(AND(E199&gt;0,OR(AV199="")),1,IF((AV199)&gt;E199,1,0))</f>
        <v/>
      </c>
      <c r="CX199" s="29">
        <f>IF(AND(D199&gt;0,OR(AW199="")),1,IF((AW199)&gt;D199,1,0))</f>
        <v/>
      </c>
      <c r="CY199" s="29">
        <f>IF(AND(C199&gt;0,AX199=""),1,IF(AX199&gt;C199,1,0))</f>
        <v/>
      </c>
    </row>
    <row r="200" ht="15" customHeight="1" s="8286">
      <c r="A200" s="9610" t="n"/>
      <c r="B200" s="7752" t="inlineStr">
        <is>
          <t>Agresor/a</t>
        </is>
      </c>
      <c r="C200" s="897">
        <f>SUM(D200+E200)</f>
        <v/>
      </c>
      <c r="D200" s="182">
        <f>SUM(F200+H200+J200+L200+N200+P200+R200+T200+V200+X200+Z200+AB200+AD200+AF200+AH200+AJ200+AL200)</f>
        <v/>
      </c>
      <c r="E200" s="2182">
        <f>SUM(G200+I200+K200+M200+O200+Q200+S200+U200+W200+Y200+AA200+AC200+AE200+AG200+AI200+AK200+AM200)</f>
        <v/>
      </c>
      <c r="F200" s="872" t="n"/>
      <c r="G200" s="1953" t="n"/>
      <c r="H200" s="872" t="n"/>
      <c r="I200" s="1953" t="n"/>
      <c r="J200" s="872" t="n"/>
      <c r="K200" s="1953" t="n"/>
      <c r="L200" s="872" t="n"/>
      <c r="M200" s="1953" t="n"/>
      <c r="N200" s="872" t="n"/>
      <c r="O200" s="1953" t="n"/>
      <c r="P200" s="872" t="n"/>
      <c r="Q200" s="1953" t="n"/>
      <c r="R200" s="872" t="n"/>
      <c r="S200" s="1953" t="n"/>
      <c r="T200" s="872" t="n"/>
      <c r="U200" s="1953" t="n"/>
      <c r="V200" s="872" t="n"/>
      <c r="W200" s="1953" t="n"/>
      <c r="X200" s="872" t="n"/>
      <c r="Y200" s="1953" t="n"/>
      <c r="Z200" s="872" t="n"/>
      <c r="AA200" s="1953" t="n"/>
      <c r="AB200" s="872" t="n"/>
      <c r="AC200" s="1953" t="n"/>
      <c r="AD200" s="872" t="n"/>
      <c r="AE200" s="1953" t="n"/>
      <c r="AF200" s="872" t="n"/>
      <c r="AG200" s="1953" t="n"/>
      <c r="AH200" s="872" t="n"/>
      <c r="AI200" s="1953" t="n"/>
      <c r="AJ200" s="872" t="n"/>
      <c r="AK200" s="1953" t="n"/>
      <c r="AL200" s="872" t="n"/>
      <c r="AM200" s="2183" t="n"/>
      <c r="AN200" s="5360" t="n">
        <v>0</v>
      </c>
      <c r="AO200" s="5362" t="n">
        <v>0</v>
      </c>
      <c r="AP200" s="5380" t="n">
        <v>0</v>
      </c>
      <c r="AQ200" s="1953" t="n">
        <v>0</v>
      </c>
      <c r="AR200" s="872" t="n">
        <v>0</v>
      </c>
      <c r="AS200" s="1953" t="n">
        <v>0</v>
      </c>
      <c r="AT200" s="2183" t="n">
        <v>0</v>
      </c>
      <c r="AU200" s="183" t="n">
        <v>0</v>
      </c>
      <c r="AV200" s="2183" t="n">
        <v>0</v>
      </c>
      <c r="AW200" s="183" t="n">
        <v>0</v>
      </c>
      <c r="AX200" s="1953" t="n">
        <v>0</v>
      </c>
      <c r="AY200" s="5">
        <f>CA200&amp;CB200&amp;CC200&amp;CD200&amp;CE200&amp;CF200&amp;CG200&amp;CH200&amp;CI200&amp;CJ200&amp;CK200</f>
        <v/>
      </c>
      <c r="CA200" s="90">
        <f>IF(AND(E200&gt;0,AN200=""), "* No olvide digitar la variable Gestantes. Digite Cero si no tiene.",IF(AN200&gt;E200,"  * La variable Gestantes No puede ser mayor al Total Mujeres.",""))</f>
        <v/>
      </c>
      <c r="CB200" s="90">
        <f>IF(AND(E200&gt;0,AO200=""), "* No olvide digitar la variable Madre de hijo menor de 5 años. Digite Cero si no tiene.",IF(AO200&gt;E200,"  * La variable Madre de hijo menor de 5 años No puede ser mayor al Total de Mujeres.",""))</f>
        <v/>
      </c>
      <c r="CC200" s="90">
        <f>IF(AND(D200&gt;0,OR(AP200="")), "* No olvide digitar la variable Pueblos originarios - Hombres. Digite Cero si no tiene.",IF((AP200)&gt;D200,"  * La variable Pueblos originarios - Hombres No puede ser mayor al Total Hombres.",""))</f>
        <v/>
      </c>
      <c r="CD200" s="90">
        <f>IF(AND(E200&gt;0,OR(AQ200="")), "* No olvide digitar la variable Pueblos originarios - Mujeres. Digite Cero si no tiene.",IF((AQ200)&gt;E200,"  * La variable Pueblos originarios - Mujeres No puede ser mayor al Total Mujeres.",""))</f>
        <v/>
      </c>
      <c r="CE200" s="90">
        <f>IF(AND($C200&gt;0,AR200=""), "* No olvide digitar la variable Niños, niñas, adolescentes y jóvenes SENAME. Digite Cero si no tiene.",IF(AR200&gt;$C200,"  * La variable Niños, niñas, adolescentes y jóvenes SENAME No puede ser mayor al Total.",""))</f>
        <v/>
      </c>
      <c r="CF200" s="90">
        <f>IF(AND(C200&gt;0,AS200=""), "* No olvide digitar la variable Servicio Nacional Protección Especializada a la Niñez y Adolescencia. Digite Cero si no tiene.",IF(AS200&gt;C200,"  * La variable Servicio Nacional Protección Especializada a la Niñez y Adolescencia No puede ser mayor al Total.",""))</f>
        <v/>
      </c>
      <c r="CG200" s="90">
        <f>IF(AND(D200&gt;0,OR(AT200="")), "* No olvide digitar la variable Migrantes - Hombres. Digite Cero si no tiene.",IF((AT200)&gt;D200,"  * La variable Migrantes - Hombres No puede ser mayor al Total Hombres.",""))</f>
        <v/>
      </c>
      <c r="CH200" s="90">
        <f>IF(AND(E200&gt;0,OR(AU200="")), "* No olvide digitar la variable Migrantes - Mujeres. Digite Cero si no tiene.",IF((AU200)&gt;E200,"  * La variable Migrantes - Mujeres No puede ser mayor al Total Mujeres.",""))</f>
        <v/>
      </c>
      <c r="CI200" s="90">
        <f>IF(AND(E200&gt;0,OR(AV200="")), "* No olvide digitar la variable Trans Masculino. Digite Cero si no tiene.",IF((AV200)&gt;E200,"  * La variable Trans Masculino No puede ser mayor al Total Mujeres.",""))</f>
        <v/>
      </c>
      <c r="CJ200" s="90">
        <f>IF(AND(D200&gt;0,OR(AW200="")), "* No olvide digitar la variable Trans Femenino. Digite Cero si no tiene.",IF((AW200)&gt;D200,"  * La variable Trans Femenino No puede ser mayor al Total Hombres.",""))</f>
        <v/>
      </c>
      <c r="CK200" s="90">
        <f>IF(AND($C200&gt;0,AX200=""), "* No olvide digitar la variable Adolescentes derivados de Espacios Amigables. Digite Cero si no tiene.",IF(AX200&gt;$C200,"  * La variable Adolescentes derivados de Espacios Amigables No puede ser mayor al Total.",""))</f>
        <v/>
      </c>
      <c r="CL200" s="5" t="n"/>
      <c r="CM200" s="5" t="n"/>
      <c r="CN200" s="5" t="n"/>
      <c r="CO200" s="29">
        <f>IF(AND(E200&gt;0,AN200=""),1,IF(AN200&gt;E200,1,0))</f>
        <v/>
      </c>
      <c r="CP200" s="29">
        <f>IF(AND(E200&gt;0,AO200=""),1,IF(AO200&gt;E200,1,0))</f>
        <v/>
      </c>
      <c r="CQ200" s="29">
        <f>IF(AND(D200&gt;0,OR(AP200="")),1,IF((AP200)&gt;D200,1,0))</f>
        <v/>
      </c>
      <c r="CR200" s="29">
        <f>IF(AND(E200&gt;0,OR(AQ200="")),1,IF((AQ200)&gt;E200,1,0))</f>
        <v/>
      </c>
      <c r="CS200" s="29">
        <f>IF(AND(C200&gt;0,AR200=""),1,IF(AR200&gt;C200,1,0))</f>
        <v/>
      </c>
      <c r="CT200" s="29">
        <f>IF(AND(C200&gt;0,AS200=""),1,IF(AS200&gt;C200,1,0))</f>
        <v/>
      </c>
      <c r="CU200" s="29">
        <f>IF(AND(D200&gt;0,OR(AT200="")),1,IF((AT200)&gt;D200,1,0))</f>
        <v/>
      </c>
      <c r="CV200" s="29">
        <f>IF(AND(E200&gt;0,OR(AU200="")),1,IF((AU200)&gt;E200,1,0))</f>
        <v/>
      </c>
      <c r="CW200" s="29">
        <f>IF(AND(E200&gt;0,OR(AV200="")),1,IF((AV200)&gt;E200,1,0))</f>
        <v/>
      </c>
      <c r="CX200" s="29">
        <f>IF(AND(D200&gt;0,OR(AW200="")),1,IF((AW200)&gt;D200,1,0))</f>
        <v/>
      </c>
      <c r="CY200" s="29">
        <f>IF(AND(C200&gt;0,AX200=""),1,IF(AX200&gt;C200,1,0))</f>
        <v/>
      </c>
    </row>
    <row r="201">
      <c r="A201" s="9994" t="inlineStr">
        <is>
          <t>Abuso sexual</t>
        </is>
      </c>
      <c r="B201" s="9647" t="n"/>
      <c r="C201" s="2185" t="n"/>
      <c r="D201" s="2186" t="n"/>
      <c r="E201" s="7823" t="n"/>
      <c r="F201" s="2187" t="n"/>
      <c r="G201" s="2188" t="n"/>
      <c r="H201" s="2187" t="n"/>
      <c r="I201" s="2188" t="n"/>
      <c r="J201" s="2187" t="n"/>
      <c r="K201" s="2188" t="n"/>
      <c r="L201" s="2187" t="n"/>
      <c r="M201" s="2188" t="n"/>
      <c r="N201" s="2187" t="n"/>
      <c r="O201" s="2188" t="n"/>
      <c r="P201" s="2187" t="n"/>
      <c r="Q201" s="2188" t="n"/>
      <c r="R201" s="2187" t="n"/>
      <c r="S201" s="2188" t="n"/>
      <c r="T201" s="2187" t="n"/>
      <c r="U201" s="2188" t="n"/>
      <c r="V201" s="2187" t="n"/>
      <c r="W201" s="2188" t="n"/>
      <c r="X201" s="2187" t="n"/>
      <c r="Y201" s="2188" t="n"/>
      <c r="Z201" s="2187" t="n"/>
      <c r="AA201" s="2188" t="n"/>
      <c r="AB201" s="2187" t="n"/>
      <c r="AC201" s="2188" t="n"/>
      <c r="AD201" s="2187" t="n"/>
      <c r="AE201" s="2188" t="n"/>
      <c r="AF201" s="2187" t="n"/>
      <c r="AG201" s="2188" t="n"/>
      <c r="AH201" s="2187" t="n"/>
      <c r="AI201" s="2188" t="n"/>
      <c r="AJ201" s="2187" t="n"/>
      <c r="AK201" s="2188" t="n"/>
      <c r="AL201" s="2187" t="n"/>
      <c r="AM201" s="2189" t="n"/>
      <c r="AN201" s="5374" t="n"/>
      <c r="AO201" s="5206" t="n"/>
      <c r="AP201" s="5381" t="n"/>
      <c r="AQ201" s="2188" t="n"/>
      <c r="AR201" s="2187" t="n"/>
      <c r="AS201" s="2188" t="n"/>
      <c r="AT201" s="2189" t="n"/>
      <c r="AU201" s="2191" t="n"/>
      <c r="AV201" s="2189" t="n"/>
      <c r="AW201" s="2191" t="n"/>
      <c r="AX201" s="2188" t="n"/>
      <c r="AY201" s="5" t="n"/>
      <c r="CA201" s="123" t="n"/>
      <c r="CB201" s="123" t="n"/>
      <c r="CC201" s="123" t="n"/>
      <c r="CD201" s="123" t="n"/>
      <c r="CE201" s="123" t="n"/>
      <c r="CF201" s="123" t="n"/>
      <c r="CG201" s="123" t="n"/>
      <c r="CH201" s="123" t="n"/>
      <c r="CI201" s="123" t="n"/>
      <c r="CJ201" s="123" t="n"/>
      <c r="CK201" s="123" t="n"/>
      <c r="CL201" s="5" t="n"/>
      <c r="CM201" s="5" t="n"/>
      <c r="CN201" s="5" t="n"/>
      <c r="CO201" s="1428" t="n"/>
      <c r="CP201" s="1428" t="n"/>
      <c r="CQ201" s="1428" t="n"/>
      <c r="CR201" s="1428" t="n"/>
      <c r="CS201" s="1428" t="n"/>
      <c r="CT201" s="1428" t="n"/>
      <c r="CU201" s="1428" t="n"/>
      <c r="CV201" s="1428" t="n"/>
      <c r="CW201" s="1428" t="n"/>
      <c r="CX201" s="1428" t="n"/>
      <c r="CY201" s="1428" t="n"/>
    </row>
    <row r="202">
      <c r="A202" s="9933" t="inlineStr">
        <is>
          <t>Suicidio</t>
        </is>
      </c>
      <c r="B202" s="2179" t="inlineStr">
        <is>
          <t>Ideación</t>
        </is>
      </c>
      <c r="C202" s="2180">
        <f>SUM(D202+E202)</f>
        <v/>
      </c>
      <c r="D202" s="855">
        <f>SUM(H202+J202+L202+N202+P202+R202+T202+V202+X202+Z202+AB202+AD202+AF202+AH202+AJ202+AL202)</f>
        <v/>
      </c>
      <c r="E202" s="2179">
        <f>SUM(I202+K202+M202+O202+Q202+S202+U202+W202+Y202+AA202+AC202+AE202+AG202+AI202+AK202+AM202)</f>
        <v/>
      </c>
      <c r="F202" s="2192" t="n"/>
      <c r="G202" s="2193" t="n"/>
      <c r="H202" s="2022" t="n"/>
      <c r="I202" s="2029" t="n"/>
      <c r="J202" s="2022" t="n"/>
      <c r="K202" s="2029" t="n"/>
      <c r="L202" s="2022" t="n"/>
      <c r="M202" s="2029" t="n"/>
      <c r="N202" s="2022" t="n"/>
      <c r="O202" s="2029" t="n"/>
      <c r="P202" s="2022" t="n"/>
      <c r="Q202" s="2029" t="n"/>
      <c r="R202" s="2022" t="n"/>
      <c r="S202" s="2029" t="n"/>
      <c r="T202" s="2022" t="n"/>
      <c r="U202" s="2029" t="n"/>
      <c r="V202" s="2022" t="n"/>
      <c r="W202" s="2029" t="n"/>
      <c r="X202" s="2022" t="n"/>
      <c r="Y202" s="2029" t="n"/>
      <c r="Z202" s="2022" t="n"/>
      <c r="AA202" s="2029" t="n"/>
      <c r="AB202" s="2022" t="n"/>
      <c r="AC202" s="2029" t="n"/>
      <c r="AD202" s="2022" t="n"/>
      <c r="AE202" s="2029" t="n"/>
      <c r="AF202" s="2022" t="n"/>
      <c r="AG202" s="2029" t="n"/>
      <c r="AH202" s="2022" t="n"/>
      <c r="AI202" s="2029" t="n"/>
      <c r="AJ202" s="2022" t="n"/>
      <c r="AK202" s="2029" t="n"/>
      <c r="AL202" s="2022" t="n"/>
      <c r="AM202" s="2115" t="n"/>
      <c r="AN202" s="5213" t="n">
        <v>0</v>
      </c>
      <c r="AO202" s="5189" t="n">
        <v>0</v>
      </c>
      <c r="AP202" s="3503" t="n">
        <v>0</v>
      </c>
      <c r="AQ202" s="2029" t="n">
        <v>0</v>
      </c>
      <c r="AR202" s="2022" t="n">
        <v>0</v>
      </c>
      <c r="AS202" s="2029" t="n">
        <v>0</v>
      </c>
      <c r="AT202" s="2115" t="n">
        <v>0</v>
      </c>
      <c r="AU202" s="2124" t="n">
        <v>0</v>
      </c>
      <c r="AV202" s="2115" t="n">
        <v>0</v>
      </c>
      <c r="AW202" s="2124" t="n">
        <v>0</v>
      </c>
      <c r="AX202" s="2029" t="n">
        <v>0</v>
      </c>
      <c r="AY202" s="5">
        <f>CA202&amp;CB202&amp;CC202&amp;CD202&amp;CE202&amp;CF202&amp;CG202&amp;CH202&amp;CI202&amp;CJ202&amp;CK202</f>
        <v/>
      </c>
      <c r="CA202" s="90">
        <f>IF(AND(E202&gt;0,AN202=""), "* No olvide digitar la variable Gestantes. Digite Cero si no tiene.",IF(AN202&gt;E202,"  * La variable Gestantes No puede ser mayor al Total Mujeres.",""))</f>
        <v/>
      </c>
      <c r="CB202" s="90">
        <f>IF(AND(E202&gt;0,AO202=""), "* No olvide digitar la variable Madre de hijo menor de 5 años. Digite Cero si no tiene.",IF(AO202&gt;E202,"  * La variable Madre de hijo menor de 5 años No puede ser mayor al Total de Mujeres.",""))</f>
        <v/>
      </c>
      <c r="CC202" s="90">
        <f>IF(AND(D202&gt;0,OR(AP202="")), "* No olvide digitar la variable Pueblos originarios - Hombres. Digite Cero si no tiene.",IF((AP202)&gt;D202,"  * La variable Pueblos originarios - Hombres No puede ser mayor al Total Hombres.",""))</f>
        <v/>
      </c>
      <c r="CD202" s="90">
        <f>IF(AND(E202&gt;0,OR(AQ202="")), "* No olvide digitar la variable Pueblos originarios - Mujeres. Digite Cero si no tiene.",IF((AQ202)&gt;E202,"  * La variable Pueblos originarios - Mujeres No puede ser mayor al Total Mujeres.",""))</f>
        <v/>
      </c>
      <c r="CE202" s="90">
        <f>IF(AND($C202&gt;0,AR202=""), "* No olvide digitar la variable Niños, niñas, adolescentes y jóvenes SENAME. Digite Cero si no tiene.",IF(AR202&gt;$C202,"  * La variable Niños, niñas, adolescentes y jóvenes SENAME No puede ser mayor al Total.",""))</f>
        <v/>
      </c>
      <c r="CF202" s="90">
        <f>IF(AND(C202&gt;0,AS202=""), "* No olvide digitar la variable Servicio Nacional Protección Especializada a la Niñez y Adolescencia. Digite Cero si no tiene.",IF(AS202&gt;C202,"  * La variable Servicio Nacional Protección Especializada a la Niñez y Adolescencia No puede ser mayor al Total.",""))</f>
        <v/>
      </c>
      <c r="CG202" s="90">
        <f>IF(AND(D202&gt;0,OR(AT202="")), "* No olvide digitar la variable Migrantes - Hombres. Digite Cero si no tiene.",IF((AT202)&gt;D202,"  * La variable Migrantes - Hombres No puede ser mayor al Total Hombres.",""))</f>
        <v/>
      </c>
      <c r="CH202" s="90">
        <f>IF(AND(E202&gt;0,OR(AU202="")), "* No olvide digitar la variable Migrantes - Mujeres. Digite Cero si no tiene.",IF((AU202)&gt;E202,"  * La variable Migrantes - Mujeres No puede ser mayor al Total Mujeres.",""))</f>
        <v/>
      </c>
      <c r="CI202" s="90">
        <f>IF(AND(E202&gt;0,OR(AV202="")), "* No olvide digitar la variable Trans Masculino. Digite Cero si no tiene.",IF((AV202)&gt;E202,"  * La variable Trans Masculino No puede ser mayor al Total Mujeres.",""))</f>
        <v/>
      </c>
      <c r="CJ202" s="90">
        <f>IF(AND(D202&gt;0,OR(AW202="")), "* No olvide digitar la variable Trans Femenino. Digite Cero si no tiene.",IF((AW202)&gt;D202,"  * La variable Trans Femenino No puede ser mayor al Total Hombres.",""))</f>
        <v/>
      </c>
      <c r="CK202" s="90">
        <f>IF(AND($C202&gt;0,AX202=""), "* No olvide digitar la variable Adolescentes derivados de Espacios Amigables. Digite Cero si no tiene.",IF(AX202&gt;$C202,"  * La variable Adolescentes derivados de Espacios Amigables No puede ser mayor al Total.",""))</f>
        <v/>
      </c>
      <c r="CL202" s="5" t="n"/>
      <c r="CM202" s="5" t="n"/>
      <c r="CN202" s="5" t="n"/>
      <c r="CO202" s="29">
        <f>IF(AND(E202&gt;0,AN202=""),1,IF(AN202&gt;E202,1,0))</f>
        <v/>
      </c>
      <c r="CP202" s="29">
        <f>IF(AND(E202&gt;0,AO202=""),1,IF(AO202&gt;E202,1,0))</f>
        <v/>
      </c>
      <c r="CQ202" s="29">
        <f>IF(AND(D202&gt;0,OR(AP202="")),1,IF((AP202)&gt;D202,1,0))</f>
        <v/>
      </c>
      <c r="CR202" s="29">
        <f>IF(AND(E202&gt;0,OR(AQ202="")),1,IF((AQ202)&gt;E202,1,0))</f>
        <v/>
      </c>
      <c r="CS202" s="29">
        <f>IF(AND(C202&gt;0,AR202=""),1,IF(AR202&gt;C202,1,0))</f>
        <v/>
      </c>
      <c r="CT202" s="29">
        <f>IF(AND(C202&gt;0,AS202=""),1,IF(AS202&gt;C202,1,0))</f>
        <v/>
      </c>
      <c r="CU202" s="29">
        <f>IF(AND(D202&gt;0,OR(AT202="")),1,IF((AT202)&gt;D202,1,0))</f>
        <v/>
      </c>
      <c r="CV202" s="29">
        <f>IF(AND(E202&gt;0,OR(AU202="")),1,IF((AU202)&gt;E202,1,0))</f>
        <v/>
      </c>
      <c r="CW202" s="29">
        <f>IF(AND(E202&gt;0,OR(AV202="")),1,IF((AV202)&gt;E202,1,0))</f>
        <v/>
      </c>
      <c r="CX202" s="29">
        <f>IF(AND(D202&gt;0,OR(AW202="")),1,IF((AW202)&gt;D202,1,0))</f>
        <v/>
      </c>
      <c r="CY202" s="29">
        <f>IF(AND(C202&gt;0,AX202=""),1,IF(AX202&gt;C202,1,0))</f>
        <v/>
      </c>
    </row>
    <row r="203">
      <c r="A203" s="9610" t="n"/>
      <c r="B203" s="7752" t="inlineStr">
        <is>
          <t>Intento</t>
        </is>
      </c>
      <c r="C203" s="649">
        <f>SUM(D203+E203)</f>
        <v/>
      </c>
      <c r="D203" s="147">
        <f>SUM(H203+J203+L203+N203+P203+R203+T203+V203+X203+Z203+AB203+AD203+AF203+AH203+AJ203+AL203)</f>
        <v/>
      </c>
      <c r="E203" s="2171">
        <f>SUM(I203+K203+M203+O203+Q203+S203+U203+W203+Y203+AA203+AC203+AE203+AG203+AI203+AK203+AM203)</f>
        <v/>
      </c>
      <c r="F203" s="650" t="n"/>
      <c r="G203" s="2194" t="n"/>
      <c r="H203" s="645" t="n"/>
      <c r="I203" s="2057" t="n"/>
      <c r="J203" s="645" t="n"/>
      <c r="K203" s="2057" t="n"/>
      <c r="L203" s="872" t="n"/>
      <c r="M203" s="1953" t="n"/>
      <c r="N203" s="645" t="n"/>
      <c r="O203" s="2057" t="n"/>
      <c r="P203" s="645" t="n"/>
      <c r="Q203" s="2057" t="n"/>
      <c r="R203" s="645" t="n"/>
      <c r="S203" s="2057" t="n"/>
      <c r="T203" s="645" t="n"/>
      <c r="U203" s="2057" t="n"/>
      <c r="V203" s="645" t="n"/>
      <c r="W203" s="2057" t="n"/>
      <c r="X203" s="645" t="n"/>
      <c r="Y203" s="2057" t="n"/>
      <c r="Z203" s="645" t="n"/>
      <c r="AA203" s="2057" t="n"/>
      <c r="AB203" s="645" t="n"/>
      <c r="AC203" s="2057" t="n"/>
      <c r="AD203" s="645" t="n"/>
      <c r="AE203" s="2057" t="n"/>
      <c r="AF203" s="645" t="n"/>
      <c r="AG203" s="2057" t="n"/>
      <c r="AH203" s="645" t="n"/>
      <c r="AI203" s="2057" t="n"/>
      <c r="AJ203" s="645" t="n"/>
      <c r="AK203" s="2057" t="n"/>
      <c r="AL203" s="645" t="n"/>
      <c r="AM203" s="37" t="n"/>
      <c r="AN203" s="5360" t="n">
        <v>0</v>
      </c>
      <c r="AO203" s="5362" t="n">
        <v>0</v>
      </c>
      <c r="AP203" s="5380" t="n">
        <v>0</v>
      </c>
      <c r="AQ203" s="1953" t="n">
        <v>0</v>
      </c>
      <c r="AR203" s="872" t="n">
        <v>0</v>
      </c>
      <c r="AS203" s="1953" t="n">
        <v>0</v>
      </c>
      <c r="AT203" s="2183" t="n">
        <v>0</v>
      </c>
      <c r="AU203" s="183" t="n">
        <v>0</v>
      </c>
      <c r="AV203" s="2183" t="n">
        <v>0</v>
      </c>
      <c r="AW203" s="183" t="n">
        <v>0</v>
      </c>
      <c r="AX203" s="1953" t="n">
        <v>0</v>
      </c>
      <c r="AY203" s="5">
        <f>CA203&amp;CB203&amp;CC203&amp;CD203&amp;CE203&amp;CF203&amp;CG203&amp;CH203&amp;CI203&amp;CJ203&amp;CK203</f>
        <v/>
      </c>
      <c r="CA203" s="90">
        <f>IF(AND(E203&gt;0,AN203=""), "* No olvide digitar la variable Gestantes. Digite Cero si no tiene.",IF(AN203&gt;E203,"  * La variable Gestantes No puede ser mayor al Total Mujeres.",""))</f>
        <v/>
      </c>
      <c r="CB203" s="90">
        <f>IF(AND(E203&gt;0,AO203=""), "* No olvide digitar la variable Madre de hijo menor de 5 años. Digite Cero si no tiene.",IF(AO203&gt;E203,"  * La variable Madre de hijo menor de 5 años No puede ser mayor al Total de Mujeres.",""))</f>
        <v/>
      </c>
      <c r="CC203" s="90">
        <f>IF(AND(D203&gt;0,OR(AP203="")), "* No olvide digitar la variable Pueblos originarios - Hombres. Digite Cero si no tiene.",IF((AP203)&gt;D203,"  * La variable Pueblos originarios - Hombres No puede ser mayor al Total Hombres.",""))</f>
        <v/>
      </c>
      <c r="CD203" s="90">
        <f>IF(AND(E203&gt;0,OR(AQ203="")), "* No olvide digitar la variable Pueblos originarios - Mujeres. Digite Cero si no tiene.",IF((AQ203)&gt;E203,"  * La variable Pueblos originarios - Mujeres No puede ser mayor al Total Mujeres.",""))</f>
        <v/>
      </c>
      <c r="CE203" s="90">
        <f>IF(AND($C203&gt;0,AR203=""), "* No olvide digitar la variable Niños, niñas, adolescentes y jóvenes SENAME. Digite Cero si no tiene.",IF(AR203&gt;$C203,"  * La variable Niños, niñas, adolescentes y jóvenes SENAME No puede ser mayor al Total.",""))</f>
        <v/>
      </c>
      <c r="CF203" s="90">
        <f>IF(AND(C203&gt;0,AS203=""), "* No olvide digitar la variable Servicio Nacional Protección Especializada a la Niñez y Adolescencia. Digite Cero si no tiene.",IF(AS203&gt;C203,"  * La variable Servicio Nacional Protección Especializada a la Niñez y Adolescencia No puede ser mayor al Total.",""))</f>
        <v/>
      </c>
      <c r="CG203" s="90">
        <f>IF(AND(D203&gt;0,OR(AT203="")), "* No olvide digitar la variable Migrantes - Hombres. Digite Cero si no tiene.",IF((AT203)&gt;D203,"  * La variable Migrantes - Hombres No puede ser mayor al Total Hombres.",""))</f>
        <v/>
      </c>
      <c r="CH203" s="90">
        <f>IF(AND(E203&gt;0,OR(AU203="")), "* No olvide digitar la variable Migrantes - Mujeres. Digite Cero si no tiene.",IF((AU203)&gt;E203,"  * La variable Migrantes - Mujeres No puede ser mayor al Total Mujeres.",""))</f>
        <v/>
      </c>
      <c r="CI203" s="90">
        <f>IF(AND(E203&gt;0,OR(AV203="")), "* No olvide digitar la variable Trans Masculino. Digite Cero si no tiene.",IF((AV203)&gt;E203,"  * La variable Trans Masculino No puede ser mayor al Total Mujeres.",""))</f>
        <v/>
      </c>
      <c r="CJ203" s="90">
        <f>IF(AND(D203&gt;0,OR(AW203="")), "* No olvide digitar la variable Trans Femenino. Digite Cero si no tiene.",IF((AW203)&gt;D203,"  * La variable Trans Femenino No puede ser mayor al Total Hombres.",""))</f>
        <v/>
      </c>
      <c r="CK203" s="90">
        <f>IF(AND($C203&gt;0,AX203=""), "* No olvide digitar la variable Adolescentes derivados de Espacios Amigables. Digite Cero si no tiene.",IF(AX203&gt;$C203,"  * La variable Adolescentes derivados de Espacios Amigables No puede ser mayor al Total.",""))</f>
        <v/>
      </c>
      <c r="CL203" s="5" t="n"/>
      <c r="CM203" s="5" t="n"/>
      <c r="CN203" s="5" t="n"/>
      <c r="CO203" s="29">
        <f>IF(AND(E203&gt;0,AN203=""),1,IF(AN203&gt;E203,1,0))</f>
        <v/>
      </c>
      <c r="CP203" s="29">
        <f>IF(AND(E203&gt;0,AO203=""),1,IF(AO203&gt;E203,1,0))</f>
        <v/>
      </c>
      <c r="CQ203" s="29">
        <f>IF(AND(D203&gt;0,OR(AP203="")),1,IF((AP203)&gt;D203,1,0))</f>
        <v/>
      </c>
      <c r="CR203" s="29">
        <f>IF(AND(E203&gt;0,OR(AQ203="")),1,IF((AQ203)&gt;E203,1,0))</f>
        <v/>
      </c>
      <c r="CS203" s="29">
        <f>IF(AND(C203&gt;0,AR203=""),1,IF(AR203&gt;C203,1,0))</f>
        <v/>
      </c>
      <c r="CT203" s="29">
        <f>IF(AND(C203&gt;0,AS203=""),1,IF(AS203&gt;C203,1,0))</f>
        <v/>
      </c>
      <c r="CU203" s="29">
        <f>IF(AND(D203&gt;0,OR(AT203="")),1,IF((AT203)&gt;D203,1,0))</f>
        <v/>
      </c>
      <c r="CV203" s="29">
        <f>IF(AND(E203&gt;0,OR(AU203="")),1,IF((AU203)&gt;E203,1,0))</f>
        <v/>
      </c>
      <c r="CW203" s="29">
        <f>IF(AND(E203&gt;0,OR(AV203="")),1,IF((AV203)&gt;E203,1,0))</f>
        <v/>
      </c>
      <c r="CX203" s="29">
        <f>IF(AND(D203&gt;0,OR(AW203="")),1,IF((AW203)&gt;D203,1,0))</f>
        <v/>
      </c>
      <c r="CY203" s="29">
        <f>IF(AND(C203&gt;0,AX203=""),1,IF(AX203&gt;C203,1,0))</f>
        <v/>
      </c>
    </row>
    <row r="204" ht="18" customFormat="1" customHeight="1" s="5">
      <c r="A204" s="7835" t="inlineStr">
        <is>
          <t xml:space="preserve">PERSONAS CON DIAGNÓSTICOS DE TRASTORNOS MENTALES </t>
        </is>
      </c>
      <c r="B204" s="7818" t="n"/>
      <c r="C204" s="1988">
        <f>SUM(D204+E204)</f>
        <v/>
      </c>
      <c r="D204" s="2046">
        <f>SUM(F204+H204+J204+L204+N204+P204+R204+T204+V204+X204+Z204+AB204+AD204+AF204+AH204+AJ204+AL204)</f>
        <v/>
      </c>
      <c r="E204" s="2147">
        <f>SUM(G204+I204+K204+M204+O204+Q204+S204+U204+W204+Y204+AA204+AC204+AE204+AG204+AI204+AK204+AM204)</f>
        <v/>
      </c>
      <c r="F204" s="2036" t="n"/>
      <c r="G204" s="2039" t="n"/>
      <c r="H204" s="2036" t="n">
        <v>5</v>
      </c>
      <c r="I204" s="2039" t="n">
        <v>4</v>
      </c>
      <c r="J204" s="2036" t="n"/>
      <c r="K204" s="2039" t="n">
        <v>1</v>
      </c>
      <c r="L204" s="2036" t="n"/>
      <c r="M204" s="2039" t="n">
        <v>2</v>
      </c>
      <c r="N204" s="2036" t="n">
        <v>1</v>
      </c>
      <c r="O204" s="2039" t="n"/>
      <c r="P204" s="2036" t="n">
        <v>1</v>
      </c>
      <c r="Q204" s="2039" t="n">
        <v>1</v>
      </c>
      <c r="R204" s="2036" t="n"/>
      <c r="S204" s="2039" t="n">
        <v>2</v>
      </c>
      <c r="T204" s="2036" t="n"/>
      <c r="U204" s="2039" t="n"/>
      <c r="V204" s="2036" t="n"/>
      <c r="W204" s="2039" t="n">
        <v>2</v>
      </c>
      <c r="X204" s="2036" t="n">
        <v>2</v>
      </c>
      <c r="Y204" s="2039" t="n"/>
      <c r="Z204" s="2036" t="n">
        <v>1</v>
      </c>
      <c r="AA204" s="2039" t="n">
        <v>1</v>
      </c>
      <c r="AB204" s="2036" t="n"/>
      <c r="AC204" s="2039" t="n">
        <v>2</v>
      </c>
      <c r="AD204" s="2036" t="n">
        <v>1</v>
      </c>
      <c r="AE204" s="2039" t="n">
        <v>2</v>
      </c>
      <c r="AF204" s="2036" t="n">
        <v>2</v>
      </c>
      <c r="AG204" s="2039" t="n">
        <v>1</v>
      </c>
      <c r="AH204" s="2036" t="n"/>
      <c r="AI204" s="2039" t="n">
        <v>1</v>
      </c>
      <c r="AJ204" s="2036" t="n"/>
      <c r="AK204" s="2039" t="n"/>
      <c r="AL204" s="2036" t="n">
        <v>1</v>
      </c>
      <c r="AM204" s="2172" t="n"/>
      <c r="AN204" s="5361" t="n">
        <v>0</v>
      </c>
      <c r="AO204" s="5207" t="n">
        <v>0</v>
      </c>
      <c r="AP204" s="5380" t="n">
        <v>0</v>
      </c>
      <c r="AQ204" s="2039" t="n">
        <v>0</v>
      </c>
      <c r="AR204" s="2036" t="n">
        <v>0</v>
      </c>
      <c r="AS204" s="2039" t="n">
        <v>0</v>
      </c>
      <c r="AT204" s="2172" t="n">
        <v>0</v>
      </c>
      <c r="AU204" s="2173" t="n">
        <v>0</v>
      </c>
      <c r="AV204" s="2172" t="n">
        <v>0</v>
      </c>
      <c r="AW204" s="2173" t="n">
        <v>0</v>
      </c>
      <c r="AX204" s="2039" t="n">
        <v>0</v>
      </c>
      <c r="AY204" s="5">
        <f>CA204&amp;CB204&amp;CC204&amp;CD204&amp;CE204&amp;CF204&amp;CG204&amp;CH204&amp;CI204&amp;CJ204&amp;CK204</f>
        <v/>
      </c>
      <c r="CA204" s="90">
        <f>IF(AND(E204&gt;0,AN204=""), "* No olvide digitar la variable Gestantes. Digite Cero si no tiene.",IF(AN204&gt;E204,"  * La variable Gestantes No puede ser mayor al Total Mujeres.",""))</f>
        <v/>
      </c>
      <c r="CB204" s="90">
        <f>IF(AND(E204&gt;0,AO204=""), "* No olvide digitar la variable Madre de hijo menor de 5 años. Digite Cero si no tiene.",IF(AO204&gt;E204,"  * La variable Madre de hijo menor de 5 años No puede ser mayor al Total de Mujeres.",""))</f>
        <v/>
      </c>
      <c r="CC204" s="90">
        <f>IF(AND(D204&gt;0,OR(AP204="")), "* No olvide digitar la variable Pueblos originarios - Hombres. Digite Cero si no tiene.",IF((AP204)&gt;D204,"  * La variable Pueblos originarios - Hombres No puede ser mayor al Total Hombres.",""))</f>
        <v/>
      </c>
      <c r="CD204" s="90">
        <f>IF(AND(E204&gt;0,OR(AQ204="")), "* No olvide digitar la variable Pueblos originarios - Mujeres. Digite Cero si no tiene.",IF((AQ204)&gt;E204,"  * La variable Pueblos originarios - Mujeres No puede ser mayor al Total Mujeres.",""))</f>
        <v/>
      </c>
      <c r="CE204" s="90">
        <f>IF(AND($C204&gt;0,AR204=""), "* No olvide digitar la variable Niños, niñas, adolescentes y jóvenes SENAME. Digite Cero si no tiene.",IF(AR204&gt;$C204,"  * La variable Niños, niñas, adolescentes y jóvenes SENAME No puede ser mayor al Total.",""))</f>
        <v/>
      </c>
      <c r="CF204" s="90">
        <f>IF(AND(C204&gt;0,AS204=""), "* No olvide digitar la variable Servicio Nacional Protección Especializada a la Niñez y Adolescencia. Digite Cero si no tiene.",IF(AS204&gt;C204,"  * La variable Servicio Nacional Protección Especializada a la Niñez y Adolescencia No puede ser mayor al Total.",""))</f>
        <v/>
      </c>
      <c r="CG204" s="90">
        <f>IF(AND(D204&gt;0,OR(AT204="")), "* No olvide digitar la variable Migrantes - Hombres. Digite Cero si no tiene.",IF((AT204)&gt;D204,"  * La variable Migrantes - Hombres No puede ser mayor al Total Hombres.",""))</f>
        <v/>
      </c>
      <c r="CH204" s="90">
        <f>IF(AND(E204&gt;0,OR(AU204="")), "* No olvide digitar la variable Migrantes - Mujeres. Digite Cero si no tiene.",IF((AU204)&gt;E204,"  * La variable Migrantes - Mujeres No puede ser mayor al Total Mujeres.",""))</f>
        <v/>
      </c>
      <c r="CI204" s="90">
        <f>IF(AND(E204&gt;0,OR(AV204="")), "* No olvide digitar la variable Trans Masculino. Digite Cero si no tiene.",IF((AV204)&gt;E204,"  * La variable Trans Masculino No puede ser mayor al Total Mujeres.",""))</f>
        <v/>
      </c>
      <c r="CJ204" s="90">
        <f>IF(AND(D204&gt;0,OR(AW204="")), "* No olvide digitar la variable Trans Femenino. Digite Cero si no tiene.",IF((AW204)&gt;D204,"  * La variable Trans Femenino No puede ser mayor al Total Hombres.",""))</f>
        <v/>
      </c>
      <c r="CK204" s="90">
        <f>IF(AND($C204&gt;0,AX204=""), "* No olvide digitar la variable Adolescentes derivados de Espacios Amigables. Digite Cero si no tiene.",IF(AX204&gt;$C204,"  * La variable Adolescentes derivados de Espacios Amigables No puede ser mayor al Total.",""))</f>
        <v/>
      </c>
      <c r="CO204" s="29">
        <f>IF(AND(E204&gt;0,AN204=""),1,IF(AN204&gt;E204,1,0))</f>
        <v/>
      </c>
      <c r="CP204" s="29">
        <f>IF(AND(E204&gt;0,AO204=""),1,IF(AO204&gt;E204,1,0))</f>
        <v/>
      </c>
      <c r="CQ204" s="29">
        <f>IF(AND(D204&gt;0,OR(AP204="")),1,IF((AP204)&gt;D204,1,0))</f>
        <v/>
      </c>
      <c r="CR204" s="29">
        <f>IF(AND(E204&gt;0,OR(AQ204="")),1,IF((AQ204)&gt;E204,1,0))</f>
        <v/>
      </c>
      <c r="CS204" s="29">
        <f>IF(AND(C204&gt;0,AR204=""),1,IF(AR204&gt;C204,1,0))</f>
        <v/>
      </c>
      <c r="CT204" s="29">
        <f>IF(AND(C204&gt;0,AS204=""),1,IF(AS204&gt;C204,1,0))</f>
        <v/>
      </c>
      <c r="CU204" s="29">
        <f>IF(AND(D204&gt;0,OR(AT204="")),1,IF((AT204)&gt;D204,1,0))</f>
        <v/>
      </c>
      <c r="CV204" s="29">
        <f>IF(AND(E204&gt;0,OR(AU204="")),1,IF((AU204)&gt;E204,1,0))</f>
        <v/>
      </c>
      <c r="CW204" s="29">
        <f>IF(AND(E204&gt;0,OR(AV204="")),1,IF((AV204)&gt;E204,1,0))</f>
        <v/>
      </c>
      <c r="CX204" s="29">
        <f>IF(AND(D204&gt;0,OR(AW204="")),1,IF((AW204)&gt;D204,1,0))</f>
        <v/>
      </c>
      <c r="CY204" s="29">
        <f>IF(AND(C204&gt;0,AX204=""),1,IF(AX204&gt;C204,1,0))</f>
        <v/>
      </c>
    </row>
    <row r="205" ht="15" customHeight="1" s="8286">
      <c r="A205" s="9933" t="inlineStr">
        <is>
          <t>Trastornos del Humor
(Afectivos)</t>
        </is>
      </c>
      <c r="B205" s="7833" t="inlineStr">
        <is>
          <t>Depresión Leve</t>
        </is>
      </c>
      <c r="C205" s="2181">
        <f>SUM(D205+E205)</f>
        <v/>
      </c>
      <c r="D205" s="797">
        <f>SUM(F205+H205+J205+L205+N205+P205+R205+T205+V205+X205+Z205+AB205+AD205+AF205+AH205+AJ205+AL205)</f>
        <v/>
      </c>
      <c r="E205" s="7833">
        <f>SUM(G205+I205+K205+M205+O205+Q205+S205+U205+W205+Y205+AA205+AC205+AE205+AG205+AI205+AK205+AM205)</f>
        <v/>
      </c>
      <c r="F205" s="1935" t="n"/>
      <c r="G205" s="1186" t="n"/>
      <c r="H205" s="1935" t="n"/>
      <c r="I205" s="1186" t="n"/>
      <c r="J205" s="1935" t="n"/>
      <c r="K205" s="1186" t="n"/>
      <c r="L205" s="1935" t="n"/>
      <c r="M205" s="1186" t="n"/>
      <c r="N205" s="1935" t="n"/>
      <c r="O205" s="1186" t="n"/>
      <c r="P205" s="1935" t="n"/>
      <c r="Q205" s="1186" t="n"/>
      <c r="R205" s="1935" t="n"/>
      <c r="S205" s="1186" t="n"/>
      <c r="T205" s="1935" t="n"/>
      <c r="U205" s="1186" t="n"/>
      <c r="V205" s="1935" t="n"/>
      <c r="W205" s="1186" t="n"/>
      <c r="X205" s="1935" t="n">
        <v>1</v>
      </c>
      <c r="Y205" s="1186" t="n"/>
      <c r="Z205" s="1935" t="n"/>
      <c r="AA205" s="1186" t="n"/>
      <c r="AB205" s="1935" t="n"/>
      <c r="AC205" s="1186" t="n"/>
      <c r="AD205" s="1935" t="n"/>
      <c r="AE205" s="1186" t="n"/>
      <c r="AF205" s="1935" t="n">
        <v>2</v>
      </c>
      <c r="AG205" s="1186" t="n"/>
      <c r="AH205" s="1935" t="n"/>
      <c r="AI205" s="1186" t="n">
        <v>1</v>
      </c>
      <c r="AJ205" s="1935" t="n"/>
      <c r="AK205" s="1186" t="n"/>
      <c r="AL205" s="1935" t="n"/>
      <c r="AM205" s="36" t="n"/>
      <c r="AN205" s="5214" t="n">
        <v>0</v>
      </c>
      <c r="AO205" s="1964" t="n">
        <v>0</v>
      </c>
      <c r="AP205" s="5222" t="n">
        <v>0</v>
      </c>
      <c r="AQ205" s="2057" t="n">
        <v>0</v>
      </c>
      <c r="AR205" s="645" t="n">
        <v>0</v>
      </c>
      <c r="AS205" s="2057" t="n">
        <v>0</v>
      </c>
      <c r="AT205" s="37" t="n">
        <v>0</v>
      </c>
      <c r="AU205" s="2196" t="n">
        <v>0</v>
      </c>
      <c r="AV205" s="37" t="n">
        <v>0</v>
      </c>
      <c r="AW205" s="2196" t="n">
        <v>0</v>
      </c>
      <c r="AX205" s="2057" t="n">
        <v>0</v>
      </c>
      <c r="AY205" s="5">
        <f>CA205&amp;CB205&amp;CC205&amp;CD205&amp;CE205&amp;CF205&amp;CG205&amp;CH205&amp;CI205&amp;CJ205&amp;CK205</f>
        <v/>
      </c>
      <c r="CA205" s="90">
        <f>IF(AND(E205&gt;0,AN205=""), "* No olvide digitar la variable Gestantes. Digite Cero si no tiene.",IF(AN205&gt;E205,"  * La variable Gestantes No puede ser mayor al Total Mujeres.",""))</f>
        <v/>
      </c>
      <c r="CB205" s="90">
        <f>IF(AND(E205&gt;0,AO205=""), "* No olvide digitar la variable Madre de hijo menor de 5 años. Digite Cero si no tiene.",IF(AO205&gt;E205,"  * La variable Madre de hijo menor de 5 años No puede ser mayor al Total de Mujeres.",""))</f>
        <v/>
      </c>
      <c r="CC205" s="90">
        <f>IF(AND(D205&gt;0,OR(AP205="")), "* No olvide digitar la variable Pueblos originarios - Hombres. Digite Cero si no tiene.",IF((AP205)&gt;D205,"  * La variable Pueblos originarios - Hombres No puede ser mayor al Total Hombres.",""))</f>
        <v/>
      </c>
      <c r="CD205" s="90">
        <f>IF(AND(E205&gt;0,OR(AQ205="")), "* No olvide digitar la variable Pueblos originarios - Mujeres. Digite Cero si no tiene.",IF((AQ205)&gt;E205,"  * La variable Pueblos originarios - Mujeres No puede ser mayor al Total Mujeres.",""))</f>
        <v/>
      </c>
      <c r="CE205" s="90">
        <f>IF(AND($C205&gt;0,AR205=""), "* No olvide digitar la variable Niños, niñas, adolescentes y jóvenes SENAME. Digite Cero si no tiene.",IF(AR205&gt;$C205,"  * La variable Niños, niñas, adolescentes y jóvenes SENAME No puede ser mayor al Total.",""))</f>
        <v/>
      </c>
      <c r="CF205" s="90">
        <f>IF(AND(C205&gt;0,AS205=""), "* No olvide digitar la variable Servicio Nacional Protección Especializada a la Niñez y Adolescencia. Digite Cero si no tiene.",IF(AS205&gt;C205,"  * La variable Servicio Nacional Protección Especializada a la Niñez y Adolescencia No puede ser mayor al Total.",""))</f>
        <v/>
      </c>
      <c r="CG205" s="90">
        <f>IF(AND(D205&gt;0,OR(AT205="")), "* No olvide digitar la variable Migrantes - Hombres. Digite Cero si no tiene.",IF((AT205)&gt;D205,"  * La variable Migrantes - Hombres No puede ser mayor al Total Hombres.",""))</f>
        <v/>
      </c>
      <c r="CH205" s="90">
        <f>IF(AND(E205&gt;0,OR(AU205="")), "* No olvide digitar la variable Migrantes - Mujeres. Digite Cero si no tiene.",IF((AU205)&gt;E205,"  * La variable Migrantes - Mujeres No puede ser mayor al Total Mujeres.",""))</f>
        <v/>
      </c>
      <c r="CI205" s="90">
        <f>IF(AND(E205&gt;0,OR(AV205="")), "* No olvide digitar la variable Trans Masculino. Digite Cero si no tiene.",IF((AV205)&gt;E205,"  * La variable Trans Masculino No puede ser mayor al Total Mujeres.",""))</f>
        <v/>
      </c>
      <c r="CJ205" s="90">
        <f>IF(AND(D205&gt;0,OR(AW205="")), "* No olvide digitar la variable Trans Femenino. Digite Cero si no tiene.",IF((AW205)&gt;D205,"  * La variable Trans Femenino No puede ser mayor al Total Hombres.",""))</f>
        <v/>
      </c>
      <c r="CK205" s="90">
        <f>IF(AND($C205&gt;0,AX205=""), "* No olvide digitar la variable Adolescentes derivados de Espacios Amigables. Digite Cero si no tiene.",IF(AX205&gt;$C205,"  * La variable Adolescentes derivados de Espacios Amigables No puede ser mayor al Total.",""))</f>
        <v/>
      </c>
      <c r="CL205" s="5" t="n"/>
      <c r="CM205" s="5" t="n"/>
      <c r="CN205" s="5" t="n"/>
      <c r="CO205" s="29">
        <f>IF(AND(E205&gt;0,AN205=""),1,IF(AN205&gt;E205,1,0))</f>
        <v/>
      </c>
      <c r="CP205" s="29">
        <f>IF(AND(E205&gt;0,AO205=""),1,IF(AO205&gt;E205,1,0))</f>
        <v/>
      </c>
      <c r="CQ205" s="29">
        <f>IF(AND(D205&gt;0,OR(AP205="")),1,IF((AP205)&gt;D205,1,0))</f>
        <v/>
      </c>
      <c r="CR205" s="29">
        <f>IF(AND(E205&gt;0,OR(AQ205="")),1,IF((AQ205)&gt;E205,1,0))</f>
        <v/>
      </c>
      <c r="CS205" s="29">
        <f>IF(AND(C205&gt;0,AR205=""),1,IF(AR205&gt;C205,1,0))</f>
        <v/>
      </c>
      <c r="CT205" s="29">
        <f>IF(AND(C205&gt;0,AS205=""),1,IF(AS205&gt;C205,1,0))</f>
        <v/>
      </c>
      <c r="CU205" s="29">
        <f>IF(AND(D205&gt;0,OR(AT205="")),1,IF((AT205)&gt;D205,1,0))</f>
        <v/>
      </c>
      <c r="CV205" s="29">
        <f>IF(AND(E205&gt;0,OR(AU205="")),1,IF((AU205)&gt;E205,1,0))</f>
        <v/>
      </c>
      <c r="CW205" s="29">
        <f>IF(AND(E205&gt;0,OR(AV205="")),1,IF((AV205)&gt;E205,1,0))</f>
        <v/>
      </c>
      <c r="CX205" s="29">
        <f>IF(AND(D205&gt;0,OR(AW205="")),1,IF((AW205)&gt;D205,1,0))</f>
        <v/>
      </c>
      <c r="CY205" s="29">
        <f>IF(AND(C205&gt;0,AX205=""),1,IF(AX205&gt;C205,1,0))</f>
        <v/>
      </c>
    </row>
    <row r="206" ht="15" customHeight="1" s="8286">
      <c r="A206" s="9614" t="n"/>
      <c r="B206" s="7750" t="inlineStr">
        <is>
          <t>Depresión Moderada</t>
        </is>
      </c>
      <c r="C206" s="1283">
        <f>SUM(D206+E206)</f>
        <v/>
      </c>
      <c r="D206" s="2197">
        <f>SUM(F206+H206+J206+L206+N206+P206+R206+T206+V206+X206+Z206+AB206+AD206+AF206+AH206+AJ206+AL206)</f>
        <v/>
      </c>
      <c r="E206" s="7750">
        <f>SUM(G206+I206+K206+M206+O206+Q206+S206+U206+W206+Y206+AA206+AC206+AE206+AG206+AI206+AK206+AM206)</f>
        <v/>
      </c>
      <c r="F206" s="1172" t="n"/>
      <c r="G206" s="1173" t="n"/>
      <c r="H206" s="1172" t="n"/>
      <c r="I206" s="1173" t="n"/>
      <c r="J206" s="1172" t="n"/>
      <c r="K206" s="1173" t="n"/>
      <c r="L206" s="1172" t="n"/>
      <c r="M206" s="1173" t="n"/>
      <c r="N206" s="1172" t="n"/>
      <c r="O206" s="1173" t="n"/>
      <c r="P206" s="1172" t="n"/>
      <c r="Q206" s="1173" t="n"/>
      <c r="R206" s="1172" t="n"/>
      <c r="S206" s="1173" t="n"/>
      <c r="T206" s="1172" t="n"/>
      <c r="U206" s="1173" t="n"/>
      <c r="V206" s="1172" t="n"/>
      <c r="W206" s="1173" t="n">
        <v>2</v>
      </c>
      <c r="X206" s="1172" t="n"/>
      <c r="Y206" s="1173" t="n"/>
      <c r="Z206" s="1172" t="n"/>
      <c r="AA206" s="1173" t="n">
        <v>1</v>
      </c>
      <c r="AB206" s="1172" t="n"/>
      <c r="AC206" s="1173" t="n"/>
      <c r="AD206" s="1172" t="n"/>
      <c r="AE206" s="1173" t="n">
        <v>1</v>
      </c>
      <c r="AF206" s="1172" t="n"/>
      <c r="AG206" s="1173" t="n">
        <v>1</v>
      </c>
      <c r="AH206" s="1172" t="n"/>
      <c r="AI206" s="1173" t="n"/>
      <c r="AJ206" s="1172" t="n"/>
      <c r="AK206" s="1173" t="n"/>
      <c r="AL206" s="1172" t="n"/>
      <c r="AM206" s="1222" t="n"/>
      <c r="AN206" s="5215" t="n">
        <v>0</v>
      </c>
      <c r="AO206" s="3892" t="n">
        <v>0</v>
      </c>
      <c r="AP206" s="3789" t="n">
        <v>0</v>
      </c>
      <c r="AQ206" s="1180" t="n">
        <v>0</v>
      </c>
      <c r="AR206" s="1179" t="n">
        <v>0</v>
      </c>
      <c r="AS206" s="1180" t="n">
        <v>0</v>
      </c>
      <c r="AT206" s="35" t="n">
        <v>0</v>
      </c>
      <c r="AU206" s="1183" t="n">
        <v>0</v>
      </c>
      <c r="AV206" s="35" t="n">
        <v>0</v>
      </c>
      <c r="AW206" s="1183" t="n">
        <v>0</v>
      </c>
      <c r="AX206" s="1180" t="n">
        <v>0</v>
      </c>
      <c r="AY206" s="5">
        <f>CA206&amp;CB206&amp;CC206&amp;CD206&amp;CE206&amp;CF206&amp;CG206&amp;CH206&amp;CI206&amp;CJ206&amp;CK206</f>
        <v/>
      </c>
      <c r="CA206" s="90">
        <f>IF(AND(E206&gt;0,AN206=""), "* No olvide digitar la variable Gestantes. Digite Cero si no tiene.",IF(AN206&gt;E206,"  * La variable Gestantes No puede ser mayor al Total Mujeres.",""))</f>
        <v/>
      </c>
      <c r="CB206" s="90">
        <f>IF(AND(E206&gt;0,AO206=""), "* No olvide digitar la variable Madre de hijo menor de 5 años. Digite Cero si no tiene.",IF(AO206&gt;E206,"  * La variable Madre de hijo menor de 5 años No puede ser mayor al Total de Mujeres.",""))</f>
        <v/>
      </c>
      <c r="CC206" s="90">
        <f>IF(AND(D206&gt;0,OR(AP206="")), "* No olvide digitar la variable Pueblos originarios - Hombres. Digite Cero si no tiene.",IF((AP206)&gt;D206,"  * La variable Pueblos originarios - Hombres No puede ser mayor al Total Hombres.",""))</f>
        <v/>
      </c>
      <c r="CD206" s="90">
        <f>IF(AND(E206&gt;0,OR(AQ206="")), "* No olvide digitar la variable Pueblos originarios - Mujeres. Digite Cero si no tiene.",IF((AQ206)&gt;E206,"  * La variable Pueblos originarios - Mujeres No puede ser mayor al Total Mujeres.",""))</f>
        <v/>
      </c>
      <c r="CE206" s="90">
        <f>IF(AND($C206&gt;0,AR206=""), "* No olvide digitar la variable Niños, niñas, adolescentes y jóvenes SENAME. Digite Cero si no tiene.",IF(AR206&gt;$C206,"  * La variable Niños, niñas, adolescentes y jóvenes SENAME No puede ser mayor al Total.",""))</f>
        <v/>
      </c>
      <c r="CF206" s="90">
        <f>IF(AND(C206&gt;0,AS206=""), "* No olvide digitar la variable Servicio Nacional Protección Especializada a la Niñez y Adolescencia. Digite Cero si no tiene.",IF(AS206&gt;C206,"  * La variable Servicio Nacional Protección Especializada a la Niñez y Adolescencia No puede ser mayor al Total.",""))</f>
        <v/>
      </c>
      <c r="CG206" s="90">
        <f>IF(AND(D206&gt;0,OR(AT206="")), "* No olvide digitar la variable Migrantes - Hombres. Digite Cero si no tiene.",IF((AT206)&gt;D206,"  * La variable Migrantes - Hombres No puede ser mayor al Total Hombres.",""))</f>
        <v/>
      </c>
      <c r="CH206" s="90">
        <f>IF(AND(E206&gt;0,OR(AU206="")), "* No olvide digitar la variable Migrantes - Mujeres. Digite Cero si no tiene.",IF((AU206)&gt;E206,"  * La variable Migrantes - Mujeres No puede ser mayor al Total Mujeres.",""))</f>
        <v/>
      </c>
      <c r="CI206" s="90">
        <f>IF(AND(E206&gt;0,OR(AV206="")), "* No olvide digitar la variable Trans Masculino. Digite Cero si no tiene.",IF((AV206)&gt;E206,"  * La variable Trans Masculino No puede ser mayor al Total Mujeres.",""))</f>
        <v/>
      </c>
      <c r="CJ206" s="90">
        <f>IF(AND(D206&gt;0,OR(AW206="")), "* No olvide digitar la variable Trans Femenino. Digite Cero si no tiene.",IF((AW206)&gt;D206,"  * La variable Trans Femenino No puede ser mayor al Total Hombres.",""))</f>
        <v/>
      </c>
      <c r="CK206" s="90">
        <f>IF(AND($C206&gt;0,AX206=""), "* No olvide digitar la variable Adolescentes derivados de Espacios Amigables. Digite Cero si no tiene.",IF(AX206&gt;$C206,"  * La variable Adolescentes derivados de Espacios Amigables No puede ser mayor al Total.",""))</f>
        <v/>
      </c>
      <c r="CL206" s="5" t="n"/>
      <c r="CM206" s="5" t="n"/>
      <c r="CN206" s="5" t="n"/>
      <c r="CO206" s="29">
        <f>IF(AND(E206&gt;0,AN206=""),1,IF(AN206&gt;E206,1,0))</f>
        <v/>
      </c>
      <c r="CP206" s="29">
        <f>IF(AND(E206&gt;0,AO206=""),1,IF(AO206&gt;E206,1,0))</f>
        <v/>
      </c>
      <c r="CQ206" s="29">
        <f>IF(AND(D206&gt;0,OR(AP206="")),1,IF((AP206)&gt;D206,1,0))</f>
        <v/>
      </c>
      <c r="CR206" s="29">
        <f>IF(AND(E206&gt;0,OR(AQ206="")),1,IF((AQ206)&gt;E206,1,0))</f>
        <v/>
      </c>
      <c r="CS206" s="29">
        <f>IF(AND(C206&gt;0,AR206=""),1,IF(AR206&gt;C206,1,0))</f>
        <v/>
      </c>
      <c r="CT206" s="29">
        <f>IF(AND(C206&gt;0,AS206=""),1,IF(AS206&gt;C206,1,0))</f>
        <v/>
      </c>
      <c r="CU206" s="29">
        <f>IF(AND(D206&gt;0,OR(AT206="")),1,IF((AT206)&gt;D206,1,0))</f>
        <v/>
      </c>
      <c r="CV206" s="29">
        <f>IF(AND(E206&gt;0,OR(AU206="")),1,IF((AU206)&gt;E206,1,0))</f>
        <v/>
      </c>
      <c r="CW206" s="29">
        <f>IF(AND(E206&gt;0,OR(AV206="")),1,IF((AV206)&gt;E206,1,0))</f>
        <v/>
      </c>
      <c r="CX206" s="29">
        <f>IF(AND(D206&gt;0,OR(AW206="")),1,IF((AW206)&gt;D206,1,0))</f>
        <v/>
      </c>
      <c r="CY206" s="29">
        <f>IF(AND(C206&gt;0,AX206=""),1,IF(AX206&gt;C206,1,0))</f>
        <v/>
      </c>
    </row>
    <row r="207" ht="15" customHeight="1" s="8286">
      <c r="A207" s="9614" t="n"/>
      <c r="B207" s="7750" t="inlineStr">
        <is>
          <t>Depresión Grave</t>
        </is>
      </c>
      <c r="C207" s="1283">
        <f>SUM(D207+E207)</f>
        <v/>
      </c>
      <c r="D207" s="1364">
        <f>SUM(F207+H207+J207+L207+N207+P207+R207+T207+V207+X207+Z207+AB207+AD207+AF207+AH207+AJ207+AL207)</f>
        <v/>
      </c>
      <c r="E207" s="7750">
        <f>SUM(G207+I207+K207+M207+O207+Q207+S207+U207+W207+Y207+AA207+AC207+AE207+AG207+AI207+AK207+AM207)</f>
        <v/>
      </c>
      <c r="F207" s="1179" t="n"/>
      <c r="G207" s="1180" t="n"/>
      <c r="H207" s="1179" t="n"/>
      <c r="I207" s="1180" t="n"/>
      <c r="J207" s="1179" t="n"/>
      <c r="K207" s="1180" t="n"/>
      <c r="L207" s="1179" t="n"/>
      <c r="M207" s="1180" t="n"/>
      <c r="N207" s="1179" t="n"/>
      <c r="O207" s="1180" t="n"/>
      <c r="P207" s="1179" t="n"/>
      <c r="Q207" s="1180" t="n"/>
      <c r="R207" s="1179" t="n"/>
      <c r="S207" s="1180" t="n">
        <v>1</v>
      </c>
      <c r="T207" s="1179" t="n"/>
      <c r="U207" s="1180" t="n"/>
      <c r="V207" s="1179" t="n"/>
      <c r="W207" s="1180" t="n"/>
      <c r="X207" s="1179" t="n"/>
      <c r="Y207" s="1180" t="n"/>
      <c r="Z207" s="1179" t="n"/>
      <c r="AA207" s="1180" t="n"/>
      <c r="AB207" s="1179" t="n"/>
      <c r="AC207" s="1180" t="n"/>
      <c r="AD207" s="1179" t="n"/>
      <c r="AE207" s="1180" t="n"/>
      <c r="AF207" s="1179" t="n"/>
      <c r="AG207" s="1180" t="n"/>
      <c r="AH207" s="1179" t="n"/>
      <c r="AI207" s="1180" t="n"/>
      <c r="AJ207" s="1179" t="n"/>
      <c r="AK207" s="1180" t="n"/>
      <c r="AL207" s="1179" t="n"/>
      <c r="AM207" s="35" t="n"/>
      <c r="AN207" s="5248" t="n">
        <v>0</v>
      </c>
      <c r="AO207" s="1229" t="n">
        <v>0</v>
      </c>
      <c r="AP207" s="1181" t="n">
        <v>0</v>
      </c>
      <c r="AQ207" s="1180" t="n">
        <v>0</v>
      </c>
      <c r="AR207" s="1179" t="n">
        <v>0</v>
      </c>
      <c r="AS207" s="1180" t="n">
        <v>0</v>
      </c>
      <c r="AT207" s="35" t="n">
        <v>0</v>
      </c>
      <c r="AU207" s="1183" t="n">
        <v>0</v>
      </c>
      <c r="AV207" s="35" t="n">
        <v>0</v>
      </c>
      <c r="AW207" s="1183" t="n">
        <v>0</v>
      </c>
      <c r="AX207" s="1180" t="n">
        <v>0</v>
      </c>
      <c r="AY207" s="5">
        <f>CA207&amp;CB207&amp;CC207&amp;CD207&amp;CE207&amp;CF207&amp;CG207&amp;CH207&amp;CI207&amp;CJ207&amp;CK207</f>
        <v/>
      </c>
      <c r="CA207" s="90">
        <f>IF(AND(E207&gt;0,AN207=""), "* No olvide digitar la variable Gestantes. Digite Cero si no tiene.",IF(AN207&gt;E207,"  * La variable Gestantes No puede ser mayor al Total Mujeres.",""))</f>
        <v/>
      </c>
      <c r="CB207" s="90">
        <f>IF(AND(E207&gt;0,AO207=""), "* No olvide digitar la variable Madre de hijo menor de 5 años. Digite Cero si no tiene.",IF(AO207&gt;E207,"  * La variable Madre de hijo menor de 5 años No puede ser mayor al Total de Mujeres.",""))</f>
        <v/>
      </c>
      <c r="CC207" s="90">
        <f>IF(AND(D207&gt;0,OR(AP207="")), "* No olvide digitar la variable Pueblos originarios - Hombres. Digite Cero si no tiene.",IF((AP207)&gt;D207,"  * La variable Pueblos originarios - Hombres No puede ser mayor al Total Hombres.",""))</f>
        <v/>
      </c>
      <c r="CD207" s="90">
        <f>IF(AND(E207&gt;0,OR(AQ207="")), "* No olvide digitar la variable Pueblos originarios - Mujeres. Digite Cero si no tiene.",IF((AQ207)&gt;E207,"  * La variable Pueblos originarios - Mujeres No puede ser mayor al Total Mujeres.",""))</f>
        <v/>
      </c>
      <c r="CE207" s="90">
        <f>IF(AND($C207&gt;0,AR207=""), "* No olvide digitar la variable Niños, niñas, adolescentes y jóvenes SENAME. Digite Cero si no tiene.",IF(AR207&gt;$C207,"  * La variable Niños, niñas, adolescentes y jóvenes SENAME No puede ser mayor al Total.",""))</f>
        <v/>
      </c>
      <c r="CF207" s="90">
        <f>IF(AND(C207&gt;0,AS207=""), "* No olvide digitar la variable Servicio Nacional Protección Especializada a la Niñez y Adolescencia. Digite Cero si no tiene.",IF(AS207&gt;C207,"  * La variable Servicio Nacional Protección Especializada a la Niñez y Adolescencia No puede ser mayor al Total.",""))</f>
        <v/>
      </c>
      <c r="CG207" s="90">
        <f>IF(AND(D207&gt;0,OR(AT207="")), "* No olvide digitar la variable Migrantes - Hombres. Digite Cero si no tiene.",IF((AT207)&gt;D207,"  * La variable Migrantes - Hombres No puede ser mayor al Total Hombres.",""))</f>
        <v/>
      </c>
      <c r="CH207" s="90">
        <f>IF(AND(E207&gt;0,OR(AU207="")), "* No olvide digitar la variable Migrantes - Mujeres. Digite Cero si no tiene.",IF((AU207)&gt;E207,"  * La variable Migrantes - Mujeres No puede ser mayor al Total Mujeres.",""))</f>
        <v/>
      </c>
      <c r="CI207" s="90">
        <f>IF(AND(E207&gt;0,OR(AV207="")), "* No olvide digitar la variable Trans Masculino. Digite Cero si no tiene.",IF((AV207)&gt;E207,"  * La variable Trans Masculino No puede ser mayor al Total Mujeres.",""))</f>
        <v/>
      </c>
      <c r="CJ207" s="90">
        <f>IF(AND(D207&gt;0,OR(AW207="")), "* No olvide digitar la variable Trans Femenino. Digite Cero si no tiene.",IF((AW207)&gt;D207,"  * La variable Trans Femenino No puede ser mayor al Total Hombres.",""))</f>
        <v/>
      </c>
      <c r="CK207" s="90">
        <f>IF(AND($C207&gt;0,AX207=""), "* No olvide digitar la variable Adolescentes derivados de Espacios Amigables. Digite Cero si no tiene.",IF(AX207&gt;$C207,"  * La variable Adolescentes derivados de Espacios Amigables No puede ser mayor al Total.",""))</f>
        <v/>
      </c>
      <c r="CL207" s="5" t="n"/>
      <c r="CM207" s="5" t="n"/>
      <c r="CN207" s="5" t="n"/>
      <c r="CO207" s="29">
        <f>IF(AND(E207&gt;0,AN207=""),1,IF(AN207&gt;E207,1,0))</f>
        <v/>
      </c>
      <c r="CP207" s="29">
        <f>IF(AND(E207&gt;0,AO207=""),1,IF(AO207&gt;E207,1,0))</f>
        <v/>
      </c>
      <c r="CQ207" s="29">
        <f>IF(AND(D207&gt;0,OR(AP207="")),1,IF((AP207)&gt;D207,1,0))</f>
        <v/>
      </c>
      <c r="CR207" s="29">
        <f>IF(AND(E207&gt;0,OR(AQ207="")),1,IF((AQ207)&gt;E207,1,0))</f>
        <v/>
      </c>
      <c r="CS207" s="29">
        <f>IF(AND(C207&gt;0,AR207=""),1,IF(AR207&gt;C207,1,0))</f>
        <v/>
      </c>
      <c r="CT207" s="29">
        <f>IF(AND(C207&gt;0,AS207=""),1,IF(AS207&gt;C207,1,0))</f>
        <v/>
      </c>
      <c r="CU207" s="29">
        <f>IF(AND(D207&gt;0,OR(AT207="")),1,IF((AT207)&gt;D207,1,0))</f>
        <v/>
      </c>
      <c r="CV207" s="29">
        <f>IF(AND(E207&gt;0,OR(AU207="")),1,IF((AU207)&gt;E207,1,0))</f>
        <v/>
      </c>
      <c r="CW207" s="29">
        <f>IF(AND(E207&gt;0,OR(AV207="")),1,IF((AV207)&gt;E207,1,0))</f>
        <v/>
      </c>
      <c r="CX207" s="29">
        <f>IF(AND(D207&gt;0,OR(AW207="")),1,IF((AW207)&gt;D207,1,0))</f>
        <v/>
      </c>
      <c r="CY207" s="29">
        <f>IF(AND(C207&gt;0,AX207=""),1,IF(AX207&gt;C207,1,0))</f>
        <v/>
      </c>
    </row>
    <row r="208" ht="15" customHeight="1" s="8286">
      <c r="A208" s="9614" t="n"/>
      <c r="B208" s="2198" t="inlineStr">
        <is>
          <t>Depresión Post Parto</t>
        </is>
      </c>
      <c r="C208" s="1283">
        <f>SUM(D208+E208)</f>
        <v/>
      </c>
      <c r="D208" s="173" t="n"/>
      <c r="E208" s="7750">
        <f>SUM(K208+M208+O208+Q208+S208+U208+W208+Y208+AA208+AC208+AE208+AG208+AI208+AK208+AM208)</f>
        <v/>
      </c>
      <c r="F208" s="1325" t="n"/>
      <c r="G208" s="1289" t="n"/>
      <c r="H208" s="1325" t="n"/>
      <c r="I208" s="1289" t="n"/>
      <c r="J208" s="1325" t="n"/>
      <c r="K208" s="1173" t="n"/>
      <c r="L208" s="1325" t="n"/>
      <c r="M208" s="1173" t="n"/>
      <c r="N208" s="1325" t="n"/>
      <c r="O208" s="1173" t="n"/>
      <c r="P208" s="1325" t="n"/>
      <c r="Q208" s="1173" t="n"/>
      <c r="R208" s="1325" t="n"/>
      <c r="S208" s="1173" t="n"/>
      <c r="T208" s="1325" t="n"/>
      <c r="U208" s="1173" t="n"/>
      <c r="V208" s="1325" t="n"/>
      <c r="W208" s="1173" t="n"/>
      <c r="X208" s="1325" t="n"/>
      <c r="Y208" s="1173" t="n"/>
      <c r="Z208" s="1325" t="n"/>
      <c r="AA208" s="1173" t="n"/>
      <c r="AB208" s="1325" t="n"/>
      <c r="AC208" s="1173" t="n"/>
      <c r="AD208" s="5519" t="n"/>
      <c r="AE208" s="2653" t="n"/>
      <c r="AF208" s="5519" t="n"/>
      <c r="AG208" s="2653" t="n"/>
      <c r="AH208" s="5519" t="n"/>
      <c r="AI208" s="2653" t="n"/>
      <c r="AJ208" s="5519" t="n"/>
      <c r="AK208" s="2653" t="n"/>
      <c r="AL208" s="5519" t="n"/>
      <c r="AM208" s="5520" t="n"/>
      <c r="AN208" s="5521" t="n"/>
      <c r="AO208" s="3892" t="n"/>
      <c r="AP208" s="4051" t="n"/>
      <c r="AQ208" s="1173" t="n"/>
      <c r="AR208" s="1172" t="n"/>
      <c r="AS208" s="1173" t="n"/>
      <c r="AT208" s="1325" t="n"/>
      <c r="AU208" s="886" t="n"/>
      <c r="AV208" s="1222" t="n"/>
      <c r="AW208" s="5522" t="n"/>
      <c r="AX208" s="3892" t="n"/>
      <c r="AY208" s="5">
        <f>CA208&amp;CB208&amp;CD208&amp;CE208&amp;CF208&amp;CH208&amp;CI208&amp;CK208</f>
        <v/>
      </c>
      <c r="CA208" s="123" t="n"/>
      <c r="CB208" s="90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 t="n"/>
      <c r="CD208" s="90">
        <f>IF(AND(E208&gt;0,OR(AQ208="")), "* No olvide digitar la variable Pueblos originarios - Mujeres. Digite Cero si no tiene.",IF((AQ208)&gt;E208,"  * La variable Pueblos originarios - Mujeres No puede ser mayor al Total.",""))</f>
        <v/>
      </c>
      <c r="CE208" s="90">
        <f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>
        <f>IF(AND(C208&gt;0,AS208=""), "* No olvide digitar la variable Servicio Nacional Protección Especializada a la Niñez y Adolescencia. Digite Cero si no tiene.",IF(AS208&gt;C208,"  * La variable Servicio Nacional Protección Especializada a la Niñez y Adolescencia No puede ser mayor al Total.",""))</f>
        <v/>
      </c>
      <c r="CG208" s="123" t="n"/>
      <c r="CH208" s="90">
        <f>IF(AND(E208&gt;0,OR(AU208="")), "* No olvide digitar la variable Migrantes - Mujeres. Digite Cero si no tiene.",IF((AU208)&gt;E208,"  * La variable Migrantes - Mujeres No puede ser mayor al Total.",""))</f>
        <v/>
      </c>
      <c r="CI208" s="90">
        <f>IF(AND(E208&gt;0,OR(AV208="")), "* No olvide digitar la variable Trans Masculino. Digite Cero si no tiene.",IF((AV208)&gt;E208,"  * La variable Trans Masculino No puede ser mayor al Total Mujeres.",""))</f>
        <v/>
      </c>
      <c r="CJ208" s="193" t="n"/>
      <c r="CK208" s="90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 t="n"/>
      <c r="CO208" s="195" t="n"/>
      <c r="CP208" s="29">
        <f>IF(AND(E208&gt;0,AO208=""),1,IF(AO208&gt;E208,1,0))</f>
        <v/>
      </c>
      <c r="CQ208" s="195" t="n"/>
      <c r="CR208" s="29">
        <f>IF(AND(E208&gt;0,OR(AQ208="")),1,IF((AQ208)&gt;E208,1,0))</f>
        <v/>
      </c>
      <c r="CS208" s="29">
        <f>IF(AND(C208&gt;0,AR208=""),1,IF(AR208&gt;C208,1,0))</f>
        <v/>
      </c>
      <c r="CT208" s="29">
        <f>IF(AND(C208&gt;0,AS208=""),1,IF(AS208&gt;C208,1,0))</f>
        <v/>
      </c>
      <c r="CU208" s="195" t="n"/>
      <c r="CV208" s="29">
        <f>IF(AND(E208&gt;0,OR(AU208="")),1,IF((AU208)&gt;E208,1,0))</f>
        <v/>
      </c>
      <c r="CW208" s="29">
        <f>IF(AND(E208&gt;0,OR(AV208="")),1,IF((AV208)&gt;E208,1,0))</f>
        <v/>
      </c>
      <c r="CX208" s="195" t="n"/>
      <c r="CY208" s="29">
        <f>IF(AND(C208&gt;0,AX208=""),1,IF(AX208&gt;C208,1,0))</f>
        <v/>
      </c>
    </row>
    <row r="209" ht="15" customHeight="1" s="8286">
      <c r="A209" s="9614" t="n"/>
      <c r="B209" s="7750" t="inlineStr">
        <is>
          <t>Trastorno Bipolar</t>
        </is>
      </c>
      <c r="C209" s="1283">
        <f>SUM(D209+E209)</f>
        <v/>
      </c>
      <c r="D209" s="797">
        <f>SUM(F209+H209+J209+L209+N209+P209+R209+T209+V209+X209+Z209+AB209+AD209+AF209+AH209+AJ209+AL209)</f>
        <v/>
      </c>
      <c r="E209" s="7750">
        <f>SUM(G209+I209+K209+M209+O209+Q209+S209+U209+W209+Y209+AA209+AC209+AE209+AG209+AI209+AK209+AM209)</f>
        <v/>
      </c>
      <c r="F209" s="1935" t="n"/>
      <c r="G209" s="1186" t="n"/>
      <c r="H209" s="1935" t="n"/>
      <c r="I209" s="1186" t="n"/>
      <c r="J209" s="1935" t="n"/>
      <c r="K209" s="1186" t="n"/>
      <c r="L209" s="1935" t="n"/>
      <c r="M209" s="1186" t="n"/>
      <c r="N209" s="1935" t="n"/>
      <c r="O209" s="1186" t="n"/>
      <c r="P209" s="1935" t="n"/>
      <c r="Q209" s="1186" t="n"/>
      <c r="R209" s="1935" t="n"/>
      <c r="S209" s="1186" t="n"/>
      <c r="T209" s="1935" t="n"/>
      <c r="U209" s="1186" t="n"/>
      <c r="V209" s="1935" t="n"/>
      <c r="W209" s="1186" t="n"/>
      <c r="X209" s="1935" t="n"/>
      <c r="Y209" s="1186" t="n"/>
      <c r="Z209" s="1935" t="n"/>
      <c r="AA209" s="1186" t="n"/>
      <c r="AB209" s="1935" t="n"/>
      <c r="AC209" s="1186" t="n"/>
      <c r="AD209" s="1935" t="n"/>
      <c r="AE209" s="1186" t="n"/>
      <c r="AF209" s="1935" t="n"/>
      <c r="AG209" s="1186" t="n"/>
      <c r="AH209" s="1935" t="n"/>
      <c r="AI209" s="1186" t="n"/>
      <c r="AJ209" s="1935" t="n"/>
      <c r="AK209" s="1186" t="n"/>
      <c r="AL209" s="1935" t="n"/>
      <c r="AM209" s="36" t="n"/>
      <c r="AN209" s="5214" t="n">
        <v>0</v>
      </c>
      <c r="AO209" s="1964" t="n">
        <v>0</v>
      </c>
      <c r="AP209" s="5222" t="n">
        <v>0</v>
      </c>
      <c r="AQ209" s="1186" t="n">
        <v>0</v>
      </c>
      <c r="AR209" s="1935" t="n">
        <v>0</v>
      </c>
      <c r="AS209" s="1186" t="n">
        <v>0</v>
      </c>
      <c r="AT209" s="36" t="n">
        <v>0</v>
      </c>
      <c r="AU209" s="755" t="n">
        <v>0</v>
      </c>
      <c r="AV209" s="36" t="n">
        <v>0</v>
      </c>
      <c r="AW209" s="755" t="n">
        <v>0</v>
      </c>
      <c r="AX209" s="1186" t="n">
        <v>0</v>
      </c>
      <c r="AY209" s="5">
        <f>CA209&amp;CB209&amp;CC209&amp;CD209&amp;CE209&amp;CF209&amp;CG209&amp;CH209&amp;CI209&amp;CJ209&amp;CK209</f>
        <v/>
      </c>
      <c r="CA209" s="90">
        <f>IF(AND(E209&gt;0,AN209=""), "* No olvide digitar la variable Gestantes. Digite Cero si no tiene.",IF(AN209&gt;E209,"  * La variable Gestantes No puede ser mayor al Total Mujeres.",""))</f>
        <v/>
      </c>
      <c r="CB209" s="90">
        <f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>
        <f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>
        <f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>
        <f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>
        <f>IF(AND(C209&gt;0,AS209=""), "* No olvide digitar la variable Servicio Nacional Protección Especializada a la Niñez y Adolescencia. Digite Cero si no tiene.",IF(AS209&gt;C209,"  * La variable Servicio Nacional Protección Especializada a la Niñez y Adolescencia No puede ser mayor al Total.",""))</f>
        <v/>
      </c>
      <c r="CG209" s="90">
        <f>IF(AND(D209&gt;0,OR(AT209="")), "* No olvide digitar la variable Migrantes - Hombres. Digite Cero si no tiene.",IF((AT209)&gt;D209,"  * La variable Migrantes - Hombres No puede ser mayor al Total Hombres.",""))</f>
        <v/>
      </c>
      <c r="CH209" s="90">
        <f>IF(AND(E209&gt;0,OR(AU209="")), "* No olvide digitar la variable Migrantes - Mujeres. Digite Cero si no tiene.",IF((AU209)&gt;E209,"  * La variable Migrantes - Mujeres No puede ser mayor al Total Mujeres.",""))</f>
        <v/>
      </c>
      <c r="CI209" s="90">
        <f>IF(AND(E209&gt;0,OR(AV209="")), "* No olvide digitar la variable Trans Masculino. Digite Cero si no tiene.",IF((AV209)&gt;E209,"  * La variable Trans Masculino No puede ser mayor al Total Mujeres.",""))</f>
        <v/>
      </c>
      <c r="CJ209" s="90">
        <f>IF(AND(D209&gt;0,OR(AW209="")), "* No olvide digitar la variable Trans Femenino. Digite Cero si no tiene.",IF((AW209)&gt;D209,"  * La variable Trans Femenino No puede ser mayor al Total Hombres.",""))</f>
        <v/>
      </c>
      <c r="CK209" s="90">
        <f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 t="n"/>
      <c r="CO209" s="29">
        <f>IF(AND(E209&gt;0,AN209=""),1,IF(AN209&gt;E209,1,0))</f>
        <v/>
      </c>
      <c r="CP209" s="29">
        <f>IF(AND(E209&gt;0,AO209=""),1,IF(AO209&gt;E209,1,0))</f>
        <v/>
      </c>
      <c r="CQ209" s="29">
        <f>IF(AND(D209&gt;0,OR(AP209="")),1,IF((AP209)&gt;D209,1,0))</f>
        <v/>
      </c>
      <c r="CR209" s="29">
        <f>IF(AND(E209&gt;0,OR(AQ209="")),1,IF((AQ209)&gt;E209,1,0))</f>
        <v/>
      </c>
      <c r="CS209" s="29">
        <f>IF(AND(C209&gt;0,AR209=""),1,IF(AR209&gt;C209,1,0))</f>
        <v/>
      </c>
      <c r="CT209" s="29">
        <f>IF(AND(C209&gt;0,AS209=""),1,IF(AS209&gt;C209,1,0))</f>
        <v/>
      </c>
      <c r="CU209" s="29">
        <f>IF(AND(D209&gt;0,OR(AT209="")),1,IF((AT209)&gt;D209,1,0))</f>
        <v/>
      </c>
      <c r="CV209" s="29">
        <f>IF(AND(E209&gt;0,OR(AU209="")),1,IF((AU209)&gt;E209,1,0))</f>
        <v/>
      </c>
      <c r="CW209" s="29">
        <f>IF(AND(E209&gt;0,OR(AV209="")),1,IF((AV209)&gt;E209,1,0))</f>
        <v/>
      </c>
      <c r="CX209" s="29">
        <f>IF(AND(D209&gt;0,OR(AW209="")),1,IF((AW209)&gt;D209,1,0))</f>
        <v/>
      </c>
      <c r="CY209" s="29">
        <f>IF(AND(C209&gt;0,AX209=""),1,IF(AX209&gt;C209,1,0))</f>
        <v/>
      </c>
    </row>
    <row r="210" ht="15" customHeight="1" s="8286">
      <c r="A210" s="9614" t="n"/>
      <c r="B210" s="38" t="inlineStr">
        <is>
          <t>Depresión Refractaria</t>
        </is>
      </c>
      <c r="C210" s="1283">
        <f>SUM(D210+E210)</f>
        <v/>
      </c>
      <c r="D210" s="2197">
        <f>SUM(F210+H210+J210+L210+N210+P210+R210+T210+V210+X210+Z210+AB210+AD210+AF210+AH210+AJ210+AL210)</f>
        <v/>
      </c>
      <c r="E210" s="7750">
        <f>SUM(G210+I210+K210+M210+O210+Q210+S210+U210+W210+Y210+AA210+AC210+AE210+AG210+AI210+AK210+AM210)</f>
        <v/>
      </c>
      <c r="F210" s="1172" t="n"/>
      <c r="G210" s="1173" t="n"/>
      <c r="H210" s="1172" t="n"/>
      <c r="I210" s="1173" t="n"/>
      <c r="J210" s="1172" t="n"/>
      <c r="K210" s="1173" t="n"/>
      <c r="L210" s="1172" t="n"/>
      <c r="M210" s="1173" t="n"/>
      <c r="N210" s="1172" t="n"/>
      <c r="O210" s="1173" t="n"/>
      <c r="P210" s="1172" t="n"/>
      <c r="Q210" s="1173" t="n"/>
      <c r="R210" s="1172" t="n"/>
      <c r="S210" s="1173" t="n"/>
      <c r="T210" s="1172" t="n"/>
      <c r="U210" s="1173" t="n"/>
      <c r="V210" s="1172" t="n"/>
      <c r="W210" s="1173" t="n"/>
      <c r="X210" s="1172" t="n"/>
      <c r="Y210" s="1173" t="n"/>
      <c r="Z210" s="1172" t="n"/>
      <c r="AA210" s="1173" t="n"/>
      <c r="AB210" s="1172" t="n"/>
      <c r="AC210" s="1173" t="n"/>
      <c r="AD210" s="1172" t="n"/>
      <c r="AE210" s="1173" t="n"/>
      <c r="AF210" s="1172" t="n"/>
      <c r="AG210" s="1173" t="n"/>
      <c r="AH210" s="1172" t="n"/>
      <c r="AI210" s="1173" t="n"/>
      <c r="AJ210" s="1172" t="n"/>
      <c r="AK210" s="1173" t="n"/>
      <c r="AL210" s="1172" t="n"/>
      <c r="AM210" s="1222" t="n"/>
      <c r="AN210" s="5215" t="n">
        <v>0</v>
      </c>
      <c r="AO210" s="3892" t="n">
        <v>0</v>
      </c>
      <c r="AP210" s="3789" t="n">
        <v>0</v>
      </c>
      <c r="AQ210" s="2057" t="n">
        <v>0</v>
      </c>
      <c r="AR210" s="645" t="n">
        <v>0</v>
      </c>
      <c r="AS210" s="2057" t="n">
        <v>0</v>
      </c>
      <c r="AT210" s="37" t="n">
        <v>0</v>
      </c>
      <c r="AU210" s="2196" t="n">
        <v>0</v>
      </c>
      <c r="AV210" s="37" t="n">
        <v>0</v>
      </c>
      <c r="AW210" s="2196" t="n">
        <v>0</v>
      </c>
      <c r="AX210" s="2057" t="n">
        <v>0</v>
      </c>
      <c r="AY210" s="5">
        <f>CA210&amp;CB210&amp;CC210&amp;CD210&amp;CE210&amp;CF210&amp;CG210&amp;CH210&amp;CI210&amp;CJ210&amp;CK210</f>
        <v/>
      </c>
      <c r="CA210" s="90">
        <f>IF(AND(E210&gt;0,AN210=""), "* No olvide digitar la variable Gestantes. Digite Cero si no tiene.",IF(AN210&gt;E210,"  * La variable Gestantes No puede ser mayor al Total Mujeres.",""))</f>
        <v/>
      </c>
      <c r="CB210" s="90">
        <f>IF(AND(E210&gt;0,AO210=""), "* No olvide digitar la variable Madre de hijo menor de 5 años. Digite Cero si no tiene.",IF(AO210&gt;E210,"  * La variable Madre de hijo menor de 5 años No puede ser mayor al Total de Mujeres.",""))</f>
        <v/>
      </c>
      <c r="CC210" s="90">
        <f>IF(AND(D210&gt;0,OR(AP210="")), "* No olvide digitar la variable Pueblos originarios - Hombres. Digite Cero si no tiene.",IF((AP210)&gt;D210,"  * La variable Pueblos originarios - Hombres No puede ser mayor al Total Hombres.",""))</f>
        <v/>
      </c>
      <c r="CD210" s="90">
        <f>IF(AND(E210&gt;0,OR(AQ210="")), "* No olvide digitar la variable Pueblos originarios - Mujeres. Digite Cero si no tiene.",IF((AQ210)&gt;E210,"  * La variable Pueblos originarios - Mujeres No puede ser mayor al Total Mujeres.",""))</f>
        <v/>
      </c>
      <c r="CE210" s="90">
        <f>IF(AND($C210&gt;0,AR210=""), "* No olvide digitar la variable Niños, niñas, adolescentes y jóvenes SENAME. Digite Cero si no tiene.",IF(AR210&gt;$C210,"  * La variable Niños, niñas, adolescentes y jóvenes SENAME No puede ser mayor al Total.",""))</f>
        <v/>
      </c>
      <c r="CF210" s="90">
        <f>IF(AND(C210&gt;0,AS210=""), "* No olvide digitar la variable Servicio Nacional Protección Especializada a la Niñez y Adolescencia. Digite Cero si no tiene.",IF(AS210&gt;C210,"  * La variable Servicio Nacional Protección Especializada a la Niñez y Adolescencia No puede ser mayor al Total.",""))</f>
        <v/>
      </c>
      <c r="CG210" s="90">
        <f>IF(AND(D210&gt;0,OR(AT210="")), "* No olvide digitar la variable Migrantes - Hombres. Digite Cero si no tiene.",IF((AT210)&gt;D210,"  * La variable Migrantes - Hombres No puede ser mayor al Total Hombres.",""))</f>
        <v/>
      </c>
      <c r="CH210" s="90">
        <f>IF(AND(E210&gt;0,OR(AU210="")), "* No olvide digitar la variable Migrantes - Mujeres. Digite Cero si no tiene.",IF((AU210)&gt;E210,"  * La variable Migrantes - Mujeres No puede ser mayor al Total Mujeres.",""))</f>
        <v/>
      </c>
      <c r="CI210" s="90">
        <f>IF(AND(E210&gt;0,OR(AV210="")), "* No olvide digitar la variable Trans Masculino. Digite Cero si no tiene.",IF((AV210)&gt;E210,"  * La variable Trans Masculino No puede ser mayor al Total Mujeres.",""))</f>
        <v/>
      </c>
      <c r="CJ210" s="90">
        <f>IF(AND(D210&gt;0,OR(AW210="")), "* No olvide digitar la variable Trans Femenino. Digite Cero si no tiene.",IF((AW210)&gt;D210,"  * La variable Trans Femenino No puede ser mayor al Total Hombres.",""))</f>
        <v/>
      </c>
      <c r="CK210" s="90">
        <f>IF(AND($C210&gt;0,AX210=""), "* No olvide digitar la variable Adolescentes derivados de Espacios Amigables. Digite Cero si no tiene.",IF(AX210&gt;$C210,"  * La variable Adolescentes derivados de Espacios Amigables No puede ser mayor al Total.",""))</f>
        <v/>
      </c>
      <c r="CL210" s="5" t="n"/>
      <c r="CO210" s="29">
        <f>IF(AND(E210&gt;0,AN210=""),1,IF(AN210&gt;E210,1,0))</f>
        <v/>
      </c>
      <c r="CP210" s="29">
        <f>IF(AND(E210&gt;0,AO210=""),1,IF(AO210&gt;E210,1,0))</f>
        <v/>
      </c>
      <c r="CQ210" s="29">
        <f>IF(AND(D210&gt;0,OR(AP210="")),1,IF((AP210)&gt;D210,1,0))</f>
        <v/>
      </c>
      <c r="CR210" s="29">
        <f>IF(AND(E210&gt;0,OR(AQ210="")),1,IF((AQ210)&gt;E210,1,0))</f>
        <v/>
      </c>
      <c r="CS210" s="29">
        <f>IF(AND(C210&gt;0,AR210=""),1,IF(AR210&gt;C210,1,0))</f>
        <v/>
      </c>
      <c r="CT210" s="29">
        <f>IF(AND(C210&gt;0,AS210=""),1,IF(AS210&gt;C210,1,0))</f>
        <v/>
      </c>
      <c r="CU210" s="29">
        <f>IF(AND(D210&gt;0,OR(AT210="")),1,IF((AT210)&gt;D210,1,0))</f>
        <v/>
      </c>
      <c r="CV210" s="29">
        <f>IF(AND(E210&gt;0,OR(AU210="")),1,IF((AU210)&gt;E210,1,0))</f>
        <v/>
      </c>
      <c r="CW210" s="29">
        <f>IF(AND(E210&gt;0,OR(AV210="")),1,IF((AV210)&gt;E210,1,0))</f>
        <v/>
      </c>
      <c r="CX210" s="29">
        <f>IF(AND(D210&gt;0,OR(AW210="")),1,IF((AW210)&gt;D210,1,0))</f>
        <v/>
      </c>
      <c r="CY210" s="29">
        <f>IF(AND(C210&gt;0,AX210=""),1,IF(AX210&gt;C210,1,0))</f>
        <v/>
      </c>
    </row>
    <row r="211" ht="15" customHeight="1" s="8286">
      <c r="A211" s="9614" t="n"/>
      <c r="B211" s="2199" t="inlineStr">
        <is>
          <t>Depresión Grave Con Psicosis</t>
        </is>
      </c>
      <c r="C211" s="1283">
        <f>SUM(D211+E211)</f>
        <v/>
      </c>
      <c r="D211" s="2197">
        <f>SUM(F211+H211+J211+L211+N211+P211+R211+T211+V211+X211+Z211+AB211+AD211+AF211+AH211+AJ211+AL211)</f>
        <v/>
      </c>
      <c r="E211" s="7750">
        <f>SUM(G211+I211+K211+M211+O211+Q211+S211+U211+W211+Y211+AA211+AC211+AE211+AG211+AI211+AK211+AM211)</f>
        <v/>
      </c>
      <c r="F211" s="1172" t="n"/>
      <c r="G211" s="1173" t="n"/>
      <c r="H211" s="1172" t="n"/>
      <c r="I211" s="1173" t="n"/>
      <c r="J211" s="1172" t="n"/>
      <c r="K211" s="1173" t="n"/>
      <c r="L211" s="1172" t="n"/>
      <c r="M211" s="1173" t="n"/>
      <c r="N211" s="1172" t="n"/>
      <c r="O211" s="1173" t="n"/>
      <c r="P211" s="1172" t="n"/>
      <c r="Q211" s="1173" t="n"/>
      <c r="R211" s="1172" t="n"/>
      <c r="S211" s="1173" t="n"/>
      <c r="T211" s="1172" t="n"/>
      <c r="U211" s="1173" t="n"/>
      <c r="V211" s="1172" t="n"/>
      <c r="W211" s="1173" t="n"/>
      <c r="X211" s="1172" t="n"/>
      <c r="Y211" s="1173" t="n"/>
      <c r="Z211" s="1172" t="n"/>
      <c r="AA211" s="1173" t="n"/>
      <c r="AB211" s="1172" t="n"/>
      <c r="AC211" s="1173" t="n"/>
      <c r="AD211" s="1172" t="n"/>
      <c r="AE211" s="1173" t="n"/>
      <c r="AF211" s="1172" t="n"/>
      <c r="AG211" s="1173" t="n"/>
      <c r="AH211" s="1172" t="n"/>
      <c r="AI211" s="1173" t="n"/>
      <c r="AJ211" s="1172" t="n"/>
      <c r="AK211" s="1173" t="n"/>
      <c r="AL211" s="1172" t="n"/>
      <c r="AM211" s="1222" t="n"/>
      <c r="AN211" s="5215" t="n">
        <v>0</v>
      </c>
      <c r="AO211" s="3892" t="n">
        <v>0</v>
      </c>
      <c r="AP211" s="3789" t="n">
        <v>0</v>
      </c>
      <c r="AQ211" s="1180" t="n">
        <v>0</v>
      </c>
      <c r="AR211" s="1179" t="n">
        <v>0</v>
      </c>
      <c r="AS211" s="1180" t="n">
        <v>0</v>
      </c>
      <c r="AT211" s="35" t="n">
        <v>0</v>
      </c>
      <c r="AU211" s="1183" t="n">
        <v>0</v>
      </c>
      <c r="AV211" s="35" t="n">
        <v>0</v>
      </c>
      <c r="AW211" s="1183" t="n">
        <v>0</v>
      </c>
      <c r="AX211" s="1180" t="n">
        <v>0</v>
      </c>
      <c r="AY211" s="5">
        <f>CA211&amp;CB211&amp;CC211&amp;CD211&amp;CE211&amp;CF211&amp;CG211&amp;CH211&amp;CI211&amp;CJ211&amp;CK211</f>
        <v/>
      </c>
      <c r="CA211" s="90">
        <f>IF(AND(E211&gt;0,AN211=""), "* No olvide digitar la variable Gestantes. Digite Cero si no tiene.",IF(AN211&gt;E211,"  * La variable Gestantes No puede ser mayor al Total Mujeres.",""))</f>
        <v/>
      </c>
      <c r="CB211" s="90">
        <f>IF(AND(E211&gt;0,AO211=""), "* No olvide digitar la variable Madre de hijo menor de 5 años. Digite Cero si no tiene.",IF(AO211&gt;E211,"  * La variable Madre de hijo menor de 5 años No puede ser mayor al Total de Mujeres.",""))</f>
        <v/>
      </c>
      <c r="CC211" s="90">
        <f>IF(AND(D211&gt;0,OR(AP211="")), "* No olvide digitar la variable Pueblos originarios - Hombres. Digite Cero si no tiene.",IF((AP211)&gt;D211,"  * La variable Pueblos originarios - Hombres No puede ser mayor al Total Hombres.",""))</f>
        <v/>
      </c>
      <c r="CD211" s="90">
        <f>IF(AND(E211&gt;0,OR(AQ211="")), "* No olvide digitar la variable Pueblos originarios - Mujeres. Digite Cero si no tiene.",IF((AQ211)&gt;E211,"  * La variable Pueblos originarios - Mujeres No puede ser mayor al Total Mujeres.",""))</f>
        <v/>
      </c>
      <c r="CE211" s="90">
        <f>IF(AND($C211&gt;0,AR211=""), "* No olvide digitar la variable Niños, niñas, adolescentes y jóvenes SENAME. Digite Cero si no tiene.",IF(AR211&gt;$C211,"  * La variable Niños, niñas, adolescentes y jóvenes SENAME No puede ser mayor al Total.",""))</f>
        <v/>
      </c>
      <c r="CF211" s="90">
        <f>IF(AND(C211&gt;0,AS211=""), "* No olvide digitar la variable Servicio Nacional Protección Especializada a la Niñez y Adolescencia. Digite Cero si no tiene.",IF(AS211&gt;C211,"  * La variable Servicio Nacional Protección Especializada a la Niñez y Adolescencia No puede ser mayor al Total.",""))</f>
        <v/>
      </c>
      <c r="CG211" s="90">
        <f>IF(AND(D211&gt;0,OR(AT211="")), "* No olvide digitar la variable Migrantes - Hombres. Digite Cero si no tiene.",IF((AT211)&gt;D211,"  * La variable Migrantes - Hombres No puede ser mayor al Total Hombres.",""))</f>
        <v/>
      </c>
      <c r="CH211" s="90">
        <f>IF(AND(E211&gt;0,OR(AU211="")), "* No olvide digitar la variable Migrantes - Mujeres. Digite Cero si no tiene.",IF((AU211)&gt;E211,"  * La variable Migrantes - Mujeres No puede ser mayor al Total Mujeres.",""))</f>
        <v/>
      </c>
      <c r="CI211" s="90">
        <f>IF(AND(E211&gt;0,OR(AV211="")), "* No olvide digitar la variable Trans Masculino. Digite Cero si no tiene.",IF((AV211)&gt;E211,"  * La variable Trans Masculino No puede ser mayor al Total Mujeres.",""))</f>
        <v/>
      </c>
      <c r="CJ211" s="90">
        <f>IF(AND(D211&gt;0,OR(AW211="")), "* No olvide digitar la variable Trans Femenino. Digite Cero si no tiene.",IF((AW211)&gt;D211,"  * La variable Trans Femenino No puede ser mayor al Total Hombres.",""))</f>
        <v/>
      </c>
      <c r="CK211" s="90">
        <f>IF(AND($C211&gt;0,AX211=""), "* No olvide digitar la variable Adolescentes derivados de Espacios Amigables. Digite Cero si no tiene.",IF(AX211&gt;$C211,"  * La variable Adolescentes derivados de Espacios Amigables No puede ser mayor al Total.",""))</f>
        <v/>
      </c>
      <c r="CL211" s="5" t="n"/>
      <c r="CO211" s="29">
        <f>IF(AND(E211&gt;0,AN211=""),1,IF(AN211&gt;E211,1,0))</f>
        <v/>
      </c>
      <c r="CP211" s="29">
        <f>IF(AND(E211&gt;0,AO211=""),1,IF(AO211&gt;E211,1,0))</f>
        <v/>
      </c>
      <c r="CQ211" s="29">
        <f>IF(AND(D211&gt;0,OR(AP211="")),1,IF((AP211)&gt;D211,1,0))</f>
        <v/>
      </c>
      <c r="CR211" s="29">
        <f>IF(AND(E211&gt;0,OR(AQ211="")),1,IF((AQ211)&gt;E211,1,0))</f>
        <v/>
      </c>
      <c r="CS211" s="29">
        <f>IF(AND(C211&gt;0,AR211=""),1,IF(AR211&gt;C211,1,0))</f>
        <v/>
      </c>
      <c r="CT211" s="29">
        <f>IF(AND(C211&gt;0,AS211=""),1,IF(AS211&gt;C211,1,0))</f>
        <v/>
      </c>
      <c r="CU211" s="29">
        <f>IF(AND(D211&gt;0,OR(AT211="")),1,IF((AT211)&gt;D211,1,0))</f>
        <v/>
      </c>
      <c r="CV211" s="29">
        <f>IF(AND(E211&gt;0,OR(AU211="")),1,IF((AU211)&gt;E211,1,0))</f>
        <v/>
      </c>
      <c r="CW211" s="29">
        <f>IF(AND(E211&gt;0,OR(AV211="")),1,IF((AV211)&gt;E211,1,0))</f>
        <v/>
      </c>
      <c r="CX211" s="29">
        <f>IF(AND(D211&gt;0,OR(AW211="")),1,IF((AW211)&gt;D211,1,0))</f>
        <v/>
      </c>
      <c r="CY211" s="29">
        <f>IF(AND(C211&gt;0,AX211=""),1,IF(AX211&gt;C211,1,0))</f>
        <v/>
      </c>
    </row>
    <row r="212" ht="15" customHeight="1" s="8286">
      <c r="A212" s="9610" t="n"/>
      <c r="B212" s="39" t="inlineStr">
        <is>
          <t>Depresión con Alto Riesgo Suicida</t>
        </is>
      </c>
      <c r="C212" s="1363">
        <f>SUM(D212+E212)</f>
        <v/>
      </c>
      <c r="D212" s="1364">
        <f>SUM(H212+J212+L212+N212+P212+R212+T212+V212+X212+Z212+AB212+AD212+AF212+AH212+AJ212+AL212)</f>
        <v/>
      </c>
      <c r="E212" s="1365">
        <f>SUM(I212+K212+M212+O212+Q212+S212+U212+W212+Y212+AA212+AC212+AE212+AG212+AI212+AK212+AM212)</f>
        <v/>
      </c>
      <c r="F212" s="2200" t="n"/>
      <c r="G212" s="2201" t="n"/>
      <c r="H212" s="1179" t="n"/>
      <c r="I212" s="1180" t="n"/>
      <c r="J212" s="1179" t="n"/>
      <c r="K212" s="1180" t="n"/>
      <c r="L212" s="1179" t="n"/>
      <c r="M212" s="1180" t="n"/>
      <c r="N212" s="1179" t="n"/>
      <c r="O212" s="1180" t="n"/>
      <c r="P212" s="1179" t="n"/>
      <c r="Q212" s="1180" t="n"/>
      <c r="R212" s="1179" t="n"/>
      <c r="S212" s="1180" t="n"/>
      <c r="T212" s="1179" t="n"/>
      <c r="U212" s="1180" t="n"/>
      <c r="V212" s="1179" t="n"/>
      <c r="W212" s="1180" t="n"/>
      <c r="X212" s="1179" t="n"/>
      <c r="Y212" s="1180" t="n"/>
      <c r="Z212" s="1179" t="n"/>
      <c r="AA212" s="1180" t="n"/>
      <c r="AB212" s="1179" t="n"/>
      <c r="AC212" s="1180" t="n"/>
      <c r="AD212" s="1179" t="n"/>
      <c r="AE212" s="1180" t="n"/>
      <c r="AF212" s="1179" t="n"/>
      <c r="AG212" s="1180" t="n"/>
      <c r="AH212" s="1179" t="n"/>
      <c r="AI212" s="1180" t="n"/>
      <c r="AJ212" s="1179" t="n"/>
      <c r="AK212" s="1180" t="n"/>
      <c r="AL212" s="1179" t="n"/>
      <c r="AM212" s="35" t="n"/>
      <c r="AN212" s="5248" t="n">
        <v>0</v>
      </c>
      <c r="AO212" s="1229" t="n">
        <v>0</v>
      </c>
      <c r="AP212" s="1181" t="n">
        <v>0</v>
      </c>
      <c r="AQ212" s="1192" t="n">
        <v>0</v>
      </c>
      <c r="AR212" s="1188" t="n">
        <v>0</v>
      </c>
      <c r="AS212" s="1192" t="n">
        <v>0</v>
      </c>
      <c r="AT212" s="1227" t="n">
        <v>0</v>
      </c>
      <c r="AU212" s="1119" t="n">
        <v>0</v>
      </c>
      <c r="AV212" s="1227" t="n">
        <v>0</v>
      </c>
      <c r="AW212" s="1119" t="n">
        <v>0</v>
      </c>
      <c r="AX212" s="1192" t="n">
        <v>0</v>
      </c>
      <c r="AY212" s="5">
        <f>CA212&amp;CB212&amp;CC212&amp;CD212&amp;CE212&amp;CF212&amp;CG212&amp;CH212&amp;CI212&amp;CJ212&amp;CK212</f>
        <v/>
      </c>
      <c r="CA212" s="90">
        <f>IF(AND(E212&gt;0,AN212=""), "* No olvide digitar la variable Gestantes. Digite Cero si no tiene.",IF(AN212&gt;E212,"  * La variable Gestantes No puede ser mayor al Total Mujeres.",""))</f>
        <v/>
      </c>
      <c r="CB212" s="90">
        <f>IF(AND(E212&gt;0,AO212=""), "* No olvide digitar la variable Madre de hijo menor de 5 años. Digite Cero si no tiene.",IF(AO212&gt;E212,"  * La variable Madre de hijo menor de 5 años No puede ser mayor al Total de Mujeres.",""))</f>
        <v/>
      </c>
      <c r="CC212" s="90">
        <f>IF(AND(D212&gt;0,OR(AP212="")), "* No olvide digitar la variable Pueblos originarios - Hombres. Digite Cero si no tiene.",IF((AP212)&gt;D212,"  * La variable Pueblos originarios - Hombres No puede ser mayor al Total Hombres.",""))</f>
        <v/>
      </c>
      <c r="CD212" s="90">
        <f>IF(AND(E212&gt;0,OR(AQ212="")), "* No olvide digitar la variable Pueblos originarios - Mujeres. Digite Cero si no tiene.",IF((AQ212)&gt;E212,"  * La variable Pueblos originarios - Mujeres No puede ser mayor al Total Mujeres.",""))</f>
        <v/>
      </c>
      <c r="CE212" s="90">
        <f>IF(AND($C212&gt;0,AR212=""), "* No olvide digitar la variable Niños, niñas, adolescentes y jóvenes SENAME. Digite Cero si no tiene.",IF(AR212&gt;$C212,"  * La variable Niños, niñas, adolescentes y jóvenes SENAME No puede ser mayor al Total.",""))</f>
        <v/>
      </c>
      <c r="CF212" s="90">
        <f>IF(AND(C212&gt;0,AS212=""), "* No olvide digitar la variable Servicio Nacional Protección Especializada a la Niñez y Adolescencia. Digite Cero si no tiene.",IF(AS212&gt;C212,"  * La variable Servicio Nacional Protección Especializada a la Niñez y Adolescencia No puede ser mayor al Total.",""))</f>
        <v/>
      </c>
      <c r="CG212" s="90">
        <f>IF(AND(D212&gt;0,OR(AT212="")), "* No olvide digitar la variable Migrantes - Hombres. Digite Cero si no tiene.",IF((AT212)&gt;D212,"  * La variable Migrantes - Hombres No puede ser mayor al Total Hombres.",""))</f>
        <v/>
      </c>
      <c r="CH212" s="90">
        <f>IF(AND(E212&gt;0,OR(AU212="")), "* No olvide digitar la variable Migrantes - Mujeres. Digite Cero si no tiene.",IF((AU212)&gt;E212,"  * La variable Migrantes - Mujeres No puede ser mayor al Total Mujeres.",""))</f>
        <v/>
      </c>
      <c r="CI212" s="90">
        <f>IF(AND(E212&gt;0,OR(AV212="")), "* No olvide digitar la variable Trans Masculino. Digite Cero si no tiene.",IF((AV212)&gt;E212,"  * La variable Trans Masculino No puede ser mayor al Total Mujeres.",""))</f>
        <v/>
      </c>
      <c r="CJ212" s="90">
        <f>IF(AND(D212&gt;0,OR(AW212="")), "* No olvide digitar la variable Trans Femenino. Digite Cero si no tiene.",IF((AW212)&gt;D212,"  * La variable Trans Femenino No puede ser mayor al Total Hombres.",""))</f>
        <v/>
      </c>
      <c r="CK212" s="90">
        <f>IF(AND($C212&gt;0,AX212=""), "* No olvide digitar la variable Adolescentes derivados de Espacios Amigables. Digite Cero si no tiene.",IF(AX212&gt;$C212,"  * La variable Adolescentes derivados de Espacios Amigables No puede ser mayor al Total.",""))</f>
        <v/>
      </c>
      <c r="CL212" s="5" t="n"/>
      <c r="CO212" s="29">
        <f>IF(AND(E212&gt;0,AN212=""),1,IF(AN212&gt;E212,1,0))</f>
        <v/>
      </c>
      <c r="CP212" s="29">
        <f>IF(AND(E212&gt;0,AO212=""),1,IF(AO212&gt;E212,1,0))</f>
        <v/>
      </c>
      <c r="CQ212" s="29">
        <f>IF(AND(D212&gt;0,OR(AP212="")),1,IF((AP212)&gt;D212,1,0))</f>
        <v/>
      </c>
      <c r="CR212" s="29">
        <f>IF(AND(E212&gt;0,OR(AQ212="")),1,IF((AQ212)&gt;E212,1,0))</f>
        <v/>
      </c>
      <c r="CS212" s="29">
        <f>IF(AND(C212&gt;0,AR212=""),1,IF(AR212&gt;C212,1,0))</f>
        <v/>
      </c>
      <c r="CT212" s="29">
        <f>IF(AND(C212&gt;0,AS212=""),1,IF(AS212&gt;C212,1,0))</f>
        <v/>
      </c>
      <c r="CU212" s="29">
        <f>IF(AND(D212&gt;0,OR(AT212="")),1,IF((AT212)&gt;D212,1,0))</f>
        <v/>
      </c>
      <c r="CV212" s="29">
        <f>IF(AND(E212&gt;0,OR(AU212="")),1,IF((AU212)&gt;E212,1,0))</f>
        <v/>
      </c>
      <c r="CW212" s="29">
        <f>IF(AND(E212&gt;0,OR(AV212="")),1,IF((AV212)&gt;E212,1,0))</f>
        <v/>
      </c>
      <c r="CX212" s="29">
        <f>IF(AND(D212&gt;0,OR(AW212="")),1,IF((AW212)&gt;D212,1,0))</f>
        <v/>
      </c>
      <c r="CY212" s="29">
        <f>IF(AND(C212&gt;0,AX212=""),1,IF(AX212&gt;C212,1,0))</f>
        <v/>
      </c>
    </row>
    <row r="213" ht="15" customHeight="1" s="8286">
      <c r="A213" s="9933" t="inlineStr">
        <is>
          <t>Trastornos Mentales y del Comportamiento Debido a Consumo Sustancias Psicotrópicas</t>
        </is>
      </c>
      <c r="B213" s="2202" t="inlineStr">
        <is>
          <t>Consumo Perjudicial de Alcohol</t>
        </is>
      </c>
      <c r="C213" s="2180">
        <f>SUM(D213+E213)</f>
        <v/>
      </c>
      <c r="D213" s="855">
        <f>SUM(F213+H213+J213+L213+N213+P213+R213+T213+V213+X213+Z213+AB213+AD213+AF213+AH213+AJ213+AL213)</f>
        <v/>
      </c>
      <c r="E213" s="2179">
        <f>SUM(G213+I213+K213+M213+O213+Q213+S213+U213+W213+Y213+AA213+AC213+AE213+AG213+AI213+AK213+AM213)</f>
        <v/>
      </c>
      <c r="F213" s="2022" t="n"/>
      <c r="G213" s="2029" t="n"/>
      <c r="H213" s="2022" t="n"/>
      <c r="I213" s="2029" t="n"/>
      <c r="J213" s="2022" t="n"/>
      <c r="K213" s="2029" t="n"/>
      <c r="L213" s="2022" t="n"/>
      <c r="M213" s="2029" t="n"/>
      <c r="N213" s="2022" t="n"/>
      <c r="O213" s="2029" t="n"/>
      <c r="P213" s="2022" t="n"/>
      <c r="Q213" s="2029" t="n"/>
      <c r="R213" s="2022" t="n"/>
      <c r="S213" s="2029" t="n"/>
      <c r="T213" s="2022" t="n"/>
      <c r="U213" s="2029" t="n"/>
      <c r="V213" s="2022" t="n"/>
      <c r="W213" s="2029" t="n"/>
      <c r="X213" s="2022" t="n"/>
      <c r="Y213" s="2029" t="n"/>
      <c r="Z213" s="2022" t="n"/>
      <c r="AA213" s="2029" t="n"/>
      <c r="AB213" s="2022" t="n"/>
      <c r="AC213" s="2029" t="n"/>
      <c r="AD213" s="2022" t="n"/>
      <c r="AE213" s="2029" t="n"/>
      <c r="AF213" s="2022" t="n"/>
      <c r="AG213" s="2029" t="n"/>
      <c r="AH213" s="2022" t="n"/>
      <c r="AI213" s="2029" t="n"/>
      <c r="AJ213" s="2022" t="n"/>
      <c r="AK213" s="2029" t="n"/>
      <c r="AL213" s="2022" t="n"/>
      <c r="AM213" s="2115" t="n"/>
      <c r="AN213" s="5213" t="n">
        <v>0</v>
      </c>
      <c r="AO213" s="5189" t="n">
        <v>0</v>
      </c>
      <c r="AP213" s="3503" t="n">
        <v>0</v>
      </c>
      <c r="AQ213" s="2019" t="n">
        <v>0</v>
      </c>
      <c r="AR213" s="2014" t="n">
        <v>0</v>
      </c>
      <c r="AS213" s="2019" t="n">
        <v>0</v>
      </c>
      <c r="AT213" s="2203" t="n">
        <v>0</v>
      </c>
      <c r="AU213" s="2204" t="n">
        <v>0</v>
      </c>
      <c r="AV213" s="2203" t="n">
        <v>0</v>
      </c>
      <c r="AW213" s="2204" t="n">
        <v>0</v>
      </c>
      <c r="AX213" s="2019" t="n">
        <v>0</v>
      </c>
      <c r="AY213" s="5">
        <f>CA213&amp;CB213&amp;CC213&amp;CD213&amp;CE213&amp;CF213&amp;CG213&amp;CH213&amp;CI213&amp;CJ213&amp;CK213</f>
        <v/>
      </c>
      <c r="CA213" s="90">
        <f>IF(AND(E213&gt;0,AN213=""), "* No olvide digitar la variable Gestantes. Digite Cero si no tiene.",IF(AN213&gt;E213,"  * La variable Gestantes No puede ser mayor al Total Mujeres.",""))</f>
        <v/>
      </c>
      <c r="CB213" s="90">
        <f>IF(AND(E213&gt;0,AO213=""), "* No olvide digitar la variable Madre de hijo menor de 5 años. Digite Cero si no tiene.",IF(AO213&gt;E213,"  * La variable Madre de hijo menor de 5 años No puede ser mayor al Total de Mujeres.",""))</f>
        <v/>
      </c>
      <c r="CC213" s="90">
        <f>IF(AND(D213&gt;0,OR(AP213="")), "* No olvide digitar la variable Pueblos originarios - Hombres. Digite Cero si no tiene.",IF((AP213)&gt;D213,"  * La variable Pueblos originarios - Hombres No puede ser mayor al Total Hombres.",""))</f>
        <v/>
      </c>
      <c r="CD213" s="90">
        <f>IF(AND(E213&gt;0,OR(AQ213="")), "* No olvide digitar la variable Pueblos originarios - Mujeres. Digite Cero si no tiene.",IF((AQ213)&gt;E213,"  * La variable Pueblos originarios - Mujeres No puede ser mayor al Total Mujeres.",""))</f>
        <v/>
      </c>
      <c r="CE213" s="90">
        <f>IF(AND($C213&gt;0,AR213=""), "* No olvide digitar la variable Niños, niñas, adolescentes y jóvenes SENAME. Digite Cero si no tiene.",IF(AR213&gt;$C213,"  * La variable Niños, niñas, adolescentes y jóvenes SENAME No puede ser mayor al Total.",""))</f>
        <v/>
      </c>
      <c r="CF213" s="90">
        <f>IF(AND(C213&gt;0,AS213=""), "* No olvide digitar la variable Servicio Nacional Protección Especializada a la Niñez y Adolescencia. Digite Cero si no tiene.",IF(AS213&gt;C213,"  * La variable Servicio Nacional Protección Especializada a la Niñez y Adolescencia No puede ser mayor al Total.",""))</f>
        <v/>
      </c>
      <c r="CG213" s="90">
        <f>IF(AND(D213&gt;0,OR(AT213="")), "* No olvide digitar la variable Migrantes - Hombres. Digite Cero si no tiene.",IF((AT213)&gt;D213,"  * La variable Migrantes - Hombres No puede ser mayor al Total Hombres.",""))</f>
        <v/>
      </c>
      <c r="CH213" s="90">
        <f>IF(AND(E213&gt;0,OR(AU213="")), "* No olvide digitar la variable Migrantes - Mujeres. Digite Cero si no tiene.",IF((AU213)&gt;E213,"  * La variable Migrantes - Mujeres No puede ser mayor al Total Mujeres.",""))</f>
        <v/>
      </c>
      <c r="CI213" s="90">
        <f>IF(AND(E213&gt;0,OR(AV213="")), "* No olvide digitar la variable Trans Masculino. Digite Cero si no tiene.",IF((AV213)&gt;E213,"  * La variable Trans Masculino No puede ser mayor al Total Mujeres.",""))</f>
        <v/>
      </c>
      <c r="CJ213" s="90">
        <f>IF(AND(D213&gt;0,OR(AW213="")), "* No olvide digitar la variable Trans Femenino. Digite Cero si no tiene.",IF((AW213)&gt;D213,"  * La variable Trans Femenino No puede ser mayor al Total Hombres.",""))</f>
        <v/>
      </c>
      <c r="CK213" s="90">
        <f>IF(AND($C213&gt;0,AX213=""), "* No olvide digitar la variable Adolescentes derivados de Espacios Amigables. Digite Cero si no tiene.",IF(AX213&gt;$C213,"  * La variable Adolescentes derivados de Espacios Amigables No puede ser mayor al Total.",""))</f>
        <v/>
      </c>
      <c r="CL213" s="5" t="n"/>
      <c r="CO213" s="29">
        <f>IF(AND(E213&gt;0,AN213=""),1,IF(AN213&gt;E213,1,0))</f>
        <v/>
      </c>
      <c r="CP213" s="29">
        <f>IF(AND(E213&gt;0,AO213=""),1,IF(AO213&gt;E213,1,0))</f>
        <v/>
      </c>
      <c r="CQ213" s="29">
        <f>IF(AND(D213&gt;0,OR(AP213="")),1,IF((AP213)&gt;D213,1,0))</f>
        <v/>
      </c>
      <c r="CR213" s="29">
        <f>IF(AND(E213&gt;0,OR(AQ213="")),1,IF((AQ213)&gt;E213,1,0))</f>
        <v/>
      </c>
      <c r="CS213" s="29">
        <f>IF(AND(C213&gt;0,AR213=""),1,IF(AR213&gt;C213,1,0))</f>
        <v/>
      </c>
      <c r="CT213" s="29">
        <f>IF(AND(C213&gt;0,AS213=""),1,IF(AS213&gt;C213,1,0))</f>
        <v/>
      </c>
      <c r="CU213" s="29">
        <f>IF(AND(D213&gt;0,OR(AT213="")),1,IF((AT213)&gt;D213,1,0))</f>
        <v/>
      </c>
      <c r="CV213" s="29">
        <f>IF(AND(E213&gt;0,OR(AU213="")),1,IF((AU213)&gt;E213,1,0))</f>
        <v/>
      </c>
      <c r="CW213" s="29">
        <f>IF(AND(E213&gt;0,OR(AV213="")),1,IF((AV213)&gt;E213,1,0))</f>
        <v/>
      </c>
      <c r="CX213" s="29">
        <f>IF(AND(D213&gt;0,OR(AW213="")),1,IF((AW213)&gt;D213,1,0))</f>
        <v/>
      </c>
      <c r="CY213" s="29">
        <f>IF(AND(C213&gt;0,AX213=""),1,IF(AX213&gt;C213,1,0))</f>
        <v/>
      </c>
    </row>
    <row r="214" ht="15" customHeight="1" s="8286">
      <c r="A214" s="9614" t="n"/>
      <c r="B214" s="7750" t="inlineStr">
        <is>
          <t>Consumo Dependiente del Alcohol</t>
        </is>
      </c>
      <c r="C214" s="1283">
        <f>SUM(D214+E214)</f>
        <v/>
      </c>
      <c r="D214" s="2197">
        <f>SUM(F214+H214+J214+L214+N214+P214+R214+T214+V214+X214+Z214+AB214+AD214+AF214+AH214+AJ214+AL214)</f>
        <v/>
      </c>
      <c r="E214" s="7750">
        <f>SUM(G214+I214+K214+M214+O214+Q214+S214+U214+W214+Y214+AA214+AC214+AE214+AG214+AI214+AK214+AM214)</f>
        <v/>
      </c>
      <c r="F214" s="1172" t="n"/>
      <c r="G214" s="1173" t="n"/>
      <c r="H214" s="1172" t="n"/>
      <c r="I214" s="1173" t="n"/>
      <c r="J214" s="1172" t="n"/>
      <c r="K214" s="1173" t="n"/>
      <c r="L214" s="1172" t="n"/>
      <c r="M214" s="1173" t="n"/>
      <c r="N214" s="1172" t="n"/>
      <c r="O214" s="1173" t="n"/>
      <c r="P214" s="1172" t="n"/>
      <c r="Q214" s="1173" t="n"/>
      <c r="R214" s="1172" t="n"/>
      <c r="S214" s="1173" t="n"/>
      <c r="T214" s="1172" t="n"/>
      <c r="U214" s="1173" t="n"/>
      <c r="V214" s="1172" t="n"/>
      <c r="W214" s="1173" t="n"/>
      <c r="X214" s="1172" t="n"/>
      <c r="Y214" s="1173" t="n"/>
      <c r="Z214" s="1172" t="n"/>
      <c r="AA214" s="1173" t="n"/>
      <c r="AB214" s="1172" t="n"/>
      <c r="AC214" s="1173" t="n"/>
      <c r="AD214" s="1172" t="n"/>
      <c r="AE214" s="1173" t="n"/>
      <c r="AF214" s="1172" t="n"/>
      <c r="AG214" s="1173" t="n"/>
      <c r="AH214" s="1172" t="n"/>
      <c r="AI214" s="1173" t="n"/>
      <c r="AJ214" s="1172" t="n"/>
      <c r="AK214" s="1173" t="n"/>
      <c r="AL214" s="1172" t="n"/>
      <c r="AM214" s="1222" t="n"/>
      <c r="AN214" s="5215" t="n">
        <v>0</v>
      </c>
      <c r="AO214" s="3892" t="n">
        <v>0</v>
      </c>
      <c r="AP214" s="3789" t="n">
        <v>0</v>
      </c>
      <c r="AQ214" s="1180" t="n">
        <v>0</v>
      </c>
      <c r="AR214" s="1179" t="n">
        <v>0</v>
      </c>
      <c r="AS214" s="1180" t="n">
        <v>0</v>
      </c>
      <c r="AT214" s="35" t="n">
        <v>0</v>
      </c>
      <c r="AU214" s="1183" t="n">
        <v>0</v>
      </c>
      <c r="AV214" s="35" t="n">
        <v>0</v>
      </c>
      <c r="AW214" s="1183" t="n">
        <v>0</v>
      </c>
      <c r="AX214" s="1180" t="n">
        <v>0</v>
      </c>
      <c r="AY214" s="5">
        <f>CA214&amp;CB214&amp;CC214&amp;CD214&amp;CE214&amp;CF214&amp;CG214&amp;CH214&amp;CI214&amp;CJ214&amp;CK214</f>
        <v/>
      </c>
      <c r="CA214" s="90">
        <f>IF(AND(E214&gt;0,AN214=""), "* No olvide digitar la variable Gestantes. Digite Cero si no tiene.",IF(AN214&gt;E214,"  * La variable Gestantes No puede ser mayor al Total Mujeres.",""))</f>
        <v/>
      </c>
      <c r="CB214" s="90">
        <f>IF(AND(E214&gt;0,AO214=""), "* No olvide digitar la variable Madre de hijo menor de 5 años. Digite Cero si no tiene.",IF(AO214&gt;E214,"  * La variable Madre de hijo menor de 5 años No puede ser mayor al Total de Mujeres.",""))</f>
        <v/>
      </c>
      <c r="CC214" s="90">
        <f>IF(AND(D214&gt;0,OR(AP214="")), "* No olvide digitar la variable Pueblos originarios - Hombres. Digite Cero si no tiene.",IF((AP214)&gt;D214,"  * La variable Pueblos originarios - Hombres No puede ser mayor al Total Hombres.",""))</f>
        <v/>
      </c>
      <c r="CD214" s="90">
        <f>IF(AND(E214&gt;0,OR(AQ214="")), "* No olvide digitar la variable Pueblos originarios - Mujeres. Digite Cero si no tiene.",IF((AQ214)&gt;E214,"  * La variable Pueblos originarios - Mujeres No puede ser mayor al Total Mujeres.",""))</f>
        <v/>
      </c>
      <c r="CE214" s="90">
        <f>IF(AND($C214&gt;0,AR214=""), "* No olvide digitar la variable Niños, niñas, adolescentes y jóvenes SENAME. Digite Cero si no tiene.",IF(AR214&gt;$C214,"  * La variable Niños, niñas, adolescentes y jóvenes SENAME No puede ser mayor al Total.",""))</f>
        <v/>
      </c>
      <c r="CF214" s="90">
        <f>IF(AND(C214&gt;0,AS214=""), "* No olvide digitar la variable Servicio Nacional Protección Especializada a la Niñez y Adolescencia. Digite Cero si no tiene.",IF(AS214&gt;C214,"  * La variable Servicio Nacional Protección Especializada a la Niñez y Adolescencia No puede ser mayor al Total.",""))</f>
        <v/>
      </c>
      <c r="CG214" s="90">
        <f>IF(AND(D214&gt;0,OR(AT214="")), "* No olvide digitar la variable Migrantes - Hombres. Digite Cero si no tiene.",IF((AT214)&gt;D214,"  * La variable Migrantes - Hombres No puede ser mayor al Total Hombres.",""))</f>
        <v/>
      </c>
      <c r="CH214" s="90">
        <f>IF(AND(E214&gt;0,OR(AU214="")), "* No olvide digitar la variable Migrantes - Mujeres. Digite Cero si no tiene.",IF((AU214)&gt;E214,"  * La variable Migrantes - Mujeres No puede ser mayor al Total Mujeres.",""))</f>
        <v/>
      </c>
      <c r="CI214" s="90">
        <f>IF(AND(E214&gt;0,OR(AV214="")), "* No olvide digitar la variable Trans Masculino. Digite Cero si no tiene.",IF((AV214)&gt;E214,"  * La variable Trans Masculino No puede ser mayor al Total Mujeres.",""))</f>
        <v/>
      </c>
      <c r="CJ214" s="90">
        <f>IF(AND(D214&gt;0,OR(AW214="")), "* No olvide digitar la variable Trans Femenino. Digite Cero si no tiene.",IF((AW214)&gt;D214,"  * La variable Trans Femenino No puede ser mayor al Total Hombres.",""))</f>
        <v/>
      </c>
      <c r="CK214" s="90">
        <f>IF(AND($C214&gt;0,AX214=""), "* No olvide digitar la variable Adolescentes derivados de Espacios Amigables. Digite Cero si no tiene.",IF(AX214&gt;$C214,"  * La variable Adolescentes derivados de Espacios Amigables No puede ser mayor al Total.",""))</f>
        <v/>
      </c>
      <c r="CL214" s="5" t="n"/>
      <c r="CO214" s="29">
        <f>IF(AND(E214&gt;0,AN214=""),1,IF(AN214&gt;E214,1,0))</f>
        <v/>
      </c>
      <c r="CP214" s="29">
        <f>IF(AND(E214&gt;0,AO214=""),1,IF(AO214&gt;E214,1,0))</f>
        <v/>
      </c>
      <c r="CQ214" s="29">
        <f>IF(AND(D214&gt;0,OR(AP214="")),1,IF((AP214)&gt;D214,1,0))</f>
        <v/>
      </c>
      <c r="CR214" s="29">
        <f>IF(AND(E214&gt;0,OR(AQ214="")),1,IF((AQ214)&gt;E214,1,0))</f>
        <v/>
      </c>
      <c r="CS214" s="29">
        <f>IF(AND(C214&gt;0,AR214=""),1,IF(AR214&gt;C214,1,0))</f>
        <v/>
      </c>
      <c r="CT214" s="29">
        <f>IF(AND(C214&gt;0,AS214=""),1,IF(AS214&gt;C214,1,0))</f>
        <v/>
      </c>
      <c r="CU214" s="29">
        <f>IF(AND(D214&gt;0,OR(AT214="")),1,IF((AT214)&gt;D214,1,0))</f>
        <v/>
      </c>
      <c r="CV214" s="29">
        <f>IF(AND(E214&gt;0,OR(AU214="")),1,IF((AU214)&gt;E214,1,0))</f>
        <v/>
      </c>
      <c r="CW214" s="29">
        <f>IF(AND(E214&gt;0,OR(AV214="")),1,IF((AV214)&gt;E214,1,0))</f>
        <v/>
      </c>
      <c r="CX214" s="29">
        <f>IF(AND(D214&gt;0,OR(AW214="")),1,IF((AW214)&gt;D214,1,0))</f>
        <v/>
      </c>
      <c r="CY214" s="29">
        <f>IF(AND(C214&gt;0,AX214=""),1,IF(AX214&gt;C214,1,0))</f>
        <v/>
      </c>
    </row>
    <row r="215" ht="15" customHeight="1" s="8286">
      <c r="A215" s="9614" t="n"/>
      <c r="B215" s="1365" t="inlineStr">
        <is>
          <t>Consumo Perjudicial de Drogas</t>
        </is>
      </c>
      <c r="C215" s="1363">
        <f>SUM(D215+E215)</f>
        <v/>
      </c>
      <c r="D215" s="1364">
        <f>SUM(F215+H215+J215+L215+N215+P215+R215+T215+V215+X215+Z215+AB215+AD215+AF215+AH215+AJ215+AL215)</f>
        <v/>
      </c>
      <c r="E215" s="1365">
        <f>SUM(G215+I215+K215+M215+O215+Q215+S215+U215+W215+Y215+AA215+AC215+AE215+AG215+AI215+AK215+AM215)</f>
        <v/>
      </c>
      <c r="F215" s="1179" t="n"/>
      <c r="G215" s="1180" t="n"/>
      <c r="H215" s="1179" t="n"/>
      <c r="I215" s="1180" t="n"/>
      <c r="J215" s="1179" t="n"/>
      <c r="K215" s="1180" t="n"/>
      <c r="L215" s="1179" t="n"/>
      <c r="M215" s="1180" t="n"/>
      <c r="N215" s="1179" t="n"/>
      <c r="O215" s="1180" t="n"/>
      <c r="P215" s="1179" t="n"/>
      <c r="Q215" s="1180" t="n"/>
      <c r="R215" s="1179" t="n"/>
      <c r="S215" s="1180" t="n"/>
      <c r="T215" s="1179" t="n"/>
      <c r="U215" s="1180" t="n"/>
      <c r="V215" s="1179" t="n"/>
      <c r="W215" s="1180" t="n"/>
      <c r="X215" s="1179" t="n"/>
      <c r="Y215" s="1180" t="n"/>
      <c r="Z215" s="1179" t="n"/>
      <c r="AA215" s="1180" t="n"/>
      <c r="AB215" s="1179" t="n"/>
      <c r="AC215" s="1180" t="n"/>
      <c r="AD215" s="1179" t="n"/>
      <c r="AE215" s="1180" t="n"/>
      <c r="AF215" s="1179" t="n"/>
      <c r="AG215" s="1180" t="n"/>
      <c r="AH215" s="1179" t="n"/>
      <c r="AI215" s="1180" t="n"/>
      <c r="AJ215" s="1179" t="n"/>
      <c r="AK215" s="1180" t="n"/>
      <c r="AL215" s="1179" t="n"/>
      <c r="AM215" s="35" t="n"/>
      <c r="AN215" s="5248" t="n">
        <v>0</v>
      </c>
      <c r="AO215" s="1229" t="n">
        <v>0</v>
      </c>
      <c r="AP215" s="1181" t="n">
        <v>0</v>
      </c>
      <c r="AQ215" s="1180" t="n">
        <v>0</v>
      </c>
      <c r="AR215" s="1179" t="n">
        <v>0</v>
      </c>
      <c r="AS215" s="1180" t="n">
        <v>0</v>
      </c>
      <c r="AT215" s="35" t="n">
        <v>0</v>
      </c>
      <c r="AU215" s="1183" t="n">
        <v>0</v>
      </c>
      <c r="AV215" s="35" t="n">
        <v>0</v>
      </c>
      <c r="AW215" s="1183" t="n">
        <v>0</v>
      </c>
      <c r="AX215" s="1180" t="n">
        <v>0</v>
      </c>
      <c r="AY215" s="5">
        <f>CA215&amp;CB215&amp;CC215&amp;CD215&amp;CE215&amp;CF215&amp;CG215&amp;CH215&amp;CI215&amp;CJ215&amp;CK215</f>
        <v/>
      </c>
      <c r="CA215" s="90">
        <f>IF(AND(E215&gt;0,AN215=""), "* No olvide digitar la variable Gestantes. Digite Cero si no tiene.",IF(AN215&gt;E215,"  * La variable Gestantes No puede ser mayor al Total Mujeres.",""))</f>
        <v/>
      </c>
      <c r="CB215" s="90">
        <f>IF(AND(E215&gt;0,AO215=""), "* No olvide digitar la variable Madre de hijo menor de 5 años. Digite Cero si no tiene.",IF(AO215&gt;E215,"  * La variable Madre de hijo menor de 5 años No puede ser mayor al Total de Mujeres.",""))</f>
        <v/>
      </c>
      <c r="CC215" s="90">
        <f>IF(AND(D215&gt;0,OR(AP215="")), "* No olvide digitar la variable Pueblos originarios - Hombres. Digite Cero si no tiene.",IF((AP215)&gt;D215,"  * La variable Pueblos originarios - Hombres No puede ser mayor al Total Hombres.",""))</f>
        <v/>
      </c>
      <c r="CD215" s="90">
        <f>IF(AND(E215&gt;0,OR(AQ215="")), "* No olvide digitar la variable Pueblos originarios - Mujeres. Digite Cero si no tiene.",IF((AQ215)&gt;E215,"  * La variable Pueblos originarios - Mujeres No puede ser mayor al Total Mujeres.",""))</f>
        <v/>
      </c>
      <c r="CE215" s="90">
        <f>IF(AND($C215&gt;0,AR215=""), "* No olvide digitar la variable Niños, niñas, adolescentes y jóvenes SENAME. Digite Cero si no tiene.",IF(AR215&gt;$C215,"  * La variable Niños, niñas, adolescentes y jóvenes SENAME No puede ser mayor al Total.",""))</f>
        <v/>
      </c>
      <c r="CF215" s="90">
        <f>IF(AND(C215&gt;0,AS215=""), "* No olvide digitar la variable Servicio Nacional Protección Especializada a la Niñez y Adolescencia. Digite Cero si no tiene.",IF(AS215&gt;C215,"  * La variable Servicio Nacional Protección Especializada a la Niñez y Adolescencia No puede ser mayor al Total.",""))</f>
        <v/>
      </c>
      <c r="CG215" s="90">
        <f>IF(AND(D215&gt;0,OR(AT215="")), "* No olvide digitar la variable Migrantes - Hombres. Digite Cero si no tiene.",IF((AT215)&gt;D215,"  * La variable Migrantes - Hombres No puede ser mayor al Total Hombres.",""))</f>
        <v/>
      </c>
      <c r="CH215" s="90">
        <f>IF(AND(E215&gt;0,OR(AU215="")), "* No olvide digitar la variable Migrantes - Mujeres. Digite Cero si no tiene.",IF((AU215)&gt;E215,"  * La variable Migrantes - Mujeres No puede ser mayor al Total Mujeres.",""))</f>
        <v/>
      </c>
      <c r="CI215" s="90">
        <f>IF(AND(E215&gt;0,OR(AV215="")), "* No olvide digitar la variable Trans Masculino. Digite Cero si no tiene.",IF((AV215)&gt;E215,"  * La variable Trans Masculino No puede ser mayor al Total Mujeres.",""))</f>
        <v/>
      </c>
      <c r="CJ215" s="90">
        <f>IF(AND(D215&gt;0,OR(AW215="")), "* No olvide digitar la variable Trans Femenino. Digite Cero si no tiene.",IF((AW215)&gt;D215,"  * La variable Trans Femenino No puede ser mayor al Total Hombres.",""))</f>
        <v/>
      </c>
      <c r="CK215" s="90">
        <f>IF(AND($C215&gt;0,AX215=""), "* No olvide digitar la variable Adolescentes derivados de Espacios Amigables. Digite Cero si no tiene.",IF(AX215&gt;$C215,"  * La variable Adolescentes derivados de Espacios Amigables No puede ser mayor al Total.",""))</f>
        <v/>
      </c>
      <c r="CL215" s="5" t="n"/>
      <c r="CO215" s="29">
        <f>IF(AND(E215&gt;0,AN215=""),1,IF(AN215&gt;E215,1,0))</f>
        <v/>
      </c>
      <c r="CP215" s="29">
        <f>IF(AND(E215&gt;0,AO215=""),1,IF(AO215&gt;E215,1,0))</f>
        <v/>
      </c>
      <c r="CQ215" s="29">
        <f>IF(AND(D215&gt;0,OR(AP215="")),1,IF((AP215)&gt;D215,1,0))</f>
        <v/>
      </c>
      <c r="CR215" s="29">
        <f>IF(AND(E215&gt;0,OR(AQ215="")),1,IF((AQ215)&gt;E215,1,0))</f>
        <v/>
      </c>
      <c r="CS215" s="29">
        <f>IF(AND(C215&gt;0,AR215=""),1,IF(AR215&gt;C215,1,0))</f>
        <v/>
      </c>
      <c r="CT215" s="29">
        <f>IF(AND(C215&gt;0,AS215=""),1,IF(AS215&gt;C215,1,0))</f>
        <v/>
      </c>
      <c r="CU215" s="29">
        <f>IF(AND(D215&gt;0,OR(AT215="")),1,IF((AT215)&gt;D215,1,0))</f>
        <v/>
      </c>
      <c r="CV215" s="29">
        <f>IF(AND(E215&gt;0,OR(AU215="")),1,IF((AU215)&gt;E215,1,0))</f>
        <v/>
      </c>
      <c r="CW215" s="29">
        <f>IF(AND(E215&gt;0,OR(AV215="")),1,IF((AV215)&gt;E215,1,0))</f>
        <v/>
      </c>
      <c r="CX215" s="29">
        <f>IF(AND(D215&gt;0,OR(AW215="")),1,IF((AW215)&gt;D215,1,0))</f>
        <v/>
      </c>
      <c r="CY215" s="29">
        <f>IF(AND(C215&gt;0,AX215=""),1,IF(AX215&gt;C215,1,0))</f>
        <v/>
      </c>
    </row>
    <row r="216" ht="15" customHeight="1" s="8286">
      <c r="A216" s="9614" t="n"/>
      <c r="B216" s="1365" t="inlineStr">
        <is>
          <t>Consumo Dependiente de Drogas</t>
        </is>
      </c>
      <c r="C216" s="1363">
        <f>SUM(D216+E216)</f>
        <v/>
      </c>
      <c r="D216" s="1364">
        <f>SUM(F216+H216+J216+L216+N216+P216+R216+T216+V216+X216+Z216+AB216+AD216+AF216+AH216+AJ216+AL216)</f>
        <v/>
      </c>
      <c r="E216" s="1365">
        <f>SUM(G216+I216+K216+M216+O216+Q216+S216+U216+W216+Y216+AA216+AC216+AE216+AG216+AI216+AK216+AM216)</f>
        <v/>
      </c>
      <c r="F216" s="1179" t="n"/>
      <c r="G216" s="1180" t="n"/>
      <c r="H216" s="1179" t="n"/>
      <c r="I216" s="1180" t="n"/>
      <c r="J216" s="1179" t="n"/>
      <c r="K216" s="1180" t="n"/>
      <c r="L216" s="1179" t="n"/>
      <c r="M216" s="1180" t="n"/>
      <c r="N216" s="1179" t="n"/>
      <c r="O216" s="1180" t="n"/>
      <c r="P216" s="1179" t="n"/>
      <c r="Q216" s="1180" t="n"/>
      <c r="R216" s="1179" t="n"/>
      <c r="S216" s="1180" t="n"/>
      <c r="T216" s="1179" t="n"/>
      <c r="U216" s="1180" t="n"/>
      <c r="V216" s="1179" t="n"/>
      <c r="W216" s="1180" t="n"/>
      <c r="X216" s="1179" t="n"/>
      <c r="Y216" s="1180" t="n"/>
      <c r="Z216" s="1179" t="n"/>
      <c r="AA216" s="1180" t="n"/>
      <c r="AB216" s="1179" t="n"/>
      <c r="AC216" s="1180" t="n"/>
      <c r="AD216" s="1179" t="n"/>
      <c r="AE216" s="1180" t="n">
        <v>1</v>
      </c>
      <c r="AF216" s="1179" t="n"/>
      <c r="AG216" s="1180" t="n"/>
      <c r="AH216" s="1179" t="n"/>
      <c r="AI216" s="1180" t="n"/>
      <c r="AJ216" s="1179" t="n"/>
      <c r="AK216" s="1180" t="n"/>
      <c r="AL216" s="1179" t="n"/>
      <c r="AM216" s="35" t="n"/>
      <c r="AN216" s="5248" t="n">
        <v>0</v>
      </c>
      <c r="AO216" s="1229" t="n">
        <v>0</v>
      </c>
      <c r="AP216" s="1181" t="n">
        <v>0</v>
      </c>
      <c r="AQ216" s="1180" t="n">
        <v>0</v>
      </c>
      <c r="AR216" s="1179" t="n">
        <v>0</v>
      </c>
      <c r="AS216" s="1180" t="n">
        <v>0</v>
      </c>
      <c r="AT216" s="35" t="n">
        <v>0</v>
      </c>
      <c r="AU216" s="1183" t="n">
        <v>0</v>
      </c>
      <c r="AV216" s="35" t="n">
        <v>0</v>
      </c>
      <c r="AW216" s="1183" t="n">
        <v>0</v>
      </c>
      <c r="AX216" s="1180" t="n">
        <v>0</v>
      </c>
      <c r="AY216" s="5">
        <f>CA216&amp;CB216&amp;CC216&amp;CD216&amp;CE216&amp;CF216&amp;CG216&amp;CH216&amp;CI216&amp;CJ216&amp;CK216</f>
        <v/>
      </c>
      <c r="CA216" s="90">
        <f>IF(AND(E216&gt;0,AN216=""), "* No olvide digitar la variable Gestantes. Digite Cero si no tiene.",IF(AN216&gt;E216,"  * La variable Gestantes No puede ser mayor al Total Mujeres.",""))</f>
        <v/>
      </c>
      <c r="CB216" s="90">
        <f>IF(AND(E216&gt;0,AO216=""), "* No olvide digitar la variable Madre de hijo menor de 5 años. Digite Cero si no tiene.",IF(AO216&gt;E216,"  * La variable Madre de hijo menor de 5 años No puede ser mayor al Total de Mujeres.",""))</f>
        <v/>
      </c>
      <c r="CC216" s="90">
        <f>IF(AND(D216&gt;0,OR(AP216="")), "* No olvide digitar la variable Pueblos originarios - Hombres. Digite Cero si no tiene.",IF((AP216)&gt;D216,"  * La variable Pueblos originarios - Hombres No puede ser mayor al Total Hombres.",""))</f>
        <v/>
      </c>
      <c r="CD216" s="90">
        <f>IF(AND(E216&gt;0,OR(AQ216="")), "* No olvide digitar la variable Pueblos originarios - Mujeres. Digite Cero si no tiene.",IF((AQ216)&gt;E216,"  * La variable Pueblos originarios - Mujeres No puede ser mayor al Total Mujeres.",""))</f>
        <v/>
      </c>
      <c r="CE216" s="90">
        <f>IF(AND($C216&gt;0,AR216=""), "* No olvide digitar la variable Niños, niñas, adolescentes y jóvenes SENAME. Digite Cero si no tiene.",IF(AR216&gt;$C216,"  * La variable Niños, niñas, adolescentes y jóvenes SENAME No puede ser mayor al Total.",""))</f>
        <v/>
      </c>
      <c r="CF216" s="90">
        <f>IF(AND(C216&gt;0,AS216=""), "* No olvide digitar la variable Servicio Nacional Protección Especializada a la Niñez y Adolescencia. Digite Cero si no tiene.",IF(AS216&gt;C216,"  * La variable Servicio Nacional Protección Especializada a la Niñez y Adolescencia No puede ser mayor al Total.",""))</f>
        <v/>
      </c>
      <c r="CG216" s="90">
        <f>IF(AND(D216&gt;0,OR(AT216="")), "* No olvide digitar la variable Migrantes - Hombres. Digite Cero si no tiene.",IF((AT216)&gt;D216,"  * La variable Migrantes - Hombres No puede ser mayor al Total Hombres.",""))</f>
        <v/>
      </c>
      <c r="CH216" s="90">
        <f>IF(AND(E216&gt;0,OR(AU216="")), "* No olvide digitar la variable Migrantes - Mujeres. Digite Cero si no tiene.",IF((AU216)&gt;E216,"  * La variable Migrantes - Mujeres No puede ser mayor al Total Mujeres.",""))</f>
        <v/>
      </c>
      <c r="CI216" s="90">
        <f>IF(AND(E216&gt;0,OR(AV216="")), "* No olvide digitar la variable Trans Masculino. Digite Cero si no tiene.",IF((AV216)&gt;E216,"  * La variable Trans Masculino No puede ser mayor al Total Mujeres.",""))</f>
        <v/>
      </c>
      <c r="CJ216" s="90">
        <f>IF(AND(D216&gt;0,OR(AW216="")), "* No olvide digitar la variable Trans Femenino. Digite Cero si no tiene.",IF((AW216)&gt;D216,"  * La variable Trans Femenino No puede ser mayor al Total Hombres.",""))</f>
        <v/>
      </c>
      <c r="CK216" s="90">
        <f>IF(AND($C216&gt;0,AX216=""), "* No olvide digitar la variable Adolescentes derivados de Espacios Amigables. Digite Cero si no tiene.",IF(AX216&gt;$C216,"  * La variable Adolescentes derivados de Espacios Amigables No puede ser mayor al Total.",""))</f>
        <v/>
      </c>
      <c r="CL216" s="5" t="n"/>
      <c r="CO216" s="29">
        <f>IF(AND(E216&gt;0,AN216=""),1,IF(AN216&gt;E216,1,0))</f>
        <v/>
      </c>
      <c r="CP216" s="29">
        <f>IF(AND(E216&gt;0,AO216=""),1,IF(AO216&gt;E216,1,0))</f>
        <v/>
      </c>
      <c r="CQ216" s="29">
        <f>IF(AND(D216&gt;0,OR(AP216="")),1,IF((AP216)&gt;D216,1,0))</f>
        <v/>
      </c>
      <c r="CR216" s="29">
        <f>IF(AND(E216&gt;0,OR(AQ216="")),1,IF((AQ216)&gt;E216,1,0))</f>
        <v/>
      </c>
      <c r="CS216" s="29">
        <f>IF(AND(C216&gt;0,AR216=""),1,IF(AR216&gt;C216,1,0))</f>
        <v/>
      </c>
      <c r="CT216" s="29">
        <f>IF(AND(C216&gt;0,AS216=""),1,IF(AS216&gt;C216,1,0))</f>
        <v/>
      </c>
      <c r="CU216" s="29">
        <f>IF(AND(D216&gt;0,OR(AT216="")),1,IF((AT216)&gt;D216,1,0))</f>
        <v/>
      </c>
      <c r="CV216" s="29">
        <f>IF(AND(E216&gt;0,OR(AU216="")),1,IF((AU216)&gt;E216,1,0))</f>
        <v/>
      </c>
      <c r="CW216" s="29">
        <f>IF(AND(E216&gt;0,OR(AV216="")),1,IF((AV216)&gt;E216,1,0))</f>
        <v/>
      </c>
      <c r="CX216" s="29">
        <f>IF(AND(D216&gt;0,OR(AW216="")),1,IF((AW216)&gt;D216,1,0))</f>
        <v/>
      </c>
      <c r="CY216" s="29">
        <f>IF(AND(C216&gt;0,AX216=""),1,IF(AX216&gt;C216,1,0))</f>
        <v/>
      </c>
    </row>
    <row r="217" ht="15" customHeight="1" s="8286">
      <c r="A217" s="9610" t="n"/>
      <c r="B217" s="7752" t="inlineStr">
        <is>
          <t>Consumo de Drogas y Alcohol</t>
        </is>
      </c>
      <c r="C217" s="1352">
        <f>SUM(D217+E217)</f>
        <v/>
      </c>
      <c r="D217" s="1353">
        <f>SUM(F217+H217+J217+L217+N217+P217+R217+T217+V217+X217+Z217+AB217+AD217+AF217+AH217+AJ217+AL217)</f>
        <v/>
      </c>
      <c r="E217" s="7752">
        <f>SUM(G217+I217+K217+M217+O217+Q217+S217+U217+W217+Y217+AA217+AC217+AE217+AG217+AI217+AK217+AM217)</f>
        <v/>
      </c>
      <c r="F217" s="1188" t="n"/>
      <c r="G217" s="1192" t="n"/>
      <c r="H217" s="1188" t="n"/>
      <c r="I217" s="1192" t="n"/>
      <c r="J217" s="1188" t="n"/>
      <c r="K217" s="1192" t="n"/>
      <c r="L217" s="1188" t="n"/>
      <c r="M217" s="1192" t="n"/>
      <c r="N217" s="1188" t="n"/>
      <c r="O217" s="1192" t="n"/>
      <c r="P217" s="1188" t="n"/>
      <c r="Q217" s="1192" t="n"/>
      <c r="R217" s="1188" t="n"/>
      <c r="S217" s="1192" t="n"/>
      <c r="T217" s="1188" t="n"/>
      <c r="U217" s="1192" t="n"/>
      <c r="V217" s="1188" t="n"/>
      <c r="W217" s="1192" t="n"/>
      <c r="X217" s="1188" t="n"/>
      <c r="Y217" s="1192" t="n"/>
      <c r="Z217" s="1188" t="n"/>
      <c r="AA217" s="1192" t="n"/>
      <c r="AB217" s="1188" t="n"/>
      <c r="AC217" s="1192" t="n"/>
      <c r="AD217" s="1188" t="n"/>
      <c r="AE217" s="1192" t="n"/>
      <c r="AF217" s="1188" t="n"/>
      <c r="AG217" s="1192" t="n"/>
      <c r="AH217" s="1188" t="n"/>
      <c r="AI217" s="1192" t="n"/>
      <c r="AJ217" s="1188" t="n"/>
      <c r="AK217" s="1192" t="n"/>
      <c r="AL217" s="1188" t="n"/>
      <c r="AM217" s="1227" t="n"/>
      <c r="AN217" s="5249" t="n">
        <v>0</v>
      </c>
      <c r="AO217" s="1223" t="n">
        <v>0</v>
      </c>
      <c r="AP217" s="1193" t="n">
        <v>0</v>
      </c>
      <c r="AQ217" s="1192" t="n">
        <v>0</v>
      </c>
      <c r="AR217" s="1188" t="n">
        <v>0</v>
      </c>
      <c r="AS217" s="1192" t="n">
        <v>0</v>
      </c>
      <c r="AT217" s="1227" t="n">
        <v>0</v>
      </c>
      <c r="AU217" s="1119" t="n">
        <v>0</v>
      </c>
      <c r="AV217" s="1227" t="n">
        <v>0</v>
      </c>
      <c r="AW217" s="1119" t="n">
        <v>0</v>
      </c>
      <c r="AX217" s="1192" t="n">
        <v>0</v>
      </c>
      <c r="AY217" s="5">
        <f>CA217&amp;CB217&amp;CC217&amp;CD217&amp;CE217&amp;CF217&amp;CG217&amp;CH217&amp;CI217&amp;CJ217&amp;CK217</f>
        <v/>
      </c>
      <c r="CA217" s="90">
        <f>IF(AND(E217&gt;0,AN217=""), "* No olvide digitar la variable Gestantes. Digite Cero si no tiene.",IF(AN217&gt;E217,"  * La variable Gestantes No puede ser mayor al Total Mujeres.",""))</f>
        <v/>
      </c>
      <c r="CB217" s="90">
        <f>IF(AND(E217&gt;0,AO217=""), "* No olvide digitar la variable Madre de hijo menor de 5 años. Digite Cero si no tiene.",IF(AO217&gt;E217,"  * La variable Madre de hijo menor de 5 años No puede ser mayor al Total de Mujeres.",""))</f>
        <v/>
      </c>
      <c r="CC217" s="90">
        <f>IF(AND(D217&gt;0,OR(AP217="")), "* No olvide digitar la variable Pueblos originarios - Hombres. Digite Cero si no tiene.",IF((AP217)&gt;D217,"  * La variable Pueblos originarios - Hombres No puede ser mayor al Total Hombres.",""))</f>
        <v/>
      </c>
      <c r="CD217" s="90">
        <f>IF(AND(E217&gt;0,OR(AQ217="")), "* No olvide digitar la variable Pueblos originarios - Mujeres. Digite Cero si no tiene.",IF((AQ217)&gt;E217,"  * La variable Pueblos originarios - Mujeres No puede ser mayor al Total Mujeres.",""))</f>
        <v/>
      </c>
      <c r="CE217" s="90">
        <f>IF(AND($C217&gt;0,AR217=""), "* No olvide digitar la variable Niños, niñas, adolescentes y jóvenes SENAME. Digite Cero si no tiene.",IF(AR217&gt;$C217,"  * La variable Niños, niñas, adolescentes y jóvenes SENAME No puede ser mayor al Total.",""))</f>
        <v/>
      </c>
      <c r="CF217" s="90">
        <f>IF(AND(C217&gt;0,AS217=""), "* No olvide digitar la variable Servicio Nacional Protección Especializada a la Niñez y Adolescencia. Digite Cero si no tiene.",IF(AS217&gt;C217,"  * La variable Servicio Nacional Protección Especializada a la Niñez y Adolescencia No puede ser mayor al Total.",""))</f>
        <v/>
      </c>
      <c r="CG217" s="90">
        <f>IF(AND(D217&gt;0,OR(AT217="")), "* No olvide digitar la variable Migrantes - Hombres. Digite Cero si no tiene.",IF((AT217)&gt;D217,"  * La variable Migrantes - Hombres No puede ser mayor al Total Hombres.",""))</f>
        <v/>
      </c>
      <c r="CH217" s="90">
        <f>IF(AND(E217&gt;0,OR(AU217="")), "* No olvide digitar la variable Migrantes - Mujeres. Digite Cero si no tiene.",IF((AU217)&gt;E217,"  * La variable Migrantes - Mujeres No puede ser mayor al Total Mujeres.",""))</f>
        <v/>
      </c>
      <c r="CI217" s="90">
        <f>IF(AND(E217&gt;0,OR(AV217="")), "* No olvide digitar la variable Trans Masculino. Digite Cero si no tiene.",IF((AV217)&gt;E217,"  * La variable Trans Masculino No puede ser mayor al Total Mujeres.",""))</f>
        <v/>
      </c>
      <c r="CJ217" s="90">
        <f>IF(AND(D217&gt;0,OR(AW217="")), "* No olvide digitar la variable Trans Femenino. Digite Cero si no tiene.",IF((AW217)&gt;D217,"  * La variable Trans Femenino No puede ser mayor al Total Hombres.",""))</f>
        <v/>
      </c>
      <c r="CK217" s="90">
        <f>IF(AND($C217&gt;0,AX217=""), "* No olvide digitar la variable Adolescentes derivados de Espacios Amigables. Digite Cero si no tiene.",IF(AX217&gt;$C217,"  * La variable Adolescentes derivados de Espacios Amigables No puede ser mayor al Total.",""))</f>
        <v/>
      </c>
      <c r="CL217" s="5" t="n"/>
      <c r="CO217" s="29">
        <f>IF(AND(E217&gt;0,AN217=""),1,IF(AN217&gt;E217,1,0))</f>
        <v/>
      </c>
      <c r="CP217" s="29">
        <f>IF(AND(E217&gt;0,AO217=""),1,IF(AO217&gt;E217,1,0))</f>
        <v/>
      </c>
      <c r="CQ217" s="29">
        <f>IF(AND(D217&gt;0,OR(AP217="")),1,IF((AP217)&gt;D217,1,0))</f>
        <v/>
      </c>
      <c r="CR217" s="29">
        <f>IF(AND(E217&gt;0,OR(AQ217="")),1,IF((AQ217)&gt;E217,1,0))</f>
        <v/>
      </c>
      <c r="CS217" s="29">
        <f>IF(AND(C217&gt;0,AR217=""),1,IF(AR217&gt;C217,1,0))</f>
        <v/>
      </c>
      <c r="CT217" s="29">
        <f>IF(AND(C217&gt;0,AS217=""),1,IF(AS217&gt;C217,1,0))</f>
        <v/>
      </c>
      <c r="CU217" s="29">
        <f>IF(AND(D217&gt;0,OR(AT217="")),1,IF((AT217)&gt;D217,1,0))</f>
        <v/>
      </c>
      <c r="CV217" s="29">
        <f>IF(AND(E217&gt;0,OR(AU217="")),1,IF((AU217)&gt;E217,1,0))</f>
        <v/>
      </c>
      <c r="CW217" s="29">
        <f>IF(AND(E217&gt;0,OR(AV217="")),1,IF((AV217)&gt;E217,1,0))</f>
        <v/>
      </c>
      <c r="CX217" s="29">
        <f>IF(AND(D217&gt;0,OR(AW217="")),1,IF((AW217)&gt;D217,1,0))</f>
        <v/>
      </c>
      <c r="CY217" s="29">
        <f>IF(AND(C217&gt;0,AX217=""),1,IF(AX217&gt;C217,1,0))</f>
        <v/>
      </c>
    </row>
    <row r="218" ht="15" customHeight="1" s="8286">
      <c r="A218" s="9933" t="inlineStr">
        <is>
          <t>Trastornos del Comportamiento y de Las Emociones de Comienzo Habitual en la Infancia y Adolescencia</t>
        </is>
      </c>
      <c r="B218" s="2179" t="inlineStr">
        <is>
          <t>Trastorno Hipercinéticos</t>
        </is>
      </c>
      <c r="C218" s="2180">
        <f>SUM(D218+E218)</f>
        <v/>
      </c>
      <c r="D218" s="855">
        <f>SUM(F218+H218+J218+L218+N218)</f>
        <v/>
      </c>
      <c r="E218" s="2179">
        <f>SUM(G218+I218+K218+M218+O218)</f>
        <v/>
      </c>
      <c r="F218" s="2022" t="n"/>
      <c r="G218" s="2029" t="n"/>
      <c r="H218" s="2022" t="n">
        <v>1</v>
      </c>
      <c r="I218" s="2029" t="n"/>
      <c r="J218" s="2022" t="n"/>
      <c r="K218" s="2029" t="n"/>
      <c r="L218" s="2022" t="n"/>
      <c r="M218" s="2029" t="n"/>
      <c r="N218" s="2022" t="n">
        <v>1</v>
      </c>
      <c r="O218" s="2029" t="n"/>
      <c r="P218" s="2205" t="n"/>
      <c r="Q218" s="2206" t="n"/>
      <c r="R218" s="2206" t="n"/>
      <c r="S218" s="2206" t="n"/>
      <c r="T218" s="2206" t="n"/>
      <c r="U218" s="2206" t="n"/>
      <c r="V218" s="2206" t="n"/>
      <c r="W218" s="2206" t="n"/>
      <c r="X218" s="2206" t="n"/>
      <c r="Y218" s="2206" t="n"/>
      <c r="Z218" s="2206" t="n"/>
      <c r="AA218" s="2206" t="n"/>
      <c r="AB218" s="2206" t="n"/>
      <c r="AC218" s="2206" t="n"/>
      <c r="AD218" s="2206" t="n"/>
      <c r="AE218" s="2206" t="n"/>
      <c r="AF218" s="2206" t="n"/>
      <c r="AG218" s="2206" t="n"/>
      <c r="AH218" s="2206" t="n"/>
      <c r="AI218" s="2206" t="n"/>
      <c r="AJ218" s="2206" t="n"/>
      <c r="AK218" s="2206" t="n"/>
      <c r="AL218" s="2206" t="n"/>
      <c r="AM218" s="2207" t="n"/>
      <c r="AN218" s="5213" t="n">
        <v>0</v>
      </c>
      <c r="AO218" s="5383" t="n"/>
      <c r="AP218" s="3503" t="n">
        <v>0</v>
      </c>
      <c r="AQ218" s="2019" t="n">
        <v>0</v>
      </c>
      <c r="AR218" s="2014" t="n">
        <v>0</v>
      </c>
      <c r="AS218" s="2019" t="n">
        <v>0</v>
      </c>
      <c r="AT218" s="2203" t="n">
        <v>0</v>
      </c>
      <c r="AU218" s="2204" t="n">
        <v>0</v>
      </c>
      <c r="AV218" s="2203" t="n">
        <v>0</v>
      </c>
      <c r="AW218" s="2204" t="n">
        <v>0</v>
      </c>
      <c r="AX218" s="2019" t="n">
        <v>0</v>
      </c>
      <c r="AY218" s="5">
        <f>CA218&amp;CC218&amp;CD218&amp;CE218&amp;CF218&amp;CG218&amp;CH218&amp;CI218&amp;CJ218&amp;CK218</f>
        <v/>
      </c>
      <c r="CA218" s="90">
        <f>IF(AND(E218&gt;0,AN218=""), "* No olvide digitar la variable Gestantes. Digite Cero si no tiene.",IF(AN218&gt;E218,"  * La  variable Gestantes No puede ser mayor al Total Mujeres.",""))</f>
        <v/>
      </c>
      <c r="CB218" s="124" t="n"/>
      <c r="CC218" s="90">
        <f>IF(AND(D218&gt;0,OR(AP218="")), "* No olvide digitar la variable Pueblos originarios - Hombres. Digite Cero si no tiene.",IF((AP218)&gt;D218,"  * La variable Pueblos originarios - Hombres No puede ser mayor al Total.",""))</f>
        <v/>
      </c>
      <c r="CD218" s="90">
        <f>IF(AND(E218&gt;0,OR(AQ218="")), "* No olvide digitar la variable Pueblos originarios - Mujeres. Digite Cero si no tiene.",IF((AQ218)&gt;E218,"  * La variable Pueblos originarios - Mujeres No puede ser mayor al Total.",""))</f>
        <v/>
      </c>
      <c r="CE218" s="90">
        <f>IF(AND(C218&gt;0,AR218=""), "* No olvide digitar la variable Niños, niñas, adolescentes y jóvenes SENAME. Digite Cero si no tiene.",IF(AR218&gt;C218,"  * La variable Niños, niñas, adolescentes y jóvenes SENAME No puede ser mayor al Total.",""))</f>
        <v/>
      </c>
      <c r="CF218" s="90">
        <f>IF(AND(C218&gt;0,AS218=""), "* No olvide digitar la variable Servicio Nacional Protección Especializada a la Niñez y Adolescencia. Digite Cero si no tiene.",IF(AS218&gt;C218,"  * La variable Servicio Nacional Protección Especializada a la Niñez y Adolescencia No puede ser mayor al Total.",""))</f>
        <v/>
      </c>
      <c r="CG218" s="90">
        <f>IF(AND(D218&gt;0,OR(AT218="")), "* No olvide digitar la variable Migrantes - Hombres. Digite Cero si no tiene.",IF((AT218)&gt;D218,"  * La variable Migrantes - Hombres No puede ser mayor al Total Hombres.",""))</f>
        <v/>
      </c>
      <c r="CH218" s="90">
        <f>IF(AND(E218&gt;0,OR(AU218="")), "* No olvide digitar la variable Migrantes - Mujeres. Digite Cero si no tiene.",IF((AU218)&gt;E218,"  * La variable Migrantes - Mujeres No puede ser mayor al Total.",""))</f>
        <v/>
      </c>
      <c r="CI218" s="90">
        <f>IF(AND(E218&gt;0,OR(AV218="")), "* No olvide digitar la variable Trans Masculino. Digite Cero si no tiene.",IF((AV218)&gt;E218,"  * La variable Trans Masculino No puede ser mayor al Total Mujeres.",""))</f>
        <v/>
      </c>
      <c r="CJ218" s="90">
        <f>IF(AND(D218&gt;0,OR(AW218="")), "* No olvide digitar la variable Trans Femenino. Digite Cero si no tiene.",IF((AW218)&gt;D218,"  * La variable Trans Femenino No puede ser mayor al Total Hombres.",""))</f>
        <v/>
      </c>
      <c r="CK218" s="90">
        <f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 t="n"/>
      <c r="CO218" s="29">
        <f>IF(AND(E218&gt;0,AN218=""),1,IF(AN218&gt;E218,1,0))</f>
        <v/>
      </c>
      <c r="CP218" s="195" t="n"/>
      <c r="CQ218" s="29">
        <f>IF(AND(D218&gt;0,OR(AP218="")),1,IF((AP218)&gt;D218,1,0))</f>
        <v/>
      </c>
      <c r="CR218" s="29">
        <f>IF(AND(E218&gt;0,OR(AQ218="")),1,IF((AQ218)&gt;E218,1,0))</f>
        <v/>
      </c>
      <c r="CS218" s="29">
        <f>IF(AND(C218&gt;0,AR218=""),1,IF(AR218&gt;C218,1,0))</f>
        <v/>
      </c>
      <c r="CT218" s="29">
        <f>IF(AND(C218&gt;0,AS218=""),1,IF(AS218&gt;C218,1,0))</f>
        <v/>
      </c>
      <c r="CU218" s="29">
        <f>IF(AND(D218&gt;0,OR(AT218="")),1,IF((AT218)&gt;D218,1,0))</f>
        <v/>
      </c>
      <c r="CV218" s="29">
        <f>IF(AND(E218&gt;0,OR(AU218="")),1,IF((AU218)&gt;E218,1,0))</f>
        <v/>
      </c>
      <c r="CW218" s="29">
        <f>IF(AND(E218&gt;0,OR(AV218="")),1,IF((AV218)&gt;E218,1,0))</f>
        <v/>
      </c>
      <c r="CX218" s="29">
        <f>IF(AND(D218&gt;0,OR(AW218="")),1,IF((AW218)&gt;D218,1,0))</f>
        <v/>
      </c>
      <c r="CY218" s="29">
        <f>IF(AND(C218&gt;0,AX218=""),1,IF(AX218&gt;C218,1,0))</f>
        <v/>
      </c>
    </row>
    <row r="219" ht="23.25" customHeight="1" s="8286">
      <c r="A219" s="9614" t="n"/>
      <c r="B219" s="7750" t="inlineStr">
        <is>
          <t>Trastorno Disocial Desafiante y Oposicionista</t>
        </is>
      </c>
      <c r="C219" s="1283">
        <f>SUM(D219+E219)</f>
        <v/>
      </c>
      <c r="D219" s="2197">
        <f>SUM(F219+H219+J219+L219+N219)</f>
        <v/>
      </c>
      <c r="E219" s="7750">
        <f>SUM(G219+I219+K219+M219+O219)</f>
        <v/>
      </c>
      <c r="F219" s="1172" t="n"/>
      <c r="G219" s="1173" t="n"/>
      <c r="H219" s="1172" t="n"/>
      <c r="I219" s="1173" t="n"/>
      <c r="J219" s="1172" t="n"/>
      <c r="K219" s="1173" t="n"/>
      <c r="L219" s="1172" t="n"/>
      <c r="M219" s="1173" t="n"/>
      <c r="N219" s="1172" t="n"/>
      <c r="O219" s="1173" t="n"/>
      <c r="P219" s="651" t="n"/>
      <c r="Q219" s="40" t="n"/>
      <c r="R219" s="40" t="n"/>
      <c r="S219" s="40" t="n"/>
      <c r="T219" s="40" t="n"/>
      <c r="U219" s="40" t="n"/>
      <c r="V219" s="40" t="n"/>
      <c r="W219" s="40" t="n"/>
      <c r="X219" s="40" t="n"/>
      <c r="Y219" s="40" t="n"/>
      <c r="Z219" s="40" t="n"/>
      <c r="AA219" s="40" t="n"/>
      <c r="AB219" s="40" t="n"/>
      <c r="AC219" s="40" t="n"/>
      <c r="AD219" s="40" t="n"/>
      <c r="AE219" s="40" t="n"/>
      <c r="AF219" s="40" t="n"/>
      <c r="AG219" s="40" t="n"/>
      <c r="AH219" s="40" t="n"/>
      <c r="AI219" s="40" t="n"/>
      <c r="AJ219" s="40" t="n"/>
      <c r="AK219" s="40" t="n"/>
      <c r="AL219" s="40" t="n"/>
      <c r="AM219" s="41" t="n"/>
      <c r="AN219" s="5215" t="n">
        <v>0</v>
      </c>
      <c r="AO219" s="5384" t="n"/>
      <c r="AP219" s="3789" t="n">
        <v>0</v>
      </c>
      <c r="AQ219" s="1180" t="n">
        <v>0</v>
      </c>
      <c r="AR219" s="1179" t="n">
        <v>0</v>
      </c>
      <c r="AS219" s="1180" t="n">
        <v>0</v>
      </c>
      <c r="AT219" s="35" t="n">
        <v>0</v>
      </c>
      <c r="AU219" s="1183" t="n">
        <v>0</v>
      </c>
      <c r="AV219" s="35" t="n">
        <v>0</v>
      </c>
      <c r="AW219" s="1183" t="n">
        <v>0</v>
      </c>
      <c r="AX219" s="1180" t="n">
        <v>0</v>
      </c>
      <c r="AY219" s="5">
        <f>CA219&amp;CC219&amp;CD219&amp;CE219&amp;CF219&amp;CG219&amp;CH219&amp;CI219&amp;CJ219&amp;CK219</f>
        <v/>
      </c>
      <c r="CA219" s="90">
        <f>IF(AND(E219&gt;0,AN219=""), "* No olvide digitar la variable Gestantes. Digite Cero si no tiene.",IF(AN219&gt;E219,"  * La  variable Gestantes No puede ser mayor al Total Mujeres.",""))</f>
        <v/>
      </c>
      <c r="CB219" s="124" t="n"/>
      <c r="CC219" s="90">
        <f>IF(AND(D219&gt;0,OR(AP219="")), "* No olvide digitar la variable Pueblos originarios - Hombres. Digite Cero si no tiene.",IF((AP219)&gt;D219,"  * La variable Pueblos originarios - Hombres No puede ser mayor al Total.",""))</f>
        <v/>
      </c>
      <c r="CD219" s="90">
        <f>IF(AND(E219&gt;0,OR(AQ219="")), "* No olvide digitar la variable Pueblos originarios - Mujeres. Digite Cero si no tiene.",IF((AQ219)&gt;E219,"  * La variable Pueblos originarios - Mujeres No puede ser mayor al Total.",""))</f>
        <v/>
      </c>
      <c r="CE219" s="90">
        <f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CF219" s="90">
        <f>IF(AND(C219&gt;0,AS219=""), "* No olvide digitar la variable Servicio Nacional Protección Especializada a la Niñez y Adolescencia. Digite Cero si no tiene.",IF(AS219&gt;C219,"  * La variable Servicio Nacional Protección Especializada a la Niñez y Adolescencia No puede ser mayor al Total.",""))</f>
        <v/>
      </c>
      <c r="CG219" s="90">
        <f>IF(AND(D219&gt;0,OR(AT219="")), "* No olvide digitar la variable Migrantes - Hombres. Digite Cero si no tiene.",IF((AT219)&gt;D219,"  * La variable Migrantes - Hombres No puede ser mayor al Total Hombres.",""))</f>
        <v/>
      </c>
      <c r="CH219" s="90">
        <f>IF(AND(E219&gt;0,OR(AU219="")), "* No olvide digitar la variable Migrantes - Mujeres. Digite Cero si no tiene.",IF((AU219)&gt;E219,"  * La variable Migrantes - Mujeres No puede ser mayor al Total.",""))</f>
        <v/>
      </c>
      <c r="CI219" s="90">
        <f>IF(AND(E219&gt;0,OR(AV219="")), "* No olvide digitar la variable Trans Masculino. Digite Cero si no tiene.",IF((AV219)&gt;E219,"  * La variable Trans Masculino No puede ser mayor al Total Mujeres.",""))</f>
        <v/>
      </c>
      <c r="CJ219" s="90">
        <f>IF(AND(D219&gt;0,OR(AW219="")), "* No olvide digitar la variable Trans Femenino. Digite Cero si no tiene.",IF((AW219)&gt;D219,"  * La variable Trans Femenino No puede ser mayor al Total Hombres.",""))</f>
        <v/>
      </c>
      <c r="CK219" s="90">
        <f>IF(AND($C219&gt;0,AX219=""), "* No olvide digitar la variable Adolescentes derivados de Espacios Amigables. Digite Cero si no tiene.",IF(AX219&gt;$C219,"  * La variable Adolescentes derivados de Espacios Amigables No puede ser mayor al Total.",""))</f>
        <v/>
      </c>
      <c r="CL219" s="5" t="n"/>
      <c r="CO219" s="29">
        <f>IF(AND(E219&gt;0,AN219=""),1,IF(AN219&gt;E219,1,0))</f>
        <v/>
      </c>
      <c r="CP219" s="195" t="n"/>
      <c r="CQ219" s="29">
        <f>IF(AND(D219&gt;0,OR(AP219="")),1,IF((AP219)&gt;D219,1,0))</f>
        <v/>
      </c>
      <c r="CR219" s="29">
        <f>IF(AND(E219&gt;0,OR(AQ219="")),1,IF((AQ219)&gt;E219,1,0))</f>
        <v/>
      </c>
      <c r="CS219" s="29">
        <f>IF(AND(C219&gt;0,AR219=""),1,IF(AR219&gt;C219,1,0))</f>
        <v/>
      </c>
      <c r="CT219" s="29">
        <f>IF(AND(C219&gt;0,AS219=""),1,IF(AS219&gt;C219,1,0))</f>
        <v/>
      </c>
      <c r="CU219" s="29">
        <f>IF(AND(D219&gt;0,OR(AT219="")),1,IF((AT219)&gt;D219,1,0))</f>
        <v/>
      </c>
      <c r="CV219" s="29">
        <f>IF(AND(E219&gt;0,OR(AU219="")),1,IF((AU219)&gt;E219,1,0))</f>
        <v/>
      </c>
      <c r="CW219" s="29">
        <f>IF(AND(E219&gt;0,OR(AV219="")),1,IF((AV219)&gt;E219,1,0))</f>
        <v/>
      </c>
      <c r="CX219" s="29">
        <f>IF(AND(D219&gt;0,OR(AW219="")),1,IF((AW219)&gt;D219,1,0))</f>
        <v/>
      </c>
      <c r="CY219" s="29">
        <f>IF(AND(C219&gt;0,AX219=""),1,IF(AX219&gt;C219,1,0))</f>
        <v/>
      </c>
    </row>
    <row r="220" ht="23.25" customHeight="1" s="8286">
      <c r="A220" s="9614" t="n"/>
      <c r="B220" s="7750" t="inlineStr">
        <is>
          <t>Trastorno de Ansiedad de Separación en la Infancia</t>
        </is>
      </c>
      <c r="C220" s="1283">
        <f>SUM(D220+E220)</f>
        <v/>
      </c>
      <c r="D220" s="2197">
        <f>SUM(F220+H220+J220+L220+N220)</f>
        <v/>
      </c>
      <c r="E220" s="7750">
        <f>SUM(G220+I220+K220+M220+O220)</f>
        <v/>
      </c>
      <c r="F220" s="1172" t="n"/>
      <c r="G220" s="1173" t="n"/>
      <c r="H220" s="1172" t="n"/>
      <c r="I220" s="1173" t="n"/>
      <c r="J220" s="1172" t="n"/>
      <c r="K220" s="1173" t="n"/>
      <c r="L220" s="1172" t="n"/>
      <c r="M220" s="1173" t="n"/>
      <c r="N220" s="1172" t="n"/>
      <c r="O220" s="1173" t="n"/>
      <c r="P220" s="651" t="n"/>
      <c r="Q220" s="40" t="n"/>
      <c r="R220" s="40" t="n"/>
      <c r="S220" s="40" t="n"/>
      <c r="T220" s="40" t="n"/>
      <c r="U220" s="40" t="n"/>
      <c r="V220" s="40" t="n"/>
      <c r="W220" s="40" t="n"/>
      <c r="X220" s="40" t="n"/>
      <c r="Y220" s="40" t="n"/>
      <c r="Z220" s="40" t="n"/>
      <c r="AA220" s="40" t="n"/>
      <c r="AB220" s="40" t="n"/>
      <c r="AC220" s="40" t="n"/>
      <c r="AD220" s="40" t="n"/>
      <c r="AE220" s="40" t="n"/>
      <c r="AF220" s="40" t="n"/>
      <c r="AG220" s="40" t="n"/>
      <c r="AH220" s="40" t="n"/>
      <c r="AI220" s="40" t="n"/>
      <c r="AJ220" s="40" t="n"/>
      <c r="AK220" s="40" t="n"/>
      <c r="AL220" s="40" t="n"/>
      <c r="AM220" s="41" t="n"/>
      <c r="AN220" s="5215" t="n">
        <v>0</v>
      </c>
      <c r="AO220" s="5384" t="n"/>
      <c r="AP220" s="3789" t="n">
        <v>0</v>
      </c>
      <c r="AQ220" s="1180" t="n">
        <v>0</v>
      </c>
      <c r="AR220" s="1179" t="n">
        <v>0</v>
      </c>
      <c r="AS220" s="1180" t="n">
        <v>0</v>
      </c>
      <c r="AT220" s="35" t="n">
        <v>0</v>
      </c>
      <c r="AU220" s="1183" t="n">
        <v>0</v>
      </c>
      <c r="AV220" s="35" t="n">
        <v>0</v>
      </c>
      <c r="AW220" s="1183" t="n">
        <v>0</v>
      </c>
      <c r="AX220" s="1180" t="n">
        <v>0</v>
      </c>
      <c r="AY220" s="5">
        <f>CA220&amp;CC220&amp;CD220&amp;CE220&amp;CF220&amp;CG220&amp;CH220&amp;CI220&amp;CJ220&amp;CK220</f>
        <v/>
      </c>
      <c r="CA220" s="90">
        <f>IF(AND(E220&gt;0,AN220=""), "* No olvide digitar la variable Gestantes. Digite Cero si no tiene.",IF(AN220&gt;E220,"  * La  variable Gestantes No puede ser mayor al Total Mujeres.",""))</f>
        <v/>
      </c>
      <c r="CB220" s="124" t="n"/>
      <c r="CC220" s="90">
        <f>IF(AND(D220&gt;0,OR(AP220="")), "* No olvide digitar la variable Pueblos originarios - Hombres. Digite Cero si no tiene.",IF((AP220)&gt;D220,"  * La variable Pueblos originarios - Hombres No puede ser mayor al Total.",""))</f>
        <v/>
      </c>
      <c r="CD220" s="90">
        <f>IF(AND(E220&gt;0,OR(AQ220="")), "* No olvide digitar la variable Pueblos originarios - Mujeres. Digite Cero si no tiene.",IF((AQ220)&gt;E220,"  * La variable Pueblos originarios - Mujeres No puede ser mayor al Total.",""))</f>
        <v/>
      </c>
      <c r="CE220" s="90">
        <f>IF(AND(C220&gt;0,AR220=""), "* No olvide digitar la variable Niños, niñas, adolescentes y jóvenes SENAME. Digite Cero si no tiene.",IF(AR220&gt;C220,"  * La variable Niños, niñas, adolescentes y jóvenes SENAME No puede ser mayor al Total.",""))</f>
        <v/>
      </c>
      <c r="CF220" s="90">
        <f>IF(AND(C220&gt;0,AS220=""), "* No olvide digitar la variable Servicio Nacional Protección Especializada a la Niñez y Adolescencia. Digite Cero si no tiene.",IF(AS220&gt;C220,"  * La variable Servicio Nacional Protección Especializada a la Niñez y Adolescencia No puede ser mayor al Total.",""))</f>
        <v/>
      </c>
      <c r="CG220" s="90">
        <f>IF(AND(D220&gt;0,OR(AT220="")), "* No olvide digitar la variable Migrantes - Hombres. Digite Cero si no tiene.",IF((AT220)&gt;D220,"  * La variable Migrantes - Hombres No puede ser mayor al Total Hombres.",""))</f>
        <v/>
      </c>
      <c r="CH220" s="90">
        <f>IF(AND(E220&gt;0,OR(AU220="")), "* No olvide digitar la variable Migrantes - Mujeres. Digite Cero si no tiene.",IF((AU220)&gt;E220,"  * La variable Migrantes - Mujeres No puede ser mayor al Total.",""))</f>
        <v/>
      </c>
      <c r="CI220" s="90">
        <f>IF(AND(E220&gt;0,OR(AV220="")), "* No olvide digitar la variable Trans Masculino. Digite Cero si no tiene.",IF((AV220)&gt;E220,"  * La variable Trans Masculino No puede ser mayor al Total Mujeres.",""))</f>
        <v/>
      </c>
      <c r="CJ220" s="90">
        <f>IF(AND(D220&gt;0,OR(AW220="")), "* No olvide digitar la variable Trans Femenino. Digite Cero si no tiene.",IF((AW220)&gt;D220,"  * La variable Trans Femenino No puede ser mayor al Total Hombres.",""))</f>
        <v/>
      </c>
      <c r="CK220" s="90">
        <f>IF(AND($C220&gt;0,AX220=""), "* No olvide digitar la variable Adolescentes derivados de Espacios Amigables. Digite Cero si no tiene.",IF(AX220&gt;$C220,"  * La variable Adolescentes derivados de Espacios Amigables No puede ser mayor al Total.",""))</f>
        <v/>
      </c>
      <c r="CL220" s="5" t="n"/>
      <c r="CO220" s="29">
        <f>IF(AND(E220&gt;0,AN220=""),1,IF(AN220&gt;E220,1,0))</f>
        <v/>
      </c>
      <c r="CP220" s="195" t="n"/>
      <c r="CQ220" s="29">
        <f>IF(AND(D220&gt;0,OR(AP220="")),1,IF((AP220)&gt;D220,1,0))</f>
        <v/>
      </c>
      <c r="CR220" s="29">
        <f>IF(AND(E220&gt;0,OR(AQ220="")),1,IF((AQ220)&gt;E220,1,0))</f>
        <v/>
      </c>
      <c r="CS220" s="29">
        <f>IF(AND(C220&gt;0,AR220=""),1,IF(AR220&gt;C220,1,0))</f>
        <v/>
      </c>
      <c r="CT220" s="29">
        <f>IF(AND(C220&gt;0,AS220=""),1,IF(AS220&gt;C220,1,0))</f>
        <v/>
      </c>
      <c r="CU220" s="29">
        <f>IF(AND(D220&gt;0,OR(AT220="")),1,IF((AT220)&gt;D220,1,0))</f>
        <v/>
      </c>
      <c r="CV220" s="29">
        <f>IF(AND(E220&gt;0,OR(AU220="")),1,IF((AU220)&gt;E220,1,0))</f>
        <v/>
      </c>
      <c r="CW220" s="29">
        <f>IF(AND(E220&gt;0,OR(AV220="")),1,IF((AV220)&gt;E220,1,0))</f>
        <v/>
      </c>
      <c r="CX220" s="29">
        <f>IF(AND(D220&gt;0,OR(AW220="")),1,IF((AW220)&gt;D220,1,0))</f>
        <v/>
      </c>
      <c r="CY220" s="29">
        <f>IF(AND(C220&gt;0,AX220=""),1,IF(AX220&gt;C220,1,0))</f>
        <v/>
      </c>
    </row>
    <row r="221" ht="36" customHeight="1" s="8286">
      <c r="A221" s="9610" t="n"/>
      <c r="B221" s="7752" t="inlineStr">
        <is>
          <t>Otros Trastornos del Comportamiento y de las Emociones de Comienzo Habitual en La Infancia y Adolescencia</t>
        </is>
      </c>
      <c r="C221" s="1352">
        <f>SUM(D221+E221)</f>
        <v/>
      </c>
      <c r="D221" s="1353">
        <f>SUM(F221+H221+J221+L221+N221)</f>
        <v/>
      </c>
      <c r="E221" s="7752">
        <f>SUM(G221+I221+K221+M221+O221)</f>
        <v/>
      </c>
      <c r="F221" s="1188" t="n"/>
      <c r="G221" s="1192" t="n"/>
      <c r="H221" s="1188" t="n">
        <v>1</v>
      </c>
      <c r="I221" s="1192" t="n">
        <v>3</v>
      </c>
      <c r="J221" s="1188" t="n"/>
      <c r="K221" s="1192" t="n"/>
      <c r="L221" s="1188" t="n"/>
      <c r="M221" s="1192" t="n"/>
      <c r="N221" s="1188" t="n"/>
      <c r="O221" s="1192" t="n"/>
      <c r="P221" s="2210" t="n"/>
      <c r="Q221" s="2211" t="n"/>
      <c r="R221" s="2211" t="n"/>
      <c r="S221" s="2211" t="n"/>
      <c r="T221" s="2211" t="n"/>
      <c r="U221" s="2211" t="n"/>
      <c r="V221" s="2211" t="n"/>
      <c r="W221" s="2211" t="n"/>
      <c r="X221" s="2211" t="n"/>
      <c r="Y221" s="2211" t="n"/>
      <c r="Z221" s="2211" t="n"/>
      <c r="AA221" s="2211" t="n"/>
      <c r="AB221" s="2211" t="n"/>
      <c r="AC221" s="2211" t="n"/>
      <c r="AD221" s="2211" t="n"/>
      <c r="AE221" s="2211" t="n"/>
      <c r="AF221" s="2211" t="n"/>
      <c r="AG221" s="2211" t="n"/>
      <c r="AH221" s="2211" t="n"/>
      <c r="AI221" s="2211" t="n"/>
      <c r="AJ221" s="2211" t="n"/>
      <c r="AK221" s="2211" t="n"/>
      <c r="AL221" s="2211" t="n"/>
      <c r="AM221" s="2212" t="n"/>
      <c r="AN221" s="5249" t="n">
        <v>0</v>
      </c>
      <c r="AO221" s="5385" t="n"/>
      <c r="AP221" s="1193" t="n">
        <v>0</v>
      </c>
      <c r="AQ221" s="1192" t="n">
        <v>0</v>
      </c>
      <c r="AR221" s="1188" t="n">
        <v>0</v>
      </c>
      <c r="AS221" s="1192" t="n">
        <v>0</v>
      </c>
      <c r="AT221" s="1227" t="n">
        <v>0</v>
      </c>
      <c r="AU221" s="1119" t="n">
        <v>0</v>
      </c>
      <c r="AV221" s="1227" t="n">
        <v>0</v>
      </c>
      <c r="AW221" s="1119" t="n">
        <v>0</v>
      </c>
      <c r="AX221" s="1192" t="n">
        <v>0</v>
      </c>
      <c r="AY221" s="5">
        <f>CA221&amp;CC221&amp;CD221&amp;CE221&amp;CF221&amp;CG221&amp;CH221&amp;CI221&amp;CJ221&amp;CK221</f>
        <v/>
      </c>
      <c r="CA221" s="90">
        <f>IF(AND(E221&gt;0,AN221=""), "* No olvide digitar la variable Gestantes. Digite Cero si no tiene.",IF(AN221&gt;E221,"  * La  variable Gestantes No puede ser mayor al Total Mujeres.",""))</f>
        <v/>
      </c>
      <c r="CB221" s="124" t="n"/>
      <c r="CC221" s="90">
        <f>IF(AND(D221&gt;0,OR(AP221="")), "* No olvide digitar la variable Pueblos originarios - Hombres. Digite Cero si no tiene.",IF((AP221)&gt;D221,"  * La variable Pueblos originarios - Hombres No puede ser mayor al Total.",""))</f>
        <v/>
      </c>
      <c r="CD221" s="90">
        <f>IF(AND(E221&gt;0,OR(AQ221="")), "* No olvide digitar la variable Pueblos originarios - Mujeres. Digite Cero si no tiene.",IF((AQ221)&gt;E221,"  * La variable Pueblos originarios - Mujeres No puede ser mayor al Total.",""))</f>
        <v/>
      </c>
      <c r="CE221" s="90">
        <f>IF(AND(C221&gt;0,AR221=""), "* No olvide digitar la variable Niños, niñas, adolescentes y jóvenes SENAME. Digite Cero si no tiene.",IF(AR221&gt;C221,"  * La variable Niños, niñas, adolescentes y jóvenes SENAME No puede ser mayor al Total.",""))</f>
        <v/>
      </c>
      <c r="CF221" s="90">
        <f>IF(AND(C221&gt;0,AS221=""), "* No olvide digitar la variable Servicio Nacional Protección Especializada a la Niñez y Adolescencia. Digite Cero si no tiene.",IF(AS221&gt;C221,"  * La variable Servicio Nacional Protección Especializada a la Niñez y Adolescencia No puede ser mayor al Total.",""))</f>
        <v/>
      </c>
      <c r="CG221" s="90">
        <f>IF(AND(D221&gt;0,OR(AT221="")), "* No olvide digitar la variable Migrantes - Hombres. Digite Cero si no tiene.",IF((AT221)&gt;D221,"  * La variable Migrantes - Hombres No puede ser mayor al Total Hombres.",""))</f>
        <v/>
      </c>
      <c r="CH221" s="90">
        <f>IF(AND(E221&gt;0,OR(AU221="")), "* No olvide digitar la variable Migrantes - Mujeres. Digite Cero si no tiene.",IF((AU221)&gt;E221,"  * La variable Migrantes - Mujeres No puede ser mayor al Total.",""))</f>
        <v/>
      </c>
      <c r="CI221" s="90">
        <f>IF(AND(E221&gt;0,OR(AV221="")), "* No olvide digitar la variable Trans Masculino. Digite Cero si no tiene.",IF((AV221)&gt;E221,"  * La variable Trans Masculino No puede ser mayor al Total Mujeres.",""))</f>
        <v/>
      </c>
      <c r="CJ221" s="90">
        <f>IF(AND(D221&gt;0,OR(AW221="")), "* No olvide digitar la variable Trans Femenino. Digite Cero si no tiene.",IF((AW221)&gt;D221,"  * La variable Trans Femenino No puede ser mayor al Total Hombres.",""))</f>
        <v/>
      </c>
      <c r="CK221" s="90">
        <f>IF(AND($C221&gt;0,AX221=""), "* No olvide digitar la variable Adolescentes derivados de Espacios Amigables. Digite Cero si no tiene.",IF(AX221&gt;$C221,"  * La variable Adolescentes derivados de Espacios Amigables No puede ser mayor al Total.",""))</f>
        <v/>
      </c>
      <c r="CL221" s="5" t="n"/>
      <c r="CO221" s="29">
        <f>IF(AND(E221&gt;0,AN221=""),1,IF(AN221&gt;E221,1,0))</f>
        <v/>
      </c>
      <c r="CP221" s="195" t="n"/>
      <c r="CQ221" s="29">
        <f>IF(AND(D221&gt;0,OR(AP221="")),1,IF((AP221)&gt;D221,1,0))</f>
        <v/>
      </c>
      <c r="CR221" s="29">
        <f>IF(AND(E221&gt;0,OR(AQ221="")),1,IF((AQ221)&gt;E221,1,0))</f>
        <v/>
      </c>
      <c r="CS221" s="29">
        <f>IF(AND(C221&gt;0,AR221=""),1,IF(AR221&gt;C221,1,0))</f>
        <v/>
      </c>
      <c r="CT221" s="29">
        <f>IF(AND(C221&gt;0,AS221=""),1,IF(AS221&gt;C221,1,0))</f>
        <v/>
      </c>
      <c r="CU221" s="29">
        <f>IF(AND(D221&gt;0,OR(AT221="")),1,IF((AT221)&gt;D221,1,0))</f>
        <v/>
      </c>
      <c r="CV221" s="29">
        <f>IF(AND(E221&gt;0,OR(AU221="")),1,IF((AU221)&gt;E221,1,0))</f>
        <v/>
      </c>
      <c r="CW221" s="29">
        <f>IF(AND(E221&gt;0,OR(AV221="")),1,IF((AV221)&gt;E221,1,0))</f>
        <v/>
      </c>
      <c r="CX221" s="29">
        <f>IF(AND(D221&gt;0,OR(AW221="")),1,IF((AW221)&gt;D221,1,0))</f>
        <v/>
      </c>
      <c r="CY221" s="29">
        <f>IF(AND(C221&gt;0,AX221=""),1,IF(AX221&gt;C221,1,0))</f>
        <v/>
      </c>
    </row>
    <row r="222" ht="15" customHeight="1" s="8286">
      <c r="A222" s="9933" t="inlineStr">
        <is>
          <t>Trastornos de Ansiedad</t>
        </is>
      </c>
      <c r="B222" s="2213" t="inlineStr">
        <is>
          <t>Trastorno de Estrés Post Traumático</t>
        </is>
      </c>
      <c r="C222" s="2181">
        <f>SUM(D222+E222)</f>
        <v/>
      </c>
      <c r="D222" s="797">
        <f>SUM(F222+H222+J222+L222+N222+P222+R222+T222+V222+X222+Z222+AB222+AD222+AF222+AH222+AJ222+AL222)</f>
        <v/>
      </c>
      <c r="E222" s="7833">
        <f>SUM(G222+I222+K222+M222+O222+Q222+S222+U222+W222+Y222+AA222+AC222+AE222+AG222+AI222+AK222+AM222)</f>
        <v/>
      </c>
      <c r="F222" s="1935" t="n"/>
      <c r="G222" s="1186" t="n"/>
      <c r="H222" s="1935" t="n"/>
      <c r="I222" s="1186" t="n"/>
      <c r="J222" s="1935" t="n"/>
      <c r="K222" s="1186" t="n"/>
      <c r="L222" s="1935" t="n"/>
      <c r="M222" s="1186" t="n"/>
      <c r="N222" s="1935" t="n"/>
      <c r="O222" s="1186" t="n"/>
      <c r="P222" s="1935" t="n"/>
      <c r="Q222" s="1186" t="n"/>
      <c r="R222" s="1935" t="n"/>
      <c r="S222" s="1186" t="n"/>
      <c r="T222" s="1935" t="n"/>
      <c r="U222" s="1186" t="n"/>
      <c r="V222" s="1935" t="n"/>
      <c r="W222" s="1186" t="n"/>
      <c r="X222" s="1935" t="n"/>
      <c r="Y222" s="1186" t="n"/>
      <c r="Z222" s="1935" t="n"/>
      <c r="AA222" s="1186" t="n"/>
      <c r="AB222" s="1935" t="n"/>
      <c r="AC222" s="1186" t="n"/>
      <c r="AD222" s="1935" t="n"/>
      <c r="AE222" s="1186" t="n"/>
      <c r="AF222" s="1935" t="n"/>
      <c r="AG222" s="1186" t="n"/>
      <c r="AH222" s="1935" t="n"/>
      <c r="AI222" s="1186" t="n"/>
      <c r="AJ222" s="1935" t="n"/>
      <c r="AK222" s="1186" t="n"/>
      <c r="AL222" s="1935" t="n"/>
      <c r="AM222" s="792" t="n"/>
      <c r="AN222" s="5214" t="n">
        <v>0</v>
      </c>
      <c r="AO222" s="5189" t="n">
        <v>0</v>
      </c>
      <c r="AP222" s="3503" t="n">
        <v>0</v>
      </c>
      <c r="AQ222" s="1186" t="n">
        <v>0</v>
      </c>
      <c r="AR222" s="1935" t="n">
        <v>0</v>
      </c>
      <c r="AS222" s="1186" t="n">
        <v>0</v>
      </c>
      <c r="AT222" s="36" t="n">
        <v>0</v>
      </c>
      <c r="AU222" s="755" t="n">
        <v>0</v>
      </c>
      <c r="AV222" s="2164" t="n">
        <v>0</v>
      </c>
      <c r="AW222" s="755" t="n">
        <v>0</v>
      </c>
      <c r="AX222" s="1186" t="n">
        <v>0</v>
      </c>
      <c r="AY222" s="5">
        <f>CA222&amp;CB222&amp;CC222&amp;CD222&amp;CE222&amp;CF222&amp;CG222&amp;CH222&amp;CI222&amp;CJ222&amp;CK222</f>
        <v/>
      </c>
      <c r="CA222" s="90">
        <f>IF(AND(E222&gt;0,AN222=""), "* No olvide digitar la variable Gestantes. Digite Cero si no tiene.",IF(AN222&gt;E222,"  * La  variable Gestantes No puede ser mayor al Total Mujeres.",""))</f>
        <v/>
      </c>
      <c r="CB222" s="90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>
        <f>IF(AND(D222&gt;0,OR(AP222="")), "* No olvide digitar la variable Pueblos originarios - Hombres. Digite Cero si no tiene.",IF((AP222)&gt;D222,"  * La variable Pueblos originarios - Hombres No puede ser mayor al Total.",""))</f>
        <v/>
      </c>
      <c r="CD222" s="90">
        <f>IF(AND(E222&gt;0,OR(AQ222="")), "* No olvide digitar la variable Pueblos originarios - Mujeres. Digite Cero si no tiene.",IF((AQ222)&gt;E222,"  * La variable Pueblos originarios - Mujeres No puede ser mayor al Total.",""))</f>
        <v/>
      </c>
      <c r="CE222" s="90">
        <f>IF(AND(C222&gt;0,AR222=""), "* No olvide digitar la variable Niños, niñas, adolescentes y jóvenes SENAME. Digite Cero si no tiene.",IF(AR222&gt;C222,"  * La variable Niños, niñas, adolescentes y jóvenes SENAME No puede ser mayor al Total.",""))</f>
        <v/>
      </c>
      <c r="CF222" s="90">
        <f>IF(AND(C222&gt;0,AS222=""), "* No olvide digitar la variable Servicio Nacional Protección Especializada a la Niñez y Adolescencia. Digite Cero si no tiene.",IF(AS222&gt;C222,"  * La variable Servicio Nacional Protección Especializada a la Niñez y Adolescencia No puede ser mayor al Total.",""))</f>
        <v/>
      </c>
      <c r="CG222" s="90">
        <f>IF(AND(D222&gt;0,OR(AT222="")), "* No olvide digitar la variable Migrantes - Hombres. Digite Cero si no tiene.",IF((AT222)&gt;D222,"  * La variable Migrantes - Hombres No puede ser mayor al Total Hombres.",""))</f>
        <v/>
      </c>
      <c r="CH222" s="90">
        <f>IF(AND(E222&gt;0,OR(AU222="")), "* No olvide digitar la variable Migrantes - Mujeres. Digite Cero si no tiene.",IF((AU222)&gt;E222,"  * La variable Migrantes - Mujeres No puede ser mayor al Total.",""))</f>
        <v/>
      </c>
      <c r="CI222" s="90">
        <f>IF(AND(E222&gt;0,OR(AV222="")), "* No olvide digitar la variable Trans Masculino. Digite Cero si no tiene.",IF((AV222)&gt;E222,"  * La variable Trans Masculino No puede ser mayor al Total Mujeres.",""))</f>
        <v/>
      </c>
      <c r="CJ222" s="90">
        <f>IF(AND(D222&gt;0,OR(AW222="")), "* No olvide digitar la variable Trans Femenino. Digite Cero si no tiene.",IF((AW222)&gt;D222,"  * La variable Trans Femenino No puede ser mayor al Total Hombres.",""))</f>
        <v/>
      </c>
      <c r="CK222" s="90">
        <f>IF(AND($C222&gt;0,AX222=""), "* No olvide digitar la variable Adolescentes derivados de Espacios Amigables. Digite Cero si no tiene.",IF(AX222&gt;$C222,"  * La variable Adolescentes derivados de Espacios Amigables No puede ser mayor al Total.",""))</f>
        <v/>
      </c>
      <c r="CL222" s="5" t="n"/>
      <c r="CO222" s="29">
        <f>IF(AND(E222&gt;0,AN222=""),1,IF(AN222&gt;E222,1,0))</f>
        <v/>
      </c>
      <c r="CP222" s="29">
        <f>IF(AND(E222&gt;0,AO222=""),1,IF(AO222&gt;E222,1,0))</f>
        <v/>
      </c>
      <c r="CQ222" s="29">
        <f>IF(AND(D222&gt;0,OR(AP222="")),1,IF((AP222)&gt;D222,1,0))</f>
        <v/>
      </c>
      <c r="CR222" s="29">
        <f>IF(AND(E222&gt;0,OR(AQ222="")),1,IF((AQ222)&gt;E222,1,0))</f>
        <v/>
      </c>
      <c r="CS222" s="29">
        <f>IF(AND(C222&gt;0,AR222=""),1,IF(AR222&gt;C222,1,0))</f>
        <v/>
      </c>
      <c r="CT222" s="29">
        <f>IF(AND(C222&gt;0,AS222=""),1,IF(AS222&gt;C222,1,0))</f>
        <v/>
      </c>
      <c r="CU222" s="29">
        <f>IF(AND(D222&gt;0,OR(AT222="")),1,IF((AT222)&gt;D222,1,0))</f>
        <v/>
      </c>
      <c r="CV222" s="29">
        <f>IF(AND(E222&gt;0,OR(AU222="")),1,IF((AU222)&gt;E222,1,0))</f>
        <v/>
      </c>
      <c r="CW222" s="29">
        <f>IF(AND(E222&gt;0,OR(AV222="")),1,IF((AV222)&gt;E222,1,0))</f>
        <v/>
      </c>
      <c r="CX222" s="29">
        <f>IF(AND(D222&gt;0,OR(AW222="")),1,IF((AW222)&gt;D222,1,0))</f>
        <v/>
      </c>
      <c r="CY222" s="29">
        <f>IF(AND(C222&gt;0,AX222=""),1,IF(AX222&gt;C222,1,0))</f>
        <v/>
      </c>
    </row>
    <row r="223" ht="15" customHeight="1" s="8286">
      <c r="A223" s="9614" t="n"/>
      <c r="B223" s="7832" t="inlineStr">
        <is>
          <t xml:space="preserve">Trastorno de Pánico  </t>
        </is>
      </c>
      <c r="C223" s="1283">
        <f>SUM(D223+E223)</f>
        <v/>
      </c>
      <c r="D223" s="2197">
        <f>SUM(F223+H223+J223+L223+N223+P223+R223+T223+V223+X223+Z223+AB223+AD223+AF223+AH223+AJ223+AL223)</f>
        <v/>
      </c>
      <c r="E223" s="7750">
        <f>SUM(G223+I223+K223+M223+O223+Q223+S223+U223+W223+Y223+AA223+AC223+AE223+AG223+AI223+AK223+AM223)</f>
        <v/>
      </c>
      <c r="F223" s="1172" t="n"/>
      <c r="G223" s="1173" t="n"/>
      <c r="H223" s="1172" t="n"/>
      <c r="I223" s="1173" t="n"/>
      <c r="J223" s="1172" t="n"/>
      <c r="K223" s="1173" t="n"/>
      <c r="L223" s="1172" t="n"/>
      <c r="M223" s="1173" t="n">
        <v>1</v>
      </c>
      <c r="N223" s="1172" t="n"/>
      <c r="O223" s="1173" t="n"/>
      <c r="P223" s="1172" t="n"/>
      <c r="Q223" s="1173" t="n"/>
      <c r="R223" s="1172" t="n"/>
      <c r="S223" s="1173" t="n"/>
      <c r="T223" s="1172" t="n"/>
      <c r="U223" s="1173" t="n"/>
      <c r="V223" s="1172" t="n"/>
      <c r="W223" s="1173" t="n"/>
      <c r="X223" s="1172" t="n"/>
      <c r="Y223" s="1173" t="n"/>
      <c r="Z223" s="1172" t="n"/>
      <c r="AA223" s="1173" t="n"/>
      <c r="AB223" s="1172" t="n"/>
      <c r="AC223" s="1173" t="n"/>
      <c r="AD223" s="1172" t="n"/>
      <c r="AE223" s="1173" t="n"/>
      <c r="AF223" s="1172" t="n"/>
      <c r="AG223" s="1173" t="n"/>
      <c r="AH223" s="1172" t="n"/>
      <c r="AI223" s="1173" t="n"/>
      <c r="AJ223" s="1172" t="n"/>
      <c r="AK223" s="1173" t="n"/>
      <c r="AL223" s="1172" t="n"/>
      <c r="AM223" s="1929" t="n"/>
      <c r="AN223" s="5215" t="n">
        <v>0</v>
      </c>
      <c r="AO223" s="3892" t="n">
        <v>0</v>
      </c>
      <c r="AP223" s="3789" t="n">
        <v>0</v>
      </c>
      <c r="AQ223" s="1173" t="n">
        <v>0</v>
      </c>
      <c r="AR223" s="1172" t="n">
        <v>0</v>
      </c>
      <c r="AS223" s="1173" t="n">
        <v>0</v>
      </c>
      <c r="AT223" s="1222" t="n">
        <v>0</v>
      </c>
      <c r="AU223" s="886" t="n">
        <v>0</v>
      </c>
      <c r="AV223" s="1175" t="n">
        <v>0</v>
      </c>
      <c r="AW223" s="886" t="n">
        <v>0</v>
      </c>
      <c r="AX223" s="1173" t="n">
        <v>0</v>
      </c>
      <c r="AY223" s="5">
        <f>CA223&amp;CB223&amp;CC223&amp;CD223&amp;CE223&amp;CF223&amp;CG223&amp;CH223&amp;CI223&amp;CJ223&amp;CK223</f>
        <v/>
      </c>
      <c r="CA223" s="90">
        <f>IF(AND(E223&gt;0,AN223=""), "* No olvide digitar la variable Gestantes. Digite Cero si no tiene.",IF(AN223&gt;E223,"  * La  variable Gestantes No puede ser mayor al Total Mujeres.",""))</f>
        <v/>
      </c>
      <c r="CB223" s="90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>
        <f>IF(AND(D223&gt;0,OR(AP223="")), "* No olvide digitar la variable Pueblos originarios - Hombres. Digite Cero si no tiene.",IF((AP223)&gt;D223,"  * La variable Pueblos originarios - Hombres No puede ser mayor al Total.",""))</f>
        <v/>
      </c>
      <c r="CD223" s="90">
        <f>IF(AND(E223&gt;0,OR(AQ223="")), "* No olvide digitar la variable Pueblos originarios - Mujeres. Digite Cero si no tiene.",IF((AQ223)&gt;E223,"  * La variable Pueblos originarios - Mujeres No puede ser mayor al Total.",""))</f>
        <v/>
      </c>
      <c r="CE223" s="90">
        <f>IF(AND(C223&gt;0,AR223=""), "* No olvide digitar la variable Niños, niñas, adolescentes y jóvenes SENAME. Digite Cero si no tiene.",IF(AR223&gt;C223,"  * La variable Niños, niñas, adolescentes y jóvenes SENAME No puede ser mayor al Total.",""))</f>
        <v/>
      </c>
      <c r="CF223" s="90">
        <f>IF(AND(C223&gt;0,AS223=""), "* No olvide digitar la variable Servicio Nacional Protección Especializada a la Niñez y Adolescencia. Digite Cero si no tiene.",IF(AS223&gt;C223,"  * La variable Servicio Nacional Protección Especializada a la Niñez y Adolescencia No puede ser mayor al Total.",""))</f>
        <v/>
      </c>
      <c r="CG223" s="90">
        <f>IF(AND(D223&gt;0,OR(AT223="")), "* No olvide digitar la variable Migrantes - Hombres. Digite Cero si no tiene.",IF((AT223)&gt;D223,"  * La variable Migrantes - Hombres No puede ser mayor al Total Hombres.",""))</f>
        <v/>
      </c>
      <c r="CH223" s="90">
        <f>IF(AND(E223&gt;0,OR(AU223="")), "* No olvide digitar la variable Migrantes - Mujeres. Digite Cero si no tiene.",IF((AU223)&gt;E223,"  * La variable Migrantes - Mujeres No puede ser mayor al Total.",""))</f>
        <v/>
      </c>
      <c r="CI223" s="90">
        <f>IF(AND(E223&gt;0,OR(AV223="")), "* No olvide digitar la variable Trans Masculino. Digite Cero si no tiene.",IF((AV223)&gt;E223,"  * La variable Trans Masculino No puede ser mayor al Total Mujeres.",""))</f>
        <v/>
      </c>
      <c r="CJ223" s="90">
        <f>IF(AND(D223&gt;0,OR(AW223="")), "* No olvide digitar la variable Trans Femenino. Digite Cero si no tiene.",IF((AW223)&gt;D223,"  * La variable Trans Femenino No puede ser mayor al Total Hombres.",""))</f>
        <v/>
      </c>
      <c r="CK223" s="90">
        <f>IF(AND($C223&gt;0,AX223=""), "* No olvide digitar la variable Adolescentes derivados de Espacios Amigables. Digite Cero si no tiene.",IF(AX223&gt;$C223,"  * La variable Adolescentes derivados de Espacios Amigables No puede ser mayor al Total.",""))</f>
        <v/>
      </c>
      <c r="CL223" s="5" t="n"/>
      <c r="CO223" s="29">
        <f>IF(AND(E223&gt;0,AN223=""),1,IF(AN223&gt;E223,1,0))</f>
        <v/>
      </c>
      <c r="CP223" s="29">
        <f>IF(AND(E223&gt;0,AO223=""),1,IF(AO223&gt;E223,1,0))</f>
        <v/>
      </c>
      <c r="CQ223" s="29">
        <f>IF(AND(D223&gt;0,OR(AP223="")),1,IF((AP223)&gt;D223,1,0))</f>
        <v/>
      </c>
      <c r="CR223" s="29">
        <f>IF(AND(E223&gt;0,OR(AQ223="")),1,IF((AQ223)&gt;E223,1,0))</f>
        <v/>
      </c>
      <c r="CS223" s="29">
        <f>IF(AND(C223&gt;0,AR223=""),1,IF(AR223&gt;C223,1,0))</f>
        <v/>
      </c>
      <c r="CT223" s="29">
        <f>IF(AND(C223&gt;0,AS223=""),1,IF(AS223&gt;C223,1,0))</f>
        <v/>
      </c>
      <c r="CU223" s="29">
        <f>IF(AND(D223&gt;0,OR(AT223="")),1,IF((AT223)&gt;D223,1,0))</f>
        <v/>
      </c>
      <c r="CV223" s="29">
        <f>IF(AND(E223&gt;0,OR(AU223="")),1,IF((AU223)&gt;E223,1,0))</f>
        <v/>
      </c>
      <c r="CW223" s="29">
        <f>IF(AND(E223&gt;0,OR(AV223="")),1,IF((AV223)&gt;E223,1,0))</f>
        <v/>
      </c>
      <c r="CX223" s="29">
        <f>IF(AND(D223&gt;0,OR(AW223="")),1,IF((AW223)&gt;D223,1,0))</f>
        <v/>
      </c>
      <c r="CY223" s="29">
        <f>IF(AND(C223&gt;0,AX223=""),1,IF(AX223&gt;C223,1,0))</f>
        <v/>
      </c>
    </row>
    <row r="224" ht="15" customHeight="1" s="8286">
      <c r="A224" s="9614" t="n"/>
      <c r="B224" s="2198" t="inlineStr">
        <is>
          <t>Fobias Sociales</t>
        </is>
      </c>
      <c r="C224" s="1283">
        <f>SUM(D224+E224)</f>
        <v/>
      </c>
      <c r="D224" s="2197">
        <f>SUM(F224+H224+J224+L224+N224+P224+R224+T224+V224+X224+Z224+AB224+AD224+AF224+AH224+AJ224+AL224)</f>
        <v/>
      </c>
      <c r="E224" s="7750">
        <f>SUM(G224+I224+K224+M224+O224+Q224+S224+U224+W224+Y224+AA224+AC224+AE224+AG224+AI224+AK224+AM224)</f>
        <v/>
      </c>
      <c r="F224" s="1172" t="n"/>
      <c r="G224" s="1173" t="n"/>
      <c r="H224" s="1172" t="n"/>
      <c r="I224" s="1173" t="n"/>
      <c r="J224" s="1172" t="n"/>
      <c r="K224" s="1173" t="n"/>
      <c r="L224" s="1172" t="n"/>
      <c r="M224" s="1173" t="n"/>
      <c r="N224" s="1172" t="n"/>
      <c r="O224" s="1173" t="n"/>
      <c r="P224" s="1172" t="n"/>
      <c r="Q224" s="1173" t="n"/>
      <c r="R224" s="1172" t="n"/>
      <c r="S224" s="1173" t="n"/>
      <c r="T224" s="1172" t="n"/>
      <c r="U224" s="1173" t="n"/>
      <c r="V224" s="1172" t="n"/>
      <c r="W224" s="1173" t="n"/>
      <c r="X224" s="1172" t="n"/>
      <c r="Y224" s="1173" t="n"/>
      <c r="Z224" s="1172" t="n"/>
      <c r="AA224" s="1173" t="n"/>
      <c r="AB224" s="1172" t="n"/>
      <c r="AC224" s="1173" t="n"/>
      <c r="AD224" s="1172" t="n"/>
      <c r="AE224" s="1173" t="n"/>
      <c r="AF224" s="1172" t="n"/>
      <c r="AG224" s="1173" t="n"/>
      <c r="AH224" s="1172" t="n"/>
      <c r="AI224" s="1173" t="n"/>
      <c r="AJ224" s="1172" t="n"/>
      <c r="AK224" s="1173" t="n"/>
      <c r="AL224" s="1172" t="n"/>
      <c r="AM224" s="1929" t="n"/>
      <c r="AN224" s="5215" t="n">
        <v>0</v>
      </c>
      <c r="AO224" s="3892" t="n">
        <v>0</v>
      </c>
      <c r="AP224" s="3789" t="n">
        <v>0</v>
      </c>
      <c r="AQ224" s="1173" t="n">
        <v>0</v>
      </c>
      <c r="AR224" s="1172" t="n">
        <v>0</v>
      </c>
      <c r="AS224" s="1173" t="n">
        <v>0</v>
      </c>
      <c r="AT224" s="1222" t="n">
        <v>0</v>
      </c>
      <c r="AU224" s="886" t="n">
        <v>0</v>
      </c>
      <c r="AV224" s="1175" t="n">
        <v>0</v>
      </c>
      <c r="AW224" s="886" t="n">
        <v>0</v>
      </c>
      <c r="AX224" s="1173" t="n">
        <v>0</v>
      </c>
      <c r="AY224" s="5">
        <f>CA224&amp;CB224&amp;CC224&amp;CD224&amp;CE224&amp;CF224&amp;CG224&amp;CH224&amp;CI224&amp;CJ224&amp;CK224</f>
        <v/>
      </c>
      <c r="CA224" s="90">
        <f>IF(AND(E224&gt;0,AN224=""), "* No olvide digitar la variable Gestantes. Digite Cero si no tiene.",IF(AN224&gt;E224,"  * La  variable Gestantes No puede ser mayor al Total Mujeres.",""))</f>
        <v/>
      </c>
      <c r="CB224" s="90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>
        <f>IF(AND(D224&gt;0,OR(AP224="")), "* No olvide digitar la variable Pueblos originarios - Hombres. Digite Cero si no tiene.",IF((AP224)&gt;D224,"  * La variable Pueblos originarios - Hombres No puede ser mayor al Total.",""))</f>
        <v/>
      </c>
      <c r="CD224" s="90">
        <f>IF(AND(E224&gt;0,OR(AQ224="")), "* No olvide digitar la variable Pueblos originarios - Mujeres. Digite Cero si no tiene.",IF((AQ224)&gt;E224,"  * La variable Pueblos originarios - Mujeres No puede ser mayor al Total.",""))</f>
        <v/>
      </c>
      <c r="CE224" s="90">
        <f>IF(AND(C224&gt;0,AR224=""), "* No olvide digitar la variable Niños, niñas, adolescentes y jóvenes SENAME. Digite Cero si no tiene.",IF(AR224&gt;C224,"  * La variable Niños, niñas, adolescentes y jóvenes SENAME No puede ser mayor al Total.",""))</f>
        <v/>
      </c>
      <c r="CF224" s="90">
        <f>IF(AND(C224&gt;0,AS224=""), "* No olvide digitar la variable Servicio Nacional Protección Especializada a la Niñez y Adolescencia. Digite Cero si no tiene.",IF(AS224&gt;C224,"  * La variable Servicio Nacional Protección Especializada a la Niñez y Adolescencia No puede ser mayor al Total.",""))</f>
        <v/>
      </c>
      <c r="CG224" s="90">
        <f>IF(AND(D224&gt;0,OR(AT224="")), "* No olvide digitar la variable Migrantes - Hombres. Digite Cero si no tiene.",IF((AT224)&gt;D224,"  * La variable Migrantes - Hombres No puede ser mayor al Total Hombres.",""))</f>
        <v/>
      </c>
      <c r="CH224" s="90">
        <f>IF(AND(E224&gt;0,OR(AU224="")), "* No olvide digitar la variable Migrantes - Mujeres. Digite Cero si no tiene.",IF((AU224)&gt;E224,"  * La variable Migrantes - Mujeres No puede ser mayor al Total.",""))</f>
        <v/>
      </c>
      <c r="CI224" s="90">
        <f>IF(AND(E224&gt;0,OR(AV224="")), "* No olvide digitar la variable Trans Masculino. Digite Cero si no tiene.",IF((AV224)&gt;E224,"  * La variable Trans Masculino No puede ser mayor al Total Mujeres.",""))</f>
        <v/>
      </c>
      <c r="CJ224" s="90">
        <f>IF(AND(D224&gt;0,OR(AW224="")), "* No olvide digitar la variable Trans Femenino. Digite Cero si no tiene.",IF((AW224)&gt;D224,"  * La variable Trans Femenino No puede ser mayor al Total Hombres.",""))</f>
        <v/>
      </c>
      <c r="CK224" s="90">
        <f>IF(AND($C224&gt;0,AX224=""), "* No olvide digitar la variable Adolescentes derivados de Espacios Amigables. Digite Cero si no tiene.",IF(AX224&gt;$C224,"  * La variable Adolescentes derivados de Espacios Amigables No puede ser mayor al Total.",""))</f>
        <v/>
      </c>
      <c r="CL224" s="5" t="n"/>
      <c r="CO224" s="29">
        <f>IF(AND(E224&gt;0,AN224=""),1,IF(AN224&gt;E224,1,0))</f>
        <v/>
      </c>
      <c r="CP224" s="29">
        <f>IF(AND(E224&gt;0,AO224=""),1,IF(AO224&gt;E224,1,0))</f>
        <v/>
      </c>
      <c r="CQ224" s="29">
        <f>IF(AND(D224&gt;0,OR(AP224="")),1,IF((AP224)&gt;D224,1,0))</f>
        <v/>
      </c>
      <c r="CR224" s="29">
        <f>IF(AND(E224&gt;0,OR(AQ224="")),1,IF((AQ224)&gt;E224,1,0))</f>
        <v/>
      </c>
      <c r="CS224" s="29">
        <f>IF(AND(C224&gt;0,AR224=""),1,IF(AR224&gt;C224,1,0))</f>
        <v/>
      </c>
      <c r="CT224" s="29">
        <f>IF(AND(C224&gt;0,AS224=""),1,IF(AS224&gt;C224,1,0))</f>
        <v/>
      </c>
      <c r="CU224" s="29">
        <f>IF(AND(D224&gt;0,OR(AT224="")),1,IF((AT224)&gt;D224,1,0))</f>
        <v/>
      </c>
      <c r="CV224" s="29">
        <f>IF(AND(E224&gt;0,OR(AU224="")),1,IF((AU224)&gt;E224,1,0))</f>
        <v/>
      </c>
      <c r="CW224" s="29">
        <f>IF(AND(E224&gt;0,OR(AV224="")),1,IF((AV224)&gt;E224,1,0))</f>
        <v/>
      </c>
      <c r="CX224" s="29">
        <f>IF(AND(D224&gt;0,OR(AW224="")),1,IF((AW224)&gt;D224,1,0))</f>
        <v/>
      </c>
      <c r="CY224" s="29">
        <f>IF(AND(C224&gt;0,AX224=""),1,IF(AX224&gt;C224,1,0))</f>
        <v/>
      </c>
    </row>
    <row r="225" ht="15" customHeight="1" s="8286">
      <c r="A225" s="9614" t="n"/>
      <c r="B225" s="2198" t="inlineStr">
        <is>
          <t>Trastornos de Ansiedad Generalizada</t>
        </is>
      </c>
      <c r="C225" s="1283">
        <f>SUM(D225+E225)</f>
        <v/>
      </c>
      <c r="D225" s="2197">
        <f>SUM(F225+H225+J225+L225+N225+P225+R225+T225+V225+X225+Z225+AB225+AD225+AF225+AH225+AJ225+AL225)</f>
        <v/>
      </c>
      <c r="E225" s="7750">
        <f>SUM(G225+I225+K225+M225+O225+Q225+S225+U225+W225+Y225+AA225+AC225+AE225+AG225+AI225+AK225+AM225)</f>
        <v/>
      </c>
      <c r="F225" s="1172" t="n"/>
      <c r="G225" s="1173" t="n"/>
      <c r="H225" s="1172" t="n"/>
      <c r="I225" s="1173" t="n"/>
      <c r="J225" s="1172" t="n"/>
      <c r="K225" s="1173" t="n"/>
      <c r="L225" s="1172" t="n"/>
      <c r="M225" s="1173" t="n"/>
      <c r="N225" s="1172" t="n"/>
      <c r="O225" s="1173" t="n"/>
      <c r="P225" s="1172" t="n"/>
      <c r="Q225" s="1173" t="n"/>
      <c r="R225" s="1172" t="n"/>
      <c r="S225" s="1173" t="n"/>
      <c r="T225" s="1172" t="n"/>
      <c r="U225" s="1173" t="n"/>
      <c r="V225" s="1172" t="n"/>
      <c r="W225" s="1173" t="n"/>
      <c r="X225" s="1172" t="n"/>
      <c r="Y225" s="1173" t="n"/>
      <c r="Z225" s="1172" t="n"/>
      <c r="AA225" s="1173" t="n"/>
      <c r="AB225" s="1172" t="n"/>
      <c r="AC225" s="1173" t="n"/>
      <c r="AD225" s="1172" t="n"/>
      <c r="AE225" s="1173" t="n"/>
      <c r="AF225" s="1172" t="n"/>
      <c r="AG225" s="1173" t="n"/>
      <c r="AH225" s="1172" t="n"/>
      <c r="AI225" s="1173" t="n"/>
      <c r="AJ225" s="1172" t="n"/>
      <c r="AK225" s="1173" t="n"/>
      <c r="AL225" s="1172" t="n"/>
      <c r="AM225" s="1929" t="n"/>
      <c r="AN225" s="5215" t="n">
        <v>0</v>
      </c>
      <c r="AO225" s="3892" t="n">
        <v>0</v>
      </c>
      <c r="AP225" s="3789" t="n">
        <v>0</v>
      </c>
      <c r="AQ225" s="1173" t="n">
        <v>0</v>
      </c>
      <c r="AR225" s="1172" t="n">
        <v>0</v>
      </c>
      <c r="AS225" s="1173" t="n">
        <v>0</v>
      </c>
      <c r="AT225" s="1222" t="n">
        <v>0</v>
      </c>
      <c r="AU225" s="886" t="n">
        <v>0</v>
      </c>
      <c r="AV225" s="1175" t="n">
        <v>0</v>
      </c>
      <c r="AW225" s="886" t="n">
        <v>0</v>
      </c>
      <c r="AX225" s="1173" t="n">
        <v>0</v>
      </c>
      <c r="AY225" s="5">
        <f>CA225&amp;CB225&amp;CC225&amp;CD225&amp;CE225&amp;CF225&amp;CG225&amp;CH225&amp;CI225&amp;CJ225&amp;CK225</f>
        <v/>
      </c>
      <c r="CA225" s="90">
        <f>IF(AND(E225&gt;0,AN225=""), "* No olvide digitar la variable Gestantes. Digite Cero si no tiene.",IF(AN225&gt;E225,"  * La  variable Gestantes No puede ser mayor al Total Mujeres.",""))</f>
        <v/>
      </c>
      <c r="CB225" s="90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>
        <f>IF(AND(D225&gt;0,OR(AP225="")), "* No olvide digitar la variable Pueblos originarios - Hombres. Digite Cero si no tiene.",IF((AP225)&gt;D225,"  * La variable Pueblos originarios - Hombres No puede ser mayor al Total.",""))</f>
        <v/>
      </c>
      <c r="CD225" s="90">
        <f>IF(AND(E225&gt;0,OR(AQ225="")), "* No olvide digitar la variable Pueblos originarios - Mujeres. Digite Cero si no tiene.",IF((AQ225)&gt;E225,"  * La variable Pueblos originarios - Mujeres No puede ser mayor al Total.",""))</f>
        <v/>
      </c>
      <c r="CE225" s="90">
        <f>IF(AND(C225&gt;0,AR225=""), "* No olvide digitar la variable Niños, niñas, adolescentes y jóvenes SENAME. Digite Cero si no tiene.",IF(AR225&gt;C225,"  * La variable Niños, niñas, adolescentes y jóvenes SENAME No puede ser mayor al Total.",""))</f>
        <v/>
      </c>
      <c r="CF225" s="90">
        <f>IF(AND(C225&gt;0,AS225=""), "* No olvide digitar la variable Servicio Nacional Protección Especializada a la Niñez y Adolescencia. Digite Cero si no tiene.",IF(AS225&gt;C225,"  * La variable Servicio Nacional Protección Especializada a la Niñez y Adolescencia No puede ser mayor al Total.",""))</f>
        <v/>
      </c>
      <c r="CG225" s="90">
        <f>IF(AND(D225&gt;0,OR(AT225="")), "* No olvide digitar la variable Migrantes - Hombres. Digite Cero si no tiene.",IF((AT225)&gt;D225,"  * La variable Migrantes - Hombres No puede ser mayor al Total Hombres.",""))</f>
        <v/>
      </c>
      <c r="CH225" s="90">
        <f>IF(AND(E225&gt;0,OR(AU225="")), "* No olvide digitar la variable Migrantes - Mujeres. Digite Cero si no tiene.",IF((AU225)&gt;E225,"  * La variable Migrantes - Mujeres No puede ser mayor al Total.",""))</f>
        <v/>
      </c>
      <c r="CI225" s="90">
        <f>IF(AND(E225&gt;0,OR(AV225="")), "* No olvide digitar la variable Trans Masculino. Digite Cero si no tiene.",IF((AV225)&gt;E225,"  * La variable Trans Masculino No puede ser mayor al Total Mujeres.",""))</f>
        <v/>
      </c>
      <c r="CJ225" s="90">
        <f>IF(AND(D225&gt;0,OR(AW225="")), "* No olvide digitar la variable Trans Femenino. Digite Cero si no tiene.",IF((AW225)&gt;D225,"  * La variable Trans Femenino No puede ser mayor al Total Hombres.",""))</f>
        <v/>
      </c>
      <c r="CK225" s="90">
        <f>IF(AND($C225&gt;0,AX225=""), "* No olvide digitar la variable Adolescentes derivados de Espacios Amigables. Digite Cero si no tiene.",IF(AX225&gt;$C225,"  * La variable Adolescentes derivados de Espacios Amigables No puede ser mayor al Total.",""))</f>
        <v/>
      </c>
      <c r="CL225" s="5" t="n"/>
      <c r="CO225" s="29">
        <f>IF(AND(E225&gt;0,AN225=""),1,IF(AN225&gt;E225,1,0))</f>
        <v/>
      </c>
      <c r="CP225" s="29">
        <f>IF(AND(E225&gt;0,AO225=""),1,IF(AO225&gt;E225,1,0))</f>
        <v/>
      </c>
      <c r="CQ225" s="29">
        <f>IF(AND(D225&gt;0,OR(AP225="")),1,IF((AP225)&gt;D225,1,0))</f>
        <v/>
      </c>
      <c r="CR225" s="29">
        <f>IF(AND(E225&gt;0,OR(AQ225="")),1,IF((AQ225)&gt;E225,1,0))</f>
        <v/>
      </c>
      <c r="CS225" s="29">
        <f>IF(AND(C225&gt;0,AR225=""),1,IF(AR225&gt;C225,1,0))</f>
        <v/>
      </c>
      <c r="CT225" s="29">
        <f>IF(AND(C225&gt;0,AS225=""),1,IF(AS225&gt;C225,1,0))</f>
        <v/>
      </c>
      <c r="CU225" s="29">
        <f>IF(AND(D225&gt;0,OR(AT225="")),1,IF((AT225)&gt;D225,1,0))</f>
        <v/>
      </c>
      <c r="CV225" s="29">
        <f>IF(AND(E225&gt;0,OR(AU225="")),1,IF((AU225)&gt;E225,1,0))</f>
        <v/>
      </c>
      <c r="CW225" s="29">
        <f>IF(AND(E225&gt;0,OR(AV225="")),1,IF((AV225)&gt;E225,1,0))</f>
        <v/>
      </c>
      <c r="CX225" s="29">
        <f>IF(AND(D225&gt;0,OR(AW225="")),1,IF((AW225)&gt;D225,1,0))</f>
        <v/>
      </c>
      <c r="CY225" s="29">
        <f>IF(AND(C225&gt;0,AX225=""),1,IF(AX225&gt;C225,1,0))</f>
        <v/>
      </c>
    </row>
    <row r="226" ht="15" customHeight="1" s="8286">
      <c r="A226" s="9610" t="n"/>
      <c r="B226" s="2215" t="inlineStr">
        <is>
          <t>Otros Trastornos de Ansiedad</t>
        </is>
      </c>
      <c r="C226" s="649">
        <f>SUM(D226+E226)</f>
        <v/>
      </c>
      <c r="D226" s="147">
        <f>SUM(F226+H226+J226+L226+N226+P226+R226+T226+V226+X226+Z226+AB226+AD226+AF226+AH226+AJ226+AL226)</f>
        <v/>
      </c>
      <c r="E226" s="2171">
        <f>SUM(G226+I226+K226+M226+O226+Q226+S226+U226+W226+Y226+AA226+AC226+AE226+AG226+AI226+AK226+AM226)</f>
        <v/>
      </c>
      <c r="F226" s="1172" t="n"/>
      <c r="G226" s="1173" t="n"/>
      <c r="H226" s="1172" t="n"/>
      <c r="I226" s="1173" t="n"/>
      <c r="J226" s="1172" t="n"/>
      <c r="K226" s="1173" t="n">
        <v>1</v>
      </c>
      <c r="L226" s="1172" t="n"/>
      <c r="M226" s="1173" t="n">
        <v>1</v>
      </c>
      <c r="N226" s="1172" t="n"/>
      <c r="O226" s="1173" t="n"/>
      <c r="P226" s="1172" t="n"/>
      <c r="Q226" s="1173" t="n"/>
      <c r="R226" s="1172" t="n"/>
      <c r="S226" s="1173" t="n">
        <v>1</v>
      </c>
      <c r="T226" s="1172" t="n"/>
      <c r="U226" s="1173" t="n"/>
      <c r="V226" s="1172" t="n"/>
      <c r="W226" s="1173" t="n"/>
      <c r="X226" s="1172" t="n">
        <v>1</v>
      </c>
      <c r="Y226" s="1173" t="n"/>
      <c r="Z226" s="1172" t="n"/>
      <c r="AA226" s="1173" t="n"/>
      <c r="AB226" s="1172" t="n"/>
      <c r="AC226" s="1173" t="n">
        <v>2</v>
      </c>
      <c r="AD226" s="1172" t="n"/>
      <c r="AE226" s="1173" t="n"/>
      <c r="AF226" s="1172" t="n"/>
      <c r="AG226" s="1173" t="n"/>
      <c r="AH226" s="1172" t="n"/>
      <c r="AI226" s="1173" t="n"/>
      <c r="AJ226" s="1172" t="n"/>
      <c r="AK226" s="1173" t="n"/>
      <c r="AL226" s="1188" t="n"/>
      <c r="AM226" s="1224" t="n"/>
      <c r="AN226" s="5249" t="n">
        <v>0</v>
      </c>
      <c r="AO226" s="1223" t="n">
        <v>0</v>
      </c>
      <c r="AP226" s="1193" t="n">
        <v>0</v>
      </c>
      <c r="AQ226" s="1192" t="n">
        <v>0</v>
      </c>
      <c r="AR226" s="1188" t="n">
        <v>0</v>
      </c>
      <c r="AS226" s="1192" t="n">
        <v>0</v>
      </c>
      <c r="AT226" s="1227" t="n">
        <v>0</v>
      </c>
      <c r="AU226" s="1119" t="n">
        <v>0</v>
      </c>
      <c r="AV226" s="1195" t="n">
        <v>0</v>
      </c>
      <c r="AW226" s="1119" t="n">
        <v>0</v>
      </c>
      <c r="AX226" s="1192" t="n">
        <v>0</v>
      </c>
      <c r="AY226" s="5">
        <f>CA226&amp;CB226&amp;CC226&amp;CD226&amp;CE226&amp;CF226&amp;CG226&amp;CH226&amp;CI226&amp;CJ226&amp;CK226</f>
        <v/>
      </c>
      <c r="CA226" s="90">
        <f>IF(AND(E226&gt;0,AN226=""), "* No olvide digitar la variable Gestantes. Digite Cero si no tiene.",IF(AN226&gt;E226,"  * La  variable Gestantes No puede ser mayor al Total Mujeres.",""))</f>
        <v/>
      </c>
      <c r="CB226" s="90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>
        <f>IF(AND(D226&gt;0,OR(AP226="")), "* No olvide digitar la variable Pueblos originarios - Hombres. Digite Cero si no tiene.",IF((AP226)&gt;D226,"  * La variable Pueblos originarios - Hombres No puede ser mayor al Total.",""))</f>
        <v/>
      </c>
      <c r="CD226" s="90">
        <f>IF(AND(E226&gt;0,OR(AQ226="")), "* No olvide digitar la variable Pueblos originarios - Mujeres. Digite Cero si no tiene.",IF((AQ226)&gt;E226,"  * La variable Pueblos originarios - Mujeres No puede ser mayor al Total.",""))</f>
        <v/>
      </c>
      <c r="CE226" s="90">
        <f>IF(AND(C226&gt;0,AR226=""), "* No olvide digitar la variable Niños, niñas, adolescentes y jóvenes SENAME. Digite Cero si no tiene.",IF(AR226&gt;C226,"  * La variable Niños, niñas, adolescentes y jóvenes SENAME No puede ser mayor al Total.",""))</f>
        <v/>
      </c>
      <c r="CF226" s="90">
        <f>IF(AND(C226&gt;0,AS226=""), "* No olvide digitar la variable Servicio Nacional Protección Especializada a la Niñez y Adolescencia. Digite Cero si no tiene.",IF(AS226&gt;C226,"  * La variable Servicio Nacional Protección Especializada a la Niñez y Adolescencia No puede ser mayor al Total.",""))</f>
        <v/>
      </c>
      <c r="CG226" s="90">
        <f>IF(AND(D226&gt;0,OR(AT226="")), "* No olvide digitar la variable Migrantes - Hombres. Digite Cero si no tiene.",IF((AT226)&gt;D226,"  * La variable Migrantes - Hombres No puede ser mayor al Total Hombres.",""))</f>
        <v/>
      </c>
      <c r="CH226" s="90">
        <f>IF(AND(E226&gt;0,OR(AU226="")), "* No olvide digitar la variable Migrantes - Mujeres. Digite Cero si no tiene.",IF((AU226)&gt;E226,"  * La variable Migrantes - Mujeres No puede ser mayor al Total.",""))</f>
        <v/>
      </c>
      <c r="CI226" s="90">
        <f>IF(AND(E226&gt;0,OR(AV226="")), "* No olvide digitar la variable Trans Masculino. Digite Cero si no tiene.",IF((AV226)&gt;E226,"  * La variable Trans Masculino No puede ser mayor al Total Mujeres.",""))</f>
        <v/>
      </c>
      <c r="CJ226" s="90">
        <f>IF(AND(D226&gt;0,OR(AW226="")), "* No olvide digitar la variable Trans Femenino. Digite Cero si no tiene.",IF((AW226)&gt;D226,"  * La variable Trans Femenino No puede ser mayor al Total Hombres.",""))</f>
        <v/>
      </c>
      <c r="CK226" s="90">
        <f>IF(AND($C226&gt;0,AX226=""), "* No olvide digitar la variable Adolescentes derivados de Espacios Amigables. Digite Cero si no tiene.",IF(AX226&gt;$C226,"  * La variable Adolescentes derivados de Espacios Amigables No puede ser mayor al Total.",""))</f>
        <v/>
      </c>
      <c r="CL226" s="5" t="n"/>
      <c r="CO226" s="29">
        <f>IF(AND(E226&gt;0,AN226=""),1,IF(AN226&gt;E226,1,0))</f>
        <v/>
      </c>
      <c r="CP226" s="29">
        <f>IF(AND(E226&gt;0,AO226=""),1,IF(AO226&gt;E226,1,0))</f>
        <v/>
      </c>
      <c r="CQ226" s="29">
        <f>IF(AND(D226&gt;0,OR(AP226="")),1,IF((AP226)&gt;D226,1,0))</f>
        <v/>
      </c>
      <c r="CR226" s="29">
        <f>IF(AND(E226&gt;0,OR(AQ226="")),1,IF((AQ226)&gt;E226,1,0))</f>
        <v/>
      </c>
      <c r="CS226" s="29">
        <f>IF(AND(C226&gt;0,AR226=""),1,IF(AR226&gt;C226,1,0))</f>
        <v/>
      </c>
      <c r="CT226" s="29">
        <f>IF(AND(C226&gt;0,AS226=""),1,IF(AS226&gt;C226,1,0))</f>
        <v/>
      </c>
      <c r="CU226" s="29">
        <f>IF(AND(D226&gt;0,OR(AT226="")),1,IF((AT226)&gt;D226,1,0))</f>
        <v/>
      </c>
      <c r="CV226" s="29">
        <f>IF(AND(E226&gt;0,OR(AU226="")),1,IF((AU226)&gt;E226,1,0))</f>
        <v/>
      </c>
      <c r="CW226" s="29">
        <f>IF(AND(E226&gt;0,OR(AV226="")),1,IF((AV226)&gt;E226,1,0))</f>
        <v/>
      </c>
      <c r="CX226" s="29">
        <f>IF(AND(D226&gt;0,OR(AW226="")),1,IF((AW226)&gt;D226,1,0))</f>
        <v/>
      </c>
      <c r="CY226" s="29">
        <f>IF(AND(C226&gt;0,AX226=""),1,IF(AX226&gt;C226,1,0))</f>
        <v/>
      </c>
    </row>
    <row r="227" ht="15" customHeight="1" s="8286">
      <c r="A227" s="9933" t="inlineStr">
        <is>
          <t xml:space="preserve">
Demencias (Incluye Alzheimer)</t>
        </is>
      </c>
      <c r="B227" s="2202" t="inlineStr">
        <is>
          <t>Leve</t>
        </is>
      </c>
      <c r="C227" s="2180">
        <f>SUM(D227+E227)</f>
        <v/>
      </c>
      <c r="D227" s="855">
        <f>SUM(F227+H227+J227+L227+N227+P227+R227+T227+V227+X227+Z227+AB227+AD227+AF227+AH227+AJ227+AL227)</f>
        <v/>
      </c>
      <c r="E227" s="2179">
        <f>SUM(G227+I227+K227+M227+O227+Q227+S227+U227+W227+Y227+AA227+AC227+AE227+AG227+AI227+AK227+AM227)</f>
        <v/>
      </c>
      <c r="F227" s="2192" t="n"/>
      <c r="G227" s="2193" t="n"/>
      <c r="H227" s="2192" t="n"/>
      <c r="I227" s="2193" t="n"/>
      <c r="J227" s="2192" t="n"/>
      <c r="K227" s="2193" t="n"/>
      <c r="L227" s="2192" t="n"/>
      <c r="M227" s="2193" t="n"/>
      <c r="N227" s="2192" t="n"/>
      <c r="O227" s="2193" t="n"/>
      <c r="P227" s="2192" t="n"/>
      <c r="Q227" s="2193" t="n"/>
      <c r="R227" s="2022" t="n"/>
      <c r="S227" s="2029" t="n"/>
      <c r="T227" s="2022" t="n"/>
      <c r="U227" s="2029" t="n"/>
      <c r="V227" s="2022" t="n"/>
      <c r="W227" s="2029" t="n"/>
      <c r="X227" s="2022" t="n"/>
      <c r="Y227" s="2029" t="n"/>
      <c r="Z227" s="2022" t="n"/>
      <c r="AA227" s="2029" t="n"/>
      <c r="AB227" s="2022" t="n"/>
      <c r="AC227" s="2029" t="n"/>
      <c r="AD227" s="2022" t="n"/>
      <c r="AE227" s="2029" t="n"/>
      <c r="AF227" s="2022" t="n"/>
      <c r="AG227" s="2029" t="n"/>
      <c r="AH227" s="2022" t="n"/>
      <c r="AI227" s="2029" t="n"/>
      <c r="AJ227" s="2022" t="n"/>
      <c r="AK227" s="2029" t="n"/>
      <c r="AL227" s="2022" t="n"/>
      <c r="AM227" s="1940" t="n"/>
      <c r="AN227" s="5375" t="n"/>
      <c r="AO227" s="5383" t="n"/>
      <c r="AP227" s="3503" t="n">
        <v>0</v>
      </c>
      <c r="AQ227" s="2019" t="n">
        <v>0</v>
      </c>
      <c r="AR227" s="2216" t="n"/>
      <c r="AS227" s="2217" t="n"/>
      <c r="AT227" s="2203" t="n">
        <v>0</v>
      </c>
      <c r="AU227" s="2204" t="n">
        <v>0</v>
      </c>
      <c r="AV227" s="2203" t="n">
        <v>0</v>
      </c>
      <c r="AW227" s="2204" t="n">
        <v>0</v>
      </c>
      <c r="AX227" s="2217" t="n"/>
      <c r="AY227" s="5">
        <f>CC227&amp;CD227&amp;CE227&amp;CF227&amp;CG227&amp;CH227&amp;CI227&amp;CJ227</f>
        <v/>
      </c>
      <c r="CA227" s="124" t="n"/>
      <c r="CB227" s="124" t="n"/>
      <c r="CC227" s="90">
        <f>IF(AND(D227&gt;0,OR(AP227="")), "* No olvide digitar la variable Pueblos originarios - Hombres. Digite Cero si no tiene.",IF((AP227)&gt;D227,"  * La variable Pueblos originarios - Hombres No puede ser mayor al Total.",""))</f>
        <v/>
      </c>
      <c r="CD227" s="90">
        <f>IF(AND(E227&gt;0,OR(AQ227="")), "* No olvide digitar la variable Pueblos originarios - Mujeres. Digite Cero si no tiene.",IF((AQ227)&gt;E227,"  * La variable Pueblos originarios - Mujeres No puede ser mayor al Total.",""))</f>
        <v/>
      </c>
      <c r="CE227" s="126" t="n"/>
      <c r="CF227" s="126" t="n"/>
      <c r="CG227" s="90">
        <f>IF(AND(D227&gt;0,OR(AT227="")), "* No olvide digitar la variable Migrantes - Hombres. Digite Cero si no tiene.",IF((AT227)&gt;D227,"  * La variable Migrantes - Hombres No puede ser mayor al Total Hombres.",""))</f>
        <v/>
      </c>
      <c r="CH227" s="90">
        <f>IF(AND(E227&gt;0,OR(AU227="")), "* No olvide digitar la variable Migrantes - Mujeres. Digite Cero si no tiene.",IF((AU227)&gt;E227,"  * La variable Migrantes - Mujeres No puede ser mayor al Total.",""))</f>
        <v/>
      </c>
      <c r="CI227" s="90">
        <f>IF(AND(E227&gt;0,OR(AV227="")), "* No olvide digitar la variable Trans Masculino. Digite Cero si no tiene.",IF((AV227)&gt;E227,"  * La variable Trans Masculino No puede ser mayor al Total Mujeres.",""))</f>
        <v/>
      </c>
      <c r="CJ227" s="90">
        <f>IF(AND(D227&gt;0,OR(AW227="")), "* No olvide digitar la variable Trans Femenino. Digite Cero si no tiene.",IF((AW227)&gt;D227,"  * La variable Trans Femenino No puede ser mayor al Total Hombres.",""))</f>
        <v/>
      </c>
      <c r="CK227" s="124" t="n"/>
      <c r="CL227" s="5" t="n"/>
      <c r="CO227" s="195" t="n"/>
      <c r="CP227" s="195" t="n"/>
      <c r="CQ227" s="29">
        <f>IF(AND(D227&gt;0,OR(AP227="")),1,IF((AP227)&gt;D227,1,0))</f>
        <v/>
      </c>
      <c r="CR227" s="29">
        <f>IF(AND(E227&gt;0,OR(AQ227="")),1,IF((AQ227)&gt;E227,1,0))</f>
        <v/>
      </c>
      <c r="CS227" s="195" t="n"/>
      <c r="CT227" s="195" t="n"/>
      <c r="CU227" s="29">
        <f>IF(AND(D227&gt;0,OR(AT227="")),1,IF((AT227)&gt;D227,1,0))</f>
        <v/>
      </c>
      <c r="CV227" s="29">
        <f>IF(AND(E227&gt;0,OR(AU227="")),1,IF((AU227)&gt;E227,1,0))</f>
        <v/>
      </c>
      <c r="CW227" s="29">
        <f>IF(AND(E227&gt;0,OR(AV227="")),1,IF((AV227)&gt;E227,1,0))</f>
        <v/>
      </c>
      <c r="CX227" s="29">
        <f>IF(AND(D227&gt;0,OR(AW227="")),1,IF((AW227)&gt;D227,1,0))</f>
        <v/>
      </c>
      <c r="CY227" s="195" t="n"/>
    </row>
    <row r="228" ht="15" customHeight="1" s="8286">
      <c r="A228" s="9614" t="n"/>
      <c r="B228" s="2198" t="inlineStr">
        <is>
          <t>Moderado</t>
        </is>
      </c>
      <c r="C228" s="1283">
        <f>SUM(D228+E228)</f>
        <v/>
      </c>
      <c r="D228" s="2197">
        <f>SUM(F228+H228+J228+L228+N228+P228+R228+T228+V228+X228+Z228+AB228+AD228+AF228+AH228+AJ228+AL228)</f>
        <v/>
      </c>
      <c r="E228" s="7750">
        <f>SUM(G228+I228+K228+M228+O228+Q228+S228+U228+W228+Y228+AA228+AC228+AE228+AG228+AI228+AK228+AM228)</f>
        <v/>
      </c>
      <c r="F228" s="1941" t="n"/>
      <c r="G228" s="1948" t="n"/>
      <c r="H228" s="1941" t="n"/>
      <c r="I228" s="1948" t="n"/>
      <c r="J228" s="1941" t="n"/>
      <c r="K228" s="1948" t="n"/>
      <c r="L228" s="1941" t="n"/>
      <c r="M228" s="1948" t="n"/>
      <c r="N228" s="1941" t="n"/>
      <c r="O228" s="1948" t="n"/>
      <c r="P228" s="1941" t="n"/>
      <c r="Q228" s="1948" t="n"/>
      <c r="R228" s="1172" t="n"/>
      <c r="S228" s="1173" t="n"/>
      <c r="T228" s="1172" t="n"/>
      <c r="U228" s="1173" t="n"/>
      <c r="V228" s="1172" t="n"/>
      <c r="W228" s="1173" t="n"/>
      <c r="X228" s="1172" t="n"/>
      <c r="Y228" s="1173" t="n"/>
      <c r="Z228" s="1172" t="n"/>
      <c r="AA228" s="1173" t="n"/>
      <c r="AB228" s="1172" t="n"/>
      <c r="AC228" s="1173" t="n"/>
      <c r="AD228" s="1172" t="n"/>
      <c r="AE228" s="1173" t="n"/>
      <c r="AF228" s="1172" t="n"/>
      <c r="AG228" s="1173" t="n"/>
      <c r="AH228" s="1172" t="n"/>
      <c r="AI228" s="1173" t="n"/>
      <c r="AJ228" s="1172" t="n"/>
      <c r="AK228" s="1173" t="n"/>
      <c r="AL228" s="1172" t="n"/>
      <c r="AM228" s="1929" t="n"/>
      <c r="AN228" s="5376" t="n"/>
      <c r="AO228" s="5384" t="n"/>
      <c r="AP228" s="3789" t="n">
        <v>0</v>
      </c>
      <c r="AQ228" s="1180" t="n">
        <v>0</v>
      </c>
      <c r="AR228" s="1395" t="n"/>
      <c r="AS228" s="1371" t="n"/>
      <c r="AT228" s="35" t="n">
        <v>0</v>
      </c>
      <c r="AU228" s="1183" t="n">
        <v>0</v>
      </c>
      <c r="AV228" s="35" t="n">
        <v>0</v>
      </c>
      <c r="AW228" s="1183" t="n">
        <v>0</v>
      </c>
      <c r="AX228" s="1371" t="n"/>
      <c r="AY228" s="5">
        <f>CC228&amp;CD228&amp;CE228&amp;CF228&amp;CG228&amp;CH228&amp;CI228&amp;CJ228</f>
        <v/>
      </c>
      <c r="CA228" s="124" t="n"/>
      <c r="CB228" s="124" t="n"/>
      <c r="CC228" s="90">
        <f>IF(AND(D228&gt;0,OR(AP228="")), "* No olvide digitar la variable Pueblos originarios - Hombres. Digite Cero si no tiene.",IF((AP228)&gt;D228,"  * La variable Pueblos originarios - Hombres No puede ser mayor al Total.",""))</f>
        <v/>
      </c>
      <c r="CD228" s="90">
        <f>IF(AND(E228&gt;0,OR(AQ228="")), "* No olvide digitar la variable Pueblos originarios - Mujeres. Digite Cero si no tiene.",IF((AQ228)&gt;E228,"  * La variable Pueblos originarios - Mujeres No puede ser mayor al Total.",""))</f>
        <v/>
      </c>
      <c r="CE228" s="126" t="n"/>
      <c r="CF228" s="126" t="n"/>
      <c r="CG228" s="90">
        <f>IF(AND(D228&gt;0,OR(AT228="")), "* No olvide digitar la variable Migrantes - Hombres. Digite Cero si no tiene.",IF((AT228)&gt;D228,"  * La variable Migrantes - Hombres No puede ser mayor al Total Hombres.",""))</f>
        <v/>
      </c>
      <c r="CH228" s="90">
        <f>IF(AND(E228&gt;0,OR(AU228="")), "* No olvide digitar la variable Migrantes - Mujeres. Digite Cero si no tiene.",IF((AU228)&gt;E228,"  * La variable Migrantes - Mujeres No puede ser mayor al Total.",""))</f>
        <v/>
      </c>
      <c r="CI228" s="90">
        <f>IF(AND(E228&gt;0,OR(AV228="")), "* No olvide digitar la variable Trans Masculino. Digite Cero si no tiene.",IF((AV228)&gt;E228,"  * La variable Trans Masculino No puede ser mayor al Total Mujeres.",""))</f>
        <v/>
      </c>
      <c r="CJ228" s="90">
        <f>IF(AND(D228&gt;0,OR(AW228="")), "* No olvide digitar la variable Trans Femenino. Digite Cero si no tiene.",IF((AW228)&gt;D228,"  * La variable Trans Femenino No puede ser mayor al Total Hombres.",""))</f>
        <v/>
      </c>
      <c r="CK228" s="124" t="n"/>
      <c r="CL228" s="5" t="n"/>
      <c r="CO228" s="195" t="n"/>
      <c r="CP228" s="195" t="n"/>
      <c r="CQ228" s="29">
        <f>IF(AND(D228&gt;0,OR(AP228="")),1,IF((AP228)&gt;D228,1,0))</f>
        <v/>
      </c>
      <c r="CR228" s="29">
        <f>IF(AND(E228&gt;0,OR(AQ228="")),1,IF((AQ228)&gt;E228,1,0))</f>
        <v/>
      </c>
      <c r="CS228" s="195" t="n"/>
      <c r="CT228" s="195" t="n"/>
      <c r="CU228" s="29">
        <f>IF(AND(D228&gt;0,OR(AT228="")),1,IF((AT228)&gt;D228,1,0))</f>
        <v/>
      </c>
      <c r="CV228" s="29">
        <f>IF(AND(E228&gt;0,OR(AU228="")),1,IF((AU228)&gt;E228,1,0))</f>
        <v/>
      </c>
      <c r="CW228" s="29">
        <f>IF(AND(E228&gt;0,OR(AV228="")),1,IF((AV228)&gt;E228,1,0))</f>
        <v/>
      </c>
      <c r="CX228" s="29">
        <f>IF(AND(D228&gt;0,OR(AW228="")),1,IF((AW228)&gt;D228,1,0))</f>
        <v/>
      </c>
      <c r="CY228" s="195" t="n"/>
    </row>
    <row r="229" ht="15" customHeight="1" s="8286">
      <c r="A229" s="9610" t="n"/>
      <c r="B229" s="1239" t="inlineStr">
        <is>
          <t>Avanzado</t>
        </is>
      </c>
      <c r="C229" s="1352">
        <f>SUM(D229+E229)</f>
        <v/>
      </c>
      <c r="D229" s="1353">
        <f>SUM(F229+H229+J229+L229+N229+P229+R229+T229+V229+X229+Z229+AB229+AD229+AF229+AH229+AJ229+AL229)</f>
        <v/>
      </c>
      <c r="E229" s="7752">
        <f>SUM(G229+I229+K229+M229+O229+Q229+S229+U229+W229+Y229+AA229+AC229+AE229+AG229+AI229+AK229+AM229)</f>
        <v/>
      </c>
      <c r="F229" s="1372" t="n"/>
      <c r="G229" s="1233" t="n"/>
      <c r="H229" s="1372" t="n"/>
      <c r="I229" s="1233" t="n"/>
      <c r="J229" s="1372" t="n"/>
      <c r="K229" s="1233" t="n"/>
      <c r="L229" s="1372" t="n"/>
      <c r="M229" s="1233" t="n"/>
      <c r="N229" s="1372" t="n"/>
      <c r="O229" s="1233" t="n"/>
      <c r="P229" s="1372" t="n"/>
      <c r="Q229" s="1233" t="n"/>
      <c r="R229" s="1188" t="n"/>
      <c r="S229" s="1192" t="n"/>
      <c r="T229" s="1188" t="n"/>
      <c r="U229" s="1192" t="n"/>
      <c r="V229" s="1188" t="n"/>
      <c r="W229" s="1192" t="n"/>
      <c r="X229" s="1188" t="n"/>
      <c r="Y229" s="1192" t="n"/>
      <c r="Z229" s="1188" t="n"/>
      <c r="AA229" s="1192" t="n"/>
      <c r="AB229" s="1188" t="n"/>
      <c r="AC229" s="1192" t="n"/>
      <c r="AD229" s="1188" t="n"/>
      <c r="AE229" s="1192" t="n"/>
      <c r="AF229" s="1188" t="n"/>
      <c r="AG229" s="1192" t="n"/>
      <c r="AH229" s="1188" t="n"/>
      <c r="AI229" s="1192" t="n"/>
      <c r="AJ229" s="1188" t="n"/>
      <c r="AK229" s="1192" t="n"/>
      <c r="AL229" s="1188" t="n">
        <v>1</v>
      </c>
      <c r="AM229" s="1224" t="n"/>
      <c r="AN229" s="5377" t="n"/>
      <c r="AO229" s="5385" t="n"/>
      <c r="AP229" s="1193" t="n">
        <v>0</v>
      </c>
      <c r="AQ229" s="1192" t="n">
        <v>0</v>
      </c>
      <c r="AR229" s="1372" t="n"/>
      <c r="AS229" s="1233" t="n"/>
      <c r="AT229" s="1227" t="n">
        <v>0</v>
      </c>
      <c r="AU229" s="1119" t="n">
        <v>0</v>
      </c>
      <c r="AV229" s="1227" t="n">
        <v>0</v>
      </c>
      <c r="AW229" s="1119" t="n">
        <v>0</v>
      </c>
      <c r="AX229" s="1233" t="n"/>
      <c r="AY229" s="5">
        <f>CC229&amp;CD229&amp;CE229&amp;CF229&amp;CG229&amp;CH229&amp;CI229&amp;CJ229</f>
        <v/>
      </c>
      <c r="CA229" s="124" t="n"/>
      <c r="CB229" s="124" t="n"/>
      <c r="CC229" s="90">
        <f>IF(AND(D229&gt;0,OR(AP229="")), "* No olvide digitar la variable Pueblos originarios - Hombres. Digite Cero si no tiene.",IF((AP229)&gt;D229,"  * La variable Pueblos originarios - Hombres No puede ser mayor al Total.",""))</f>
        <v/>
      </c>
      <c r="CD229" s="90">
        <f>IF(AND(E229&gt;0,OR(AQ229="")), "* No olvide digitar la variable Pueblos originarios - Mujeres. Digite Cero si no tiene.",IF((AQ229)&gt;E229,"  * La variable Pueblos originarios - Mujeres No puede ser mayor al Total.",""))</f>
        <v/>
      </c>
      <c r="CE229" s="126" t="n"/>
      <c r="CF229" s="126" t="n"/>
      <c r="CG229" s="90">
        <f>IF(AND(D229&gt;0,OR(AT229="")), "* No olvide digitar la variable Migrantes - Hombres. Digite Cero si no tiene.",IF((AT229)&gt;D229,"  * La variable Migrantes - Hombres No puede ser mayor al Total Hombres.",""))</f>
        <v/>
      </c>
      <c r="CH229" s="90">
        <f>IF(AND(E229&gt;0,OR(AU229="")), "* No olvide digitar la variable Migrantes - Mujeres. Digite Cero si no tiene.",IF((AU229)&gt;E229,"  * La variable Migrantes - Mujeres No puede ser mayor al Total.",""))</f>
        <v/>
      </c>
      <c r="CI229" s="90">
        <f>IF(AND(E229&gt;0,OR(AV229="")), "* No olvide digitar la variable Trans Masculino. Digite Cero si no tiene.",IF((AV229)&gt;E229,"  * La variable Trans Masculino No puede ser mayor al Total Mujeres.",""))</f>
        <v/>
      </c>
      <c r="CJ229" s="90">
        <f>IF(AND(D229&gt;0,OR(AW229="")), "* No olvide digitar la variable Trans Femenino. Digite Cero si no tiene.",IF((AW229)&gt;D229,"  * La variable Trans Femenino No puede ser mayor al Total Hombres.",""))</f>
        <v/>
      </c>
      <c r="CK229" s="124" t="n"/>
      <c r="CL229" s="5" t="n"/>
      <c r="CO229" s="195" t="n"/>
      <c r="CP229" s="195" t="n"/>
      <c r="CQ229" s="29">
        <f>IF(AND(D229&gt;0,OR(AP229="")),1,IF((AP229)&gt;D229,1,0))</f>
        <v/>
      </c>
      <c r="CR229" s="29">
        <f>IF(AND(E229&gt;0,OR(AQ229="")),1,IF((AQ229)&gt;E229,1,0))</f>
        <v/>
      </c>
      <c r="CS229" s="195" t="n"/>
      <c r="CT229" s="195" t="n"/>
      <c r="CU229" s="29">
        <f>IF(AND(D229&gt;0,OR(AT229="")),1,IF((AT229)&gt;D229,1,0))</f>
        <v/>
      </c>
      <c r="CV229" s="29">
        <f>IF(AND(E229&gt;0,OR(AU229="")),1,IF((AU229)&gt;E229,1,0))</f>
        <v/>
      </c>
      <c r="CW229" s="29">
        <f>IF(AND(E229&gt;0,OR(AV229="")),1,IF((AV229)&gt;E229,1,0))</f>
        <v/>
      </c>
      <c r="CX229" s="29">
        <f>IF(AND(D229&gt;0,OR(AW229="")),1,IF((AW229)&gt;D229,1,0))</f>
        <v/>
      </c>
      <c r="CY229" s="195" t="n"/>
    </row>
    <row r="230" ht="15" customHeight="1" s="8286">
      <c r="A230" s="9928" t="inlineStr">
        <is>
          <t>Esquizofrenia</t>
        </is>
      </c>
      <c r="B230" s="9643" t="n"/>
      <c r="C230" s="2180">
        <f>SUM(D230+E230)</f>
        <v/>
      </c>
      <c r="D230" s="855">
        <f>SUM(F230+H230+J230+L230+N230+P230+R230+T230+V230+X230+Z230+AB230+AD230+AF230+AH230+AJ230+AL230)</f>
        <v/>
      </c>
      <c r="E230" s="2179">
        <f>SUM(G230+I230+K230+M230+O230+Q230+S230+U230+W230+Y230+AA230+AC230+AE230+AG230+AI230+AK230+AM230)</f>
        <v/>
      </c>
      <c r="F230" s="2022" t="n"/>
      <c r="G230" s="2029" t="n"/>
      <c r="H230" s="2022" t="n"/>
      <c r="I230" s="2029" t="n"/>
      <c r="J230" s="2022" t="n"/>
      <c r="K230" s="2029" t="n"/>
      <c r="L230" s="2022" t="n"/>
      <c r="M230" s="2029" t="n"/>
      <c r="N230" s="2022" t="n"/>
      <c r="O230" s="2029" t="n"/>
      <c r="P230" s="2022" t="n"/>
      <c r="Q230" s="2029" t="n"/>
      <c r="R230" s="2022" t="n"/>
      <c r="S230" s="2029" t="n"/>
      <c r="T230" s="2022" t="n"/>
      <c r="U230" s="2029" t="n"/>
      <c r="V230" s="2022" t="n"/>
      <c r="W230" s="2029" t="n"/>
      <c r="X230" s="2022" t="n"/>
      <c r="Y230" s="2029" t="n"/>
      <c r="Z230" s="2022" t="n"/>
      <c r="AA230" s="2029" t="n"/>
      <c r="AB230" s="2022" t="n"/>
      <c r="AC230" s="2029" t="n"/>
      <c r="AD230" s="2022" t="n"/>
      <c r="AE230" s="2029" t="n"/>
      <c r="AF230" s="2022" t="n"/>
      <c r="AG230" s="2029" t="n"/>
      <c r="AH230" s="2022" t="n"/>
      <c r="AI230" s="2029" t="n"/>
      <c r="AJ230" s="2022" t="n"/>
      <c r="AK230" s="2029" t="n"/>
      <c r="AL230" s="2022" t="n"/>
      <c r="AM230" s="1940" t="n"/>
      <c r="AN230" s="5215" t="n">
        <v>0</v>
      </c>
      <c r="AO230" s="3892" t="n">
        <v>0</v>
      </c>
      <c r="AP230" s="3503" t="n">
        <v>0</v>
      </c>
      <c r="AQ230" s="2029" t="n">
        <v>0</v>
      </c>
      <c r="AR230" s="2022" t="n">
        <v>0</v>
      </c>
      <c r="AS230" s="2029" t="n">
        <v>0</v>
      </c>
      <c r="AT230" s="2115" t="n">
        <v>0</v>
      </c>
      <c r="AU230" s="2124" t="n">
        <v>0</v>
      </c>
      <c r="AV230" s="2115" t="n">
        <v>0</v>
      </c>
      <c r="AW230" s="2124" t="n">
        <v>0</v>
      </c>
      <c r="AX230" s="2029" t="n">
        <v>0</v>
      </c>
      <c r="AY230" s="5">
        <f>CA230&amp;CB230&amp;CC230&amp;CD230&amp;CE230&amp;CF230&amp;CG230&amp;CH230&amp;CI230&amp;CJ230&amp;CK230</f>
        <v/>
      </c>
      <c r="CA230" s="90">
        <f>IF(AND(E230&gt;0,AN230=""), "* No olvide digitar la variable Gestantes. Digite Cero si no tiene.",IF(AN230&gt;E230,"  * La  variable Gestantes No puede ser mayor al Total Mujeres.",""))</f>
        <v/>
      </c>
      <c r="CB230" s="90">
        <f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>
        <f>IF(AND(D230&gt;0,OR(AP230="")), "* No olvide digitar la variable Pueblos originarios - Hombres. Digite Cero si no tiene.",IF((AP230)&gt;D230,"  * La variable Pueblos originarios - Hombres No puede ser mayor al Total.",""))</f>
        <v/>
      </c>
      <c r="CD230" s="90">
        <f>IF(AND(E230&gt;0,OR(AQ230="")), "* No olvide digitar la variable Pueblos originarios - Mujeres. Digite Cero si no tiene.",IF((AQ230)&gt;E230,"  * La variable Pueblos originarios - Mujeres No puede ser mayor al Total.",""))</f>
        <v/>
      </c>
      <c r="CE230" s="90">
        <f>IF(AND(C230&gt;0,AR230=""), "* No olvide digitar la variable Niños, niñas, adolescentes y jóvenes SENAME. Digite Cero si no tiene.",IF(AR230&gt;C230,"  * La variable Niños, niñas, adolescentes y jóvenes SENAME No puede ser mayor al Total.",""))</f>
        <v/>
      </c>
      <c r="CF230" s="90">
        <f>IF(AND(C230&gt;0,AS230=""), "* No olvide digitar la variable Servicio Nacional Protección Especializada a la Niñez y Adolescencia. Digite Cero si no tiene.",IF(AS230&gt;C230,"  * La variable Servicio Nacional Protección Especializada a la Niñez y Adolescencia No puede ser mayor al Total.",""))</f>
        <v/>
      </c>
      <c r="CG230" s="90">
        <f>IF(AND(D230&gt;0,OR(AT230="")), "* No olvide digitar la variable Migrantes - Hombres. Digite Cero si no tiene.",IF((AT230)&gt;D230,"  * La variable Migrantes - Hombres No puede ser mayor al Total Hombres.",""))</f>
        <v/>
      </c>
      <c r="CH230" s="90">
        <f>IF(AND(E230&gt;0,OR(AU230="")), "* No olvide digitar la variable Migrantes - Mujeres. Digite Cero si no tiene.",IF((AU230)&gt;E230,"  * La variable Migrantes - Mujeres No puede ser mayor al Total.",""))</f>
        <v/>
      </c>
      <c r="CI230" s="90">
        <f>IF(AND(E230&gt;0,OR(AV230="")), "* No olvide digitar la variable Trans Masculino. Digite Cero si no tiene.",IF((AV230)&gt;E230,"  * La variable Trans Masculino No puede ser mayor al Total Mujeres.",""))</f>
        <v/>
      </c>
      <c r="CJ230" s="90">
        <f>IF(AND(D230&gt;0,OR(AW230="")), "* No olvide digitar la variable Trans Femenino. Digite Cero si no tiene.",IF((AW230)&gt;D230,"  * La variable Trans Femenino No puede ser mayor al Total Hombres.",""))</f>
        <v/>
      </c>
      <c r="CK230" s="90">
        <f>IF(AND($C230&gt;0,AX230=""), "* No olvide digitar la variable Adolescentes derivados de Espacios Amigables. Digite Cero si no tiene.",IF(AX230&gt;$C230,"  * La variable Adolescentes derivados de Espacios Amigables No puede ser mayor al Total.",""))</f>
        <v/>
      </c>
      <c r="CL230" s="5" t="n"/>
      <c r="CO230" s="29">
        <f>IF(AND(E230&gt;0,AN230=""),1,IF(AN230&gt;E230,1,0))</f>
        <v/>
      </c>
      <c r="CP230" s="29">
        <f>IF(AND(E230&gt;0,AO230=""),1,IF(AO230&gt;E230,1,0))</f>
        <v/>
      </c>
      <c r="CQ230" s="29">
        <f>IF(AND(D230&gt;0,OR(AP230="")),1,IF((AP230)&gt;D230,1,0))</f>
        <v/>
      </c>
      <c r="CR230" s="29">
        <f>IF(AND(E230&gt;0,OR(AQ230="")),1,IF((AQ230)&gt;E230,1,0))</f>
        <v/>
      </c>
      <c r="CS230" s="29">
        <f>IF(AND(C230&gt;0,AR230=""),1,IF(AR230&gt;C230,1,0))</f>
        <v/>
      </c>
      <c r="CT230" s="29">
        <f>IF(AND(C230&gt;0,AS230=""),1,IF(AS230&gt;C230,1,0))</f>
        <v/>
      </c>
      <c r="CU230" s="29">
        <f>IF(AND(D230&gt;0,OR(AT230="")),1,IF((AT230)&gt;D230,1,0))</f>
        <v/>
      </c>
      <c r="CV230" s="29">
        <f>IF(AND(E230&gt;0,OR(AU230="")),1,IF((AU230)&gt;E230,1,0))</f>
        <v/>
      </c>
      <c r="CW230" s="29">
        <f>IF(AND(E230&gt;0,OR(AV230="")),1,IF((AV230)&gt;E230,1,0))</f>
        <v/>
      </c>
      <c r="CX230" s="29">
        <f>IF(AND(D230&gt;0,OR(AW230="")),1,IF((AW230)&gt;D230,1,0))</f>
        <v/>
      </c>
      <c r="CY230" s="29">
        <f>IF(AND(C230&gt;0,AX230=""),1,IF(AX230&gt;C230,1,0))</f>
        <v/>
      </c>
    </row>
    <row r="231" ht="15" customHeight="1" s="8286">
      <c r="A231" s="3877" t="inlineStr">
        <is>
          <t>Trastorno Adaptativo</t>
        </is>
      </c>
      <c r="B231" s="9644" t="n"/>
      <c r="C231" s="2181">
        <f>SUM(D231+E231)</f>
        <v/>
      </c>
      <c r="D231" s="797">
        <f>SUM(F231+H231+J231+L231+N231+P231+R231+T231+V231+X231+Z231+AB231+AD231+AF231+AH231+AJ231+AL231)</f>
        <v/>
      </c>
      <c r="E231" s="7833">
        <f>SUM(G231+I231+K231+M231+O231+Q231+S231+U231+W231+Y231+AA231+AC231+AE231+AG231+AI231+AK231+AM231)</f>
        <v/>
      </c>
      <c r="F231" s="1935" t="n"/>
      <c r="G231" s="1186" t="n"/>
      <c r="H231" s="1935" t="n">
        <v>2</v>
      </c>
      <c r="I231" s="1186" t="n">
        <v>1</v>
      </c>
      <c r="J231" s="1935" t="n"/>
      <c r="K231" s="1186" t="n"/>
      <c r="L231" s="1935" t="n"/>
      <c r="M231" s="1186" t="n"/>
      <c r="N231" s="1935" t="n"/>
      <c r="O231" s="1186" t="n"/>
      <c r="P231" s="1935" t="n"/>
      <c r="Q231" s="1186" t="n">
        <v>1</v>
      </c>
      <c r="R231" s="1935" t="n"/>
      <c r="S231" s="1186" t="n"/>
      <c r="T231" s="1935" t="n"/>
      <c r="U231" s="1186" t="n"/>
      <c r="V231" s="1935" t="n"/>
      <c r="W231" s="1186" t="n"/>
      <c r="X231" s="1935" t="n"/>
      <c r="Y231" s="1186" t="n"/>
      <c r="Z231" s="1935" t="n">
        <v>1</v>
      </c>
      <c r="AA231" s="1186" t="n"/>
      <c r="AB231" s="1935" t="n"/>
      <c r="AC231" s="1186" t="n"/>
      <c r="AD231" s="1935" t="n">
        <v>1</v>
      </c>
      <c r="AE231" s="1186" t="n"/>
      <c r="AF231" s="1935" t="n"/>
      <c r="AG231" s="1186" t="n"/>
      <c r="AH231" s="1935" t="n"/>
      <c r="AI231" s="1186" t="n"/>
      <c r="AJ231" s="1935" t="n"/>
      <c r="AK231" s="1186" t="n"/>
      <c r="AL231" s="1935" t="n"/>
      <c r="AM231" s="36" t="n"/>
      <c r="AN231" s="5215" t="n">
        <v>0</v>
      </c>
      <c r="AO231" s="3892" t="n">
        <v>0</v>
      </c>
      <c r="AP231" s="3789" t="n">
        <v>0</v>
      </c>
      <c r="AQ231" s="1173" t="n">
        <v>0</v>
      </c>
      <c r="AR231" s="1172" t="n">
        <v>0</v>
      </c>
      <c r="AS231" s="1173" t="n">
        <v>0</v>
      </c>
      <c r="AT231" s="1222" t="n">
        <v>0</v>
      </c>
      <c r="AU231" s="886" t="n">
        <v>0</v>
      </c>
      <c r="AV231" s="1222" t="n">
        <v>0</v>
      </c>
      <c r="AW231" s="886" t="n">
        <v>0</v>
      </c>
      <c r="AX231" s="1173" t="n">
        <v>0</v>
      </c>
      <c r="AY231" s="5">
        <f>CA231&amp;CB231&amp;CC231&amp;CD231&amp;CE231&amp;CF231&amp;CG231&amp;CH231&amp;CI231&amp;CJ231&amp;CK231</f>
        <v/>
      </c>
      <c r="CA231" s="90">
        <f>IF(AND(E231&gt;0,AN231=""), "* No olvide digitar la variable Gestantes. Digite Cero si no tiene.",IF(AN231&gt;E231,"  * La  variable Gestantes No puede ser mayor al Total Mujeres.",""))</f>
        <v/>
      </c>
      <c r="CB231" s="90">
        <f>IF(AND(E231&gt;0,AO231=""), "* No olvide digitar la variable Madre de hijo menor de 5 años. Digite Cero si no tiene.",IF(AO231&gt;E231,"  * La variable Madre de hijo menor de 5 años No puede ser mayor al Total Mujeres.",""))</f>
        <v/>
      </c>
      <c r="CC231" s="90">
        <f>IF(AND(D231&gt;0,OR(AP231="")), "* No olvide digitar la variable Pueblos originarios - Hombres. Digite Cero si no tiene.",IF((AP231)&gt;D231,"  * La variable Pueblos originarios - Hombres No puede ser mayor al Total.",""))</f>
        <v/>
      </c>
      <c r="CD231" s="90">
        <f>IF(AND(E231&gt;0,OR(AQ231="")), "* No olvide digitar la variable Pueblos originarios - Mujeres. Digite Cero si no tiene.",IF((AQ231)&gt;E231,"  * La variable Pueblos originarios - Mujeres No puede ser mayor al Total.",""))</f>
        <v/>
      </c>
      <c r="CE231" s="90">
        <f>IF(AND(C231&gt;0,AR231=""), "* No olvide digitar la variable Niños, niñas, adolescentes y jóvenes SENAME. Digite Cero si no tiene.",IF(AR231&gt;C231,"  * La variable Niños, niñas, adolescentes y jóvenes SENAME No puede ser mayor al Total.",""))</f>
        <v/>
      </c>
      <c r="CF231" s="90">
        <f>IF(AND(C231&gt;0,AS231=""), "* No olvide digitar la variable Servicio Nacional Protección Especializada a la Niñez y Adolescencia. Digite Cero si no tiene.",IF(AS231&gt;C231,"  * La variable Servicio Nacional Protección Especializada a la Niñez y Adolescencia No puede ser mayor al Total.",""))</f>
        <v/>
      </c>
      <c r="CG231" s="90">
        <f>IF(AND(D231&gt;0,OR(AT231="")), "* No olvide digitar la variable Migrantes - Hombres. Digite Cero si no tiene.",IF((AT231)&gt;D231,"  * La variable Migrantes - Hombres No puede ser mayor al Total Hombres.",""))</f>
        <v/>
      </c>
      <c r="CH231" s="90">
        <f>IF(AND(E231&gt;0,OR(AU231="")), "* No olvide digitar la variable Migrantes - Mujeres. Digite Cero si no tiene.",IF((AU231)&gt;E231,"  * La variable Migrantes - Mujeres No puede ser mayor al Total.",""))</f>
        <v/>
      </c>
      <c r="CI231" s="90">
        <f>IF(AND(E231&gt;0,OR(AV231="")), "* No olvide digitar la variable Trans Masculino. Digite Cero si no tiene.",IF((AV231)&gt;E231,"  * La variable Trans Masculino No puede ser mayor al Total Mujeres.",""))</f>
        <v/>
      </c>
      <c r="CJ231" s="90">
        <f>IF(AND(D231&gt;0,OR(AW231="")), "* No olvide digitar la variable Trans Femenino. Digite Cero si no tiene.",IF((AW231)&gt;D231,"  * La variable Trans Femenino No puede ser mayor al Total Hombres.",""))</f>
        <v/>
      </c>
      <c r="CK231" s="90">
        <f>IF(AND($C231&gt;0,AX231=""), "* No olvide digitar la variable Adolescentes derivados de Espacios Amigables. Digite Cero si no tiene.",IF(AX231&gt;$C231,"  * La variable Adolescentes derivados de Espacios Amigables No puede ser mayor al Total.",""))</f>
        <v/>
      </c>
      <c r="CL231" s="5" t="n"/>
      <c r="CO231" s="29">
        <f>IF(AND(E231&gt;0,AN231=""),1,IF(AN231&gt;E231,1,0))</f>
        <v/>
      </c>
      <c r="CP231" s="29">
        <f>IF(AND(E231&gt;0,AO231=""),1,IF(AO231&gt;E231,1,0))</f>
        <v/>
      </c>
      <c r="CQ231" s="29">
        <f>IF(AND(D231&gt;0,OR(AP231="")),1,IF((AP231)&gt;D231,1,0))</f>
        <v/>
      </c>
      <c r="CR231" s="29">
        <f>IF(AND(E231&gt;0,OR(AQ231="")),1,IF((AQ231)&gt;E231,1,0))</f>
        <v/>
      </c>
      <c r="CS231" s="29">
        <f>IF(AND(C231&gt;0,AR231=""),1,IF(AR231&gt;C231,1,0))</f>
        <v/>
      </c>
      <c r="CT231" s="29">
        <f>IF(AND(C231&gt;0,AS231=""),1,IF(AS231&gt;C231,1,0))</f>
        <v/>
      </c>
      <c r="CU231" s="29">
        <f>IF(AND(D231&gt;0,OR(AT231="")),1,IF((AT231)&gt;D231,1,0))</f>
        <v/>
      </c>
      <c r="CV231" s="29">
        <f>IF(AND(E231&gt;0,OR(AU231="")),1,IF((AU231)&gt;E231,1,0))</f>
        <v/>
      </c>
      <c r="CW231" s="29">
        <f>IF(AND(E231&gt;0,OR(AV231="")),1,IF((AV231)&gt;E231,1,0))</f>
        <v/>
      </c>
      <c r="CX231" s="29">
        <f>IF(AND(D231&gt;0,OR(AW231="")),1,IF((AW231)&gt;D231,1,0))</f>
        <v/>
      </c>
      <c r="CY231" s="29">
        <f>IF(AND(C231&gt;0,AX231=""),1,IF(AX231&gt;C231,1,0))</f>
        <v/>
      </c>
    </row>
    <row r="232" ht="15" customHeight="1" s="8286">
      <c r="A232" s="4064" t="inlineStr">
        <is>
          <t>Trastornos de la Conducta Alimentaria</t>
        </is>
      </c>
      <c r="B232" s="9644" t="n"/>
      <c r="C232" s="1283">
        <f>SUM(D232+E232)</f>
        <v/>
      </c>
      <c r="D232" s="2197">
        <f>SUM(F232+H232+J232+L232+N232+P232+R232+T232+V232+X232+Z232+AB232+AD232+AF232+AH232+AJ232+AL232)</f>
        <v/>
      </c>
      <c r="E232" s="7750">
        <f>SUM(G232+I232+K232+M232+O232+Q232+S232+U232+W232+Y232+AA232+AC232+AE232+AG232+AI232+AK232+AM232)</f>
        <v/>
      </c>
      <c r="F232" s="1172" t="n"/>
      <c r="G232" s="1173" t="n"/>
      <c r="H232" s="1172" t="n"/>
      <c r="I232" s="1173" t="n"/>
      <c r="J232" s="1172" t="n"/>
      <c r="K232" s="1173" t="n"/>
      <c r="L232" s="1172" t="n"/>
      <c r="M232" s="1173" t="n"/>
      <c r="N232" s="1172" t="n"/>
      <c r="O232" s="1173" t="n"/>
      <c r="P232" s="1172" t="n"/>
      <c r="Q232" s="1173" t="n"/>
      <c r="R232" s="1172" t="n"/>
      <c r="S232" s="1173" t="n"/>
      <c r="T232" s="1172" t="n"/>
      <c r="U232" s="1173" t="n"/>
      <c r="V232" s="1172" t="n"/>
      <c r="W232" s="1173" t="n"/>
      <c r="X232" s="1172" t="n"/>
      <c r="Y232" s="1173" t="n"/>
      <c r="Z232" s="1172" t="n"/>
      <c r="AA232" s="1173" t="n"/>
      <c r="AB232" s="1172" t="n"/>
      <c r="AC232" s="1173" t="n"/>
      <c r="AD232" s="1172" t="n"/>
      <c r="AE232" s="1173" t="n"/>
      <c r="AF232" s="1172" t="n"/>
      <c r="AG232" s="1173" t="n"/>
      <c r="AH232" s="1172" t="n"/>
      <c r="AI232" s="1173" t="n"/>
      <c r="AJ232" s="1172" t="n"/>
      <c r="AK232" s="1173" t="n"/>
      <c r="AL232" s="1172" t="n"/>
      <c r="AM232" s="1222" t="n"/>
      <c r="AN232" s="5215" t="n">
        <v>0</v>
      </c>
      <c r="AO232" s="3892" t="n">
        <v>0</v>
      </c>
      <c r="AP232" s="3789" t="n">
        <v>0</v>
      </c>
      <c r="AQ232" s="1173" t="n">
        <v>0</v>
      </c>
      <c r="AR232" s="1172" t="n">
        <v>0</v>
      </c>
      <c r="AS232" s="1173" t="n">
        <v>0</v>
      </c>
      <c r="AT232" s="1222" t="n">
        <v>0</v>
      </c>
      <c r="AU232" s="886" t="n">
        <v>0</v>
      </c>
      <c r="AV232" s="1222" t="n">
        <v>0</v>
      </c>
      <c r="AW232" s="886" t="n">
        <v>0</v>
      </c>
      <c r="AX232" s="1173" t="n">
        <v>0</v>
      </c>
      <c r="AY232" s="5">
        <f>CA232&amp;CB232&amp;CC232&amp;CD232&amp;CE232&amp;CF232&amp;CG232&amp;CH232&amp;CI232&amp;CJ232&amp;CK232</f>
        <v/>
      </c>
      <c r="CA232" s="90">
        <f>IF(AND(E232&gt;0,AN232=""), "* No olvide digitar la variable Gestantes. Digite Cero si no tiene.",IF(AN232&gt;E232,"  * La  variable Gestantes No puede ser mayor al Total Mujeres.",""))</f>
        <v/>
      </c>
      <c r="CB232" s="90">
        <f>IF(AND(E232&gt;0,AO232=""), "* No olvide digitar la variable Madre de hijo menor de 5 años. Digite Cero si no tiene.",IF(AO232&gt;E232,"  * La variable Madre de hijo menor de 5 años No puede ser mayor al Total Mujeres.",""))</f>
        <v/>
      </c>
      <c r="CC232" s="90">
        <f>IF(AND(D232&gt;0,OR(AP232="")), "* No olvide digitar la variable Pueblos originarios - Hombres. Digite Cero si no tiene.",IF((AP232)&gt;D232,"  * La variable Pueblos originarios - Hombres No puede ser mayor al Total.",""))</f>
        <v/>
      </c>
      <c r="CD232" s="90">
        <f>IF(AND(E232&gt;0,OR(AQ232="")), "* No olvide digitar la variable Pueblos originarios - Mujeres. Digite Cero si no tiene.",IF((AQ232)&gt;E232,"  * La variable Pueblos originarios - Mujeres No puede ser mayor al Total.",""))</f>
        <v/>
      </c>
      <c r="CE232" s="90">
        <f>IF(AND(C232&gt;0,AR232=""), "* No olvide digitar la variable Niños, niñas, adolescentes y jóvenes SENAME. Digite Cero si no tiene.",IF(AR232&gt;C232,"  * La variable Niños, niñas, adolescentes y jóvenes SENAME No puede ser mayor al Total.",""))</f>
        <v/>
      </c>
      <c r="CF232" s="90">
        <f>IF(AND(C232&gt;0,AS232=""), "* No olvide digitar la variable Servicio Nacional Protección Especializada a la Niñez y Adolescencia. Digite Cero si no tiene.",IF(AS232&gt;C232,"  * La variable Servicio Nacional Protección Especializada a la Niñez y Adolescencia No puede ser mayor al Total.",""))</f>
        <v/>
      </c>
      <c r="CG232" s="90">
        <f>IF(AND(D232&gt;0,OR(AT232="")), "* No olvide digitar la variable Migrantes - Hombres. Digite Cero si no tiene.",IF((AT232)&gt;D232,"  * La variable Migrantes - Hombres No puede ser mayor al Total Hombres.",""))</f>
        <v/>
      </c>
      <c r="CH232" s="90">
        <f>IF(AND(E232&gt;0,OR(AU232="")), "* No olvide digitar la variable Migrantes - Mujeres. Digite Cero si no tiene.",IF((AU232)&gt;E232,"  * La variable Migrantes - Mujeres No puede ser mayor al Total.",""))</f>
        <v/>
      </c>
      <c r="CI232" s="90">
        <f>IF(AND(E232&gt;0,OR(AV232="")), "* No olvide digitar la variable Trans Masculino. Digite Cero si no tiene.",IF((AV232)&gt;E232,"  * La variable Trans Masculino No puede ser mayor al Total Mujeres.",""))</f>
        <v/>
      </c>
      <c r="CJ232" s="90">
        <f>IF(AND(D232&gt;0,OR(AW232="")), "* No olvide digitar la variable Trans Femenino. Digite Cero si no tiene.",IF((AW232)&gt;D232,"  * La variable Trans Femenino No puede ser mayor al Total Hombres.",""))</f>
        <v/>
      </c>
      <c r="CK232" s="90">
        <f>IF(AND($C232&gt;0,AX232=""), "* No olvide digitar la variable Adolescentes derivados de Espacios Amigables. Digite Cero si no tiene.",IF(AX232&gt;$C232,"  * La variable Adolescentes derivados de Espacios Amigables No puede ser mayor al Total.",""))</f>
        <v/>
      </c>
      <c r="CL232" s="5" t="n"/>
      <c r="CO232" s="29">
        <f>IF(AND(E232&gt;0,AN232=""),1,IF(AN232&gt;E232,1,0))</f>
        <v/>
      </c>
      <c r="CP232" s="29">
        <f>IF(AND(E232&gt;0,AO232=""),1,IF(AO232&gt;E232,1,0))</f>
        <v/>
      </c>
      <c r="CQ232" s="29">
        <f>IF(AND(D232&gt;0,OR(AP232="")),1,IF((AP232)&gt;D232,1,0))</f>
        <v/>
      </c>
      <c r="CR232" s="29">
        <f>IF(AND(E232&gt;0,OR(AQ232="")),1,IF((AQ232)&gt;E232,1,0))</f>
        <v/>
      </c>
      <c r="CS232" s="29">
        <f>IF(AND(C232&gt;0,AR232=""),1,IF(AR232&gt;C232,1,0))</f>
        <v/>
      </c>
      <c r="CT232" s="29">
        <f>IF(AND(C232&gt;0,AS232=""),1,IF(AS232&gt;C232,1,0))</f>
        <v/>
      </c>
      <c r="CU232" s="29">
        <f>IF(AND(D232&gt;0,OR(AT232="")),1,IF((AT232)&gt;D232,1,0))</f>
        <v/>
      </c>
      <c r="CV232" s="29">
        <f>IF(AND(E232&gt;0,OR(AU232="")),1,IF((AU232)&gt;E232,1,0))</f>
        <v/>
      </c>
      <c r="CW232" s="29">
        <f>IF(AND(E232&gt;0,OR(AV232="")),1,IF((AV232)&gt;E232,1,0))</f>
        <v/>
      </c>
      <c r="CX232" s="29">
        <f>IF(AND(D232&gt;0,OR(AW232="")),1,IF((AW232)&gt;D232,1,0))</f>
        <v/>
      </c>
      <c r="CY232" s="29">
        <f>IF(AND(C232&gt;0,AX232=""),1,IF(AX232&gt;C232,1,0))</f>
        <v/>
      </c>
    </row>
    <row r="233" ht="15" customHeight="1" s="8286">
      <c r="A233" s="4064" t="inlineStr">
        <is>
          <t>Retraso Mental</t>
        </is>
      </c>
      <c r="B233" s="9644" t="n"/>
      <c r="C233" s="1283">
        <f>SUM(D233+E233)</f>
        <v/>
      </c>
      <c r="D233" s="2197">
        <f>SUM(F233+H233+J233+L233+N233+P233+R233+T233+V233+X233+Z233+AB233+AD233+AF233+AH233+AJ233+AL233)</f>
        <v/>
      </c>
      <c r="E233" s="7750">
        <f>SUM(G233+I233+K233+M233+O233+Q233+S233+U233+W233+Y233+AA233+AC233+AE233+AG233+AI233+AK233+AM233)</f>
        <v/>
      </c>
      <c r="F233" s="1172" t="n"/>
      <c r="G233" s="1173" t="n"/>
      <c r="H233" s="1172" t="n"/>
      <c r="I233" s="1173" t="n"/>
      <c r="J233" s="1172" t="n"/>
      <c r="K233" s="1173" t="n"/>
      <c r="L233" s="1172" t="n"/>
      <c r="M233" s="1173" t="n"/>
      <c r="N233" s="1172" t="n"/>
      <c r="O233" s="1173" t="n"/>
      <c r="P233" s="1172" t="n"/>
      <c r="Q233" s="1173" t="n"/>
      <c r="R233" s="1172" t="n"/>
      <c r="S233" s="1173" t="n"/>
      <c r="T233" s="1172" t="n"/>
      <c r="U233" s="1173" t="n"/>
      <c r="V233" s="1172" t="n"/>
      <c r="W233" s="1173" t="n"/>
      <c r="X233" s="1172" t="n"/>
      <c r="Y233" s="1173" t="n"/>
      <c r="Z233" s="1172" t="n"/>
      <c r="AA233" s="1173" t="n"/>
      <c r="AB233" s="1172" t="n"/>
      <c r="AC233" s="1173" t="n"/>
      <c r="AD233" s="1172" t="n"/>
      <c r="AE233" s="1173" t="n"/>
      <c r="AF233" s="1172" t="n"/>
      <c r="AG233" s="1173" t="n"/>
      <c r="AH233" s="1172" t="n"/>
      <c r="AI233" s="1173" t="n"/>
      <c r="AJ233" s="1172" t="n"/>
      <c r="AK233" s="1173" t="n"/>
      <c r="AL233" s="1172" t="n"/>
      <c r="AM233" s="1222" t="n"/>
      <c r="AN233" s="5215" t="n">
        <v>0</v>
      </c>
      <c r="AO233" s="3892" t="n">
        <v>0</v>
      </c>
      <c r="AP233" s="3789" t="n">
        <v>0</v>
      </c>
      <c r="AQ233" s="1173" t="n">
        <v>0</v>
      </c>
      <c r="AR233" s="1172" t="n">
        <v>0</v>
      </c>
      <c r="AS233" s="1173" t="n">
        <v>0</v>
      </c>
      <c r="AT233" s="1222" t="n">
        <v>0</v>
      </c>
      <c r="AU233" s="886" t="n">
        <v>0</v>
      </c>
      <c r="AV233" s="1222" t="n">
        <v>0</v>
      </c>
      <c r="AW233" s="886" t="n">
        <v>0</v>
      </c>
      <c r="AX233" s="1173" t="n">
        <v>0</v>
      </c>
      <c r="AY233" s="5">
        <f>CA233&amp;CB233&amp;CC233&amp;CD233&amp;CE233&amp;CF233&amp;CG233&amp;CH233&amp;CI233&amp;CJ233&amp;CK233</f>
        <v/>
      </c>
      <c r="CA233" s="90">
        <f>IF(AND(E233&gt;0,AN233=""), "* No olvide digitar la variable Gestantes. Digite Cero si no tiene.",IF(AN233&gt;E233,"  * La  variable Gestantes No puede ser mayor al Total Mujeres.",""))</f>
        <v/>
      </c>
      <c r="CB233" s="90">
        <f>IF(AND(E233&gt;0,AO233=""), "* No olvide digitar la variable Madre de hijo menor de 5 años. Digite Cero si no tiene.",IF(AO233&gt;E233,"  * La variable Madre de hijo menor de 5 años No puede ser mayor al Total Mujeres.",""))</f>
        <v/>
      </c>
      <c r="CC233" s="90">
        <f>IF(AND(D233&gt;0,OR(AP233="")), "* No olvide digitar la variable Pueblos originarios - Hombres. Digite Cero si no tiene.",IF((AP233)&gt;D233,"  * La variable Pueblos originarios - Hombres No puede ser mayor al Total.",""))</f>
        <v/>
      </c>
      <c r="CD233" s="90">
        <f>IF(AND(E233&gt;0,OR(AQ233="")), "* No olvide digitar la variable Pueblos originarios - Mujeres. Digite Cero si no tiene.",IF((AQ233)&gt;E233,"  * La variable Pueblos originarios - Mujeres No puede ser mayor al Total.",""))</f>
        <v/>
      </c>
      <c r="CE233" s="90">
        <f>IF(AND(C233&gt;0,AR233=""), "* No olvide digitar la variable Niños, niñas, adolescentes y jóvenes SENAME. Digite Cero si no tiene.",IF(AR233&gt;C233,"  * La variable Niños, niñas, adolescentes y jóvenes SENAME No puede ser mayor al Total.",""))</f>
        <v/>
      </c>
      <c r="CF233" s="90">
        <f>IF(AND(C233&gt;0,AS233=""), "* No olvide digitar la variable Servicio Nacional Protección Especializada a la Niñez y Adolescencia. Digite Cero si no tiene.",IF(AS233&gt;C233,"  * La variable Servicio Nacional Protección Especializada a la Niñez y Adolescencia No puede ser mayor al Total.",""))</f>
        <v/>
      </c>
      <c r="CG233" s="90">
        <f>IF(AND(D233&gt;0,OR(AT233="")), "* No olvide digitar la variable Migrantes - Hombres. Digite Cero si no tiene.",IF((AT233)&gt;D233,"  * La variable Migrantes - Hombres No puede ser mayor al Total Hombres.",""))</f>
        <v/>
      </c>
      <c r="CH233" s="90">
        <f>IF(AND(E233&gt;0,OR(AU233="")), "* No olvide digitar la variable Migrantes - Mujeres. Digite Cero si no tiene.",IF((AU233)&gt;E233,"  * La variable Migrantes - Mujeres No puede ser mayor al Total.",""))</f>
        <v/>
      </c>
      <c r="CI233" s="90">
        <f>IF(AND(E233&gt;0,OR(AV233="")), "* No olvide digitar la variable Trans Masculino. Digite Cero si no tiene.",IF((AV233)&gt;E233,"  * La variable Trans Masculino No puede ser mayor al Total Mujeres.",""))</f>
        <v/>
      </c>
      <c r="CJ233" s="90">
        <f>IF(AND(D233&gt;0,OR(AW233="")), "* No olvide digitar la variable Trans Femenino. Digite Cero si no tiene.",IF((AW233)&gt;D233,"  * La variable Trans Femenino No puede ser mayor al Total Hombres.",""))</f>
        <v/>
      </c>
      <c r="CK233" s="90">
        <f>IF(AND($C233&gt;0,AX233=""), "* No olvide digitar la variable Adolescentes derivados de Espacios Amigables. Digite Cero si no tiene.",IF(AX233&gt;$C233,"  * La variable Adolescentes derivados de Espacios Amigables No puede ser mayor al Total.",""))</f>
        <v/>
      </c>
      <c r="CL233" s="5" t="n"/>
      <c r="CO233" s="29">
        <f>IF(AND(E233&gt;0,AN233=""),1,IF(AN233&gt;E233,1,0))</f>
        <v/>
      </c>
      <c r="CP233" s="29">
        <f>IF(AND(E233&gt;0,AO233=""),1,IF(AO233&gt;E233,1,0))</f>
        <v/>
      </c>
      <c r="CQ233" s="29">
        <f>IF(AND(D233&gt;0,OR(AP233="")),1,IF((AP233)&gt;D233,1,0))</f>
        <v/>
      </c>
      <c r="CR233" s="29">
        <f>IF(AND(E233&gt;0,OR(AQ233="")),1,IF((AQ233)&gt;E233,1,0))</f>
        <v/>
      </c>
      <c r="CS233" s="29">
        <f>IF(AND(C233&gt;0,AR233=""),1,IF(AR233&gt;C233,1,0))</f>
        <v/>
      </c>
      <c r="CT233" s="29">
        <f>IF(AND(C233&gt;0,AS233=""),1,IF(AS233&gt;C233,1,0))</f>
        <v/>
      </c>
      <c r="CU233" s="29">
        <f>IF(AND(D233&gt;0,OR(AT233="")),1,IF((AT233)&gt;D233,1,0))</f>
        <v/>
      </c>
      <c r="CV233" s="29">
        <f>IF(AND(E233&gt;0,OR(AU233="")),1,IF((AU233)&gt;E233,1,0))</f>
        <v/>
      </c>
      <c r="CW233" s="29">
        <f>IF(AND(E233&gt;0,OR(AV233="")),1,IF((AV233)&gt;E233,1,0))</f>
        <v/>
      </c>
      <c r="CX233" s="29">
        <f>IF(AND(D233&gt;0,OR(AW233="")),1,IF((AW233)&gt;D233,1,0))</f>
        <v/>
      </c>
      <c r="CY233" s="29">
        <f>IF(AND(C233&gt;0,AX233=""),1,IF(AX233&gt;C233,1,0))</f>
        <v/>
      </c>
    </row>
    <row r="234" ht="15" customHeight="1" s="8286">
      <c r="A234" s="9929" t="inlineStr">
        <is>
          <t>Trastorno de Personalidad</t>
        </is>
      </c>
      <c r="B234" s="9720" t="n"/>
      <c r="C234" s="1363">
        <f>SUM(D234+E234)</f>
        <v/>
      </c>
      <c r="D234" s="1364">
        <f>SUM(F234+H234+J234+L234+N234+P234+R234+T234+V234+X234+Z234+AB234+AD234+AF234+AH234+AJ234+AL234)</f>
        <v/>
      </c>
      <c r="E234" s="1365">
        <f>SUM(G234+I234+K234+M234+O234+Q234+S234+U234+W234+Y234+AA234+AC234+AE234+AG234+AI234+AK234+AM234)</f>
        <v/>
      </c>
      <c r="F234" s="1188" t="n"/>
      <c r="G234" s="1192" t="n"/>
      <c r="H234" s="1188" t="n"/>
      <c r="I234" s="1192" t="n"/>
      <c r="J234" s="1188" t="n"/>
      <c r="K234" s="1192" t="n"/>
      <c r="L234" s="1188" t="n"/>
      <c r="M234" s="1192" t="n"/>
      <c r="N234" s="1188" t="n"/>
      <c r="O234" s="1192" t="n"/>
      <c r="P234" s="1188" t="n">
        <v>1</v>
      </c>
      <c r="Q234" s="1192" t="n"/>
      <c r="R234" s="1188" t="n"/>
      <c r="S234" s="1192" t="n"/>
      <c r="T234" s="1188" t="n"/>
      <c r="U234" s="1192" t="n"/>
      <c r="V234" s="1188" t="n"/>
      <c r="W234" s="1192" t="n"/>
      <c r="X234" s="1188" t="n"/>
      <c r="Y234" s="1192" t="n"/>
      <c r="Z234" s="1188" t="n"/>
      <c r="AA234" s="1192" t="n"/>
      <c r="AB234" s="1188" t="n"/>
      <c r="AC234" s="1192" t="n"/>
      <c r="AD234" s="1188" t="n"/>
      <c r="AE234" s="1192" t="n"/>
      <c r="AF234" s="1188" t="n"/>
      <c r="AG234" s="1192" t="n"/>
      <c r="AH234" s="1188" t="n"/>
      <c r="AI234" s="1192" t="n"/>
      <c r="AJ234" s="1188" t="n"/>
      <c r="AK234" s="1192" t="n"/>
      <c r="AL234" s="1188" t="n"/>
      <c r="AM234" s="1227" t="n"/>
      <c r="AN234" s="5249" t="n">
        <v>0</v>
      </c>
      <c r="AO234" s="1223" t="n">
        <v>0</v>
      </c>
      <c r="AP234" s="1193" t="n">
        <v>0</v>
      </c>
      <c r="AQ234" s="1192" t="n">
        <v>0</v>
      </c>
      <c r="AR234" s="1188" t="n">
        <v>0</v>
      </c>
      <c r="AS234" s="1192" t="n">
        <v>0</v>
      </c>
      <c r="AT234" s="1227" t="n">
        <v>0</v>
      </c>
      <c r="AU234" s="1119" t="n">
        <v>0</v>
      </c>
      <c r="AV234" s="1227" t="n">
        <v>0</v>
      </c>
      <c r="AW234" s="1119" t="n">
        <v>0</v>
      </c>
      <c r="AX234" s="1192" t="n">
        <v>0</v>
      </c>
      <c r="AY234" s="5">
        <f>CA234&amp;CB234&amp;CC234&amp;CD234&amp;CE234&amp;CF234&amp;CG234&amp;CH234&amp;CI234&amp;CJ234&amp;CK234</f>
        <v/>
      </c>
      <c r="CA234" s="90">
        <f>IF(AND(E234&gt;0,AN234=""), "* No olvide digitar la variable Gestantes. Digite Cero si no tiene.",IF(AN234&gt;E234,"  * La  variable Gestantes No puede ser mayor al Total Mujeres.",""))</f>
        <v/>
      </c>
      <c r="CB234" s="90">
        <f>IF(AND(E234&gt;0,AO234=""), "* No olvide digitar la variable Madre de hijo menor de 5 años. Digite Cero si no tiene.",IF(AO234&gt;E234,"  * La variable Madre de hijo menor de 5 años No puede ser mayor al Total Mujeres.",""))</f>
        <v/>
      </c>
      <c r="CC234" s="90">
        <f>IF(AND(D234&gt;0,OR(AP234="")), "* No olvide digitar la variable Pueblos originarios - Hombres. Digite Cero si no tiene.",IF((AP234)&gt;D234,"  * La variable Pueblos originarios - Hombres No puede ser mayor al Total.",""))</f>
        <v/>
      </c>
      <c r="CD234" s="90">
        <f>IF(AND(E234&gt;0,OR(AQ234="")), "* No olvide digitar la variable Pueblos originarios - Mujeres. Digite Cero si no tiene.",IF((AQ234)&gt;E234,"  * La variable Pueblos originarios - Mujeres No puede ser mayor al Total.",""))</f>
        <v/>
      </c>
      <c r="CE234" s="90">
        <f>IF(AND(C234&gt;0,AR234=""), "* No olvide digitar la variable Niños, niñas, adolescentes y jóvenes SENAME. Digite Cero si no tiene.",IF(AR234&gt;C234,"  * La variable Niños, niñas, adolescentes y jóvenes SENAME No puede ser mayor al Total.",""))</f>
        <v/>
      </c>
      <c r="CF234" s="90">
        <f>IF(AND(C234&gt;0,AS234=""), "* No olvide digitar la variable Servicio Nacional Protección Especializada a la Niñez y Adolescencia. Digite Cero si no tiene.",IF(AS234&gt;C234,"  * La variable Servicio Nacional Protección Especializada a la Niñez y Adolescencia No puede ser mayor al Total.",""))</f>
        <v/>
      </c>
      <c r="CG234" s="90">
        <f>IF(AND(D234&gt;0,OR(AT234="")), "* No olvide digitar la variable Migrantes - Hombres. Digite Cero si no tiene.",IF((AT234)&gt;D234,"  * La variable Migrantes - Hombres No puede ser mayor al Total Hombres.",""))</f>
        <v/>
      </c>
      <c r="CH234" s="90">
        <f>IF(AND(E234&gt;0,OR(AU234="")), "* No olvide digitar la variable Migrantes - Mujeres. Digite Cero si no tiene.",IF((AU234)&gt;E234,"  * La variable Migrantes - Mujeres No puede ser mayor al Total.",""))</f>
        <v/>
      </c>
      <c r="CI234" s="90">
        <f>IF(AND(E234&gt;0,OR(AV234="")), "* No olvide digitar la variable Trans Masculino. Digite Cero si no tiene.",IF((AV234)&gt;E234,"  * La variable Trans Masculino No puede ser mayor al Total Mujeres.",""))</f>
        <v/>
      </c>
      <c r="CJ234" s="90">
        <f>IF(AND(D234&gt;0,OR(AW234="")), "* No olvide digitar la variable Trans Femenino. Digite Cero si no tiene.",IF((AW234)&gt;D234,"  * La variable Trans Femenino No puede ser mayor al Total Hombres.",""))</f>
        <v/>
      </c>
      <c r="CK234" s="90">
        <f>IF(AND($C234&gt;0,AX234=""), "* No olvide digitar la variable Adolescentes derivados de Espacios Amigables. Digite Cero si no tiene.",IF(AX234&gt;$C234,"  * La variable Adolescentes derivados de Espacios Amigables No puede ser mayor al Total.",""))</f>
        <v/>
      </c>
      <c r="CL234" s="5" t="n"/>
      <c r="CO234" s="29">
        <f>IF(AND(E234&gt;0,AN234=""),1,IF(AN234&gt;E234,1,0))</f>
        <v/>
      </c>
      <c r="CP234" s="29">
        <f>IF(AND(E234&gt;0,AO234=""),1,IF(AO234&gt;E234,1,0))</f>
        <v/>
      </c>
      <c r="CQ234" s="29">
        <f>IF(AND(D234&gt;0,OR(AP234="")),1,IF((AP234)&gt;D234,1,0))</f>
        <v/>
      </c>
      <c r="CR234" s="29">
        <f>IF(AND(E234&gt;0,OR(AQ234="")),1,IF((AQ234)&gt;E234,1,0))</f>
        <v/>
      </c>
      <c r="CS234" s="29">
        <f>IF(AND(C234&gt;0,AR234=""),1,IF(AR234&gt;C234,1,0))</f>
        <v/>
      </c>
      <c r="CT234" s="29">
        <f>IF(AND(C234&gt;0,AS234=""),1,IF(AS234&gt;C234,1,0))</f>
        <v/>
      </c>
      <c r="CU234" s="29">
        <f>IF(AND(D234&gt;0,OR(AT234="")),1,IF((AT234)&gt;D234,1,0))</f>
        <v/>
      </c>
      <c r="CV234" s="29">
        <f>IF(AND(E234&gt;0,OR(AU234="")),1,IF((AU234)&gt;E234,1,0))</f>
        <v/>
      </c>
      <c r="CW234" s="29">
        <f>IF(AND(E234&gt;0,OR(AV234="")),1,IF((AV234)&gt;E234,1,0))</f>
        <v/>
      </c>
      <c r="CX234" s="29">
        <f>IF(AND(D234&gt;0,OR(AW234="")),1,IF((AW234)&gt;D234,1,0))</f>
        <v/>
      </c>
      <c r="CY234" s="29">
        <f>IF(AND(C234&gt;0,AX234=""),1,IF(AX234&gt;C234,1,0))</f>
        <v/>
      </c>
    </row>
    <row r="235" ht="15" customHeight="1" s="8286">
      <c r="A235" s="9933" t="inlineStr">
        <is>
          <t>Trastorno Generalizados del Desarrollo</t>
        </is>
      </c>
      <c r="B235" s="2213" t="inlineStr">
        <is>
          <t>Autismo</t>
        </is>
      </c>
      <c r="C235" s="2180">
        <f>SUM(D235+E235)</f>
        <v/>
      </c>
      <c r="D235" s="855">
        <f>SUM(F235+H235+J235+L235+N235+P235+R235+T235+V235+X235+Z235+AB235+AD235+AF235+AH235+AJ235+AL235)</f>
        <v/>
      </c>
      <c r="E235" s="2218">
        <f>SUM(G235+I235+K235+M235+O235+Q235+S235+U235+W235+Y235+AA235+AC235+AE235+AG235+AI235+AK235+AM235)</f>
        <v/>
      </c>
      <c r="F235" s="645" t="n"/>
      <c r="G235" s="2057" t="n"/>
      <c r="H235" s="645" t="n"/>
      <c r="I235" s="2057" t="n"/>
      <c r="J235" s="645" t="n"/>
      <c r="K235" s="2057" t="n"/>
      <c r="L235" s="645" t="n"/>
      <c r="M235" s="2057" t="n"/>
      <c r="N235" s="645" t="n"/>
      <c r="O235" s="2057" t="n"/>
      <c r="P235" s="645" t="n"/>
      <c r="Q235" s="2057" t="n"/>
      <c r="R235" s="645" t="n"/>
      <c r="S235" s="2057" t="n"/>
      <c r="T235" s="645" t="n"/>
      <c r="U235" s="2057" t="n"/>
      <c r="V235" s="645" t="n"/>
      <c r="W235" s="2057" t="n"/>
      <c r="X235" s="645" t="n"/>
      <c r="Y235" s="2057" t="n"/>
      <c r="Z235" s="645" t="n"/>
      <c r="AA235" s="2057" t="n"/>
      <c r="AB235" s="645" t="n"/>
      <c r="AC235" s="2057" t="n"/>
      <c r="AD235" s="645" t="n"/>
      <c r="AE235" s="2057" t="n"/>
      <c r="AF235" s="645" t="n"/>
      <c r="AG235" s="2057" t="n"/>
      <c r="AH235" s="645" t="n"/>
      <c r="AI235" s="2057" t="n"/>
      <c r="AJ235" s="645" t="n"/>
      <c r="AK235" s="2057" t="n"/>
      <c r="AL235" s="645" t="n"/>
      <c r="AM235" s="37" t="n"/>
      <c r="AN235" s="5247" t="n">
        <v>0</v>
      </c>
      <c r="AO235" s="670" t="n">
        <v>0</v>
      </c>
      <c r="AP235" s="204" t="n">
        <v>0</v>
      </c>
      <c r="AQ235" s="2057" t="n">
        <v>0</v>
      </c>
      <c r="AR235" s="645" t="n">
        <v>0</v>
      </c>
      <c r="AS235" s="2057" t="n">
        <v>0</v>
      </c>
      <c r="AT235" s="37" t="n">
        <v>0</v>
      </c>
      <c r="AU235" s="2196" t="n">
        <v>0</v>
      </c>
      <c r="AV235" s="37" t="n">
        <v>0</v>
      </c>
      <c r="AW235" s="2196" t="n">
        <v>0</v>
      </c>
      <c r="AX235" s="2057" t="n">
        <v>0</v>
      </c>
      <c r="AY235" s="5">
        <f>CA235&amp;CB235&amp;CC235&amp;CD235&amp;CE235&amp;CF235&amp;CG235&amp;CH235&amp;CI235&amp;CJ235&amp;CK235</f>
        <v/>
      </c>
      <c r="CA235" s="90">
        <f>IF(AND(E235&gt;0,AN235=""), "* No olvide digitar la variable Gestantes. Digite Cero si no tiene.",IF(AN235&gt;E235,"  * La  variable Gestantes No puede ser mayor al Total Mujeres.",""))</f>
        <v/>
      </c>
      <c r="CB235" s="90">
        <f>IF(AND(E235&gt;0,AO235=""), "* No olvide digitar la variable Madre de hijo menor de 5 años. Digite Cero si no tiene.",IF(AO235&gt;E235,"  * La variable Madre de hijo menor de 5 años No puede ser mayor al Total Mujeres.",""))</f>
        <v/>
      </c>
      <c r="CC235" s="90">
        <f>IF(AND(D235&gt;0,OR(AP235="")), "* No olvide digitar la variable Pueblos originarios - Hombres. Digite Cero si no tiene.",IF((AP235)&gt;D235,"  * La variable Pueblos originarios - Hombres No puede ser mayor al Total.",""))</f>
        <v/>
      </c>
      <c r="CD235" s="90">
        <f>IF(AND(E235&gt;0,OR(AQ235="")), "* No olvide digitar la variable Pueblos originarios - Mujeres. Digite Cero si no tiene.",IF((AQ235)&gt;E235,"  * La variable Pueblos originarios - Mujeres No puede ser mayor al Total.",""))</f>
        <v/>
      </c>
      <c r="CE235" s="90">
        <f>IF(AND(C235&gt;0,AR235=""), "* No olvide digitar la variable Niños, niñas, adolescentes y jóvenes SENAME. Digite Cero si no tiene.",IF(AR235&gt;C235,"  * La variable Niños, niñas, adolescentes y jóvenes SENAME No puede ser mayor al Total.",""))</f>
        <v/>
      </c>
      <c r="CF235" s="90">
        <f>IF(AND(C235&gt;0,AS235=""), "* No olvide digitar la variable Servicio Nacional Protección Especializada a la Niñez y Adolescencia. Digite Cero si no tiene.",IF(AS235&gt;C235,"  * La variable Servicio Nacional Protección Especializada a la Niñez y Adolescencia No puede ser mayor al Total.",""))</f>
        <v/>
      </c>
      <c r="CG235" s="90">
        <f>IF(AND(D235&gt;0,OR(AT235="")), "* No olvide digitar la variable Migrantes - Hombres. Digite Cero si no tiene.",IF((AT235)&gt;D235,"  * La variable Migrantes - Hombres No puede ser mayor al Total Hombres.",""))</f>
        <v/>
      </c>
      <c r="CH235" s="90">
        <f>IF(AND(E235&gt;0,OR(AU235="")), "* No olvide digitar la variable Migrantes - Mujeres. Digite Cero si no tiene.",IF((AU235)&gt;E235,"  * La variable Migrantes - Mujeres No puede ser mayor al Total.",""))</f>
        <v/>
      </c>
      <c r="CI235" s="90">
        <f>IF(AND(E235&gt;0,OR(AV235="")), "* No olvide digitar la variable Trans Masculino. Digite Cero si no tiene.",IF((AV235)&gt;E235,"  * La variable Trans Masculino No puede ser mayor al Total Mujeres.",""))</f>
        <v/>
      </c>
      <c r="CJ235" s="90">
        <f>IF(AND(D235&gt;0,OR(AW235="")), "* No olvide digitar la variable Trans Femenino. Digite Cero si no tiene.",IF((AW235)&gt;D235,"  * La variable Trans Femenino No puede ser mayor al Total Hombres.",""))</f>
        <v/>
      </c>
      <c r="CK235" s="90">
        <f>IF(AND($C235&gt;0,AX235=""), "* No olvide digitar la variable Adolescentes derivados de Espacios Amigables. Digite Cero si no tiene.",IF(AX235&gt;$C235,"  * La variable Adolescentes derivados de Espacios Amigables No puede ser mayor al Total.",""))</f>
        <v/>
      </c>
      <c r="CL235" s="5" t="n"/>
      <c r="CO235" s="29">
        <f>IF(AND(E235&gt;0,AN235=""),1,IF(AN235&gt;E235,1,0))</f>
        <v/>
      </c>
      <c r="CP235" s="29">
        <f>IF(AND(E235&gt;0,AO235=""),1,IF(AO235&gt;E235,1,0))</f>
        <v/>
      </c>
      <c r="CQ235" s="29">
        <f>IF(AND(D235&gt;0,OR(AP235="")),1,IF((AP235)&gt;D235,1,0))</f>
        <v/>
      </c>
      <c r="CR235" s="29">
        <f>IF(AND(E235&gt;0,OR(AQ235="")),1,IF((AQ235)&gt;E235,1,0))</f>
        <v/>
      </c>
      <c r="CS235" s="29">
        <f>IF(AND(C235&gt;0,AR235=""),1,IF(AR235&gt;C235,1,0))</f>
        <v/>
      </c>
      <c r="CT235" s="29">
        <f>IF(AND(C235&gt;0,AS235=""),1,IF(AS235&gt;C235,1,0))</f>
        <v/>
      </c>
      <c r="CU235" s="29">
        <f>IF(AND(D235&gt;0,OR(AT235="")),1,IF((AT235)&gt;D235,1,0))</f>
        <v/>
      </c>
      <c r="CV235" s="29">
        <f>IF(AND(E235&gt;0,OR(AU235="")),1,IF((AU235)&gt;E235,1,0))</f>
        <v/>
      </c>
      <c r="CW235" s="29">
        <f>IF(AND(E235&gt;0,OR(AV235="")),1,IF((AV235)&gt;E235,1,0))</f>
        <v/>
      </c>
      <c r="CX235" s="29">
        <f>IF(AND(D235&gt;0,OR(AW235="")),1,IF((AW235)&gt;D235,1,0))</f>
        <v/>
      </c>
      <c r="CY235" s="29">
        <f>IF(AND(C235&gt;0,AX235=""),1,IF(AX235&gt;C235,1,0))</f>
        <v/>
      </c>
    </row>
    <row r="236" ht="15" customHeight="1" s="8286">
      <c r="A236" s="9614" t="n"/>
      <c r="B236" s="1209" t="inlineStr">
        <is>
          <t>Asperger</t>
        </is>
      </c>
      <c r="C236" s="1283">
        <f>SUM(D236+E236)</f>
        <v/>
      </c>
      <c r="D236" s="2197">
        <f>SUM(F236+H236+J236+L236+N236+P236+R236+T236+V236+X236+Z236+AB236+AD236+AF236+AH236+AJ236+AL236)</f>
        <v/>
      </c>
      <c r="E236" s="1099">
        <f>SUM(G236+I236+K236+M236+O236+Q236+S236+U236+W236+Y236+AA236+AC236+AE236+AG236+AI236+AK236+AM236)</f>
        <v/>
      </c>
      <c r="F236" s="1179" t="n"/>
      <c r="G236" s="1180" t="n"/>
      <c r="H236" s="1179" t="n"/>
      <c r="I236" s="1180" t="n"/>
      <c r="J236" s="1179" t="n"/>
      <c r="K236" s="1180" t="n"/>
      <c r="L236" s="1179" t="n"/>
      <c r="M236" s="1180" t="n"/>
      <c r="N236" s="1179" t="n"/>
      <c r="O236" s="1180" t="n"/>
      <c r="P236" s="1179" t="n"/>
      <c r="Q236" s="1180" t="n"/>
      <c r="R236" s="1179" t="n"/>
      <c r="S236" s="1180" t="n"/>
      <c r="T236" s="1179" t="n"/>
      <c r="U236" s="1180" t="n"/>
      <c r="V236" s="1179" t="n"/>
      <c r="W236" s="1180" t="n"/>
      <c r="X236" s="1179" t="n"/>
      <c r="Y236" s="1180" t="n"/>
      <c r="Z236" s="1179" t="n"/>
      <c r="AA236" s="1180" t="n"/>
      <c r="AB236" s="1179" t="n"/>
      <c r="AC236" s="1180" t="n"/>
      <c r="AD236" s="1179" t="n"/>
      <c r="AE236" s="1180" t="n"/>
      <c r="AF236" s="1179" t="n"/>
      <c r="AG236" s="1180" t="n"/>
      <c r="AH236" s="1179" t="n"/>
      <c r="AI236" s="1180" t="n"/>
      <c r="AJ236" s="1179" t="n"/>
      <c r="AK236" s="1180" t="n"/>
      <c r="AL236" s="1179" t="n"/>
      <c r="AM236" s="35" t="n"/>
      <c r="AN236" s="5248" t="n">
        <v>0</v>
      </c>
      <c r="AO236" s="1229" t="n">
        <v>0</v>
      </c>
      <c r="AP236" s="1181" t="n">
        <v>0</v>
      </c>
      <c r="AQ236" s="1180" t="n">
        <v>0</v>
      </c>
      <c r="AR236" s="1179" t="n">
        <v>0</v>
      </c>
      <c r="AS236" s="1180" t="n">
        <v>0</v>
      </c>
      <c r="AT236" s="35" t="n">
        <v>0</v>
      </c>
      <c r="AU236" s="1183" t="n">
        <v>0</v>
      </c>
      <c r="AV236" s="35" t="n">
        <v>0</v>
      </c>
      <c r="AW236" s="1183" t="n">
        <v>0</v>
      </c>
      <c r="AX236" s="1180" t="n">
        <v>0</v>
      </c>
      <c r="AY236" s="5">
        <f>CA236&amp;CB236&amp;CC236&amp;CD236&amp;CE236&amp;CF236&amp;CG236&amp;CH236&amp;CI236&amp;CJ236&amp;CK236</f>
        <v/>
      </c>
      <c r="CA236" s="90">
        <f>IF(AND(E236&gt;0,AN236=""), "* No olvide digitar la variable Gestantes. Digite Cero si no tiene.",IF(AN236&gt;E236,"  * La  variable Gestantes No puede ser mayor al Total Mujeres.",""))</f>
        <v/>
      </c>
      <c r="CB236" s="90">
        <f>IF(AND(E236&gt;0,AO236=""), "* No olvide digitar la variable Madre de hijo menor de 5 años. Digite Cero si no tiene.",IF(AO236&gt;E236,"  * La variable Madre de hijo menor de 5 años No puede ser mayor al Total Mujeres.",""))</f>
        <v/>
      </c>
      <c r="CC236" s="90">
        <f>IF(AND(D236&gt;0,OR(AP236="")), "* No olvide digitar la variable Pueblos originarios - Hombres. Digite Cero si no tiene.",IF((AP236)&gt;D236,"  * La variable Pueblos originarios - Hombres No puede ser mayor al Total.",""))</f>
        <v/>
      </c>
      <c r="CD236" s="90">
        <f>IF(AND(E236&gt;0,OR(AQ236="")), "* No olvide digitar la variable Pueblos originarios - Mujeres. Digite Cero si no tiene.",IF((AQ236)&gt;E236,"  * La variable Pueblos originarios - Mujeres No puede ser mayor al Total.",""))</f>
        <v/>
      </c>
      <c r="CE236" s="90">
        <f>IF(AND(C236&gt;0,AR236=""), "* No olvide digitar la variable Niños, niñas, adolescentes y jóvenes SENAME. Digite Cero si no tiene.",IF(AR236&gt;C236,"  * La variable Niños, niñas, adolescentes y jóvenes SENAME No puede ser mayor al Total.",""))</f>
        <v/>
      </c>
      <c r="CF236" s="90">
        <f>IF(AND(C236&gt;0,AS236=""), "* No olvide digitar la variable Servicio Nacional Protección Especializada a la Niñez y Adolescencia. Digite Cero si no tiene.",IF(AS236&gt;C236,"  * La variable Servicio Nacional Protección Especializada a la Niñez y Adolescencia No puede ser mayor al Total.",""))</f>
        <v/>
      </c>
      <c r="CG236" s="90">
        <f>IF(AND(D236&gt;0,OR(AT236="")), "* No olvide digitar la variable Migrantes - Hombres. Digite Cero si no tiene.",IF((AT236)&gt;D236,"  * La variable Migrantes - Hombres No puede ser mayor al Total Hombres.",""))</f>
        <v/>
      </c>
      <c r="CH236" s="90">
        <f>IF(AND(E236&gt;0,OR(AU236="")), "* No olvide digitar la variable Migrantes - Mujeres. Digite Cero si no tiene.",IF((AU236)&gt;E236,"  * La variable Migrantes - Mujeres No puede ser mayor al Total.",""))</f>
        <v/>
      </c>
      <c r="CI236" s="90">
        <f>IF(AND(E236&gt;0,OR(AV236="")), "* No olvide digitar la variable Trans Masculino. Digite Cero si no tiene.",IF((AV236)&gt;E236,"  * La variable Trans Masculino No puede ser mayor al Total Mujeres.",""))</f>
        <v/>
      </c>
      <c r="CJ236" s="90">
        <f>IF(AND(D236&gt;0,OR(AW236="")), "* No olvide digitar la variable Trans Femenino. Digite Cero si no tiene.",IF((AW236)&gt;D236,"  * La variable Trans Femenino No puede ser mayor al Total Hombres.",""))</f>
        <v/>
      </c>
      <c r="CK236" s="90">
        <f>IF(AND($C236&gt;0,AX236=""), "* No olvide digitar la variable Adolescentes derivados de Espacios Amigables. Digite Cero si no tiene.",IF(AX236&gt;$C236,"  * La variable Adolescentes derivados de Espacios Amigables No puede ser mayor al Total.",""))</f>
        <v/>
      </c>
      <c r="CL236" s="5" t="n"/>
      <c r="CO236" s="29">
        <f>IF(AND(E236&gt;0,AN236=""),1,IF(AN236&gt;E236,1,0))</f>
        <v/>
      </c>
      <c r="CP236" s="29">
        <f>IF(AND(E236&gt;0,AO236=""),1,IF(AO236&gt;E236,1,0))</f>
        <v/>
      </c>
      <c r="CQ236" s="29">
        <f>IF(AND(D236&gt;0,OR(AP236="")),1,IF((AP236)&gt;D236,1,0))</f>
        <v/>
      </c>
      <c r="CR236" s="29">
        <f>IF(AND(E236&gt;0,OR(AQ236="")),1,IF((AQ236)&gt;E236,1,0))</f>
        <v/>
      </c>
      <c r="CS236" s="29">
        <f>IF(AND(C236&gt;0,AR236=""),1,IF(AR236&gt;C236,1,0))</f>
        <v/>
      </c>
      <c r="CT236" s="29">
        <f>IF(AND(C236&gt;0,AS236=""),1,IF(AS236&gt;C236,1,0))</f>
        <v/>
      </c>
      <c r="CU236" s="29">
        <f>IF(AND(D236&gt;0,OR(AT236="")),1,IF((AT236)&gt;D236,1,0))</f>
        <v/>
      </c>
      <c r="CV236" s="29">
        <f>IF(AND(E236&gt;0,OR(AU236="")),1,IF((AU236)&gt;E236,1,0))</f>
        <v/>
      </c>
      <c r="CW236" s="29">
        <f>IF(AND(E236&gt;0,OR(AV236="")),1,IF((AV236)&gt;E236,1,0))</f>
        <v/>
      </c>
      <c r="CX236" s="29">
        <f>IF(AND(D236&gt;0,OR(AW236="")),1,IF((AW236)&gt;D236,1,0))</f>
        <v/>
      </c>
      <c r="CY236" s="29">
        <f>IF(AND(C236&gt;0,AX236=""),1,IF(AX236&gt;C236,1,0))</f>
        <v/>
      </c>
    </row>
    <row r="237" ht="15" customHeight="1" s="8286">
      <c r="A237" s="9614" t="n"/>
      <c r="B237" s="1209" t="inlineStr">
        <is>
          <t>Síndrome de Rett</t>
        </is>
      </c>
      <c r="C237" s="1283">
        <f>SUM(D237+E237)</f>
        <v/>
      </c>
      <c r="D237" s="2197">
        <f>SUM(F237+H237+J237+L237+N237+P237+R237+T237+V237+X237+Z237+AB237+AD237+AF237+AH237+AJ237+AL237)</f>
        <v/>
      </c>
      <c r="E237" s="1099">
        <f>SUM(G237+I237+K237+M237+O237+Q237+S237+U237+W237+Y237+AA237+AC237+AE237+AG237+AI237+AK237+AM237)</f>
        <v/>
      </c>
      <c r="F237" s="1179" t="n"/>
      <c r="G237" s="1180" t="n"/>
      <c r="H237" s="1179" t="n"/>
      <c r="I237" s="1180" t="n"/>
      <c r="J237" s="1179" t="n"/>
      <c r="K237" s="1180" t="n"/>
      <c r="L237" s="1179" t="n"/>
      <c r="M237" s="1180" t="n"/>
      <c r="N237" s="1179" t="n"/>
      <c r="O237" s="1180" t="n"/>
      <c r="P237" s="1179" t="n"/>
      <c r="Q237" s="1180" t="n"/>
      <c r="R237" s="1179" t="n"/>
      <c r="S237" s="1180" t="n"/>
      <c r="T237" s="1179" t="n"/>
      <c r="U237" s="1180" t="n"/>
      <c r="V237" s="1179" t="n"/>
      <c r="W237" s="1180" t="n"/>
      <c r="X237" s="1179" t="n"/>
      <c r="Y237" s="1180" t="n"/>
      <c r="Z237" s="1179" t="n"/>
      <c r="AA237" s="1180" t="n"/>
      <c r="AB237" s="1179" t="n"/>
      <c r="AC237" s="1180" t="n"/>
      <c r="AD237" s="1179" t="n"/>
      <c r="AE237" s="1180" t="n"/>
      <c r="AF237" s="1179" t="n"/>
      <c r="AG237" s="1180" t="n"/>
      <c r="AH237" s="1179" t="n"/>
      <c r="AI237" s="1180" t="n"/>
      <c r="AJ237" s="1179" t="n"/>
      <c r="AK237" s="1180" t="n"/>
      <c r="AL237" s="1179" t="n"/>
      <c r="AM237" s="35" t="n"/>
      <c r="AN237" s="5248" t="n">
        <v>0</v>
      </c>
      <c r="AO237" s="1229" t="n">
        <v>0</v>
      </c>
      <c r="AP237" s="1181" t="n">
        <v>0</v>
      </c>
      <c r="AQ237" s="1180" t="n">
        <v>0</v>
      </c>
      <c r="AR237" s="1179" t="n">
        <v>0</v>
      </c>
      <c r="AS237" s="1180" t="n">
        <v>0</v>
      </c>
      <c r="AT237" s="35" t="n">
        <v>0</v>
      </c>
      <c r="AU237" s="1183" t="n">
        <v>0</v>
      </c>
      <c r="AV237" s="35" t="n">
        <v>0</v>
      </c>
      <c r="AW237" s="1183" t="n">
        <v>0</v>
      </c>
      <c r="AX237" s="1180" t="n">
        <v>0</v>
      </c>
      <c r="AY237" s="5">
        <f>CA237&amp;CB237&amp;CC237&amp;CD237&amp;CE237&amp;CF237&amp;CG237&amp;CH237&amp;CI237&amp;CJ237&amp;CK237</f>
        <v/>
      </c>
      <c r="CA237" s="90">
        <f>IF(AND(E237&gt;0,AN237=""), "* No olvide digitar la variable Gestantes. Digite Cero si no tiene.",IF(AN237&gt;E237,"  * La  variable Gestantes No puede ser mayor al Total Mujeres.",""))</f>
        <v/>
      </c>
      <c r="CB237" s="90">
        <f>IF(AND(E237&gt;0,AO237=""), "* No olvide digitar la variable Madre de hijo menor de 5 años. Digite Cero si no tiene.",IF(AO237&gt;E237,"  * La variable Madre de hijo menor de 5 años No puede ser mayor al Total Mujeres.",""))</f>
        <v/>
      </c>
      <c r="CC237" s="90">
        <f>IF(AND(D237&gt;0,OR(AP237="")), "* No olvide digitar la variable Pueblos originarios - Hombres. Digite Cero si no tiene.",IF((AP237)&gt;D237,"  * La variable Pueblos originarios - Hombres No puede ser mayor al Total.",""))</f>
        <v/>
      </c>
      <c r="CD237" s="90">
        <f>IF(AND(E237&gt;0,OR(AQ237="")), "* No olvide digitar la variable Pueblos originarios - Mujeres. Digite Cero si no tiene.",IF((AQ237)&gt;E237,"  * La variable Pueblos originarios - Mujeres No puede ser mayor al Total.",""))</f>
        <v/>
      </c>
      <c r="CE237" s="90">
        <f>IF(AND(C237&gt;0,AR237=""), "* No olvide digitar la variable Niños, niñas, adolescentes y jóvenes SENAME. Digite Cero si no tiene.",IF(AR237&gt;C237,"  * La variable Niños, niñas, adolescentes y jóvenes SENAME No puede ser mayor al Total.",""))</f>
        <v/>
      </c>
      <c r="CF237" s="90">
        <f>IF(AND(C237&gt;0,AS237=""), "* No olvide digitar la variable Servicio Nacional Protección Especializada a la Niñez y Adolescencia. Digite Cero si no tiene.",IF(AS237&gt;C237,"  * La variable Servicio Nacional Protección Especializada a la Niñez y Adolescencia No puede ser mayor al Total.",""))</f>
        <v/>
      </c>
      <c r="CG237" s="90">
        <f>IF(AND(D237&gt;0,OR(AT237="")), "* No olvide digitar la variable Migrantes - Hombres. Digite Cero si no tiene.",IF((AT237)&gt;D237,"  * La variable Migrantes - Hombres No puede ser mayor al Total Hombres.",""))</f>
        <v/>
      </c>
      <c r="CH237" s="90">
        <f>IF(AND(E237&gt;0,OR(AU237="")), "* No olvide digitar la variable Migrantes - Mujeres. Digite Cero si no tiene.",IF((AU237)&gt;E237,"  * La variable Migrantes - Mujeres No puede ser mayor al Total.",""))</f>
        <v/>
      </c>
      <c r="CI237" s="90">
        <f>IF(AND(E237&gt;0,OR(AV237="")), "* No olvide digitar la variable Trans Masculino. Digite Cero si no tiene.",IF((AV237)&gt;E237,"  * La variable Trans Masculino No puede ser mayor al Total Mujeres.",""))</f>
        <v/>
      </c>
      <c r="CJ237" s="90">
        <f>IF(AND(D237&gt;0,OR(AW237="")), "* No olvide digitar la variable Trans Femenino. Digite Cero si no tiene.",IF((AW237)&gt;D237,"  * La variable Trans Femenino No puede ser mayor al Total Hombres.",""))</f>
        <v/>
      </c>
      <c r="CK237" s="90">
        <f>IF(AND($C237&gt;0,AX237=""), "* No olvide digitar la variable Adolescentes derivados de Espacios Amigables. Digite Cero si no tiene.",IF(AX237&gt;$C237,"  * La variable Adolescentes derivados de Espacios Amigables No puede ser mayor al Total.",""))</f>
        <v/>
      </c>
      <c r="CL237" s="5" t="n"/>
      <c r="CO237" s="29">
        <f>IF(AND(E237&gt;0,AN237=""),1,IF(AN237&gt;E237,1,0))</f>
        <v/>
      </c>
      <c r="CP237" s="29">
        <f>IF(AND(E237&gt;0,AO237=""),1,IF(AO237&gt;E237,1,0))</f>
        <v/>
      </c>
      <c r="CQ237" s="29">
        <f>IF(AND(D237&gt;0,OR(AP237="")),1,IF((AP237)&gt;D237,1,0))</f>
        <v/>
      </c>
      <c r="CR237" s="29">
        <f>IF(AND(E237&gt;0,OR(AQ237="")),1,IF((AQ237)&gt;E237,1,0))</f>
        <v/>
      </c>
      <c r="CS237" s="29">
        <f>IF(AND(C237&gt;0,AR237=""),1,IF(AR237&gt;C237,1,0))</f>
        <v/>
      </c>
      <c r="CT237" s="29">
        <f>IF(AND(C237&gt;0,AS237=""),1,IF(AS237&gt;C237,1,0))</f>
        <v/>
      </c>
      <c r="CU237" s="29">
        <f>IF(AND(D237&gt;0,OR(AT237="")),1,IF((AT237)&gt;D237,1,0))</f>
        <v/>
      </c>
      <c r="CV237" s="29">
        <f>IF(AND(E237&gt;0,OR(AU237="")),1,IF((AU237)&gt;E237,1,0))</f>
        <v/>
      </c>
      <c r="CW237" s="29">
        <f>IF(AND(E237&gt;0,OR(AV237="")),1,IF((AV237)&gt;E237,1,0))</f>
        <v/>
      </c>
      <c r="CX237" s="29">
        <f>IF(AND(D237&gt;0,OR(AW237="")),1,IF((AW237)&gt;D237,1,0))</f>
        <v/>
      </c>
      <c r="CY237" s="29">
        <f>IF(AND(C237&gt;0,AX237=""),1,IF(AX237&gt;C237,1,0))</f>
        <v/>
      </c>
    </row>
    <row r="238" ht="15" customHeight="1" s="8286">
      <c r="A238" s="9614" t="n"/>
      <c r="B238" s="1209" t="inlineStr">
        <is>
          <t>Trastorno Desintegrativo de la Infancia</t>
        </is>
      </c>
      <c r="C238" s="1283">
        <f>SUM(D238+E238)</f>
        <v/>
      </c>
      <c r="D238" s="2197">
        <f>SUM(F238+H238+J238+L238+N238+P238+R238+T238+V238+X238+Z238+AB238+AD238+AF238+AH238+AJ238+AL238)</f>
        <v/>
      </c>
      <c r="E238" s="1099">
        <f>SUM(G238+I238+K238+M238+O238+Q238+S238+U238+W238+Y238+AA238+AC238+AE238+AG238+AI238+AK238+AM238)</f>
        <v/>
      </c>
      <c r="F238" s="1179" t="n"/>
      <c r="G238" s="1180" t="n"/>
      <c r="H238" s="1179" t="n"/>
      <c r="I238" s="1180" t="n"/>
      <c r="J238" s="1179" t="n"/>
      <c r="K238" s="1180" t="n"/>
      <c r="L238" s="1179" t="n"/>
      <c r="M238" s="1180" t="n"/>
      <c r="N238" s="1179" t="n"/>
      <c r="O238" s="1180" t="n"/>
      <c r="P238" s="1179" t="n"/>
      <c r="Q238" s="1180" t="n"/>
      <c r="R238" s="1179" t="n"/>
      <c r="S238" s="1180" t="n"/>
      <c r="T238" s="1179" t="n"/>
      <c r="U238" s="1180" t="n"/>
      <c r="V238" s="1179" t="n"/>
      <c r="W238" s="1180" t="n"/>
      <c r="X238" s="1179" t="n"/>
      <c r="Y238" s="1180" t="n"/>
      <c r="Z238" s="1179" t="n"/>
      <c r="AA238" s="1180" t="n"/>
      <c r="AB238" s="1179" t="n"/>
      <c r="AC238" s="1180" t="n"/>
      <c r="AD238" s="1179" t="n"/>
      <c r="AE238" s="1180" t="n"/>
      <c r="AF238" s="1179" t="n"/>
      <c r="AG238" s="1180" t="n"/>
      <c r="AH238" s="1179" t="n"/>
      <c r="AI238" s="1180" t="n"/>
      <c r="AJ238" s="1179" t="n"/>
      <c r="AK238" s="1180" t="n"/>
      <c r="AL238" s="1179" t="n"/>
      <c r="AM238" s="35" t="n"/>
      <c r="AN238" s="5248" t="n">
        <v>0</v>
      </c>
      <c r="AO238" s="1229" t="n">
        <v>0</v>
      </c>
      <c r="AP238" s="1181" t="n">
        <v>0</v>
      </c>
      <c r="AQ238" s="1180" t="n">
        <v>0</v>
      </c>
      <c r="AR238" s="1179" t="n">
        <v>0</v>
      </c>
      <c r="AS238" s="1180" t="n">
        <v>0</v>
      </c>
      <c r="AT238" s="35" t="n">
        <v>0</v>
      </c>
      <c r="AU238" s="1183" t="n">
        <v>0</v>
      </c>
      <c r="AV238" s="35" t="n">
        <v>0</v>
      </c>
      <c r="AW238" s="1183" t="n">
        <v>0</v>
      </c>
      <c r="AX238" s="1180" t="n">
        <v>0</v>
      </c>
      <c r="AY238" s="5">
        <f>CA238&amp;CB238&amp;CC238&amp;CD238&amp;CE238&amp;CF238&amp;CG238&amp;CH238&amp;CI238&amp;CJ238&amp;CK238</f>
        <v/>
      </c>
      <c r="CA238" s="90">
        <f>IF(AND(E238&gt;0,AN238=""), "* No olvide digitar la variable Gestantes. Digite Cero si no tiene.",IF(AN238&gt;E238,"  * La  variable Gestantes No puede ser mayor al Total Mujeres.",""))</f>
        <v/>
      </c>
      <c r="CB238" s="90">
        <f>IF(AND(E238&gt;0,AO238=""), "* No olvide digitar la variable Madre de hijo menor de 5 años. Digite Cero si no tiene.",IF(AO238&gt;E238,"  * La variable Madre de hijo menor de 5 años No puede ser mayor al Total Mujeres.",""))</f>
        <v/>
      </c>
      <c r="CC238" s="90">
        <f>IF(AND(D238&gt;0,OR(AP238="")), "* No olvide digitar la variable Pueblos originarios - Hombres. Digite Cero si no tiene.",IF((AP238)&gt;D238,"  * La variable Pueblos originarios - Hombres No puede ser mayor al Total.",""))</f>
        <v/>
      </c>
      <c r="CD238" s="90">
        <f>IF(AND(E238&gt;0,OR(AQ238="")), "* No olvide digitar la variable Pueblos originarios - Mujeres. Digite Cero si no tiene.",IF((AQ238)&gt;E238,"  * La variable Pueblos originarios - Mujeres No puede ser mayor al Total.",""))</f>
        <v/>
      </c>
      <c r="CE238" s="90">
        <f>IF(AND(C238&gt;0,AR238=""), "* No olvide digitar la variable Niños, niñas, adolescentes y jóvenes SENAME. Digite Cero si no tiene.",IF(AR238&gt;C238,"  * La variable Niños, niñas, adolescentes y jóvenes SENAME No puede ser mayor al Total.",""))</f>
        <v/>
      </c>
      <c r="CF238" s="90">
        <f>IF(AND(C238&gt;0,AS238=""), "* No olvide digitar la variable Servicio Nacional Protección Especializada a la Niñez y Adolescencia. Digite Cero si no tiene.",IF(AS238&gt;C238,"  * La variable Servicio Nacional Protección Especializada a la Niñez y Adolescencia No puede ser mayor al Total.",""))</f>
        <v/>
      </c>
      <c r="CG238" s="90">
        <f>IF(AND(D238&gt;0,OR(AT238="")), "* No olvide digitar la variable Migrantes - Hombres. Digite Cero si no tiene.",IF((AT238)&gt;D238,"  * La variable Migrantes - Hombres No puede ser mayor al Total Hombres.",""))</f>
        <v/>
      </c>
      <c r="CH238" s="90">
        <f>IF(AND(E238&gt;0,OR(AU238="")), "* No olvide digitar la variable Migrantes - Mujeres. Digite Cero si no tiene.",IF((AU238)&gt;E238,"  * La variable Migrantes - Mujeres No puede ser mayor al Total.",""))</f>
        <v/>
      </c>
      <c r="CI238" s="90">
        <f>IF(AND(E238&gt;0,OR(AV238="")), "* No olvide digitar la variable Trans Masculino. Digite Cero si no tiene.",IF((AV238)&gt;E238,"  * La variable Trans Masculino No puede ser mayor al Total Mujeres.",""))</f>
        <v/>
      </c>
      <c r="CJ238" s="90">
        <f>IF(AND(D238&gt;0,OR(AW238="")), "* No olvide digitar la variable Trans Femenino. Digite Cero si no tiene.",IF((AW238)&gt;D238,"  * La variable Trans Femenino No puede ser mayor al Total Hombres.",""))</f>
        <v/>
      </c>
      <c r="CK238" s="90">
        <f>IF(AND($C238&gt;0,AX238=""), "* No olvide digitar la variable Adolescentes derivados de Espacios Amigables. Digite Cero si no tiene.",IF(AX238&gt;$C238,"  * La variable Adolescentes derivados de Espacios Amigables No puede ser mayor al Total.",""))</f>
        <v/>
      </c>
      <c r="CL238" s="5" t="n"/>
      <c r="CO238" s="29">
        <f>IF(AND(E238&gt;0,AN238=""),1,IF(AN238&gt;E238,1,0))</f>
        <v/>
      </c>
      <c r="CP238" s="29">
        <f>IF(AND(E238&gt;0,AO238=""),1,IF(AO238&gt;E238,1,0))</f>
        <v/>
      </c>
      <c r="CQ238" s="29">
        <f>IF(AND(D238&gt;0,OR(AP238="")),1,IF((AP238)&gt;D238,1,0))</f>
        <v/>
      </c>
      <c r="CR238" s="29">
        <f>IF(AND(E238&gt;0,OR(AQ238="")),1,IF((AQ238)&gt;E238,1,0))</f>
        <v/>
      </c>
      <c r="CS238" s="29">
        <f>IF(AND(C238&gt;0,AR238=""),1,IF(AR238&gt;C238,1,0))</f>
        <v/>
      </c>
      <c r="CT238" s="29">
        <f>IF(AND(C238&gt;0,AS238=""),1,IF(AS238&gt;C238,1,0))</f>
        <v/>
      </c>
      <c r="CU238" s="29">
        <f>IF(AND(D238&gt;0,OR(AT238="")),1,IF((AT238)&gt;D238,1,0))</f>
        <v/>
      </c>
      <c r="CV238" s="29">
        <f>IF(AND(E238&gt;0,OR(AU238="")),1,IF((AU238)&gt;E238,1,0))</f>
        <v/>
      </c>
      <c r="CW238" s="29">
        <f>IF(AND(E238&gt;0,OR(AV238="")),1,IF((AV238)&gt;E238,1,0))</f>
        <v/>
      </c>
      <c r="CX238" s="29">
        <f>IF(AND(D238&gt;0,OR(AW238="")),1,IF((AW238)&gt;D238,1,0))</f>
        <v/>
      </c>
      <c r="CY238" s="29">
        <f>IF(AND(C238&gt;0,AX238=""),1,IF(AX238&gt;C238,1,0))</f>
        <v/>
      </c>
    </row>
    <row r="239" ht="24" customHeight="1" s="8286">
      <c r="A239" s="9610" t="n"/>
      <c r="B239" s="1240" t="inlineStr">
        <is>
          <t>Trastorno Generalizado del Desarrollo no Específico</t>
        </is>
      </c>
      <c r="C239" s="1352">
        <f>SUM(D239+E239)</f>
        <v/>
      </c>
      <c r="D239" s="1353">
        <f>SUM(F239+H239+J239+L239+N239+P239+R239+T239+V239+X239+Z239+AB239+AD239+AF239+AH239+AJ239+AL239)</f>
        <v/>
      </c>
      <c r="E239" s="2219">
        <f>SUM(G239+I239+K239+M239+O239+Q239+S239+U239+W239+Y239+AA239+AC239+AE239+AG239+AI239+AK239+AM239)</f>
        <v/>
      </c>
      <c r="F239" s="1188" t="n"/>
      <c r="G239" s="1192" t="n"/>
      <c r="H239" s="1188" t="n">
        <v>1</v>
      </c>
      <c r="I239" s="1192" t="n"/>
      <c r="J239" s="1188" t="n"/>
      <c r="K239" s="1192" t="n"/>
      <c r="L239" s="1188" t="n"/>
      <c r="M239" s="1192" t="n"/>
      <c r="N239" s="1188" t="n"/>
      <c r="O239" s="1192" t="n"/>
      <c r="P239" s="1188" t="n"/>
      <c r="Q239" s="1192" t="n"/>
      <c r="R239" s="1188" t="n"/>
      <c r="S239" s="1192" t="n"/>
      <c r="T239" s="1188" t="n"/>
      <c r="U239" s="1192" t="n"/>
      <c r="V239" s="1188" t="n"/>
      <c r="W239" s="1192" t="n"/>
      <c r="X239" s="1188" t="n"/>
      <c r="Y239" s="1192" t="n"/>
      <c r="Z239" s="1188" t="n"/>
      <c r="AA239" s="1192" t="n"/>
      <c r="AB239" s="1188" t="n"/>
      <c r="AC239" s="1192" t="n"/>
      <c r="AD239" s="1188" t="n"/>
      <c r="AE239" s="1192" t="n"/>
      <c r="AF239" s="1188" t="n"/>
      <c r="AG239" s="1192" t="n"/>
      <c r="AH239" s="1188" t="n"/>
      <c r="AI239" s="1192" t="n"/>
      <c r="AJ239" s="1188" t="n"/>
      <c r="AK239" s="1192" t="n"/>
      <c r="AL239" s="1188" t="n"/>
      <c r="AM239" s="1227" t="n"/>
      <c r="AN239" s="5249" t="n">
        <v>0</v>
      </c>
      <c r="AO239" s="1223" t="n">
        <v>0</v>
      </c>
      <c r="AP239" s="1193" t="n">
        <v>0</v>
      </c>
      <c r="AQ239" s="1192" t="n">
        <v>0</v>
      </c>
      <c r="AR239" s="1188" t="n">
        <v>0</v>
      </c>
      <c r="AS239" s="1192" t="n">
        <v>0</v>
      </c>
      <c r="AT239" s="1227" t="n">
        <v>0</v>
      </c>
      <c r="AU239" s="1119" t="n">
        <v>0</v>
      </c>
      <c r="AV239" s="1227" t="n">
        <v>0</v>
      </c>
      <c r="AW239" s="1119" t="n">
        <v>0</v>
      </c>
      <c r="AX239" s="1192" t="n">
        <v>0</v>
      </c>
      <c r="AY239" s="5">
        <f>CA239&amp;CB239&amp;CC239&amp;CD239&amp;CE239&amp;CF239&amp;CG239&amp;CH239&amp;CI239&amp;CJ239&amp;CK239</f>
        <v/>
      </c>
      <c r="CA239" s="90">
        <f>IF(AND(E239&gt;0,AN239=""), "* No olvide digitar la variable Gestantes. Digite Cero si no tiene.",IF(AN239&gt;E239,"  * La  variable Gestantes No puede ser mayor al Total Mujeres.",""))</f>
        <v/>
      </c>
      <c r="CB239" s="90">
        <f>IF(AND(E239&gt;0,AO239=""), "* No olvide digitar la variable Madre de hijo menor de 5 años. Digite Cero si no tiene.",IF(AO239&gt;E239,"  * La variable Madre de hijo menor de 5 años No puede ser mayor al Total Mujeres.",""))</f>
        <v/>
      </c>
      <c r="CC239" s="90">
        <f>IF(AND(D239&gt;0,OR(AP239="")), "* No olvide digitar la variable Pueblos originarios - Hombres. Digite Cero si no tiene.",IF((AP239)&gt;D239,"  * La variable Pueblos originarios - Hombres No puede ser mayor al Total.",""))</f>
        <v/>
      </c>
      <c r="CD239" s="90">
        <f>IF(AND(E239&gt;0,OR(AQ239="")), "* No olvide digitar la variable Pueblos originarios - Mujeres. Digite Cero si no tiene.",IF((AQ239)&gt;E239,"  * La variable Pueblos originarios - Mujeres No puede ser mayor al Total.",""))</f>
        <v/>
      </c>
      <c r="CE239" s="90">
        <f>IF(AND(C239&gt;0,AR239=""), "* No olvide digitar la variable Niños, niñas, adolescentes y jóvenes SENAME. Digite Cero si no tiene.",IF(AR239&gt;C239,"  * La variable Niños, niñas, adolescentes y jóvenes SENAME No puede ser mayor al Total.",""))</f>
        <v/>
      </c>
      <c r="CF239" s="90">
        <f>IF(AND(C239&gt;0,AS239=""), "* No olvide digitar la variable Servicio Nacional Protección Especializada a la Niñez y Adolescencia. Digite Cero si no tiene.",IF(AS239&gt;C239,"  * La variable Servicio Nacional Protección Especializada a la Niñez y Adolescencia No puede ser mayor al Total.",""))</f>
        <v/>
      </c>
      <c r="CG239" s="90">
        <f>IF(AND(D239&gt;0,OR(AT239="")), "* No olvide digitar la variable Migrantes - Hombres. Digite Cero si no tiene.",IF((AT239)&gt;D239,"  * La variable Migrantes - Hombres No puede ser mayor al Total Hombres.",""))</f>
        <v/>
      </c>
      <c r="CH239" s="90">
        <f>IF(AND(E239&gt;0,OR(AU239="")), "* No olvide digitar la variable Migrantes - Mujeres. Digite Cero si no tiene.",IF((AU239)&gt;E239,"  * La variable Migrantes - Mujeres No puede ser mayor al Total.",""))</f>
        <v/>
      </c>
      <c r="CI239" s="90">
        <f>IF(AND(E239&gt;0,OR(AV239="")), "* No olvide digitar la variable Trans Masculino. Digite Cero si no tiene.",IF((AV239)&gt;E239,"  * La variable Trans Masculino No puede ser mayor al Total Mujeres.",""))</f>
        <v/>
      </c>
      <c r="CJ239" s="90">
        <f>IF(AND(D239&gt;0,OR(AW239="")), "* No olvide digitar la variable Trans Femenino. Digite Cero si no tiene.",IF((AW239)&gt;D239,"  * La variable Trans Femenino No puede ser mayor al Total Hombres.",""))</f>
        <v/>
      </c>
      <c r="CK239" s="90">
        <f>IF(AND($C239&gt;0,AX239=""), "* No olvide digitar la variable Adolescentes derivados de Espacios Amigables. Digite Cero si no tiene.",IF(AX239&gt;$C239,"  * La variable Adolescentes derivados de Espacios Amigables No puede ser mayor al Total.",""))</f>
        <v/>
      </c>
      <c r="CL239" s="5" t="n"/>
      <c r="CO239" s="29">
        <f>IF(AND(E239&gt;0,AN239=""),1,IF(AN239&gt;E239,1,0))</f>
        <v/>
      </c>
      <c r="CP239" s="29">
        <f>IF(AND(E239&gt;0,AO239=""),1,IF(AO239&gt;E239,1,0))</f>
        <v/>
      </c>
      <c r="CQ239" s="29">
        <f>IF(AND(D239&gt;0,OR(AP239="")),1,IF((AP239)&gt;D239,1,0))</f>
        <v/>
      </c>
      <c r="CR239" s="29">
        <f>IF(AND(E239&gt;0,OR(AQ239="")),1,IF((AQ239)&gt;E239,1,0))</f>
        <v/>
      </c>
      <c r="CS239" s="29">
        <f>IF(AND(C239&gt;0,AR239=""),1,IF(AR239&gt;C239,1,0))</f>
        <v/>
      </c>
      <c r="CT239" s="29">
        <f>IF(AND(C239&gt;0,AS239=""),1,IF(AS239&gt;C239,1,0))</f>
        <v/>
      </c>
      <c r="CU239" s="29">
        <f>IF(AND(D239&gt;0,OR(AT239="")),1,IF((AT239)&gt;D239,1,0))</f>
        <v/>
      </c>
      <c r="CV239" s="29">
        <f>IF(AND(E239&gt;0,OR(AU239="")),1,IF((AU239)&gt;E239,1,0))</f>
        <v/>
      </c>
      <c r="CW239" s="29">
        <f>IF(AND(E239&gt;0,OR(AV239="")),1,IF((AV239)&gt;E239,1,0))</f>
        <v/>
      </c>
      <c r="CX239" s="29">
        <f>IF(AND(D239&gt;0,OR(AW239="")),1,IF((AW239)&gt;D239,1,0))</f>
        <v/>
      </c>
      <c r="CY239" s="29">
        <f>IF(AND(C239&gt;0,AX239=""),1,IF(AX239&gt;C239,1,0))</f>
        <v/>
      </c>
    </row>
    <row r="240" ht="15" customHeight="1" s="8286">
      <c r="A240" s="9995" t="inlineStr">
        <is>
          <t>Epilepsia</t>
        </is>
      </c>
      <c r="B240" s="9935" t="n"/>
      <c r="C240" s="649">
        <f>SUM(D240+E240)</f>
        <v/>
      </c>
      <c r="D240" s="147">
        <f>SUM(F240+H240+J240+L240+N240+P240+R240+T240+V240+X240+Z240+AB240+AD240+AF240+AH240+AJ240+AL240)</f>
        <v/>
      </c>
      <c r="E240" s="2171">
        <f>SUM(G240+I240+K240+M240+O240+Q240+S240+U240+W240+Y240+AA240+AC240+AE240+AG240+AI240+AK240+AM240)</f>
        <v/>
      </c>
      <c r="F240" s="645" t="n"/>
      <c r="G240" s="2057" t="n"/>
      <c r="H240" s="645" t="n"/>
      <c r="I240" s="2057" t="n"/>
      <c r="J240" s="645" t="n"/>
      <c r="K240" s="2057" t="n"/>
      <c r="L240" s="645" t="n"/>
      <c r="M240" s="2057" t="n"/>
      <c r="N240" s="645" t="n"/>
      <c r="O240" s="2057" t="n"/>
      <c r="P240" s="645" t="n"/>
      <c r="Q240" s="2057" t="n"/>
      <c r="R240" s="645" t="n"/>
      <c r="S240" s="2057" t="n"/>
      <c r="T240" s="645" t="n"/>
      <c r="U240" s="2057" t="n"/>
      <c r="V240" s="645" t="n"/>
      <c r="W240" s="2057" t="n"/>
      <c r="X240" s="645" t="n"/>
      <c r="Y240" s="2057" t="n"/>
      <c r="Z240" s="645" t="n"/>
      <c r="AA240" s="2057" t="n"/>
      <c r="AB240" s="645" t="n"/>
      <c r="AC240" s="2057" t="n"/>
      <c r="AD240" s="645" t="n"/>
      <c r="AE240" s="2057" t="n"/>
      <c r="AF240" s="645" t="n"/>
      <c r="AG240" s="2057" t="n"/>
      <c r="AH240" s="645" t="n"/>
      <c r="AI240" s="2057" t="n"/>
      <c r="AJ240" s="645" t="n"/>
      <c r="AK240" s="2057" t="n"/>
      <c r="AL240" s="645" t="n"/>
      <c r="AM240" s="37" t="n"/>
      <c r="AN240" s="5247" t="n">
        <v>0</v>
      </c>
      <c r="AO240" s="670" t="n">
        <v>0</v>
      </c>
      <c r="AP240" s="204" t="n">
        <v>0</v>
      </c>
      <c r="AQ240" s="2057" t="n">
        <v>0</v>
      </c>
      <c r="AR240" s="645" t="n">
        <v>0</v>
      </c>
      <c r="AS240" s="2057" t="n">
        <v>0</v>
      </c>
      <c r="AT240" s="37" t="n">
        <v>0</v>
      </c>
      <c r="AU240" s="2196" t="n">
        <v>0</v>
      </c>
      <c r="AV240" s="37" t="n">
        <v>0</v>
      </c>
      <c r="AW240" s="2196" t="n">
        <v>0</v>
      </c>
      <c r="AX240" s="2057" t="n">
        <v>0</v>
      </c>
      <c r="AY240" s="5">
        <f>CA240&amp;CB240&amp;CC240&amp;CD240&amp;CE240&amp;CF240&amp;CG240&amp;CH240&amp;CI240&amp;CJ240&amp;CK240</f>
        <v/>
      </c>
      <c r="CA240" s="90">
        <f>IF(AND(E240&gt;0,AN240=""), "* No olvide digitar la variable Gestantes. Digite Cero si no tiene.",IF(AN240&gt;E240,"  * La  variable Gestantes No puede ser mayor al Total Mujeres.",""))</f>
        <v/>
      </c>
      <c r="CB240" s="90">
        <f>IF(AND(E240&gt;0,AO240=""), "* No olvide digitar la variable Madre de hijo menor de 5 años. Digite Cero si no tiene.",IF(AO240&gt;E240,"  * La variable Madre de hijo menor de 5 años No puede ser mayor al Total Mujeres.",""))</f>
        <v/>
      </c>
      <c r="CC240" s="90">
        <f>IF(AND(D240&gt;0,OR(AP240="")), "* No olvide digitar la variable Pueblos originarios - Hombres. Digite Cero si no tiene.",IF((AP240)&gt;D240,"  * La variable Pueblos originarios - Hombres No puede ser mayor al Total.",""))</f>
        <v/>
      </c>
      <c r="CD240" s="90">
        <f>IF(AND(E240&gt;0,OR(AQ240="")), "* No olvide digitar la variable Pueblos originarios - Mujeres. Digite Cero si no tiene.",IF((AQ240)&gt;E240,"  * La variable Pueblos originarios - Mujeres No puede ser mayor al Total.",""))</f>
        <v/>
      </c>
      <c r="CE240" s="90">
        <f>IF(AND(C240&gt;0,AR240=""), "* No olvide digitar la variable Niños, niñas, adolescentes y jóvenes SENAME. Digite Cero si no tiene.",IF(AR240&gt;C240,"  * La variable Niños, niñas, adolescentes y jóvenes SENAME No puede ser mayor al Total.",""))</f>
        <v/>
      </c>
      <c r="CF240" s="90">
        <f>IF(AND(C240&gt;0,AS240=""), "* No olvide digitar la variable Servicio Nacional Protección Especializada a la Niñez y Adolescencia. Digite Cero si no tiene.",IF(AS240&gt;C240,"  * La variable Servicio Nacional Protección Especializada a la Niñez y Adolescencia No puede ser mayor al Total.",""))</f>
        <v/>
      </c>
      <c r="CG240" s="90">
        <f>IF(AND(D240&gt;0,OR(AT240="")), "* No olvide digitar la variable Migrantes - Hombres. Digite Cero si no tiene.",IF((AT240)&gt;D240,"  * La variable Migrantes - Hombres No puede ser mayor al Total Hombres.",""))</f>
        <v/>
      </c>
      <c r="CH240" s="90">
        <f>IF(AND(E240&gt;0,OR(AU240="")), "* No olvide digitar la variable Migrantes - Mujeres. Digite Cero si no tiene.",IF((AU240)&gt;E240,"  * La variable Migrantes - Mujeres No puede ser mayor al Total.",""))</f>
        <v/>
      </c>
      <c r="CI240" s="90">
        <f>IF(AND(E240&gt;0,OR(AV240="")), "* No olvide digitar la variable Trans Masculino. Digite Cero si no tiene.",IF((AV240)&gt;E240,"  * La variable Trans Masculino No puede ser mayor al Total Mujeres.",""))</f>
        <v/>
      </c>
      <c r="CJ240" s="90">
        <f>IF(AND(D240&gt;0,OR(AW240="")), "* No olvide digitar la variable Trans Femenino. Digite Cero si no tiene.",IF((AW240)&gt;D240,"  * La variable Trans Femenino No puede ser mayor al Total Hombres.",""))</f>
        <v/>
      </c>
      <c r="CK240" s="90">
        <f>IF(AND($C240&gt;0,AX240=""), "* No olvide digitar la variable Adolescentes derivados de Espacios Amigables. Digite Cero si no tiene.",IF(AX240&gt;$C240,"  * La variable Adolescentes derivados de Espacios Amigables No puede ser mayor al Total.",""))</f>
        <v/>
      </c>
      <c r="CL240" s="5" t="n"/>
      <c r="CO240" s="29">
        <f>IF(AND(E240&gt;0,AN240=""),1,IF(AN240&gt;E240,1,0))</f>
        <v/>
      </c>
      <c r="CP240" s="29">
        <f>IF(AND(E240&gt;0,AO240=""),1,IF(AO240&gt;E240,1,0))</f>
        <v/>
      </c>
      <c r="CQ240" s="29">
        <f>IF(AND(D240&gt;0,OR(AP240="")),1,IF((AP240)&gt;D240,1,0))</f>
        <v/>
      </c>
      <c r="CR240" s="29">
        <f>IF(AND(E240&gt;0,OR(AQ240="")),1,IF((AQ240)&gt;E240,1,0))</f>
        <v/>
      </c>
      <c r="CS240" s="29">
        <f>IF(AND(C240&gt;0,AR240=""),1,IF(AR240&gt;C240,1,0))</f>
        <v/>
      </c>
      <c r="CT240" s="29">
        <f>IF(AND(C240&gt;0,AS240=""),1,IF(AS240&gt;C240,1,0))</f>
        <v/>
      </c>
      <c r="CU240" s="29">
        <f>IF(AND(D240&gt;0,OR(AT240="")),1,IF((AT240)&gt;D240,1,0))</f>
        <v/>
      </c>
      <c r="CV240" s="29">
        <f>IF(AND(E240&gt;0,OR(AU240="")),1,IF((AU240)&gt;E240,1,0))</f>
        <v/>
      </c>
      <c r="CW240" s="29">
        <f>IF(AND(E240&gt;0,OR(AV240="")),1,IF((AV240)&gt;E240,1,0))</f>
        <v/>
      </c>
      <c r="CX240" s="29">
        <f>IF(AND(D240&gt;0,OR(AW240="")),1,IF((AW240)&gt;D240,1,0))</f>
        <v/>
      </c>
      <c r="CY240" s="29">
        <f>IF(AND(C240&gt;0,AX240=""),1,IF(AX240&gt;C240,1,0))</f>
        <v/>
      </c>
    </row>
    <row r="241" ht="15" customHeight="1" s="8286">
      <c r="A241" s="9923" t="inlineStr">
        <is>
          <t>Otras</t>
        </is>
      </c>
      <c r="B241" s="9720" t="n"/>
      <c r="C241" s="1352">
        <f>SUM(D241+E241)</f>
        <v/>
      </c>
      <c r="D241" s="1353">
        <f>SUM(F241+H241+J241+L241+N241+P241+R241+T241+V241+X241+Z241+AB241+AD241+AF241+AH241+AJ241+AL241)</f>
        <v/>
      </c>
      <c r="E241" s="7752">
        <f>SUM(G241+I241+K241+M241+O241+Q241+S241+U241+W241+Y241+AA241+AC241+AE241+AG241+AI241+AK241+AM241)</f>
        <v/>
      </c>
      <c r="F241" s="1188" t="n"/>
      <c r="G241" s="1192" t="n"/>
      <c r="H241" s="1188" t="n"/>
      <c r="I241" s="1192" t="n"/>
      <c r="J241" s="1188" t="n"/>
      <c r="K241" s="1192" t="n"/>
      <c r="L241" s="1188" t="n"/>
      <c r="M241" s="1192" t="n"/>
      <c r="N241" s="1188" t="n"/>
      <c r="O241" s="1192" t="n"/>
      <c r="P241" s="1188" t="n"/>
      <c r="Q241" s="1192" t="n"/>
      <c r="R241" s="1188" t="n"/>
      <c r="S241" s="1192" t="n"/>
      <c r="T241" s="1188" t="n"/>
      <c r="U241" s="1192" t="n"/>
      <c r="V241" s="1188" t="n"/>
      <c r="W241" s="1192" t="n"/>
      <c r="X241" s="1188" t="n"/>
      <c r="Y241" s="1192" t="n"/>
      <c r="Z241" s="1188" t="n"/>
      <c r="AA241" s="1192" t="n"/>
      <c r="AB241" s="1188" t="n"/>
      <c r="AC241" s="1192" t="n"/>
      <c r="AD241" s="1188" t="n"/>
      <c r="AE241" s="1192" t="n"/>
      <c r="AF241" s="1188" t="n"/>
      <c r="AG241" s="1192" t="n"/>
      <c r="AH241" s="1188" t="n"/>
      <c r="AI241" s="1192" t="n"/>
      <c r="AJ241" s="1188" t="n"/>
      <c r="AK241" s="1192" t="n"/>
      <c r="AL241" s="1188" t="n"/>
      <c r="AM241" s="1227" t="n"/>
      <c r="AN241" s="5378" t="n">
        <v>0</v>
      </c>
      <c r="AO241" s="5225" t="n">
        <v>0</v>
      </c>
      <c r="AP241" s="1193" t="n">
        <v>0</v>
      </c>
      <c r="AQ241" s="1192" t="n">
        <v>0</v>
      </c>
      <c r="AR241" s="1188" t="n">
        <v>0</v>
      </c>
      <c r="AS241" s="1192" t="n">
        <v>0</v>
      </c>
      <c r="AT241" s="1227" t="n">
        <v>0</v>
      </c>
      <c r="AU241" s="1119" t="n">
        <v>0</v>
      </c>
      <c r="AV241" s="1227" t="n">
        <v>0</v>
      </c>
      <c r="AW241" s="1119" t="n">
        <v>0</v>
      </c>
      <c r="AX241" s="1192" t="n">
        <v>0</v>
      </c>
      <c r="AY241" s="5">
        <f>CA241&amp;CB241&amp;CC241&amp;CD241&amp;CE241&amp;CF241&amp;CG241&amp;CH241&amp;CI241&amp;CJ241&amp;CK241</f>
        <v/>
      </c>
      <c r="CA241" s="90">
        <f>IF(AND(E241&gt;0,AN241=""), "* No olvide digitar la variable Gestantes. Digite Cero si no tiene.",IF(AN241&gt;E241,"  * La  variable Gestantes No puede ser mayor al Total Mujeres.",""))</f>
        <v/>
      </c>
      <c r="CB241" s="90">
        <f>IF(AND(E241&gt;0,AO241=""), "* No olvide digitar la variable Madre de hijo menor de 5 años. Digite Cero si no tiene.",IF(AO241&gt;E241,"  * La variable Madre de hijo menor de 5 años No puede ser mayor al Total Mujeres.",""))</f>
        <v/>
      </c>
      <c r="CC241" s="90">
        <f>IF(AND(D241&gt;0,OR(AP241="")), "* No olvide digitar la variable Pueblos originarios - Hombres. Digite Cero si no tiene.",IF((AP241)&gt;D241,"  * La variable Pueblos originarios - Hombres No puede ser mayor al Total.",""))</f>
        <v/>
      </c>
      <c r="CD241" s="90">
        <f>IF(AND(E241&gt;0,OR(AQ241="")), "* No olvide digitar la variable Pueblos originarios - Mujeres. Digite Cero si no tiene.",IF((AQ241)&gt;E241,"  * La variable Pueblos originarios - Mujeres No puede ser mayor al Total.",""))</f>
        <v/>
      </c>
      <c r="CE241" s="90">
        <f>IF(AND(C241&gt;0,AR241=""), "* No olvide digitar la variable Niños, niñas, adolescentes y jóvenes SENAME. Digite Cero si no tiene.",IF(AR241&gt;C241,"  * La variable Niños, niñas, adolescentes y jóvenes SENAME No puede ser mayor al Total.",""))</f>
        <v/>
      </c>
      <c r="CF241" s="90">
        <f>IF(AND(C241&gt;0,AS241=""), "* No olvide digitar la variable Servicio Nacional Protección Especializada a la Niñez y Adolescencia. Digite Cero si no tiene.",IF(AS241&gt;C241,"  * La variable Servicio Nacional Protección Especializada a la Niñez y Adolescencia No puede ser mayor al Total.",""))</f>
        <v/>
      </c>
      <c r="CG241" s="90">
        <f>IF(AND(D241&gt;0,OR(AT241="")), "* No olvide digitar la variable Migrantes - Hombres. Digite Cero si no tiene.",IF((AT241)&gt;D241,"  * La variable Migrantes - Hombres No puede ser mayor al Total Hombres.",""))</f>
        <v/>
      </c>
      <c r="CH241" s="90">
        <f>IF(AND(E241&gt;0,OR(AU241="")), "* No olvide digitar la variable Migrantes - Mujeres. Digite Cero si no tiene.",IF((AU241)&gt;E241,"  * La variable Migrantes - Mujeres No puede ser mayor al Total.",""))</f>
        <v/>
      </c>
      <c r="CI241" s="90">
        <f>IF(AND(E241&gt;0,OR(AV241="")), "* No olvide digitar la variable Trans Masculino. Digite Cero si no tiene.",IF((AV241)&gt;E241,"  * La variable Trans Masculino No puede ser mayor al Total Mujeres.",""))</f>
        <v/>
      </c>
      <c r="CJ241" s="90">
        <f>IF(AND(D241&gt;0,OR(AW241="")), "* No olvide digitar la variable Trans Femenino. Digite Cero si no tiene.",IF((AW241)&gt;D241,"  * La variable Trans Femenino No puede ser mayor al Total Hombres.",""))</f>
        <v/>
      </c>
      <c r="CK241" s="90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 t="n"/>
      <c r="CO241" s="29">
        <f>IF(AND(E241&gt;0,AN241=""),1,IF(AN241&gt;E241,1,0))</f>
        <v/>
      </c>
      <c r="CP241" s="29">
        <f>IF(AND(E241&gt;0,AO241=""),1,IF(AO241&gt;E241,1,0))</f>
        <v/>
      </c>
      <c r="CQ241" s="29">
        <f>IF(AND(D241&gt;0,OR(AP241="")),1,IF((AP241)&gt;D241,1,0))</f>
        <v/>
      </c>
      <c r="CR241" s="29">
        <f>IF(AND(E241&gt;0,OR(AQ241="")),1,IF((AQ241)&gt;E241,1,0))</f>
        <v/>
      </c>
      <c r="CS241" s="29">
        <f>IF(AND(C241&gt;0,AR241=""),1,IF(AR241&gt;C241,1,0))</f>
        <v/>
      </c>
      <c r="CT241" s="29">
        <f>IF(AND(C241&gt;0,AS241=""),1,IF(AS241&gt;C241,1,0))</f>
        <v/>
      </c>
      <c r="CU241" s="29">
        <f>IF(AND(D241&gt;0,OR(AT241="")),1,IF((AT241)&gt;D241,1,0))</f>
        <v/>
      </c>
      <c r="CV241" s="29">
        <f>IF(AND(E241&gt;0,OR(AU241="")),1,IF((AU241)&gt;E241,1,0))</f>
        <v/>
      </c>
      <c r="CW241" s="29">
        <f>IF(AND(E241&gt;0,OR(AV241="")),1,IF((AV241)&gt;E241,1,0))</f>
        <v/>
      </c>
      <c r="CX241" s="29">
        <f>IF(AND(D241&gt;0,OR(AW241="")),1,IF((AW241)&gt;D241,1,0))</f>
        <v/>
      </c>
      <c r="CY241" s="29">
        <f>IF(AND(C241&gt;0,AX241=""),1,IF(AX241&gt;C241,1,0))</f>
        <v/>
      </c>
    </row>
    <row r="242" ht="18" customFormat="1" customHeight="1" s="5">
      <c r="A242" s="646" t="inlineStr">
        <is>
          <t>SECCIÓN O: EGRESOS DEL PROGRAMA DE SALUD  MENTAL POR ALTAS CLÍNICAS EN APS /ESPECIALIDAD</t>
        </is>
      </c>
      <c r="B242" s="646" t="n"/>
      <c r="C242" s="3" t="n"/>
      <c r="D242" s="3" t="n"/>
      <c r="E242" s="3" t="n"/>
      <c r="F242" s="3" t="n"/>
      <c r="G242" s="3" t="n"/>
      <c r="H242" s="3" t="n"/>
      <c r="I242" s="3" t="n"/>
      <c r="J242" s="3" t="n"/>
      <c r="K242" s="3" t="n"/>
      <c r="L242" s="3" t="n"/>
      <c r="M242" s="3" t="n"/>
      <c r="N242" s="3" t="n"/>
      <c r="O242" s="3" t="n"/>
      <c r="P242" s="3" t="n"/>
      <c r="Q242" s="3" t="n"/>
      <c r="R242" s="3" t="n"/>
      <c r="S242" s="3" t="n"/>
      <c r="T242" s="3" t="n"/>
      <c r="U242" s="3" t="n"/>
      <c r="V242" s="3" t="n"/>
      <c r="W242" s="3" t="n"/>
      <c r="X242" s="3" t="n"/>
      <c r="Y242" s="3" t="n"/>
      <c r="Z242" s="3" t="n"/>
      <c r="AA242" s="3" t="n"/>
      <c r="AB242" s="3" t="n"/>
      <c r="AC242" s="3" t="n"/>
      <c r="AD242" s="3" t="n"/>
      <c r="AE242" s="3" t="n"/>
      <c r="AF242" s="3" t="n"/>
      <c r="AG242" s="3" t="n"/>
      <c r="AH242" s="3" t="n"/>
      <c r="AI242" s="3" t="n"/>
      <c r="AJ242" s="3" t="n"/>
      <c r="AK242" s="3" t="n"/>
      <c r="AL242" s="3" t="n"/>
      <c r="AM242" s="3" t="n"/>
      <c r="AN242" s="3" t="n"/>
      <c r="AO242" s="3" t="n"/>
      <c r="AP242" s="3" t="n"/>
      <c r="AQ242" s="3" t="n"/>
      <c r="AR242" s="3" t="n"/>
      <c r="AS242" s="3" t="n"/>
      <c r="AT242" s="3" t="n"/>
      <c r="AU242" s="3" t="n"/>
      <c r="AV242" s="3" t="n"/>
      <c r="AW242" s="3" t="n"/>
      <c r="AX242" s="3" t="n"/>
    </row>
    <row r="243" ht="30" customHeight="1" s="8286">
      <c r="A243" s="9939" t="inlineStr">
        <is>
          <t>MOTIVO DE EGRESO</t>
        </is>
      </c>
      <c r="B243" s="9630" t="n"/>
      <c r="C243" s="4505" t="inlineStr">
        <is>
          <t>TOTAL</t>
        </is>
      </c>
      <c r="D243" s="9584" t="n"/>
      <c r="E243" s="9647" t="n"/>
      <c r="F243" s="4505" t="inlineStr">
        <is>
          <t>0 - 4 años</t>
        </is>
      </c>
      <c r="G243" s="9647" t="n"/>
      <c r="H243" s="4505" t="inlineStr">
        <is>
          <t>5 - 9 años</t>
        </is>
      </c>
      <c r="I243" s="9647" t="n"/>
      <c r="J243" s="4505" t="inlineStr">
        <is>
          <t>10 - 14 años</t>
        </is>
      </c>
      <c r="K243" s="9647" t="n"/>
      <c r="L243" s="4505" t="inlineStr">
        <is>
          <t>15 - 19 años</t>
        </is>
      </c>
      <c r="M243" s="9647" t="n"/>
      <c r="N243" s="9977" t="inlineStr">
        <is>
          <t>20 - 24 años</t>
        </is>
      </c>
      <c r="O243" s="9582" t="n"/>
      <c r="P243" s="9240" t="inlineStr">
        <is>
          <t>25 - 29 años</t>
        </is>
      </c>
      <c r="Q243" s="9647" t="n"/>
      <c r="R243" s="9240" t="inlineStr">
        <is>
          <t>30 - 34 años</t>
        </is>
      </c>
      <c r="S243" s="9647" t="n"/>
      <c r="T243" s="9240" t="inlineStr">
        <is>
          <t>35 - 39 años</t>
        </is>
      </c>
      <c r="U243" s="9647" t="n"/>
      <c r="V243" s="9240" t="inlineStr">
        <is>
          <t>40 - 44 años</t>
        </is>
      </c>
      <c r="W243" s="9647" t="n"/>
      <c r="X243" s="9240" t="inlineStr">
        <is>
          <t>45 - 49 años</t>
        </is>
      </c>
      <c r="Y243" s="9647" t="n"/>
      <c r="Z243" s="9240" t="inlineStr">
        <is>
          <t>50 - 54 años</t>
        </is>
      </c>
      <c r="AA243" s="9647" t="n"/>
      <c r="AB243" s="9240" t="inlineStr">
        <is>
          <t>55 - 59 años</t>
        </is>
      </c>
      <c r="AC243" s="9647" t="n"/>
      <c r="AD243" s="9240" t="inlineStr">
        <is>
          <t>60 - 64 años</t>
        </is>
      </c>
      <c r="AE243" s="9647" t="n"/>
      <c r="AF243" s="9240" t="inlineStr">
        <is>
          <t>65 - 69 años</t>
        </is>
      </c>
      <c r="AG243" s="9647" t="n"/>
      <c r="AH243" s="9240" t="inlineStr">
        <is>
          <t>70 - 74 años</t>
        </is>
      </c>
      <c r="AI243" s="9647" t="n"/>
      <c r="AJ243" s="9240" t="inlineStr">
        <is>
          <t>75 - 79 años</t>
        </is>
      </c>
      <c r="AK243" s="9647" t="n"/>
      <c r="AL243" s="9240" t="inlineStr">
        <is>
          <t>80 y más años</t>
        </is>
      </c>
      <c r="AM243" s="9647" t="n"/>
      <c r="AN243" s="9988" t="inlineStr">
        <is>
          <t>EGRESOS</t>
        </is>
      </c>
      <c r="AO243" s="9617" t="n"/>
      <c r="AP243" s="9597" t="n"/>
      <c r="AQ243" s="7825" t="inlineStr">
        <is>
          <t>Gestantes</t>
        </is>
      </c>
      <c r="AR243" s="7827" t="inlineStr">
        <is>
          <t xml:space="preserve">Madre de hijo menor de 5 años </t>
        </is>
      </c>
      <c r="AS243" s="7834" t="inlineStr">
        <is>
          <t>Pueblos Originarios</t>
        </is>
      </c>
      <c r="AT243" s="9647" t="n"/>
      <c r="AU243" s="9924" t="inlineStr">
        <is>
          <t xml:space="preserve">SENAME/ Servicio Nacional de Reinserción social Juvenil </t>
        </is>
      </c>
      <c r="AV243" s="9920" t="inlineStr">
        <is>
          <t>Servicio Nacional Protección Especializada a la Niñez y Adolescencia</t>
        </is>
      </c>
      <c r="AW243" s="9924" t="inlineStr">
        <is>
          <t>Migrantes</t>
        </is>
      </c>
      <c r="AX243" s="9920" t="inlineStr">
        <is>
          <t>TRANS Masculino/
Femenino</t>
        </is>
      </c>
    </row>
    <row r="244" ht="40.5" customHeight="1" s="8286">
      <c r="A244" s="9638" t="n"/>
      <c r="B244" s="9639" t="n"/>
      <c r="C244" s="7932" t="inlineStr">
        <is>
          <t>Ambos Sexos</t>
        </is>
      </c>
      <c r="D244" s="2042" t="inlineStr">
        <is>
          <t>Hombres</t>
        </is>
      </c>
      <c r="E244" s="1968" t="inlineStr">
        <is>
          <t>Mujeres</t>
        </is>
      </c>
      <c r="F244" s="2167" t="inlineStr">
        <is>
          <t>Hombres</t>
        </is>
      </c>
      <c r="G244" s="1968" t="inlineStr">
        <is>
          <t>Mujeres</t>
        </is>
      </c>
      <c r="H244" s="2167" t="inlineStr">
        <is>
          <t>Hombres</t>
        </is>
      </c>
      <c r="I244" s="1968" t="inlineStr">
        <is>
          <t>Mujeres</t>
        </is>
      </c>
      <c r="J244" s="2167" t="inlineStr">
        <is>
          <t>Hombres</t>
        </is>
      </c>
      <c r="K244" s="1968" t="inlineStr">
        <is>
          <t>Mujeres</t>
        </is>
      </c>
      <c r="L244" s="2167" t="inlineStr">
        <is>
          <t>Hombres</t>
        </is>
      </c>
      <c r="M244" s="1968" t="inlineStr">
        <is>
          <t>Mujeres</t>
        </is>
      </c>
      <c r="N244" s="2167" t="inlineStr">
        <is>
          <t>Hombres</t>
        </is>
      </c>
      <c r="O244" s="1968" t="inlineStr">
        <is>
          <t>Mujeres</t>
        </is>
      </c>
      <c r="P244" s="2167" t="inlineStr">
        <is>
          <t>Hombres</t>
        </is>
      </c>
      <c r="Q244" s="1968" t="inlineStr">
        <is>
          <t>Mujeres</t>
        </is>
      </c>
      <c r="R244" s="2167" t="inlineStr">
        <is>
          <t>Hombres</t>
        </is>
      </c>
      <c r="S244" s="1968" t="inlineStr">
        <is>
          <t>Mujeres</t>
        </is>
      </c>
      <c r="T244" s="2167" t="inlineStr">
        <is>
          <t>Hombres</t>
        </is>
      </c>
      <c r="U244" s="1968" t="inlineStr">
        <is>
          <t>Mujeres</t>
        </is>
      </c>
      <c r="V244" s="2167" t="inlineStr">
        <is>
          <t>Hombres</t>
        </is>
      </c>
      <c r="W244" s="1968" t="inlineStr">
        <is>
          <t>Mujeres</t>
        </is>
      </c>
      <c r="X244" s="2167" t="inlineStr">
        <is>
          <t>Hombres</t>
        </is>
      </c>
      <c r="Y244" s="1968" t="inlineStr">
        <is>
          <t>Mujeres</t>
        </is>
      </c>
      <c r="Z244" s="2167" t="inlineStr">
        <is>
          <t>Hombres</t>
        </is>
      </c>
      <c r="AA244" s="1968" t="inlineStr">
        <is>
          <t>Mujeres</t>
        </is>
      </c>
      <c r="AB244" s="2167" t="inlineStr">
        <is>
          <t>Hombres</t>
        </is>
      </c>
      <c r="AC244" s="1968" t="inlineStr">
        <is>
          <t>Mujeres</t>
        </is>
      </c>
      <c r="AD244" s="2167" t="inlineStr">
        <is>
          <t>Hombres</t>
        </is>
      </c>
      <c r="AE244" s="1968" t="inlineStr">
        <is>
          <t>Mujeres</t>
        </is>
      </c>
      <c r="AF244" s="2167" t="inlineStr">
        <is>
          <t>Hombres</t>
        </is>
      </c>
      <c r="AG244" s="1968" t="inlineStr">
        <is>
          <t>Mujeres</t>
        </is>
      </c>
      <c r="AH244" s="2167" t="inlineStr">
        <is>
          <t>Hombres</t>
        </is>
      </c>
      <c r="AI244" s="1968" t="inlineStr">
        <is>
          <t>Mujeres</t>
        </is>
      </c>
      <c r="AJ244" s="2167" t="inlineStr">
        <is>
          <t>Hombres</t>
        </is>
      </c>
      <c r="AK244" s="1968" t="inlineStr">
        <is>
          <t>Mujeres</t>
        </is>
      </c>
      <c r="AL244" s="2167" t="inlineStr">
        <is>
          <t>Hombres</t>
        </is>
      </c>
      <c r="AM244" s="1977" t="inlineStr">
        <is>
          <t>Mujeres</t>
        </is>
      </c>
      <c r="AN244" s="2150" t="inlineStr">
        <is>
          <t>Abandono</t>
        </is>
      </c>
      <c r="AO244" s="2011" t="inlineStr">
        <is>
          <t>Fallecimiento</t>
        </is>
      </c>
      <c r="AP244" s="7684" t="inlineStr">
        <is>
          <t>Traslado o Derivación</t>
        </is>
      </c>
      <c r="AQ244" s="9990" t="n"/>
      <c r="AR244" s="9991" t="n"/>
      <c r="AS244" s="5379" t="inlineStr">
        <is>
          <t>Hombres</t>
        </is>
      </c>
      <c r="AT244" s="1968" t="inlineStr">
        <is>
          <t>Mujeres</t>
        </is>
      </c>
      <c r="AU244" s="9800" t="n"/>
      <c r="AV244" s="9641" t="n"/>
      <c r="AW244" s="9800" t="n"/>
      <c r="AX244" s="9641" t="n"/>
    </row>
    <row r="245" ht="18" customFormat="1" customHeight="1" s="5">
      <c r="A245" s="9996" t="inlineStr">
        <is>
          <t>EGRESOS DEL PROGRAMA</t>
        </is>
      </c>
      <c r="B245" s="9647" t="n"/>
      <c r="C245" s="2169">
        <f>SUM(D245+E245)</f>
        <v/>
      </c>
      <c r="D245" s="2170">
        <f>SUM(F245+H245+J245+L245+N245+P245+R245+T245+V245+X245+Z245+AB245+AD245+AF245+AH245+AJ245+AL245)</f>
        <v/>
      </c>
      <c r="E245" s="2171">
        <f>SUM(G245+I245+K245+M245+O245+Q245+S245+U245+W245+Y245+AA245+AC245+AE245+AG245+AI245+AK245+AM245)</f>
        <v/>
      </c>
      <c r="F245" s="2036" t="n"/>
      <c r="G245" s="2039" t="n"/>
      <c r="H245" s="2036" t="n">
        <v>1</v>
      </c>
      <c r="I245" s="2039" t="n">
        <v>3</v>
      </c>
      <c r="J245" s="2036" t="n">
        <v>2</v>
      </c>
      <c r="K245" s="2039" t="n"/>
      <c r="L245" s="2036" t="n"/>
      <c r="M245" s="2039" t="n">
        <v>1</v>
      </c>
      <c r="N245" s="2036" t="n"/>
      <c r="O245" s="2039" t="n">
        <v>3</v>
      </c>
      <c r="P245" s="2036" t="n">
        <v>1</v>
      </c>
      <c r="Q245" s="2039" t="n"/>
      <c r="R245" s="2036" t="n"/>
      <c r="S245" s="2039" t="n">
        <v>1</v>
      </c>
      <c r="T245" s="2036" t="n">
        <v>1</v>
      </c>
      <c r="U245" s="2039" t="n"/>
      <c r="V245" s="2036" t="n"/>
      <c r="W245" s="2039" t="n"/>
      <c r="X245" s="2036" t="n"/>
      <c r="Y245" s="2039" t="n"/>
      <c r="Z245" s="2036" t="n"/>
      <c r="AA245" s="2039" t="n"/>
      <c r="AB245" s="2036" t="n">
        <v>2</v>
      </c>
      <c r="AC245" s="2039" t="n"/>
      <c r="AD245" s="2036" t="n"/>
      <c r="AE245" s="2039" t="n">
        <v>2</v>
      </c>
      <c r="AF245" s="2036" t="n">
        <v>1</v>
      </c>
      <c r="AG245" s="2039" t="n">
        <v>2</v>
      </c>
      <c r="AH245" s="2036" t="n"/>
      <c r="AI245" s="2039" t="n"/>
      <c r="AJ245" s="2036" t="n"/>
      <c r="AK245" s="2039" t="n">
        <v>1</v>
      </c>
      <c r="AL245" s="2036" t="n">
        <v>3</v>
      </c>
      <c r="AM245" s="2172" t="n">
        <v>2</v>
      </c>
      <c r="AN245" s="159" t="n">
        <v>1</v>
      </c>
      <c r="AO245" s="1434" t="n">
        <v>6</v>
      </c>
      <c r="AP245" s="1226" t="n">
        <v>7</v>
      </c>
      <c r="AQ245" s="5386" t="n">
        <v>0</v>
      </c>
      <c r="AR245" s="5207" t="n">
        <v>0</v>
      </c>
      <c r="AS245" s="5211" t="n">
        <v>0</v>
      </c>
      <c r="AT245" s="2039" t="n">
        <v>0</v>
      </c>
      <c r="AU245" s="2038" t="n">
        <v>0</v>
      </c>
      <c r="AV245" s="2039" t="n">
        <v>0</v>
      </c>
      <c r="AW245" s="2036" t="n">
        <v>0</v>
      </c>
      <c r="AX245" s="2039" t="n">
        <v>0</v>
      </c>
      <c r="AY245" s="5">
        <f>CA245&amp;CB245&amp;CC245&amp;CD245&amp;CE245&amp;CF245&amp;CG245&amp;CH245&amp;CI245</f>
        <v/>
      </c>
      <c r="CA245" s="17" t="n"/>
      <c r="CB245" s="90">
        <f>IF(AND(E245&gt;0,AQ245=""), "* No olvide digitar la variable Gestantes. Digite Cero si no tiene.", IF(AQ245&gt;E245," * La variable Gestantes No puede ser mayor al Total Mujeres.",""))</f>
        <v/>
      </c>
      <c r="CC245" s="90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>
        <f>IF(AND(C245&gt;0,AW245=""), "* No olvide digitar la variable Migrantes. Digite Cero si no tiene.",IF(AW245&gt;C245,"  * La variable Migrantes No puede ser mayor al Total.",""))</f>
        <v/>
      </c>
      <c r="CI245" s="90">
        <f>IF(AND(C245&gt;0,AX245=""), "* No olvide digitar la variable Trans (Masculino/ Femenino). Digite Cero si no tiene.",IF(AX245&gt;C245,"  * La variable Trans (Masculino/Femenino) No puede ser mayor al Total Ambos Sexos.",""))</f>
        <v/>
      </c>
      <c r="CP245" s="125">
        <f>IF(AND(E245&gt;0,AQ245=""),1,IF(AQ245&gt;E245,1,0))</f>
        <v/>
      </c>
      <c r="CQ245" s="125">
        <f>IF(AND(E245&gt;0,AR245=""),1,IF(AR245&gt;E245,1,0))</f>
        <v/>
      </c>
      <c r="CR245" s="125">
        <f>IF(AND(D245&gt;0,OR(AS245="")),1,IF(AS245&gt;D245,1,0))</f>
        <v/>
      </c>
      <c r="CS245" s="125">
        <f>IF(AND(E245&gt;0,OR(AT245="")),1,IF(AT245&gt;E245,1,0))</f>
        <v/>
      </c>
      <c r="CT245" s="125">
        <f>IF(AND(C245&gt;0,AU245=""),1,IF(AU245&gt;C245,1,0))</f>
        <v/>
      </c>
      <c r="CU245" s="125">
        <f>IF(AND(C245&gt;0,AV245=""),1,IF(AV245&gt;C245,1,0))</f>
        <v/>
      </c>
      <c r="CV245" s="125">
        <f>IF(AND(C245&gt;0,AW245=""),1,IF(AW245&gt;C245,1,0))</f>
        <v/>
      </c>
      <c r="CW245" s="125">
        <f>IF(AND(C245&gt;0,AX245=""),1,IF(AX245&gt;C245,1,0))</f>
        <v/>
      </c>
    </row>
    <row r="246" ht="18" customFormat="1" customHeight="1" s="5">
      <c r="A246" s="9993" t="inlineStr">
        <is>
          <t>FACTORES DE RIESGO Y CONDICIONANTES DE LA SALUD MENTAL</t>
        </is>
      </c>
      <c r="B246" s="9647" t="n"/>
      <c r="C246" s="2220" t="n"/>
      <c r="D246" s="2221" t="n"/>
      <c r="E246" s="2221" t="n"/>
      <c r="F246" s="2222" t="n"/>
      <c r="G246" s="2222" t="n"/>
      <c r="H246" s="2222" t="n"/>
      <c r="I246" s="2222" t="n"/>
      <c r="J246" s="2222" t="n"/>
      <c r="K246" s="2222" t="n"/>
      <c r="L246" s="2222" t="n"/>
      <c r="M246" s="2222" t="n"/>
      <c r="N246" s="2222" t="n"/>
      <c r="O246" s="2222" t="n"/>
      <c r="P246" s="2222" t="n"/>
      <c r="Q246" s="2222" t="n"/>
      <c r="R246" s="2222" t="n"/>
      <c r="S246" s="2222" t="n"/>
      <c r="T246" s="2222" t="n"/>
      <c r="U246" s="2222" t="n"/>
      <c r="V246" s="2222" t="n"/>
      <c r="W246" s="2222" t="n"/>
      <c r="X246" s="2222" t="n"/>
      <c r="Y246" s="2222" t="n"/>
      <c r="Z246" s="2222" t="n"/>
      <c r="AA246" s="2222" t="n"/>
      <c r="AB246" s="2222" t="n"/>
      <c r="AC246" s="2222" t="n"/>
      <c r="AD246" s="2222" t="n"/>
      <c r="AE246" s="2222" t="n"/>
      <c r="AF246" s="2222" t="n"/>
      <c r="AG246" s="2222" t="n"/>
      <c r="AH246" s="2222" t="n"/>
      <c r="AI246" s="2222" t="n"/>
      <c r="AJ246" s="2222" t="n"/>
      <c r="AK246" s="2222" t="n"/>
      <c r="AL246" s="2222" t="n"/>
      <c r="AM246" s="2223" t="n"/>
      <c r="AN246" s="2223" t="n"/>
      <c r="AO246" s="2223" t="n"/>
      <c r="AP246" s="2224" t="n"/>
      <c r="AQ246" s="5387" t="n"/>
      <c r="AR246" s="5393" t="n"/>
      <c r="AS246" s="5387" t="n"/>
      <c r="AT246" s="2223" t="n"/>
      <c r="AU246" s="2223" t="n"/>
      <c r="AV246" s="2223" t="n"/>
      <c r="AW246" s="2223" t="n"/>
      <c r="AX246" s="2225" t="n"/>
      <c r="CF246" s="90">
        <f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ht="15" customFormat="1" customHeight="1" s="5">
      <c r="A247" s="9933" t="inlineStr">
        <is>
          <t>Violencia Física</t>
        </is>
      </c>
      <c r="B247" s="2179" t="inlineStr">
        <is>
          <t>Victima</t>
        </is>
      </c>
      <c r="C247" s="2180">
        <f>SUM(D247+E247)</f>
        <v/>
      </c>
      <c r="D247" s="855">
        <f>SUM(F247+H247+J247+L247+N247+P247+R247+T247+V247+X247+Z247+AB247+AD247+AF247+AH247+AJ247+AL247)</f>
        <v/>
      </c>
      <c r="E247" s="2179">
        <f>SUM(G247+I247+K247+M247+O247+Q247+S247+U247+W247+Y247+AA247+AC247+AE247+AG247+AI247+AK247+AM247)</f>
        <v/>
      </c>
      <c r="F247" s="2022" t="n"/>
      <c r="G247" s="2029" t="n"/>
      <c r="H247" s="2036" t="n"/>
      <c r="I247" s="2039" t="n"/>
      <c r="J247" s="2036" t="n"/>
      <c r="K247" s="2039" t="n"/>
      <c r="L247" s="2036" t="n"/>
      <c r="M247" s="2039" t="n"/>
      <c r="N247" s="2036" t="n"/>
      <c r="O247" s="2039" t="n"/>
      <c r="P247" s="2036" t="n"/>
      <c r="Q247" s="2039" t="n"/>
      <c r="R247" s="2036" t="n"/>
      <c r="S247" s="2039" t="n"/>
      <c r="T247" s="2036" t="n"/>
      <c r="U247" s="2039" t="n"/>
      <c r="V247" s="2036" t="n"/>
      <c r="W247" s="2039" t="n"/>
      <c r="X247" s="2036" t="n"/>
      <c r="Y247" s="2039" t="n"/>
      <c r="Z247" s="2036" t="n"/>
      <c r="AA247" s="2039" t="n"/>
      <c r="AB247" s="2036" t="n"/>
      <c r="AC247" s="2039" t="n"/>
      <c r="AD247" s="2036" t="n"/>
      <c r="AE247" s="2039" t="n"/>
      <c r="AF247" s="2036" t="n"/>
      <c r="AG247" s="2039" t="n"/>
      <c r="AH247" s="2036" t="n"/>
      <c r="AI247" s="2039" t="n"/>
      <c r="AJ247" s="2036" t="n"/>
      <c r="AK247" s="2039" t="n"/>
      <c r="AL247" s="2036" t="n"/>
      <c r="AM247" s="2172" t="n"/>
      <c r="AN247" s="159" t="n">
        <v>0</v>
      </c>
      <c r="AO247" s="1434" t="n">
        <v>0</v>
      </c>
      <c r="AP247" s="1226" t="n">
        <v>0</v>
      </c>
      <c r="AQ247" s="5386" t="n">
        <v>0</v>
      </c>
      <c r="AR247" s="5207" t="n">
        <v>0</v>
      </c>
      <c r="AS247" s="5211" t="n">
        <v>0</v>
      </c>
      <c r="AT247" s="2039" t="n">
        <v>0</v>
      </c>
      <c r="AU247" s="2038" t="n">
        <v>0</v>
      </c>
      <c r="AV247" s="2039" t="n">
        <v>0</v>
      </c>
      <c r="AW247" s="2036" t="n">
        <v>0</v>
      </c>
      <c r="AX247" s="2039" t="n">
        <v>0</v>
      </c>
      <c r="AY247" s="5">
        <f>CA247&amp;CB247&amp;CC247&amp;CD247&amp;CE247&amp;CF247&amp;CG247&amp;CH247&amp;CI247</f>
        <v/>
      </c>
      <c r="CA247" s="17" t="n"/>
      <c r="CB247" s="90">
        <f>IF(AND(E247&gt;0,AQ247=""), "* No olvide digitar la variable Gestantes. Digite Cero si no tiene.",IF(AQ247&gt;E247,"  * La variable Gestantes No puede ser mayor al Total Mujeres.",""))</f>
        <v/>
      </c>
      <c r="CC247" s="90">
        <f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>
        <f>IF(AND(D247&gt;0,OR(AS247="")), "* No olvide digitar la variable Pueblos originarios Hombres. Digite Cero si no tiene.",IF(AS247&gt;D247,"  * La variable Pueblos originarios Hombres No puede ser mayor al Total Hombres.",""))</f>
        <v/>
      </c>
      <c r="CE247" s="90">
        <f>IF(AND(E247&gt;0,OR(AT247="")), "* No olvide digitar la variable Pueblos originarios Mujeres. Digite Cero si no tiene.",IF(AT247&gt;E247,"  * La variable Pueblos originarios Mujeres No puede ser mayor al Total Mujeres.",""))</f>
        <v/>
      </c>
      <c r="CF247" s="90">
        <f>IF(AND(C247&gt;0,AU247=""), "* No olvide digitar la variable SENAME/ Servicio Nacional de Reinserción social Juvenil . Digite Cero si no tiene.",IF(AU247&gt;C247,"  * La variable SENAME/ Servicio Nacional de Reinserción social Juvenil  No puede ser mayor al Total.",""))</f>
        <v/>
      </c>
      <c r="CG247" s="90">
        <f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>
        <f>IF(AND(C247&gt;0,AW247=""), "* No olvide digitar la variable Migrantes. Digite Cero si no tiene.",IF(AW247&gt;C247,"  * La variable Migrantes No puede ser mayor al Total.",""))</f>
        <v/>
      </c>
      <c r="CI247" s="90">
        <f>IF(AND(C247&gt;0,AX247=""), "* No olvide digitar la variable Trans (Masculino/ Femenino). Digite Cero si no tiene.",IF(AX247&gt;C247,"  * La variable Trans (Masculino/Femenino) No puede ser mayor al Total Ambos Sexos.",""))</f>
        <v/>
      </c>
      <c r="CP247" s="125">
        <f>IF(AND(E247&gt;0,AQ247=""),1,IF(AQ247&gt;E247,1,0))</f>
        <v/>
      </c>
      <c r="CQ247" s="125">
        <f>IF(AND(E247&gt;0,AR247=""),1,IF(AR247&gt;E247,1,0))</f>
        <v/>
      </c>
      <c r="CR247" s="125">
        <f>IF(AND(D247&gt;0,OR(AS247="")),1,IF(AS247&gt;D247,1,0))</f>
        <v/>
      </c>
      <c r="CS247" s="125">
        <f>IF(AND(E247&gt;0,OR(AT247="")),1,IF(AT247&gt;E247,1,0))</f>
        <v/>
      </c>
      <c r="CT247" s="125">
        <f>IF(AND(C247&gt;0,AU247=""),1,IF(AU247&gt;C247,1,0))</f>
        <v/>
      </c>
      <c r="CU247" s="125">
        <f>IF(AND(C247&gt;0,AV247=""),1,IF(AV247&gt;C247,1,0))</f>
        <v/>
      </c>
      <c r="CV247" s="125">
        <f>IF(AND(C247&gt;0,AW247=""),1,IF(AW247&gt;C247,1,0))</f>
        <v/>
      </c>
      <c r="CW247" s="125">
        <f>IF(AND(C247&gt;0,AX247=""),1,IF(AX247&gt;C247,1,0))</f>
        <v/>
      </c>
    </row>
    <row r="248" ht="15" customFormat="1" customHeight="1" s="5">
      <c r="A248" s="9610" t="n"/>
      <c r="B248" s="7752" t="inlineStr">
        <is>
          <t>Agresor/a</t>
        </is>
      </c>
      <c r="C248" s="2181">
        <f>SUM(D248+E248)</f>
        <v/>
      </c>
      <c r="D248" s="797">
        <f>SUM(F248+H248+J248+L248+N248+P248+R248+T248+V248+X248+Z248+AB248+AD248+AF248+AH248+AJ248+AL248)</f>
        <v/>
      </c>
      <c r="E248" s="7833">
        <f>SUM(G248+I248+K248+M248+O248+Q248+S248+U248+W248+Y248+AA248+AC248+AE248+AG248+AI248+AK248+AM248)</f>
        <v/>
      </c>
      <c r="F248" s="1935" t="n"/>
      <c r="G248" s="1186" t="n"/>
      <c r="H248" s="1935" t="n"/>
      <c r="I248" s="1186" t="n"/>
      <c r="J248" s="1935" t="n"/>
      <c r="K248" s="1186" t="n"/>
      <c r="L248" s="1935" t="n"/>
      <c r="M248" s="1186" t="n"/>
      <c r="N248" s="1935" t="n"/>
      <c r="O248" s="1186" t="n"/>
      <c r="P248" s="1935" t="n"/>
      <c r="Q248" s="1186" t="n"/>
      <c r="R248" s="1935" t="n"/>
      <c r="S248" s="1186" t="n"/>
      <c r="T248" s="1935" t="n"/>
      <c r="U248" s="1186" t="n"/>
      <c r="V248" s="1935" t="n"/>
      <c r="W248" s="1186" t="n"/>
      <c r="X248" s="1935" t="n"/>
      <c r="Y248" s="1186" t="n"/>
      <c r="Z248" s="1935" t="n"/>
      <c r="AA248" s="1186" t="n"/>
      <c r="AB248" s="1935" t="n"/>
      <c r="AC248" s="1186" t="n"/>
      <c r="AD248" s="1935" t="n"/>
      <c r="AE248" s="1186" t="n"/>
      <c r="AF248" s="1935" t="n"/>
      <c r="AG248" s="1186" t="n"/>
      <c r="AH248" s="1935" t="n"/>
      <c r="AI248" s="1186" t="n"/>
      <c r="AJ248" s="1935" t="n"/>
      <c r="AK248" s="1186" t="n"/>
      <c r="AL248" s="1935" t="n"/>
      <c r="AM248" s="36" t="n"/>
      <c r="AN248" s="1966" t="n">
        <v>0</v>
      </c>
      <c r="AO248" s="1432" t="n">
        <v>0</v>
      </c>
      <c r="AP248" s="1297" t="n">
        <v>0</v>
      </c>
      <c r="AQ248" s="5388" t="n">
        <v>0</v>
      </c>
      <c r="AR248" s="5362" t="n">
        <v>0</v>
      </c>
      <c r="AS248" s="5380" t="n">
        <v>0</v>
      </c>
      <c r="AT248" s="1953" t="n">
        <v>0</v>
      </c>
      <c r="AU248" s="1434" t="n">
        <v>0</v>
      </c>
      <c r="AV248" s="1953" t="n">
        <v>0</v>
      </c>
      <c r="AW248" s="1434" t="n">
        <v>0</v>
      </c>
      <c r="AX248" s="1953" t="n">
        <v>0</v>
      </c>
      <c r="AY248" s="5">
        <f>CA248&amp;CB248&amp;CC248&amp;CD248&amp;CE248&amp;CF248&amp;CG248&amp;CH248&amp;CI248</f>
        <v/>
      </c>
      <c r="CA248" s="17" t="n"/>
      <c r="CB248" s="90">
        <f>IF(AND(E248&gt;0,AQ248=""), "* No olvide digitar la variable Gestantes. Digite Cero si no tiene.",IF(AQ248&gt;E248,"  * La variable Gestantes No puede ser mayor al Total Mujeres.",""))</f>
        <v/>
      </c>
      <c r="CC248" s="90">
        <f>IF(AND(E248&gt;0,AR248=""), "* No olvide digitar la variable Madre de hijo menor de 5 años. Digite Cero si no tiene.",IF(AR248&gt;E248,"  * La variable Madre de hijo menor de 5 años No puede ser mayor al Total Mujeres.",""))</f>
        <v/>
      </c>
      <c r="CD248" s="90">
        <f>IF(AND(D248&gt;0,OR(AS248="")), "* No olvide digitar la variable Pueblos originarios Hombres. Digite Cero si no tiene.",IF(AS248&gt;D248,"  * La variable Pueblos originarios Hombres No puede ser mayor al Total Hombres.",""))</f>
        <v/>
      </c>
      <c r="CE248" s="90">
        <f>IF(AND(E248&gt;0,OR(AT248="")), "* No olvide digitar la variable Pueblos originarios Mujeres. Digite Cero si no tiene.",IF(AT248&gt;E248,"  * La variable Pueblos originarios Mujeres No puede ser mayor al Total Mujeres.",""))</f>
        <v/>
      </c>
      <c r="CF248" s="90">
        <f>IF(AND(C248&gt;0,AU248=""), "* No olvide digitar la variable SENAME/ Servicio Nacional de Reinserción social Juvenil . Digite Cero si no tiene.",IF(AU248&gt;C248,"  * La variable SENAME/ Servicio Nacional de Reinserción social Juvenil  No puede ser mayor al Total.",""))</f>
        <v/>
      </c>
      <c r="CG248" s="90">
        <f>IF(AND(C248&gt;0,AV248=""), "* No olvide digitar la variable Servicio Nacional Protección Especializada a la Niñez y Adolescencia. Digite Cero si no tiene.",IF(AV248&gt;C248,"  * La variable NServicio Nacional Protección Especializada a la Niñez y Adolescencia No puede ser mayor al Total.",""))</f>
        <v/>
      </c>
      <c r="CH248" s="90">
        <f>IF(AND(C248&gt;0,AW248=""), "* No olvide digitar la variable Migrantes. Digite Cero si no tiene.",IF(AW248&gt;C248,"  * La variable Migrantes No puede ser mayor al Total.",""))</f>
        <v/>
      </c>
      <c r="CI248" s="90">
        <f>IF(AND(C248&gt;0,AX248=""), "* No olvide digitar la variable Trans (Masculino/ Femenino). Digite Cero si no tiene.",IF(AX248&gt;C248,"  * La variable Trans (Masculino/Femenino) No puede ser mayor al Total Ambos Sexos.",""))</f>
        <v/>
      </c>
      <c r="CP248" s="125">
        <f>IF(AND(E248&gt;0,AQ248=""),1,IF(AQ248&gt;E248,1,0))</f>
        <v/>
      </c>
      <c r="CQ248" s="125">
        <f>IF(AND(E248&gt;0,AR248=""),1,IF(AR248&gt;E248,1,0))</f>
        <v/>
      </c>
      <c r="CR248" s="125">
        <f>IF(AND(D248&gt;0,OR(AS248="")),1,IF(AS248&gt;D248,1,0))</f>
        <v/>
      </c>
      <c r="CS248" s="125">
        <f>IF(AND(E248&gt;0,OR(AT248="")),1,IF(AT248&gt;E248,1,0))</f>
        <v/>
      </c>
      <c r="CT248" s="125">
        <f>IF(AND(C248&gt;0,AU248=""),1,IF(AU248&gt;C248,1,0))</f>
        <v/>
      </c>
      <c r="CU248" s="125">
        <f>IF(AND(C248&gt;0,AV248=""),1,IF(AV248&gt;C248,1,0))</f>
        <v/>
      </c>
      <c r="CV248" s="125">
        <f>IF(AND(C248&gt;0,AW248=""),1,IF(AW248&gt;C248,1,0))</f>
        <v/>
      </c>
      <c r="CW248" s="125">
        <f>IF(AND(C248&gt;0,AX248=""),1,IF(AX248&gt;C248,1,0))</f>
        <v/>
      </c>
    </row>
    <row r="249" ht="15" customFormat="1" customHeight="1" s="5">
      <c r="A249" s="9933" t="inlineStr">
        <is>
          <t>Violencia Sexual</t>
        </is>
      </c>
      <c r="B249" s="2179" t="inlineStr">
        <is>
          <t>Victima</t>
        </is>
      </c>
      <c r="C249" s="2180">
        <f>SUM(D249+E249)</f>
        <v/>
      </c>
      <c r="D249" s="855">
        <f>SUM(F249+H249+J249+L249+N249+P249+R249+T249+V249+X249+Z249+AB249+AD249+AF249+AH249+AJ249+AL249)</f>
        <v/>
      </c>
      <c r="E249" s="2179">
        <f>SUM(G249+I249+K249+M249+O249+Q249+S249+U249+W249+Y249+AA249+AC249+AE249+AG249+AI249+AK249+AM249)</f>
        <v/>
      </c>
      <c r="F249" s="2022" t="n"/>
      <c r="G249" s="2029" t="n"/>
      <c r="H249" s="2022" t="n"/>
      <c r="I249" s="2029" t="n"/>
      <c r="J249" s="2022" t="n"/>
      <c r="K249" s="2029" t="n"/>
      <c r="L249" s="2022" t="n"/>
      <c r="M249" s="2029" t="n"/>
      <c r="N249" s="2022" t="n"/>
      <c r="O249" s="2029" t="n"/>
      <c r="P249" s="2022" t="n"/>
      <c r="Q249" s="2029" t="n"/>
      <c r="R249" s="2022" t="n"/>
      <c r="S249" s="2029" t="n"/>
      <c r="T249" s="2022" t="n"/>
      <c r="U249" s="2029" t="n"/>
      <c r="V249" s="2022" t="n"/>
      <c r="W249" s="2029" t="n"/>
      <c r="X249" s="2022" t="n"/>
      <c r="Y249" s="2029" t="n"/>
      <c r="Z249" s="2022" t="n"/>
      <c r="AA249" s="2029" t="n"/>
      <c r="AB249" s="2022" t="n"/>
      <c r="AC249" s="2029" t="n"/>
      <c r="AD249" s="2022" t="n"/>
      <c r="AE249" s="2029" t="n"/>
      <c r="AF249" s="2022" t="n"/>
      <c r="AG249" s="2029" t="n"/>
      <c r="AH249" s="2022" t="n"/>
      <c r="AI249" s="2029" t="n"/>
      <c r="AJ249" s="2022" t="n"/>
      <c r="AK249" s="2029" t="n"/>
      <c r="AL249" s="2022" t="n"/>
      <c r="AM249" s="2115" t="n"/>
      <c r="AN249" s="2025" t="n">
        <v>0</v>
      </c>
      <c r="AO249" s="2023" t="n">
        <v>0</v>
      </c>
      <c r="AP249" s="1983" t="n">
        <v>0</v>
      </c>
      <c r="AQ249" s="4512" t="n">
        <v>0</v>
      </c>
      <c r="AR249" s="5189" t="n">
        <v>0</v>
      </c>
      <c r="AS249" s="3503" t="n">
        <v>0</v>
      </c>
      <c r="AT249" s="2029" t="n">
        <v>0</v>
      </c>
      <c r="AU249" s="2023" t="n">
        <v>0</v>
      </c>
      <c r="AV249" s="2029" t="n">
        <v>0</v>
      </c>
      <c r="AW249" s="2023" t="n">
        <v>0</v>
      </c>
      <c r="AX249" s="2029" t="n">
        <v>0</v>
      </c>
      <c r="AY249" s="5">
        <f>CA249&amp;CB249&amp;CC249&amp;CD249&amp;CE249&amp;CF249&amp;CG249&amp;CH249&amp;CI249</f>
        <v/>
      </c>
      <c r="CA249" s="17" t="n"/>
      <c r="CB249" s="90">
        <f>IF(AND(E249&gt;0,AQ249=""), "* No olvide digitar la variable Gestantes. Digite Cero si no tiene.",IF(AQ249&gt;E249,"  * La variable Gestantes No puede ser mayor al Total Mujeres.",""))</f>
        <v/>
      </c>
      <c r="CC249" s="90">
        <f>IF(AND(E249&gt;0,AR249=""), "* No olvide digitar la variable Madre de hijo menor de 5 años. Digite Cero si no tiene.",IF(AR249&gt;E249,"  * La variable Madre de hijo menor de 5 años No puede ser mayor al Total Mujeres.",""))</f>
        <v/>
      </c>
      <c r="CD249" s="90">
        <f>IF(AND(D249&gt;0,OR(AS249="")), "* No olvide digitar la variable Pueblos originarios Hombres. Digite Cero si no tiene.",IF(AS249&gt;D249,"  * La variable Pueblos originarios Hombres No puede ser mayor al Total Hombres.",""))</f>
        <v/>
      </c>
      <c r="CE249" s="90">
        <f>IF(AND(E249&gt;0,OR(AT249="")), "* No olvide digitar la variable Pueblos originarios Mujeres. Digite Cero si no tiene.",IF(AT249&gt;E249,"  * La variable Pueblos originarios Mujeres No puede ser mayor al Total Mujeres.",""))</f>
        <v/>
      </c>
      <c r="CF249" s="90">
        <f>IF(AND(C249&gt;0,AU249=""), "* No olvide digitar la variable SENAME/ Servicio Nacional de Reinserción social Juvenil . Digite Cero si no tiene.",IF(AU249&gt;C249,"  * La variable SENAME/ Servicio Nacional de Reinserción social Juvenil  No puede ser mayor al Total.",""))</f>
        <v/>
      </c>
      <c r="CG249" s="90">
        <f>IF(AND(C249&gt;0,AV249=""), "* No olvide digitar la variable Servicio Nacional Protección Especializada a la Niñez y Adolescencia. Digite Cero si no tiene.",IF(AV249&gt;C249,"  * La variable NServicio Nacional Protección Especializada a la Niñez y Adolescencia No puede ser mayor al Total.",""))</f>
        <v/>
      </c>
      <c r="CH249" s="90">
        <f>IF(AND(C249&gt;0,AW249=""), "* No olvide digitar la variable Migrantes. Digite Cero si no tiene.",IF(AW249&gt;C249,"  * La variable Migrantes No puede ser mayor al Total.",""))</f>
        <v/>
      </c>
      <c r="CI249" s="90">
        <f>IF(AND(C249&gt;0,AX249=""), "* No olvide digitar la variable Trans (Masculino/ Femenino). Digite Cero si no tiene.",IF(AX249&gt;C249,"  * La variable Trans (Masculino/Femenino) No puede ser mayor al Total Ambos Sexos.",""))</f>
        <v/>
      </c>
      <c r="CP249" s="125">
        <f>IF(AND(E249&gt;0,AQ249=""),1,IF(AQ249&gt;E249,1,0))</f>
        <v/>
      </c>
      <c r="CQ249" s="125">
        <f>IF(AND(E249&gt;0,AR249=""),1,IF(AR249&gt;E249,1,0))</f>
        <v/>
      </c>
      <c r="CR249" s="125">
        <f>IF(AND(D249&gt;0,OR(AS249="")),1,IF(AS249&gt;D249,1,0))</f>
        <v/>
      </c>
      <c r="CS249" s="125">
        <f>IF(AND(E249&gt;0,OR(AT249="")),1,IF(AT249&gt;E249,1,0))</f>
        <v/>
      </c>
      <c r="CT249" s="125">
        <f>IF(AND(C249&gt;0,AU249=""),1,IF(AU249&gt;C249,1,0))</f>
        <v/>
      </c>
      <c r="CU249" s="125">
        <f>IF(AND(C249&gt;0,AV249=""),1,IF(AV249&gt;C249,1,0))</f>
        <v/>
      </c>
      <c r="CV249" s="125">
        <f>IF(AND(C249&gt;0,AW249=""),1,IF(AW249&gt;C249,1,0))</f>
        <v/>
      </c>
      <c r="CW249" s="125">
        <f>IF(AND(C249&gt;0,AX249=""),1,IF(AX249&gt;C249,1,0))</f>
        <v/>
      </c>
    </row>
    <row r="250" ht="15" customFormat="1" customHeight="1" s="5">
      <c r="A250" s="9610" t="n"/>
      <c r="B250" s="7752" t="inlineStr">
        <is>
          <t>Agresor/a</t>
        </is>
      </c>
      <c r="C250" s="2181">
        <f>SUM(D250+E250)</f>
        <v/>
      </c>
      <c r="D250" s="797">
        <f>SUM(F250+H250+J250+L250+N250+P250+R250+T250+V250+X250+Z250+AB250+AD250+AF250+AH250+AJ250+AL250)</f>
        <v/>
      </c>
      <c r="E250" s="7833">
        <f>SUM(G250+I250+K250+M250+O250+Q250+S250+U250+W250+Y250+AA250+AC250+AE250+AG250+AI250+AK250+AM250)</f>
        <v/>
      </c>
      <c r="F250" s="1935" t="n"/>
      <c r="G250" s="1186" t="n"/>
      <c r="H250" s="1935" t="n"/>
      <c r="I250" s="1186" t="n"/>
      <c r="J250" s="1935" t="n"/>
      <c r="K250" s="1186" t="n"/>
      <c r="L250" s="1935" t="n"/>
      <c r="M250" s="1186" t="n"/>
      <c r="N250" s="1935" t="n"/>
      <c r="O250" s="1186" t="n"/>
      <c r="P250" s="1935" t="n"/>
      <c r="Q250" s="1186" t="n"/>
      <c r="R250" s="1935" t="n"/>
      <c r="S250" s="1186" t="n"/>
      <c r="T250" s="1935" t="n"/>
      <c r="U250" s="1186" t="n"/>
      <c r="V250" s="1935" t="n"/>
      <c r="W250" s="1186" t="n"/>
      <c r="X250" s="1935" t="n"/>
      <c r="Y250" s="1186" t="n"/>
      <c r="Z250" s="1935" t="n"/>
      <c r="AA250" s="1186" t="n"/>
      <c r="AB250" s="1935" t="n"/>
      <c r="AC250" s="1186" t="n"/>
      <c r="AD250" s="1935" t="n"/>
      <c r="AE250" s="1186" t="n"/>
      <c r="AF250" s="1935" t="n"/>
      <c r="AG250" s="1186" t="n"/>
      <c r="AH250" s="1935" t="n"/>
      <c r="AI250" s="1186" t="n"/>
      <c r="AJ250" s="1935" t="n"/>
      <c r="AK250" s="1186" t="n"/>
      <c r="AL250" s="1935" t="n"/>
      <c r="AM250" s="36" t="n"/>
      <c r="AN250" s="1966" t="n">
        <v>0</v>
      </c>
      <c r="AO250" s="1432" t="n">
        <v>0</v>
      </c>
      <c r="AP250" s="1297" t="n">
        <v>0</v>
      </c>
      <c r="AQ250" s="5388" t="n">
        <v>0</v>
      </c>
      <c r="AR250" s="5362" t="n">
        <v>0</v>
      </c>
      <c r="AS250" s="5380" t="n">
        <v>0</v>
      </c>
      <c r="AT250" s="1953" t="n">
        <v>0</v>
      </c>
      <c r="AU250" s="1434" t="n">
        <v>0</v>
      </c>
      <c r="AV250" s="1953" t="n">
        <v>0</v>
      </c>
      <c r="AW250" s="1434" t="n">
        <v>0</v>
      </c>
      <c r="AX250" s="1953" t="n">
        <v>0</v>
      </c>
      <c r="AY250" s="5">
        <f>CA250&amp;CB250&amp;CC250&amp;CD250&amp;CE250&amp;CF250&amp;CG250&amp;CH250&amp;CI250</f>
        <v/>
      </c>
      <c r="CA250" s="17" t="n"/>
      <c r="CB250" s="90">
        <f>IF(AND(E250&gt;0,AQ250=""), "* No olvide digitar la variable Gestantes. Digite Cero si no tiene.",IF(AQ250&gt;E250,"  * La variable Gestantes No puede ser mayor al Total Mujeres.",""))</f>
        <v/>
      </c>
      <c r="CC250" s="90">
        <f>IF(AND(E250&gt;0,AR250=""), "* No olvide digitar la variable Madre de hijo menor de 5 años. Digite Cero si no tiene.",IF(AR250&gt;E250,"  * La variable Madre de hijo menor de 5 años No puede ser mayor al Total Mujeres.",""))</f>
        <v/>
      </c>
      <c r="CD250" s="90">
        <f>IF(AND(D250&gt;0,OR(AS250="")), "* No olvide digitar la variable Pueblos originarios Hombres. Digite Cero si no tiene.",IF(AS250&gt;D250,"  * La variable Pueblos originarios Hombres No puede ser mayor al Total Hombres.",""))</f>
        <v/>
      </c>
      <c r="CE250" s="90">
        <f>IF(AND(E250&gt;0,OR(AT250="")), "* No olvide digitar la variable Pueblos originarios Mujeres. Digite Cero si no tiene.",IF(AT250&gt;E250,"  * La variable Pueblos originarios Mujeres No puede ser mayor al Total Mujeres.",""))</f>
        <v/>
      </c>
      <c r="CF250" s="90">
        <f>IF(AND(C250&gt;0,AU250=""), "* No olvide digitar la variable SENAME/ Servicio Nacional de Reinserción social Juvenil . Digite Cero si no tiene.",IF(AU250&gt;C250,"  * La variable SENAME/ Servicio Nacional de Reinserción social Juvenil  No puede ser mayor al Total.",""))</f>
        <v/>
      </c>
      <c r="CG250" s="90">
        <f>IF(AND(C250&gt;0,AV250=""), "* No olvide digitar la variable Servicio Nacional Protección Especializada a la Niñez y Adolescencia. Digite Cero si no tiene.",IF(AV250&gt;C250,"  * La variable NServicio Nacional Protección Especializada a la Niñez y Adolescencia No puede ser mayor al Total.",""))</f>
        <v/>
      </c>
      <c r="CH250" s="90">
        <f>IF(AND(C250&gt;0,AW250=""), "* No olvide digitar la variable Migrantes. Digite Cero si no tiene.",IF(AW250&gt;C250,"  * La variable Migrantes No puede ser mayor al Total.",""))</f>
        <v/>
      </c>
      <c r="CI250" s="90">
        <f>IF(AND(C250&gt;0,AX250=""), "* No olvide digitar la variable Trans (Masculino/ Femenino). Digite Cero si no tiene.",IF(AX250&gt;C250,"  * La variable Trans (Masculino/Femenino) No puede ser mayor al Total Ambos Sexos.",""))</f>
        <v/>
      </c>
      <c r="CP250" s="125">
        <f>IF(AND(E250&gt;0,AQ250=""),1,IF(AQ250&gt;E250,1,0))</f>
        <v/>
      </c>
      <c r="CQ250" s="125">
        <f>IF(AND(E250&gt;0,AR250=""),1,IF(AR250&gt;E250,1,0))</f>
        <v/>
      </c>
      <c r="CR250" s="125">
        <f>IF(AND(D250&gt;0,OR(AS250="")),1,IF(AS250&gt;D250,1,0))</f>
        <v/>
      </c>
      <c r="CS250" s="125">
        <f>IF(AND(E250&gt;0,OR(AT250="")),1,IF(AT250&gt;E250,1,0))</f>
        <v/>
      </c>
      <c r="CT250" s="125">
        <f>IF(AND(C250&gt;0,AU250=""),1,IF(AU250&gt;C250,1,0))</f>
        <v/>
      </c>
      <c r="CU250" s="125">
        <f>IF(AND(C250&gt;0,AV250=""),1,IF(AV250&gt;C250,1,0))</f>
        <v/>
      </c>
      <c r="CV250" s="125">
        <f>IF(AND(C250&gt;0,AW250=""),1,IF(AW250&gt;C250,1,0))</f>
        <v/>
      </c>
      <c r="CW250" s="125">
        <f>IF(AND(C250&gt;0,AX250=""),1,IF(AX250&gt;C250,1,0))</f>
        <v/>
      </c>
    </row>
    <row r="251" ht="15" customHeight="1" s="8286">
      <c r="A251" s="9933" t="inlineStr">
        <is>
          <t>Violencia Psicológica</t>
        </is>
      </c>
      <c r="B251" s="2179" t="inlineStr">
        <is>
          <t>Victima</t>
        </is>
      </c>
      <c r="C251" s="2180">
        <f>SUM(D251+E251)</f>
        <v/>
      </c>
      <c r="D251" s="855">
        <f>SUM(F251+H251+J251+L251+N251+P251+R251+T251+V251+X251+Z251+AB251+AD251+AF251+AH251+AJ251+AL251)</f>
        <v/>
      </c>
      <c r="E251" s="2179">
        <f>SUM(G251+I251+K251+M251+O251+Q251+S251+U251+W251+Y251+AA251+AC251+AE251+AG251+AI251+AK251+AM251)</f>
        <v/>
      </c>
      <c r="F251" s="2022" t="n"/>
      <c r="G251" s="2029" t="n"/>
      <c r="H251" s="2022" t="n"/>
      <c r="I251" s="2029" t="n"/>
      <c r="J251" s="2022" t="n"/>
      <c r="K251" s="2029" t="n"/>
      <c r="L251" s="2022" t="n"/>
      <c r="M251" s="2029" t="n"/>
      <c r="N251" s="2022" t="n"/>
      <c r="O251" s="2029" t="n"/>
      <c r="P251" s="2022" t="n"/>
      <c r="Q251" s="2029" t="n"/>
      <c r="R251" s="2022" t="n"/>
      <c r="S251" s="2029" t="n"/>
      <c r="T251" s="2022" t="n"/>
      <c r="U251" s="2029" t="n"/>
      <c r="V251" s="2022" t="n"/>
      <c r="W251" s="2029" t="n"/>
      <c r="X251" s="2022" t="n"/>
      <c r="Y251" s="2029" t="n"/>
      <c r="Z251" s="2022" t="n"/>
      <c r="AA251" s="2029" t="n"/>
      <c r="AB251" s="2022" t="n"/>
      <c r="AC251" s="2029" t="n"/>
      <c r="AD251" s="2022" t="n"/>
      <c r="AE251" s="2029" t="n"/>
      <c r="AF251" s="2022" t="n"/>
      <c r="AG251" s="2029" t="n"/>
      <c r="AH251" s="2022" t="n"/>
      <c r="AI251" s="2029" t="n"/>
      <c r="AJ251" s="2022" t="n"/>
      <c r="AK251" s="2029" t="n"/>
      <c r="AL251" s="2022" t="n"/>
      <c r="AM251" s="2115" t="n"/>
      <c r="AN251" s="2025" t="n">
        <v>0</v>
      </c>
      <c r="AO251" s="2023" t="n">
        <v>0</v>
      </c>
      <c r="AP251" s="1983" t="n">
        <v>0</v>
      </c>
      <c r="AQ251" s="4512" t="n">
        <v>0</v>
      </c>
      <c r="AR251" s="5189" t="n">
        <v>0</v>
      </c>
      <c r="AS251" s="3503" t="n">
        <v>0</v>
      </c>
      <c r="AT251" s="2029" t="n">
        <v>0</v>
      </c>
      <c r="AU251" s="2023" t="n">
        <v>0</v>
      </c>
      <c r="AV251" s="2029" t="n">
        <v>0</v>
      </c>
      <c r="AW251" s="2023" t="n">
        <v>0</v>
      </c>
      <c r="AX251" s="2029" t="n">
        <v>0</v>
      </c>
      <c r="AY251" s="5">
        <f>CA251&amp;CB251&amp;CC251&amp;CD251&amp;CE251&amp;CF251&amp;CG251&amp;CH251&amp;CI251</f>
        <v/>
      </c>
      <c r="AZ251" s="5" t="n"/>
      <c r="BA251" s="5" t="n"/>
      <c r="BB251" s="5" t="n"/>
      <c r="BC251" s="5" t="n"/>
      <c r="BD251" s="5" t="n"/>
      <c r="BE251" s="5" t="n"/>
      <c r="BF251" s="5" t="n"/>
      <c r="BG251" s="5" t="n"/>
      <c r="BH251" s="5" t="n"/>
      <c r="BI251" s="5" t="n"/>
      <c r="BJ251" s="5" t="n"/>
      <c r="BK251" s="5" t="n"/>
      <c r="BL251" s="5" t="n"/>
      <c r="BM251" s="5" t="n"/>
      <c r="BN251" s="5" t="n"/>
      <c r="BO251" s="5" t="n"/>
      <c r="CA251" s="17" t="n"/>
      <c r="CB251" s="90">
        <f>IF(AND(E251&gt;0,AQ251=""), "* No olvide digitar la variable Gestantes. Digite Cero si no tiene.",IF(AQ251&gt;E251,"  * La variable Gestantes No puede ser mayor al Total Mujeres.",""))</f>
        <v/>
      </c>
      <c r="CC251" s="90">
        <f>IF(AND(E251&gt;0,AR251=""), "* No olvide digitar la variable Madre de hijo menor de 5 años. Digite Cero si no tiene.",IF(AR251&gt;E251,"  * La variable Madre de hijo menor de 5 años No puede ser mayor al Total Mujeres.",""))</f>
        <v/>
      </c>
      <c r="CD251" s="90">
        <f>IF(AND(D251&gt;0,OR(AS251="")), "* No olvide digitar la variable Pueblos originarios Hombres. Digite Cero si no tiene.",IF(AS251&gt;D251,"  * La variable Pueblos originarios Hombres No puede ser mayor al Total Hombres.",""))</f>
        <v/>
      </c>
      <c r="CE251" s="90">
        <f>IF(AND(E251&gt;0,OR(AT251="")), "* No olvide digitar la variable Pueblos originarios Mujeres. Digite Cero si no tiene.",IF(AT251&gt;E251,"  * La variable Pueblos originarios Mujeres No puede ser mayor al Total Mujeres.",""))</f>
        <v/>
      </c>
      <c r="CF251" s="90">
        <f>IF(AND(C251&gt;0,AU251=""), "* No olvide digitar la variable SENAME/ Servicio Nacional de Reinserción social Juvenil . Digite Cero si no tiene.",IF(AU251&gt;C251,"  * La variable SENAME/ Servicio Nacional de Reinserción social Juvenil  No puede ser mayor al Total.",""))</f>
        <v/>
      </c>
      <c r="CG251" s="90">
        <f>IF(AND(C251&gt;0,AV251=""), "* No olvide digitar la variable Servicio Nacional Protección Especializada a la Niñez y Adolescencia. Digite Cero si no tiene.",IF(AV251&gt;C251,"  * La variable NServicio Nacional Protección Especializada a la Niñez y Adolescencia No puede ser mayor al Total.",""))</f>
        <v/>
      </c>
      <c r="CH251" s="90">
        <f>IF(AND(C251&gt;0,AW251=""), "* No olvide digitar la variable Migrantes. Digite Cero si no tiene.",IF(AW251&gt;C251,"  * La variable Migrantes No puede ser mayor al Total.",""))</f>
        <v/>
      </c>
      <c r="CI251" s="90">
        <f>IF(AND(C251&gt;0,AX251=""), "* No olvide digitar la variable Trans (Masculino/ Femenino). Digite Cero si no tiene.",IF(AX251&gt;C251,"  * La variable Trans (Masculino/Femenino) No puede ser mayor al Total Ambos Sexos.",""))</f>
        <v/>
      </c>
      <c r="CJ251" s="5" t="n"/>
      <c r="CK251" s="5" t="n"/>
      <c r="CM251" s="5" t="n"/>
      <c r="CN251" s="5" t="n"/>
      <c r="CP251" s="125">
        <f>IF(AND(E251&gt;0,AQ251=""),1,IF(AQ251&gt;E251,1,0))</f>
        <v/>
      </c>
      <c r="CQ251" s="125">
        <f>IF(AND(E251&gt;0,AR251=""),1,IF(AR251&gt;E251,1,0))</f>
        <v/>
      </c>
      <c r="CR251" s="125">
        <f>IF(AND(D251&gt;0,OR(AS251="")),1,IF(AS251&gt;D251,1,0))</f>
        <v/>
      </c>
      <c r="CS251" s="125">
        <f>IF(AND(E251&gt;0,OR(AT251="")),1,IF(AT251&gt;E251,1,0))</f>
        <v/>
      </c>
      <c r="CT251" s="125">
        <f>IF(AND(C251&gt;0,AU251=""),1,IF(AU251&gt;C251,1,0))</f>
        <v/>
      </c>
      <c r="CU251" s="125">
        <f>IF(AND(C251&gt;0,AV251=""),1,IF(AV251&gt;C251,1,0))</f>
        <v/>
      </c>
      <c r="CV251" s="125">
        <f>IF(AND(C251&gt;0,AW251=""),1,IF(AW251&gt;C251,1,0))</f>
        <v/>
      </c>
      <c r="CW251" s="125">
        <f>IF(AND(C251&gt;0,AX251=""),1,IF(AX251&gt;C251,1,0))</f>
        <v/>
      </c>
    </row>
    <row r="252" ht="15" customHeight="1" s="8286">
      <c r="A252" s="9610" t="n"/>
      <c r="B252" s="7752" t="inlineStr">
        <is>
          <t>Agresor/a</t>
        </is>
      </c>
      <c r="C252" s="1352">
        <f>SUM(D252+E252)</f>
        <v/>
      </c>
      <c r="D252" s="1353">
        <f>SUM(F252+H252+J252+L252+N252+P252+R252+T252+V252+X252+Z252+AB252+AD252+AF252+AH252+AJ252+AL252)</f>
        <v/>
      </c>
      <c r="E252" s="7752">
        <f>SUM(G252+I252+K252+M252+O252+Q252+S252+U252+W252+Y252+AA252+AC252+AE252+AG252+AI252+AK252+AM252)</f>
        <v/>
      </c>
      <c r="F252" s="1188" t="n"/>
      <c r="G252" s="1192" t="n"/>
      <c r="H252" s="1188" t="n"/>
      <c r="I252" s="1192" t="n"/>
      <c r="J252" s="1188" t="n"/>
      <c r="K252" s="1192" t="n"/>
      <c r="L252" s="1188" t="n"/>
      <c r="M252" s="1192" t="n"/>
      <c r="N252" s="1188" t="n"/>
      <c r="O252" s="1192" t="n"/>
      <c r="P252" s="1188" t="n"/>
      <c r="Q252" s="1192" t="n"/>
      <c r="R252" s="1188" t="n"/>
      <c r="S252" s="1192" t="n"/>
      <c r="T252" s="1188" t="n"/>
      <c r="U252" s="1192" t="n"/>
      <c r="V252" s="1188" t="n"/>
      <c r="W252" s="1192" t="n"/>
      <c r="X252" s="1188" t="n"/>
      <c r="Y252" s="1192" t="n"/>
      <c r="Z252" s="1188" t="n"/>
      <c r="AA252" s="1192" t="n"/>
      <c r="AB252" s="1188" t="n"/>
      <c r="AC252" s="1192" t="n"/>
      <c r="AD252" s="1188" t="n"/>
      <c r="AE252" s="1192" t="n"/>
      <c r="AF252" s="1188" t="n"/>
      <c r="AG252" s="1192" t="n"/>
      <c r="AH252" s="1188" t="n"/>
      <c r="AI252" s="1192" t="n"/>
      <c r="AJ252" s="1179" t="n"/>
      <c r="AK252" s="1180" t="n"/>
      <c r="AL252" s="1935" t="n"/>
      <c r="AM252" s="36" t="n"/>
      <c r="AN252" s="1966" t="n">
        <v>0</v>
      </c>
      <c r="AO252" s="1432" t="n">
        <v>0</v>
      </c>
      <c r="AP252" s="1297" t="n">
        <v>0</v>
      </c>
      <c r="AQ252" s="5388" t="n">
        <v>0</v>
      </c>
      <c r="AR252" s="5362" t="n">
        <v>0</v>
      </c>
      <c r="AS252" s="5380" t="n">
        <v>0</v>
      </c>
      <c r="AT252" s="1953" t="n">
        <v>0</v>
      </c>
      <c r="AU252" s="1434" t="n">
        <v>0</v>
      </c>
      <c r="AV252" s="1953" t="n">
        <v>0</v>
      </c>
      <c r="AW252" s="1434" t="n">
        <v>0</v>
      </c>
      <c r="AX252" s="1953" t="n">
        <v>0</v>
      </c>
      <c r="AY252" s="5">
        <f>CA252&amp;CB252&amp;CC252&amp;CD252&amp;CE252&amp;CF252&amp;CG252&amp;CH252&amp;CI252</f>
        <v/>
      </c>
      <c r="AZ252" s="5" t="n"/>
      <c r="BA252" s="5" t="n"/>
      <c r="BB252" s="5" t="n"/>
      <c r="BC252" s="5" t="n"/>
      <c r="BD252" s="5" t="n"/>
      <c r="BE252" s="5" t="n"/>
      <c r="BF252" s="5" t="n"/>
      <c r="BG252" s="5" t="n"/>
      <c r="BH252" s="5" t="n"/>
      <c r="BI252" s="5" t="n"/>
      <c r="BJ252" s="5" t="n"/>
      <c r="BK252" s="5" t="n"/>
      <c r="BL252" s="5" t="n"/>
      <c r="BM252" s="5" t="n"/>
      <c r="BN252" s="5" t="n"/>
      <c r="BO252" s="5" t="n"/>
      <c r="CA252" s="17" t="n"/>
      <c r="CB252" s="90">
        <f>IF(AND(E252&gt;0,AQ252=""), "* No olvide digitar la variable Gestantes. Digite Cero si no tiene.",IF(AQ252&gt;E252,"  * La variable Gestantes No puede ser mayor al Total Mujeres.",""))</f>
        <v/>
      </c>
      <c r="CC252" s="90">
        <f>IF(AND(E252&gt;0,AR252=""), "* No olvide digitar la variable Madre de hijo menor de 5 años. Digite Cero si no tiene.",IF(AR252&gt;E252,"  * La variable Madre de hijo menor de 5 años No puede ser mayor al Total Mujeres.",""))</f>
        <v/>
      </c>
      <c r="CD252" s="90">
        <f>IF(AND(D252&gt;0,OR(AS252="")), "* No olvide digitar la variable Pueblos originarios Hombres. Digite Cero si no tiene.",IF(AS252&gt;D252,"  * La variable Pueblos originarios Hombres No puede ser mayor al Total Hombres.",""))</f>
        <v/>
      </c>
      <c r="CE252" s="90">
        <f>IF(AND(E252&gt;0,OR(AT252="")), "* No olvide digitar la variable Pueblos originarios Mujeres. Digite Cero si no tiene.",IF(AT252&gt;E252,"  * La variable Pueblos originarios Mujeres No puede ser mayor al Total Mujeres.",""))</f>
        <v/>
      </c>
      <c r="CF252" s="90">
        <f>IF(AND(C252&gt;0,AU252=""), "* No olvide digitar la variable SENAME/ Servicio Nacional de Reinserción social Juvenil . Digite Cero si no tiene.",IF(AU252&gt;C252,"  * La variable SENAME/ Servicio Nacional de Reinserción social Juvenil  No puede ser mayor al Total.",""))</f>
        <v/>
      </c>
      <c r="CG252" s="90">
        <f>IF(AND(C252&gt;0,AV252=""), "* No olvide digitar la variable Servicio Nacional Protección Especializada a la Niñez y Adolescencia. Digite Cero si no tiene.",IF(AV252&gt;C252,"  * La variable NServicio Nacional Protección Especializada a la Niñez y Adolescencia No puede ser mayor al Total.",""))</f>
        <v/>
      </c>
      <c r="CH252" s="90">
        <f>IF(AND(C252&gt;0,AW252=""), "* No olvide digitar la variable Migrantes. Digite Cero si no tiene.",IF(AW252&gt;C252,"  * La variable Migrantes No puede ser mayor al Total.",""))</f>
        <v/>
      </c>
      <c r="CI252" s="90">
        <f>IF(AND(C252&gt;0,AX252=""), "* No olvide digitar la variable Trans (Masculino/ Femenino). Digite Cero si no tiene.",IF(AX252&gt;C252,"  * La variable Trans (Masculino/Femenino) No puede ser mayor al Total Ambos Sexos.",""))</f>
        <v/>
      </c>
      <c r="CJ252" s="5" t="n"/>
      <c r="CK252" s="5" t="n"/>
      <c r="CM252" s="5" t="n"/>
      <c r="CN252" s="5" t="n"/>
      <c r="CP252" s="125">
        <f>IF(AND(E252&gt;0,AQ252=""),1,IF(AQ252&gt;E252,1,0))</f>
        <v/>
      </c>
      <c r="CQ252" s="125">
        <f>IF(AND(E252&gt;0,AR252=""),1,IF(AR252&gt;E252,1,0))</f>
        <v/>
      </c>
      <c r="CR252" s="125">
        <f>IF(AND(D252&gt;0,OR(AS252="")),1,IF(AS252&gt;D252,1,0))</f>
        <v/>
      </c>
      <c r="CS252" s="125">
        <f>IF(AND(E252&gt;0,OR(AT252="")),1,IF(AT252&gt;E252,1,0))</f>
        <v/>
      </c>
      <c r="CT252" s="125">
        <f>IF(AND(C252&gt;0,AU252=""),1,IF(AU252&gt;C252,1,0))</f>
        <v/>
      </c>
      <c r="CU252" s="125">
        <f>IF(AND(C252&gt;0,AV252=""),1,IF(AV252&gt;C252,1,0))</f>
        <v/>
      </c>
      <c r="CV252" s="125">
        <f>IF(AND(C252&gt;0,AW252=""),1,IF(AW252&gt;C252,1,0))</f>
        <v/>
      </c>
      <c r="CW252" s="125">
        <f>IF(AND(C252&gt;0,AX252=""),1,IF(AX252&gt;C252,1,0))</f>
        <v/>
      </c>
    </row>
    <row r="253">
      <c r="A253" s="9994" t="inlineStr">
        <is>
          <t>Abuso sexual</t>
        </is>
      </c>
      <c r="B253" s="9647" t="n"/>
      <c r="C253" s="2226" t="n"/>
      <c r="D253" s="2186" t="n"/>
      <c r="E253" s="7823" t="n"/>
      <c r="F253" s="5525" t="n"/>
      <c r="G253" s="2188" t="n"/>
      <c r="H253" s="2187" t="n"/>
      <c r="I253" s="2188" t="n"/>
      <c r="J253" s="2187" t="n"/>
      <c r="K253" s="2188" t="n"/>
      <c r="L253" s="2187" t="n"/>
      <c r="M253" s="2188" t="n"/>
      <c r="N253" s="2187" t="n"/>
      <c r="O253" s="2188" t="n"/>
      <c r="P253" s="2187" t="n"/>
      <c r="Q253" s="2188" t="n"/>
      <c r="R253" s="2187" t="n"/>
      <c r="S253" s="2188" t="n"/>
      <c r="T253" s="2187" t="n"/>
      <c r="U253" s="2188" t="n"/>
      <c r="V253" s="2187" t="n"/>
      <c r="W253" s="2188" t="n"/>
      <c r="X253" s="2187" t="n"/>
      <c r="Y253" s="2188" t="n"/>
      <c r="Z253" s="2187" t="n"/>
      <c r="AA253" s="2188" t="n"/>
      <c r="AB253" s="2187" t="n"/>
      <c r="AC253" s="2188" t="n"/>
      <c r="AD253" s="2187" t="n"/>
      <c r="AE253" s="2188" t="n"/>
      <c r="AF253" s="2187" t="n"/>
      <c r="AG253" s="2188" t="n"/>
      <c r="AH253" s="2187" t="n"/>
      <c r="AI253" s="2188" t="n"/>
      <c r="AJ253" s="2187" t="n"/>
      <c r="AK253" s="2188" t="n"/>
      <c r="AL253" s="2192" t="n"/>
      <c r="AM253" s="2227" t="n"/>
      <c r="AN253" s="2228" t="n"/>
      <c r="AO253" s="2070" t="n"/>
      <c r="AP253" s="2229" t="n"/>
      <c r="AQ253" s="5389" t="n"/>
      <c r="AR253" s="5206" t="n"/>
      <c r="AS253" s="5381" t="n"/>
      <c r="AT253" s="2188" t="n"/>
      <c r="AU253" s="2230" t="n"/>
      <c r="AV253" s="2188" t="n"/>
      <c r="AW253" s="2230" t="n"/>
      <c r="AX253" s="2188" t="n"/>
      <c r="AY253" s="5" t="n"/>
      <c r="AZ253" s="5" t="n"/>
      <c r="BA253" s="5" t="n"/>
      <c r="BB253" s="5" t="n"/>
      <c r="BC253" s="5" t="n"/>
      <c r="BD253" s="5" t="n"/>
      <c r="BE253" s="5" t="n"/>
      <c r="BF253" s="5" t="n"/>
      <c r="BG253" s="5" t="n"/>
      <c r="BH253" s="5" t="n"/>
      <c r="BI253" s="5" t="n"/>
      <c r="BJ253" s="5" t="n"/>
      <c r="BK253" s="5" t="n"/>
      <c r="BL253" s="5" t="n"/>
      <c r="BM253" s="5" t="n"/>
      <c r="BN253" s="5" t="n"/>
      <c r="BO253" s="5" t="n"/>
      <c r="CA253" s="17" t="n"/>
      <c r="CB253" s="123" t="n"/>
      <c r="CC253" s="123" t="n"/>
      <c r="CD253" s="123" t="n"/>
      <c r="CE253" s="123" t="n"/>
      <c r="CF253" s="123" t="n"/>
      <c r="CG253" s="123" t="n"/>
      <c r="CH253" s="123" t="n"/>
      <c r="CI253" s="123" t="n"/>
      <c r="CJ253" s="5" t="n"/>
      <c r="CK253" s="5" t="n"/>
      <c r="CM253" s="5" t="n"/>
      <c r="CN253" s="5" t="n"/>
      <c r="CP253" s="1428" t="n"/>
      <c r="CQ253" s="1428" t="n"/>
      <c r="CR253" s="1428" t="n"/>
      <c r="CS253" s="1428" t="n"/>
      <c r="CT253" s="1428" t="n"/>
      <c r="CU253" s="1428" t="n"/>
      <c r="CV253" s="1428" t="n"/>
      <c r="CW253" s="1428" t="n"/>
    </row>
    <row r="254">
      <c r="A254" s="9933" t="inlineStr">
        <is>
          <t>Suicidio</t>
        </is>
      </c>
      <c r="B254" s="2179" t="inlineStr">
        <is>
          <t>Ideación</t>
        </is>
      </c>
      <c r="C254" s="2180">
        <f>SUM(D254+E254)</f>
        <v/>
      </c>
      <c r="D254" s="855">
        <f>SUM(H254+J254+L254+N254+P254+R254+T254+V254+X254+Z254+AB254+AD254+AF254+AH254+AJ254+AL254)</f>
        <v/>
      </c>
      <c r="E254" s="2179">
        <f>SUM(I254+K254+M254+O254+Q254+S254+U254+W254+Y254+AA254+AC254+AE254+AG254+AI254+AK254+AM254)</f>
        <v/>
      </c>
      <c r="F254" s="2192" t="n"/>
      <c r="G254" s="2193" t="n"/>
      <c r="H254" s="2022" t="n"/>
      <c r="I254" s="2029" t="n"/>
      <c r="J254" s="2022" t="n"/>
      <c r="K254" s="2029" t="n"/>
      <c r="L254" s="2022" t="n"/>
      <c r="M254" s="2029" t="n"/>
      <c r="N254" s="2022" t="n"/>
      <c r="O254" s="2029" t="n"/>
      <c r="P254" s="2022" t="n"/>
      <c r="Q254" s="2029" t="n"/>
      <c r="R254" s="2022" t="n"/>
      <c r="S254" s="2029" t="n"/>
      <c r="T254" s="2022" t="n"/>
      <c r="U254" s="2029" t="n"/>
      <c r="V254" s="2022" t="n"/>
      <c r="W254" s="2029" t="n"/>
      <c r="X254" s="2022" t="n"/>
      <c r="Y254" s="2029" t="n"/>
      <c r="Z254" s="2022" t="n"/>
      <c r="AA254" s="2029" t="n"/>
      <c r="AB254" s="2022" t="n"/>
      <c r="AC254" s="2029" t="n"/>
      <c r="AD254" s="2022" t="n"/>
      <c r="AE254" s="2029" t="n"/>
      <c r="AF254" s="2022" t="n"/>
      <c r="AG254" s="2029" t="n"/>
      <c r="AH254" s="2022" t="n"/>
      <c r="AI254" s="2029" t="n"/>
      <c r="AJ254" s="2022" t="n"/>
      <c r="AK254" s="2029" t="n"/>
      <c r="AL254" s="2022" t="n"/>
      <c r="AM254" s="2115" t="n"/>
      <c r="AN254" s="2025" t="n">
        <v>0</v>
      </c>
      <c r="AO254" s="2023" t="n">
        <v>0</v>
      </c>
      <c r="AP254" s="1983" t="n">
        <v>0</v>
      </c>
      <c r="AQ254" s="4512" t="n">
        <v>0</v>
      </c>
      <c r="AR254" s="5189" t="n">
        <v>0</v>
      </c>
      <c r="AS254" s="3503" t="n">
        <v>0</v>
      </c>
      <c r="AT254" s="2029" t="n">
        <v>0</v>
      </c>
      <c r="AU254" s="2023" t="n">
        <v>0</v>
      </c>
      <c r="AV254" s="2029" t="n">
        <v>0</v>
      </c>
      <c r="AW254" s="2023" t="n">
        <v>0</v>
      </c>
      <c r="AX254" s="2029" t="n">
        <v>0</v>
      </c>
      <c r="AY254" s="5">
        <f>CA254&amp;CB254&amp;CC254&amp;CD254&amp;CE254&amp;CF254&amp;CG254&amp;CH254&amp;CI254</f>
        <v/>
      </c>
      <c r="AZ254" s="5" t="n"/>
      <c r="BA254" s="5" t="n"/>
      <c r="BB254" s="5" t="n"/>
      <c r="BC254" s="5" t="n"/>
      <c r="BD254" s="5" t="n"/>
      <c r="BE254" s="5" t="n"/>
      <c r="BF254" s="5" t="n"/>
      <c r="BG254" s="5" t="n"/>
      <c r="BH254" s="5" t="n"/>
      <c r="BI254" s="5" t="n"/>
      <c r="BJ254" s="5" t="n"/>
      <c r="BK254" s="5" t="n"/>
      <c r="BL254" s="5" t="n"/>
      <c r="BM254" s="5" t="n"/>
      <c r="BN254" s="5" t="n"/>
      <c r="BO254" s="5" t="n"/>
      <c r="CA254" s="17" t="n"/>
      <c r="CB254" s="90">
        <f>IF(AND(E254&gt;0,AQ254=""), "* No olvide digitar la variable Gestantes. Digite Cero si no tiene.",IF(AQ254&gt;E254,"  * La variable Gestantes No puede ser mayor al Total Mujeres.",""))</f>
        <v/>
      </c>
      <c r="CC254" s="90">
        <f>IF(AND(E254&gt;0,AR254=""), "* No olvide digitar la variable Madre de hijo menor de 5 años. Digite Cero si no tiene.",IF(AR254&gt;E254,"  * La variable Madre de hijo menor de 5 años No puede ser mayor al Total Mujeres.",""))</f>
        <v/>
      </c>
      <c r="CD254" s="90">
        <f>IF(AND(D254&gt;0,OR(AS254="")), "* No olvide digitar la variable Pueblos originarios Hombres. Digite Cero si no tiene.",IF(AS254&gt;D254,"  * La variable Pueblos originarios Hombres No puede ser mayor al Total Hombres.",""))</f>
        <v/>
      </c>
      <c r="CE254" s="90">
        <f>IF(AND(E254&gt;0,OR(AT254="")), "* No olvide digitar la variable Pueblos originarios Mujeres. Digite Cero si no tiene.",IF(AT254&gt;E254,"  * La variable Pueblos originarios Mujeres No puede ser mayor al Total Mujeres.",""))</f>
        <v/>
      </c>
      <c r="CF254" s="90">
        <f>IF(AND(C254&gt;0,AU254=""), "* No olvide digitar la variable SENAME/ Servicio Nacional de Reinserción social Juvenil . Digite Cero si no tiene.",IF(AU254&gt;C254,"  * La variable SENAME/ Servicio Nacional de Reinserción social Juvenil  No puede ser mayor al Total.",""))</f>
        <v/>
      </c>
      <c r="CG254" s="90">
        <f>IF(AND(C254&gt;0,AV254=""), "* No olvide digitar la variable Servicio Nacional Protección Especializada a la Niñez y Adolescencia. Digite Cero si no tiene.",IF(AV254&gt;C254,"  * La variable NServicio Nacional Protección Especializada a la Niñez y Adolescencia No puede ser mayor al Total.",""))</f>
        <v/>
      </c>
      <c r="CH254" s="90">
        <f>IF(AND(C254&gt;0,AW254=""), "* No olvide digitar la variable Migrantes. Digite Cero si no tiene.",IF(AW254&gt;C254,"  * La variable Migrantes No puede ser mayor al Total.",""))</f>
        <v/>
      </c>
      <c r="CI254" s="90">
        <f>IF(AND(C254&gt;0,AX254=""), "* No olvide digitar la variable Trans (Masculino/ Femenino). Digite Cero si no tiene.",IF(AX254&gt;C254,"  * La variable Trans (Masculino/Femenino) No puede ser mayor al Total Ambos Sexos.",""))</f>
        <v/>
      </c>
      <c r="CJ254" s="5" t="n"/>
      <c r="CK254" s="5" t="n"/>
      <c r="CM254" s="5" t="n"/>
      <c r="CN254" s="5" t="n"/>
      <c r="CP254" s="125">
        <f>IF(AND(E254&gt;0,AQ254=""),1,IF(AQ254&gt;E254,1,0))</f>
        <v/>
      </c>
      <c r="CQ254" s="125">
        <f>IF(AND(E254&gt;0,AR254=""),1,IF(AR254&gt;E254,1,0))</f>
        <v/>
      </c>
      <c r="CR254" s="125">
        <f>IF(AND(D254&gt;0,OR(AS254="")),1,IF(AS254&gt;D254,1,0))</f>
        <v/>
      </c>
      <c r="CS254" s="125">
        <f>IF(AND(E254&gt;0,OR(AT254="")),1,IF(AT254&gt;E254,1,0))</f>
        <v/>
      </c>
      <c r="CT254" s="125">
        <f>IF(AND(C254&gt;0,AU254=""),1,IF(AU254&gt;C254,1,0))</f>
        <v/>
      </c>
      <c r="CU254" s="125">
        <f>IF(AND(C254&gt;0,AV254=""),1,IF(AV254&gt;C254,1,0))</f>
        <v/>
      </c>
      <c r="CV254" s="125">
        <f>IF(AND(C254&gt;0,AW254=""),1,IF(AW254&gt;C254,1,0))</f>
        <v/>
      </c>
      <c r="CW254" s="125">
        <f>IF(AND(C254&gt;0,AX254=""),1,IF(AX254&gt;C254,1,0))</f>
        <v/>
      </c>
    </row>
    <row r="255">
      <c r="A255" s="9610" t="n"/>
      <c r="B255" s="7752" t="inlineStr">
        <is>
          <t>Intento</t>
        </is>
      </c>
      <c r="C255" s="649">
        <f>SUM(D255+E255)</f>
        <v/>
      </c>
      <c r="D255" s="147">
        <f>SUM(H255+J255+L255+N255+P255+R255+T255+V255+X255+Z255+AB255+AD255+AF255+AH255+AJ255+AL255)</f>
        <v/>
      </c>
      <c r="E255" s="2171">
        <f>SUM(I255+K255+M255+O255+Q255+S255+U255+W255+Y255+AA255+AC255+AE255+AG255+AI255+AK255+AM255)</f>
        <v/>
      </c>
      <c r="F255" s="650" t="n"/>
      <c r="G255" s="2194" t="n"/>
      <c r="H255" s="645" t="n"/>
      <c r="I255" s="2057" t="n"/>
      <c r="J255" s="645" t="n"/>
      <c r="K255" s="2057" t="n"/>
      <c r="L255" s="645" t="n"/>
      <c r="M255" s="2057" t="n"/>
      <c r="N255" s="645" t="n"/>
      <c r="O255" s="2057" t="n"/>
      <c r="P255" s="645" t="n"/>
      <c r="Q255" s="2057" t="n"/>
      <c r="R255" s="645" t="n"/>
      <c r="S255" s="2057" t="n"/>
      <c r="T255" s="645" t="n"/>
      <c r="U255" s="2057" t="n"/>
      <c r="V255" s="645" t="n"/>
      <c r="W255" s="2057" t="n"/>
      <c r="X255" s="645" t="n"/>
      <c r="Y255" s="2057" t="n"/>
      <c r="Z255" s="645" t="n"/>
      <c r="AA255" s="2057" t="n"/>
      <c r="AB255" s="645" t="n"/>
      <c r="AC255" s="2057" t="n"/>
      <c r="AD255" s="645" t="n"/>
      <c r="AE255" s="2057" t="n"/>
      <c r="AF255" s="645" t="n"/>
      <c r="AG255" s="2057" t="n"/>
      <c r="AH255" s="645" t="n"/>
      <c r="AI255" s="2057" t="n"/>
      <c r="AJ255" s="872" t="n"/>
      <c r="AK255" s="1953" t="n"/>
      <c r="AL255" s="1935" t="n"/>
      <c r="AM255" s="36" t="n"/>
      <c r="AN255" s="1966" t="n">
        <v>0</v>
      </c>
      <c r="AO255" s="1432" t="n">
        <v>0</v>
      </c>
      <c r="AP255" s="1297" t="n">
        <v>0</v>
      </c>
      <c r="AQ255" s="5388" t="n">
        <v>0</v>
      </c>
      <c r="AR255" s="5362" t="n">
        <v>0</v>
      </c>
      <c r="AS255" s="5380" t="n">
        <v>0</v>
      </c>
      <c r="AT255" s="1953" t="n">
        <v>0</v>
      </c>
      <c r="AU255" s="1434" t="n">
        <v>0</v>
      </c>
      <c r="AV255" s="1953" t="n">
        <v>0</v>
      </c>
      <c r="AW255" s="1434" t="n">
        <v>0</v>
      </c>
      <c r="AX255" s="1953" t="n">
        <v>0</v>
      </c>
      <c r="AY255" s="5">
        <f>CA255&amp;CB255&amp;CC255&amp;CD255&amp;CE255&amp;CF255&amp;CG255&amp;CH255&amp;CI255</f>
        <v/>
      </c>
      <c r="AZ255" s="5" t="n"/>
      <c r="BA255" s="5" t="n"/>
      <c r="BB255" s="5" t="n"/>
      <c r="BC255" s="5" t="n"/>
      <c r="BD255" s="5" t="n"/>
      <c r="BE255" s="5" t="n"/>
      <c r="BF255" s="5" t="n"/>
      <c r="BG255" s="5" t="n"/>
      <c r="BH255" s="5" t="n"/>
      <c r="BI255" s="5" t="n"/>
      <c r="BJ255" s="5" t="n"/>
      <c r="BK255" s="5" t="n"/>
      <c r="BL255" s="5" t="n"/>
      <c r="BM255" s="5" t="n"/>
      <c r="BN255" s="5" t="n"/>
      <c r="BO255" s="5" t="n"/>
      <c r="CA255" s="17" t="n"/>
      <c r="CB255" s="90">
        <f>IF(AND(E255&gt;0,AQ255=""), "* No olvide digitar la variable Gestantes. Digite Cero si no tiene.",IF(AQ255&gt;E255,"  * La variable Gestantes No puede ser mayor al Total Mujeres.",""))</f>
        <v/>
      </c>
      <c r="CC255" s="90">
        <f>IF(AND(E255&gt;0,AR255=""), "* No olvide digitar la variable Madre de hijo menor de 5 años. Digite Cero si no tiene.",IF(AR255&gt;E255,"  * La variable Madre de hijo menor de 5 años No puede ser mayor al Total Mujeres.",""))</f>
        <v/>
      </c>
      <c r="CD255" s="90">
        <f>IF(AND(D255&gt;0,OR(AS255="")), "* No olvide digitar la variable Pueblos originarios Hombres. Digite Cero si no tiene.",IF(AS255&gt;D255,"  * La variable Pueblos originarios Hombres No puede ser mayor al Total Hombres.",""))</f>
        <v/>
      </c>
      <c r="CE255" s="90">
        <f>IF(AND(E255&gt;0,OR(AT255="")), "* No olvide digitar la variable Pueblos originarios Mujeres. Digite Cero si no tiene.",IF(AT255&gt;E255,"  * La variable Pueblos originarios Mujeres No puede ser mayor al Total Mujeres.",""))</f>
        <v/>
      </c>
      <c r="CF255" s="90">
        <f>IF(AND(C255&gt;0,AU255=""), "* No olvide digitar la variable SENAME/ Servicio Nacional de Reinserción social Juvenil . Digite Cero si no tiene.",IF(AU255&gt;C255,"  * La variable SENAME/ Servicio Nacional de Reinserción social Juvenil  No puede ser mayor al Total.",""))</f>
        <v/>
      </c>
      <c r="CG255" s="90">
        <f>IF(AND(C255&gt;0,AV255=""), "* No olvide digitar la variable Servicio Nacional Protección Especializada a la Niñez y Adolescencia. Digite Cero si no tiene.",IF(AV255&gt;C255,"  * La variable NServicio Nacional Protección Especializada a la Niñez y Adolescencia No puede ser mayor al Total.",""))</f>
        <v/>
      </c>
      <c r="CH255" s="90">
        <f>IF(AND(C255&gt;0,AW255=""), "* No olvide digitar la variable Migrantes. Digite Cero si no tiene.",IF(AW255&gt;C255,"  * La variable Migrantes No puede ser mayor al Total.",""))</f>
        <v/>
      </c>
      <c r="CI255" s="90">
        <f>IF(AND(C255&gt;0,AX255=""), "* No olvide digitar la variable Trans (Masculino/ Femenino). Digite Cero si no tiene.",IF(AX255&gt;C255,"  * La variable Trans (Masculino/Femenino) No puede ser mayor al Total Ambos Sexos.",""))</f>
        <v/>
      </c>
      <c r="CJ255" s="5" t="n"/>
      <c r="CK255" s="5" t="n"/>
      <c r="CM255" s="5" t="n"/>
      <c r="CN255" s="5" t="n"/>
      <c r="CP255" s="125">
        <f>IF(AND(E255&gt;0,AQ255=""),1,IF(AQ255&gt;E255,1,0))</f>
        <v/>
      </c>
      <c r="CQ255" s="125">
        <f>IF(AND(E255&gt;0,AR255=""),1,IF(AR255&gt;E255,1,0))</f>
        <v/>
      </c>
      <c r="CR255" s="125">
        <f>IF(AND(D255&gt;0,OR(AS255="")),1,IF(AS255&gt;D255,1,0))</f>
        <v/>
      </c>
      <c r="CS255" s="125">
        <f>IF(AND(E255&gt;0,OR(AT255="")),1,IF(AT255&gt;E255,1,0))</f>
        <v/>
      </c>
      <c r="CT255" s="125">
        <f>IF(AND(C255&gt;0,AU255=""),1,IF(AU255&gt;C255,1,0))</f>
        <v/>
      </c>
      <c r="CU255" s="125">
        <f>IF(AND(C255&gt;0,AV255=""),1,IF(AV255&gt;C255,1,0))</f>
        <v/>
      </c>
      <c r="CV255" s="125">
        <f>IF(AND(C255&gt;0,AW255=""),1,IF(AW255&gt;C255,1,0))</f>
        <v/>
      </c>
      <c r="CW255" s="125">
        <f>IF(AND(C255&gt;0,AX255=""),1,IF(AX255&gt;C255,1,0))</f>
        <v/>
      </c>
    </row>
    <row r="256" ht="18" customFormat="1" customHeight="1" s="5">
      <c r="A256" s="7835" t="inlineStr">
        <is>
          <t xml:space="preserve">PERSONAS CON DIAGNÓSTICOS DE TRASTORNOS MENTALES </t>
        </is>
      </c>
      <c r="B256" s="7818" t="n"/>
      <c r="C256" s="1988">
        <f>SUM(D256+E256)</f>
        <v/>
      </c>
      <c r="D256" s="2046">
        <f>SUM(F256+H256+J256+L256+N256+P256+R256+T256+V256+X256+Z256+AB256+AD256+AF256+AH256+AJ256+AL256)</f>
        <v/>
      </c>
      <c r="E256" s="2147">
        <f>SUM(G256+I256+K256+M256+O256+Q256+S256+U256+W256+Y256+AA256+AC256+AE256+AG256+AI256+AK256+AM256)</f>
        <v/>
      </c>
      <c r="F256" s="2231" t="n"/>
      <c r="G256" s="2232" t="n"/>
      <c r="H256" s="2231" t="n">
        <v>1</v>
      </c>
      <c r="I256" s="2232" t="n">
        <v>3</v>
      </c>
      <c r="J256" s="2231" t="n">
        <v>2</v>
      </c>
      <c r="K256" s="2232" t="n"/>
      <c r="L256" s="2231" t="n"/>
      <c r="M256" s="2232" t="n">
        <v>1</v>
      </c>
      <c r="N256" s="2231" t="n"/>
      <c r="O256" s="2232" t="n">
        <v>3</v>
      </c>
      <c r="P256" s="2231" t="n">
        <v>1</v>
      </c>
      <c r="Q256" s="2232" t="n"/>
      <c r="R256" s="2231" t="n"/>
      <c r="S256" s="2232" t="n">
        <v>1</v>
      </c>
      <c r="T256" s="2231" t="n">
        <v>1</v>
      </c>
      <c r="U256" s="2232" t="n"/>
      <c r="V256" s="2231" t="n"/>
      <c r="W256" s="2232" t="n"/>
      <c r="X256" s="2231" t="n"/>
      <c r="Y256" s="2232" t="n"/>
      <c r="Z256" s="2231" t="n"/>
      <c r="AA256" s="2232" t="n"/>
      <c r="AB256" s="2231" t="n">
        <v>2</v>
      </c>
      <c r="AC256" s="2232" t="n"/>
      <c r="AD256" s="2231" t="n"/>
      <c r="AE256" s="2232" t="n">
        <v>2</v>
      </c>
      <c r="AF256" s="2231" t="n">
        <v>1</v>
      </c>
      <c r="AG256" s="2232" t="n">
        <v>2</v>
      </c>
      <c r="AH256" s="2231" t="n"/>
      <c r="AI256" s="2232" t="n"/>
      <c r="AJ256" s="2231" t="n"/>
      <c r="AK256" s="2232" t="n">
        <v>1</v>
      </c>
      <c r="AL256" s="2022" t="n">
        <v>3</v>
      </c>
      <c r="AM256" s="2115" t="n">
        <v>2</v>
      </c>
      <c r="AN256" s="2025" t="n">
        <v>1</v>
      </c>
      <c r="AO256" s="2023" t="n">
        <v>6</v>
      </c>
      <c r="AP256" s="1983" t="n">
        <v>7</v>
      </c>
      <c r="AQ256" s="5386" t="n">
        <v>0</v>
      </c>
      <c r="AR256" s="5207" t="n">
        <v>0</v>
      </c>
      <c r="AS256" s="5211" t="n">
        <v>0</v>
      </c>
      <c r="AT256" s="2039" t="n">
        <v>0</v>
      </c>
      <c r="AU256" s="2038" t="n">
        <v>0</v>
      </c>
      <c r="AV256" s="2039" t="n">
        <v>0</v>
      </c>
      <c r="AW256" s="2038" t="n">
        <v>0</v>
      </c>
      <c r="AX256" s="2039" t="n">
        <v>0</v>
      </c>
      <c r="AY256" s="5">
        <f>CA256&amp;CB256&amp;CC256&amp;CD256&amp;CE256&amp;CF256&amp;CG256&amp;CH256&amp;CI256</f>
        <v/>
      </c>
      <c r="CA256" s="17" t="n"/>
      <c r="CB256" s="90">
        <f>IF(AND(E256&gt;0,AQ256=""), "* No olvide digitar la variable Gestantes. Digite Cero si no tiene.",IF(AQ256&gt;E256,"  * La variable Gestantes No puede ser mayor al Total Mujeres.",""))</f>
        <v/>
      </c>
      <c r="CC256" s="90">
        <f>IF(AND(E256&gt;0,AR256=""), "* No olvide digitar la variable Madre de hijo menor de 5 años. Digite Cero si no tiene.",IF(AR256&gt;E256,"  * La variable Madre de hijo menor de 5 años No puede ser mayor al Total Mujeres.",""))</f>
        <v/>
      </c>
      <c r="CD256" s="90">
        <f>IF(AND(D256&gt;0,OR(AS256="")), "* No olvide digitar la variable Pueblos originarios Hombres. Digite Cero si no tiene.",IF(AS256&gt;D256,"  * La variable Pueblos originarios Hombres No puede ser mayor al Total Hombres.",""))</f>
        <v/>
      </c>
      <c r="CE256" s="90">
        <f>IF(AND(E256&gt;0,OR(AT256="")), "* No olvide digitar la variable Pueblos originarios Mujeres. Digite Cero si no tiene.",IF(AT256&gt;E256,"  * La variable Pueblos originarios Mujeres No puede ser mayor al Total Mujeres.",""))</f>
        <v/>
      </c>
      <c r="CF256" s="90">
        <f>IF(AND(C256&gt;0,AU256=""), "* No olvide digitar la variable SENAME/ Servicio Nacional de Reinserción social Juvenil . Digite Cero si no tiene.",IF(AU256&gt;C256,"  * La variable SENAME/ Servicio Nacional de Reinserción social Juvenil  No puede ser mayor al Total.",""))</f>
        <v/>
      </c>
      <c r="CG256" s="90">
        <f>IF(AND(C256&gt;0,AV256=""), "* No olvide digitar la variable Servicio Nacional Protección Especializada a la Niñez y Adolescencia. Digite Cero si no tiene.",IF(AV256&gt;C256,"  * La variable NServicio Nacional Protección Especializada a la Niñez y Adolescencia No puede ser mayor al Total.",""))</f>
        <v/>
      </c>
      <c r="CH256" s="90">
        <f>IF(AND(C256&gt;0,AW256=""), "* No olvide digitar la variable Migrantes. Digite Cero si no tiene.",IF(AW256&gt;C256,"  * La variable Migrantes No puede ser mayor al Total.",""))</f>
        <v/>
      </c>
      <c r="CI256" s="90">
        <f>IF(AND(C256&gt;0,AX256=""), "* No olvide digitar la variable Trans (Masculino/ Femenino). Digite Cero si no tiene.",IF(AX256&gt;C256,"  * La variable Trans (Masculino/Femenino) No puede ser mayor al Total Ambos Sexos.",""))</f>
        <v/>
      </c>
      <c r="CP256" s="125">
        <f>IF(AND(E256&gt;0,AQ256=""),1,IF(AQ256&gt;E256,1,0))</f>
        <v/>
      </c>
      <c r="CQ256" s="125">
        <f>IF(AND(E256&gt;0,AR256=""),1,IF(AR256&gt;E256,1,0))</f>
        <v/>
      </c>
      <c r="CR256" s="125">
        <f>IF(AND(D256&gt;0,OR(AS256="")),1,IF(AS256&gt;D256,1,0))</f>
        <v/>
      </c>
      <c r="CS256" s="125">
        <f>IF(AND(E256&gt;0,OR(AT256="")),1,IF(AT256&gt;E256,1,0))</f>
        <v/>
      </c>
      <c r="CT256" s="125">
        <f>IF(AND(C256&gt;0,AU256=""),1,IF(AU256&gt;C256,1,0))</f>
        <v/>
      </c>
      <c r="CU256" s="125">
        <f>IF(AND(C256&gt;0,AV256=""),1,IF(AV256&gt;C256,1,0))</f>
        <v/>
      </c>
      <c r="CV256" s="125">
        <f>IF(AND(C256&gt;0,AW256=""),1,IF(AW256&gt;C256,1,0))</f>
        <v/>
      </c>
      <c r="CW256" s="125">
        <f>IF(AND(C256&gt;0,AX256=""),1,IF(AX256&gt;C256,1,0))</f>
        <v/>
      </c>
    </row>
    <row r="257" ht="15" customHeight="1" s="8286">
      <c r="A257" s="9933" t="inlineStr">
        <is>
          <t>Trastornos del Humor
(Afectivos)</t>
        </is>
      </c>
      <c r="B257" s="7833" t="inlineStr">
        <is>
          <t>Depresión Leve</t>
        </is>
      </c>
      <c r="C257" s="2181">
        <f>SUM(D257+E257)</f>
        <v/>
      </c>
      <c r="D257" s="797">
        <f>SUM(F257+H257+J257+L257+N257+P257+R257+T257+V257+X257+Z257+AB257+AD257+AF257+AH257+AJ257+AL257)</f>
        <v/>
      </c>
      <c r="E257" s="7833">
        <f>SUM(G257+I257+K257+M257+O257+Q257+S257+U257+W257+Y257+AA257+AC257+AE257+AG257+AI257+AK257+AM257)</f>
        <v/>
      </c>
      <c r="F257" s="1935" t="n"/>
      <c r="G257" s="1186" t="n"/>
      <c r="H257" s="1935" t="n"/>
      <c r="I257" s="1186" t="n"/>
      <c r="J257" s="1935" t="n"/>
      <c r="K257" s="1186" t="n"/>
      <c r="L257" s="1935" t="n"/>
      <c r="M257" s="1186" t="n"/>
      <c r="N257" s="1935" t="n"/>
      <c r="O257" s="1186" t="n">
        <v>1</v>
      </c>
      <c r="P257" s="1935" t="n"/>
      <c r="Q257" s="1186" t="n"/>
      <c r="R257" s="1935" t="n"/>
      <c r="S257" s="1186" t="n"/>
      <c r="T257" s="1935" t="n"/>
      <c r="U257" s="1186" t="n"/>
      <c r="V257" s="1935" t="n"/>
      <c r="W257" s="1186" t="n"/>
      <c r="X257" s="1935" t="n"/>
      <c r="Y257" s="1186" t="n"/>
      <c r="Z257" s="1935" t="n"/>
      <c r="AA257" s="1186" t="n"/>
      <c r="AB257" s="1935" t="n"/>
      <c r="AC257" s="1186" t="n"/>
      <c r="AD257" s="1935" t="n"/>
      <c r="AE257" s="1186" t="n"/>
      <c r="AF257" s="1935" t="n"/>
      <c r="AG257" s="1186" t="n">
        <v>1</v>
      </c>
      <c r="AH257" s="1935" t="n"/>
      <c r="AI257" s="1186" t="n"/>
      <c r="AJ257" s="1935" t="n"/>
      <c r="AK257" s="1186" t="n"/>
      <c r="AL257" s="2022" t="n"/>
      <c r="AM257" s="2115" t="n"/>
      <c r="AN257" s="2025" t="n">
        <v>0</v>
      </c>
      <c r="AO257" s="2023" t="n">
        <v>0</v>
      </c>
      <c r="AP257" s="1983" t="n">
        <v>0</v>
      </c>
      <c r="AQ257" s="4512" t="n">
        <v>0</v>
      </c>
      <c r="AR257" s="5189" t="n">
        <v>0</v>
      </c>
      <c r="AS257" s="3503" t="n">
        <v>0</v>
      </c>
      <c r="AT257" s="2029" t="n">
        <v>0</v>
      </c>
      <c r="AU257" s="2023" t="n">
        <v>0</v>
      </c>
      <c r="AV257" s="2029" t="n">
        <v>0</v>
      </c>
      <c r="AW257" s="2023" t="n">
        <v>0</v>
      </c>
      <c r="AX257" s="2029" t="n">
        <v>0</v>
      </c>
      <c r="AY257" s="5">
        <f>CA257&amp;CB257&amp;CC257&amp;CD257&amp;CE257&amp;CF257&amp;CG257&amp;CH257&amp;CI257</f>
        <v/>
      </c>
      <c r="AZ257" s="5" t="n"/>
      <c r="BA257" s="5" t="n"/>
      <c r="BB257" s="5" t="n"/>
      <c r="BC257" s="5" t="n"/>
      <c r="BD257" s="5" t="n"/>
      <c r="BE257" s="5" t="n"/>
      <c r="BF257" s="5" t="n"/>
      <c r="BG257" s="5" t="n"/>
      <c r="BH257" s="5" t="n"/>
      <c r="BI257" s="5" t="n"/>
      <c r="BJ257" s="5" t="n"/>
      <c r="BK257" s="5" t="n"/>
      <c r="BL257" s="5" t="n"/>
      <c r="BM257" s="5" t="n"/>
      <c r="BN257" s="5" t="n"/>
      <c r="BO257" s="5" t="n"/>
      <c r="CA257" s="17" t="n"/>
      <c r="CB257" s="90">
        <f>IF(AND(E257&gt;0,AQ257=""), "* No olvide digitar la variable Gestantes. Digite Cero si no tiene.",IF(AQ257&gt;E257,"  * La variable Gestantes No puede ser mayor al Total Mujeres.",""))</f>
        <v/>
      </c>
      <c r="CC257" s="90">
        <f>IF(AND(E257&gt;0,AR257=""), "* No olvide digitar la variable Madre de hijo menor de 5 años. Digite Cero si no tiene.",IF(AR257&gt;E257,"  * La variable Madre de hijo menor de 5 años No puede ser mayor al Total Mujeres.",""))</f>
        <v/>
      </c>
      <c r="CD257" s="90">
        <f>IF(AND(D257&gt;0,OR(AS257="")), "* No olvide digitar la variable Pueblos originarios Hombres. Digite Cero si no tiene.",IF(AS257&gt;D257,"  * La variable Pueblos originarios Hombres No puede ser mayor al Total Hombres.",""))</f>
        <v/>
      </c>
      <c r="CE257" s="90">
        <f>IF(AND(E257&gt;0,OR(AT257="")), "* No olvide digitar la variable Pueblos originarios Mujeres. Digite Cero si no tiene.",IF(AT257&gt;E257,"  * La variable Pueblos originarios Mujeres No puede ser mayor al Total Mujeres.",""))</f>
        <v/>
      </c>
      <c r="CF257" s="90">
        <f>IF(AND(C257&gt;0,AU257=""), "* No olvide digitar la variable SENAME/ Servicio Nacional de Reinserción social Juvenil . Digite Cero si no tiene.",IF(AU257&gt;C257,"  * La variable SENAME/ Servicio Nacional de Reinserción social Juvenil  No puede ser mayor al Total.",""))</f>
        <v/>
      </c>
      <c r="CG257" s="90">
        <f>IF(AND(C257&gt;0,AV257=""), "* No olvide digitar la variable Servicio Nacional Protección Especializada a la Niñez y Adolescencia. Digite Cero si no tiene.",IF(AV257&gt;C257,"  * La variable NServicio Nacional Protección Especializada a la Niñez y Adolescencia No puede ser mayor al Total.",""))</f>
        <v/>
      </c>
      <c r="CH257" s="90">
        <f>IF(AND(C257&gt;0,AW257=""), "* No olvide digitar la variable Migrantes. Digite Cero si no tiene.",IF(AW257&gt;C257,"  * La variable Migrantes No puede ser mayor al Total.",""))</f>
        <v/>
      </c>
      <c r="CI257" s="90">
        <f>IF(AND(C257&gt;0,AX257=""), "* No olvide digitar la variable Trans (Masculino/ Femenino). Digite Cero si no tiene.",IF(AX257&gt;C257,"  * La variable Trans (Masculino/Femenino) No puede ser mayor al Total Ambos Sexos.",""))</f>
        <v/>
      </c>
      <c r="CJ257" s="5" t="n"/>
      <c r="CK257" s="5" t="n"/>
      <c r="CM257" s="5" t="n"/>
      <c r="CN257" s="5" t="n"/>
      <c r="CP257" s="125">
        <f>IF(AND(E257&gt;0,AQ257=""),1,IF(AQ257&gt;E257,1,0))</f>
        <v/>
      </c>
      <c r="CQ257" s="125">
        <f>IF(AND(E257&gt;0,AR257=""),1,IF(AR257&gt;E257,1,0))</f>
        <v/>
      </c>
      <c r="CR257" s="125">
        <f>IF(AND(D257&gt;0,OR(AS257="")),1,IF(AS257&gt;D257,1,0))</f>
        <v/>
      </c>
      <c r="CS257" s="125">
        <f>IF(AND(E257&gt;0,OR(AT257="")),1,IF(AT257&gt;E257,1,0))</f>
        <v/>
      </c>
      <c r="CT257" s="125">
        <f>IF(AND(C257&gt;0,AU257=""),1,IF(AU257&gt;C257,1,0))</f>
        <v/>
      </c>
      <c r="CU257" s="125">
        <f>IF(AND(C257&gt;0,AV257=""),1,IF(AV257&gt;C257,1,0))</f>
        <v/>
      </c>
      <c r="CV257" s="125">
        <f>IF(AND(C257&gt;0,AW257=""),1,IF(AW257&gt;C257,1,0))</f>
        <v/>
      </c>
      <c r="CW257" s="125">
        <f>IF(AND(C257&gt;0,AX257=""),1,IF(AX257&gt;C257,1,0))</f>
        <v/>
      </c>
    </row>
    <row r="258">
      <c r="A258" s="9614" t="n"/>
      <c r="B258" s="7750" t="inlineStr">
        <is>
          <t>Depresión Moderada</t>
        </is>
      </c>
      <c r="C258" s="1283">
        <f>SUM(D258+E258)</f>
        <v/>
      </c>
      <c r="D258" s="2197">
        <f>SUM(F258+H258+J258+L258+N258+P258+R258+T258+V258+X258+Z258+AB258+AD258+AF258+AH258+AJ258+AL258)</f>
        <v/>
      </c>
      <c r="E258" s="7750">
        <f>SUM(G258+I258+K258+M258+O258+Q258+S258+U258+W258+Y258+AA258+AC258+AE258+AG258+AI258+AK258+AM258)</f>
        <v/>
      </c>
      <c r="F258" s="1172" t="n"/>
      <c r="G258" s="1173" t="n"/>
      <c r="H258" s="1172" t="n"/>
      <c r="I258" s="1173" t="n"/>
      <c r="J258" s="1172" t="n"/>
      <c r="K258" s="1173" t="n"/>
      <c r="L258" s="1172" t="n"/>
      <c r="M258" s="1173" t="n"/>
      <c r="N258" s="1172" t="n"/>
      <c r="O258" s="1173" t="n"/>
      <c r="P258" s="1172" t="n"/>
      <c r="Q258" s="1173" t="n"/>
      <c r="R258" s="1172" t="n"/>
      <c r="S258" s="1173" t="n"/>
      <c r="T258" s="1172" t="n"/>
      <c r="U258" s="1173" t="n"/>
      <c r="V258" s="1172" t="n"/>
      <c r="W258" s="1173" t="n"/>
      <c r="X258" s="1172" t="n"/>
      <c r="Y258" s="1173" t="n"/>
      <c r="Z258" s="1172" t="n"/>
      <c r="AA258" s="1173" t="n"/>
      <c r="AB258" s="1172" t="n">
        <v>1</v>
      </c>
      <c r="AC258" s="1173" t="n"/>
      <c r="AD258" s="1172" t="n"/>
      <c r="AE258" s="1173" t="n">
        <v>1</v>
      </c>
      <c r="AF258" s="1172" t="n"/>
      <c r="AG258" s="1173" t="n">
        <v>1</v>
      </c>
      <c r="AH258" s="1172" t="n"/>
      <c r="AI258" s="1173" t="n"/>
      <c r="AJ258" s="1172" t="n"/>
      <c r="AK258" s="1173" t="n"/>
      <c r="AL258" s="1172" t="n"/>
      <c r="AM258" s="1222" t="n"/>
      <c r="AN258" s="887" t="n"/>
      <c r="AO258" s="1174" t="n">
        <v>1</v>
      </c>
      <c r="AP258" s="1221" t="n">
        <v>1</v>
      </c>
      <c r="AQ258" s="3895" t="n">
        <v>0</v>
      </c>
      <c r="AR258" s="3892" t="n">
        <v>0</v>
      </c>
      <c r="AS258" s="3789" t="n">
        <v>0</v>
      </c>
      <c r="AT258" s="1173" t="n">
        <v>0</v>
      </c>
      <c r="AU258" s="1174" t="n">
        <v>0</v>
      </c>
      <c r="AV258" s="1173" t="n">
        <v>0</v>
      </c>
      <c r="AW258" s="1174" t="n">
        <v>0</v>
      </c>
      <c r="AX258" s="1173" t="n">
        <v>0</v>
      </c>
      <c r="AY258" s="5">
        <f>CA258&amp;CB258&amp;CC258&amp;CD258&amp;CE258&amp;CF258&amp;CG258&amp;CH258&amp;CI258</f>
        <v/>
      </c>
      <c r="AZ258" s="5" t="n"/>
      <c r="BA258" s="5" t="n"/>
      <c r="BB258" s="5" t="n"/>
      <c r="BC258" s="5" t="n"/>
      <c r="BD258" s="5" t="n"/>
      <c r="BE258" s="5" t="n"/>
      <c r="BF258" s="5" t="n"/>
      <c r="BG258" s="5" t="n"/>
      <c r="BH258" s="5" t="n"/>
      <c r="BI258" s="5" t="n"/>
      <c r="BJ258" s="5" t="n"/>
      <c r="BK258" s="5" t="n"/>
      <c r="BL258" s="5" t="n"/>
      <c r="BM258" s="5" t="n"/>
      <c r="BN258" s="5" t="n"/>
      <c r="BO258" s="5" t="n"/>
      <c r="CA258" s="17" t="n"/>
      <c r="CB258" s="90">
        <f>IF(AND(E258&gt;0,AQ258=""), "* No olvide digitar la variable Gestantes. Digite Cero si no tiene.",IF(AQ258&gt;E258,"  * La variable Gestantes No puede ser mayor al Total Mujeres.",""))</f>
        <v/>
      </c>
      <c r="CC258" s="90">
        <f>IF(AND(E258&gt;0,AR258=""), "* No olvide digitar la variable Madre de hijo menor de 5 años. Digite Cero si no tiene.",IF(AR258&gt;E258,"  * La variable Madre de hijo menor de 5 años No puede ser mayor al Total Mujeres.",""))</f>
        <v/>
      </c>
      <c r="CD258" s="90">
        <f>IF(AND(D258&gt;0,OR(AS258="")), "* No olvide digitar la variable Pueblos originarios Hombres. Digite Cero si no tiene.",IF(AS258&gt;D258,"  * La variable Pueblos originarios Hombres No puede ser mayor al Total Hombres.",""))</f>
        <v/>
      </c>
      <c r="CE258" s="90">
        <f>IF(AND(E258&gt;0,OR(AT258="")), "* No olvide digitar la variable Pueblos originarios Mujeres. Digite Cero si no tiene.",IF(AT258&gt;E258,"  * La variable Pueblos originarios Mujeres No puede ser mayor al Total Mujeres.",""))</f>
        <v/>
      </c>
      <c r="CF258" s="90">
        <f>IF(AND(C258&gt;0,AU258=""), "* No olvide digitar la variable SENAME/ Servicio Nacional de Reinserción social Juvenil . Digite Cero si no tiene.",IF(AU258&gt;C258,"  * La variable SENAME/ Servicio Nacional de Reinserción social Juvenil  No puede ser mayor al Total.",""))</f>
        <v/>
      </c>
      <c r="CG258" s="90">
        <f>IF(AND(C258&gt;0,AV258=""), "* No olvide digitar la variable Servicio Nacional Protección Especializada a la Niñez y Adolescencia. Digite Cero si no tiene.",IF(AV258&gt;C258,"  * La variable NServicio Nacional Protección Especializada a la Niñez y Adolescencia No puede ser mayor al Total.",""))</f>
        <v/>
      </c>
      <c r="CH258" s="90">
        <f>IF(AND(C258&gt;0,AW258=""), "* No olvide digitar la variable Migrantes. Digite Cero si no tiene.",IF(AW258&gt;C258,"  * La variable Migrantes No puede ser mayor al Total.",""))</f>
        <v/>
      </c>
      <c r="CI258" s="90">
        <f>IF(AND(C258&gt;0,AX258=""), "* No olvide digitar la variable Trans (Masculino/ Femenino). Digite Cero si no tiene.",IF(AX258&gt;C258,"  * La variable Trans (Masculino/Femenino) No puede ser mayor al Total Ambos Sexos.",""))</f>
        <v/>
      </c>
      <c r="CJ258" s="5" t="n"/>
      <c r="CK258" s="5" t="n"/>
      <c r="CM258" s="5" t="n"/>
      <c r="CN258" s="5" t="n"/>
      <c r="CP258" s="125">
        <f>IF(AND(E258&gt;0,AQ258=""),1,IF(AQ258&gt;E258,1,0))</f>
        <v/>
      </c>
      <c r="CQ258" s="125">
        <f>IF(AND(E258&gt;0,AR258=""),1,IF(AR258&gt;E258,1,0))</f>
        <v/>
      </c>
      <c r="CR258" s="125">
        <f>IF(AND(D258&gt;0,OR(AS258="")),1,IF(AS258&gt;D258,1,0))</f>
        <v/>
      </c>
      <c r="CS258" s="125">
        <f>IF(AND(E258&gt;0,OR(AT258="")),1,IF(AT258&gt;E258,1,0))</f>
        <v/>
      </c>
      <c r="CT258" s="125">
        <f>IF(AND(C258&gt;0,AU258=""),1,IF(AU258&gt;C258,1,0))</f>
        <v/>
      </c>
      <c r="CU258" s="125">
        <f>IF(AND(C258&gt;0,AV258=""),1,IF(AV258&gt;C258,1,0))</f>
        <v/>
      </c>
      <c r="CV258" s="125">
        <f>IF(AND(C258&gt;0,AW258=""),1,IF(AW258&gt;C258,1,0))</f>
        <v/>
      </c>
      <c r="CW258" s="125">
        <f>IF(AND(C258&gt;0,AX258=""),1,IF(AX258&gt;C258,1,0))</f>
        <v/>
      </c>
    </row>
    <row r="259">
      <c r="A259" s="9614" t="n"/>
      <c r="B259" s="7750" t="inlineStr">
        <is>
          <t>Depresión Grave</t>
        </is>
      </c>
      <c r="C259" s="1283">
        <f>SUM(D259+E259)</f>
        <v/>
      </c>
      <c r="D259" s="2197">
        <f>SUM(F259+H259+J259+L259+N259+P259+R259+T259+V259+X259+Z259+AB259+AD259+AF259+AH259+AJ259+AL259)</f>
        <v/>
      </c>
      <c r="E259" s="7750">
        <f>SUM(G259+I259+K259+M259+O259+Q259+S259+U259+W259+Y259+AA259+AC259+AE259+AG259+AI259+AK259+AM259)</f>
        <v/>
      </c>
      <c r="F259" s="1172" t="n"/>
      <c r="G259" s="1173" t="n"/>
      <c r="H259" s="1172" t="n"/>
      <c r="I259" s="1173" t="n"/>
      <c r="J259" s="1172" t="n"/>
      <c r="K259" s="1173" t="n"/>
      <c r="L259" s="1172" t="n"/>
      <c r="M259" s="1173" t="n"/>
      <c r="N259" s="1172" t="n"/>
      <c r="O259" s="1173" t="n">
        <v>1</v>
      </c>
      <c r="P259" s="1172" t="n">
        <v>1</v>
      </c>
      <c r="Q259" s="1173" t="n"/>
      <c r="R259" s="1172" t="n"/>
      <c r="S259" s="1173" t="n"/>
      <c r="T259" s="1172" t="n"/>
      <c r="U259" s="1173" t="n"/>
      <c r="V259" s="1172" t="n"/>
      <c r="W259" s="1173" t="n"/>
      <c r="X259" s="1172" t="n"/>
      <c r="Y259" s="1173" t="n"/>
      <c r="Z259" s="1172" t="n"/>
      <c r="AA259" s="1173" t="n"/>
      <c r="AB259" s="1172" t="n"/>
      <c r="AC259" s="1173" t="n"/>
      <c r="AD259" s="1172" t="n"/>
      <c r="AE259" s="1173" t="n"/>
      <c r="AF259" s="1172" t="n"/>
      <c r="AG259" s="1173" t="n"/>
      <c r="AH259" s="1172" t="n"/>
      <c r="AI259" s="1173" t="n"/>
      <c r="AJ259" s="1172" t="n"/>
      <c r="AK259" s="1173" t="n"/>
      <c r="AL259" s="1935" t="n"/>
      <c r="AM259" s="36" t="n">
        <v>1</v>
      </c>
      <c r="AN259" s="1966" t="n"/>
      <c r="AO259" s="1432" t="n">
        <v>2</v>
      </c>
      <c r="AP259" s="1297" t="n">
        <v>1</v>
      </c>
      <c r="AQ259" s="5215" t="n">
        <v>0</v>
      </c>
      <c r="AR259" s="3892" t="n">
        <v>0</v>
      </c>
      <c r="AS259" s="3789" t="n">
        <v>0</v>
      </c>
      <c r="AT259" s="1173" t="n">
        <v>0</v>
      </c>
      <c r="AU259" s="1174" t="n">
        <v>0</v>
      </c>
      <c r="AV259" s="1173" t="n">
        <v>0</v>
      </c>
      <c r="AW259" s="1174" t="n">
        <v>0</v>
      </c>
      <c r="AX259" s="1173" t="n">
        <v>0</v>
      </c>
      <c r="AY259" s="5">
        <f>CA259&amp;CB259&amp;CC259&amp;CD259&amp;CE259&amp;CF259&amp;CG259&amp;CH259&amp;CI259</f>
        <v/>
      </c>
      <c r="AZ259" s="5" t="n"/>
      <c r="BA259" s="5" t="n"/>
      <c r="BB259" s="5" t="n"/>
      <c r="BC259" s="5" t="n"/>
      <c r="BD259" s="5" t="n"/>
      <c r="BE259" s="5" t="n"/>
      <c r="BF259" s="5" t="n"/>
      <c r="BG259" s="5" t="n"/>
      <c r="BH259" s="5" t="n"/>
      <c r="BI259" s="5" t="n"/>
      <c r="BJ259" s="5" t="n"/>
      <c r="BK259" s="5" t="n"/>
      <c r="BL259" s="5" t="n"/>
      <c r="BM259" s="5" t="n"/>
      <c r="BN259" s="5" t="n"/>
      <c r="BO259" s="5" t="n"/>
      <c r="CA259" s="17" t="n"/>
      <c r="CB259" s="90">
        <f>IF(AND(E259&gt;0,AQ259=""), "* No olvide digitar la variable Gestantes. Digite Cero si no tiene.",IF(AQ259&gt;E259,"  * La variable Gestantes No puede ser mayor al Total Mujeres.",""))</f>
        <v/>
      </c>
      <c r="CC259" s="90">
        <f>IF(AND(E259&gt;0,AR259=""), "* No olvide digitar la variable Madre de hijo menor de 5 años. Digite Cero si no tiene.",IF(AR259&gt;E259,"  * La variable Madre de hijo menor de 5 años No puede ser mayor al Total Mujeres.",""))</f>
        <v/>
      </c>
      <c r="CD259" s="90">
        <f>IF(AND(D259&gt;0,OR(AS259="")), "* No olvide digitar la variable Pueblos originarios Hombres. Digite Cero si no tiene.",IF(AS259&gt;D259,"  * La variable Pueblos originarios Hombres No puede ser mayor al Total Hombres.",""))</f>
        <v/>
      </c>
      <c r="CE259" s="90">
        <f>IF(AND(E259&gt;0,OR(AT259="")), "* No olvide digitar la variable Pueblos originarios Mujeres. Digite Cero si no tiene.",IF(AT259&gt;E259,"  * La variable Pueblos originarios Mujeres No puede ser mayor al Total Mujeres.",""))</f>
        <v/>
      </c>
      <c r="CF259" s="90">
        <f>IF(AND(C259&gt;0,AU259=""), "* No olvide digitar la variable SENAME/ Servicio Nacional de Reinserción social Juvenil . Digite Cero si no tiene.",IF(AU259&gt;C259,"  * La variable SENAME/ Servicio Nacional de Reinserción social Juvenil  No puede ser mayor al Total.",""))</f>
        <v/>
      </c>
      <c r="CG259" s="90">
        <f>IF(AND(C259&gt;0,AV259=""), "* No olvide digitar la variable Servicio Nacional Protección Especializada a la Niñez y Adolescencia. Digite Cero si no tiene.",IF(AV259&gt;C259,"  * La variable NServicio Nacional Protección Especializada a la Niñez y Adolescencia No puede ser mayor al Total.",""))</f>
        <v/>
      </c>
      <c r="CH259" s="90">
        <f>IF(AND(C259&gt;0,AW259=""), "* No olvide digitar la variable Migrantes. Digite Cero si no tiene.",IF(AW259&gt;C259,"  * La variable Migrantes No puede ser mayor al Total.",""))</f>
        <v/>
      </c>
      <c r="CI259" s="90">
        <f>IF(AND(C259&gt;0,AX259=""), "* No olvide digitar la variable Trans (Masculino/ Femenino). Digite Cero si no tiene.",IF(AX259&gt;C259,"  * La variable Trans (Masculino/Femenino) No puede ser mayor al Total Ambos Sexos.",""))</f>
        <v/>
      </c>
      <c r="CJ259" s="5" t="n"/>
      <c r="CK259" s="5" t="n"/>
      <c r="CM259" s="5" t="n"/>
      <c r="CN259" s="5" t="n"/>
      <c r="CP259" s="125">
        <f>IF(AND(E259&gt;0,AQ259=""),1,IF(AQ259&gt;E259,1,0))</f>
        <v/>
      </c>
      <c r="CQ259" s="125">
        <f>IF(AND(E259&gt;0,AR259=""),1,IF(AR259&gt;E259,1,0))</f>
        <v/>
      </c>
      <c r="CR259" s="125">
        <f>IF(AND(D259&gt;0,OR(AS259="")),1,IF(AS259&gt;D259,1,0))</f>
        <v/>
      </c>
      <c r="CS259" s="125">
        <f>IF(AND(E259&gt;0,OR(AT259="")),1,IF(AT259&gt;E259,1,0))</f>
        <v/>
      </c>
      <c r="CT259" s="125">
        <f>IF(AND(C259&gt;0,AU259=""),1,IF(AU259&gt;C259,1,0))</f>
        <v/>
      </c>
      <c r="CU259" s="125">
        <f>IF(AND(C259&gt;0,AV259=""),1,IF(AV259&gt;C259,1,0))</f>
        <v/>
      </c>
      <c r="CV259" s="125">
        <f>IF(AND(C259&gt;0,AW259=""),1,IF(AW259&gt;C259,1,0))</f>
        <v/>
      </c>
      <c r="CW259" s="125">
        <f>IF(AND(C259&gt;0,AX259=""),1,IF(AX259&gt;C259,1,0))</f>
        <v/>
      </c>
    </row>
    <row r="260">
      <c r="A260" s="9614" t="n"/>
      <c r="B260" s="2198" t="inlineStr">
        <is>
          <t>Depresión Post Parto</t>
        </is>
      </c>
      <c r="C260" s="1283">
        <f>SUM(D260+E260)</f>
        <v/>
      </c>
      <c r="D260" s="5526" t="n"/>
      <c r="E260" s="7750">
        <f>SUM(K260+M260+O260+Q260+S260+U260+W260+Y260+AA260+AC260+AE260+AG260+AI260+AK260+AM260)</f>
        <v/>
      </c>
      <c r="F260" s="5519" t="n"/>
      <c r="G260" s="2653" t="n"/>
      <c r="H260" s="5519" t="n"/>
      <c r="I260" s="2653" t="n"/>
      <c r="J260" s="5519" t="n"/>
      <c r="K260" s="1173" t="n"/>
      <c r="L260" s="5519" t="n"/>
      <c r="M260" s="1173" t="n"/>
      <c r="N260" s="5519" t="n"/>
      <c r="O260" s="1173" t="n"/>
      <c r="P260" s="5519" t="n"/>
      <c r="Q260" s="1173" t="n"/>
      <c r="R260" s="5519" t="n"/>
      <c r="S260" s="1173" t="n"/>
      <c r="T260" s="5519" t="n"/>
      <c r="U260" s="1173" t="n"/>
      <c r="V260" s="5519" t="n"/>
      <c r="W260" s="1173" t="n"/>
      <c r="X260" s="5519" t="n"/>
      <c r="Y260" s="1173" t="n"/>
      <c r="Z260" s="5519" t="n"/>
      <c r="AA260" s="1173" t="n"/>
      <c r="AB260" s="5519" t="n"/>
      <c r="AC260" s="1173" t="n"/>
      <c r="AD260" s="5519" t="n"/>
      <c r="AE260" s="2653" t="n"/>
      <c r="AF260" s="5519" t="n"/>
      <c r="AG260" s="2653" t="n"/>
      <c r="AH260" s="5519" t="n"/>
      <c r="AI260" s="2653" t="n"/>
      <c r="AJ260" s="5519" t="n"/>
      <c r="AK260" s="2653" t="n"/>
      <c r="AL260" s="5519" t="n"/>
      <c r="AM260" s="5520" t="n"/>
      <c r="AN260" s="1966" t="n"/>
      <c r="AO260" s="1432" t="n"/>
      <c r="AP260" s="1297" t="n"/>
      <c r="AQ260" s="5523" t="n"/>
      <c r="AR260" s="1964" t="n"/>
      <c r="AS260" s="5529" t="n"/>
      <c r="AT260" s="1186" t="n"/>
      <c r="AU260" s="1432" t="n"/>
      <c r="AV260" s="1186" t="n"/>
      <c r="AW260" s="1432" t="n"/>
      <c r="AX260" s="1186" t="n"/>
      <c r="AY260" s="5">
        <f>CA260&amp;CB260&amp;CC260&amp;CD260&amp;CE260&amp;CF260&amp;CG260&amp;CH260&amp;CI260</f>
        <v/>
      </c>
      <c r="AZ260" s="5" t="n"/>
      <c r="BA260" s="5" t="n"/>
      <c r="BB260" s="5" t="n"/>
      <c r="BC260" s="5" t="n"/>
      <c r="BD260" s="5" t="n"/>
      <c r="BE260" s="5" t="n"/>
      <c r="BF260" s="5" t="n"/>
      <c r="BG260" s="5" t="n"/>
      <c r="BH260" s="5" t="n"/>
      <c r="BI260" s="5" t="n"/>
      <c r="BJ260" s="5" t="n"/>
      <c r="BK260" s="5" t="n"/>
      <c r="BL260" s="5" t="n"/>
      <c r="BM260" s="5" t="n"/>
      <c r="BN260" s="5" t="n"/>
      <c r="BO260" s="5" t="n"/>
      <c r="CA260" s="17" t="n"/>
      <c r="CB260" s="124" t="n"/>
      <c r="CC260" s="90">
        <f>IF(AND(E260&gt;0,AR260=""), "* No olvide digitar la variable Madre de hijo menor de 5 años. Digite Cero si no tiene.",IF(AR260&gt;E260,"  * La variable Madre de hijo menor de 5 años No puede ser mayor al Total Mujeres.",""))</f>
        <v/>
      </c>
      <c r="CD260" s="124" t="n"/>
      <c r="CE260" s="90">
        <f>IF(AND(E260&gt;0,OR(AT260="")), "* No olvide digitar la variable Pueblos originarios Mujeres. Digite Cero si no tiene.",IF(AT260&gt;E260,"  * La variable Pueblos originarios Mujeres No puede ser mayor al Total Mujeres.",""))</f>
        <v/>
      </c>
      <c r="CF260" s="90">
        <f>IF(AND(C260&gt;0,AU260=""), "* No olvide digitar la variable SENAME/ Servicio Nacional de Reinserción social Juvenil . Digite Cero si no tiene.",IF(AU260&gt;C260,"  * La variable SENAME/ Servicio Nacional de Reinserción social Juvenil  No puede ser mayor al Total.",""))</f>
        <v/>
      </c>
      <c r="CG260" s="90">
        <f>IF(AND(C260&gt;0,AV260=""), "* No olvide digitar la variable Servicio Nacional Protección Especializada a la Niñez y Adolescencia. Digite Cero si no tiene.",IF(AV260&gt;C260,"  * La variable NServicio Nacional Protección Especializada a la Niñez y Adolescencia No puede ser mayor al Total.",""))</f>
        <v/>
      </c>
      <c r="CH260" s="90">
        <f>IF(AND(C260&gt;0,AW260=""), "* No olvide digitar la variable Migrantes. Digite Cero si no tiene.",IF(AW260&gt;C260,"  * La variable Migrantes No puede ser mayor al Total.",""))</f>
        <v/>
      </c>
      <c r="CI260" s="90">
        <f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 t="n"/>
      <c r="CQ260" s="29">
        <f>IF(AND(E260&gt;0,AR260=""),1,IF(AR260&gt;E260,1,0))</f>
        <v/>
      </c>
      <c r="CR260" s="29">
        <f>IF(AND(D260&gt;0,OR(AS260="")),1,IF(AS260&gt;D260,1,0))</f>
        <v/>
      </c>
      <c r="CS260" s="29">
        <f>IF(AND(E260&gt;0,OR(AT260="")),1,IF(AT260&gt;E260,1,0))</f>
        <v/>
      </c>
      <c r="CT260" s="29">
        <f>IF(AND(C260&gt;0,AU260=""),1,IF(AU260&gt;C260,1,0))</f>
        <v/>
      </c>
      <c r="CU260" s="29">
        <f>IF(AND(C260&gt;0,AV260=""),1,IF(AV260&gt;C260,1,0))</f>
        <v/>
      </c>
      <c r="CV260" s="29">
        <f>IF(AND(C260&gt;0,AW260=""),1,IF(AW260&gt;C260,1,0))</f>
        <v/>
      </c>
      <c r="CW260" s="29">
        <f>IF(AND(C260&gt;0,AX260=""),1,IF(AX260&gt;C260,1,0))</f>
        <v/>
      </c>
    </row>
    <row r="261">
      <c r="A261" s="9614" t="n"/>
      <c r="B261" s="7750" t="inlineStr">
        <is>
          <t>Trastorno Bipolar</t>
        </is>
      </c>
      <c r="C261" s="1283">
        <f>SUM(D261+E261)</f>
        <v/>
      </c>
      <c r="D261" s="2197">
        <f>SUM(F261+H261+J261+L261+N261+P261+R261+T261+V261+X261+Z261+AB261+AD261+AF261+AH261+AJ261+AL261)</f>
        <v/>
      </c>
      <c r="E261" s="7750">
        <f>SUM(G261+I261+K261+M261+O261+Q261+S261+U261+W261+Y261+AA261+AC261+AE261+AG261+AI261+AK261+AM261)</f>
        <v/>
      </c>
      <c r="F261" s="1172" t="n"/>
      <c r="G261" s="1173" t="n"/>
      <c r="H261" s="1172" t="n"/>
      <c r="I261" s="1173" t="n"/>
      <c r="J261" s="1172" t="n"/>
      <c r="K261" s="1173" t="n"/>
      <c r="L261" s="1172" t="n"/>
      <c r="M261" s="1173" t="n"/>
      <c r="N261" s="1172" t="n"/>
      <c r="O261" s="1173" t="n"/>
      <c r="P261" s="1172" t="n"/>
      <c r="Q261" s="1173" t="n"/>
      <c r="R261" s="1172" t="n"/>
      <c r="S261" s="1173" t="n"/>
      <c r="T261" s="1172" t="n"/>
      <c r="U261" s="1173" t="n"/>
      <c r="V261" s="1172" t="n"/>
      <c r="W261" s="1173" t="n"/>
      <c r="X261" s="1172" t="n"/>
      <c r="Y261" s="1173" t="n"/>
      <c r="Z261" s="1172" t="n"/>
      <c r="AA261" s="1173" t="n"/>
      <c r="AB261" s="1172" t="n"/>
      <c r="AC261" s="1173" t="n"/>
      <c r="AD261" s="1172" t="n"/>
      <c r="AE261" s="1173" t="n"/>
      <c r="AF261" s="1172" t="n"/>
      <c r="AG261" s="1173" t="n"/>
      <c r="AH261" s="1172" t="n"/>
      <c r="AI261" s="1173" t="n"/>
      <c r="AJ261" s="1172" t="n"/>
      <c r="AK261" s="1173" t="n"/>
      <c r="AL261" s="1172" t="n"/>
      <c r="AM261" s="1222" t="n"/>
      <c r="AN261" s="1966" t="n"/>
      <c r="AO261" s="1432" t="n"/>
      <c r="AP261" s="1297" t="n"/>
      <c r="AQ261" s="3895" t="n">
        <v>0</v>
      </c>
      <c r="AR261" s="3892" t="n">
        <v>0</v>
      </c>
      <c r="AS261" s="3789" t="n">
        <v>0</v>
      </c>
      <c r="AT261" s="1173" t="n">
        <v>0</v>
      </c>
      <c r="AU261" s="1174" t="n">
        <v>0</v>
      </c>
      <c r="AV261" s="1173" t="n">
        <v>0</v>
      </c>
      <c r="AW261" s="1174" t="n">
        <v>0</v>
      </c>
      <c r="AX261" s="1173" t="n">
        <v>0</v>
      </c>
      <c r="AY261" s="5">
        <f>CA261&amp;CB261&amp;CC261&amp;CD261&amp;CE261&amp;CF261&amp;CG261&amp;CH261&amp;CI261</f>
        <v/>
      </c>
      <c r="AZ261" s="5" t="n"/>
      <c r="BA261" s="5" t="n"/>
      <c r="BB261" s="5" t="n"/>
      <c r="BC261" s="5" t="n"/>
      <c r="BD261" s="5" t="n"/>
      <c r="BE261" s="5" t="n"/>
      <c r="BF261" s="5" t="n"/>
      <c r="BG261" s="5" t="n"/>
      <c r="BH261" s="5" t="n"/>
      <c r="BI261" s="5" t="n"/>
      <c r="BJ261" s="5" t="n"/>
      <c r="BK261" s="5" t="n"/>
      <c r="BL261" s="5" t="n"/>
      <c r="BM261" s="5" t="n"/>
      <c r="BN261" s="5" t="n"/>
      <c r="BO261" s="5" t="n"/>
      <c r="CA261" s="17" t="n"/>
      <c r="CB261" s="90">
        <f>IF(AND(E261&gt;0,AQ261=""), "* No olvide digitar la variable Gestantes. Digite Cero si no tiene.",IF(AQ261&gt;E261,"  * La variable Gestantes No puede ser mayor al Total Mujeres.",""))</f>
        <v/>
      </c>
      <c r="CC261" s="90">
        <f>IF(AND(E261&gt;0,AR261=""), "* No olvide digitar la variable Madre de hijo menor de 5 años. Digite Cero si no tiene.",IF(AR261&gt;E261,"  * La variable Madre de hijo menor de 5 años No puede ser mayor al Total Mujeres.",""))</f>
        <v/>
      </c>
      <c r="CD261" s="90">
        <f>IF(AND(D261&gt;0,OR(AS261="")), "* No olvide digitar la variable Pueblos originarios Hombres. Digite Cero si no tiene.",IF(AS261&gt;D261,"  * La variable Pueblos originarios Hombres No puede ser mayor al Total Hombres.",""))</f>
        <v/>
      </c>
      <c r="CE261" s="90">
        <f>IF(AND(E261&gt;0,OR(AT261="")), "* No olvide digitar la variable Pueblos originarios Mujeres. Digite Cero si no tiene.",IF(AT261&gt;E261,"  * La variable Pueblos originarios Mujeres No puede ser mayor al Total Mujeres.",""))</f>
        <v/>
      </c>
      <c r="CF261" s="90">
        <f>IF(AND(C261&gt;0,AU261=""), "* No olvide digitar la variable SENAME/ Servicio Nacional de Reinserción social Juvenil . Digite Cero si no tiene.",IF(AU261&gt;C261,"  * La variable SENAME/ Servicio Nacional de Reinserción social Juvenil  No puede ser mayor al Total.",""))</f>
        <v/>
      </c>
      <c r="CG261" s="90">
        <f>IF(AND(C261&gt;0,AV261=""), "* No olvide digitar la variable Servicio Nacional Protección Especializada a la Niñez y Adolescencia. Digite Cero si no tiene.",IF(AV261&gt;C261,"  * La variable NServicio Nacional Protección Especializada a la Niñez y Adolescencia No puede ser mayor al Total.",""))</f>
        <v/>
      </c>
      <c r="CH261" s="90">
        <f>IF(AND(C261&gt;0,AW261=""), "* No olvide digitar la variable Migrantes. Digite Cero si no tiene.",IF(AW261&gt;C261,"  * La variable Migrantes No puede ser mayor al Total.",""))</f>
        <v/>
      </c>
      <c r="CI261" s="90">
        <f>IF(AND(C261&gt;0,AX261=""), "* No olvide digitar la variable Trans (Masculino/ Femenino). Digite Cero si no tiene.",IF(AX261&gt;C261,"  * La variable Trans (Masculino/Femenino) No puede ser mayor al Total Ambos Sexos.",""))</f>
        <v/>
      </c>
      <c r="CP261" s="29">
        <f>IF(AND(E261&gt;0,AQ261=""),1,IF(AQ261&gt;E261,1,0))</f>
        <v/>
      </c>
      <c r="CQ261" s="29">
        <f>IF(AND(E261&gt;0,AR261=""),1,IF(AR261&gt;E261,1,0))</f>
        <v/>
      </c>
      <c r="CR261" s="29">
        <f>IF(AND(D261&gt;0,OR(AS261="")),1,IF(AS261&gt;D261,1,0))</f>
        <v/>
      </c>
      <c r="CS261" s="29">
        <f>IF(AND(E261&gt;0,OR(AT261="")),1,IF(AT261&gt;E261,1,0))</f>
        <v/>
      </c>
      <c r="CT261" s="29">
        <f>IF(AND(C261&gt;0,AU261=""),1,IF(AU261&gt;C261,1,0))</f>
        <v/>
      </c>
      <c r="CU261" s="29">
        <f>IF(AND(C261&gt;0,AV261=""),1,IF(AV261&gt;C261,1,0))</f>
        <v/>
      </c>
      <c r="CV261" s="29">
        <f>IF(AND(C261&gt;0,AW261=""),1,IF(AW261&gt;C261,1,0))</f>
        <v/>
      </c>
      <c r="CW261" s="29">
        <f>IF(AND(C261&gt;0,AX261=""),1,IF(AX261&gt;C261,1,0))</f>
        <v/>
      </c>
    </row>
    <row r="262">
      <c r="A262" s="9614" t="n"/>
      <c r="B262" s="38" t="inlineStr">
        <is>
          <t>Depresión Refractaria</t>
        </is>
      </c>
      <c r="C262" s="1283">
        <f>SUM(D262+E262)</f>
        <v/>
      </c>
      <c r="D262" s="2197">
        <f>SUM(F262+H262+J262+L262+N262+P262+R262+T262+V262+X262+Z262+AB262+AD262+AF262+AH262+AJ262+AL262)</f>
        <v/>
      </c>
      <c r="E262" s="7750">
        <f>SUM(G262+I262+K262+M262+O262+Q262+S262+U262+W262+Y262+AA262+AC262+AE262+AG262+AI262+AK262+AM262)</f>
        <v/>
      </c>
      <c r="F262" s="1172" t="n"/>
      <c r="G262" s="1173" t="n"/>
      <c r="H262" s="1172" t="n"/>
      <c r="I262" s="1173" t="n"/>
      <c r="J262" s="1172" t="n"/>
      <c r="K262" s="1173" t="n"/>
      <c r="L262" s="1172" t="n"/>
      <c r="M262" s="1173" t="n"/>
      <c r="N262" s="1172" t="n"/>
      <c r="O262" s="1173" t="n"/>
      <c r="P262" s="1172" t="n"/>
      <c r="Q262" s="1173" t="n"/>
      <c r="R262" s="1172" t="n"/>
      <c r="S262" s="1173" t="n"/>
      <c r="T262" s="1172" t="n"/>
      <c r="U262" s="1173" t="n"/>
      <c r="V262" s="1172" t="n"/>
      <c r="W262" s="1173" t="n"/>
      <c r="X262" s="1172" t="n"/>
      <c r="Y262" s="1173" t="n"/>
      <c r="Z262" s="1172" t="n"/>
      <c r="AA262" s="1173" t="n"/>
      <c r="AB262" s="1172" t="n"/>
      <c r="AC262" s="1173" t="n"/>
      <c r="AD262" s="1172" t="n"/>
      <c r="AE262" s="1173" t="n"/>
      <c r="AF262" s="1172" t="n"/>
      <c r="AG262" s="1173" t="n"/>
      <c r="AH262" s="1172" t="n"/>
      <c r="AI262" s="1173" t="n"/>
      <c r="AJ262" s="1172" t="n"/>
      <c r="AK262" s="1173" t="n"/>
      <c r="AL262" s="1172" t="n"/>
      <c r="AM262" s="1222" t="n"/>
      <c r="AN262" s="1966" t="n"/>
      <c r="AO262" s="1432" t="n"/>
      <c r="AP262" s="1297" t="n"/>
      <c r="AQ262" s="3895" t="n">
        <v>0</v>
      </c>
      <c r="AR262" s="3892" t="n">
        <v>0</v>
      </c>
      <c r="AS262" s="3789" t="n">
        <v>0</v>
      </c>
      <c r="AT262" s="1173" t="n">
        <v>0</v>
      </c>
      <c r="AU262" s="1174" t="n">
        <v>0</v>
      </c>
      <c r="AV262" s="1173" t="n">
        <v>0</v>
      </c>
      <c r="AW262" s="1174" t="n">
        <v>0</v>
      </c>
      <c r="AX262" s="1173" t="n">
        <v>0</v>
      </c>
      <c r="AY262" s="5">
        <f>CA262&amp;CB262&amp;CC262&amp;CD262&amp;CE262&amp;CF262&amp;CG262&amp;CH262&amp;CI262</f>
        <v/>
      </c>
      <c r="AZ262" s="5" t="n"/>
      <c r="BA262" s="5" t="n"/>
      <c r="BB262" s="5" t="n"/>
      <c r="BC262" s="5" t="n"/>
      <c r="BD262" s="5" t="n"/>
      <c r="BE262" s="5" t="n"/>
      <c r="BF262" s="5" t="n"/>
      <c r="BG262" s="5" t="n"/>
      <c r="BH262" s="5" t="n"/>
      <c r="BI262" s="5" t="n"/>
      <c r="BJ262" s="5" t="n"/>
      <c r="BK262" s="5" t="n"/>
      <c r="BL262" s="5" t="n"/>
      <c r="BM262" s="5" t="n"/>
      <c r="BN262" s="5" t="n"/>
      <c r="BO262" s="5" t="n"/>
      <c r="CA262" s="17" t="n"/>
      <c r="CB262" s="90">
        <f>IF(AND(E262&gt;0,AQ262=""), "* No olvide digitar la variable Gestantes. Digite Cero si no tiene.",IF(AQ262&gt;E262,"  * La variable Gestantes No puede ser mayor al Total Mujeres.",""))</f>
        <v/>
      </c>
      <c r="CC262" s="90">
        <f>IF(AND(E262&gt;0,AR262=""), "* No olvide digitar la variable Madre de hijo menor de 5 años. Digite Cero si no tiene.",IF(AR262&gt;E262,"  * La variable Madre de hijo menor de 5 años No puede ser mayor al Total Mujeres.",""))</f>
        <v/>
      </c>
      <c r="CD262" s="90">
        <f>IF(AND(D262&gt;0,OR(AS262="")), "* No olvide digitar la variable Pueblos originarios Hombres. Digite Cero si no tiene.",IF(AS262&gt;D262,"  * La variable Pueblos originarios Hombres No puede ser mayor al Total Hombres.",""))</f>
        <v/>
      </c>
      <c r="CE262" s="90">
        <f>IF(AND(E262&gt;0,OR(AT262="")), "* No olvide digitar la variable Pueblos originarios Mujeres. Digite Cero si no tiene.",IF(AT262&gt;E262,"  * La variable Pueblos originarios Mujeres No puede ser mayor al Total Mujeres.",""))</f>
        <v/>
      </c>
      <c r="CF262" s="90">
        <f>IF(AND(C262&gt;0,AU262=""), "* No olvide digitar la variable SENAME/ Servicio Nacional de Reinserción social Juvenil . Digite Cero si no tiene.",IF(AU262&gt;C262,"  * La variable SENAME/ Servicio Nacional de Reinserción social Juvenil  No puede ser mayor al Total.",""))</f>
        <v/>
      </c>
      <c r="CG262" s="90">
        <f>IF(AND(C262&gt;0,AV262=""), "* No olvide digitar la variable Servicio Nacional Protección Especializada a la Niñez y Adolescencia. Digite Cero si no tiene.",IF(AV262&gt;C262,"  * La variable NServicio Nacional Protección Especializada a la Niñez y Adolescencia No puede ser mayor al Total.",""))</f>
        <v/>
      </c>
      <c r="CH262" s="90">
        <f>IF(AND(C262&gt;0,AW262=""), "* No olvide digitar la variable Migrantes. Digite Cero si no tiene.",IF(AW262&gt;C262,"  * La variable Migrantes No puede ser mayor al Total.",""))</f>
        <v/>
      </c>
      <c r="CI262" s="90">
        <f>IF(AND(C262&gt;0,AX262=""), "* No olvide digitar la variable Trans (Masculino/ Femenino). Digite Cero si no tiene.",IF(AX262&gt;C262,"  * La variable Trans (Masculino/Femenino) No puede ser mayor al Total Ambos Sexos.",""))</f>
        <v/>
      </c>
      <c r="CP262" s="29">
        <f>IF(AND(E262&gt;0,AQ262=""),1,IF(AQ262&gt;E262,1,0))</f>
        <v/>
      </c>
      <c r="CQ262" s="29">
        <f>IF(AND(E262&gt;0,AR262=""),1,IF(AR262&gt;E262,1,0))</f>
        <v/>
      </c>
      <c r="CR262" s="29">
        <f>IF(AND(D262&gt;0,OR(AS262="")),1,IF(AS262&gt;D262,1,0))</f>
        <v/>
      </c>
      <c r="CS262" s="29">
        <f>IF(AND(E262&gt;0,OR(AT262="")),1,IF(AT262&gt;E262,1,0))</f>
        <v/>
      </c>
      <c r="CT262" s="29">
        <f>IF(AND(C262&gt;0,AU262=""),1,IF(AU262&gt;C262,1,0))</f>
        <v/>
      </c>
      <c r="CU262" s="29">
        <f>IF(AND(C262&gt;0,AV262=""),1,IF(AV262&gt;C262,1,0))</f>
        <v/>
      </c>
      <c r="CV262" s="29">
        <f>IF(AND(C262&gt;0,AW262=""),1,IF(AW262&gt;C262,1,0))</f>
        <v/>
      </c>
      <c r="CW262" s="29">
        <f>IF(AND(C262&gt;0,AX262=""),1,IF(AX262&gt;C262,1,0))</f>
        <v/>
      </c>
    </row>
    <row r="263">
      <c r="A263" s="9614" t="n"/>
      <c r="B263" s="2199" t="inlineStr">
        <is>
          <t>Depresión Grave con Psicosis</t>
        </is>
      </c>
      <c r="C263" s="1283">
        <f>SUM(D263+E263)</f>
        <v/>
      </c>
      <c r="D263" s="2197">
        <f>SUM(F263+H263+J263+L263+N263+P263+R263+T263+V263+X263+Z263+AB263+AD263+AF263+AH263+AJ263+AL263)</f>
        <v/>
      </c>
      <c r="E263" s="7750">
        <f>SUM(G263+I263+K263+M263+O263+Q263+S263+U263+W263+Y263+AA263+AC263+AE263+AG263+AI263+AK263+AM263)</f>
        <v/>
      </c>
      <c r="F263" s="1172" t="n"/>
      <c r="G263" s="1173" t="n"/>
      <c r="H263" s="1172" t="n"/>
      <c r="I263" s="1173" t="n"/>
      <c r="J263" s="1172" t="n"/>
      <c r="K263" s="1173" t="n"/>
      <c r="L263" s="1172" t="n"/>
      <c r="M263" s="1173" t="n"/>
      <c r="N263" s="1172" t="n"/>
      <c r="O263" s="1173" t="n"/>
      <c r="P263" s="1172" t="n"/>
      <c r="Q263" s="1173" t="n"/>
      <c r="R263" s="1172" t="n"/>
      <c r="S263" s="1173" t="n"/>
      <c r="T263" s="1172" t="n"/>
      <c r="U263" s="1173" t="n"/>
      <c r="V263" s="1172" t="n"/>
      <c r="W263" s="1173" t="n"/>
      <c r="X263" s="1172" t="n"/>
      <c r="Y263" s="1173" t="n"/>
      <c r="Z263" s="1172" t="n"/>
      <c r="AA263" s="1173" t="n"/>
      <c r="AB263" s="1172" t="n"/>
      <c r="AC263" s="1173" t="n"/>
      <c r="AD263" s="1172" t="n"/>
      <c r="AE263" s="1173" t="n"/>
      <c r="AF263" s="1172" t="n"/>
      <c r="AG263" s="1173" t="n"/>
      <c r="AH263" s="1172" t="n"/>
      <c r="AI263" s="1173" t="n"/>
      <c r="AJ263" s="1172" t="n"/>
      <c r="AK263" s="1173" t="n"/>
      <c r="AL263" s="1172" t="n"/>
      <c r="AM263" s="1222" t="n"/>
      <c r="AN263" s="1966" t="n"/>
      <c r="AO263" s="1432" t="n"/>
      <c r="AP263" s="1297" t="n"/>
      <c r="AQ263" s="3895" t="n">
        <v>0</v>
      </c>
      <c r="AR263" s="3892" t="n">
        <v>0</v>
      </c>
      <c r="AS263" s="3789" t="n">
        <v>0</v>
      </c>
      <c r="AT263" s="1173" t="n">
        <v>0</v>
      </c>
      <c r="AU263" s="1174" t="n">
        <v>0</v>
      </c>
      <c r="AV263" s="1173" t="n">
        <v>0</v>
      </c>
      <c r="AW263" s="1174" t="n">
        <v>0</v>
      </c>
      <c r="AX263" s="1173" t="n">
        <v>0</v>
      </c>
      <c r="AY263" s="5">
        <f>CA263&amp;CB263&amp;CC263&amp;CD263&amp;CE263&amp;CF263&amp;CG263&amp;CH263&amp;CI263</f>
        <v/>
      </c>
      <c r="AZ263" s="5" t="n"/>
      <c r="BA263" s="5" t="n"/>
      <c r="BB263" s="5" t="n"/>
      <c r="BC263" s="5" t="n"/>
      <c r="BD263" s="5" t="n"/>
      <c r="BE263" s="5" t="n"/>
      <c r="BF263" s="5" t="n"/>
      <c r="BG263" s="5" t="n"/>
      <c r="BH263" s="5" t="n"/>
      <c r="BI263" s="5" t="n"/>
      <c r="BJ263" s="5" t="n"/>
      <c r="BK263" s="5" t="n"/>
      <c r="BL263" s="5" t="n"/>
      <c r="BM263" s="5" t="n"/>
      <c r="BN263" s="5" t="n"/>
      <c r="BO263" s="5" t="n"/>
      <c r="CA263" s="17" t="n"/>
      <c r="CB263" s="90">
        <f>IF(AND(E263&gt;0,AQ263=""), "* No olvide digitar la variable Gestantes. Digite Cero si no tiene.",IF(AQ263&gt;E263,"  * La variable Gestantes No puede ser mayor al Total Mujeres.",""))</f>
        <v/>
      </c>
      <c r="CC263" s="90">
        <f>IF(AND(E263&gt;0,AR263=""), "* No olvide digitar la variable Madre de hijo menor de 5 años. Digite Cero si no tiene.",IF(AR263&gt;E263,"  * La variable Madre de hijo menor de 5 años No puede ser mayor al Total Mujeres.",""))</f>
        <v/>
      </c>
      <c r="CD263" s="90">
        <f>IF(AND(D263&gt;0,OR(AS263="")), "* No olvide digitar la variable Pueblos originarios Hombres. Digite Cero si no tiene.",IF(AS263&gt;D263,"  * La variable Pueblos originarios Hombres No puede ser mayor al Total Hombres.",""))</f>
        <v/>
      </c>
      <c r="CE263" s="90">
        <f>IF(AND(E263&gt;0,OR(AT263="")), "* No olvide digitar la variable Pueblos originarios Mujeres. Digite Cero si no tiene.",IF(AT263&gt;E263,"  * La variable Pueblos originarios Mujeres No puede ser mayor al Total Mujeres.",""))</f>
        <v/>
      </c>
      <c r="CF263" s="90">
        <f>IF(AND(C263&gt;0,AU263=""), "* No olvide digitar la variable SENAME/ Servicio Nacional de Reinserción social Juvenil . Digite Cero si no tiene.",IF(AU263&gt;C263,"  * La variable SENAME/ Servicio Nacional de Reinserción social Juvenil  No puede ser mayor al Total.",""))</f>
        <v/>
      </c>
      <c r="CG263" s="90">
        <f>IF(AND(C263&gt;0,AV263=""), "* No olvide digitar la variable Servicio Nacional Protección Especializada a la Niñez y Adolescencia. Digite Cero si no tiene.",IF(AV263&gt;C263,"  * La variable NServicio Nacional Protección Especializada a la Niñez y Adolescencia No puede ser mayor al Total.",""))</f>
        <v/>
      </c>
      <c r="CH263" s="90">
        <f>IF(AND(C263&gt;0,AW263=""), "* No olvide digitar la variable Migrantes. Digite Cero si no tiene.",IF(AW263&gt;C263,"  * La variable Migrantes No puede ser mayor al Total.",""))</f>
        <v/>
      </c>
      <c r="CI263" s="90">
        <f>IF(AND(C263&gt;0,AX263=""), "* No olvide digitar la variable Trans (Masculino/ Femenino). Digite Cero si no tiene.",IF(AX263&gt;C263,"  * La variable Trans (Masculino/Femenino) No puede ser mayor al Total Ambos Sexos.",""))</f>
        <v/>
      </c>
      <c r="CP263" s="29">
        <f>IF(AND(E263&gt;0,AQ263=""),1,IF(AQ263&gt;E263,1,0))</f>
        <v/>
      </c>
      <c r="CQ263" s="29">
        <f>IF(AND(E263&gt;0,AR263=""),1,IF(AR263&gt;E263,1,0))</f>
        <v/>
      </c>
      <c r="CR263" s="29">
        <f>IF(AND(D263&gt;0,OR(AS263="")),1,IF(AS263&gt;D263,1,0))</f>
        <v/>
      </c>
      <c r="CS263" s="29">
        <f>IF(AND(E263&gt;0,OR(AT263="")),1,IF(AT263&gt;E263,1,0))</f>
        <v/>
      </c>
      <c r="CT263" s="29">
        <f>IF(AND(C263&gt;0,AU263=""),1,IF(AU263&gt;C263,1,0))</f>
        <v/>
      </c>
      <c r="CU263" s="29">
        <f>IF(AND(C263&gt;0,AV263=""),1,IF(AV263&gt;C263,1,0))</f>
        <v/>
      </c>
      <c r="CV263" s="29">
        <f>IF(AND(C263&gt;0,AW263=""),1,IF(AW263&gt;C263,1,0))</f>
        <v/>
      </c>
      <c r="CW263" s="29">
        <f>IF(AND(C263&gt;0,AX263=""),1,IF(AX263&gt;C263,1,0))</f>
        <v/>
      </c>
    </row>
    <row r="264">
      <c r="A264" s="9610" t="n"/>
      <c r="B264" s="39" t="inlineStr">
        <is>
          <t>Depresión con Alto Riesgo Suicida</t>
        </is>
      </c>
      <c r="C264" s="1363">
        <f>SUM(D264+E264)</f>
        <v/>
      </c>
      <c r="D264" s="1364">
        <f>SUM(H264+J264+L264+N264+P264+R264+T264+V264+X264+Z264+AB264+AD264+AF264+AH264+AJ264+AL264)</f>
        <v/>
      </c>
      <c r="E264" s="1365">
        <f>SUM(I264+K264+M264+O264+Q264+S264+U264+W264+Y264+AA264+AC264+AE264+AG264+AI264+AK264+AM264)</f>
        <v/>
      </c>
      <c r="F264" s="5527" t="n"/>
      <c r="G264" s="5528" t="n"/>
      <c r="H264" s="1179" t="n"/>
      <c r="I264" s="1180" t="n"/>
      <c r="J264" s="1179" t="n"/>
      <c r="K264" s="1180" t="n"/>
      <c r="L264" s="1179" t="n"/>
      <c r="M264" s="1180" t="n"/>
      <c r="N264" s="1179" t="n"/>
      <c r="O264" s="1180" t="n"/>
      <c r="P264" s="1179" t="n"/>
      <c r="Q264" s="1180" t="n"/>
      <c r="R264" s="1179" t="n"/>
      <c r="S264" s="1180" t="n"/>
      <c r="T264" s="1179" t="n"/>
      <c r="U264" s="1180" t="n"/>
      <c r="V264" s="1179" t="n"/>
      <c r="W264" s="1180" t="n"/>
      <c r="X264" s="1179" t="n"/>
      <c r="Y264" s="1180" t="n"/>
      <c r="Z264" s="1179" t="n"/>
      <c r="AA264" s="1180" t="n"/>
      <c r="AB264" s="1179" t="n"/>
      <c r="AC264" s="1180" t="n"/>
      <c r="AD264" s="1179" t="n"/>
      <c r="AE264" s="1180" t="n"/>
      <c r="AF264" s="1179" t="n"/>
      <c r="AG264" s="1180" t="n"/>
      <c r="AH264" s="1179" t="n"/>
      <c r="AI264" s="1180" t="n"/>
      <c r="AJ264" s="1179" t="n"/>
      <c r="AK264" s="1180" t="n"/>
      <c r="AL264" s="1179" t="n"/>
      <c r="AM264" s="35" t="n"/>
      <c r="AN264" s="1225" t="n"/>
      <c r="AO264" s="1193" t="n"/>
      <c r="AP264" s="1226" t="n"/>
      <c r="AQ264" s="35" t="n">
        <v>0</v>
      </c>
      <c r="AR264" s="1229" t="n">
        <v>0</v>
      </c>
      <c r="AS264" s="1181" t="n">
        <v>0</v>
      </c>
      <c r="AT264" s="1180" t="n">
        <v>0</v>
      </c>
      <c r="AU264" s="1181" t="n">
        <v>0</v>
      </c>
      <c r="AV264" s="1180" t="n">
        <v>0</v>
      </c>
      <c r="AW264" s="1181" t="n">
        <v>0</v>
      </c>
      <c r="AX264" s="1180" t="n">
        <v>0</v>
      </c>
      <c r="AY264" s="5">
        <f>CA264&amp;CB264&amp;CC264&amp;CD264&amp;CE264&amp;CF264&amp;CG264&amp;CH264&amp;CI264</f>
        <v/>
      </c>
      <c r="AZ264" s="5" t="n"/>
      <c r="BA264" s="5" t="n"/>
      <c r="BB264" s="5" t="n"/>
      <c r="BC264" s="5" t="n"/>
      <c r="BD264" s="5" t="n"/>
      <c r="BE264" s="5" t="n"/>
      <c r="BF264" s="5" t="n"/>
      <c r="BG264" s="5" t="n"/>
      <c r="BH264" s="5" t="n"/>
      <c r="BI264" s="5" t="n"/>
      <c r="BJ264" s="5" t="n"/>
      <c r="BK264" s="5" t="n"/>
      <c r="BL264" s="5" t="n"/>
      <c r="BM264" s="5" t="n"/>
      <c r="BN264" s="5" t="n"/>
      <c r="BO264" s="5" t="n"/>
      <c r="CA264" s="17" t="n"/>
      <c r="CB264" s="90">
        <f>IF(AND(E264&gt;0,AQ264=""), "* No olvide digitar la variable Gestantes. Digite Cero si no tiene.",IF(AQ264&gt;E264,"  * La variable Gestantes No puede ser mayor al Total Mujeres.",""))</f>
        <v/>
      </c>
      <c r="CC264" s="90">
        <f>IF(AND(E264&gt;0,AR264=""), "* No olvide digitar la variable Madre de hijo menor de 5 años. Digite Cero si no tiene.",IF(AR264&gt;E264,"  * La variable Madre de hijo menor de 5 años No puede ser mayor al Total Mujeres.",""))</f>
        <v/>
      </c>
      <c r="CD264" s="90">
        <f>IF(AND(D264&gt;0,OR(AS264="")), "* No olvide digitar la variable Pueblos originarios Hombres. Digite Cero si no tiene.",IF(AS264&gt;D264,"  * La variable Pueblos originarios Hombres No puede ser mayor al Total Hombres.",""))</f>
        <v/>
      </c>
      <c r="CE264" s="90">
        <f>IF(AND(E264&gt;0,OR(AT264="")), "* No olvide digitar la variable Pueblos originarios Mujeres. Digite Cero si no tiene.",IF(AT264&gt;E264,"  * La variable Pueblos originarios Mujeres No puede ser mayor al Total Mujeres.",""))</f>
        <v/>
      </c>
      <c r="CF264" s="90">
        <f>IF(AND(C264&gt;0,AU264=""), "* No olvide digitar la variable SENAME/ Servicio Nacional de Reinserción social Juvenil . Digite Cero si no tiene.",IF(AU264&gt;C264,"  * La variable SENAME/ Servicio Nacional de Reinserción social Juvenil  No puede ser mayor al Total.",""))</f>
        <v/>
      </c>
      <c r="CG264" s="90">
        <f>IF(AND(C264&gt;0,AV264=""), "* No olvide digitar la variable Servicio Nacional Protección Especializada a la Niñez y Adolescencia. Digite Cero si no tiene.",IF(AV264&gt;C264,"  * La variable NServicio Nacional Protección Especializada a la Niñez y Adolescencia No puede ser mayor al Total.",""))</f>
        <v/>
      </c>
      <c r="CH264" s="90">
        <f>IF(AND(C264&gt;0,AW264=""), "* No olvide digitar la variable Migrantes. Digite Cero si no tiene.",IF(AW264&gt;C264,"  * La variable Migrantes No puede ser mayor al Total.",""))</f>
        <v/>
      </c>
      <c r="CI264" s="90">
        <f>IF(AND(C264&gt;0,AX264=""), "* No olvide digitar la variable Trans (Masculino/ Femenino). Digite Cero si no tiene.",IF(AX264&gt;C264,"  * La variable Trans (Masculino/Femenino) No puede ser mayor al Total Ambos Sexos.",""))</f>
        <v/>
      </c>
      <c r="CP264" s="29">
        <f>IF(AND(E264&gt;0,AQ264=""),1,IF(AQ264&gt;E264,1,0))</f>
        <v/>
      </c>
      <c r="CQ264" s="29">
        <f>IF(AND(E264&gt;0,AR264=""),1,IF(AR264&gt;E264,1,0))</f>
        <v/>
      </c>
      <c r="CR264" s="29">
        <f>IF(AND(D264&gt;0,OR(AS264="")),1,IF(AS264&gt;D264,1,0))</f>
        <v/>
      </c>
      <c r="CS264" s="29">
        <f>IF(AND(E264&gt;0,OR(AT264="")),1,IF(AT264&gt;E264,1,0))</f>
        <v/>
      </c>
      <c r="CT264" s="29">
        <f>IF(AND(C264&gt;0,AU264=""),1,IF(AU264&gt;C264,1,0))</f>
        <v/>
      </c>
      <c r="CU264" s="29">
        <f>IF(AND(C264&gt;0,AV264=""),1,IF(AV264&gt;C264,1,0))</f>
        <v/>
      </c>
      <c r="CV264" s="29">
        <f>IF(AND(C264&gt;0,AW264=""),1,IF(AW264&gt;C264,1,0))</f>
        <v/>
      </c>
      <c r="CW264" s="29">
        <f>IF(AND(C264&gt;0,AX264=""),1,IF(AX264&gt;C264,1,0))</f>
        <v/>
      </c>
    </row>
    <row r="265" ht="15" customHeight="1" s="8286">
      <c r="A265" s="9933" t="inlineStr">
        <is>
          <t>Trastornos Mentales y del Comportamiento Debido a Consumo Sustancias Psicotrópicas</t>
        </is>
      </c>
      <c r="B265" s="2202" t="inlineStr">
        <is>
          <t>Consumo Perjudicial de Alcohol</t>
        </is>
      </c>
      <c r="C265" s="2180">
        <f>SUM(D265+E265)</f>
        <v/>
      </c>
      <c r="D265" s="855">
        <f>SUM(F265+H265+J265+L265+N265+P265+R265+T265+V265+X265+Z265+AB265+AD265+AF265+AH265+AJ265+AL265)</f>
        <v/>
      </c>
      <c r="E265" s="2179">
        <f>SUM(G265+I265+K265+M265+O265+Q265+S265+U265+W265+Y265+AA265+AC265+AE265+AG265+AI265+AK265+AM265)</f>
        <v/>
      </c>
      <c r="F265" s="2022" t="n"/>
      <c r="G265" s="2029" t="n"/>
      <c r="H265" s="2022" t="n"/>
      <c r="I265" s="2029" t="n"/>
      <c r="J265" s="2022" t="n"/>
      <c r="K265" s="2029" t="n"/>
      <c r="L265" s="2022" t="n"/>
      <c r="M265" s="2029" t="n"/>
      <c r="N265" s="2022" t="n"/>
      <c r="O265" s="2029" t="n"/>
      <c r="P265" s="2022" t="n"/>
      <c r="Q265" s="2029" t="n"/>
      <c r="R265" s="2022" t="n"/>
      <c r="S265" s="2029" t="n"/>
      <c r="T265" s="2022" t="n">
        <v>1</v>
      </c>
      <c r="U265" s="2029" t="n"/>
      <c r="V265" s="2022" t="n"/>
      <c r="W265" s="2029" t="n"/>
      <c r="X265" s="2022" t="n"/>
      <c r="Y265" s="2029" t="n"/>
      <c r="Z265" s="2022" t="n"/>
      <c r="AA265" s="2029" t="n"/>
      <c r="AB265" s="2022" t="n"/>
      <c r="AC265" s="2029" t="n"/>
      <c r="AD265" s="2022" t="n"/>
      <c r="AE265" s="2029" t="n"/>
      <c r="AF265" s="2022" t="n"/>
      <c r="AG265" s="2029" t="n"/>
      <c r="AH265" s="2022" t="n"/>
      <c r="AI265" s="2029" t="n"/>
      <c r="AJ265" s="2014" t="n"/>
      <c r="AK265" s="2019" t="n"/>
      <c r="AL265" s="2022" t="n"/>
      <c r="AM265" s="2115" t="n"/>
      <c r="AN265" s="1966" t="n"/>
      <c r="AO265" s="1432" t="n"/>
      <c r="AP265" s="1297" t="n"/>
      <c r="AQ265" s="4512" t="n">
        <v>0</v>
      </c>
      <c r="AR265" s="5189" t="n">
        <v>0</v>
      </c>
      <c r="AS265" s="3503" t="n">
        <v>0</v>
      </c>
      <c r="AT265" s="2029" t="n">
        <v>0</v>
      </c>
      <c r="AU265" s="2023" t="n">
        <v>0</v>
      </c>
      <c r="AV265" s="2029" t="n">
        <v>0</v>
      </c>
      <c r="AW265" s="2023" t="n">
        <v>0</v>
      </c>
      <c r="AX265" s="2029" t="n">
        <v>0</v>
      </c>
      <c r="AY265" s="5">
        <f>CA265&amp;CB265&amp;CC265&amp;CD265&amp;CE265&amp;CF265&amp;CG265&amp;CH265&amp;CI265</f>
        <v/>
      </c>
      <c r="AZ265" s="5" t="n"/>
      <c r="BA265" s="5" t="n"/>
      <c r="BB265" s="5" t="n"/>
      <c r="BC265" s="5" t="n"/>
      <c r="BD265" s="5" t="n"/>
      <c r="BE265" s="5" t="n"/>
      <c r="BF265" s="5" t="n"/>
      <c r="BG265" s="5" t="n"/>
      <c r="BH265" s="5" t="n"/>
      <c r="BI265" s="5" t="n"/>
      <c r="BJ265" s="5" t="n"/>
      <c r="BK265" s="5" t="n"/>
      <c r="BL265" s="5" t="n"/>
      <c r="BM265" s="5" t="n"/>
      <c r="BN265" s="5" t="n"/>
      <c r="BO265" s="5" t="n"/>
      <c r="CA265" s="17" t="n"/>
      <c r="CB265" s="90">
        <f>IF(AND(E265&gt;0,AQ265=""), "* No olvide digitar la variable Gestantes. Digite Cero si no tiene.",IF(AQ265&gt;E265,"  * La variable Gestantes No puede ser mayor al Total Mujeres.",""))</f>
        <v/>
      </c>
      <c r="CC265" s="90">
        <f>IF(AND(E265&gt;0,AR265=""), "* No olvide digitar la variable Madre de hijo menor de 5 años. Digite Cero si no tiene.",IF(AR265&gt;E265,"  * La variable Madre de hijo menor de 5 años No puede ser mayor al Total Mujeres.",""))</f>
        <v/>
      </c>
      <c r="CD265" s="90">
        <f>IF(AND(D265&gt;0,OR(AS265="")), "* No olvide digitar la variable Pueblos originarios Hombres. Digite Cero si no tiene.",IF(AS265&gt;D265,"  * La variable Pueblos originarios Hombres No puede ser mayor al Total Hombres.",""))</f>
        <v/>
      </c>
      <c r="CE265" s="90">
        <f>IF(AND(E265&gt;0,OR(AT265="")), "* No olvide digitar la variable Pueblos originarios Mujeres. Digite Cero si no tiene.",IF(AT265&gt;E265,"  * La variable Pueblos originarios Mujeres No puede ser mayor al Total Mujeres.",""))</f>
        <v/>
      </c>
      <c r="CF265" s="90">
        <f>IF(AND(C265&gt;0,AU265=""), "* No olvide digitar la variable SENAME/ Servicio Nacional de Reinserción social Juvenil . Digite Cero si no tiene.",IF(AU265&gt;C265,"  * La variable SENAME/ Servicio Nacional de Reinserción social Juvenil  No puede ser mayor al Total.",""))</f>
        <v/>
      </c>
      <c r="CG265" s="90">
        <f>IF(AND(C265&gt;0,AV265=""), "* No olvide digitar la variable Servicio Nacional Protección Especializada a la Niñez y Adolescencia. Digite Cero si no tiene.",IF(AV265&gt;C265,"  * La variable NServicio Nacional Protección Especializada a la Niñez y Adolescencia No puede ser mayor al Total.",""))</f>
        <v/>
      </c>
      <c r="CH265" s="90">
        <f>IF(AND(C265&gt;0,AW265=""), "* No olvide digitar la variable Migrantes. Digite Cero si no tiene.",IF(AW265&gt;C265,"  * La variable Migrantes No puede ser mayor al Total.",""))</f>
        <v/>
      </c>
      <c r="CI265" s="90">
        <f>IF(AND(C265&gt;0,AX265=""), "* No olvide digitar la variable Trans (Masculino/ Femenino). Digite Cero si no tiene.",IF(AX265&gt;C265,"  * La variable Trans (Masculino/Femenino) No puede ser mayor al Total Ambos Sexos.",""))</f>
        <v/>
      </c>
      <c r="CP265" s="29">
        <f>IF(AND(E265&gt;0,AQ265=""),1,IF(AQ265&gt;E265,1,0))</f>
        <v/>
      </c>
      <c r="CQ265" s="29">
        <f>IF(AND(E265&gt;0,AR265=""),1,IF(AR265&gt;E265,1,0))</f>
        <v/>
      </c>
      <c r="CR265" s="29">
        <f>IF(AND(D265&gt;0,OR(AS265="")),1,IF(AS265&gt;D265,1,0))</f>
        <v/>
      </c>
      <c r="CS265" s="29">
        <f>IF(AND(E265&gt;0,OR(AT265="")),1,IF(AT265&gt;E265,1,0))</f>
        <v/>
      </c>
      <c r="CT265" s="29">
        <f>IF(AND(C265&gt;0,AU265=""),1,IF(AU265&gt;C265,1,0))</f>
        <v/>
      </c>
      <c r="CU265" s="29">
        <f>IF(AND(C265&gt;0,AV265=""),1,IF(AV265&gt;C265,1,0))</f>
        <v/>
      </c>
      <c r="CV265" s="29">
        <f>IF(AND(C265&gt;0,AW265=""),1,IF(AW265&gt;C265,1,0))</f>
        <v/>
      </c>
      <c r="CW265" s="29">
        <f>IF(AND(C265&gt;0,AX265=""),1,IF(AX265&gt;C265,1,0))</f>
        <v/>
      </c>
    </row>
    <row r="266">
      <c r="A266" s="9614" t="n"/>
      <c r="B266" s="7750" t="inlineStr">
        <is>
          <t>Consumo Dependiente del Alcohol</t>
        </is>
      </c>
      <c r="C266" s="1283">
        <f>SUM(D266+E266)</f>
        <v/>
      </c>
      <c r="D266" s="2197">
        <f>SUM(F266+H266+J266+L266+N266+P266+R266+T266+V266+X266+Z266+AB266+AD266+AF266+AH266+AJ266+AL266)</f>
        <v/>
      </c>
      <c r="E266" s="7750">
        <f>SUM(G266+I266+K266+M266+O266+Q266+S266+U266+W266+Y266+AA266+AC266+AE266+AG266+AI266+AK266+AM266)</f>
        <v/>
      </c>
      <c r="F266" s="1172" t="n"/>
      <c r="G266" s="1173" t="n"/>
      <c r="H266" s="1172" t="n"/>
      <c r="I266" s="1173" t="n"/>
      <c r="J266" s="1172" t="n"/>
      <c r="K266" s="1173" t="n"/>
      <c r="L266" s="1172" t="n"/>
      <c r="M266" s="1173" t="n"/>
      <c r="N266" s="1172" t="n"/>
      <c r="O266" s="1173" t="n"/>
      <c r="P266" s="1172" t="n"/>
      <c r="Q266" s="1173" t="n"/>
      <c r="R266" s="1172" t="n"/>
      <c r="S266" s="1173" t="n"/>
      <c r="T266" s="1172" t="n"/>
      <c r="U266" s="1173" t="n"/>
      <c r="V266" s="1172" t="n"/>
      <c r="W266" s="1173" t="n"/>
      <c r="X266" s="1172" t="n"/>
      <c r="Y266" s="1173" t="n"/>
      <c r="Z266" s="1172" t="n"/>
      <c r="AA266" s="1173" t="n"/>
      <c r="AB266" s="1172" t="n"/>
      <c r="AC266" s="1173" t="n"/>
      <c r="AD266" s="1172" t="n"/>
      <c r="AE266" s="1173" t="n"/>
      <c r="AF266" s="1172" t="n"/>
      <c r="AG266" s="1173" t="n"/>
      <c r="AH266" s="1172" t="n"/>
      <c r="AI266" s="1173" t="n"/>
      <c r="AJ266" s="1179" t="n"/>
      <c r="AK266" s="1180" t="n"/>
      <c r="AL266" s="1172" t="n"/>
      <c r="AM266" s="1222" t="n"/>
      <c r="AN266" s="1966" t="n"/>
      <c r="AO266" s="1432" t="n"/>
      <c r="AP266" s="1297" t="n"/>
      <c r="AQ266" s="3895" t="n">
        <v>0</v>
      </c>
      <c r="AR266" s="3892" t="n">
        <v>0</v>
      </c>
      <c r="AS266" s="3789" t="n">
        <v>0</v>
      </c>
      <c r="AT266" s="1173" t="n">
        <v>0</v>
      </c>
      <c r="AU266" s="1174" t="n">
        <v>0</v>
      </c>
      <c r="AV266" s="1173" t="n">
        <v>0</v>
      </c>
      <c r="AW266" s="1174" t="n">
        <v>0</v>
      </c>
      <c r="AX266" s="1173" t="n">
        <v>0</v>
      </c>
      <c r="AY266" s="5">
        <f>CA266&amp;CB266&amp;CC266&amp;CD266&amp;CE266&amp;CF266&amp;CG266&amp;CH266&amp;CI266</f>
        <v/>
      </c>
      <c r="AZ266" s="5" t="n"/>
      <c r="BA266" s="5" t="n"/>
      <c r="BB266" s="5" t="n"/>
      <c r="BC266" s="5" t="n"/>
      <c r="BD266" s="5" t="n"/>
      <c r="BE266" s="5" t="n"/>
      <c r="BF266" s="5" t="n"/>
      <c r="BG266" s="5" t="n"/>
      <c r="BH266" s="5" t="n"/>
      <c r="BI266" s="5" t="n"/>
      <c r="BJ266" s="5" t="n"/>
      <c r="BK266" s="5" t="n"/>
      <c r="BL266" s="5" t="n"/>
      <c r="BM266" s="5" t="n"/>
      <c r="BN266" s="5" t="n"/>
      <c r="BO266" s="5" t="n"/>
      <c r="CA266" s="17" t="n"/>
      <c r="CB266" s="90">
        <f>IF(AND(E266&gt;0,AQ266=""), "* No olvide digitar la variable Gestantes. Digite Cero si no tiene.",IF(AQ266&gt;E266,"  * La variable Gestantes No puede ser mayor al Total Mujeres.",""))</f>
        <v/>
      </c>
      <c r="CC266" s="90">
        <f>IF(AND(E266&gt;0,AR266=""), "* No olvide digitar la variable Madre de hijo menor de 5 años. Digite Cero si no tiene.",IF(AR266&gt;E266,"  * La variable Madre de hijo menor de 5 años No puede ser mayor al Total Mujeres.",""))</f>
        <v/>
      </c>
      <c r="CD266" s="90">
        <f>IF(AND(D266&gt;0,OR(AS266="")), "* No olvide digitar la variable Pueblos originarios Hombres. Digite Cero si no tiene.",IF(AS266&gt;D266,"  * La variable Pueblos originarios Hombres No puede ser mayor al Total Hombres.",""))</f>
        <v/>
      </c>
      <c r="CE266" s="90">
        <f>IF(AND(E266&gt;0,OR(AT266="")), "* No olvide digitar la variable Pueblos originarios Mujeres. Digite Cero si no tiene.",IF(AT266&gt;E266,"  * La variable Pueblos originarios Mujeres No puede ser mayor al Total Mujeres.",""))</f>
        <v/>
      </c>
      <c r="CF266" s="90">
        <f>IF(AND(C266&gt;0,AU266=""), "* No olvide digitar la variable SENAME/ Servicio Nacional de Reinserción social Juvenil . Digite Cero si no tiene.",IF(AU266&gt;C266,"  * La variable SENAME/ Servicio Nacional de Reinserción social Juvenil  No puede ser mayor al Total.",""))</f>
        <v/>
      </c>
      <c r="CG266" s="90">
        <f>IF(AND(C266&gt;0,AV266=""), "* No olvide digitar la variable Servicio Nacional Protección Especializada a la Niñez y Adolescencia. Digite Cero si no tiene.",IF(AV266&gt;C266,"  * La variable NServicio Nacional Protección Especializada a la Niñez y Adolescencia No puede ser mayor al Total.",""))</f>
        <v/>
      </c>
      <c r="CH266" s="90">
        <f>IF(AND(C266&gt;0,AW266=""), "* No olvide digitar la variable Migrantes. Digite Cero si no tiene.",IF(AW266&gt;C266,"  * La variable Migrantes No puede ser mayor al Total.",""))</f>
        <v/>
      </c>
      <c r="CI266" s="90">
        <f>IF(AND(C266&gt;0,AX266=""), "* No olvide digitar la variable Trans (Masculino/ Femenino). Digite Cero si no tiene.",IF(AX266&gt;C266,"  * La variable Trans (Masculino/Femenino) No puede ser mayor al Total Ambos Sexos.",""))</f>
        <v/>
      </c>
      <c r="CP266" s="29">
        <f>IF(AND(E266&gt;0,AQ266=""),1,IF(AQ266&gt;E266,1,0))</f>
        <v/>
      </c>
      <c r="CQ266" s="29">
        <f>IF(AND(E266&gt;0,AR266=""),1,IF(AR266&gt;E266,1,0))</f>
        <v/>
      </c>
      <c r="CR266" s="29">
        <f>IF(AND(D266&gt;0,OR(AS266="")),1,IF(AS266&gt;D266,1,0))</f>
        <v/>
      </c>
      <c r="CS266" s="29">
        <f>IF(AND(E266&gt;0,OR(AT266="")),1,IF(AT266&gt;E266,1,0))</f>
        <v/>
      </c>
      <c r="CT266" s="29">
        <f>IF(AND(C266&gt;0,AU266=""),1,IF(AU266&gt;C266,1,0))</f>
        <v/>
      </c>
      <c r="CU266" s="29">
        <f>IF(AND(C266&gt;0,AV266=""),1,IF(AV266&gt;C266,1,0))</f>
        <v/>
      </c>
      <c r="CV266" s="29">
        <f>IF(AND(C266&gt;0,AW266=""),1,IF(AW266&gt;C266,1,0))</f>
        <v/>
      </c>
      <c r="CW266" s="29">
        <f>IF(AND(C266&gt;0,AX266=""),1,IF(AX266&gt;C266,1,0))</f>
        <v/>
      </c>
    </row>
    <row r="267">
      <c r="A267" s="9614" t="n"/>
      <c r="B267" s="1365" t="inlineStr">
        <is>
          <t>Consumo Perjudicial de Drogas</t>
        </is>
      </c>
      <c r="C267" s="1363">
        <f>SUM(D267+E267)</f>
        <v/>
      </c>
      <c r="D267" s="1364">
        <f>SUM(F267+H267+J267+L267+N267+P267+R267+T267+V267+X267+Z267+AB267+AD267+AF267+AH267+AJ267+AL267)</f>
        <v/>
      </c>
      <c r="E267" s="1365">
        <f>SUM(G267+I267+K267+M267+O267+Q267+S267+U267+W267+Y267+AA267+AC267+AE267+AG267+AI267+AK267+AM267)</f>
        <v/>
      </c>
      <c r="F267" s="1179" t="n"/>
      <c r="G267" s="1180" t="n"/>
      <c r="H267" s="1179" t="n"/>
      <c r="I267" s="1180" t="n"/>
      <c r="J267" s="1179" t="n"/>
      <c r="K267" s="1180" t="n"/>
      <c r="L267" s="1179" t="n"/>
      <c r="M267" s="1180" t="n"/>
      <c r="N267" s="1179" t="n"/>
      <c r="O267" s="1180" t="n"/>
      <c r="P267" s="1179" t="n"/>
      <c r="Q267" s="1180" t="n"/>
      <c r="R267" s="1179" t="n"/>
      <c r="S267" s="1180" t="n"/>
      <c r="T267" s="1179" t="n"/>
      <c r="U267" s="1180" t="n"/>
      <c r="V267" s="1179" t="n"/>
      <c r="W267" s="1180" t="n"/>
      <c r="X267" s="1179" t="n"/>
      <c r="Y267" s="1180" t="n"/>
      <c r="Z267" s="1179" t="n"/>
      <c r="AA267" s="1180" t="n"/>
      <c r="AB267" s="1179" t="n"/>
      <c r="AC267" s="1180" t="n"/>
      <c r="AD267" s="1179" t="n"/>
      <c r="AE267" s="1180" t="n"/>
      <c r="AF267" s="1179" t="n"/>
      <c r="AG267" s="1180" t="n"/>
      <c r="AH267" s="1179" t="n"/>
      <c r="AI267" s="1180" t="n"/>
      <c r="AJ267" s="1179" t="n"/>
      <c r="AK267" s="1180" t="n"/>
      <c r="AL267" s="1179" t="n"/>
      <c r="AM267" s="35" t="n"/>
      <c r="AN267" s="887" t="n"/>
      <c r="AO267" s="1174" t="n"/>
      <c r="AP267" s="1221" t="n"/>
      <c r="AQ267" s="35" t="n">
        <v>0</v>
      </c>
      <c r="AR267" s="1229" t="n">
        <v>0</v>
      </c>
      <c r="AS267" s="1181" t="n">
        <v>0</v>
      </c>
      <c r="AT267" s="1180" t="n">
        <v>0</v>
      </c>
      <c r="AU267" s="1181" t="n">
        <v>0</v>
      </c>
      <c r="AV267" s="1180" t="n">
        <v>0</v>
      </c>
      <c r="AW267" s="1181" t="n">
        <v>0</v>
      </c>
      <c r="AX267" s="1180" t="n">
        <v>0</v>
      </c>
      <c r="AY267" s="5">
        <f>CA267&amp;CB267&amp;CC267&amp;CD267&amp;CE267&amp;CF267&amp;CG267&amp;CH267&amp;CI267</f>
        <v/>
      </c>
      <c r="AZ267" s="5" t="n"/>
      <c r="BA267" s="5" t="n"/>
      <c r="BB267" s="5" t="n"/>
      <c r="BC267" s="5" t="n"/>
      <c r="BD267" s="5" t="n"/>
      <c r="BE267" s="5" t="n"/>
      <c r="BF267" s="5" t="n"/>
      <c r="BG267" s="5" t="n"/>
      <c r="BH267" s="5" t="n"/>
      <c r="BI267" s="5" t="n"/>
      <c r="BJ267" s="5" t="n"/>
      <c r="BK267" s="5" t="n"/>
      <c r="BL267" s="5" t="n"/>
      <c r="BM267" s="5" t="n"/>
      <c r="BN267" s="5" t="n"/>
      <c r="BO267" s="5" t="n"/>
      <c r="CA267" s="17" t="n"/>
      <c r="CB267" s="90">
        <f>IF(AND(E267&gt;0,AQ267=""), "* No olvide digitar la variable Gestantes. Digite Cero si no tiene.",IF(AQ267&gt;E267,"  * La variable Gestantes No puede ser mayor al Total Mujeres.",""))</f>
        <v/>
      </c>
      <c r="CC267" s="90">
        <f>IF(AND(E267&gt;0,AR267=""), "* No olvide digitar la variable Madre de hijo menor de 5 años. Digite Cero si no tiene.",IF(AR267&gt;E267,"  * La variable Madre de hijo menor de 5 años No puede ser mayor al Total Mujeres.",""))</f>
        <v/>
      </c>
      <c r="CD267" s="90">
        <f>IF(AND(D267&gt;0,OR(AS267="")), "* No olvide digitar la variable Pueblos originarios Hombres. Digite Cero si no tiene.",IF(AS267&gt;D267,"  * La variable Pueblos originarios Hombres No puede ser mayor al Total Hombres.",""))</f>
        <v/>
      </c>
      <c r="CE267" s="90">
        <f>IF(AND(E267&gt;0,OR(AT267="")), "* No olvide digitar la variable Pueblos originarios Mujeres. Digite Cero si no tiene.",IF(AT267&gt;E267,"  * La variable Pueblos originarios Mujeres No puede ser mayor al Total Mujeres.",""))</f>
        <v/>
      </c>
      <c r="CF267" s="90">
        <f>IF(AND(C267&gt;0,AU267=""), "* No olvide digitar la variable SENAME/ Servicio Nacional de Reinserción social Juvenil . Digite Cero si no tiene.",IF(AU267&gt;C267,"  * La variable SENAME/ Servicio Nacional de Reinserción social Juvenil  No puede ser mayor al Total.",""))</f>
        <v/>
      </c>
      <c r="CG267" s="90">
        <f>IF(AND(C267&gt;0,AV267=""), "* No olvide digitar la variable Servicio Nacional Protección Especializada a la Niñez y Adolescencia. Digite Cero si no tiene.",IF(AV267&gt;C267,"  * La variable NServicio Nacional Protección Especializada a la Niñez y Adolescencia No puede ser mayor al Total.",""))</f>
        <v/>
      </c>
      <c r="CH267" s="90">
        <f>IF(AND(C267&gt;0,AW267=""), "* No olvide digitar la variable Migrantes. Digite Cero si no tiene.",IF(AW267&gt;C267,"  * La variable Migrantes No puede ser mayor al Total.",""))</f>
        <v/>
      </c>
      <c r="CI267" s="90">
        <f>IF(AND(C267&gt;0,AX267=""), "* No olvide digitar la variable Trans (Masculino/ Femenino). Digite Cero si no tiene.",IF(AX267&gt;C267,"  * La variable Trans (Masculino/Femenino) No puede ser mayor al Total Ambos Sexos.",""))</f>
        <v/>
      </c>
      <c r="CP267" s="29">
        <f>IF(AND(E267&gt;0,AQ267=""),1,IF(AQ267&gt;E267,1,0))</f>
        <v/>
      </c>
      <c r="CQ267" s="29">
        <f>IF(AND(E267&gt;0,AR267=""),1,IF(AR267&gt;E267,1,0))</f>
        <v/>
      </c>
      <c r="CR267" s="29">
        <f>IF(AND(D267&gt;0,OR(AS267="")),1,IF(AS267&gt;D267,1,0))</f>
        <v/>
      </c>
      <c r="CS267" s="29">
        <f>IF(AND(E267&gt;0,OR(AT267="")),1,IF(AT267&gt;E267,1,0))</f>
        <v/>
      </c>
      <c r="CT267" s="29">
        <f>IF(AND(C267&gt;0,AU267=""),1,IF(AU267&gt;C267,1,0))</f>
        <v/>
      </c>
      <c r="CU267" s="29">
        <f>IF(AND(C267&gt;0,AV267=""),1,IF(AV267&gt;C267,1,0))</f>
        <v/>
      </c>
      <c r="CV267" s="29">
        <f>IF(AND(C267&gt;0,AW267=""),1,IF(AW267&gt;C267,1,0))</f>
        <v/>
      </c>
      <c r="CW267" s="29">
        <f>IF(AND(C267&gt;0,AX267=""),1,IF(AX267&gt;C267,1,0))</f>
        <v/>
      </c>
    </row>
    <row r="268">
      <c r="A268" s="9614" t="n"/>
      <c r="B268" s="1365" t="inlineStr">
        <is>
          <t>Consumo Dependiente de Drogas</t>
        </is>
      </c>
      <c r="C268" s="1363">
        <f>SUM(D268+E268)</f>
        <v/>
      </c>
      <c r="D268" s="1364">
        <f>SUM(F268+H268+J268+L268+N268+P268+R268+T268+V268+X268+Z268+AB268+AD268+AF268+AH268+AJ268+AL268)</f>
        <v/>
      </c>
      <c r="E268" s="1365">
        <f>SUM(G268+I268+K268+M268+O268+Q268+S268+U268+W268+Y268+AA268+AC268+AE268+AG268+AI268+AK268+AM268)</f>
        <v/>
      </c>
      <c r="F268" s="1179" t="n"/>
      <c r="G268" s="1180" t="n"/>
      <c r="H268" s="1179" t="n"/>
      <c r="I268" s="1180" t="n"/>
      <c r="J268" s="1179" t="n"/>
      <c r="K268" s="1180" t="n"/>
      <c r="L268" s="1179" t="n"/>
      <c r="M268" s="1180" t="n"/>
      <c r="N268" s="1179" t="n"/>
      <c r="O268" s="1180" t="n"/>
      <c r="P268" s="1179" t="n"/>
      <c r="Q268" s="1180" t="n"/>
      <c r="R268" s="1179" t="n"/>
      <c r="S268" s="1180" t="n"/>
      <c r="T268" s="1179" t="n"/>
      <c r="U268" s="1180" t="n"/>
      <c r="V268" s="1179" t="n"/>
      <c r="W268" s="1180" t="n"/>
      <c r="X268" s="1179" t="n"/>
      <c r="Y268" s="1180" t="n"/>
      <c r="Z268" s="1179" t="n"/>
      <c r="AA268" s="1180" t="n"/>
      <c r="AB268" s="1179" t="n"/>
      <c r="AC268" s="1180" t="n"/>
      <c r="AD268" s="1179" t="n"/>
      <c r="AE268" s="1180" t="n"/>
      <c r="AF268" s="1179" t="n"/>
      <c r="AG268" s="1180" t="n"/>
      <c r="AH268" s="1179" t="n"/>
      <c r="AI268" s="1180" t="n"/>
      <c r="AJ268" s="1179" t="n"/>
      <c r="AK268" s="1180" t="n"/>
      <c r="AL268" s="1179" t="n"/>
      <c r="AM268" s="35" t="n"/>
      <c r="AN268" s="42" t="n"/>
      <c r="AO268" s="204" t="n"/>
      <c r="AP268" s="43" t="n"/>
      <c r="AQ268" s="35" t="n">
        <v>0</v>
      </c>
      <c r="AR268" s="1229" t="n">
        <v>0</v>
      </c>
      <c r="AS268" s="1181" t="n">
        <v>0</v>
      </c>
      <c r="AT268" s="1180" t="n">
        <v>0</v>
      </c>
      <c r="AU268" s="1181" t="n">
        <v>0</v>
      </c>
      <c r="AV268" s="1180" t="n">
        <v>0</v>
      </c>
      <c r="AW268" s="1181" t="n">
        <v>0</v>
      </c>
      <c r="AX268" s="1180" t="n">
        <v>0</v>
      </c>
      <c r="AY268" s="5">
        <f>CA268&amp;CB268&amp;CC268&amp;CD268&amp;CE268&amp;CF268&amp;CG268&amp;CH268&amp;CI268</f>
        <v/>
      </c>
      <c r="AZ268" s="5" t="n"/>
      <c r="BA268" s="5" t="n"/>
      <c r="BB268" s="5" t="n"/>
      <c r="BC268" s="5" t="n"/>
      <c r="BD268" s="5" t="n"/>
      <c r="BE268" s="5" t="n"/>
      <c r="BF268" s="5" t="n"/>
      <c r="BG268" s="5" t="n"/>
      <c r="BH268" s="5" t="n"/>
      <c r="BI268" s="5" t="n"/>
      <c r="BJ268" s="5" t="n"/>
      <c r="BK268" s="5" t="n"/>
      <c r="BL268" s="5" t="n"/>
      <c r="BM268" s="5" t="n"/>
      <c r="BN268" s="5" t="n"/>
      <c r="BO268" s="5" t="n"/>
      <c r="CA268" s="17" t="n"/>
      <c r="CB268" s="90">
        <f>IF(AND(E268&gt;0,AQ268=""), "* No olvide digitar la variable Gestantes. Digite Cero si no tiene.",IF(AQ268&gt;E268,"  * La variable Gestantes No puede ser mayor al Total Mujeres.",""))</f>
        <v/>
      </c>
      <c r="CC268" s="90">
        <f>IF(AND(E268&gt;0,AR268=""), "* No olvide digitar la variable Madre de hijo menor de 5 años. Digite Cero si no tiene.",IF(AR268&gt;E268,"  * La variable Madre de hijo menor de 5 años No puede ser mayor al Total Mujeres.",""))</f>
        <v/>
      </c>
      <c r="CD268" s="90">
        <f>IF(AND(D268&gt;0,OR(AS268="")), "* No olvide digitar la variable Pueblos originarios Hombres. Digite Cero si no tiene.",IF(AS268&gt;D268,"  * La variable Pueblos originarios Hombres No puede ser mayor al Total Hombres.",""))</f>
        <v/>
      </c>
      <c r="CE268" s="90">
        <f>IF(AND(E268&gt;0,OR(AT268="")), "* No olvide digitar la variable Pueblos originarios Mujeres. Digite Cero si no tiene.",IF(AT268&gt;E268,"  * La variable Pueblos originarios Mujeres No puede ser mayor al Total Mujeres.",""))</f>
        <v/>
      </c>
      <c r="CF268" s="90">
        <f>IF(AND(C268&gt;0,AU268=""), "* No olvide digitar la variable SENAME/ Servicio Nacional de Reinserción social Juvenil . Digite Cero si no tiene.",IF(AU268&gt;C268,"  * La variable SENAME/ Servicio Nacional de Reinserción social Juvenil  No puede ser mayor al Total.",""))</f>
        <v/>
      </c>
      <c r="CG268" s="90">
        <f>IF(AND(C268&gt;0,AV268=""), "* No olvide digitar la variable Servicio Nacional Protección Especializada a la Niñez y Adolescencia. Digite Cero si no tiene.",IF(AV268&gt;C268,"  * La variable NServicio Nacional Protección Especializada a la Niñez y Adolescencia No puede ser mayor al Total.",""))</f>
        <v/>
      </c>
      <c r="CH268" s="90">
        <f>IF(AND(C268&gt;0,AW268=""), "* No olvide digitar la variable Migrantes. Digite Cero si no tiene.",IF(AW268&gt;C268,"  * La variable Migrantes No puede ser mayor al Total.",""))</f>
        <v/>
      </c>
      <c r="CI268" s="90">
        <f>IF(AND(C268&gt;0,AX268=""), "* No olvide digitar la variable Trans (Masculino/ Femenino). Digite Cero si no tiene.",IF(AX268&gt;C268,"  * La variable Trans (Masculino/Femenino) No puede ser mayor al Total Ambos Sexos.",""))</f>
        <v/>
      </c>
      <c r="CP268" s="29">
        <f>IF(AND(E268&gt;0,AQ268=""),1,IF(AQ268&gt;E268,1,0))</f>
        <v/>
      </c>
      <c r="CQ268" s="29">
        <f>IF(AND(E268&gt;0,AR268=""),1,IF(AR268&gt;E268,1,0))</f>
        <v/>
      </c>
      <c r="CR268" s="29">
        <f>IF(AND(D268&gt;0,OR(AS268="")),1,IF(AS268&gt;D268,1,0))</f>
        <v/>
      </c>
      <c r="CS268" s="29">
        <f>IF(AND(E268&gt;0,OR(AT268="")),1,IF(AT268&gt;E268,1,0))</f>
        <v/>
      </c>
      <c r="CT268" s="29">
        <f>IF(AND(C268&gt;0,AU268=""),1,IF(AU268&gt;C268,1,0))</f>
        <v/>
      </c>
      <c r="CU268" s="29">
        <f>IF(AND(C268&gt;0,AV268=""),1,IF(AV268&gt;C268,1,0))</f>
        <v/>
      </c>
      <c r="CV268" s="29">
        <f>IF(AND(C268&gt;0,AW268=""),1,IF(AW268&gt;C268,1,0))</f>
        <v/>
      </c>
      <c r="CW268" s="29">
        <f>IF(AND(C268&gt;0,AX268=""),1,IF(AX268&gt;C268,1,0))</f>
        <v/>
      </c>
    </row>
    <row r="269">
      <c r="A269" s="9610" t="n"/>
      <c r="B269" s="7752" t="inlineStr">
        <is>
          <t>Consumo de Drogas y Alcohol</t>
        </is>
      </c>
      <c r="C269" s="1352">
        <f>SUM(D269+E269)</f>
        <v/>
      </c>
      <c r="D269" s="1353">
        <f>SUM(F269+H269+J269+L269+N269+P269+R269+T269+V269+X269+Z269+AB269+AD269+AF269+AH269+AJ269+AL269)</f>
        <v/>
      </c>
      <c r="E269" s="7752">
        <f>SUM(G269+I269+K269+M269+O269+Q269+S269+U269+W269+Y269+AA269+AC269+AE269+AG269+AI269+AK269+AM269)</f>
        <v/>
      </c>
      <c r="F269" s="1188" t="n"/>
      <c r="G269" s="1192" t="n"/>
      <c r="H269" s="1188" t="n"/>
      <c r="I269" s="1192" t="n"/>
      <c r="J269" s="1188" t="n"/>
      <c r="K269" s="1192" t="n"/>
      <c r="L269" s="1188" t="n"/>
      <c r="M269" s="1192" t="n"/>
      <c r="N269" s="1188" t="n"/>
      <c r="O269" s="1192" t="n"/>
      <c r="P269" s="1188" t="n"/>
      <c r="Q269" s="1192" t="n"/>
      <c r="R269" s="1188" t="n"/>
      <c r="S269" s="1192" t="n"/>
      <c r="T269" s="1188" t="n"/>
      <c r="U269" s="1192" t="n"/>
      <c r="V269" s="1188" t="n"/>
      <c r="W269" s="1192" t="n"/>
      <c r="X269" s="1188" t="n"/>
      <c r="Y269" s="1192" t="n"/>
      <c r="Z269" s="1188" t="n"/>
      <c r="AA269" s="1192" t="n"/>
      <c r="AB269" s="1188" t="n"/>
      <c r="AC269" s="1192" t="n"/>
      <c r="AD269" s="1188" t="n"/>
      <c r="AE269" s="1192" t="n"/>
      <c r="AF269" s="1188" t="n"/>
      <c r="AG269" s="1192" t="n"/>
      <c r="AH269" s="1188" t="n"/>
      <c r="AI269" s="1192" t="n"/>
      <c r="AJ269" s="1188" t="n"/>
      <c r="AK269" s="1192" t="n"/>
      <c r="AL269" s="1188" t="n"/>
      <c r="AM269" s="1227" t="n"/>
      <c r="AN269" s="1225" t="n"/>
      <c r="AO269" s="1193" t="n"/>
      <c r="AP269" s="1226" t="n"/>
      <c r="AQ269" s="1227" t="n">
        <v>0</v>
      </c>
      <c r="AR269" s="1223" t="n">
        <v>0</v>
      </c>
      <c r="AS269" s="1193" t="n">
        <v>0</v>
      </c>
      <c r="AT269" s="1192" t="n">
        <v>0</v>
      </c>
      <c r="AU269" s="1193" t="n">
        <v>0</v>
      </c>
      <c r="AV269" s="1192" t="n">
        <v>0</v>
      </c>
      <c r="AW269" s="1193" t="n">
        <v>0</v>
      </c>
      <c r="AX269" s="1192" t="n">
        <v>0</v>
      </c>
      <c r="AY269" s="5">
        <f>CA269&amp;CB269&amp;CC269&amp;CD269&amp;CE269&amp;CF269&amp;CG269&amp;CH269&amp;CI269</f>
        <v/>
      </c>
      <c r="AZ269" s="5" t="n"/>
      <c r="BA269" s="5" t="n"/>
      <c r="BB269" s="5" t="n"/>
      <c r="BC269" s="5" t="n"/>
      <c r="BD269" s="5" t="n"/>
      <c r="BE269" s="5" t="n"/>
      <c r="BF269" s="5" t="n"/>
      <c r="BG269" s="5" t="n"/>
      <c r="BH269" s="5" t="n"/>
      <c r="BI269" s="5" t="n"/>
      <c r="BJ269" s="5" t="n"/>
      <c r="BK269" s="5" t="n"/>
      <c r="BL269" s="5" t="n"/>
      <c r="BM269" s="5" t="n"/>
      <c r="BN269" s="5" t="n"/>
      <c r="BO269" s="5" t="n"/>
      <c r="CA269" s="17" t="n"/>
      <c r="CB269" s="90">
        <f>IF(AND(E269&gt;0,AQ269=""), "* No olvide digitar la variable Gestantes. Digite Cero si no tiene.",IF(AQ269&gt;E269,"  * La variable Gestantes No puede ser mayor al Total Mujeres.",""))</f>
        <v/>
      </c>
      <c r="CC269" s="90">
        <f>IF(AND(E269&gt;0,AR269=""), "* No olvide digitar la variable Madre de hijo menor de 5 años. Digite Cero si no tiene.",IF(AR269&gt;E269,"  * La variable Madre de hijo menor de 5 años No puede ser mayor al Total Mujeres.",""))</f>
        <v/>
      </c>
      <c r="CD269" s="90">
        <f>IF(AND(D269&gt;0,OR(AS269="")), "* No olvide digitar la variable Pueblos originarios Hombres. Digite Cero si no tiene.",IF(AS269&gt;D269,"  * La variable Pueblos originarios Hombres No puede ser mayor al Total Hombres.",""))</f>
        <v/>
      </c>
      <c r="CE269" s="90">
        <f>IF(AND(E269&gt;0,OR(AT269="")), "* No olvide digitar la variable Pueblos originarios Mujeres. Digite Cero si no tiene.",IF(AT269&gt;E269,"  * La variable Pueblos originarios Mujeres No puede ser mayor al Total Mujeres.",""))</f>
        <v/>
      </c>
      <c r="CF269" s="90">
        <f>IF(AND(C269&gt;0,AU269=""), "* No olvide digitar la variable SENAME/ Servicio Nacional de Reinserción social Juvenil . Digite Cero si no tiene.",IF(AU269&gt;C269,"  * La variable SENAME/ Servicio Nacional de Reinserción social Juvenil  No puede ser mayor al Total.",""))</f>
        <v/>
      </c>
      <c r="CG269" s="90">
        <f>IF(AND(C269&gt;0,AV269=""), "* No olvide digitar la variable Servicio Nacional Protección Especializada a la Niñez y Adolescencia. Digite Cero si no tiene.",IF(AV269&gt;C269,"  * La variable NServicio Nacional Protección Especializada a la Niñez y Adolescencia No puede ser mayor al Total.",""))</f>
        <v/>
      </c>
      <c r="CH269" s="90">
        <f>IF(AND(C269&gt;0,AW269=""), "* No olvide digitar la variable Migrantes. Digite Cero si no tiene.",IF(AW269&gt;C269,"  * La variable Migrantes No puede ser mayor al Total.",""))</f>
        <v/>
      </c>
      <c r="CI269" s="90">
        <f>IF(AND(C269&gt;0,AX269=""), "* No olvide digitar la variable Trans (Masculino/ Femenino). Digite Cero si no tiene.",IF(AX269&gt;C269,"  * La variable Trans (Masculino/Femenino) No puede ser mayor al Total Ambos Sexos.",""))</f>
        <v/>
      </c>
      <c r="CP269" s="29">
        <f>IF(AND(E269&gt;0,AQ269=""),1,IF(AQ269&gt;E269,1,0))</f>
        <v/>
      </c>
      <c r="CQ269" s="29">
        <f>IF(AND(E269&gt;0,AR269=""),1,IF(AR269&gt;E269,1,0))</f>
        <v/>
      </c>
      <c r="CR269" s="29">
        <f>IF(AND(D269&gt;0,OR(AS269="")),1,IF(AS269&gt;D269,1,0))</f>
        <v/>
      </c>
      <c r="CS269" s="29">
        <f>IF(AND(E269&gt;0,OR(AT269="")),1,IF(AT269&gt;E269,1,0))</f>
        <v/>
      </c>
      <c r="CT269" s="29">
        <f>IF(AND(C269&gt;0,AU269=""),1,IF(AU269&gt;C269,1,0))</f>
        <v/>
      </c>
      <c r="CU269" s="29">
        <f>IF(AND(C269&gt;0,AV269=""),1,IF(AV269&gt;C269,1,0))</f>
        <v/>
      </c>
      <c r="CV269" s="29">
        <f>IF(AND(C269&gt;0,AW269=""),1,IF(AW269&gt;C269,1,0))</f>
        <v/>
      </c>
      <c r="CW269" s="29">
        <f>IF(AND(C269&gt;0,AX269=""),1,IF(AX269&gt;C269,1,0))</f>
        <v/>
      </c>
    </row>
    <row r="270" ht="15" customHeight="1" s="8286">
      <c r="A270" s="9933" t="inlineStr">
        <is>
          <t>Trastornos del Comportamiento y de las Emociones de Comienzo Habitual en la Infancia y Adolescencia</t>
        </is>
      </c>
      <c r="B270" s="2179" t="inlineStr">
        <is>
          <t>Trastorno Hipercinéticos</t>
        </is>
      </c>
      <c r="C270" s="2180">
        <f>SUM(D270+E270)</f>
        <v/>
      </c>
      <c r="D270" s="855">
        <f>SUM(F270+H270+J270+L270+N270)</f>
        <v/>
      </c>
      <c r="E270" s="2179">
        <f>SUM(G270+I270+K270+M270+O270)</f>
        <v/>
      </c>
      <c r="F270" s="2022" t="n"/>
      <c r="G270" s="2029" t="n"/>
      <c r="H270" s="2022" t="n"/>
      <c r="I270" s="2029" t="n"/>
      <c r="J270" s="2022" t="n">
        <v>2</v>
      </c>
      <c r="K270" s="2029" t="n"/>
      <c r="L270" s="2022" t="n"/>
      <c r="M270" s="2029" t="n"/>
      <c r="N270" s="2022" t="n"/>
      <c r="O270" s="2029" t="n"/>
      <c r="P270" s="2205" t="n"/>
      <c r="Q270" s="2206" t="n"/>
      <c r="R270" s="2206" t="n"/>
      <c r="S270" s="2206" t="n"/>
      <c r="T270" s="2206" t="n"/>
      <c r="U270" s="2206" t="n"/>
      <c r="V270" s="2206" t="n"/>
      <c r="W270" s="2206" t="n"/>
      <c r="X270" s="2206" t="n"/>
      <c r="Y270" s="2206" t="n"/>
      <c r="Z270" s="2206" t="n"/>
      <c r="AA270" s="2206" t="n"/>
      <c r="AB270" s="2206" t="n"/>
      <c r="AC270" s="2206" t="n"/>
      <c r="AD270" s="2206" t="n"/>
      <c r="AE270" s="2206" t="n"/>
      <c r="AF270" s="2206" t="n"/>
      <c r="AG270" s="2206" t="n"/>
      <c r="AH270" s="2206" t="n"/>
      <c r="AI270" s="2206" t="n"/>
      <c r="AJ270" s="2206" t="n"/>
      <c r="AK270" s="2206" t="n"/>
      <c r="AL270" s="2206" t="n"/>
      <c r="AM270" s="2207" t="n"/>
      <c r="AN270" s="2025" t="n"/>
      <c r="AO270" s="2023" t="n"/>
      <c r="AP270" s="1983" t="n"/>
      <c r="AQ270" s="4512" t="n">
        <v>0</v>
      </c>
      <c r="AR270" s="5383" t="n"/>
      <c r="AS270" s="3503" t="n">
        <v>0</v>
      </c>
      <c r="AT270" s="2029" t="n">
        <v>0</v>
      </c>
      <c r="AU270" s="2023" t="n">
        <v>0</v>
      </c>
      <c r="AV270" s="2029" t="n">
        <v>0</v>
      </c>
      <c r="AW270" s="2023" t="n">
        <v>0</v>
      </c>
      <c r="AX270" s="2029" t="n">
        <v>0</v>
      </c>
      <c r="AY270" s="5">
        <f>CA270&amp;CB270&amp;CC270&amp;CD270&amp;CE270&amp;CF270&amp;CG270&amp;CH270&amp;CI270</f>
        <v/>
      </c>
      <c r="AZ270" s="5" t="n"/>
      <c r="BA270" s="5" t="n"/>
      <c r="BB270" s="5" t="n"/>
      <c r="BC270" s="5" t="n"/>
      <c r="BD270" s="5" t="n"/>
      <c r="BE270" s="5" t="n"/>
      <c r="BF270" s="5" t="n"/>
      <c r="BG270" s="5" t="n"/>
      <c r="BH270" s="5" t="n"/>
      <c r="BI270" s="5" t="n"/>
      <c r="BJ270" s="5" t="n"/>
      <c r="BK270" s="5" t="n"/>
      <c r="BL270" s="5" t="n"/>
      <c r="BM270" s="5" t="n"/>
      <c r="BN270" s="5" t="n"/>
      <c r="BO270" s="5" t="n"/>
      <c r="CA270" s="17" t="n"/>
      <c r="CB270" s="90">
        <f>IF(AND(E270&gt;0,AQ270=""), "* No olvide digitar la variable Gestantes. Digite Cero si no tiene.",IF(AQ270&gt;E270,"  * La variable Gestantes No puede ser mayor al Total Mujeres.",""))</f>
        <v/>
      </c>
      <c r="CC270" s="206" t="n"/>
      <c r="CD270" s="90">
        <f>IF(AND(D270&gt;0,OR(AS270="")), "* No olvide digitar la variable Pueblos originarios Hombres. Digite Cero si no tiene.",IF(AS270&gt;D270,"  * La variable Pueblos originarios Hombres No puede ser mayor al Total Hombres.",""))</f>
        <v/>
      </c>
      <c r="CE270" s="90">
        <f>IF(AND(E270&gt;0,OR(AT270="")), "* No olvide digitar la variable Pueblos originarios Mujeres. Digite Cero si no tiene.",IF(AT270&gt;E270,"  * La variable Pueblos originarios Mujeres No puede ser mayor al Total Mujeres.",""))</f>
        <v/>
      </c>
      <c r="CF270" s="90">
        <f>IF(AND(C270&gt;0,AU270=""), "* No olvide digitar la variable SENAME/ Servicio Nacional de Reinserción social Juvenil . Digite Cero si no tiene.",IF(AU270&gt;C270,"  * La variable SENAME/ Servicio Nacional de Reinserción social Juvenil  No puede ser mayor al Total.",""))</f>
        <v/>
      </c>
      <c r="CG270" s="90">
        <f>IF(AND(C270&gt;0,AV270=""), "* No olvide digitar la variable Servicio Nacional Protección Especializada a la Niñez y Adolescencia. Digite Cero si no tiene.",IF(AV270&gt;C270,"  * La variable NServicio Nacional Protección Especializada a la Niñez y Adolescencia No puede ser mayor al Total.",""))</f>
        <v/>
      </c>
      <c r="CH270" s="90">
        <f>IF(AND(C270&gt;0,AW270=""), "* No olvide digitar la variable Migrantes. Digite Cero si no tiene.",IF(AW270&gt;C270,"  * La variable Migrantes No puede ser mayor al Total.",""))</f>
        <v/>
      </c>
      <c r="CI270" s="90">
        <f>IF(AND(C270&gt;0,AX270=""), "* No olvide digitar la variable Trans (Masculino/ Femenino). Digite Cero si no tiene.",IF(AX270&gt;C270,"  * La variable Trans (Masculino/Femenino) No puede ser mayor al Total Ambos Sexos.",""))</f>
        <v/>
      </c>
      <c r="CP270" s="29">
        <f>IF(AND(E270&gt;0,AQ270=""),1,IF(AQ270&gt;E270,1,0))</f>
        <v/>
      </c>
      <c r="CQ270" s="28" t="n"/>
      <c r="CR270" s="29">
        <f>IF(AND(D270&gt;0,OR(AS270="")),1,IF(AS270&gt;D270,1,0))</f>
        <v/>
      </c>
      <c r="CS270" s="29">
        <f>IF(AND(E270&gt;0,OR(AT270="")),1,IF(AT270&gt;E270,1,0))</f>
        <v/>
      </c>
      <c r="CT270" s="29">
        <f>IF(AND(C270&gt;0,AU270=""),1,IF(AU270&gt;C270,1,0))</f>
        <v/>
      </c>
      <c r="CU270" s="29">
        <f>IF(AND(C270&gt;0,AV270=""),1,IF(AV270&gt;C270,1,0))</f>
        <v/>
      </c>
      <c r="CV270" s="29">
        <f>IF(AND(C270&gt;0,AW270=""),1,IF(AW270&gt;C270,1,0))</f>
        <v/>
      </c>
      <c r="CW270" s="29">
        <f>IF(AND(C270&gt;0,AX270=""),1,IF(AX270&gt;C270,1,0))</f>
        <v/>
      </c>
    </row>
    <row r="271" ht="22.5" customHeight="1" s="8286">
      <c r="A271" s="9614" t="n"/>
      <c r="B271" s="7750" t="inlineStr">
        <is>
          <t>Trastorno Disocial Desafiante y Oposicionista</t>
        </is>
      </c>
      <c r="C271" s="1283">
        <f>SUM(D271+E271)</f>
        <v/>
      </c>
      <c r="D271" s="2197">
        <f>SUM(F271+H271+J271+L271+N271)</f>
        <v/>
      </c>
      <c r="E271" s="7750">
        <f>SUM(G271+I271+K271+M271+O271)</f>
        <v/>
      </c>
      <c r="F271" s="1172" t="n"/>
      <c r="G271" s="1173" t="n"/>
      <c r="H271" s="1172" t="n"/>
      <c r="I271" s="1173" t="n"/>
      <c r="J271" s="1172" t="n"/>
      <c r="K271" s="1173" t="n"/>
      <c r="L271" s="1172" t="n"/>
      <c r="M271" s="1173" t="n"/>
      <c r="N271" s="1172" t="n"/>
      <c r="O271" s="1173" t="n"/>
      <c r="P271" s="651" t="n"/>
      <c r="Q271" s="40" t="n"/>
      <c r="R271" s="40" t="n"/>
      <c r="S271" s="40" t="n"/>
      <c r="T271" s="40" t="n"/>
      <c r="U271" s="40" t="n"/>
      <c r="V271" s="40" t="n"/>
      <c r="W271" s="40" t="n"/>
      <c r="X271" s="40" t="n"/>
      <c r="Y271" s="40" t="n"/>
      <c r="Z271" s="40" t="n"/>
      <c r="AA271" s="40" t="n"/>
      <c r="AB271" s="40" t="n"/>
      <c r="AC271" s="40" t="n"/>
      <c r="AD271" s="40" t="n"/>
      <c r="AE271" s="40" t="n"/>
      <c r="AF271" s="40" t="n"/>
      <c r="AG271" s="40" t="n"/>
      <c r="AH271" s="40" t="n"/>
      <c r="AI271" s="40" t="n"/>
      <c r="AJ271" s="40" t="n"/>
      <c r="AK271" s="40" t="n"/>
      <c r="AL271" s="40" t="n"/>
      <c r="AM271" s="41" t="n"/>
      <c r="AN271" s="1966" t="n"/>
      <c r="AO271" s="1432" t="n"/>
      <c r="AP271" s="1297" t="n"/>
      <c r="AQ271" s="3895" t="n">
        <v>0</v>
      </c>
      <c r="AR271" s="5384" t="n"/>
      <c r="AS271" s="3789" t="n">
        <v>0</v>
      </c>
      <c r="AT271" s="1173" t="n">
        <v>0</v>
      </c>
      <c r="AU271" s="1174" t="n">
        <v>0</v>
      </c>
      <c r="AV271" s="1173" t="n">
        <v>0</v>
      </c>
      <c r="AW271" s="1174" t="n">
        <v>0</v>
      </c>
      <c r="AX271" s="1173" t="n">
        <v>0</v>
      </c>
      <c r="AY271" s="5">
        <f>CA271&amp;CB271&amp;CC271&amp;CD271&amp;CE271&amp;CF271&amp;CG271&amp;CH271&amp;CI271</f>
        <v/>
      </c>
      <c r="AZ271" s="5" t="n"/>
      <c r="BA271" s="5" t="n"/>
      <c r="BB271" s="5" t="n"/>
      <c r="BC271" s="5" t="n"/>
      <c r="BD271" s="5" t="n"/>
      <c r="BE271" s="5" t="n"/>
      <c r="BF271" s="5" t="n"/>
      <c r="BG271" s="5" t="n"/>
      <c r="BH271" s="5" t="n"/>
      <c r="BI271" s="5" t="n"/>
      <c r="BJ271" s="5" t="n"/>
      <c r="BK271" s="5" t="n"/>
      <c r="BL271" s="5" t="n"/>
      <c r="BM271" s="5" t="n"/>
      <c r="BN271" s="5" t="n"/>
      <c r="BO271" s="5" t="n"/>
      <c r="CA271" s="17" t="n"/>
      <c r="CB271" s="90">
        <f>IF(AND(E271&gt;0,AQ271=""), "* No olvide digitar la variable Gestantes. Digite Cero si no tiene.",IF(AQ271&gt;E271,"  * La variable Gestantes No puede ser mayor al Total Mujeres.",""))</f>
        <v/>
      </c>
      <c r="CC271" s="206" t="n"/>
      <c r="CD271" s="90">
        <f>IF(AND(D271&gt;0,OR(AS271="")), "* No olvide digitar la variable Pueblos originarios Hombres. Digite Cero si no tiene.",IF(AS271&gt;D271,"  * La variable Pueblos originarios Hombres No puede ser mayor al Total Hombres.",""))</f>
        <v/>
      </c>
      <c r="CE271" s="90">
        <f>IF(AND(E271&gt;0,OR(AT271="")), "* No olvide digitar la variable Pueblos originarios Mujeres. Digite Cero si no tiene.",IF(AT271&gt;E271,"  * La variable Pueblos originarios Mujeres No puede ser mayor al Total Mujeres.",""))</f>
        <v/>
      </c>
      <c r="CF271" s="90">
        <f>IF(AND(C271&gt;0,AU271=""), "* No olvide digitar la variable SENAME/ Servicio Nacional de Reinserción social Juvenil . Digite Cero si no tiene.",IF(AU271&gt;C271,"  * La variable SENAME/ Servicio Nacional de Reinserción social Juvenil  No puede ser mayor al Total.",""))</f>
        <v/>
      </c>
      <c r="CG271" s="90">
        <f>IF(AND(C271&gt;0,AV271=""), "* No olvide digitar la variable Servicio Nacional Protección Especializada a la Niñez y Adolescencia. Digite Cero si no tiene.",IF(AV271&gt;C271,"  * La variable NServicio Nacional Protección Especializada a la Niñez y Adolescencia No puede ser mayor al Total.",""))</f>
        <v/>
      </c>
      <c r="CH271" s="90">
        <f>IF(AND(C271&gt;0,AW271=""), "* No olvide digitar la variable Migrantes. Digite Cero si no tiene.",IF(AW271&gt;C271,"  * La variable Migrantes No puede ser mayor al Total.",""))</f>
        <v/>
      </c>
      <c r="CI271" s="90">
        <f>IF(AND(C271&gt;0,AX271=""), "* No olvide digitar la variable Trans (Masculino/ Femenino). Digite Cero si no tiene.",IF(AX271&gt;C271,"  * La variable Trans (Masculino/Femenino) No puede ser mayor al Total Ambos Sexos.",""))</f>
        <v/>
      </c>
      <c r="CP271" s="29">
        <f>IF(AND(E271&gt;0,AQ271=""),1,IF(AQ271&gt;E271,1,0))</f>
        <v/>
      </c>
      <c r="CQ271" s="28" t="n"/>
      <c r="CR271" s="29">
        <f>IF(AND(D271&gt;0,OR(AS271="")),1,IF(AS271&gt;D271,1,0))</f>
        <v/>
      </c>
      <c r="CS271" s="29">
        <f>IF(AND(E271&gt;0,OR(AT271="")),1,IF(AT271&gt;E271,1,0))</f>
        <v/>
      </c>
      <c r="CT271" s="29">
        <f>IF(AND(C271&gt;0,AU271=""),1,IF(AU271&gt;C271,1,0))</f>
        <v/>
      </c>
      <c r="CU271" s="29">
        <f>IF(AND(C271&gt;0,AV271=""),1,IF(AV271&gt;C271,1,0))</f>
        <v/>
      </c>
      <c r="CV271" s="29">
        <f>IF(AND(C271&gt;0,AW271=""),1,IF(AW271&gt;C271,1,0))</f>
        <v/>
      </c>
      <c r="CW271" s="29">
        <f>IF(AND(C271&gt;0,AX271=""),1,IF(AX271&gt;C271,1,0))</f>
        <v/>
      </c>
    </row>
    <row r="272" ht="22.5" customHeight="1" s="8286">
      <c r="A272" s="9614" t="n"/>
      <c r="B272" s="7750" t="inlineStr">
        <is>
          <t>Trastorno de Ansiedad de Separación en la Infancia</t>
        </is>
      </c>
      <c r="C272" s="1283">
        <f>SUM(D272+E272)</f>
        <v/>
      </c>
      <c r="D272" s="2197">
        <f>SUM(F272+H272+J272+L272+N272)</f>
        <v/>
      </c>
      <c r="E272" s="7750">
        <f>SUM(G272+I272+K272+M272+O272)</f>
        <v/>
      </c>
      <c r="F272" s="1172" t="n"/>
      <c r="G272" s="1173" t="n"/>
      <c r="H272" s="1172" t="n"/>
      <c r="I272" s="1173" t="n"/>
      <c r="J272" s="1172" t="n"/>
      <c r="K272" s="1173" t="n"/>
      <c r="L272" s="1172" t="n"/>
      <c r="M272" s="1173" t="n"/>
      <c r="N272" s="1172" t="n"/>
      <c r="O272" s="1173" t="n"/>
      <c r="P272" s="651" t="n"/>
      <c r="Q272" s="40" t="n"/>
      <c r="R272" s="40" t="n"/>
      <c r="S272" s="40" t="n"/>
      <c r="T272" s="40" t="n"/>
      <c r="U272" s="40" t="n"/>
      <c r="V272" s="40" t="n"/>
      <c r="W272" s="40" t="n"/>
      <c r="X272" s="40" t="n"/>
      <c r="Y272" s="40" t="n"/>
      <c r="Z272" s="40" t="n"/>
      <c r="AA272" s="40" t="n"/>
      <c r="AB272" s="40" t="n"/>
      <c r="AC272" s="40" t="n"/>
      <c r="AD272" s="40" t="n"/>
      <c r="AE272" s="40" t="n"/>
      <c r="AF272" s="40" t="n"/>
      <c r="AG272" s="40" t="n"/>
      <c r="AH272" s="40" t="n"/>
      <c r="AI272" s="40" t="n"/>
      <c r="AJ272" s="40" t="n"/>
      <c r="AK272" s="40" t="n"/>
      <c r="AL272" s="40" t="n"/>
      <c r="AM272" s="41" t="n"/>
      <c r="AN272" s="1966" t="n"/>
      <c r="AO272" s="1432" t="n"/>
      <c r="AP272" s="1297" t="n"/>
      <c r="AQ272" s="3895" t="n">
        <v>0</v>
      </c>
      <c r="AR272" s="5384" t="n"/>
      <c r="AS272" s="3789" t="n">
        <v>0</v>
      </c>
      <c r="AT272" s="1173" t="n">
        <v>0</v>
      </c>
      <c r="AU272" s="1174" t="n">
        <v>0</v>
      </c>
      <c r="AV272" s="1173" t="n">
        <v>0</v>
      </c>
      <c r="AW272" s="1174" t="n">
        <v>0</v>
      </c>
      <c r="AX272" s="1173" t="n">
        <v>0</v>
      </c>
      <c r="AY272" s="5">
        <f>CA272&amp;CB272&amp;CC272&amp;CD272&amp;CE272&amp;CF272&amp;CG272&amp;CH272&amp;CI272</f>
        <v/>
      </c>
      <c r="AZ272" s="5" t="n"/>
      <c r="BA272" s="5" t="n"/>
      <c r="BB272" s="5" t="n"/>
      <c r="BC272" s="5" t="n"/>
      <c r="BD272" s="5" t="n"/>
      <c r="BE272" s="5" t="n"/>
      <c r="BF272" s="5" t="n"/>
      <c r="BG272" s="5" t="n"/>
      <c r="BH272" s="5" t="n"/>
      <c r="BI272" s="5" t="n"/>
      <c r="BJ272" s="5" t="n"/>
      <c r="BK272" s="5" t="n"/>
      <c r="BL272" s="5" t="n"/>
      <c r="BM272" s="5" t="n"/>
      <c r="BN272" s="5" t="n"/>
      <c r="BO272" s="5" t="n"/>
      <c r="CA272" s="17" t="n"/>
      <c r="CB272" s="90">
        <f>IF(AND(E272&gt;0,AQ272=""), "* No olvide digitar la variable Gestantes. Digite Cero si no tiene.",IF(AQ272&gt;E272,"  * La variable Gestantes No puede ser mayor al Total Mujeres.",""))</f>
        <v/>
      </c>
      <c r="CC272" s="206" t="n"/>
      <c r="CD272" s="90">
        <f>IF(AND(D272&gt;0,OR(AS272="")), "* No olvide digitar la variable Pueblos originarios Hombres. Digite Cero si no tiene.",IF(AS272&gt;D272,"  * La variable Pueblos originarios Hombres No puede ser mayor al Total Hombres.",""))</f>
        <v/>
      </c>
      <c r="CE272" s="90">
        <f>IF(AND(E272&gt;0,OR(AT272="")), "* No olvide digitar la variable Pueblos originarios Mujeres. Digite Cero si no tiene.",IF(AT272&gt;E272,"  * La variable Pueblos originarios Mujeres No puede ser mayor al Total Mujeres.",""))</f>
        <v/>
      </c>
      <c r="CF272" s="90">
        <f>IF(AND(C272&gt;0,AU272=""), "* No olvide digitar la variable SENAME/ Servicio Nacional de Reinserción social Juvenil . Digite Cero si no tiene.",IF(AU272&gt;C272,"  * La variable SENAME/ Servicio Nacional de Reinserción social Juvenil  No puede ser mayor al Total.",""))</f>
        <v/>
      </c>
      <c r="CG272" s="90">
        <f>IF(AND(C272&gt;0,AV272=""), "* No olvide digitar la variable Servicio Nacional Protección Especializada a la Niñez y Adolescencia. Digite Cero si no tiene.",IF(AV272&gt;C272,"  * La variable NServicio Nacional Protección Especializada a la Niñez y Adolescencia No puede ser mayor al Total.",""))</f>
        <v/>
      </c>
      <c r="CH272" s="90">
        <f>IF(AND(C272&gt;0,AW272=""), "* No olvide digitar la variable Migrantes. Digite Cero si no tiene.",IF(AW272&gt;C272,"  * La variable Migrantes No puede ser mayor al Total.",""))</f>
        <v/>
      </c>
      <c r="CI272" s="90">
        <f>IF(AND(C272&gt;0,AX272=""), "* No olvide digitar la variable Trans (Masculino/ Femenino). Digite Cero si no tiene.",IF(AX272&gt;C272,"  * La variable Trans (Masculino/Femenino) No puede ser mayor al Total Ambos Sexos.",""))</f>
        <v/>
      </c>
      <c r="CP272" s="29">
        <f>IF(AND(E272&gt;0,AQ272=""),1,IF(AQ272&gt;E272,1,0))</f>
        <v/>
      </c>
      <c r="CQ272" s="28" t="n"/>
      <c r="CR272" s="29">
        <f>IF(AND(D272&gt;0,OR(AS272="")),1,IF(AS272&gt;D272,1,0))</f>
        <v/>
      </c>
      <c r="CS272" s="29">
        <f>IF(AND(E272&gt;0,OR(AT272="")),1,IF(AT272&gt;E272,1,0))</f>
        <v/>
      </c>
      <c r="CT272" s="29">
        <f>IF(AND(C272&gt;0,AU272=""),1,IF(AU272&gt;C272,1,0))</f>
        <v/>
      </c>
      <c r="CU272" s="29">
        <f>IF(AND(C272&gt;0,AV272=""),1,IF(AV272&gt;C272,1,0))</f>
        <v/>
      </c>
      <c r="CV272" s="29">
        <f>IF(AND(C272&gt;0,AW272=""),1,IF(AW272&gt;C272,1,0))</f>
        <v/>
      </c>
      <c r="CW272" s="29">
        <f>IF(AND(C272&gt;0,AX272=""),1,IF(AX272&gt;C272,1,0))</f>
        <v/>
      </c>
    </row>
    <row r="273" ht="33" customHeight="1" s="8286">
      <c r="A273" s="9610" t="n"/>
      <c r="B273" s="7752" t="inlineStr">
        <is>
          <t>Otros Trastornos del Comportamiento y de las Emociones de Comienzo Habitual en La Infancia y Adolescencia</t>
        </is>
      </c>
      <c r="C273" s="1352">
        <f>SUM(D273+E273)</f>
        <v/>
      </c>
      <c r="D273" s="1353">
        <f>SUM(F273+H273+J273+L273+N273)</f>
        <v/>
      </c>
      <c r="E273" s="7752">
        <f>SUM(G273+I273+K273+M273+O273)</f>
        <v/>
      </c>
      <c r="F273" s="1188" t="n"/>
      <c r="G273" s="1192" t="n"/>
      <c r="H273" s="1188" t="n"/>
      <c r="I273" s="1192" t="n">
        <v>1</v>
      </c>
      <c r="J273" s="1188" t="n"/>
      <c r="K273" s="1192" t="n"/>
      <c r="L273" s="1188" t="n"/>
      <c r="M273" s="1192" t="n"/>
      <c r="N273" s="1188" t="n"/>
      <c r="O273" s="1192" t="n"/>
      <c r="P273" s="2210" t="n"/>
      <c r="Q273" s="2211" t="n"/>
      <c r="R273" s="2211" t="n"/>
      <c r="S273" s="2211" t="n"/>
      <c r="T273" s="2211" t="n"/>
      <c r="U273" s="2211" t="n"/>
      <c r="V273" s="2211" t="n"/>
      <c r="W273" s="2211" t="n"/>
      <c r="X273" s="2211" t="n"/>
      <c r="Y273" s="2211" t="n"/>
      <c r="Z273" s="2211" t="n"/>
      <c r="AA273" s="2211" t="n"/>
      <c r="AB273" s="2211" t="n"/>
      <c r="AC273" s="2211" t="n"/>
      <c r="AD273" s="2211" t="n"/>
      <c r="AE273" s="2211" t="n"/>
      <c r="AF273" s="2211" t="n"/>
      <c r="AG273" s="2211" t="n"/>
      <c r="AH273" s="2211" t="n"/>
      <c r="AI273" s="2211" t="n"/>
      <c r="AJ273" s="2211" t="n"/>
      <c r="AK273" s="2211" t="n"/>
      <c r="AL273" s="2211" t="n"/>
      <c r="AM273" s="2212" t="n"/>
      <c r="AN273" s="1966" t="n"/>
      <c r="AO273" s="1432" t="n"/>
      <c r="AP273" s="1224" t="n">
        <v>1</v>
      </c>
      <c r="AQ273" s="1227" t="n">
        <v>0</v>
      </c>
      <c r="AR273" s="5385" t="n"/>
      <c r="AS273" s="1193" t="n">
        <v>0</v>
      </c>
      <c r="AT273" s="1192" t="n">
        <v>0</v>
      </c>
      <c r="AU273" s="1193" t="n">
        <v>0</v>
      </c>
      <c r="AV273" s="1192" t="n">
        <v>0</v>
      </c>
      <c r="AW273" s="1193" t="n">
        <v>0</v>
      </c>
      <c r="AX273" s="1192" t="n">
        <v>0</v>
      </c>
      <c r="AY273" s="5">
        <f>CA273&amp;CB273&amp;CC273&amp;CD273&amp;CE273&amp;CF273&amp;CG273&amp;CH273&amp;CI273</f>
        <v/>
      </c>
      <c r="AZ273" s="5" t="n"/>
      <c r="BA273" s="5" t="n"/>
      <c r="BB273" s="5" t="n"/>
      <c r="BC273" s="5" t="n"/>
      <c r="BD273" s="5" t="n"/>
      <c r="BE273" s="5" t="n"/>
      <c r="BF273" s="5" t="n"/>
      <c r="BG273" s="5" t="n"/>
      <c r="BH273" s="5" t="n"/>
      <c r="BI273" s="5" t="n"/>
      <c r="BJ273" s="5" t="n"/>
      <c r="BK273" s="5" t="n"/>
      <c r="BL273" s="5" t="n"/>
      <c r="BM273" s="5" t="n"/>
      <c r="BN273" s="5" t="n"/>
      <c r="BO273" s="5" t="n"/>
      <c r="CA273" s="17" t="n"/>
      <c r="CB273" s="90">
        <f>IF(AND(E273&gt;0,AQ273=""), "* No olvide digitar la variable Gestantes. Digite Cero si no tiene.",IF(AQ273&gt;E273,"  * La variable Gestantes No puede ser mayor al Total Mujeres.",""))</f>
        <v/>
      </c>
      <c r="CC273" s="206" t="n"/>
      <c r="CD273" s="90">
        <f>IF(AND(D273&gt;0,OR(AS273="")), "* No olvide digitar la variable Pueblos originarios Hombres. Digite Cero si no tiene.",IF(AS273&gt;D273,"  * La variable Pueblos originarios Hombres No puede ser mayor al Total Hombres.",""))</f>
        <v/>
      </c>
      <c r="CE273" s="90">
        <f>IF(AND(E273&gt;0,OR(AT273="")), "* No olvide digitar la variable Pueblos originarios Mujeres. Digite Cero si no tiene.",IF(AT273&gt;E273,"  * La variable Pueblos originarios Mujeres No puede ser mayor al Total Mujeres.",""))</f>
        <v/>
      </c>
      <c r="CF273" s="90">
        <f>IF(AND(C273&gt;0,AU273=""), "* No olvide digitar la variable SENAME/ Servicio Nacional de Reinserción social Juvenil . Digite Cero si no tiene.",IF(AU273&gt;C273,"  * La variable SENAME/ Servicio Nacional de Reinserción social Juvenil  No puede ser mayor al Total.",""))</f>
        <v/>
      </c>
      <c r="CG273" s="90">
        <f>IF(AND(C273&gt;0,AV273=""), "* No olvide digitar la variable Servicio Nacional Protección Especializada a la Niñez y Adolescencia. Digite Cero si no tiene.",IF(AV273&gt;C273,"  * La variable NServicio Nacional Protección Especializada a la Niñez y Adolescencia No puede ser mayor al Total.",""))</f>
        <v/>
      </c>
      <c r="CH273" s="90">
        <f>IF(AND(C273&gt;0,AW273=""), "* No olvide digitar la variable Migrantes. Digite Cero si no tiene.",IF(AW273&gt;C273,"  * La variable Migrantes No puede ser mayor al Total.",""))</f>
        <v/>
      </c>
      <c r="CI273" s="90">
        <f>IF(AND(C273&gt;0,AX273=""), "* No olvide digitar la variable Trans (Masculino/ Femenino). Digite Cero si no tiene.",IF(AX273&gt;C273,"  * La variable Trans (Masculino/Femenino) No puede ser mayor al Total Ambos Sexos.",""))</f>
        <v/>
      </c>
      <c r="CP273" s="29">
        <f>IF(AND(E273&gt;0,AQ273=""),1,IF(AQ273&gt;E273,1,0))</f>
        <v/>
      </c>
      <c r="CQ273" s="28" t="n"/>
      <c r="CR273" s="29">
        <f>IF(AND(D273&gt;0,OR(AS273="")),1,IF(AS273&gt;D273,1,0))</f>
        <v/>
      </c>
      <c r="CS273" s="29">
        <f>IF(AND(E273&gt;0,OR(AT273="")),1,IF(AT273&gt;E273,1,0))</f>
        <v/>
      </c>
      <c r="CT273" s="29">
        <f>IF(AND(C273&gt;0,AU273=""),1,IF(AU273&gt;C273,1,0))</f>
        <v/>
      </c>
      <c r="CU273" s="29">
        <f>IF(AND(C273&gt;0,AV273=""),1,IF(AV273&gt;C273,1,0))</f>
        <v/>
      </c>
      <c r="CV273" s="29">
        <f>IF(AND(C273&gt;0,AW273=""),1,IF(AW273&gt;C273,1,0))</f>
        <v/>
      </c>
      <c r="CW273" s="29">
        <f>IF(AND(C273&gt;0,AX273=""),1,IF(AX273&gt;C273,1,0))</f>
        <v/>
      </c>
    </row>
    <row r="274">
      <c r="A274" s="9933" t="inlineStr">
        <is>
          <t xml:space="preserve">
Trastornos de Ansiedad</t>
        </is>
      </c>
      <c r="B274" s="2213" t="inlineStr">
        <is>
          <t>Trastorno de Estrés Post Traumático</t>
        </is>
      </c>
      <c r="C274" s="2181">
        <f>SUM(D274+E274)</f>
        <v/>
      </c>
      <c r="D274" s="797">
        <f>SUM(F274+H274+J274+L274+N274+P274+R274+T274+V274+X274+Z274+AB274+AD274+AF274+AH274+AJ274+AL274)</f>
        <v/>
      </c>
      <c r="E274" s="7833">
        <f>SUM(G274+I274+K274+M274+O274+Q274+S274+U274+W274+Y274+AA274+AC274+AE274+AG274+AI274+AK274+AM274)</f>
        <v/>
      </c>
      <c r="F274" s="1935" t="n"/>
      <c r="G274" s="1186" t="n"/>
      <c r="H274" s="1935" t="n"/>
      <c r="I274" s="1186" t="n"/>
      <c r="J274" s="1935" t="n"/>
      <c r="K274" s="1186" t="n"/>
      <c r="L274" s="1935" t="n"/>
      <c r="M274" s="1186" t="n"/>
      <c r="N274" s="1935" t="n"/>
      <c r="O274" s="1186" t="n"/>
      <c r="P274" s="1935" t="n"/>
      <c r="Q274" s="1186" t="n"/>
      <c r="R274" s="1935" t="n"/>
      <c r="S274" s="1186" t="n"/>
      <c r="T274" s="1935" t="n"/>
      <c r="U274" s="1186" t="n"/>
      <c r="V274" s="1935" t="n"/>
      <c r="W274" s="1186" t="n"/>
      <c r="X274" s="1935" t="n"/>
      <c r="Y274" s="1186" t="n"/>
      <c r="Z274" s="1935" t="n"/>
      <c r="AA274" s="1186" t="n"/>
      <c r="AB274" s="1935" t="n"/>
      <c r="AC274" s="1186" t="n"/>
      <c r="AD274" s="1935" t="n"/>
      <c r="AE274" s="1186" t="n"/>
      <c r="AF274" s="1935" t="n"/>
      <c r="AG274" s="1186" t="n"/>
      <c r="AH274" s="1935" t="n"/>
      <c r="AI274" s="1186" t="n"/>
      <c r="AJ274" s="1935" t="n"/>
      <c r="AK274" s="1186" t="n"/>
      <c r="AL274" s="1935" t="n"/>
      <c r="AM274" s="1940" t="n"/>
      <c r="AN274" s="2023" t="n"/>
      <c r="AO274" s="835" t="n"/>
      <c r="AP274" s="1940" t="n"/>
      <c r="AQ274" s="36" t="n">
        <v>0</v>
      </c>
      <c r="AR274" s="1964" t="n">
        <v>0</v>
      </c>
      <c r="AS274" s="3503" t="n">
        <v>0</v>
      </c>
      <c r="AT274" s="1173" t="n">
        <v>0</v>
      </c>
      <c r="AU274" s="1174" t="n">
        <v>0</v>
      </c>
      <c r="AV274" s="1173" t="n">
        <v>0</v>
      </c>
      <c r="AW274" s="1174" t="n">
        <v>0</v>
      </c>
      <c r="AX274" s="1173" t="n">
        <v>0</v>
      </c>
      <c r="AY274" s="5">
        <f>CA274&amp;CB274&amp;CC274&amp;CD274&amp;CE274&amp;CF274&amp;CG274&amp;CH274&amp;CI274</f>
        <v/>
      </c>
      <c r="AZ274" s="5" t="n"/>
      <c r="BA274" s="5" t="n"/>
      <c r="BB274" s="5" t="n"/>
      <c r="BC274" s="5" t="n"/>
      <c r="BD274" s="5" t="n"/>
      <c r="BE274" s="5" t="n"/>
      <c r="BF274" s="5" t="n"/>
      <c r="BG274" s="5" t="n"/>
      <c r="BH274" s="5" t="n"/>
      <c r="BI274" s="5" t="n"/>
      <c r="BJ274" s="5" t="n"/>
      <c r="BK274" s="5" t="n"/>
      <c r="BL274" s="5" t="n"/>
      <c r="BM274" s="5" t="n"/>
      <c r="BN274" s="5" t="n"/>
      <c r="BO274" s="5" t="n"/>
      <c r="CA274" s="17" t="n"/>
      <c r="CB274" s="90">
        <f>IF(AND(E274&gt;0,AQ274=""), "* No olvide digitar la variable Gestantes. Digite Cero si no tiene.",IF(AQ274&gt;E274,"  * La variable Gestantes No puede ser mayor al Total Mujeres.",""))</f>
        <v/>
      </c>
      <c r="CC274" s="90">
        <f>IF(AND(E274&gt;0,AR274=""), "* No olvide digitar la variable Madre de hijo menor de 5 años. Digite Cero si no tiene.",IF(AR274&gt;E274,"  * La variable Madre de hijo menor de 5 años No puede ser mayor al Total Mujeres.",""))</f>
        <v/>
      </c>
      <c r="CD274" s="90">
        <f>IF(AND(D274&gt;0,OR(AS274="")), "* No olvide digitar la variable Pueblos originarios Hombres. Digite Cero si no tiene.",IF(AS274&gt;D274,"  * La variable Pueblos originarios Hombres No puede ser mayor al Total Hombres.",""))</f>
        <v/>
      </c>
      <c r="CE274" s="90">
        <f>IF(AND(E274&gt;0,OR(AT274="")), "* No olvide digitar la variable Pueblos originarios Mujeres. Digite Cero si no tiene.",IF(AT274&gt;E274,"  * La variable Pueblos originarios Mujeres No puede ser mayor al Total Mujeres.",""))</f>
        <v/>
      </c>
      <c r="CF274" s="90">
        <f>IF(AND(C274&gt;0,AU274=""), "* No olvide digitar la variable SENAME/ Servicio Nacional de Reinserción social Juvenil . Digite Cero si no tiene.",IF(AU274&gt;C274,"  * La variable SENAME/ Servicio Nacional de Reinserción social Juvenil  No puede ser mayor al Total.",""))</f>
        <v/>
      </c>
      <c r="CG274" s="90">
        <f>IF(AND(C274&gt;0,AV274=""), "* No olvide digitar la variable Servicio Nacional Protección Especializada a la Niñez y Adolescencia. Digite Cero si no tiene.",IF(AV274&gt;C274,"  * La variable NServicio Nacional Protección Especializada a la Niñez y Adolescencia No puede ser mayor al Total.",""))</f>
        <v/>
      </c>
      <c r="CH274" s="90">
        <f>IF(AND(C274&gt;0,AW274=""), "* No olvide digitar la variable Migrantes. Digite Cero si no tiene.",IF(AW274&gt;C274,"  * La variable Migrantes No puede ser mayor al Total.",""))</f>
        <v/>
      </c>
      <c r="CI274" s="90">
        <f>IF(AND(C274&gt;0,AX274=""), "* No olvide digitar la variable Trans (Masculino/ Femenino). Digite Cero si no tiene.",IF(AX274&gt;C274,"  * La variable Trans (Masculino/Femenino) No puede ser mayor al Total Ambos Sexos.",""))</f>
        <v/>
      </c>
      <c r="CP274" s="29">
        <f>IF(AND(E274&gt;0,AQ274=""),1,IF(AQ274&gt;E274,1,0))</f>
        <v/>
      </c>
      <c r="CQ274" s="29">
        <f>IF(AND(E274&gt;0,AR274=""),1,IF(AR274&gt;E274,1,0))</f>
        <v/>
      </c>
      <c r="CR274" s="29">
        <f>IF(AND(D274&gt;0,OR(AS274="")),1,IF(AS274&gt;D274,1,0))</f>
        <v/>
      </c>
      <c r="CS274" s="29">
        <f>IF(AND(E274&gt;0,OR(AT274="")),1,IF(AT274&gt;E274,1,0))</f>
        <v/>
      </c>
      <c r="CT274" s="29">
        <f>IF(AND(C274&gt;0,AU274=""),1,IF(AU274&gt;C274,1,0))</f>
        <v/>
      </c>
      <c r="CU274" s="29">
        <f>IF(AND(C274&gt;0,AV274=""),1,IF(AV274&gt;C274,1,0))</f>
        <v/>
      </c>
      <c r="CV274" s="29">
        <f>IF(AND(C274&gt;0,AW274=""),1,IF(AW274&gt;C274,1,0))</f>
        <v/>
      </c>
      <c r="CW274" s="29">
        <f>IF(AND(C274&gt;0,AX274=""),1,IF(AX274&gt;C274,1,0))</f>
        <v/>
      </c>
    </row>
    <row r="275">
      <c r="A275" s="9614" t="n"/>
      <c r="B275" s="7832" t="inlineStr">
        <is>
          <t xml:space="preserve">Trastorno de Pánico  </t>
        </is>
      </c>
      <c r="C275" s="1283">
        <f>SUM(D275+E275)</f>
        <v/>
      </c>
      <c r="D275" s="2197">
        <f>SUM(F275+H275+J275+L275+N275+P275+R275+T275+V275+X275+Z275+AB275+AD275+AF275+AH275+AJ275+AL275)</f>
        <v/>
      </c>
      <c r="E275" s="7750">
        <f>SUM(G275+I275+K275+M275+O275+Q275+S275+U275+W275+Y275+AA275+AC275+AE275+AG275+AI275+AK275+AM275)</f>
        <v/>
      </c>
      <c r="F275" s="1172" t="n"/>
      <c r="G275" s="1173" t="n"/>
      <c r="H275" s="1172" t="n"/>
      <c r="I275" s="1173" t="n"/>
      <c r="J275" s="1172" t="n"/>
      <c r="K275" s="1173" t="n"/>
      <c r="L275" s="1172" t="n"/>
      <c r="M275" s="1173" t="n"/>
      <c r="N275" s="1172" t="n"/>
      <c r="O275" s="1173" t="n"/>
      <c r="P275" s="1172" t="n"/>
      <c r="Q275" s="1173" t="n"/>
      <c r="R275" s="1172" t="n"/>
      <c r="S275" s="1173" t="n"/>
      <c r="T275" s="1172" t="n"/>
      <c r="U275" s="1173" t="n"/>
      <c r="V275" s="1172" t="n"/>
      <c r="W275" s="1173" t="n"/>
      <c r="X275" s="1172" t="n"/>
      <c r="Y275" s="1173" t="n"/>
      <c r="Z275" s="1172" t="n"/>
      <c r="AA275" s="1173" t="n"/>
      <c r="AB275" s="1172" t="n"/>
      <c r="AC275" s="1173" t="n"/>
      <c r="AD275" s="1172" t="n"/>
      <c r="AE275" s="1173" t="n"/>
      <c r="AF275" s="1172" t="n"/>
      <c r="AG275" s="1173" t="n"/>
      <c r="AH275" s="1172" t="n"/>
      <c r="AI275" s="1173" t="n"/>
      <c r="AJ275" s="1172" t="n"/>
      <c r="AK275" s="1173" t="n"/>
      <c r="AL275" s="1172" t="n"/>
      <c r="AM275" s="1929" t="n"/>
      <c r="AN275" s="1174" t="n"/>
      <c r="AO275" s="2001" t="n"/>
      <c r="AP275" s="1929" t="n"/>
      <c r="AQ275" s="3895" t="n">
        <v>0</v>
      </c>
      <c r="AR275" s="3892" t="n">
        <v>0</v>
      </c>
      <c r="AS275" s="3789" t="n">
        <v>0</v>
      </c>
      <c r="AT275" s="1173" t="n">
        <v>0</v>
      </c>
      <c r="AU275" s="1174" t="n">
        <v>0</v>
      </c>
      <c r="AV275" s="1173" t="n">
        <v>0</v>
      </c>
      <c r="AW275" s="1174" t="n">
        <v>0</v>
      </c>
      <c r="AX275" s="1173" t="n">
        <v>0</v>
      </c>
      <c r="AY275" s="5">
        <f>CA275&amp;CB275&amp;CC275&amp;CD275&amp;CE275&amp;CF275&amp;CG275&amp;CH275&amp;CI275</f>
        <v/>
      </c>
      <c r="AZ275" s="5" t="n"/>
      <c r="BA275" s="5" t="n"/>
      <c r="BB275" s="5" t="n"/>
      <c r="BC275" s="5" t="n"/>
      <c r="BD275" s="5" t="n"/>
      <c r="BE275" s="5" t="n"/>
      <c r="BF275" s="5" t="n"/>
      <c r="BG275" s="5" t="n"/>
      <c r="BH275" s="5" t="n"/>
      <c r="BI275" s="5" t="n"/>
      <c r="BJ275" s="5" t="n"/>
      <c r="BK275" s="5" t="n"/>
      <c r="BL275" s="5" t="n"/>
      <c r="BM275" s="5" t="n"/>
      <c r="BN275" s="5" t="n"/>
      <c r="BO275" s="5" t="n"/>
      <c r="CA275" s="17" t="n"/>
      <c r="CB275" s="90">
        <f>IF(AND(E275&gt;0,AQ275=""), "* No olvide digitar la variable Gestantes. Digite Cero si no tiene.",IF(AQ275&gt;E275,"  * La variable Gestantes No puede ser mayor al Total Mujeres.",""))</f>
        <v/>
      </c>
      <c r="CC275" s="90">
        <f>IF(AND(E275&gt;0,AR275=""), "* No olvide digitar la variable Madre de hijo menor de 5 años. Digite Cero si no tiene.",IF(AR275&gt;E275,"  * La variable Madre de hijo menor de 5 años No puede ser mayor al Total Mujeres.",""))</f>
        <v/>
      </c>
      <c r="CD275" s="90">
        <f>IF(AND(D275&gt;0,OR(AS275="")), "* No olvide digitar la variable Pueblos originarios Hombres. Digite Cero si no tiene.",IF(AS275&gt;D275,"  * La variable Pueblos originarios Hombres No puede ser mayor al Total Hombres.",""))</f>
        <v/>
      </c>
      <c r="CE275" s="90">
        <f>IF(AND(E275&gt;0,OR(AT275="")), "* No olvide digitar la variable Pueblos originarios Mujeres. Digite Cero si no tiene.",IF(AT275&gt;E275,"  * La variable Pueblos originarios Mujeres No puede ser mayor al Total Mujeres.",""))</f>
        <v/>
      </c>
      <c r="CF275" s="90">
        <f>IF(AND(C275&gt;0,AU275=""), "* No olvide digitar la variable SENAME/ Servicio Nacional de Reinserción social Juvenil . Digite Cero si no tiene.",IF(AU275&gt;C275,"  * La variable SENAME/ Servicio Nacional de Reinserción social Juvenil  No puede ser mayor al Total.",""))</f>
        <v/>
      </c>
      <c r="CG275" s="90">
        <f>IF(AND(C275&gt;0,AV275=""), "* No olvide digitar la variable Servicio Nacional Protección Especializada a la Niñez y Adolescencia. Digite Cero si no tiene.",IF(AV275&gt;C275,"  * La variable NServicio Nacional Protección Especializada a la Niñez y Adolescencia No puede ser mayor al Total.",""))</f>
        <v/>
      </c>
      <c r="CH275" s="90">
        <f>IF(AND(C275&gt;0,AW275=""), "* No olvide digitar la variable Migrantes. Digite Cero si no tiene.",IF(AW275&gt;C275,"  * La variable Migrantes No puede ser mayor al Total.",""))</f>
        <v/>
      </c>
      <c r="CI275" s="90">
        <f>IF(AND(C275&gt;0,AX275=""), "* No olvide digitar la variable Trans (Masculino/ Femenino). Digite Cero si no tiene.",IF(AX275&gt;C275,"  * La variable Trans (Masculino/Femenino) No puede ser mayor al Total Ambos Sexos.",""))</f>
        <v/>
      </c>
      <c r="CP275" s="29">
        <f>IF(AND(E275&gt;0,AQ275=""),1,IF(AQ275&gt;E275,1,0))</f>
        <v/>
      </c>
      <c r="CQ275" s="29">
        <f>IF(AND(E275&gt;0,AR275=""),1,IF(AR275&gt;E275,1,0))</f>
        <v/>
      </c>
      <c r="CR275" s="29">
        <f>IF(AND(D275&gt;0,OR(AS275="")),1,IF(AS275&gt;D275,1,0))</f>
        <v/>
      </c>
      <c r="CS275" s="29">
        <f>IF(AND(E275&gt;0,OR(AT275="")),1,IF(AT275&gt;E275,1,0))</f>
        <v/>
      </c>
      <c r="CT275" s="29">
        <f>IF(AND(C275&gt;0,AU275=""),1,IF(AU275&gt;C275,1,0))</f>
        <v/>
      </c>
      <c r="CU275" s="29">
        <f>IF(AND(C275&gt;0,AV275=""),1,IF(AV275&gt;C275,1,0))</f>
        <v/>
      </c>
      <c r="CV275" s="29">
        <f>IF(AND(C275&gt;0,AW275=""),1,IF(AW275&gt;C275,1,0))</f>
        <v/>
      </c>
      <c r="CW275" s="29">
        <f>IF(AND(C275&gt;0,AX275=""),1,IF(AX275&gt;C275,1,0))</f>
        <v/>
      </c>
    </row>
    <row r="276">
      <c r="A276" s="9614" t="n"/>
      <c r="B276" s="2198" t="inlineStr">
        <is>
          <t>Fobias Sociales</t>
        </is>
      </c>
      <c r="C276" s="1283">
        <f>SUM(D276+E276)</f>
        <v/>
      </c>
      <c r="D276" s="2197">
        <f>SUM(F276+H276+J276+L276+N276+P276+R276+T276+V276+X276+Z276+AB276+AD276+AF276+AH276+AJ276+AL276)</f>
        <v/>
      </c>
      <c r="E276" s="7750">
        <f>SUM(G276+I276+K276+M276+O276+Q276+S276+U276+W276+Y276+AA276+AC276+AE276+AG276+AI276+AK276+AM276)</f>
        <v/>
      </c>
      <c r="F276" s="1172" t="n"/>
      <c r="G276" s="1173" t="n"/>
      <c r="H276" s="1172" t="n"/>
      <c r="I276" s="1173" t="n"/>
      <c r="J276" s="1172" t="n"/>
      <c r="K276" s="1173" t="n"/>
      <c r="L276" s="1172" t="n"/>
      <c r="M276" s="1173" t="n"/>
      <c r="N276" s="1172" t="n"/>
      <c r="O276" s="1173" t="n"/>
      <c r="P276" s="1172" t="n"/>
      <c r="Q276" s="1173" t="n"/>
      <c r="R276" s="1172" t="n"/>
      <c r="S276" s="1173" t="n"/>
      <c r="T276" s="1172" t="n"/>
      <c r="U276" s="1173" t="n"/>
      <c r="V276" s="1172" t="n"/>
      <c r="W276" s="1173" t="n"/>
      <c r="X276" s="1172" t="n"/>
      <c r="Y276" s="1173" t="n"/>
      <c r="Z276" s="1172" t="n"/>
      <c r="AA276" s="1173" t="n"/>
      <c r="AB276" s="1172" t="n"/>
      <c r="AC276" s="1173" t="n"/>
      <c r="AD276" s="1172" t="n"/>
      <c r="AE276" s="1173" t="n"/>
      <c r="AF276" s="1172" t="n"/>
      <c r="AG276" s="1173" t="n"/>
      <c r="AH276" s="1172" t="n"/>
      <c r="AI276" s="1173" t="n"/>
      <c r="AJ276" s="1172" t="n"/>
      <c r="AK276" s="1173" t="n"/>
      <c r="AL276" s="1172" t="n"/>
      <c r="AM276" s="1929" t="n"/>
      <c r="AN276" s="1174" t="n"/>
      <c r="AO276" s="2001" t="n"/>
      <c r="AP276" s="1929" t="n"/>
      <c r="AQ276" s="3895" t="n">
        <v>0</v>
      </c>
      <c r="AR276" s="3892" t="n">
        <v>0</v>
      </c>
      <c r="AS276" s="3789" t="n">
        <v>0</v>
      </c>
      <c r="AT276" s="1173" t="n">
        <v>0</v>
      </c>
      <c r="AU276" s="1174" t="n">
        <v>0</v>
      </c>
      <c r="AV276" s="1173" t="n">
        <v>0</v>
      </c>
      <c r="AW276" s="1174" t="n">
        <v>0</v>
      </c>
      <c r="AX276" s="1173" t="n">
        <v>0</v>
      </c>
      <c r="AY276" s="5">
        <f>CA276&amp;CB276&amp;CC276&amp;CD276&amp;CE276&amp;CF276&amp;CG276&amp;CH276&amp;CI276</f>
        <v/>
      </c>
      <c r="AZ276" s="5" t="n"/>
      <c r="BA276" s="5" t="n"/>
      <c r="BB276" s="5" t="n"/>
      <c r="BC276" s="5" t="n"/>
      <c r="BD276" s="5" t="n"/>
      <c r="BE276" s="5" t="n"/>
      <c r="BF276" s="5" t="n"/>
      <c r="BG276" s="5" t="n"/>
      <c r="BH276" s="5" t="n"/>
      <c r="BI276" s="5" t="n"/>
      <c r="BJ276" s="5" t="n"/>
      <c r="BK276" s="5" t="n"/>
      <c r="BL276" s="5" t="n"/>
      <c r="BM276" s="5" t="n"/>
      <c r="BN276" s="5" t="n"/>
      <c r="BO276" s="5" t="n"/>
      <c r="CA276" s="17" t="n"/>
      <c r="CB276" s="90">
        <f>IF(AND(E276&gt;0,AQ276=""), "* No olvide digitar la variable Gestantes. Digite Cero si no tiene.",IF(AQ276&gt;E276,"  * La variable Gestantes No puede ser mayor al Total Mujeres.",""))</f>
        <v/>
      </c>
      <c r="CC276" s="90">
        <f>IF(AND(E276&gt;0,AR276=""), "* No olvide digitar la variable Madre de hijo menor de 5 años. Digite Cero si no tiene.",IF(AR276&gt;E276,"  * La variable Madre de hijo menor de 5 años No puede ser mayor al Total Mujeres.",""))</f>
        <v/>
      </c>
      <c r="CD276" s="90">
        <f>IF(AND(D276&gt;0,OR(AS276="")), "* No olvide digitar la variable Pueblos originarios Hombres. Digite Cero si no tiene.",IF(AS276&gt;D276,"  * La variable Pueblos originarios Hombres No puede ser mayor al Total Hombres.",""))</f>
        <v/>
      </c>
      <c r="CE276" s="90">
        <f>IF(AND(E276&gt;0,OR(AT276="")), "* No olvide digitar la variable Pueblos originarios Mujeres. Digite Cero si no tiene.",IF(AT276&gt;E276,"  * La variable Pueblos originarios Mujeres No puede ser mayor al Total Mujeres.",""))</f>
        <v/>
      </c>
      <c r="CF276" s="90">
        <f>IF(AND(C276&gt;0,AU276=""), "* No olvide digitar la variable SENAME/ Servicio Nacional de Reinserción social Juvenil . Digite Cero si no tiene.",IF(AU276&gt;C276,"  * La variable SENAME/ Servicio Nacional de Reinserción social Juvenil  No puede ser mayor al Total.",""))</f>
        <v/>
      </c>
      <c r="CG276" s="90">
        <f>IF(AND(C276&gt;0,AV276=""), "* No olvide digitar la variable Servicio Nacional Protección Especializada a la Niñez y Adolescencia. Digite Cero si no tiene.",IF(AV276&gt;C276,"  * La variable NServicio Nacional Protección Especializada a la Niñez y Adolescencia No puede ser mayor al Total.",""))</f>
        <v/>
      </c>
      <c r="CH276" s="90">
        <f>IF(AND(C276&gt;0,AW276=""), "* No olvide digitar la variable Migrantes. Digite Cero si no tiene.",IF(AW276&gt;C276,"  * La variable Migrantes No puede ser mayor al Total.",""))</f>
        <v/>
      </c>
      <c r="CI276" s="90">
        <f>IF(AND(C276&gt;0,AX276=""), "* No olvide digitar la variable Trans (Masculino/ Femenino). Digite Cero si no tiene.",IF(AX276&gt;C276,"  * La variable Trans (Masculino/Femenino) No puede ser mayor al Total Ambos Sexos.",""))</f>
        <v/>
      </c>
      <c r="CP276" s="29">
        <f>IF(AND(E276&gt;0,AQ276=""),1,IF(AQ276&gt;E276,1,0))</f>
        <v/>
      </c>
      <c r="CQ276" s="29">
        <f>IF(AND(E276&gt;0,AR276=""),1,IF(AR276&gt;E276,1,0))</f>
        <v/>
      </c>
      <c r="CR276" s="29">
        <f>IF(AND(D276&gt;0,OR(AS276="")),1,IF(AS276&gt;D276,1,0))</f>
        <v/>
      </c>
      <c r="CS276" s="29">
        <f>IF(AND(E276&gt;0,OR(AT276="")),1,IF(AT276&gt;E276,1,0))</f>
        <v/>
      </c>
      <c r="CT276" s="29">
        <f>IF(AND(C276&gt;0,AU276=""),1,IF(AU276&gt;C276,1,0))</f>
        <v/>
      </c>
      <c r="CU276" s="29">
        <f>IF(AND(C276&gt;0,AV276=""),1,IF(AV276&gt;C276,1,0))</f>
        <v/>
      </c>
      <c r="CV276" s="29">
        <f>IF(AND(C276&gt;0,AW276=""),1,IF(AW276&gt;C276,1,0))</f>
        <v/>
      </c>
      <c r="CW276" s="29">
        <f>IF(AND(C276&gt;0,AX276=""),1,IF(AX276&gt;C276,1,0))</f>
        <v/>
      </c>
    </row>
    <row r="277">
      <c r="A277" s="9614" t="n"/>
      <c r="B277" s="2198" t="inlineStr">
        <is>
          <t>Trastornos de Ansiedad Generalizada</t>
        </is>
      </c>
      <c r="C277" s="2181">
        <f>SUM(D277+E277)</f>
        <v/>
      </c>
      <c r="D277" s="797">
        <f>SUM(F277+H277+J277+L277+N277+P277+R277+T277+V277+X277+Z277+AB277+AD277+AF277+AH277+AJ277+AL277)</f>
        <v/>
      </c>
      <c r="E277" s="7833">
        <f>SUM(G277+I277+K277+M277+O277+Q277+S277+U277+W277+Y277+AA277+AC277+AE277+AG277+AI277+AK277+AM277)</f>
        <v/>
      </c>
      <c r="F277" s="1172" t="n"/>
      <c r="G277" s="1173" t="n"/>
      <c r="H277" s="1172" t="n"/>
      <c r="I277" s="1173" t="n"/>
      <c r="J277" s="1172" t="n"/>
      <c r="K277" s="1173" t="n"/>
      <c r="L277" s="1172" t="n"/>
      <c r="M277" s="1173" t="n"/>
      <c r="N277" s="1172" t="n"/>
      <c r="O277" s="1173" t="n"/>
      <c r="P277" s="1172" t="n"/>
      <c r="Q277" s="1173" t="n"/>
      <c r="R277" s="1172" t="n"/>
      <c r="S277" s="1173" t="n"/>
      <c r="T277" s="1172" t="n"/>
      <c r="U277" s="1173" t="n"/>
      <c r="V277" s="1172" t="n"/>
      <c r="W277" s="1173" t="n"/>
      <c r="X277" s="1172" t="n"/>
      <c r="Y277" s="1173" t="n"/>
      <c r="Z277" s="1172" t="n"/>
      <c r="AA277" s="1173" t="n"/>
      <c r="AB277" s="1172" t="n"/>
      <c r="AC277" s="1173" t="n"/>
      <c r="AD277" s="1172" t="n"/>
      <c r="AE277" s="1173" t="n"/>
      <c r="AF277" s="1172" t="n"/>
      <c r="AG277" s="1173" t="n"/>
      <c r="AH277" s="1172" t="n"/>
      <c r="AI277" s="1173" t="n"/>
      <c r="AJ277" s="1172" t="n"/>
      <c r="AK277" s="1173" t="n"/>
      <c r="AL277" s="1172" t="n"/>
      <c r="AM277" s="1929" t="n"/>
      <c r="AN277" s="1174" t="n"/>
      <c r="AO277" s="2001" t="n"/>
      <c r="AP277" s="1929" t="n"/>
      <c r="AQ277" s="3895" t="n">
        <v>0</v>
      </c>
      <c r="AR277" s="3892" t="n">
        <v>0</v>
      </c>
      <c r="AS277" s="3789" t="n">
        <v>0</v>
      </c>
      <c r="AT277" s="1173" t="n">
        <v>0</v>
      </c>
      <c r="AU277" s="1174" t="n">
        <v>0</v>
      </c>
      <c r="AV277" s="1173" t="n">
        <v>0</v>
      </c>
      <c r="AW277" s="1174" t="n">
        <v>0</v>
      </c>
      <c r="AX277" s="1173" t="n">
        <v>0</v>
      </c>
      <c r="AY277" s="5">
        <f>CA277&amp;CB277&amp;CC277&amp;CD277&amp;CE277&amp;CF277&amp;CG277&amp;CH277&amp;CI277</f>
        <v/>
      </c>
      <c r="AZ277" s="5" t="n"/>
      <c r="BA277" s="5" t="n"/>
      <c r="BB277" s="5" t="n"/>
      <c r="BC277" s="5" t="n"/>
      <c r="BD277" s="5" t="n"/>
      <c r="BE277" s="5" t="n"/>
      <c r="BF277" s="5" t="n"/>
      <c r="BG277" s="5" t="n"/>
      <c r="BH277" s="5" t="n"/>
      <c r="BI277" s="5" t="n"/>
      <c r="BJ277" s="5" t="n"/>
      <c r="BK277" s="5" t="n"/>
      <c r="BL277" s="5" t="n"/>
      <c r="BM277" s="5" t="n"/>
      <c r="BN277" s="5" t="n"/>
      <c r="BO277" s="5" t="n"/>
      <c r="CA277" s="17" t="n"/>
      <c r="CB277" s="90">
        <f>IF(AND(E277&gt;0,AQ277=""), "* No olvide digitar la variable Gestantes. Digite Cero si no tiene.",IF(AQ277&gt;E277,"  * La variable Gestantes No puede ser mayor al Total Mujeres.",""))</f>
        <v/>
      </c>
      <c r="CC277" s="90">
        <f>IF(AND(E277&gt;0,AR277=""), "* No olvide digitar la variable Madre de hijo menor de 5 años. Digite Cero si no tiene.",IF(AR277&gt;E277,"  * La variable Madre de hijo menor de 5 años No puede ser mayor al Total Mujeres.",""))</f>
        <v/>
      </c>
      <c r="CD277" s="90">
        <f>IF(AND(D277&gt;0,OR(AS277="")), "* No olvide digitar la variable Pueblos originarios Hombres. Digite Cero si no tiene.",IF(AS277&gt;D277,"  * La variable Pueblos originarios Hombres No puede ser mayor al Total Hombres.",""))</f>
        <v/>
      </c>
      <c r="CE277" s="90">
        <f>IF(AND(E277&gt;0,OR(AT277="")), "* No olvide digitar la variable Pueblos originarios Mujeres. Digite Cero si no tiene.",IF(AT277&gt;E277,"  * La variable Pueblos originarios Mujeres No puede ser mayor al Total Mujeres.",""))</f>
        <v/>
      </c>
      <c r="CF277" s="90">
        <f>IF(AND(C277&gt;0,AU277=""), "* No olvide digitar la variable SENAME/ Servicio Nacional de Reinserción social Juvenil . Digite Cero si no tiene.",IF(AU277&gt;C277,"  * La variable SENAME/ Servicio Nacional de Reinserción social Juvenil  No puede ser mayor al Total.",""))</f>
        <v/>
      </c>
      <c r="CG277" s="90">
        <f>IF(AND(C277&gt;0,AV277=""), "* No olvide digitar la variable Servicio Nacional Protección Especializada a la Niñez y Adolescencia. Digite Cero si no tiene.",IF(AV277&gt;C277,"  * La variable NServicio Nacional Protección Especializada a la Niñez y Adolescencia No puede ser mayor al Total.",""))</f>
        <v/>
      </c>
      <c r="CH277" s="90">
        <f>IF(AND(C277&gt;0,AW277=""), "* No olvide digitar la variable Migrantes. Digite Cero si no tiene.",IF(AW277&gt;C277,"  * La variable Migrantes No puede ser mayor al Total.",""))</f>
        <v/>
      </c>
      <c r="CI277" s="90">
        <f>IF(AND(C277&gt;0,AX277=""), "* No olvide digitar la variable Trans (Masculino/ Femenino). Digite Cero si no tiene.",IF(AX277&gt;C277,"  * La variable Trans (Masculino/Femenino) No puede ser mayor al Total Ambos Sexos.",""))</f>
        <v/>
      </c>
      <c r="CP277" s="29">
        <f>IF(AND(E277&gt;0,AQ277=""),1,IF(AQ277&gt;E277,1,0))</f>
        <v/>
      </c>
      <c r="CQ277" s="29">
        <f>IF(AND(E277&gt;0,AR277=""),1,IF(AR277&gt;E277,1,0))</f>
        <v/>
      </c>
      <c r="CR277" s="29">
        <f>IF(AND(D277&gt;0,OR(AS277="")),1,IF(AS277&gt;D277,1,0))</f>
        <v/>
      </c>
      <c r="CS277" s="29">
        <f>IF(AND(E277&gt;0,OR(AT277="")),1,IF(AT277&gt;E277,1,0))</f>
        <v/>
      </c>
      <c r="CT277" s="29">
        <f>IF(AND(C277&gt;0,AU277=""),1,IF(AU277&gt;C277,1,0))</f>
        <v/>
      </c>
      <c r="CU277" s="29">
        <f>IF(AND(C277&gt;0,AV277=""),1,IF(AV277&gt;C277,1,0))</f>
        <v/>
      </c>
      <c r="CV277" s="29">
        <f>IF(AND(C277&gt;0,AW277=""),1,IF(AW277&gt;C277,1,0))</f>
        <v/>
      </c>
      <c r="CW277" s="29">
        <f>IF(AND(C277&gt;0,AX277=""),1,IF(AX277&gt;C277,1,0))</f>
        <v/>
      </c>
    </row>
    <row r="278">
      <c r="A278" s="9610" t="n"/>
      <c r="B278" s="2215" t="inlineStr">
        <is>
          <t>Otros Trastornos de Ansiedad</t>
        </is>
      </c>
      <c r="C278" s="649">
        <f>SUM(D278+E278)</f>
        <v/>
      </c>
      <c r="D278" s="147">
        <f>SUM(F278+H278+J278+L278+N278+P278+R278+T278+V278+X278+Z278+AB278+AD278+AF278+AH278+AJ278+AL278)</f>
        <v/>
      </c>
      <c r="E278" s="2171">
        <f>SUM(G278+I278+K278+M278+O278+Q278+S278+U278+W278+Y278+AA278+AC278+AE278+AG278+AI278+AK278+AM278)</f>
        <v/>
      </c>
      <c r="F278" s="1172" t="n"/>
      <c r="G278" s="1173" t="n"/>
      <c r="H278" s="1172" t="n"/>
      <c r="I278" s="1173" t="n"/>
      <c r="J278" s="1172" t="n"/>
      <c r="K278" s="1173" t="n"/>
      <c r="L278" s="1172" t="n"/>
      <c r="M278" s="1173" t="n"/>
      <c r="N278" s="1172" t="n"/>
      <c r="O278" s="1173" t="n"/>
      <c r="P278" s="1172" t="n"/>
      <c r="Q278" s="1173" t="n"/>
      <c r="R278" s="1172" t="n"/>
      <c r="S278" s="1173" t="n"/>
      <c r="T278" s="1172" t="n"/>
      <c r="U278" s="1173" t="n"/>
      <c r="V278" s="1172" t="n"/>
      <c r="W278" s="1173" t="n"/>
      <c r="X278" s="1172" t="n"/>
      <c r="Y278" s="1173" t="n"/>
      <c r="Z278" s="1172" t="n"/>
      <c r="AA278" s="1173" t="n"/>
      <c r="AB278" s="1172" t="n"/>
      <c r="AC278" s="1173" t="n"/>
      <c r="AD278" s="1172" t="n"/>
      <c r="AE278" s="1173" t="n">
        <v>1</v>
      </c>
      <c r="AF278" s="1172" t="n"/>
      <c r="AG278" s="1173" t="n"/>
      <c r="AH278" s="1172" t="n"/>
      <c r="AI278" s="1173" t="n"/>
      <c r="AJ278" s="1172" t="n"/>
      <c r="AK278" s="1173" t="n">
        <v>1</v>
      </c>
      <c r="AL278" s="1188" t="n"/>
      <c r="AM278" s="1224" t="n"/>
      <c r="AN278" s="1193" t="n"/>
      <c r="AO278" s="1118" t="n"/>
      <c r="AP278" s="1224" t="n"/>
      <c r="AQ278" s="1227" t="n">
        <v>0</v>
      </c>
      <c r="AR278" s="1223" t="n">
        <v>0</v>
      </c>
      <c r="AS278" s="3789" t="n">
        <v>0</v>
      </c>
      <c r="AT278" s="1173" t="n">
        <v>0</v>
      </c>
      <c r="AU278" s="1174" t="n">
        <v>0</v>
      </c>
      <c r="AV278" s="1173" t="n">
        <v>0</v>
      </c>
      <c r="AW278" s="1174" t="n">
        <v>0</v>
      </c>
      <c r="AX278" s="1173" t="n">
        <v>0</v>
      </c>
      <c r="AY278" s="5">
        <f>CA278&amp;CB278&amp;CC278&amp;CD278&amp;CE278&amp;CF278&amp;CG278&amp;CH278&amp;CI278</f>
        <v/>
      </c>
      <c r="AZ278" s="5" t="n"/>
      <c r="BA278" s="5" t="n"/>
      <c r="BB278" s="5" t="n"/>
      <c r="BC278" s="5" t="n"/>
      <c r="BD278" s="5" t="n"/>
      <c r="BE278" s="5" t="n"/>
      <c r="BF278" s="5" t="n"/>
      <c r="BG278" s="5" t="n"/>
      <c r="BH278" s="5" t="n"/>
      <c r="BI278" s="5" t="n"/>
      <c r="BJ278" s="5" t="n"/>
      <c r="BK278" s="5" t="n"/>
      <c r="BL278" s="5" t="n"/>
      <c r="BM278" s="5" t="n"/>
      <c r="BN278" s="5" t="n"/>
      <c r="BO278" s="5" t="n"/>
      <c r="CA278" s="17" t="n"/>
      <c r="CB278" s="90">
        <f>IF(AND(E278&gt;0,AQ278=""), "* No olvide digitar la variable Gestantes. Digite Cero si no tiene.",IF(AQ278&gt;E278,"  * La variable Gestantes No puede ser mayor al Total Mujeres.",""))</f>
        <v/>
      </c>
      <c r="CC278" s="90">
        <f>IF(AND(E278&gt;0,AR278=""), "* No olvide digitar la variable Madre de hijo menor de 5 años. Digite Cero si no tiene.",IF(AR278&gt;E278,"  * La variable Madre de hijo menor de 5 años No puede ser mayor al Total Mujeres.",""))</f>
        <v/>
      </c>
      <c r="CD278" s="90">
        <f>IF(AND(D278&gt;0,OR(AS278="")), "* No olvide digitar la variable Pueblos originarios Hombres. Digite Cero si no tiene.",IF(AS278&gt;D278,"  * La variable Pueblos originarios Hombres No puede ser mayor al Total Hombres.",""))</f>
        <v/>
      </c>
      <c r="CE278" s="90">
        <f>IF(AND(E278&gt;0,OR(AT278="")), "* No olvide digitar la variable Pueblos originarios Mujeres. Digite Cero si no tiene.",IF(AT278&gt;E278,"  * La variable Pueblos originarios Mujeres No puede ser mayor al Total Mujeres.",""))</f>
        <v/>
      </c>
      <c r="CF278" s="90">
        <f>IF(AND(C278&gt;0,AU278=""), "* No olvide digitar la variable SENAME/ Servicio Nacional de Reinserción social Juvenil . Digite Cero si no tiene.",IF(AU278&gt;C278,"  * La variable SENAME/ Servicio Nacional de Reinserción social Juvenil  No puede ser mayor al Total.",""))</f>
        <v/>
      </c>
      <c r="CG278" s="90">
        <f>IF(AND(C278&gt;0,AV278=""), "* No olvide digitar la variable Servicio Nacional Protección Especializada a la Niñez y Adolescencia. Digite Cero si no tiene.",IF(AV278&gt;C278,"  * La variable NServicio Nacional Protección Especializada a la Niñez y Adolescencia No puede ser mayor al Total.",""))</f>
        <v/>
      </c>
      <c r="CH278" s="90">
        <f>IF(AND(C278&gt;0,AW278=""), "* No olvide digitar la variable Migrantes. Digite Cero si no tiene.",IF(AW278&gt;C278,"  * La variable Migrantes No puede ser mayor al Total.",""))</f>
        <v/>
      </c>
      <c r="CI278" s="90">
        <f>IF(AND(C278&gt;0,AX278=""), "* No olvide digitar la variable Trans (Masculino/ Femenino). Digite Cero si no tiene.",IF(AX278&gt;C278,"  * La variable Trans (Masculino/Femenino) No puede ser mayor al Total Ambos Sexos.",""))</f>
        <v/>
      </c>
      <c r="CP278" s="29">
        <f>IF(AND(E278&gt;0,AQ278=""),1,IF(AQ278&gt;E278,1,0))</f>
        <v/>
      </c>
      <c r="CQ278" s="29">
        <f>IF(AND(E278&gt;0,AR278=""),1,IF(AR278&gt;E278,1,0))</f>
        <v/>
      </c>
      <c r="CR278" s="29">
        <f>IF(AND(D278&gt;0,OR(AS278="")),1,IF(AS278&gt;D278,1,0))</f>
        <v/>
      </c>
      <c r="CS278" s="29">
        <f>IF(AND(E278&gt;0,OR(AT278="")),1,IF(AT278&gt;E278,1,0))</f>
        <v/>
      </c>
      <c r="CT278" s="29">
        <f>IF(AND(C278&gt;0,AU278=""),1,IF(AU278&gt;C278,1,0))</f>
        <v/>
      </c>
      <c r="CU278" s="29">
        <f>IF(AND(C278&gt;0,AV278=""),1,IF(AV278&gt;C278,1,0))</f>
        <v/>
      </c>
      <c r="CV278" s="29">
        <f>IF(AND(C278&gt;0,AW278=""),1,IF(AW278&gt;C278,1,0))</f>
        <v/>
      </c>
      <c r="CW278" s="29">
        <f>IF(AND(C278&gt;0,AX278=""),1,IF(AX278&gt;C278,1,0))</f>
        <v/>
      </c>
    </row>
    <row r="279" ht="15" customHeight="1" s="8286">
      <c r="A279" s="9933" t="inlineStr">
        <is>
          <t xml:space="preserve">
Demencias (Incluye Alzheimer)</t>
        </is>
      </c>
      <c r="B279" s="2202" t="inlineStr">
        <is>
          <t>Leve</t>
        </is>
      </c>
      <c r="C279" s="2180">
        <f>SUM(D279+E279)</f>
        <v/>
      </c>
      <c r="D279" s="855">
        <f>SUM(F279+H279+J279+L279+N279+P279+R279+T279+V279+X279+Z279+AB279+AD279+AF279+AH279+AJ279+AL279)</f>
        <v/>
      </c>
      <c r="E279" s="2179">
        <f>SUM(G279+I279+K279+M279+O279+Q279+S279+U279+W279+Y279+AA279+AC279+AE279+AG279+AI279+AK279+AM279)</f>
        <v/>
      </c>
      <c r="F279" s="2192" t="n"/>
      <c r="G279" s="2193" t="n"/>
      <c r="H279" s="2192" t="n"/>
      <c r="I279" s="2193" t="n"/>
      <c r="J279" s="2192" t="n"/>
      <c r="K279" s="2193" t="n"/>
      <c r="L279" s="2192" t="n"/>
      <c r="M279" s="2193" t="n"/>
      <c r="N279" s="2192" t="n"/>
      <c r="O279" s="2193" t="n"/>
      <c r="P279" s="2192" t="n"/>
      <c r="Q279" s="2193" t="n"/>
      <c r="R279" s="2022" t="n"/>
      <c r="S279" s="2029" t="n"/>
      <c r="T279" s="2022" t="n"/>
      <c r="U279" s="2029" t="n"/>
      <c r="V279" s="2022" t="n"/>
      <c r="W279" s="2029" t="n"/>
      <c r="X279" s="2022" t="n"/>
      <c r="Y279" s="2029" t="n"/>
      <c r="Z279" s="2022" t="n"/>
      <c r="AA279" s="2029" t="n"/>
      <c r="AB279" s="2022" t="n"/>
      <c r="AC279" s="2029" t="n"/>
      <c r="AD279" s="2022" t="n"/>
      <c r="AE279" s="2029" t="n"/>
      <c r="AF279" s="2022" t="n"/>
      <c r="AG279" s="2029" t="n"/>
      <c r="AH279" s="2022" t="n"/>
      <c r="AI279" s="2029" t="n"/>
      <c r="AJ279" s="2022" t="n"/>
      <c r="AK279" s="2029" t="n"/>
      <c r="AL279" s="2022" t="n"/>
      <c r="AM279" s="2115" t="n"/>
      <c r="AN279" s="1966" t="n"/>
      <c r="AO279" s="1432" t="n"/>
      <c r="AP279" s="1297" t="n"/>
      <c r="AQ279" s="5390" t="n"/>
      <c r="AR279" s="5383" t="n"/>
      <c r="AS279" s="3503" t="n">
        <v>0</v>
      </c>
      <c r="AT279" s="2029" t="n">
        <v>0</v>
      </c>
      <c r="AU279" s="2070" t="n"/>
      <c r="AV279" s="2193" t="n"/>
      <c r="AW279" s="2023" t="n">
        <v>0</v>
      </c>
      <c r="AX279" s="2029" t="n">
        <v>0</v>
      </c>
      <c r="AY279" s="5">
        <f>CA279&amp;CB279&amp;CC279&amp;CD279&amp;CE279&amp;CF279&amp;CG279&amp;CH279&amp;CI279</f>
        <v/>
      </c>
      <c r="AZ279" s="5" t="n"/>
      <c r="BA279" s="5" t="n"/>
      <c r="BB279" s="5" t="n"/>
      <c r="BC279" s="5" t="n"/>
      <c r="BD279" s="5" t="n"/>
      <c r="BE279" s="5" t="n"/>
      <c r="BF279" s="5" t="n"/>
      <c r="BG279" s="5" t="n"/>
      <c r="BH279" s="5" t="n"/>
      <c r="BI279" s="5" t="n"/>
      <c r="BJ279" s="5" t="n"/>
      <c r="BK279" s="5" t="n"/>
      <c r="BL279" s="5" t="n"/>
      <c r="BM279" s="5" t="n"/>
      <c r="BN279" s="5" t="n"/>
      <c r="BO279" s="5" t="n"/>
      <c r="CA279" s="17" t="n"/>
      <c r="CB279" s="126" t="n"/>
      <c r="CC279" s="126" t="n"/>
      <c r="CD279" s="90">
        <f>IF(AND(D279&gt;0,OR(AS279="")), "* No olvide digitar la variable Pueblos originarios Hombres. Digite Cero si no tiene.",IF(AS279&gt;D279,"  * La variable Pueblos originarios Hombres No puede ser mayor al Total Hombres.",""))</f>
        <v/>
      </c>
      <c r="CE279" s="90">
        <f>IF(AND(E279&gt;0,OR(AT279="")), "* No olvide digitar la variable Pueblos originarios Mujeres. Digite Cero si no tiene.",IF(AT279&gt;E279,"  * La variable Pueblos originarios Mujeres No puede ser mayor al Total Mujeres.",""))</f>
        <v/>
      </c>
      <c r="CF279" s="206" t="n"/>
      <c r="CG279" s="206" t="n"/>
      <c r="CH279" s="90">
        <f>IF(AND(C279&gt;0,AW279=""), "* No olvide digitar la variable Migrantes. Digite Cero si no tiene.",IF(AW279&gt;C279,"  * La variable Migrantes No puede ser mayor al Total.",""))</f>
        <v/>
      </c>
      <c r="CI279" s="90">
        <f>IF(AND(C279&gt;0,AX279=""), "* No olvide digitar la variable Trans (Masculino/ Femenino). Digite Cero si no tiene.",IF(AX279&gt;C279,"  * La variable Trans (Masculino/Femenino) No puede ser mayor al Total Ambos Sexos.",""))</f>
        <v/>
      </c>
      <c r="CP279" s="28" t="n"/>
      <c r="CQ279" s="28" t="n"/>
      <c r="CR279" s="29">
        <f>IF(AND(D279&gt;0,OR(AS279="")),1,IF(AS279&gt;D279,1,0))</f>
        <v/>
      </c>
      <c r="CS279" s="29">
        <f>IF(AND(E279&gt;0,OR(AT279="")),1,IF(AT279&gt;E279,1,0))</f>
        <v/>
      </c>
      <c r="CT279" s="207" t="n"/>
      <c r="CU279" s="207" t="n"/>
      <c r="CV279" s="29">
        <f>IF(AND(C279&gt;0,AW279=""),1,IF(AW279&gt;C279,1,0))</f>
        <v/>
      </c>
      <c r="CW279" s="29">
        <f>IF(AND(C279&gt;0,AX279=""),1,IF(AX279&gt;C279,1,0))</f>
        <v/>
      </c>
    </row>
    <row r="280">
      <c r="A280" s="9614" t="n"/>
      <c r="B280" s="2198" t="inlineStr">
        <is>
          <t>Moderado</t>
        </is>
      </c>
      <c r="C280" s="2181">
        <f>SUM(D280+E280)</f>
        <v/>
      </c>
      <c r="D280" s="797">
        <f>SUM(F280+H280+J280+L280+N280+P280+R280+T280+V280+X280+Z280+AB280+AD280+AF280+AH280+AJ280+AL280)</f>
        <v/>
      </c>
      <c r="E280" s="7833">
        <f>SUM(G280+I280+K280+M280+O280+Q280+S280+U280+W280+Y280+AA280+AC280+AE280+AG280+AI280+AK280+AM280)</f>
        <v/>
      </c>
      <c r="F280" s="1951" t="n"/>
      <c r="G280" s="1234" t="n"/>
      <c r="H280" s="1951" t="n"/>
      <c r="I280" s="1234" t="n"/>
      <c r="J280" s="1951" t="n"/>
      <c r="K280" s="1234" t="n"/>
      <c r="L280" s="1951" t="n"/>
      <c r="M280" s="1234" t="n"/>
      <c r="N280" s="1951" t="n"/>
      <c r="O280" s="1234" t="n"/>
      <c r="P280" s="1951" t="n"/>
      <c r="Q280" s="1234" t="n"/>
      <c r="R280" s="1935" t="n"/>
      <c r="S280" s="1186" t="n"/>
      <c r="T280" s="1935" t="n"/>
      <c r="U280" s="1186" t="n"/>
      <c r="V280" s="1935" t="n"/>
      <c r="W280" s="1186" t="n"/>
      <c r="X280" s="1935" t="n"/>
      <c r="Y280" s="1186" t="n"/>
      <c r="Z280" s="1935" t="n"/>
      <c r="AA280" s="1186" t="n"/>
      <c r="AB280" s="1935" t="n"/>
      <c r="AC280" s="1186" t="n"/>
      <c r="AD280" s="1935" t="n"/>
      <c r="AE280" s="1186" t="n"/>
      <c r="AF280" s="1935" t="n"/>
      <c r="AG280" s="1186" t="n"/>
      <c r="AH280" s="1935" t="n"/>
      <c r="AI280" s="1186" t="n"/>
      <c r="AJ280" s="1935" t="n"/>
      <c r="AK280" s="1186" t="n"/>
      <c r="AL280" s="1935" t="n">
        <v>3</v>
      </c>
      <c r="AM280" s="36" t="n">
        <v>1</v>
      </c>
      <c r="AN280" s="1966" t="n"/>
      <c r="AO280" s="1432" t="n">
        <v>2</v>
      </c>
      <c r="AP280" s="1297" t="n">
        <v>2</v>
      </c>
      <c r="AQ280" s="40" t="n"/>
      <c r="AR280" s="5384" t="n"/>
      <c r="AS280" s="5222" t="n">
        <v>0</v>
      </c>
      <c r="AT280" s="1186" t="n">
        <v>0</v>
      </c>
      <c r="AU280" s="2074" t="n"/>
      <c r="AV280" s="1234" t="n"/>
      <c r="AW280" s="1432" t="n">
        <v>0</v>
      </c>
      <c r="AX280" s="1186" t="n">
        <v>0</v>
      </c>
      <c r="AY280" s="5">
        <f>CA280&amp;CB280&amp;CC280&amp;CD280&amp;CE280&amp;CF280&amp;CG280&amp;CH280&amp;CI280</f>
        <v/>
      </c>
      <c r="AZ280" s="5" t="n"/>
      <c r="BA280" s="5" t="n"/>
      <c r="BB280" s="5" t="n"/>
      <c r="BC280" s="5" t="n"/>
      <c r="BD280" s="5" t="n"/>
      <c r="BE280" s="5" t="n"/>
      <c r="BF280" s="5" t="n"/>
      <c r="BG280" s="5" t="n"/>
      <c r="BH280" s="5" t="n"/>
      <c r="BI280" s="5" t="n"/>
      <c r="BJ280" s="5" t="n"/>
      <c r="BK280" s="5" t="n"/>
      <c r="BL280" s="5" t="n"/>
      <c r="BM280" s="5" t="n"/>
      <c r="BN280" s="5" t="n"/>
      <c r="BO280" s="5" t="n"/>
      <c r="CA280" s="17" t="n"/>
      <c r="CB280" s="124" t="n"/>
      <c r="CC280" s="126" t="n"/>
      <c r="CD280" s="90">
        <f>IF(AND(D280&gt;0,OR(AS280="")), "* No olvide digitar la variable Pueblos originarios Hombres. Digite Cero si no tiene.",IF(AS280&gt;D280,"  * La variable Pueblos originarios Hombres No puede ser mayor al Total Hombres.",""))</f>
        <v/>
      </c>
      <c r="CE280" s="90">
        <f>IF(AND(E280&gt;0,OR(AT280="")), "* No olvide digitar la variable Pueblos originarios Mujeres. Digite Cero si no tiene.",IF(AT280&gt;E280,"  * La variable Pueblos originarios Mujeres No puede ser mayor al Total Mujeres.",""))</f>
        <v/>
      </c>
      <c r="CF280" s="206" t="n"/>
      <c r="CG280" s="206" t="n"/>
      <c r="CH280" s="90">
        <f>IF(AND(C280&gt;0,AW280=""), "* No olvide digitar la variable Migrantes. Digite Cero si no tiene.",IF(AW280&gt;C280,"  * La variable Migrantes No puede ser mayor al Total.",""))</f>
        <v/>
      </c>
      <c r="CI280" s="90">
        <f>IF(AND(C280&gt;0,AX280=""), "* No olvide digitar la variable Trans (Masculino/ Femenino). Digite Cero si no tiene.",IF(AX280&gt;C280,"  * La variable Trans (Masculino/Femenino) No puede ser mayor al Total Ambos Sexos.",""))</f>
        <v/>
      </c>
      <c r="CP280" s="28" t="n"/>
      <c r="CQ280" s="28" t="n"/>
      <c r="CR280" s="29">
        <f>IF(AND(D280&gt;0,OR(AS280="")),1,IF(AS280&gt;D280,1,0))</f>
        <v/>
      </c>
      <c r="CS280" s="29">
        <f>IF(AND(E280&gt;0,OR(AT280="")),1,IF(AT280&gt;E280,1,0))</f>
        <v/>
      </c>
      <c r="CT280" s="207" t="n"/>
      <c r="CU280" s="207" t="n"/>
      <c r="CV280" s="29">
        <f>IF(AND(C280&gt;0,AW280=""),1,IF(AW280&gt;C280,1,0))</f>
        <v/>
      </c>
      <c r="CW280" s="29">
        <f>IF(AND(C280&gt;0,AX280=""),1,IF(AX280&gt;C280,1,0))</f>
        <v/>
      </c>
    </row>
    <row r="281">
      <c r="A281" s="9610" t="n"/>
      <c r="B281" s="1239" t="inlineStr">
        <is>
          <t>Avanzado</t>
        </is>
      </c>
      <c r="C281" s="897">
        <f>SUM(D281+E281)</f>
        <v/>
      </c>
      <c r="D281" s="182">
        <f>SUM(F281+H281+J281+L281+N281+P281+R281+T281+V281+X281+Z281+AB281+AD281+AF281+AH281+AJ281+AL281)</f>
        <v/>
      </c>
      <c r="E281" s="2182">
        <f>SUM(G281+I281+K281+M281+O281+Q281+S281+U281+W281+Y281+AA281+AC281+AE281+AG281+AI281+AK281+AM281)</f>
        <v/>
      </c>
      <c r="F281" s="873" t="n"/>
      <c r="G281" s="2234" t="n"/>
      <c r="H281" s="873" t="n"/>
      <c r="I281" s="2234" t="n"/>
      <c r="J281" s="873" t="n"/>
      <c r="K281" s="2234" t="n"/>
      <c r="L281" s="873" t="n"/>
      <c r="M281" s="2234" t="n"/>
      <c r="N281" s="873" t="n"/>
      <c r="O281" s="2234" t="n"/>
      <c r="P281" s="873" t="n"/>
      <c r="Q281" s="2234" t="n"/>
      <c r="R281" s="872" t="n"/>
      <c r="S281" s="1953" t="n"/>
      <c r="T281" s="872" t="n"/>
      <c r="U281" s="1953" t="n"/>
      <c r="V281" s="872" t="n"/>
      <c r="W281" s="1953" t="n"/>
      <c r="X281" s="872" t="n"/>
      <c r="Y281" s="1953" t="n"/>
      <c r="Z281" s="872" t="n"/>
      <c r="AA281" s="1953" t="n"/>
      <c r="AB281" s="872" t="n"/>
      <c r="AC281" s="1953" t="n"/>
      <c r="AD281" s="872" t="n"/>
      <c r="AE281" s="1953" t="n"/>
      <c r="AF281" s="872" t="n"/>
      <c r="AG281" s="1953" t="n"/>
      <c r="AH281" s="872" t="n"/>
      <c r="AI281" s="1953" t="n"/>
      <c r="AJ281" s="872" t="n"/>
      <c r="AK281" s="1953" t="n"/>
      <c r="AL281" s="872" t="n"/>
      <c r="AM281" s="2183" t="n"/>
      <c r="AN281" s="159" t="n"/>
      <c r="AO281" s="1434" t="n"/>
      <c r="AP281" s="1954" t="n"/>
      <c r="AQ281" s="5391" t="n"/>
      <c r="AR281" s="5385" t="n"/>
      <c r="AS281" s="5380" t="n">
        <v>0</v>
      </c>
      <c r="AT281" s="1953" t="n">
        <v>0</v>
      </c>
      <c r="AU281" s="2075" t="n"/>
      <c r="AV281" s="2234" t="n"/>
      <c r="AW281" s="1434" t="n">
        <v>0</v>
      </c>
      <c r="AX281" s="1953" t="n">
        <v>0</v>
      </c>
      <c r="AY281" s="5">
        <f>CA281&amp;CB281&amp;CC281&amp;CD281&amp;CE281&amp;CF281&amp;CG281&amp;CH281&amp;CI281</f>
        <v/>
      </c>
      <c r="AZ281" s="5" t="n"/>
      <c r="BA281" s="5" t="n"/>
      <c r="BB281" s="5" t="n"/>
      <c r="BC281" s="5" t="n"/>
      <c r="BD281" s="5" t="n"/>
      <c r="BE281" s="5" t="n"/>
      <c r="BF281" s="5" t="n"/>
      <c r="BG281" s="5" t="n"/>
      <c r="BH281" s="5" t="n"/>
      <c r="BI281" s="5" t="n"/>
      <c r="BJ281" s="5" t="n"/>
      <c r="BK281" s="5" t="n"/>
      <c r="BL281" s="5" t="n"/>
      <c r="BM281" s="5" t="n"/>
      <c r="BN281" s="5" t="n"/>
      <c r="BO281" s="5" t="n"/>
      <c r="CA281" s="17" t="n"/>
      <c r="CB281" s="124" t="n"/>
      <c r="CC281" s="126" t="n"/>
      <c r="CD281" s="90">
        <f>IF(AND(D281&gt;0,OR(AS281="")), "* No olvide digitar la variable Pueblos originarios Hombres. Digite Cero si no tiene.",IF(AS281&gt;D281,"  * La variable Pueblos originarios Hombres No puede ser mayor al Total Hombres.",""))</f>
        <v/>
      </c>
      <c r="CE281" s="90">
        <f>IF(AND(E281&gt;0,OR(AT281="")), "* No olvide digitar la variable Pueblos originarios Mujeres. Digite Cero si no tiene.",IF(AT281&gt;E281,"  * La variable Pueblos originarios Mujeres No puede ser mayor al Total Mujeres.",""))</f>
        <v/>
      </c>
      <c r="CF281" s="206" t="n"/>
      <c r="CG281" s="206" t="n"/>
      <c r="CH281" s="90">
        <f>IF(AND(C281&gt;0,AW281=""), "* No olvide digitar la variable Migrantes. Digite Cero si no tiene.",IF(AW281&gt;C281,"  * La variable Migrantes No puede ser mayor al Total.",""))</f>
        <v/>
      </c>
      <c r="CI281" s="90">
        <f>IF(AND(C281&gt;0,AX281=""), "* No olvide digitar la variable Trans (Masculino/ Femenino). Digite Cero si no tiene.",IF(AX281&gt;C281,"  * La variable Trans (Masculino/Femenino) No puede ser mayor al Total Ambos Sexos.",""))</f>
        <v/>
      </c>
      <c r="CP281" s="28" t="n"/>
      <c r="CQ281" s="28" t="n"/>
      <c r="CR281" s="29">
        <f>IF(AND(D281&gt;0,OR(AS281="")),1,IF(AS281&gt;D281,1,0))</f>
        <v/>
      </c>
      <c r="CS281" s="29">
        <f>IF(AND(E281&gt;0,OR(AT281="")),1,IF(AT281&gt;E281,1,0))</f>
        <v/>
      </c>
      <c r="CT281" s="207" t="n"/>
      <c r="CU281" s="207" t="n"/>
      <c r="CV281" s="29">
        <f>IF(AND(C281&gt;0,AW281=""),1,IF(AW281&gt;C281,1,0))</f>
        <v/>
      </c>
      <c r="CW281" s="29">
        <f>IF(AND(C281&gt;0,AX281=""),1,IF(AX281&gt;C281,1,0))</f>
        <v/>
      </c>
    </row>
    <row r="282">
      <c r="A282" s="9928" t="inlineStr">
        <is>
          <t>Esquizofrenia</t>
        </is>
      </c>
      <c r="B282" s="9643" t="n"/>
      <c r="C282" s="2180">
        <f>SUM(D282+E282)</f>
        <v/>
      </c>
      <c r="D282" s="855">
        <f>SUM(F282+H282+J282+L282+N282+P282+R282+T282+V282+X282+Z282+AB282+AD282+AF282+AH282+AJ282+AL282)</f>
        <v/>
      </c>
      <c r="E282" s="2179">
        <f>SUM(G282+I282+K282+M282+O282+Q282+S282+U282+W282+Y282+AA282+AC282+AE282+AG282+AI282+AK282+AM282)</f>
        <v/>
      </c>
      <c r="F282" s="2022" t="n"/>
      <c r="G282" s="2029" t="n"/>
      <c r="H282" s="2022" t="n"/>
      <c r="I282" s="2029" t="n"/>
      <c r="J282" s="2022" t="n"/>
      <c r="K282" s="2029" t="n"/>
      <c r="L282" s="2022" t="n"/>
      <c r="M282" s="2029" t="n"/>
      <c r="N282" s="2022" t="n"/>
      <c r="O282" s="2029" t="n"/>
      <c r="P282" s="2022" t="n"/>
      <c r="Q282" s="2029" t="n"/>
      <c r="R282" s="2022" t="n"/>
      <c r="S282" s="2029" t="n"/>
      <c r="T282" s="2022" t="n"/>
      <c r="U282" s="2029" t="n"/>
      <c r="V282" s="2022" t="n"/>
      <c r="W282" s="2029" t="n"/>
      <c r="X282" s="2022" t="n"/>
      <c r="Y282" s="2029" t="n"/>
      <c r="Z282" s="2022" t="n"/>
      <c r="AA282" s="2029" t="n"/>
      <c r="AB282" s="2022" t="n">
        <v>1</v>
      </c>
      <c r="AC282" s="2029" t="n"/>
      <c r="AD282" s="2022" t="n"/>
      <c r="AE282" s="2029" t="n"/>
      <c r="AF282" s="2022" t="n"/>
      <c r="AG282" s="2029" t="n"/>
      <c r="AH282" s="2022" t="n"/>
      <c r="AI282" s="2029" t="n"/>
      <c r="AJ282" s="2022" t="n"/>
      <c r="AK282" s="2029" t="n"/>
      <c r="AL282" s="2022" t="n"/>
      <c r="AM282" s="2115" t="n"/>
      <c r="AN282" s="2025" t="n"/>
      <c r="AO282" s="2023" t="n"/>
      <c r="AP282" s="1983" t="n"/>
      <c r="AQ282" s="4512" t="n">
        <v>0</v>
      </c>
      <c r="AR282" s="5189" t="n">
        <v>0</v>
      </c>
      <c r="AS282" s="3503" t="n">
        <v>0</v>
      </c>
      <c r="AT282" s="2029" t="n">
        <v>0</v>
      </c>
      <c r="AU282" s="2023" t="n">
        <v>0</v>
      </c>
      <c r="AV282" s="2029" t="n">
        <v>0</v>
      </c>
      <c r="AW282" s="2023" t="n">
        <v>0</v>
      </c>
      <c r="AX282" s="2029" t="n">
        <v>0</v>
      </c>
      <c r="AY282" s="5">
        <f>CA282&amp;CB282&amp;CC282&amp;CD282&amp;CE282&amp;CF282&amp;CG282&amp;CH282&amp;CI282</f>
        <v/>
      </c>
      <c r="AZ282" s="5" t="n"/>
      <c r="BA282" s="5" t="n"/>
      <c r="BB282" s="5" t="n"/>
      <c r="BC282" s="5" t="n"/>
      <c r="BD282" s="5" t="n"/>
      <c r="BE282" s="5" t="n"/>
      <c r="BF282" s="5" t="n"/>
      <c r="BG282" s="5" t="n"/>
      <c r="BH282" s="5" t="n"/>
      <c r="BI282" s="5" t="n"/>
      <c r="BJ282" s="5" t="n"/>
      <c r="BK282" s="5" t="n"/>
      <c r="BL282" s="5" t="n"/>
      <c r="BM282" s="5" t="n"/>
      <c r="BN282" s="5" t="n"/>
      <c r="BO282" s="5" t="n"/>
      <c r="CA282" s="17" t="n"/>
      <c r="CB282" s="90">
        <f>IF(AND(E282&gt;0,AQ282=""), "* No olvide digitar la variable Gestantes. Digite Cero si no tiene.",IF(AQ282&gt;E282,"  * La variable Gestantes No puede ser mayor al Total Mujeres.",""))</f>
        <v/>
      </c>
      <c r="CC282" s="90">
        <f>IF(AND(E282&gt;0,AR282=""), "* No olvide digitar la variable Madre de hijo menor de 5 años. Digite Cero si no tiene.",IF(AR282&gt;E282,"  * La variable Madre de hijo menor de 5 años No puede ser mayor al Total Mujeres.",""))</f>
        <v/>
      </c>
      <c r="CD282" s="90">
        <f>IF(AND(D282&gt;0,OR(AS282="")), "* No olvide digitar la variable Pueblos originarios Hombres. Digite Cero si no tiene.",IF(AS282&gt;D282,"  * La variable Pueblos originarios Hombres No puede ser mayor al Total Hombres.",""))</f>
        <v/>
      </c>
      <c r="CE282" s="90">
        <f>IF(AND(E282&gt;0,OR(AT282="")), "* No olvide digitar la variable Pueblos originarios Mujeres. Digite Cero si no tiene.",IF(AT282&gt;E282,"  * La variable Pueblos originarios Mujeres No puede ser mayor al Total Mujeres.",""))</f>
        <v/>
      </c>
      <c r="CF282" s="90">
        <f>IF(AND(C282&gt;0,AU282=""), "* No olvide digitar la variable SENAME/ Servicio Nacional de Reinserción social Juvenil . Digite Cero si no tiene.",IF(AU282&gt;C282,"  * La variable SENAME/ Servicio Nacional de Reinserción social Juvenil  No puede ser mayor al Total.",""))</f>
        <v/>
      </c>
      <c r="CG282" s="90">
        <f>IF(AND(C282&gt;0,AV282=""), "* No olvide digitar la variable Servicio Nacional Protección Especializada a la Niñez y Adolescencia. Digite Cero si no tiene.",IF(AV282&gt;C282,"  * La variable NServicio Nacional Protección Especializada a la Niñez y Adolescencia No puede ser mayor al Total.",""))</f>
        <v/>
      </c>
      <c r="CH282" s="90">
        <f>IF(AND(C282&gt;0,AW282=""), "* No olvide digitar la variable Migrantes. Digite Cero si no tiene.",IF(AW282&gt;C282,"  * La variable Migrantes No puede ser mayor al Total.",""))</f>
        <v/>
      </c>
      <c r="CI282" s="90">
        <f>IF(AND(C282&gt;0,AX282=""), "* No olvide digitar la variable Trans (Masculino/ Femenino). Digite Cero si no tiene.",IF(AX282&gt;C282,"  * La variable Trans (Masculino/Femenino) No puede ser mayor al Total Ambos Sexos.",""))</f>
        <v/>
      </c>
      <c r="CP282" s="29">
        <f>IF(AND(E282&gt;0,AQ282=""),1,IF(AQ282&gt;E282,1,0))</f>
        <v/>
      </c>
      <c r="CQ282" s="29">
        <f>IF(AND(E282&gt;0,AR282=""),1,IF(AR282&gt;E282,1,0))</f>
        <v/>
      </c>
      <c r="CR282" s="29">
        <f>IF(AND(D282&gt;0,OR(AS282="")),1,IF(AS282&gt;D282,1,0))</f>
        <v/>
      </c>
      <c r="CS282" s="29">
        <f>IF(AND(E282&gt;0,OR(AT282="")),1,IF(AT282&gt;E282,1,0))</f>
        <v/>
      </c>
      <c r="CT282" s="29">
        <f>IF(AND(C282&gt;0,AU282=""),1,IF(AU282&gt;C282,1,0))</f>
        <v/>
      </c>
      <c r="CU282" s="29">
        <f>IF(AND(C282&gt;0,AV282=""),1,IF(AV282&gt;C282,1,0))</f>
        <v/>
      </c>
      <c r="CV282" s="29">
        <f>IF(AND(C282&gt;0,AW282=""),1,IF(AW282&gt;C282,1,0))</f>
        <v/>
      </c>
      <c r="CW282" s="29">
        <f>IF(AND(C282&gt;0,AX282=""),1,IF(AX282&gt;C282,1,0))</f>
        <v/>
      </c>
    </row>
    <row r="283">
      <c r="A283" s="3877" t="inlineStr">
        <is>
          <t>Trastorno Adaptativo</t>
        </is>
      </c>
      <c r="B283" s="9644" t="n"/>
      <c r="C283" s="1283">
        <f>SUM(D283+E283)</f>
        <v/>
      </c>
      <c r="D283" s="2197">
        <f>SUM(F283+H283+J283+L283+N283+P283+R283+T283+V283+X283+Z283+AB283+AD283+AF283+AH283+AJ283+AL283)</f>
        <v/>
      </c>
      <c r="E283" s="7750">
        <f>SUM(G283+I283+K283+M283+O283+Q283+S283+U283+W283+Y283+AA283+AC283+AE283+AG283+AI283+AK283+AM283)</f>
        <v/>
      </c>
      <c r="F283" s="1935" t="n"/>
      <c r="G283" s="1186" t="n"/>
      <c r="H283" s="1935" t="n"/>
      <c r="I283" s="1186" t="n"/>
      <c r="J283" s="1935" t="n"/>
      <c r="K283" s="1186" t="n"/>
      <c r="L283" s="1935" t="n"/>
      <c r="M283" s="1186" t="n"/>
      <c r="N283" s="1935" t="n"/>
      <c r="O283" s="1186" t="n"/>
      <c r="P283" s="1935" t="n"/>
      <c r="Q283" s="1186" t="n"/>
      <c r="R283" s="1935" t="n"/>
      <c r="S283" s="1186" t="n"/>
      <c r="T283" s="1935" t="n"/>
      <c r="U283" s="1186" t="n"/>
      <c r="V283" s="1935" t="n"/>
      <c r="W283" s="1186" t="n"/>
      <c r="X283" s="1935" t="n"/>
      <c r="Y283" s="1186" t="n"/>
      <c r="Z283" s="1935" t="n"/>
      <c r="AA283" s="1186" t="n"/>
      <c r="AB283" s="1935" t="n"/>
      <c r="AC283" s="1186" t="n"/>
      <c r="AD283" s="1935" t="n"/>
      <c r="AE283" s="1186" t="n"/>
      <c r="AF283" s="1935" t="n"/>
      <c r="AG283" s="1186" t="n"/>
      <c r="AH283" s="1935" t="n"/>
      <c r="AI283" s="1186" t="n"/>
      <c r="AJ283" s="1935" t="n"/>
      <c r="AK283" s="1186" t="n"/>
      <c r="AL283" s="1935" t="n"/>
      <c r="AM283" s="36" t="n"/>
      <c r="AN283" s="1966" t="n"/>
      <c r="AO283" s="1432" t="n"/>
      <c r="AP283" s="1297" t="n"/>
      <c r="AQ283" s="36" t="n">
        <v>0</v>
      </c>
      <c r="AR283" s="1964" t="n">
        <v>0</v>
      </c>
      <c r="AS283" s="5222" t="n">
        <v>0</v>
      </c>
      <c r="AT283" s="1186" t="n">
        <v>0</v>
      </c>
      <c r="AU283" s="1432" t="n">
        <v>0</v>
      </c>
      <c r="AV283" s="1186" t="n">
        <v>0</v>
      </c>
      <c r="AW283" s="1432" t="n">
        <v>0</v>
      </c>
      <c r="AX283" s="1186" t="n">
        <v>0</v>
      </c>
      <c r="AY283" s="5">
        <f>CA283&amp;CB283&amp;CC283&amp;CD283&amp;CE283&amp;CF283&amp;CG283&amp;CH283&amp;CI283</f>
        <v/>
      </c>
      <c r="AZ283" s="5" t="n"/>
      <c r="BA283" s="5" t="n"/>
      <c r="BB283" s="5" t="n"/>
      <c r="BC283" s="5" t="n"/>
      <c r="BD283" s="5" t="n"/>
      <c r="BE283" s="5" t="n"/>
      <c r="BF283" s="5" t="n"/>
      <c r="BG283" s="5" t="n"/>
      <c r="BH283" s="5" t="n"/>
      <c r="BI283" s="5" t="n"/>
      <c r="BJ283" s="5" t="n"/>
      <c r="BK283" s="5" t="n"/>
      <c r="BL283" s="5" t="n"/>
      <c r="BM283" s="5" t="n"/>
      <c r="BN283" s="5" t="n"/>
      <c r="BO283" s="5" t="n"/>
      <c r="CA283" s="17" t="n"/>
      <c r="CB283" s="90">
        <f>IF(AND(E283&gt;0,AQ283=""), "* No olvide digitar la variable Gestantes. Digite Cero si no tiene.",IF(AQ283&gt;E283,"  * La variable Gestantes No puede ser mayor al Total Mujeres.",""))</f>
        <v/>
      </c>
      <c r="CC283" s="90">
        <f>IF(AND(E283&gt;0,AR283=""), "* No olvide digitar la variable Madre de hijo menor de 5 años. Digite Cero si no tiene.",IF(AR283&gt;E283,"  * La variable Madre de hijo menor de 5 años No puede ser mayor al Total Mujeres.",""))</f>
        <v/>
      </c>
      <c r="CD283" s="90">
        <f>IF(AND(D283&gt;0,OR(AS283="")), "* No olvide digitar la variable Pueblos originarios Hombres. Digite Cero si no tiene.",IF(AS283&gt;D283,"  * La variable Pueblos originarios Hombres No puede ser mayor al Total Hombres.",""))</f>
        <v/>
      </c>
      <c r="CE283" s="90">
        <f>IF(AND(E283&gt;0,OR(AT283="")), "* No olvide digitar la variable Pueblos originarios Mujeres. Digite Cero si no tiene.",IF(AT283&gt;E283,"  * La variable Pueblos originarios Mujeres No puede ser mayor al Total Mujeres.",""))</f>
        <v/>
      </c>
      <c r="CF283" s="90">
        <f>IF(AND(C283&gt;0,AU283=""), "* No olvide digitar la variable SENAME/ Servicio Nacional de Reinserción social Juvenil . Digite Cero si no tiene.",IF(AU283&gt;C283,"  * La variable SENAME/ Servicio Nacional de Reinserción social Juvenil  No puede ser mayor al Total.",""))</f>
        <v/>
      </c>
      <c r="CG283" s="90">
        <f>IF(AND(C283&gt;0,AV283=""), "* No olvide digitar la variable Servicio Nacional Protección Especializada a la Niñez y Adolescencia. Digite Cero si no tiene.",IF(AV283&gt;C283,"  * La variable NServicio Nacional Protección Especializada a la Niñez y Adolescencia No puede ser mayor al Total.",""))</f>
        <v/>
      </c>
      <c r="CH283" s="90">
        <f>IF(AND(C283&gt;0,AW283=""), "* No olvide digitar la variable Migrantes. Digite Cero si no tiene.",IF(AW283&gt;C283,"  * La variable Migrantes No puede ser mayor al Total.",""))</f>
        <v/>
      </c>
      <c r="CI283" s="90">
        <f>IF(AND(C283&gt;0,AX283=""), "* No olvide digitar la variable Trans (Masculino/ Femenino). Digite Cero si no tiene.",IF(AX283&gt;C283,"  * La variable Trans (Masculino/Femenino) No puede ser mayor al Total Ambos Sexos.",""))</f>
        <v/>
      </c>
      <c r="CP283" s="29">
        <f>IF(AND(E283&gt;0,AQ283=""),1,IF(AQ283&gt;E283,1,0))</f>
        <v/>
      </c>
      <c r="CQ283" s="29">
        <f>IF(AND(E283&gt;0,AR283=""),1,IF(AR283&gt;E283,1,0))</f>
        <v/>
      </c>
      <c r="CR283" s="29">
        <f>IF(AND(D283&gt;0,OR(AS283="")),1,IF(AS283&gt;D283,1,0))</f>
        <v/>
      </c>
      <c r="CS283" s="29">
        <f>IF(AND(E283&gt;0,OR(AT283="")),1,IF(AT283&gt;E283,1,0))</f>
        <v/>
      </c>
      <c r="CT283" s="29">
        <f>IF(AND(C283&gt;0,AU283=""),1,IF(AU283&gt;C283,1,0))</f>
        <v/>
      </c>
      <c r="CU283" s="29">
        <f>IF(AND(C283&gt;0,AV283=""),1,IF(AV283&gt;C283,1,0))</f>
        <v/>
      </c>
      <c r="CV283" s="29">
        <f>IF(AND(C283&gt;0,AW283=""),1,IF(AW283&gt;C283,1,0))</f>
        <v/>
      </c>
      <c r="CW283" s="29">
        <f>IF(AND(C283&gt;0,AX283=""),1,IF(AX283&gt;C283,1,0))</f>
        <v/>
      </c>
    </row>
    <row r="284" ht="15" customHeight="1" s="8286">
      <c r="A284" s="4064" t="inlineStr">
        <is>
          <t>Trastornos de la Conducta Alimentaria</t>
        </is>
      </c>
      <c r="B284" s="9644" t="n"/>
      <c r="C284" s="1283">
        <f>SUM(D284+E284)</f>
        <v/>
      </c>
      <c r="D284" s="2197">
        <f>SUM(F284+H284+J284+L284+N284+P284+R284+T284+V284+X284+Z284+AB284+AD284+AF284+AH284+AJ284+AL284)</f>
        <v/>
      </c>
      <c r="E284" s="7750">
        <f>SUM(G284+I284+K284+M284+O284+Q284+S284+U284+W284+Y284+AA284+AC284+AE284+AG284+AI284+AK284+AM284)</f>
        <v/>
      </c>
      <c r="F284" s="1172" t="n"/>
      <c r="G284" s="1173" t="n"/>
      <c r="H284" s="1172" t="n"/>
      <c r="I284" s="1173" t="n"/>
      <c r="J284" s="1172" t="n"/>
      <c r="K284" s="1173" t="n"/>
      <c r="L284" s="1172" t="n"/>
      <c r="M284" s="1173" t="n">
        <v>1</v>
      </c>
      <c r="N284" s="1172" t="n"/>
      <c r="O284" s="1173" t="n"/>
      <c r="P284" s="1172" t="n"/>
      <c r="Q284" s="1173" t="n"/>
      <c r="R284" s="1172" t="n"/>
      <c r="S284" s="1173" t="n"/>
      <c r="T284" s="1172" t="n"/>
      <c r="U284" s="1173" t="n"/>
      <c r="V284" s="1172" t="n"/>
      <c r="W284" s="1173" t="n"/>
      <c r="X284" s="1172" t="n"/>
      <c r="Y284" s="1173" t="n"/>
      <c r="Z284" s="1172" t="n"/>
      <c r="AA284" s="1173" t="n"/>
      <c r="AB284" s="1172" t="n"/>
      <c r="AC284" s="1173" t="n"/>
      <c r="AD284" s="1172" t="n"/>
      <c r="AE284" s="1173" t="n"/>
      <c r="AF284" s="1172" t="n"/>
      <c r="AG284" s="1173" t="n"/>
      <c r="AH284" s="1172" t="n"/>
      <c r="AI284" s="1173" t="n"/>
      <c r="AJ284" s="1172" t="n"/>
      <c r="AK284" s="1173" t="n"/>
      <c r="AL284" s="1172" t="n"/>
      <c r="AM284" s="1222" t="n"/>
      <c r="AN284" s="1966" t="n"/>
      <c r="AO284" s="1432" t="n"/>
      <c r="AP284" s="1297" t="n"/>
      <c r="AQ284" s="3895" t="n">
        <v>0</v>
      </c>
      <c r="AR284" s="3892" t="n">
        <v>0</v>
      </c>
      <c r="AS284" s="3789" t="n">
        <v>0</v>
      </c>
      <c r="AT284" s="1173" t="n">
        <v>0</v>
      </c>
      <c r="AU284" s="1174" t="n">
        <v>0</v>
      </c>
      <c r="AV284" s="1173" t="n">
        <v>0</v>
      </c>
      <c r="AW284" s="1174" t="n">
        <v>0</v>
      </c>
      <c r="AX284" s="1173" t="n">
        <v>0</v>
      </c>
      <c r="AY284" s="5">
        <f>CA284&amp;CB284&amp;CC284&amp;CD284&amp;CE284&amp;CF284&amp;CG284&amp;CH284&amp;CI284</f>
        <v/>
      </c>
      <c r="AZ284" s="5" t="n"/>
      <c r="BA284" s="5" t="n"/>
      <c r="BB284" s="5" t="n"/>
      <c r="BC284" s="5" t="n"/>
      <c r="BD284" s="5" t="n"/>
      <c r="BE284" s="5" t="n"/>
      <c r="BF284" s="5" t="n"/>
      <c r="BG284" s="5" t="n"/>
      <c r="BH284" s="5" t="n"/>
      <c r="BI284" s="5" t="n"/>
      <c r="BJ284" s="5" t="n"/>
      <c r="BK284" s="5" t="n"/>
      <c r="BL284" s="5" t="n"/>
      <c r="BM284" s="5" t="n"/>
      <c r="BN284" s="5" t="n"/>
      <c r="BO284" s="5" t="n"/>
      <c r="CA284" s="17" t="n"/>
      <c r="CB284" s="90">
        <f>IF(AND(E284&gt;0,AQ284=""), "* No olvide digitar la variable Gestantes. Digite Cero si no tiene.",IF(AQ284&gt;E284,"  * La variable Gestantes No puede ser mayor al Total Mujeres.",""))</f>
        <v/>
      </c>
      <c r="CC284" s="90">
        <f>IF(AND(E284&gt;0,AR284=""), "* No olvide digitar la variable Madre de hijo menor de 5 años. Digite Cero si no tiene.",IF(AR284&gt;E284,"  * La variable Madre de hijo menor de 5 años No puede ser mayor al Total Mujeres.",""))</f>
        <v/>
      </c>
      <c r="CD284" s="90">
        <f>IF(AND(D284&gt;0,OR(AS284="")), "* No olvide digitar la variable Pueblos originarios Hombres. Digite Cero si no tiene.",IF(AS284&gt;D284,"  * La variable Pueblos originarios Hombres No puede ser mayor al Total Hombres.",""))</f>
        <v/>
      </c>
      <c r="CE284" s="90">
        <f>IF(AND(E284&gt;0,OR(AT284="")), "* No olvide digitar la variable Pueblos originarios Mujeres. Digite Cero si no tiene.",IF(AT284&gt;E284,"  * La variable Pueblos originarios Mujeres No puede ser mayor al Total Mujeres.",""))</f>
        <v/>
      </c>
      <c r="CF284" s="90">
        <f>IF(AND(C284&gt;0,AU284=""), "* No olvide digitar la variable SENAME/ Servicio Nacional de Reinserción social Juvenil . Digite Cero si no tiene.",IF(AU284&gt;C284,"  * La variable SENAME/ Servicio Nacional de Reinserción social Juvenil  No puede ser mayor al Total.",""))</f>
        <v/>
      </c>
      <c r="CG284" s="90">
        <f>IF(AND(C284&gt;0,AV284=""), "* No olvide digitar la variable Servicio Nacional Protección Especializada a la Niñez y Adolescencia. Digite Cero si no tiene.",IF(AV284&gt;C284,"  * La variable NServicio Nacional Protección Especializada a la Niñez y Adolescencia No puede ser mayor al Total.",""))</f>
        <v/>
      </c>
      <c r="CH284" s="90">
        <f>IF(AND(C284&gt;0,AW284=""), "* No olvide digitar la variable Migrantes. Digite Cero si no tiene.",IF(AW284&gt;C284,"  * La variable Migrantes No puede ser mayor al Total.",""))</f>
        <v/>
      </c>
      <c r="CI284" s="90">
        <f>IF(AND(C284&gt;0,AX284=""), "* No olvide digitar la variable Trans (Masculino/ Femenino). Digite Cero si no tiene.",IF(AX284&gt;C284,"  * La variable Trans (Masculino/Femenino) No puede ser mayor al Total Ambos Sexos.",""))</f>
        <v/>
      </c>
      <c r="CP284" s="29">
        <f>IF(AND(E284&gt;0,AQ284=""),1,IF(AQ284&gt;E284,1,0))</f>
        <v/>
      </c>
      <c r="CQ284" s="29">
        <f>IF(AND(E284&gt;0,AR284=""),1,IF(AR284&gt;E284,1,0))</f>
        <v/>
      </c>
      <c r="CR284" s="29">
        <f>IF(AND(D284&gt;0,OR(AS284="")),1,IF(AS284&gt;D284,1,0))</f>
        <v/>
      </c>
      <c r="CS284" s="29">
        <f>IF(AND(E284&gt;0,OR(AT284="")),1,IF(AT284&gt;E284,1,0))</f>
        <v/>
      </c>
      <c r="CT284" s="29">
        <f>IF(AND(C284&gt;0,AU284=""),1,IF(AU284&gt;C284,1,0))</f>
        <v/>
      </c>
      <c r="CU284" s="29">
        <f>IF(AND(C284&gt;0,AV284=""),1,IF(AV284&gt;C284,1,0))</f>
        <v/>
      </c>
      <c r="CV284" s="29">
        <f>IF(AND(C284&gt;0,AW284=""),1,IF(AW284&gt;C284,1,0))</f>
        <v/>
      </c>
      <c r="CW284" s="29">
        <f>IF(AND(C284&gt;0,AX284=""),1,IF(AX284&gt;C284,1,0))</f>
        <v/>
      </c>
    </row>
    <row r="285">
      <c r="A285" s="4064" t="inlineStr">
        <is>
          <t>Retraso Mental</t>
        </is>
      </c>
      <c r="B285" s="9644" t="n"/>
      <c r="C285" s="1283">
        <f>SUM(D285+E285)</f>
        <v/>
      </c>
      <c r="D285" s="2197">
        <f>SUM(F285+H285+J285+L285+N285+P285+R285+T285+V285+X285+Z285+AB285+AD285+AF285+AH285+AJ285+AL285)</f>
        <v/>
      </c>
      <c r="E285" s="7750">
        <f>SUM(G285+I285+K285+M285+O285+Q285+S285+U285+W285+Y285+AA285+AC285+AE285+AG285+AI285+AK285+AM285)</f>
        <v/>
      </c>
      <c r="F285" s="1172" t="n"/>
      <c r="G285" s="1173" t="n"/>
      <c r="H285" s="1172" t="n"/>
      <c r="I285" s="1173" t="n"/>
      <c r="J285" s="1172" t="n"/>
      <c r="K285" s="1173" t="n"/>
      <c r="L285" s="1172" t="n"/>
      <c r="M285" s="1173" t="n"/>
      <c r="N285" s="1172" t="n"/>
      <c r="O285" s="1173" t="n"/>
      <c r="P285" s="1172" t="n"/>
      <c r="Q285" s="1173" t="n"/>
      <c r="R285" s="1172" t="n"/>
      <c r="S285" s="1173" t="n"/>
      <c r="T285" s="1172" t="n"/>
      <c r="U285" s="1173" t="n"/>
      <c r="V285" s="1172" t="n"/>
      <c r="W285" s="1173" t="n"/>
      <c r="X285" s="1172" t="n"/>
      <c r="Y285" s="1173" t="n"/>
      <c r="Z285" s="1172" t="n"/>
      <c r="AA285" s="1173" t="n"/>
      <c r="AB285" s="1172" t="n"/>
      <c r="AC285" s="1173" t="n"/>
      <c r="AD285" s="1172" t="n"/>
      <c r="AE285" s="1173" t="n"/>
      <c r="AF285" s="1172" t="n"/>
      <c r="AG285" s="1173" t="n"/>
      <c r="AH285" s="1172" t="n"/>
      <c r="AI285" s="1173" t="n"/>
      <c r="AJ285" s="1172" t="n"/>
      <c r="AK285" s="1173" t="n"/>
      <c r="AL285" s="1172" t="n"/>
      <c r="AM285" s="1222" t="n"/>
      <c r="AN285" s="1966" t="n"/>
      <c r="AO285" s="1432" t="n"/>
      <c r="AP285" s="1297" t="n"/>
      <c r="AQ285" s="3895" t="n">
        <v>0</v>
      </c>
      <c r="AR285" s="3892" t="n">
        <v>0</v>
      </c>
      <c r="AS285" s="3789" t="n">
        <v>0</v>
      </c>
      <c r="AT285" s="1173" t="n">
        <v>0</v>
      </c>
      <c r="AU285" s="1174" t="n">
        <v>0</v>
      </c>
      <c r="AV285" s="1173" t="n">
        <v>0</v>
      </c>
      <c r="AW285" s="1174" t="n">
        <v>0</v>
      </c>
      <c r="AX285" s="1173" t="n">
        <v>0</v>
      </c>
      <c r="AY285" s="5">
        <f>CA285&amp;CB285&amp;CC285&amp;CD285&amp;CE285&amp;CF285&amp;CG285&amp;CH285&amp;CI285</f>
        <v/>
      </c>
      <c r="AZ285" s="5" t="n"/>
      <c r="BA285" s="5" t="n"/>
      <c r="BB285" s="5" t="n"/>
      <c r="BC285" s="5" t="n"/>
      <c r="BD285" s="5" t="n"/>
      <c r="BE285" s="5" t="n"/>
      <c r="BF285" s="5" t="n"/>
      <c r="BG285" s="5" t="n"/>
      <c r="BH285" s="5" t="n"/>
      <c r="BI285" s="5" t="n"/>
      <c r="BJ285" s="5" t="n"/>
      <c r="BK285" s="5" t="n"/>
      <c r="BL285" s="5" t="n"/>
      <c r="BM285" s="5" t="n"/>
      <c r="BN285" s="5" t="n"/>
      <c r="BO285" s="5" t="n"/>
      <c r="CA285" s="17" t="n"/>
      <c r="CB285" s="90">
        <f>IF(AND(E285&gt;0,AQ285=""), "* No olvide digitar la variable Gestantes. Digite Cero si no tiene.",IF(AQ285&gt;E285,"  * La variable Gestantes No puede ser mayor al Total Mujeres.",""))</f>
        <v/>
      </c>
      <c r="CC285" s="90">
        <f>IF(AND(E285&gt;0,AR285=""), "* No olvide digitar la variable Madre de hijo menor de 5 años. Digite Cero si no tiene.",IF(AR285&gt;E285,"  * La variable Madre de hijo menor de 5 años No puede ser mayor al Total Mujeres.",""))</f>
        <v/>
      </c>
      <c r="CD285" s="90">
        <f>IF(AND(D285&gt;0,OR(AS285="")), "* No olvide digitar la variable Pueblos originarios Hombres. Digite Cero si no tiene.",IF(AS285&gt;D285,"  * La variable Pueblos originarios Hombres No puede ser mayor al Total Hombres.",""))</f>
        <v/>
      </c>
      <c r="CE285" s="90">
        <f>IF(AND(E285&gt;0,OR(AT285="")), "* No olvide digitar la variable Pueblos originarios Mujeres. Digite Cero si no tiene.",IF(AT285&gt;E285,"  * La variable Pueblos originarios Mujeres No puede ser mayor al Total Mujeres.",""))</f>
        <v/>
      </c>
      <c r="CF285" s="90">
        <f>IF(AND(C285&gt;0,AU285=""), "* No olvide digitar la variable SENAME/ Servicio Nacional de Reinserción social Juvenil . Digite Cero si no tiene.",IF(AU285&gt;C285,"  * La variable SENAME/ Servicio Nacional de Reinserción social Juvenil  No puede ser mayor al Total.",""))</f>
        <v/>
      </c>
      <c r="CG285" s="90">
        <f>IF(AND(C285&gt;0,AV285=""), "* No olvide digitar la variable Servicio Nacional Protección Especializada a la Niñez y Adolescencia. Digite Cero si no tiene.",IF(AV285&gt;C285,"  * La variable NServicio Nacional Protección Especializada a la Niñez y Adolescencia No puede ser mayor al Total.",""))</f>
        <v/>
      </c>
      <c r="CH285" s="90">
        <f>IF(AND(C285&gt;0,AW285=""), "* No olvide digitar la variable Migrantes. Digite Cero si no tiene.",IF(AW285&gt;C285,"  * La variable Migrantes No puede ser mayor al Total.",""))</f>
        <v/>
      </c>
      <c r="CI285" s="90">
        <f>IF(AND(C285&gt;0,AX285=""), "* No olvide digitar la variable Trans (Masculino/ Femenino). Digite Cero si no tiene.",IF(AX285&gt;C285,"  * La variable Trans (Masculino/Femenino) No puede ser mayor al Total Ambos Sexos.",""))</f>
        <v/>
      </c>
      <c r="CP285" s="29">
        <f>IF(AND(E285&gt;0,AQ285=""),1,IF(AQ285&gt;E285,1,0))</f>
        <v/>
      </c>
      <c r="CQ285" s="29">
        <f>IF(AND(E285&gt;0,AR285=""),1,IF(AR285&gt;E285,1,0))</f>
        <v/>
      </c>
      <c r="CR285" s="29">
        <f>IF(AND(D285&gt;0,OR(AS285="")),1,IF(AS285&gt;D285,1,0))</f>
        <v/>
      </c>
      <c r="CS285" s="29">
        <f>IF(AND(E285&gt;0,OR(AT285="")),1,IF(AT285&gt;E285,1,0))</f>
        <v/>
      </c>
      <c r="CT285" s="29">
        <f>IF(AND(C285&gt;0,AU285=""),1,IF(AU285&gt;C285,1,0))</f>
        <v/>
      </c>
      <c r="CU285" s="29">
        <f>IF(AND(C285&gt;0,AV285=""),1,IF(AV285&gt;C285,1,0))</f>
        <v/>
      </c>
      <c r="CV285" s="29">
        <f>IF(AND(C285&gt;0,AW285=""),1,IF(AW285&gt;C285,1,0))</f>
        <v/>
      </c>
      <c r="CW285" s="29">
        <f>IF(AND(C285&gt;0,AX285=""),1,IF(AX285&gt;C285,1,0))</f>
        <v/>
      </c>
    </row>
    <row r="286">
      <c r="A286" s="9929" t="inlineStr">
        <is>
          <t>Trastorno de Personalidad</t>
        </is>
      </c>
      <c r="B286" s="9720" t="n"/>
      <c r="C286" s="1352">
        <f>SUM(D286+E286)</f>
        <v/>
      </c>
      <c r="D286" s="1353">
        <f>SUM(F286+H286+J286+L286+N286+P286+R286+T286+V286+X286+Z286+AB286+AD286+AF286+AH286+AJ286+AL286)</f>
        <v/>
      </c>
      <c r="E286" s="7752">
        <f>SUM(G286+I286+K286+M286+O286+Q286+S286+U286+W286+Y286+AA286+AC286+AE286+AG286+AI286+AK286+AM286)</f>
        <v/>
      </c>
      <c r="F286" s="1172" t="n"/>
      <c r="G286" s="1173" t="n"/>
      <c r="H286" s="1172" t="n"/>
      <c r="I286" s="1173" t="n"/>
      <c r="J286" s="1172" t="n"/>
      <c r="K286" s="1173" t="n"/>
      <c r="L286" s="1172" t="n"/>
      <c r="M286" s="1173" t="n"/>
      <c r="N286" s="1172" t="n"/>
      <c r="O286" s="1173" t="n">
        <v>1</v>
      </c>
      <c r="P286" s="1172" t="n"/>
      <c r="Q286" s="1173" t="n"/>
      <c r="R286" s="1172" t="n"/>
      <c r="S286" s="1173" t="n">
        <v>1</v>
      </c>
      <c r="T286" s="1172" t="n"/>
      <c r="U286" s="1173" t="n"/>
      <c r="V286" s="1172" t="n"/>
      <c r="W286" s="1173" t="n"/>
      <c r="X286" s="1172" t="n"/>
      <c r="Y286" s="1173" t="n"/>
      <c r="Z286" s="1172" t="n"/>
      <c r="AA286" s="1173" t="n"/>
      <c r="AB286" s="1172" t="n"/>
      <c r="AC286" s="1173" t="n"/>
      <c r="AD286" s="1172" t="n"/>
      <c r="AE286" s="1173" t="n"/>
      <c r="AF286" s="1172" t="n"/>
      <c r="AG286" s="1173" t="n"/>
      <c r="AH286" s="1172" t="n"/>
      <c r="AI286" s="1173" t="n"/>
      <c r="AJ286" s="1172" t="n"/>
      <c r="AK286" s="1173" t="n"/>
      <c r="AL286" s="1172" t="n"/>
      <c r="AM286" s="1222" t="n"/>
      <c r="AN286" s="1966" t="n">
        <v>1</v>
      </c>
      <c r="AO286" s="1432" t="n">
        <v>1</v>
      </c>
      <c r="AP286" s="1297" t="n"/>
      <c r="AQ286" s="3895" t="n">
        <v>0</v>
      </c>
      <c r="AR286" s="3892" t="n">
        <v>0</v>
      </c>
      <c r="AS286" s="3789" t="n">
        <v>0</v>
      </c>
      <c r="AT286" s="1173" t="n">
        <v>0</v>
      </c>
      <c r="AU286" s="1174" t="n">
        <v>0</v>
      </c>
      <c r="AV286" s="1173" t="n">
        <v>0</v>
      </c>
      <c r="AW286" s="1174" t="n">
        <v>0</v>
      </c>
      <c r="AX286" s="1173" t="n">
        <v>0</v>
      </c>
      <c r="AY286" s="5">
        <f>CA286&amp;CB286&amp;CC286&amp;CD286&amp;CE286&amp;CF286&amp;CG286&amp;CH286&amp;CI286</f>
        <v/>
      </c>
      <c r="AZ286" s="5" t="n"/>
      <c r="BA286" s="5" t="n"/>
      <c r="BB286" s="5" t="n"/>
      <c r="BC286" s="5" t="n"/>
      <c r="BD286" s="5" t="n"/>
      <c r="BE286" s="5" t="n"/>
      <c r="BF286" s="5" t="n"/>
      <c r="BG286" s="5" t="n"/>
      <c r="BH286" s="5" t="n"/>
      <c r="BI286" s="5" t="n"/>
      <c r="BJ286" s="5" t="n"/>
      <c r="BK286" s="5" t="n"/>
      <c r="BL286" s="5" t="n"/>
      <c r="BM286" s="5" t="n"/>
      <c r="BN286" s="5" t="n"/>
      <c r="BO286" s="5" t="n"/>
      <c r="CA286" s="17" t="n"/>
      <c r="CB286" s="90">
        <f>IF(AND(E286&gt;0,AQ286=""), "* No olvide digitar la variable Gestantes. Digite Cero si no tiene.",IF(AQ286&gt;E286,"  * La variable Gestantes No puede ser mayor al Total Mujeres.",""))</f>
        <v/>
      </c>
      <c r="CC286" s="90">
        <f>IF(AND(E286&gt;0,AR286=""), "* No olvide digitar la variable Madre de hijo menor de 5 años. Digite Cero si no tiene.",IF(AR286&gt;E286,"  * La variable Madre de hijo menor de 5 años No puede ser mayor al Total Mujeres.",""))</f>
        <v/>
      </c>
      <c r="CD286" s="90">
        <f>IF(AND(D286&gt;0,OR(AS286="")), "* No olvide digitar la variable Pueblos originarios Hombres. Digite Cero si no tiene.",IF(AS286&gt;D286,"  * La variable Pueblos originarios Hombres No puede ser mayor al Total Hombres.",""))</f>
        <v/>
      </c>
      <c r="CE286" s="90">
        <f>IF(AND(E286&gt;0,OR(AT286="")), "* No olvide digitar la variable Pueblos originarios Mujeres. Digite Cero si no tiene.",IF(AT286&gt;E286,"  * La variable Pueblos originarios Mujeres No puede ser mayor al Total Mujeres.",""))</f>
        <v/>
      </c>
      <c r="CF286" s="90">
        <f>IF(AND(C286&gt;0,AU286=""), "* No olvide digitar la variable SENAME/ Servicio Nacional de Reinserción social Juvenil . Digite Cero si no tiene.",IF(AU286&gt;C286,"  * La variable SENAME/ Servicio Nacional de Reinserción social Juvenil  No puede ser mayor al Total.",""))</f>
        <v/>
      </c>
      <c r="CG286" s="90">
        <f>IF(AND(C286&gt;0,AV286=""), "* No olvide digitar la variable Servicio Nacional Protección Especializada a la Niñez y Adolescencia. Digite Cero si no tiene.",IF(AV286&gt;C286,"  * La variable NServicio Nacional Protección Especializada a la Niñez y Adolescencia No puede ser mayor al Total.",""))</f>
        <v/>
      </c>
      <c r="CH286" s="90">
        <f>IF(AND(C286&gt;0,AW286=""), "* No olvide digitar la variable Migrantes. Digite Cero si no tiene.",IF(AW286&gt;C286,"  * La variable Migrantes No puede ser mayor al Total.",""))</f>
        <v/>
      </c>
      <c r="CI286" s="90">
        <f>IF(AND(C286&gt;0,AX286=""), "* No olvide digitar la variable Trans (Masculino/ Femenino). Digite Cero si no tiene.",IF(AX286&gt;C286,"  * La variable Trans (Masculino/Femenino) No puede ser mayor al Total Ambos Sexos.",""))</f>
        <v/>
      </c>
      <c r="CP286" s="29">
        <f>IF(AND(E286&gt;0,AQ286=""),1,IF(AQ286&gt;E286,1,0))</f>
        <v/>
      </c>
      <c r="CQ286" s="29">
        <f>IF(AND(E286&gt;0,AR286=""),1,IF(AR286&gt;E286,1,0))</f>
        <v/>
      </c>
      <c r="CR286" s="29">
        <f>IF(AND(D286&gt;0,OR(AS286="")),1,IF(AS286&gt;D286,1,0))</f>
        <v/>
      </c>
      <c r="CS286" s="29">
        <f>IF(AND(E286&gt;0,OR(AT286="")),1,IF(AT286&gt;E286,1,0))</f>
        <v/>
      </c>
      <c r="CT286" s="29">
        <f>IF(AND(C286&gt;0,AU286=""),1,IF(AU286&gt;C286,1,0))</f>
        <v/>
      </c>
      <c r="CU286" s="29">
        <f>IF(AND(C286&gt;0,AV286=""),1,IF(AV286&gt;C286,1,0))</f>
        <v/>
      </c>
      <c r="CV286" s="29">
        <f>IF(AND(C286&gt;0,AW286=""),1,IF(AW286&gt;C286,1,0))</f>
        <v/>
      </c>
      <c r="CW286" s="29">
        <f>IF(AND(C286&gt;0,AX286=""),1,IF(AX286&gt;C286,1,0))</f>
        <v/>
      </c>
    </row>
    <row r="287" ht="15" customHeight="1" s="8286">
      <c r="A287" s="9933" t="inlineStr">
        <is>
          <t>Trastorno Generalizados del Desarrollo</t>
        </is>
      </c>
      <c r="B287" s="2213" t="inlineStr">
        <is>
          <t>Autismo</t>
        </is>
      </c>
      <c r="C287" s="2181">
        <f>SUM(D287+E287)</f>
        <v/>
      </c>
      <c r="D287" s="797">
        <f>SUM(F287+H287+J287+L287+N287+P287+R287+T287+V287+X287+Z287+AB287+AD287+AF287+AH287+AJ287+AL287)</f>
        <v/>
      </c>
      <c r="E287" s="7833">
        <f>SUM(G287+I287+K287+M287+O287+Q287+S287+U287+W287+Y287+AA287+AC287+AE287+AG287+AI287+AK287+AM287)</f>
        <v/>
      </c>
      <c r="F287" s="1179" t="n"/>
      <c r="G287" s="1180" t="n"/>
      <c r="H287" s="1179" t="n"/>
      <c r="I287" s="1180" t="n"/>
      <c r="J287" s="1179" t="n"/>
      <c r="K287" s="1180" t="n"/>
      <c r="L287" s="1179" t="n"/>
      <c r="M287" s="1180" t="n"/>
      <c r="N287" s="1179" t="n"/>
      <c r="O287" s="1180" t="n"/>
      <c r="P287" s="1179" t="n"/>
      <c r="Q287" s="1180" t="n"/>
      <c r="R287" s="1179" t="n"/>
      <c r="S287" s="1180" t="n"/>
      <c r="T287" s="1179" t="n"/>
      <c r="U287" s="1180" t="n"/>
      <c r="V287" s="1179" t="n"/>
      <c r="W287" s="1180" t="n"/>
      <c r="X287" s="1179" t="n"/>
      <c r="Y287" s="1180" t="n"/>
      <c r="Z287" s="1179" t="n"/>
      <c r="AA287" s="1180" t="n"/>
      <c r="AB287" s="1179" t="n"/>
      <c r="AC287" s="1180" t="n"/>
      <c r="AD287" s="1179" t="n"/>
      <c r="AE287" s="1180" t="n"/>
      <c r="AF287" s="1179" t="n"/>
      <c r="AG287" s="1180" t="n"/>
      <c r="AH287" s="1179" t="n"/>
      <c r="AI287" s="1180" t="n"/>
      <c r="AJ287" s="1179" t="n"/>
      <c r="AK287" s="1180" t="n"/>
      <c r="AL287" s="1179" t="n"/>
      <c r="AM287" s="35" t="n"/>
      <c r="AN287" s="1966" t="n"/>
      <c r="AO287" s="1432" t="n"/>
      <c r="AP287" s="1297" t="n"/>
      <c r="AQ287" s="35" t="n">
        <v>0</v>
      </c>
      <c r="AR287" s="1229" t="n">
        <v>0</v>
      </c>
      <c r="AS287" s="1181" t="n">
        <v>0</v>
      </c>
      <c r="AT287" s="1180" t="n">
        <v>0</v>
      </c>
      <c r="AU287" s="1181" t="n">
        <v>0</v>
      </c>
      <c r="AV287" s="1180" t="n">
        <v>0</v>
      </c>
      <c r="AW287" s="1181" t="n">
        <v>0</v>
      </c>
      <c r="AX287" s="1180" t="n">
        <v>0</v>
      </c>
      <c r="AY287" s="5">
        <f>CA287&amp;CB287&amp;CC287&amp;CD287&amp;CE287&amp;CF287&amp;CG287&amp;CH287&amp;CI287</f>
        <v/>
      </c>
      <c r="AZ287" s="5" t="n"/>
      <c r="BA287" s="5" t="n"/>
      <c r="BB287" s="5" t="n"/>
      <c r="BC287" s="5" t="n"/>
      <c r="BD287" s="5" t="n"/>
      <c r="BE287" s="5" t="n"/>
      <c r="BF287" s="5" t="n"/>
      <c r="BG287" s="5" t="n"/>
      <c r="BH287" s="5" t="n"/>
      <c r="BI287" s="5" t="n"/>
      <c r="BJ287" s="5" t="n"/>
      <c r="BK287" s="5" t="n"/>
      <c r="BL287" s="5" t="n"/>
      <c r="BM287" s="5" t="n"/>
      <c r="BN287" s="5" t="n"/>
      <c r="BO287" s="5" t="n"/>
      <c r="CA287" s="17" t="n"/>
      <c r="CB287" s="90">
        <f>IF(AND(E287&gt;0,AQ287=""), "* No olvide digitar la variable Gestantes. Digite Cero si no tiene.",IF(AQ287&gt;E287,"  * La variable Gestantes No puede ser mayor al Total Mujeres.",""))</f>
        <v/>
      </c>
      <c r="CC287" s="90">
        <f>IF(AND(E287&gt;0,AR287=""), "* No olvide digitar la variable Madre de hijo menor de 5 años. Digite Cero si no tiene.",IF(AR287&gt;E287,"  * La variable Madre de hijo menor de 5 años No puede ser mayor al Total Mujeres.",""))</f>
        <v/>
      </c>
      <c r="CD287" s="90">
        <f>IF(AND(D287&gt;0,OR(AS287="")), "* No olvide digitar la variable Pueblos originarios Hombres. Digite Cero si no tiene.",IF(AS287&gt;D287,"  * La variable Pueblos originarios Hombres No puede ser mayor al Total Hombres.",""))</f>
        <v/>
      </c>
      <c r="CE287" s="90">
        <f>IF(AND(E287&gt;0,OR(AT287="")), "* No olvide digitar la variable Pueblos originarios Mujeres. Digite Cero si no tiene.",IF(AT287&gt;E287,"  * La variable Pueblos originarios Mujeres No puede ser mayor al Total Mujeres.",""))</f>
        <v/>
      </c>
      <c r="CF287" s="90">
        <f>IF(AND(C287&gt;0,AU287=""), "* No olvide digitar la variable SENAME/ Servicio Nacional de Reinserción social Juvenil . Digite Cero si no tiene.",IF(AU287&gt;C287,"  * La variable SENAME/ Servicio Nacional de Reinserción social Juvenil  No puede ser mayor al Total.",""))</f>
        <v/>
      </c>
      <c r="CG287" s="90">
        <f>IF(AND(C287&gt;0,AV287=""), "* No olvide digitar la variable Servicio Nacional Protección Especializada a la Niñez y Adolescencia. Digite Cero si no tiene.",IF(AV287&gt;C287,"  * La variable NServicio Nacional Protección Especializada a la Niñez y Adolescencia No puede ser mayor al Total.",""))</f>
        <v/>
      </c>
      <c r="CH287" s="90">
        <f>IF(AND(C287&gt;0,AW287=""), "* No olvide digitar la variable Migrantes. Digite Cero si no tiene.",IF(AW287&gt;C287,"  * La variable Migrantes No puede ser mayor al Total.",""))</f>
        <v/>
      </c>
      <c r="CI287" s="90">
        <f>IF(AND(C287&gt;0,AX287=""), "* No olvide digitar la variable Trans (Masculino/ Femenino). Digite Cero si no tiene.",IF(AX287&gt;C287,"  * La variable Trans (Masculino/Femenino) No puede ser mayor al Total Ambos Sexos.",""))</f>
        <v/>
      </c>
      <c r="CP287" s="29">
        <f>IF(AND(E287&gt;0,AQ287=""),1,IF(AQ287&gt;E287,1,0))</f>
        <v/>
      </c>
      <c r="CQ287" s="29">
        <f>IF(AND(E287&gt;0,AR287=""),1,IF(AR287&gt;E287,1,0))</f>
        <v/>
      </c>
      <c r="CR287" s="29">
        <f>IF(AND(D287&gt;0,OR(AS287="")),1,IF(AS287&gt;D287,1,0))</f>
        <v/>
      </c>
      <c r="CS287" s="29">
        <f>IF(AND(E287&gt;0,OR(AT287="")),1,IF(AT287&gt;E287,1,0))</f>
        <v/>
      </c>
      <c r="CT287" s="29">
        <f>IF(AND(C287&gt;0,AU287=""),1,IF(AU287&gt;C287,1,0))</f>
        <v/>
      </c>
      <c r="CU287" s="29">
        <f>IF(AND(C287&gt;0,AV287=""),1,IF(AV287&gt;C287,1,0))</f>
        <v/>
      </c>
      <c r="CV287" s="29">
        <f>IF(AND(C287&gt;0,AW287=""),1,IF(AW287&gt;C287,1,0))</f>
        <v/>
      </c>
      <c r="CW287" s="29">
        <f>IF(AND(C287&gt;0,AX287=""),1,IF(AX287&gt;C287,1,0))</f>
        <v/>
      </c>
    </row>
    <row r="288">
      <c r="A288" s="9614" t="n"/>
      <c r="B288" s="1209" t="inlineStr">
        <is>
          <t>Asperger</t>
        </is>
      </c>
      <c r="C288" s="1283">
        <f>SUM(D288+E288)</f>
        <v/>
      </c>
      <c r="D288" s="2197">
        <f>SUM(F288+H288+J288+L288+N288+P288+R288+T288+V288+X288+Z288+AB288+AD288+AF288+AH288+AJ288+AL288)</f>
        <v/>
      </c>
      <c r="E288" s="7750">
        <f>SUM(G288+I288+K288+M288+O288+Q288+S288+U288+W288+Y288+AA288+AC288+AE288+AG288+AI288+AK288+AM288)</f>
        <v/>
      </c>
      <c r="F288" s="1179" t="n"/>
      <c r="G288" s="1180" t="n"/>
      <c r="H288" s="1179" t="n"/>
      <c r="I288" s="1180" t="n"/>
      <c r="J288" s="1179" t="n"/>
      <c r="K288" s="1180" t="n"/>
      <c r="L288" s="1179" t="n"/>
      <c r="M288" s="1180" t="n"/>
      <c r="N288" s="1179" t="n"/>
      <c r="O288" s="1180" t="n"/>
      <c r="P288" s="1179" t="n"/>
      <c r="Q288" s="1180" t="n"/>
      <c r="R288" s="1179" t="n"/>
      <c r="S288" s="1180" t="n"/>
      <c r="T288" s="1179" t="n"/>
      <c r="U288" s="1180" t="n"/>
      <c r="V288" s="1179" t="n"/>
      <c r="W288" s="1180" t="n"/>
      <c r="X288" s="1179" t="n"/>
      <c r="Y288" s="1180" t="n"/>
      <c r="Z288" s="1179" t="n"/>
      <c r="AA288" s="1180" t="n"/>
      <c r="AB288" s="1179" t="n"/>
      <c r="AC288" s="1180" t="n"/>
      <c r="AD288" s="1179" t="n"/>
      <c r="AE288" s="1180" t="n"/>
      <c r="AF288" s="1179" t="n"/>
      <c r="AG288" s="1180" t="n"/>
      <c r="AH288" s="1179" t="n"/>
      <c r="AI288" s="1180" t="n"/>
      <c r="AJ288" s="1179" t="n"/>
      <c r="AK288" s="1180" t="n"/>
      <c r="AL288" s="1179" t="n"/>
      <c r="AM288" s="35" t="n"/>
      <c r="AN288" s="1966" t="n"/>
      <c r="AO288" s="1432" t="n"/>
      <c r="AP288" s="1297" t="n"/>
      <c r="AQ288" s="35" t="n">
        <v>0</v>
      </c>
      <c r="AR288" s="1229" t="n">
        <v>0</v>
      </c>
      <c r="AS288" s="1181" t="n">
        <v>0</v>
      </c>
      <c r="AT288" s="1180" t="n">
        <v>0</v>
      </c>
      <c r="AU288" s="1181" t="n">
        <v>0</v>
      </c>
      <c r="AV288" s="1180" t="n">
        <v>0</v>
      </c>
      <c r="AW288" s="1181" t="n">
        <v>0</v>
      </c>
      <c r="AX288" s="1180" t="n">
        <v>0</v>
      </c>
      <c r="AY288" s="5">
        <f>CA288&amp;CB288&amp;CC288&amp;CD288&amp;CE288&amp;CF288&amp;CG288&amp;CH288&amp;CI288</f>
        <v/>
      </c>
      <c r="AZ288" s="5" t="n"/>
      <c r="BA288" s="5" t="n"/>
      <c r="BB288" s="5" t="n"/>
      <c r="BC288" s="5" t="n"/>
      <c r="BD288" s="5" t="n"/>
      <c r="BE288" s="5" t="n"/>
      <c r="BF288" s="5" t="n"/>
      <c r="BG288" s="5" t="n"/>
      <c r="BH288" s="5" t="n"/>
      <c r="BI288" s="5" t="n"/>
      <c r="BJ288" s="5" t="n"/>
      <c r="BK288" s="5" t="n"/>
      <c r="BL288" s="5" t="n"/>
      <c r="BM288" s="5" t="n"/>
      <c r="BN288" s="5" t="n"/>
      <c r="BO288" s="5" t="n"/>
      <c r="CA288" s="17" t="n"/>
      <c r="CB288" s="90">
        <f>IF(AND(E288&gt;0,AQ288=""), "* No olvide digitar la variable Gestantes. Digite Cero si no tiene.",IF(AQ288&gt;E288,"  * La variable Gestantes No puede ser mayor al Total Mujeres.",""))</f>
        <v/>
      </c>
      <c r="CC288" s="90">
        <f>IF(AND(E288&gt;0,AR288=""), "* No olvide digitar la variable Madre de hijo menor de 5 años. Digite Cero si no tiene.",IF(AR288&gt;E288,"  * La variable Madre de hijo menor de 5 años No puede ser mayor al Total Mujeres.",""))</f>
        <v/>
      </c>
      <c r="CD288" s="90">
        <f>IF(AND(D288&gt;0,OR(AS288="")), "* No olvide digitar la variable Pueblos originarios Hombres. Digite Cero si no tiene.",IF(AS288&gt;D288,"  * La variable Pueblos originarios Hombres No puede ser mayor al Total Hombres.",""))</f>
        <v/>
      </c>
      <c r="CE288" s="90">
        <f>IF(AND(E288&gt;0,OR(AT288="")), "* No olvide digitar la variable Pueblos originarios Mujeres. Digite Cero si no tiene.",IF(AT288&gt;E288,"  * La variable Pueblos originarios Mujeres No puede ser mayor al Total Mujeres.",""))</f>
        <v/>
      </c>
      <c r="CF288" s="90">
        <f>IF(AND(C288&gt;0,AU288=""), "* No olvide digitar la variable SENAME/ Servicio Nacional de Reinserción social Juvenil . Digite Cero si no tiene.",IF(AU288&gt;C288,"  * La variable SENAME/ Servicio Nacional de Reinserción social Juvenil  No puede ser mayor al Total.",""))</f>
        <v/>
      </c>
      <c r="CG288" s="90">
        <f>IF(AND(C288&gt;0,AV288=""), "* No olvide digitar la variable Servicio Nacional Protección Especializada a la Niñez y Adolescencia. Digite Cero si no tiene.",IF(AV288&gt;C288,"  * La variable NServicio Nacional Protección Especializada a la Niñez y Adolescencia No puede ser mayor al Total.",""))</f>
        <v/>
      </c>
      <c r="CH288" s="90">
        <f>IF(AND(C288&gt;0,AW288=""), "* No olvide digitar la variable Migrantes. Digite Cero si no tiene.",IF(AW288&gt;C288,"  * La variable Migrantes No puede ser mayor al Total.",""))</f>
        <v/>
      </c>
      <c r="CI288" s="90">
        <f>IF(AND(C288&gt;0,AX288=""), "* No olvide digitar la variable Trans (Masculino/ Femenino). Digite Cero si no tiene.",IF(AX288&gt;C288,"  * La variable Trans (Masculino/Femenino) No puede ser mayor al Total Ambos Sexos.",""))</f>
        <v/>
      </c>
      <c r="CP288" s="29">
        <f>IF(AND(E288&gt;0,AQ288=""),1,IF(AQ288&gt;E288,1,0))</f>
        <v/>
      </c>
      <c r="CQ288" s="29">
        <f>IF(AND(E288&gt;0,AR288=""),1,IF(AR288&gt;E288,1,0))</f>
        <v/>
      </c>
      <c r="CR288" s="29">
        <f>IF(AND(D288&gt;0,OR(AS288="")),1,IF(AS288&gt;D288,1,0))</f>
        <v/>
      </c>
      <c r="CS288" s="29">
        <f>IF(AND(E288&gt;0,OR(AT288="")),1,IF(AT288&gt;E288,1,0))</f>
        <v/>
      </c>
      <c r="CT288" s="29">
        <f>IF(AND(C288&gt;0,AU288=""),1,IF(AU288&gt;C288,1,0))</f>
        <v/>
      </c>
      <c r="CU288" s="29">
        <f>IF(AND(C288&gt;0,AV288=""),1,IF(AV288&gt;C288,1,0))</f>
        <v/>
      </c>
      <c r="CV288" s="29">
        <f>IF(AND(C288&gt;0,AW288=""),1,IF(AW288&gt;C288,1,0))</f>
        <v/>
      </c>
      <c r="CW288" s="29">
        <f>IF(AND(C288&gt;0,AX288=""),1,IF(AX288&gt;C288,1,0))</f>
        <v/>
      </c>
    </row>
    <row r="289">
      <c r="A289" s="9614" t="n"/>
      <c r="B289" s="1209" t="inlineStr">
        <is>
          <t>Síndrome de Rett</t>
        </is>
      </c>
      <c r="C289" s="1283">
        <f>SUM(D289+E289)</f>
        <v/>
      </c>
      <c r="D289" s="2197">
        <f>SUM(F289+H289+J289+L289+N289+P289+R289+T289+V289+X289+Z289+AB289+AD289+AF289+AH289+AJ289+AL289)</f>
        <v/>
      </c>
      <c r="E289" s="7750">
        <f>SUM(G289+I289+K289+M289+O289+Q289+S289+U289+W289+Y289+AA289+AC289+AE289+AG289+AI289+AK289+AM289)</f>
        <v/>
      </c>
      <c r="F289" s="1179" t="n"/>
      <c r="G289" s="1180" t="n"/>
      <c r="H289" s="1179" t="n"/>
      <c r="I289" s="1180" t="n"/>
      <c r="J289" s="1179" t="n"/>
      <c r="K289" s="1180" t="n"/>
      <c r="L289" s="1179" t="n"/>
      <c r="M289" s="1180" t="n"/>
      <c r="N289" s="1179" t="n"/>
      <c r="O289" s="1180" t="n"/>
      <c r="P289" s="1179" t="n"/>
      <c r="Q289" s="1180" t="n"/>
      <c r="R289" s="1179" t="n"/>
      <c r="S289" s="1180" t="n"/>
      <c r="T289" s="1179" t="n"/>
      <c r="U289" s="1180" t="n"/>
      <c r="V289" s="1179" t="n"/>
      <c r="W289" s="1180" t="n"/>
      <c r="X289" s="1179" t="n"/>
      <c r="Y289" s="1180" t="n"/>
      <c r="Z289" s="1179" t="n"/>
      <c r="AA289" s="1180" t="n"/>
      <c r="AB289" s="1179" t="n"/>
      <c r="AC289" s="1180" t="n"/>
      <c r="AD289" s="1179" t="n"/>
      <c r="AE289" s="1180" t="n"/>
      <c r="AF289" s="1179" t="n"/>
      <c r="AG289" s="1180" t="n"/>
      <c r="AH289" s="1179" t="n"/>
      <c r="AI289" s="1180" t="n"/>
      <c r="AJ289" s="1179" t="n"/>
      <c r="AK289" s="1180" t="n"/>
      <c r="AL289" s="1179" t="n"/>
      <c r="AM289" s="35" t="n"/>
      <c r="AN289" s="1966" t="n"/>
      <c r="AO289" s="1432" t="n"/>
      <c r="AP289" s="1297" t="n"/>
      <c r="AQ289" s="35" t="n">
        <v>0</v>
      </c>
      <c r="AR289" s="1229" t="n">
        <v>0</v>
      </c>
      <c r="AS289" s="1181" t="n">
        <v>0</v>
      </c>
      <c r="AT289" s="1180" t="n">
        <v>0</v>
      </c>
      <c r="AU289" s="1181" t="n">
        <v>0</v>
      </c>
      <c r="AV289" s="1180" t="n">
        <v>0</v>
      </c>
      <c r="AW289" s="1181" t="n">
        <v>0</v>
      </c>
      <c r="AX289" s="1180" t="n">
        <v>0</v>
      </c>
      <c r="AY289" s="5">
        <f>CA289&amp;CB289&amp;CC289&amp;CD289&amp;CE289&amp;CF289&amp;CG289&amp;CH289&amp;CI289</f>
        <v/>
      </c>
      <c r="AZ289" s="5" t="n"/>
      <c r="BA289" s="5" t="n"/>
      <c r="BB289" s="5" t="n"/>
      <c r="BC289" s="5" t="n"/>
      <c r="BD289" s="5" t="n"/>
      <c r="BE289" s="5" t="n"/>
      <c r="BF289" s="5" t="n"/>
      <c r="BG289" s="5" t="n"/>
      <c r="BH289" s="5" t="n"/>
      <c r="BI289" s="5" t="n"/>
      <c r="BJ289" s="5" t="n"/>
      <c r="BK289" s="5" t="n"/>
      <c r="BL289" s="5" t="n"/>
      <c r="BM289" s="5" t="n"/>
      <c r="BN289" s="5" t="n"/>
      <c r="BO289" s="5" t="n"/>
      <c r="CA289" s="17" t="n"/>
      <c r="CB289" s="90">
        <f>IF(AND(E289&gt;0,AQ289=""), "* No olvide digitar la variable Gestantes. Digite Cero si no tiene.",IF(AQ289&gt;E289,"  * La variable Gestantes No puede ser mayor al Total Mujeres.",""))</f>
        <v/>
      </c>
      <c r="CC289" s="90">
        <f>IF(AND(E289&gt;0,AR289=""), "* No olvide digitar la variable Madre de hijo menor de 5 años. Digite Cero si no tiene.",IF(AR289&gt;E289,"  * La variable Madre de hijo menor de 5 años No puede ser mayor al Total Mujeres.",""))</f>
        <v/>
      </c>
      <c r="CD289" s="90">
        <f>IF(AND(D289&gt;0,OR(AS289="")), "* No olvide digitar la variable Pueblos originarios Hombres. Digite Cero si no tiene.",IF(AS289&gt;D289,"  * La variable Pueblos originarios Hombres No puede ser mayor al Total Hombres.",""))</f>
        <v/>
      </c>
      <c r="CE289" s="90">
        <f>IF(AND(E289&gt;0,OR(AT289="")), "* No olvide digitar la variable Pueblos originarios Mujeres. Digite Cero si no tiene.",IF(AT289&gt;E289,"  * La variable Pueblos originarios Mujeres No puede ser mayor al Total Mujeres.",""))</f>
        <v/>
      </c>
      <c r="CF289" s="90">
        <f>IF(AND(C289&gt;0,AU289=""), "* No olvide digitar la variable SENAME/ Servicio Nacional de Reinserción social Juvenil . Digite Cero si no tiene.",IF(AU289&gt;C289,"  * La variable SENAME/ Servicio Nacional de Reinserción social Juvenil  No puede ser mayor al Total.",""))</f>
        <v/>
      </c>
      <c r="CG289" s="90">
        <f>IF(AND(C289&gt;0,AV289=""), "* No olvide digitar la variable Servicio Nacional Protección Especializada a la Niñez y Adolescencia. Digite Cero si no tiene.",IF(AV289&gt;C289,"  * La variable NServicio Nacional Protección Especializada a la Niñez y Adolescencia No puede ser mayor al Total.",""))</f>
        <v/>
      </c>
      <c r="CH289" s="90">
        <f>IF(AND(C289&gt;0,AW289=""), "* No olvide digitar la variable Migrantes. Digite Cero si no tiene.",IF(AW289&gt;C289,"  * La variable Migrantes No puede ser mayor al Total.",""))</f>
        <v/>
      </c>
      <c r="CI289" s="90">
        <f>IF(AND(C289&gt;0,AX289=""), "* No olvide digitar la variable Trans (Masculino/ Femenino). Digite Cero si no tiene.",IF(AX289&gt;C289,"  * La variable Trans (Masculino/Femenino) No puede ser mayor al Total Ambos Sexos.",""))</f>
        <v/>
      </c>
      <c r="CP289" s="29">
        <f>IF(AND(E289&gt;0,AQ289=""),1,IF(AQ289&gt;E289,1,0))</f>
        <v/>
      </c>
      <c r="CQ289" s="29">
        <f>IF(AND(E289&gt;0,AR289=""),1,IF(AR289&gt;E289,1,0))</f>
        <v/>
      </c>
      <c r="CR289" s="29">
        <f>IF(AND(D289&gt;0,OR(AS289="")),1,IF(AS289&gt;D289,1,0))</f>
        <v/>
      </c>
      <c r="CS289" s="29">
        <f>IF(AND(E289&gt;0,OR(AT289="")),1,IF(AT289&gt;E289,1,0))</f>
        <v/>
      </c>
      <c r="CT289" s="29">
        <f>IF(AND(C289&gt;0,AU289=""),1,IF(AU289&gt;C289,1,0))</f>
        <v/>
      </c>
      <c r="CU289" s="29">
        <f>IF(AND(C289&gt;0,AV289=""),1,IF(AV289&gt;C289,1,0))</f>
        <v/>
      </c>
      <c r="CV289" s="29">
        <f>IF(AND(C289&gt;0,AW289=""),1,IF(AW289&gt;C289,1,0))</f>
        <v/>
      </c>
      <c r="CW289" s="29">
        <f>IF(AND(C289&gt;0,AX289=""),1,IF(AX289&gt;C289,1,0))</f>
        <v/>
      </c>
    </row>
    <row r="290">
      <c r="A290" s="9614" t="n"/>
      <c r="B290" s="1209" t="inlineStr">
        <is>
          <t>Trastorno Desintegrativo de la Infancia</t>
        </is>
      </c>
      <c r="C290" s="1283">
        <f>SUM(D290+E290)</f>
        <v/>
      </c>
      <c r="D290" s="2197">
        <f>SUM(F290+H290+J290+L290+N290+P290+R290+T290+V290+X290+Z290+AB290+AD290+AF290+AH290+AJ290+AL290)</f>
        <v/>
      </c>
      <c r="E290" s="7750">
        <f>SUM(G290+I290+K290+M290+O290+Q290+S290+U290+W290+Y290+AA290+AC290+AE290+AG290+AI290+AK290+AM290)</f>
        <v/>
      </c>
      <c r="F290" s="1179" t="n"/>
      <c r="G290" s="1180" t="n"/>
      <c r="H290" s="1179" t="n"/>
      <c r="I290" s="1180" t="n"/>
      <c r="J290" s="1179" t="n"/>
      <c r="K290" s="1180" t="n"/>
      <c r="L290" s="1179" t="n"/>
      <c r="M290" s="1180" t="n"/>
      <c r="N290" s="1179" t="n"/>
      <c r="O290" s="1180" t="n"/>
      <c r="P290" s="1179" t="n"/>
      <c r="Q290" s="1180" t="n"/>
      <c r="R290" s="1179" t="n"/>
      <c r="S290" s="1180" t="n"/>
      <c r="T290" s="1179" t="n"/>
      <c r="U290" s="1180" t="n"/>
      <c r="V290" s="1179" t="n"/>
      <c r="W290" s="1180" t="n"/>
      <c r="X290" s="1179" t="n"/>
      <c r="Y290" s="1180" t="n"/>
      <c r="Z290" s="1179" t="n"/>
      <c r="AA290" s="1180" t="n"/>
      <c r="AB290" s="1179" t="n"/>
      <c r="AC290" s="1180" t="n"/>
      <c r="AD290" s="1179" t="n"/>
      <c r="AE290" s="1180" t="n"/>
      <c r="AF290" s="1179" t="n"/>
      <c r="AG290" s="1180" t="n"/>
      <c r="AH290" s="1179" t="n"/>
      <c r="AI290" s="1180" t="n"/>
      <c r="AJ290" s="1179" t="n"/>
      <c r="AK290" s="1180" t="n"/>
      <c r="AL290" s="1179" t="n"/>
      <c r="AM290" s="35" t="n"/>
      <c r="AN290" s="1966" t="n"/>
      <c r="AO290" s="1432" t="n"/>
      <c r="AP290" s="1297" t="n"/>
      <c r="AQ290" s="35" t="n">
        <v>0</v>
      </c>
      <c r="AR290" s="1229" t="n">
        <v>0</v>
      </c>
      <c r="AS290" s="1181" t="n">
        <v>0</v>
      </c>
      <c r="AT290" s="1180" t="n">
        <v>0</v>
      </c>
      <c r="AU290" s="1181" t="n">
        <v>0</v>
      </c>
      <c r="AV290" s="1180" t="n">
        <v>0</v>
      </c>
      <c r="AW290" s="1181" t="n">
        <v>0</v>
      </c>
      <c r="AX290" s="1180" t="n">
        <v>0</v>
      </c>
      <c r="AY290" s="5">
        <f>CA290&amp;CB290&amp;CC290&amp;CD290&amp;CE290&amp;CF290&amp;CG290&amp;CH290&amp;CI290</f>
        <v/>
      </c>
      <c r="AZ290" s="5" t="n"/>
      <c r="BA290" s="5" t="n"/>
      <c r="BB290" s="5" t="n"/>
      <c r="BC290" s="5" t="n"/>
      <c r="BD290" s="5" t="n"/>
      <c r="BE290" s="5" t="n"/>
      <c r="BF290" s="5" t="n"/>
      <c r="BG290" s="5" t="n"/>
      <c r="BH290" s="5" t="n"/>
      <c r="BI290" s="5" t="n"/>
      <c r="BJ290" s="5" t="n"/>
      <c r="BK290" s="5" t="n"/>
      <c r="BL290" s="5" t="n"/>
      <c r="BM290" s="5" t="n"/>
      <c r="BN290" s="5" t="n"/>
      <c r="BO290" s="5" t="n"/>
      <c r="CA290" s="17" t="n"/>
      <c r="CB290" s="90">
        <f>IF(AND(E290&gt;0,AQ290=""), "* No olvide digitar la variable Gestantes. Digite Cero si no tiene.",IF(AQ290&gt;E290,"  * La variable Gestantes No puede ser mayor al Total Mujeres.",""))</f>
        <v/>
      </c>
      <c r="CC290" s="90">
        <f>IF(AND(E290&gt;0,AR290=""), "* No olvide digitar la variable Madre de hijo menor de 5 años. Digite Cero si no tiene.",IF(AR290&gt;E290,"  * La variable Madre de hijo menor de 5 años No puede ser mayor al Total Mujeres.",""))</f>
        <v/>
      </c>
      <c r="CD290" s="90">
        <f>IF(AND(D290&gt;0,OR(AS290="")), "* No olvide digitar la variable Pueblos originarios Hombres. Digite Cero si no tiene.",IF(AS290&gt;D290,"  * La variable Pueblos originarios Hombres No puede ser mayor al Total Hombres.",""))</f>
        <v/>
      </c>
      <c r="CE290" s="90">
        <f>IF(AND(E290&gt;0,OR(AT290="")), "* No olvide digitar la variable Pueblos originarios Mujeres. Digite Cero si no tiene.",IF(AT290&gt;E290,"  * La variable Pueblos originarios Mujeres No puede ser mayor al Total Mujeres.",""))</f>
        <v/>
      </c>
      <c r="CF290" s="90">
        <f>IF(AND(C290&gt;0,AU290=""), "* No olvide digitar la variable SENAME/ Servicio Nacional de Reinserción social Juvenil . Digite Cero si no tiene.",IF(AU290&gt;C290,"  * La variable SENAME/ Servicio Nacional de Reinserción social Juvenil  No puede ser mayor al Total.",""))</f>
        <v/>
      </c>
      <c r="CG290" s="90">
        <f>IF(AND(C290&gt;0,AV290=""), "* No olvide digitar la variable Servicio Nacional Protección Especializada a la Niñez y Adolescencia. Digite Cero si no tiene.",IF(AV290&gt;C290,"  * La variable NServicio Nacional Protección Especializada a la Niñez y Adolescencia No puede ser mayor al Total.",""))</f>
        <v/>
      </c>
      <c r="CH290" s="90">
        <f>IF(AND(C290&gt;0,AW290=""), "* No olvide digitar la variable Migrantes. Digite Cero si no tiene.",IF(AW290&gt;C290,"  * La variable Migrantes No puede ser mayor al Total.",""))</f>
        <v/>
      </c>
      <c r="CI290" s="90">
        <f>IF(AND(C290&gt;0,AX290=""), "* No olvide digitar la variable Trans (Masculino/ Femenino). Digite Cero si no tiene.",IF(AX290&gt;C290,"  * La variable Trans (Masculino/Femenino) No puede ser mayor al Total Ambos Sexos.",""))</f>
        <v/>
      </c>
      <c r="CP290" s="29">
        <f>IF(AND(E290&gt;0,AQ290=""),1,IF(AQ290&gt;E290,1,0))</f>
        <v/>
      </c>
      <c r="CQ290" s="29">
        <f>IF(AND(E290&gt;0,AR290=""),1,IF(AR290&gt;E290,1,0))</f>
        <v/>
      </c>
      <c r="CR290" s="29">
        <f>IF(AND(D290&gt;0,OR(AS290="")),1,IF(AS290&gt;D290,1,0))</f>
        <v/>
      </c>
      <c r="CS290" s="29">
        <f>IF(AND(E290&gt;0,OR(AT290="")),1,IF(AT290&gt;E290,1,0))</f>
        <v/>
      </c>
      <c r="CT290" s="29">
        <f>IF(AND(C290&gt;0,AU290=""),1,IF(AU290&gt;C290,1,0))</f>
        <v/>
      </c>
      <c r="CU290" s="29">
        <f>IF(AND(C290&gt;0,AV290=""),1,IF(AV290&gt;C290,1,0))</f>
        <v/>
      </c>
      <c r="CV290" s="29">
        <f>IF(AND(C290&gt;0,AW290=""),1,IF(AW290&gt;C290,1,0))</f>
        <v/>
      </c>
      <c r="CW290" s="29">
        <f>IF(AND(C290&gt;0,AX290=""),1,IF(AX290&gt;C290,1,0))</f>
        <v/>
      </c>
    </row>
    <row r="291" ht="22.5" customHeight="1" s="8286">
      <c r="A291" s="9610" t="n"/>
      <c r="B291" s="1240" t="inlineStr">
        <is>
          <t>Trastorno Generalizado del Desarrollo no Específico</t>
        </is>
      </c>
      <c r="C291" s="1352">
        <f>SUM(D291+E291)</f>
        <v/>
      </c>
      <c r="D291" s="1353">
        <f>SUM(F291+H291+J291+L291+N291+P291+R291+T291+V291+X291+Z291+AB291+AD291+AF291+AH291+AJ291+AL291)</f>
        <v/>
      </c>
      <c r="E291" s="7752">
        <f>SUM(G291+I291+K291+M291+O291+Q291+S291+U291+W291+Y291+AA291+AC291+AE291+AG291+AI291+AK291+AM291)</f>
        <v/>
      </c>
      <c r="F291" s="1188" t="n"/>
      <c r="G291" s="1192" t="n"/>
      <c r="H291" s="1188" t="n">
        <v>1</v>
      </c>
      <c r="I291" s="1192" t="n"/>
      <c r="J291" s="1188" t="n"/>
      <c r="K291" s="1192" t="n"/>
      <c r="L291" s="1188" t="n"/>
      <c r="M291" s="1192" t="n"/>
      <c r="N291" s="1188" t="n"/>
      <c r="O291" s="1192" t="n"/>
      <c r="P291" s="1188" t="n"/>
      <c r="Q291" s="1192" t="n"/>
      <c r="R291" s="1188" t="n"/>
      <c r="S291" s="1192" t="n"/>
      <c r="T291" s="1188" t="n"/>
      <c r="U291" s="1192" t="n"/>
      <c r="V291" s="1188" t="n"/>
      <c r="W291" s="1192" t="n"/>
      <c r="X291" s="1188" t="n"/>
      <c r="Y291" s="1192" t="n"/>
      <c r="Z291" s="1188" t="n"/>
      <c r="AA291" s="1192" t="n"/>
      <c r="AB291" s="1188" t="n"/>
      <c r="AC291" s="1192" t="n"/>
      <c r="AD291" s="1188" t="n"/>
      <c r="AE291" s="1192" t="n"/>
      <c r="AF291" s="1188" t="n"/>
      <c r="AG291" s="1192" t="n"/>
      <c r="AH291" s="1188" t="n"/>
      <c r="AI291" s="1192" t="n"/>
      <c r="AJ291" s="1188" t="n"/>
      <c r="AK291" s="1192" t="n"/>
      <c r="AL291" s="1188" t="n"/>
      <c r="AM291" s="1227" t="n"/>
      <c r="AN291" s="1225" t="n"/>
      <c r="AO291" s="1193" t="n"/>
      <c r="AP291" s="1226" t="n">
        <v>1</v>
      </c>
      <c r="AQ291" s="1227" t="n">
        <v>0</v>
      </c>
      <c r="AR291" s="1223" t="n">
        <v>0</v>
      </c>
      <c r="AS291" s="1193" t="n">
        <v>0</v>
      </c>
      <c r="AT291" s="1192" t="n">
        <v>0</v>
      </c>
      <c r="AU291" s="1193" t="n">
        <v>0</v>
      </c>
      <c r="AV291" s="1192" t="n">
        <v>0</v>
      </c>
      <c r="AW291" s="1193" t="n">
        <v>0</v>
      </c>
      <c r="AX291" s="1192" t="n">
        <v>0</v>
      </c>
      <c r="AY291" s="5">
        <f>CA291&amp;CB291&amp;CC291&amp;CD291&amp;CE291&amp;CF291&amp;CG291&amp;CH291&amp;CI291</f>
        <v/>
      </c>
      <c r="AZ291" s="5" t="n"/>
      <c r="BA291" s="5" t="n"/>
      <c r="BB291" s="5" t="n"/>
      <c r="BC291" s="5" t="n"/>
      <c r="BD291" s="5" t="n"/>
      <c r="BE291" s="5" t="n"/>
      <c r="BF291" s="5" t="n"/>
      <c r="BG291" s="5" t="n"/>
      <c r="BH291" s="5" t="n"/>
      <c r="BI291" s="5" t="n"/>
      <c r="BJ291" s="5" t="n"/>
      <c r="BK291" s="5" t="n"/>
      <c r="BL291" s="5" t="n"/>
      <c r="BM291" s="5" t="n"/>
      <c r="BN291" s="5" t="n"/>
      <c r="BO291" s="5" t="n"/>
      <c r="CA291" s="17" t="n"/>
      <c r="CB291" s="90">
        <f>IF(AND(E291&gt;0,AQ291=""), "* No olvide digitar la variable Gestantes. Digite Cero si no tiene.",IF(AQ291&gt;E291,"  * La variable Gestantes No puede ser mayor al Total Mujeres.",""))</f>
        <v/>
      </c>
      <c r="CC291" s="90">
        <f>IF(AND(E291&gt;0,AR291=""), "* No olvide digitar la variable Madre de hijo menor de 5 años. Digite Cero si no tiene.",IF(AR291&gt;E291,"  * La variable Madre de hijo menor de 5 años No puede ser mayor al Total Mujeres.",""))</f>
        <v/>
      </c>
      <c r="CD291" s="90">
        <f>IF(AND(D291&gt;0,OR(AS291="")), "* No olvide digitar la variable Pueblos originarios Hombres. Digite Cero si no tiene.",IF(AS291&gt;D291,"  * La variable Pueblos originarios Hombres No puede ser mayor al Total Hombres.",""))</f>
        <v/>
      </c>
      <c r="CE291" s="90">
        <f>IF(AND(E291&gt;0,OR(AT291="")), "* No olvide digitar la variable Pueblos originarios Mujeres. Digite Cero si no tiene.",IF(AT291&gt;E291,"  * La variable Pueblos originarios Mujeres No puede ser mayor al Total Mujeres.",""))</f>
        <v/>
      </c>
      <c r="CF291" s="90">
        <f>IF(AND(C291&gt;0,AU291=""), "* No olvide digitar la variable SENAME/ Servicio Nacional de Reinserción social Juvenil . Digite Cero si no tiene.",IF(AU291&gt;C291,"  * La variable SENAME/ Servicio Nacional de Reinserción social Juvenil  No puede ser mayor al Total.",""))</f>
        <v/>
      </c>
      <c r="CG291" s="90">
        <f>IF(AND(C291&gt;0,AV291=""), "* No olvide digitar la variable Servicio Nacional Protección Especializada a la Niñez y Adolescencia. Digite Cero si no tiene.",IF(AV291&gt;C291,"  * La variable NServicio Nacional Protección Especializada a la Niñez y Adolescencia No puede ser mayor al Total.",""))</f>
        <v/>
      </c>
      <c r="CH291" s="90">
        <f>IF(AND(C291&gt;0,AW291=""), "* No olvide digitar la variable Migrantes. Digite Cero si no tiene.",IF(AW291&gt;C291,"  * La variable Migrantes No puede ser mayor al Total.",""))</f>
        <v/>
      </c>
      <c r="CI291" s="90">
        <f>IF(AND(C291&gt;0,AX291=""), "* No olvide digitar la variable Trans (Masculino/ Femenino). Digite Cero si no tiene.",IF(AX291&gt;C291,"  * La variable Trans (Masculino/Femenino) No puede ser mayor al Total Ambos Sexos.",""))</f>
        <v/>
      </c>
      <c r="CP291" s="29">
        <f>IF(AND(E291&gt;0,AQ291=""),1,IF(AQ291&gt;E291,1,0))</f>
        <v/>
      </c>
      <c r="CQ291" s="29">
        <f>IF(AND(E291&gt;0,AR291=""),1,IF(AR291&gt;E291,1,0))</f>
        <v/>
      </c>
      <c r="CR291" s="29">
        <f>IF(AND(D291&gt;0,OR(AS291="")),1,IF(AS291&gt;D291,1,0))</f>
        <v/>
      </c>
      <c r="CS291" s="29">
        <f>IF(AND(E291&gt;0,OR(AT291="")),1,IF(AT291&gt;E291,1,0))</f>
        <v/>
      </c>
      <c r="CT291" s="29">
        <f>IF(AND(C291&gt;0,AU291=""),1,IF(AU291&gt;C291,1,0))</f>
        <v/>
      </c>
      <c r="CU291" s="29">
        <f>IF(AND(C291&gt;0,AV291=""),1,IF(AV291&gt;C291,1,0))</f>
        <v/>
      </c>
      <c r="CV291" s="29">
        <f>IF(AND(C291&gt;0,AW291=""),1,IF(AW291&gt;C291,1,0))</f>
        <v/>
      </c>
      <c r="CW291" s="29">
        <f>IF(AND(C291&gt;0,AX291=""),1,IF(AX291&gt;C291,1,0))</f>
        <v/>
      </c>
    </row>
    <row r="292">
      <c r="A292" s="9995" t="inlineStr">
        <is>
          <t>Epilepsia</t>
        </is>
      </c>
      <c r="B292" s="9935" t="n"/>
      <c r="C292" s="649">
        <f>SUM(D292+E292)</f>
        <v/>
      </c>
      <c r="D292" s="147">
        <f>SUM(F292+H292+J292+L292+N292+P292+R292+T292+V292+X292+Z292+AB292+AD292+AF292+AH292+AJ292+AL292)</f>
        <v/>
      </c>
      <c r="E292" s="2171">
        <f>SUM(G292+I292+K292+M292+O292+Q292+S292+U292+W292+Y292+AA292+AC292+AE292+AG292+AI292+AK292+AM292)</f>
        <v/>
      </c>
      <c r="F292" s="645" t="n"/>
      <c r="G292" s="2057" t="n"/>
      <c r="H292" s="645" t="n"/>
      <c r="I292" s="2057" t="n"/>
      <c r="J292" s="645" t="n"/>
      <c r="K292" s="2057" t="n"/>
      <c r="L292" s="645" t="n"/>
      <c r="M292" s="2057" t="n"/>
      <c r="N292" s="645" t="n"/>
      <c r="O292" s="2057" t="n"/>
      <c r="P292" s="645" t="n"/>
      <c r="Q292" s="2057" t="n"/>
      <c r="R292" s="645" t="n"/>
      <c r="S292" s="2057" t="n"/>
      <c r="T292" s="645" t="n"/>
      <c r="U292" s="2057" t="n"/>
      <c r="V292" s="645" t="n"/>
      <c r="W292" s="2057" t="n"/>
      <c r="X292" s="645" t="n"/>
      <c r="Y292" s="2057" t="n"/>
      <c r="Z292" s="645" t="n"/>
      <c r="AA292" s="2057" t="n"/>
      <c r="AB292" s="645" t="n"/>
      <c r="AC292" s="2057" t="n"/>
      <c r="AD292" s="645" t="n"/>
      <c r="AE292" s="2057" t="n"/>
      <c r="AF292" s="645" t="n"/>
      <c r="AG292" s="2057" t="n"/>
      <c r="AH292" s="645" t="n"/>
      <c r="AI292" s="2057" t="n"/>
      <c r="AJ292" s="645" t="n"/>
      <c r="AK292" s="2057" t="n"/>
      <c r="AL292" s="645" t="n"/>
      <c r="AM292" s="37" t="n"/>
      <c r="AN292" s="1966" t="n"/>
      <c r="AO292" s="1432" t="n"/>
      <c r="AP292" s="1297" t="n"/>
      <c r="AQ292" s="37" t="n">
        <v>0</v>
      </c>
      <c r="AR292" s="670" t="n">
        <v>0</v>
      </c>
      <c r="AS292" s="204" t="n">
        <v>0</v>
      </c>
      <c r="AT292" s="2057" t="n">
        <v>0</v>
      </c>
      <c r="AU292" s="204" t="n">
        <v>0</v>
      </c>
      <c r="AV292" s="2057" t="n">
        <v>0</v>
      </c>
      <c r="AW292" s="204" t="n">
        <v>0</v>
      </c>
      <c r="AX292" s="2057" t="n">
        <v>0</v>
      </c>
      <c r="AY292" s="5">
        <f>CA292&amp;CB292&amp;CC292&amp;CD292&amp;CE292&amp;CF292&amp;CG292&amp;CH292&amp;CI292</f>
        <v/>
      </c>
      <c r="AZ292" s="5" t="n"/>
      <c r="BA292" s="5" t="n"/>
      <c r="BB292" s="5" t="n"/>
      <c r="BC292" s="5" t="n"/>
      <c r="BD292" s="5" t="n"/>
      <c r="BE292" s="5" t="n"/>
      <c r="BF292" s="5" t="n"/>
      <c r="BG292" s="5" t="n"/>
      <c r="BH292" s="5" t="n"/>
      <c r="BI292" s="5" t="n"/>
      <c r="BJ292" s="5" t="n"/>
      <c r="BK292" s="5" t="n"/>
      <c r="BL292" s="5" t="n"/>
      <c r="BM292" s="5" t="n"/>
      <c r="BN292" s="5" t="n"/>
      <c r="BO292" s="5" t="n"/>
      <c r="CA292" s="17" t="n"/>
      <c r="CB292" s="90">
        <f>IF(AND(E292&gt;0,AQ292=""), "* No olvide digitar la variable Gestantes. Digite Cero si no tiene.",IF(AQ292&gt;E292,"  * La variable Gestantes No puede ser mayor al Total Mujeres.",""))</f>
        <v/>
      </c>
      <c r="CC292" s="90">
        <f>IF(AND(E292&gt;0,AR292=""), "* No olvide digitar la variable Madre de hijo menor de 5 años. Digite Cero si no tiene.",IF(AR292&gt;E292,"  * La variable Madre de hijo menor de 5 años No puede ser mayor al Total Mujeres.",""))</f>
        <v/>
      </c>
      <c r="CD292" s="90">
        <f>IF(AND(D292&gt;0,OR(AS292="")), "* No olvide digitar la variable Pueblos originarios Hombres. Digite Cero si no tiene.",IF(AS292&gt;D292,"  * La variable Pueblos originarios Hombres No puede ser mayor al Total Hombres.",""))</f>
        <v/>
      </c>
      <c r="CE292" s="90">
        <f>IF(AND(E292&gt;0,OR(AT292="")), "* No olvide digitar la variable Pueblos originarios Mujeres. Digite Cero si no tiene.",IF(AT292&gt;E292,"  * La variable Pueblos originarios Mujeres No puede ser mayor al Total Mujeres.",""))</f>
        <v/>
      </c>
      <c r="CF292" s="90">
        <f>IF(AND(C292&gt;0,AU292=""), "* No olvide digitar la variable SENAME/ Servicio Nacional de Reinserción social Juvenil . Digite Cero si no tiene.",IF(AU292&gt;C292,"  * La variable SENAME/ Servicio Nacional de Reinserción social Juvenil  No puede ser mayor al Total.",""))</f>
        <v/>
      </c>
      <c r="CG292" s="90">
        <f>IF(AND(C292&gt;0,AV292=""), "* No olvide digitar la variable Servicio Nacional Protección Especializada a la Niñez y Adolescencia. Digite Cero si no tiene.",IF(AV292&gt;C292,"  * La variable NServicio Nacional Protección Especializada a la Niñez y Adolescencia No puede ser mayor al Total.",""))</f>
        <v/>
      </c>
      <c r="CH292" s="90">
        <f>IF(AND(C292&gt;0,AW292=""), "* No olvide digitar la variable Migrantes. Digite Cero si no tiene.",IF(AW292&gt;C292,"  * La variable Migrantes No puede ser mayor al Total.",""))</f>
        <v/>
      </c>
      <c r="CI292" s="90">
        <f>IF(AND(C292&gt;0,AX292=""), "* No olvide digitar la variable Trans (Masculino/ Femenino). Digite Cero si no tiene.",IF(AX292&gt;C292,"  * La variable Trans (Masculino/Femenino) No puede ser mayor al Total Ambos Sexos.",""))</f>
        <v/>
      </c>
      <c r="CP292" s="29">
        <f>IF(AND(E292&gt;0,AQ292=""),1,IF(AQ292&gt;E292,1,0))</f>
        <v/>
      </c>
      <c r="CQ292" s="29">
        <f>IF(AND(E292&gt;0,AR292=""),1,IF(AR292&gt;E292,1,0))</f>
        <v/>
      </c>
      <c r="CR292" s="29">
        <f>IF(AND(D292&gt;0,OR(AS292="")),1,IF(AS292&gt;D292,1,0))</f>
        <v/>
      </c>
      <c r="CS292" s="29">
        <f>IF(AND(E292&gt;0,OR(AT292="")),1,IF(AT292&gt;E292,1,0))</f>
        <v/>
      </c>
      <c r="CT292" s="29">
        <f>IF(AND(C292&gt;0,AU292=""),1,IF(AU292&gt;C292,1,0))</f>
        <v/>
      </c>
      <c r="CU292" s="29">
        <f>IF(AND(C292&gt;0,AV292=""),1,IF(AV292&gt;C292,1,0))</f>
        <v/>
      </c>
      <c r="CV292" s="29">
        <f>IF(AND(C292&gt;0,AW292=""),1,IF(AW292&gt;C292,1,0))</f>
        <v/>
      </c>
      <c r="CW292" s="29">
        <f>IF(AND(C292&gt;0,AX292=""),1,IF(AX292&gt;C292,1,0))</f>
        <v/>
      </c>
    </row>
    <row r="293">
      <c r="A293" s="9923" t="inlineStr">
        <is>
          <t>Otras</t>
        </is>
      </c>
      <c r="B293" s="9720" t="n"/>
      <c r="C293" s="1352">
        <f>SUM(D293+E293)</f>
        <v/>
      </c>
      <c r="D293" s="1353">
        <f>SUM(F293+H293+J293+L293+N293+P293+R293+T293+V293+X293+Z293+AB293+AD293+AF293+AH293+AJ293+AL293)</f>
        <v/>
      </c>
      <c r="E293" s="7752">
        <f>SUM(G293+I293+K293+M293+O293+Q293+S293+U293+W293+Y293+AA293+AC293+AE293+AG293+AI293+AK293+AM293)</f>
        <v/>
      </c>
      <c r="F293" s="1188" t="n"/>
      <c r="G293" s="1192" t="n"/>
      <c r="H293" s="1188" t="n"/>
      <c r="I293" s="1192" t="n">
        <v>2</v>
      </c>
      <c r="J293" s="1188" t="n"/>
      <c r="K293" s="1192" t="n"/>
      <c r="L293" s="1188" t="n"/>
      <c r="M293" s="1192" t="n"/>
      <c r="N293" s="1188" t="n"/>
      <c r="O293" s="1192" t="n"/>
      <c r="P293" s="1188" t="n"/>
      <c r="Q293" s="1192" t="n"/>
      <c r="R293" s="1188" t="n"/>
      <c r="S293" s="1192" t="n"/>
      <c r="T293" s="1188" t="n"/>
      <c r="U293" s="1192" t="n"/>
      <c r="V293" s="1188" t="n"/>
      <c r="W293" s="1192" t="n"/>
      <c r="X293" s="1188" t="n"/>
      <c r="Y293" s="1192" t="n"/>
      <c r="Z293" s="1188" t="n"/>
      <c r="AA293" s="1192" t="n"/>
      <c r="AB293" s="1188" t="n"/>
      <c r="AC293" s="1192" t="n"/>
      <c r="AD293" s="1188" t="n"/>
      <c r="AE293" s="1192" t="n"/>
      <c r="AF293" s="1188" t="n">
        <v>1</v>
      </c>
      <c r="AG293" s="1192" t="n"/>
      <c r="AH293" s="1188" t="n"/>
      <c r="AI293" s="1192" t="n"/>
      <c r="AJ293" s="1188" t="n"/>
      <c r="AK293" s="1192" t="n"/>
      <c r="AL293" s="1188" t="n"/>
      <c r="AM293" s="1227" t="n"/>
      <c r="AN293" s="159" t="n"/>
      <c r="AO293" s="1434" t="n"/>
      <c r="AP293" s="1954" t="n">
        <v>1</v>
      </c>
      <c r="AQ293" s="5392" t="n">
        <v>0</v>
      </c>
      <c r="AR293" s="5225" t="n">
        <v>0</v>
      </c>
      <c r="AS293" s="1193" t="n">
        <v>0</v>
      </c>
      <c r="AT293" s="1192" t="n">
        <v>0</v>
      </c>
      <c r="AU293" s="1193" t="n">
        <v>0</v>
      </c>
      <c r="AV293" s="1192" t="n">
        <v>0</v>
      </c>
      <c r="AW293" s="1193" t="n">
        <v>0</v>
      </c>
      <c r="AX293" s="1192" t="n">
        <v>0</v>
      </c>
      <c r="AY293" s="5">
        <f>CA293&amp;CB293&amp;CC293&amp;CD293&amp;CE293&amp;CF293&amp;CG293&amp;CH293&amp;CI293</f>
        <v/>
      </c>
      <c r="AZ293" s="5" t="n"/>
      <c r="BA293" s="5" t="n"/>
      <c r="BB293" s="5" t="n"/>
      <c r="BC293" s="5" t="n"/>
      <c r="BD293" s="5" t="n"/>
      <c r="BE293" s="5" t="n"/>
      <c r="BF293" s="5" t="n"/>
      <c r="BG293" s="5" t="n"/>
      <c r="BH293" s="5" t="n"/>
      <c r="BI293" s="5" t="n"/>
      <c r="BJ293" s="5" t="n"/>
      <c r="BK293" s="5" t="n"/>
      <c r="BL293" s="5" t="n"/>
      <c r="BM293" s="5" t="n"/>
      <c r="BN293" s="5" t="n"/>
      <c r="BO293" s="5" t="n"/>
      <c r="CA293" s="17" t="n"/>
      <c r="CB293" s="90">
        <f>IF(AND(E293&gt;0,AQ293=""), "* No olvide digitar la variable Gestantes. Digite Cero si no tiene.",IF(AQ293&gt;E293,"  * La variable Gestantes No puede ser mayor al Total Mujeres.",""))</f>
        <v/>
      </c>
      <c r="CC293" s="90">
        <f>IF(AND(E293&gt;0,AR293=""), "* No olvide digitar la variable Madre de hijo menor de 5 años. Digite Cero si no tiene.",IF(AR293&gt;E293,"  * La variable Madre de hijo menor de 5 años No puede ser mayor al Total Mujeres.",""))</f>
        <v/>
      </c>
      <c r="CD293" s="90">
        <f>IF(AND(D293&gt;0,OR(AS293="")), "* No olvide digitar la variable Pueblos originarios Hombres. Digite Cero si no tiene.",IF(AS293&gt;D293,"  * La variable Pueblos originarios Hombres No puede ser mayor al Total Hombres.",""))</f>
        <v/>
      </c>
      <c r="CE293" s="90">
        <f>IF(AND(E293&gt;0,OR(AT293="")), "* No olvide digitar la variable Pueblos originarios Mujeres. Digite Cero si no tiene.",IF(AT293&gt;E293,"  * La variable Pueblos originarios Mujeres No puede ser mayor al Total Mujeres.",""))</f>
        <v/>
      </c>
      <c r="CF293" s="90">
        <f>IF(AND(C293&gt;0,AU293=""), "* No olvide digitar la variable SENAME/ Servicio Nacional de Reinserción social Juvenil . Digite Cero si no tiene.",IF(AU293&gt;C293,"  * La variable SENAME/ Servicio Nacional de Reinserción social Juvenil  No puede ser mayor al Total.",""))</f>
        <v/>
      </c>
      <c r="CG293" s="90">
        <f>IF(AND(C293&gt;0,AV293=""), "* No olvide digitar la variable Servicio Nacional Protección Especializada a la Niñez y Adolescencia. Digite Cero si no tiene.",IF(AV293&gt;C293,"  * La variable NServicio Nacional Protección Especializada a la Niñez y Adolescencia No puede ser mayor al Total.",""))</f>
        <v/>
      </c>
      <c r="CH293" s="90">
        <f>IF(AND(C293&gt;0,AW293=""), "* No olvide digitar la variable Migrantes. Digite Cero si no tiene.",IF(AW293&gt;C293,"  * La variable Migrantes No puede ser mayor al Total.",""))</f>
        <v/>
      </c>
      <c r="CI293" s="90">
        <f>IF(AND(C293&gt;0,AX293=""), "* No olvide digitar la variable Trans (Masculino/ Femenino). Digite Cero si no tiene.",IF(AX293&gt;C293,"  * La variable Trans (Masculino/Femenino) No puede ser mayor al Total Ambos Sexos.",""))</f>
        <v/>
      </c>
      <c r="CP293" s="29">
        <f>IF(AND(E293&gt;0,AQ293=""),1,IF(AQ293&gt;E293,1,0))</f>
        <v/>
      </c>
      <c r="CQ293" s="29">
        <f>IF(AND(E293&gt;0,AR293=""),1,IF(AR293&gt;E293,1,0))</f>
        <v/>
      </c>
      <c r="CR293" s="29">
        <f>IF(AND(D293&gt;0,OR(AS293="")),1,IF(AS293&gt;D293,1,0))</f>
        <v/>
      </c>
      <c r="CS293" s="29">
        <f>IF(AND(E293&gt;0,OR(AT293="")),1,IF(AT293&gt;E293,1,0))</f>
        <v/>
      </c>
      <c r="CT293" s="29">
        <f>IF(AND(C293&gt;0,AU293=""),1,IF(AU293&gt;C293,1,0))</f>
        <v/>
      </c>
      <c r="CU293" s="29">
        <f>IF(AND(C293&gt;0,AV293=""),1,IF(AV293&gt;C293,1,0))</f>
        <v/>
      </c>
      <c r="CV293" s="29">
        <f>IF(AND(C293&gt;0,AW293=""),1,IF(AW293&gt;C293,1,0))</f>
        <v/>
      </c>
      <c r="CW293" s="29">
        <f>IF(AND(C293&gt;0,AX293=""),1,IF(AX293&gt;C293,1,0))</f>
        <v/>
      </c>
    </row>
    <row r="294" ht="18" customFormat="1" customHeight="1" s="5">
      <c r="A294" s="2" t="inlineStr">
        <is>
          <t>SECCIÓN P:  PROGRAMA DE REHABILITACIÓN (PERSONAS CON TRASTORNOS PSIQUIÁTRICOS)</t>
        </is>
      </c>
      <c r="B294" s="3" t="n"/>
      <c r="C294" s="3" t="n"/>
      <c r="D294" s="3" t="n"/>
      <c r="E294" s="3" t="n"/>
      <c r="F294" s="3" t="n"/>
      <c r="G294" s="3" t="n"/>
      <c r="H294" s="3" t="n"/>
      <c r="I294" s="3" t="n"/>
      <c r="J294" s="3" t="n"/>
      <c r="K294" s="3" t="n"/>
      <c r="L294" s="3" t="n"/>
      <c r="M294" s="3" t="n"/>
      <c r="N294" s="3" t="n"/>
      <c r="O294" s="3" t="n"/>
      <c r="P294" s="3" t="n"/>
      <c r="Q294" s="3" t="n"/>
      <c r="R294" s="3" t="n"/>
      <c r="S294" s="3" t="n"/>
      <c r="T294" s="3" t="n"/>
      <c r="U294" s="3" t="n"/>
      <c r="V294" s="3" t="n"/>
      <c r="W294" s="3" t="n"/>
      <c r="X294" s="3" t="n"/>
      <c r="Y294" s="3" t="n"/>
      <c r="Z294" s="3" t="n"/>
      <c r="AA294" s="3" t="n"/>
      <c r="AB294" s="3" t="n"/>
      <c r="AC294" s="3" t="n"/>
      <c r="AD294" s="3" t="n"/>
      <c r="AE294" s="3" t="n"/>
      <c r="AF294" s="3" t="n"/>
      <c r="AG294" s="3" t="n"/>
      <c r="AH294" s="3" t="n"/>
      <c r="AI294" s="3" t="n"/>
      <c r="AJ294" s="3" t="n"/>
      <c r="AK294" s="3" t="n"/>
      <c r="AL294" s="3" t="n"/>
      <c r="AM294" s="3" t="n"/>
      <c r="AN294" s="3" t="n"/>
      <c r="AO294" s="3" t="n"/>
    </row>
    <row r="295">
      <c r="A295" s="9997" t="inlineStr">
        <is>
          <t>TIPO DE PROGRAMA</t>
        </is>
      </c>
      <c r="B295" s="5245" t="inlineStr">
        <is>
          <t>RUBRO</t>
        </is>
      </c>
      <c r="C295" s="9939" t="inlineStr">
        <is>
          <t xml:space="preserve">TOTAL      </t>
        </is>
      </c>
      <c r="D295" s="9602" t="n"/>
      <c r="E295" s="9630" t="n"/>
      <c r="F295" s="9998" t="inlineStr">
        <is>
          <t>RANGO ETARIO Y SEXO</t>
        </is>
      </c>
      <c r="G295" s="9678" t="n"/>
      <c r="H295" s="9678" t="n"/>
      <c r="I295" s="9678" t="n"/>
      <c r="J295" s="9678" t="n"/>
      <c r="K295" s="9678" t="n"/>
      <c r="L295" s="9678" t="n"/>
      <c r="M295" s="9678" t="n"/>
      <c r="N295" s="9678" t="n"/>
      <c r="O295" s="9678" t="n"/>
      <c r="P295" s="9678" t="n"/>
      <c r="Q295" s="9678" t="n"/>
      <c r="R295" s="9678" t="n"/>
      <c r="S295" s="9678" t="n"/>
      <c r="T295" s="9678" t="n"/>
      <c r="U295" s="9678" t="n"/>
      <c r="V295" s="9678" t="n"/>
      <c r="W295" s="9678" t="n"/>
      <c r="X295" s="9678" t="n"/>
      <c r="Y295" s="9678" t="n"/>
      <c r="Z295" s="9678" t="n"/>
      <c r="AA295" s="9678" t="n"/>
      <c r="AB295" s="9678" t="n"/>
      <c r="AC295" s="9678" t="n"/>
      <c r="AD295" s="9678" t="n"/>
      <c r="AE295" s="9678" t="n"/>
      <c r="AF295" s="9678" t="n"/>
      <c r="AG295" s="9678" t="n"/>
      <c r="AH295" s="9678" t="n"/>
      <c r="AI295" s="9678" t="n"/>
      <c r="AJ295" s="9678" t="n"/>
      <c r="AK295" s="9999" t="n"/>
      <c r="AL295" s="9916" t="inlineStr">
        <is>
          <t>Pueblos Originarios</t>
        </is>
      </c>
      <c r="AM295" s="8400" t="inlineStr">
        <is>
          <t>Migrantes</t>
        </is>
      </c>
      <c r="AN295" s="7829" t="inlineStr">
        <is>
          <t xml:space="preserve">SENAME/ Servicio Nacional de Reinserción social Juvenil </t>
        </is>
      </c>
      <c r="AO295" s="8400" t="inlineStr">
        <is>
          <t>Servicio Nacional Protección Especializada a la Niñez y Adolescencia</t>
        </is>
      </c>
    </row>
    <row r="296">
      <c r="A296" s="9908" t="n"/>
      <c r="B296" s="9908" t="n"/>
      <c r="C296" s="9638" t="n"/>
      <c r="D296" s="9697" t="n"/>
      <c r="E296" s="9639" t="n"/>
      <c r="F296" s="4505" t="inlineStr">
        <is>
          <t>5 - 9 años</t>
        </is>
      </c>
      <c r="G296" s="9647" t="n"/>
      <c r="H296" s="4505" t="inlineStr">
        <is>
          <t>10 - 14 años</t>
        </is>
      </c>
      <c r="I296" s="9647" t="n"/>
      <c r="J296" s="4505" t="inlineStr">
        <is>
          <t>15 - 19 años</t>
        </is>
      </c>
      <c r="K296" s="9647" t="n"/>
      <c r="L296" s="9977" t="inlineStr">
        <is>
          <t>20 - 24 años</t>
        </is>
      </c>
      <c r="M296" s="9582" t="n"/>
      <c r="N296" s="9240" t="inlineStr">
        <is>
          <t>25 - 29 años</t>
        </is>
      </c>
      <c r="O296" s="9647" t="n"/>
      <c r="P296" s="9240" t="inlineStr">
        <is>
          <t>30 - 34 años</t>
        </is>
      </c>
      <c r="Q296" s="9647" t="n"/>
      <c r="R296" s="9240" t="inlineStr">
        <is>
          <t>35 - 39 años</t>
        </is>
      </c>
      <c r="S296" s="9647" t="n"/>
      <c r="T296" s="9240" t="inlineStr">
        <is>
          <t>40 - 44 años</t>
        </is>
      </c>
      <c r="U296" s="9647" t="n"/>
      <c r="V296" s="9240" t="inlineStr">
        <is>
          <t>45 - 49 años</t>
        </is>
      </c>
      <c r="W296" s="9647" t="n"/>
      <c r="X296" s="9240" t="inlineStr">
        <is>
          <t>50 - 54 años</t>
        </is>
      </c>
      <c r="Y296" s="9647" t="n"/>
      <c r="Z296" s="9240" t="inlineStr">
        <is>
          <t>55 - 59 años</t>
        </is>
      </c>
      <c r="AA296" s="9647" t="n"/>
      <c r="AB296" s="9240" t="inlineStr">
        <is>
          <t>60 - 64 años</t>
        </is>
      </c>
      <c r="AC296" s="9647" t="n"/>
      <c r="AD296" s="9240" t="inlineStr">
        <is>
          <t>65 - 69 años</t>
        </is>
      </c>
      <c r="AE296" s="9647" t="n"/>
      <c r="AF296" s="9240" t="inlineStr">
        <is>
          <t>70 - 74 años</t>
        </is>
      </c>
      <c r="AG296" s="9647" t="n"/>
      <c r="AH296" s="9240" t="inlineStr">
        <is>
          <t>75 - 79 años</t>
        </is>
      </c>
      <c r="AI296" s="9647" t="n"/>
      <c r="AJ296" s="9240" t="inlineStr">
        <is>
          <t>80 y más años</t>
        </is>
      </c>
      <c r="AK296" s="9647" t="n"/>
      <c r="AL296" s="9978" t="n"/>
      <c r="AM296" s="9614" t="n"/>
      <c r="AO296" s="9614" t="n"/>
    </row>
    <row r="297" ht="35.25" customHeight="1" s="8286">
      <c r="A297" s="10000" t="n"/>
      <c r="B297" s="10000" t="n"/>
      <c r="C297" s="7968" t="inlineStr">
        <is>
          <t>Ambos Sexos</t>
        </is>
      </c>
      <c r="D297" s="7970" t="inlineStr">
        <is>
          <t>Hombres</t>
        </is>
      </c>
      <c r="E297" s="7665" t="inlineStr">
        <is>
          <t>Mujeres</t>
        </is>
      </c>
      <c r="F297" s="2240" t="inlineStr">
        <is>
          <t>Hombres</t>
        </is>
      </c>
      <c r="G297" s="7949" t="inlineStr">
        <is>
          <t>Mujeres</t>
        </is>
      </c>
      <c r="H297" s="2240" t="inlineStr">
        <is>
          <t>Hombres</t>
        </is>
      </c>
      <c r="I297" s="7949" t="inlineStr">
        <is>
          <t>Mujeres</t>
        </is>
      </c>
      <c r="J297" s="2240" t="inlineStr">
        <is>
          <t>Hombres</t>
        </is>
      </c>
      <c r="K297" s="7949" t="inlineStr">
        <is>
          <t>Mujeres</t>
        </is>
      </c>
      <c r="L297" s="2240" t="inlineStr">
        <is>
          <t>Hombres</t>
        </is>
      </c>
      <c r="M297" s="7949" t="inlineStr">
        <is>
          <t>Mujeres</t>
        </is>
      </c>
      <c r="N297" s="2240" t="inlineStr">
        <is>
          <t>Hombres</t>
        </is>
      </c>
      <c r="O297" s="7949" t="inlineStr">
        <is>
          <t>Mujeres</t>
        </is>
      </c>
      <c r="P297" s="2240" t="inlineStr">
        <is>
          <t>Hombres</t>
        </is>
      </c>
      <c r="Q297" s="7949" t="inlineStr">
        <is>
          <t>Mujeres</t>
        </is>
      </c>
      <c r="R297" s="2240" t="inlineStr">
        <is>
          <t>Hombres</t>
        </is>
      </c>
      <c r="S297" s="7949" t="inlineStr">
        <is>
          <t>Mujeres</t>
        </is>
      </c>
      <c r="T297" s="7836" t="inlineStr">
        <is>
          <t>Hombres</t>
        </is>
      </c>
      <c r="U297" s="7836" t="inlineStr">
        <is>
          <t>Mujeres</t>
        </is>
      </c>
      <c r="V297" s="2242" t="inlineStr">
        <is>
          <t>Hombres</t>
        </is>
      </c>
      <c r="W297" s="7949" t="inlineStr">
        <is>
          <t>Mujeres</t>
        </is>
      </c>
      <c r="X297" s="2240" t="inlineStr">
        <is>
          <t>Hombres</t>
        </is>
      </c>
      <c r="Y297" s="7949" t="inlineStr">
        <is>
          <t>Mujeres</t>
        </is>
      </c>
      <c r="Z297" s="2240" t="inlineStr">
        <is>
          <t>Hombres</t>
        </is>
      </c>
      <c r="AA297" s="7949" t="inlineStr">
        <is>
          <t>Mujeres</t>
        </is>
      </c>
      <c r="AB297" s="2240" t="inlineStr">
        <is>
          <t>Hombres</t>
        </is>
      </c>
      <c r="AC297" s="7949" t="inlineStr">
        <is>
          <t>Mujeres</t>
        </is>
      </c>
      <c r="AD297" s="2240" t="inlineStr">
        <is>
          <t>Hombres</t>
        </is>
      </c>
      <c r="AE297" s="7949" t="inlineStr">
        <is>
          <t>Mujeres</t>
        </is>
      </c>
      <c r="AF297" s="2240" t="inlineStr">
        <is>
          <t>Hombres</t>
        </is>
      </c>
      <c r="AG297" s="7949" t="inlineStr">
        <is>
          <t>Mujeres</t>
        </is>
      </c>
      <c r="AH297" s="2240" t="inlineStr">
        <is>
          <t>Hombres</t>
        </is>
      </c>
      <c r="AI297" s="7949" t="inlineStr">
        <is>
          <t>Mujeres</t>
        </is>
      </c>
      <c r="AJ297" s="2240" t="inlineStr">
        <is>
          <t>Hombres</t>
        </is>
      </c>
      <c r="AK297" s="2243" t="inlineStr">
        <is>
          <t>Mujeres</t>
        </is>
      </c>
      <c r="AL297" s="9890" t="n"/>
      <c r="AM297" s="9610" t="n"/>
      <c r="AN297" s="9591" t="n"/>
      <c r="AO297" s="9610" t="n"/>
    </row>
    <row r="298" ht="15" customHeight="1" s="8286">
      <c r="A298" s="10001" t="inlineStr">
        <is>
          <t>Programa de Rehabilitación Tipo I</t>
        </is>
      </c>
      <c r="B298" s="2244" t="inlineStr">
        <is>
          <t>Ingresos</t>
        </is>
      </c>
      <c r="C298" s="2245">
        <f>SUM(D298+E298)</f>
        <v/>
      </c>
      <c r="D298" s="2246">
        <f>SUM(F298+H298+J298+L298+N298+P298+R298+T298+V298+X298+Z298+AB298+AD298+AF298+AH298+AJ298)</f>
        <v/>
      </c>
      <c r="E298" s="2152">
        <f>SUM(G298+I298+K298+M298+O298+Q298+S298+U298+W298+Y298+AA298+AC298+AE298+AG298+AI298+AK298)</f>
        <v/>
      </c>
      <c r="F298" s="2022" t="n"/>
      <c r="G298" s="2029" t="n"/>
      <c r="H298" s="2022" t="n"/>
      <c r="I298" s="2029" t="n"/>
      <c r="J298" s="2022" t="n"/>
      <c r="K298" s="2029" t="n"/>
      <c r="L298" s="2022" t="n"/>
      <c r="M298" s="2029" t="n"/>
      <c r="N298" s="2022" t="n"/>
      <c r="O298" s="2029" t="n"/>
      <c r="P298" s="2022" t="n"/>
      <c r="Q298" s="2029" t="n"/>
      <c r="R298" s="2022" t="n"/>
      <c r="S298" s="2029" t="n"/>
      <c r="T298" s="2022" t="n"/>
      <c r="U298" s="2029" t="n"/>
      <c r="V298" s="2022" t="n"/>
      <c r="W298" s="2029" t="n"/>
      <c r="X298" s="2022" t="n"/>
      <c r="Y298" s="2029" t="n"/>
      <c r="Z298" s="2022" t="n"/>
      <c r="AA298" s="2029" t="n"/>
      <c r="AB298" s="2022" t="n"/>
      <c r="AC298" s="2029" t="n"/>
      <c r="AD298" s="2022" t="n"/>
      <c r="AE298" s="2029" t="n"/>
      <c r="AF298" s="2022" t="n"/>
      <c r="AG298" s="2029" t="n"/>
      <c r="AH298" s="2022" t="n"/>
      <c r="AI298" s="2029" t="n"/>
      <c r="AJ298" s="2022" t="n"/>
      <c r="AK298" s="1983" t="n"/>
      <c r="AL298" s="5213" t="n"/>
      <c r="AM298" s="5189" t="n"/>
      <c r="AN298" s="4512" t="n"/>
      <c r="AO298" s="5189" t="n"/>
      <c r="AP298">
        <f>CA298&amp;CB298&amp;CC298&amp;CD298</f>
        <v/>
      </c>
      <c r="CA298" s="90">
        <f>IF(AND(C298&gt;0,AL298="")," * No olvide digitar la variable Pueblos Originarios. Digite Cero si no tiene.",IF(AL298&gt;C298," * La variable Pueblos originarios No puede ser mayor al Total.",""))</f>
        <v/>
      </c>
      <c r="CB298" s="90">
        <f>IF(AND(C298&gt;0,AM298="")," * No olvide digitar la variable Migrantes. Digite Cero si no tiene.",IF(AM298&gt;C298," * La variable Migrantes No puede ser mayor al Total.",""))</f>
        <v/>
      </c>
      <c r="CC298" s="90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/>
      </c>
      <c r="CP298" s="221">
        <f>IF(AND(C298&gt;0,AM298=""),1,IF(AM298&gt;C298,1,0))</f>
        <v/>
      </c>
      <c r="CQ298" s="221">
        <f>IF(AND(C298&gt;0,AN298=""),1,IF(AN298&gt;C298,1,0))</f>
        <v/>
      </c>
      <c r="CR298" s="221">
        <f>IF(AND(C298&gt;0,AO298=""),1,IF(AO298&gt;C298,1,0))</f>
        <v/>
      </c>
    </row>
    <row r="299">
      <c r="A299" s="10000" t="n"/>
      <c r="B299" s="2248" t="inlineStr">
        <is>
          <t>Egresos</t>
        </is>
      </c>
      <c r="C299" s="1252">
        <f>SUM(D299+E299)</f>
        <v/>
      </c>
      <c r="D299" s="1253">
        <f>SUM(F299+H299+J299+L299+N299+P299+R299+T299+V299+X299+Z299+AB299+AD299+AF299+AH299+AJ299)</f>
        <v/>
      </c>
      <c r="E299" s="1178">
        <f>SUM(G299+I299+K299+M299+O299+Q299+S299+U299+W299+Y299+AA299+AC299+AE299+AG299+AI299+AK299)</f>
        <v/>
      </c>
      <c r="F299" s="1188" t="n"/>
      <c r="G299" s="1192" t="n"/>
      <c r="H299" s="1188" t="n"/>
      <c r="I299" s="1192" t="n"/>
      <c r="J299" s="1188" t="n"/>
      <c r="K299" s="1192" t="n"/>
      <c r="L299" s="1188" t="n"/>
      <c r="M299" s="1192" t="n"/>
      <c r="N299" s="1188" t="n"/>
      <c r="O299" s="1192" t="n"/>
      <c r="P299" s="1188" t="n"/>
      <c r="Q299" s="1192" t="n"/>
      <c r="R299" s="1188" t="n"/>
      <c r="S299" s="1192" t="n"/>
      <c r="T299" s="1188" t="n"/>
      <c r="U299" s="1192" t="n"/>
      <c r="V299" s="1188" t="n"/>
      <c r="W299" s="1192" t="n"/>
      <c r="X299" s="1188" t="n"/>
      <c r="Y299" s="1192" t="n"/>
      <c r="Z299" s="1188" t="n"/>
      <c r="AA299" s="1192" t="n"/>
      <c r="AB299" s="1188" t="n"/>
      <c r="AC299" s="1192" t="n"/>
      <c r="AD299" s="1188" t="n"/>
      <c r="AE299" s="1192" t="n"/>
      <c r="AF299" s="1188" t="n"/>
      <c r="AG299" s="1192" t="n"/>
      <c r="AH299" s="1188" t="n"/>
      <c r="AI299" s="1192" t="n"/>
      <c r="AJ299" s="1188" t="n"/>
      <c r="AK299" s="1226" t="n"/>
      <c r="AL299" s="5249" t="n"/>
      <c r="AM299" s="1223" t="n"/>
      <c r="AN299" s="1227" t="n"/>
      <c r="AO299" s="1223" t="n"/>
      <c r="AP299">
        <f>CA299&amp;CB299&amp;CC299&amp;CD299</f>
        <v/>
      </c>
      <c r="CA299" s="90">
        <f>IF(AND(C299&gt;0,AL299="")," * No olvide digitar la variable Pueblos Originarios. Digite Cero si no tiene.",IF(AL299&gt;C299," * La variable Pueblos originarios No puede ser mayor al Total.",""))</f>
        <v/>
      </c>
      <c r="CB299" s="90">
        <f>IF(AND(C299&gt;0,AM299=""),"  * No olvide digitar la variable Migrantes. Digite Cero si no tiene.",IF(AM299&gt;C299,"  * La variable Migrantes No puede ser mayor al Total.",""))</f>
        <v/>
      </c>
      <c r="CC299" s="90">
        <f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>
        <f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/>
      </c>
      <c r="CP299" s="221">
        <f>IF(AND(C299&gt;0,AM299=""),1,IF(AM299&gt;C299,1,0))</f>
        <v/>
      </c>
      <c r="CQ299" s="221">
        <f>IF(AND(C299&gt;0,AN299=""),1,IF(AN299&gt;C299,1,0))</f>
        <v/>
      </c>
      <c r="CR299" s="221">
        <f>IF(AND(C299&gt;0,AO299=""),1,IF(AO299&gt;C299,1,0))</f>
        <v/>
      </c>
    </row>
    <row r="300">
      <c r="A300" s="10001" t="inlineStr">
        <is>
          <t xml:space="preserve">
Programa de Rehabilitación Tipo II</t>
        </is>
      </c>
      <c r="B300" s="2244" t="inlineStr">
        <is>
          <t>Ingresos</t>
        </is>
      </c>
      <c r="C300" s="636">
        <f>SUM(D300+E300)</f>
        <v/>
      </c>
      <c r="D300" s="148">
        <f>SUM(F300+H300+J300+L300+N300+P300+R300+T300+V300+X300+Z300+AB300+AD300+AF300+AH300+AJ300)</f>
        <v/>
      </c>
      <c r="E300" s="1161">
        <f>SUM(G300+I300+K300+M300+O300+Q300+S300+U300+W300+Y300+AA300+AC300+AE300+AG300+AI300+AK300)</f>
        <v/>
      </c>
      <c r="F300" s="1935" t="n"/>
      <c r="G300" s="1186" t="n"/>
      <c r="H300" s="1935" t="n"/>
      <c r="I300" s="1186" t="n"/>
      <c r="J300" s="1935" t="n"/>
      <c r="K300" s="1186" t="n"/>
      <c r="L300" s="1935" t="n"/>
      <c r="M300" s="1186" t="n"/>
      <c r="N300" s="1935" t="n"/>
      <c r="O300" s="1186" t="n"/>
      <c r="P300" s="1935" t="n"/>
      <c r="Q300" s="1186" t="n"/>
      <c r="R300" s="1935" t="n"/>
      <c r="S300" s="1186" t="n"/>
      <c r="T300" s="1935" t="n"/>
      <c r="U300" s="1186" t="n"/>
      <c r="V300" s="1935" t="n"/>
      <c r="W300" s="1186" t="n"/>
      <c r="X300" s="1935" t="n"/>
      <c r="Y300" s="1186" t="n"/>
      <c r="Z300" s="1935" t="n"/>
      <c r="AA300" s="1186" t="n"/>
      <c r="AB300" s="1935" t="n"/>
      <c r="AC300" s="1186" t="n"/>
      <c r="AD300" s="1935" t="n"/>
      <c r="AE300" s="1186" t="n"/>
      <c r="AF300" s="1935" t="n"/>
      <c r="AG300" s="1186" t="n"/>
      <c r="AH300" s="1935" t="n"/>
      <c r="AI300" s="1186" t="n"/>
      <c r="AJ300" s="1935" t="n"/>
      <c r="AK300" s="1297" t="n"/>
      <c r="AL300" s="5214" t="n"/>
      <c r="AM300" s="1964" t="n"/>
      <c r="AN300" s="36" t="n"/>
      <c r="AO300" s="1964" t="n"/>
      <c r="AP300">
        <f>CA300&amp;CB300&amp;CC300&amp;CD300</f>
        <v/>
      </c>
      <c r="CA300" s="90">
        <f>IF(AND(C300&gt;0,AL300="")," * No olvide digitar la variable Pueblos Originarios. Digite Cero si no tiene.",IF(AL300&gt;C300," * La variable Pueblos originarios No puede ser mayor al Total.",""))</f>
        <v/>
      </c>
      <c r="CB300" s="90">
        <f>IF(AND(C300&gt;0,AM300=""),"  * No olvide digitar la variable Migrantes. Digite Cero si no tiene.",IF(AM300&gt;C300,"  * La variable Migrantes No puede ser mayor al Total.",""))</f>
        <v/>
      </c>
      <c r="CC300" s="90">
        <f>IF(AND(C300&gt;0,AN300="")," * No olvide digitar la variable SENAME/ Servicio Nacional de Reinserción social Juvenil . Digite Cero si no tiene.",IF(AN300&gt;C300," * La variable SENAME/ Servicio Nacional de Reinserción social Juvenil  No puede ser mayor al Total.",""))</f>
        <v/>
      </c>
      <c r="CD300" s="90">
        <f>IF(AND(C300&gt;0,AO300="")," * No olvide digitar la variable Servicio Nacional Protección Especializada a la Niñez y Adolescencia. Digite Cero si no tiene.",IF(AO300&gt;C300," * La variable Servicio Nacional Protección Especializada a la Niñez y Adolescencia No puede ser mayor al Total.",""))</f>
        <v/>
      </c>
      <c r="CO300" s="221">
        <f>IF(AND(C300&gt;0,AL300=""),1,IF(AL300&gt;C300,1,0))</f>
        <v/>
      </c>
      <c r="CP300" s="221">
        <f>IF(AND(C300&gt;0,AM300=""),1,IF(AM300&gt;C300,1,0))</f>
        <v/>
      </c>
      <c r="CQ300" s="221">
        <f>IF(AND(C300&gt;0,AN300=""),1,IF(AN300&gt;C300,1,0))</f>
        <v/>
      </c>
      <c r="CR300" s="221">
        <f>IF(AND(C300&gt;0,AO300=""),1,IF(AO300&gt;C300,1,0))</f>
        <v/>
      </c>
    </row>
    <row r="301">
      <c r="A301" s="10000" t="n"/>
      <c r="B301" s="2248" t="inlineStr">
        <is>
          <t>Egresos</t>
        </is>
      </c>
      <c r="C301" s="1252">
        <f>SUM(D301+E301)</f>
        <v/>
      </c>
      <c r="D301" s="1253">
        <f>SUM(F301+H301+J301+L301+N301+P301+R301+T301+V301+X301+Z301+AB301+AD301+AF301+AH301+AJ301)</f>
        <v/>
      </c>
      <c r="E301" s="1178">
        <f>SUM(G301+I301+K301+M301+O301+Q301+S301+U301+W301+Y301+AA301+AC301+AE301+AG301+AI301+AK301)</f>
        <v/>
      </c>
      <c r="F301" s="1188" t="n"/>
      <c r="G301" s="1192" t="n"/>
      <c r="H301" s="1188" t="n"/>
      <c r="I301" s="1192" t="n"/>
      <c r="J301" s="1188" t="n"/>
      <c r="K301" s="1192" t="n"/>
      <c r="L301" s="1188" t="n"/>
      <c r="M301" s="1192" t="n"/>
      <c r="N301" s="1188" t="n"/>
      <c r="O301" s="1192" t="n"/>
      <c r="P301" s="1188" t="n"/>
      <c r="Q301" s="1192" t="n"/>
      <c r="R301" s="1188" t="n"/>
      <c r="S301" s="1192" t="n"/>
      <c r="T301" s="1188" t="n"/>
      <c r="U301" s="1192" t="n"/>
      <c r="V301" s="1188" t="n"/>
      <c r="W301" s="1192" t="n"/>
      <c r="X301" s="1188" t="n"/>
      <c r="Y301" s="1192" t="n"/>
      <c r="Z301" s="1188" t="n"/>
      <c r="AA301" s="1192" t="n"/>
      <c r="AB301" s="1188" t="n"/>
      <c r="AC301" s="1192" t="n"/>
      <c r="AD301" s="1188" t="n"/>
      <c r="AE301" s="1192" t="n"/>
      <c r="AF301" s="1188" t="n"/>
      <c r="AG301" s="1192" t="n"/>
      <c r="AH301" s="1188" t="n"/>
      <c r="AI301" s="1192" t="n"/>
      <c r="AJ301" s="1188" t="n"/>
      <c r="AK301" s="1226" t="n"/>
      <c r="AL301" s="5249" t="n"/>
      <c r="AM301" s="1223" t="n"/>
      <c r="AN301" s="1227" t="n"/>
      <c r="AO301" s="1223" t="n"/>
      <c r="AP301">
        <f>CA301&amp;CB301&amp;CC301&amp;CD301</f>
        <v/>
      </c>
      <c r="CA301" s="90">
        <f>IF(AND(C301&gt;0,AL301="")," * No olvide digitar la variable Pueblos Originarios. Digite Cero si no tiene.",IF(AL301&gt;C301," * La variable Pueblos originarios No puede ser mayor al Total.",""))</f>
        <v/>
      </c>
      <c r="CB301" s="90">
        <f>IF(AND(C301&gt;0,AM301=""),"  * No olvide digitar la variable Migrantes. Digite Cero si no tiene.",IF(AM301&gt;C301,"  * La variable Migrantes No puede ser mayor al Total.",""))</f>
        <v/>
      </c>
      <c r="CC301" s="90">
        <f>IF(AND(C301&gt;0,AN301="")," * No olvide digitar la variable SENAME/ Servicio Nacional de Reinserción social Juvenil . Digite Cero si no tiene.",IF(AN301&gt;C301," * La variable SENAME/ Servicio Nacional de Reinserción social Juvenil  No puede ser mayor al Total.",""))</f>
        <v/>
      </c>
      <c r="CD301" s="90">
        <f>IF(AND(C301&gt;0,AO301="")," * No olvide digitar la variable Servicio Nacional Protección Especializada a la Niñez y Adolescencia. Digite Cero si no tiene.",IF(AO301&gt;C301," * La variable Servicio Nacional Protección Especializada a la Niñez y Adolescencia No puede ser mayor al Total.",""))</f>
        <v/>
      </c>
      <c r="CO301" s="221">
        <f>IF(AND(C301&gt;0,AL301=""),1,IF(AL301&gt;C301,1,0))</f>
        <v/>
      </c>
      <c r="CP301" s="221">
        <f>IF(AND(C301&gt;0,AM301=""),1,IF(AM301&gt;C301,1,0))</f>
        <v/>
      </c>
      <c r="CQ301" s="221">
        <f>IF(AND(C301&gt;0,AN301=""),1,IF(AN301&gt;C301,1,0))</f>
        <v/>
      </c>
      <c r="CR301" s="221">
        <f>IF(AND(C301&gt;0,AO301=""),1,IF(AO301&gt;C301,1,0))</f>
        <v/>
      </c>
    </row>
    <row r="302" ht="18" customFormat="1" customHeight="1" s="5">
      <c r="A302" s="2" t="inlineStr">
        <is>
          <t>SECCIÓN Q: INGRESOS Y EGRESOS A PROGRAMA INFECCIÓN POR TRANSMISIÓN SEXUAL (Uso de establecimientos que realizan atención de ITS)</t>
        </is>
      </c>
      <c r="B302" s="646" t="n"/>
      <c r="C302" s="3" t="n"/>
      <c r="D302" s="3" t="n"/>
      <c r="E302" s="3" t="n"/>
      <c r="F302" s="3" t="n"/>
      <c r="G302" s="3" t="n"/>
      <c r="H302" s="3" t="n"/>
      <c r="I302" s="3" t="n"/>
      <c r="J302" s="3" t="n"/>
      <c r="K302" s="3" t="n"/>
      <c r="L302" s="3" t="n"/>
      <c r="M302" s="3" t="n"/>
      <c r="N302" s="3" t="n"/>
      <c r="O302" s="3" t="n"/>
      <c r="P302" s="3" t="n"/>
      <c r="Q302" s="3" t="n"/>
      <c r="R302" s="3" t="n"/>
      <c r="S302" s="3" t="n"/>
      <c r="T302" s="3" t="n"/>
      <c r="U302" s="3" t="n"/>
      <c r="V302" s="3" t="n"/>
      <c r="W302" s="3" t="n"/>
      <c r="X302" s="3" t="n"/>
      <c r="Y302" s="3" t="n"/>
      <c r="Z302" s="3" t="n"/>
      <c r="AA302" s="3" t="n"/>
      <c r="AB302" s="3" t="n"/>
      <c r="AC302" s="3" t="n"/>
      <c r="AD302" s="3" t="n"/>
      <c r="AE302" s="3" t="n"/>
      <c r="AF302" s="3" t="n"/>
      <c r="AG302" s="3" t="n"/>
      <c r="AH302" s="3" t="n"/>
      <c r="AI302" s="3" t="n"/>
      <c r="AJ302" s="3" t="n"/>
      <c r="AK302" s="3" t="n"/>
      <c r="AL302" s="3" t="n"/>
      <c r="AM302" s="3" t="n"/>
      <c r="AN302" s="3" t="n"/>
      <c r="AO302" s="3" t="n"/>
      <c r="AP302" s="3" t="n"/>
      <c r="AQ302" s="3" t="n"/>
      <c r="AR302" s="3" t="n"/>
      <c r="AS302" s="3" t="n"/>
      <c r="AT302" s="3" t="n"/>
      <c r="AU302" s="3" t="n"/>
      <c r="AV302" s="2143" t="n"/>
    </row>
    <row r="303" ht="15" customHeight="1" s="8286">
      <c r="A303" s="9939" t="inlineStr">
        <is>
          <t>PATOLOGÍAS</t>
        </is>
      </c>
      <c r="B303" s="9630" t="n"/>
      <c r="C303" s="4505" t="inlineStr">
        <is>
          <t xml:space="preserve">TOTAL </t>
        </is>
      </c>
      <c r="D303" s="9602" t="n"/>
      <c r="E303" s="9630" t="n"/>
      <c r="F303" s="9915" t="inlineStr">
        <is>
          <t>RANGO ETARIO Y SEXO</t>
        </is>
      </c>
      <c r="G303" s="9584" t="n"/>
      <c r="H303" s="9584" t="n"/>
      <c r="I303" s="9584" t="n"/>
      <c r="J303" s="9584" t="n"/>
      <c r="K303" s="9584" t="n"/>
      <c r="L303" s="9584" t="n"/>
      <c r="M303" s="9584" t="n"/>
      <c r="N303" s="9584" t="n"/>
      <c r="O303" s="9584" t="n"/>
      <c r="P303" s="9584" t="n"/>
      <c r="Q303" s="9584" t="n"/>
      <c r="R303" s="9584" t="n"/>
      <c r="S303" s="9584" t="n"/>
      <c r="T303" s="9584" t="n"/>
      <c r="U303" s="9584" t="n"/>
      <c r="V303" s="9584" t="n"/>
      <c r="W303" s="9584" t="n"/>
      <c r="X303" s="9584" t="n"/>
      <c r="Y303" s="9584" t="n"/>
      <c r="Z303" s="9584" t="n"/>
      <c r="AA303" s="9584" t="n"/>
      <c r="AB303" s="9584" t="n"/>
      <c r="AC303" s="9584" t="n"/>
      <c r="AD303" s="9584" t="n"/>
      <c r="AE303" s="9584" t="n"/>
      <c r="AF303" s="9584" t="n"/>
      <c r="AG303" s="9584" t="n"/>
      <c r="AH303" s="9584" t="n"/>
      <c r="AI303" s="9584" t="n"/>
      <c r="AJ303" s="9584" t="n"/>
      <c r="AK303" s="9584" t="n"/>
      <c r="AL303" s="9584" t="n"/>
      <c r="AM303" s="9595" t="n"/>
      <c r="AN303" s="7834" t="inlineStr">
        <is>
          <t>EGRESOS</t>
        </is>
      </c>
      <c r="AO303" s="9584" t="n"/>
      <c r="AP303" s="9647" t="n"/>
      <c r="AQ303" s="9939" t="inlineStr">
        <is>
          <t>TRANS</t>
        </is>
      </c>
      <c r="AR303" s="9630" t="n"/>
      <c r="AS303" s="8400" t="inlineStr">
        <is>
          <t>Pueblos Originarios</t>
        </is>
      </c>
      <c r="AT303" s="9919" t="inlineStr">
        <is>
          <t>Migrantes</t>
        </is>
      </c>
      <c r="AU303" s="10002" t="inlineStr">
        <is>
          <t xml:space="preserve">SENAME/ Servicio Nacional de Reinserción social Juvenil </t>
        </is>
      </c>
      <c r="AV303" s="9920" t="inlineStr">
        <is>
          <t>Servicio Nacional Protección Especializada a la Niñez y Adolescencia</t>
        </is>
      </c>
    </row>
    <row r="304">
      <c r="A304" s="642" t="n"/>
      <c r="B304" s="9718" t="n"/>
      <c r="C304" s="9698" t="n"/>
      <c r="D304" s="9591" t="n"/>
      <c r="E304" s="9776" t="n"/>
      <c r="F304" s="4505" t="inlineStr">
        <is>
          <t>0 - 4 años</t>
        </is>
      </c>
      <c r="G304" s="9647" t="n"/>
      <c r="H304" s="4505" t="inlineStr">
        <is>
          <t>5 - 9 años</t>
        </is>
      </c>
      <c r="I304" s="9647" t="n"/>
      <c r="J304" s="4505" t="inlineStr">
        <is>
          <t>10 - 14 años</t>
        </is>
      </c>
      <c r="K304" s="9647" t="n"/>
      <c r="L304" s="4505" t="inlineStr">
        <is>
          <t>15 - 19 años</t>
        </is>
      </c>
      <c r="M304" s="9647" t="n"/>
      <c r="N304" s="9977" t="inlineStr">
        <is>
          <t>20 - 24 años</t>
        </is>
      </c>
      <c r="O304" s="9582" t="n"/>
      <c r="P304" s="9240" t="inlineStr">
        <is>
          <t>25 - 29 años</t>
        </is>
      </c>
      <c r="Q304" s="9647" t="n"/>
      <c r="R304" s="9240" t="inlineStr">
        <is>
          <t>30 - 34 años</t>
        </is>
      </c>
      <c r="S304" s="9647" t="n"/>
      <c r="T304" s="9240" t="inlineStr">
        <is>
          <t>35 - 39 años</t>
        </is>
      </c>
      <c r="U304" s="9647" t="n"/>
      <c r="V304" s="9240" t="inlineStr">
        <is>
          <t>40 - 44 años</t>
        </is>
      </c>
      <c r="W304" s="9647" t="n"/>
      <c r="X304" s="9240" t="inlineStr">
        <is>
          <t>45 - 49 años</t>
        </is>
      </c>
      <c r="Y304" s="9647" t="n"/>
      <c r="Z304" s="9240" t="inlineStr">
        <is>
          <t>50 - 54 años</t>
        </is>
      </c>
      <c r="AA304" s="9647" t="n"/>
      <c r="AB304" s="9240" t="inlineStr">
        <is>
          <t>55 - 59 años</t>
        </is>
      </c>
      <c r="AC304" s="9647" t="n"/>
      <c r="AD304" s="9240" t="inlineStr">
        <is>
          <t>60 - 64 años</t>
        </is>
      </c>
      <c r="AE304" s="9647" t="n"/>
      <c r="AF304" s="9240" t="inlineStr">
        <is>
          <t>65 - 69 años</t>
        </is>
      </c>
      <c r="AG304" s="9647" t="n"/>
      <c r="AH304" s="9240" t="inlineStr">
        <is>
          <t>70 - 74 años</t>
        </is>
      </c>
      <c r="AI304" s="9647" t="n"/>
      <c r="AJ304" s="9240" t="inlineStr">
        <is>
          <t>75 - 79 años</t>
        </is>
      </c>
      <c r="AK304" s="9647" t="n"/>
      <c r="AL304" s="9240" t="inlineStr">
        <is>
          <t>80 y más años</t>
        </is>
      </c>
      <c r="AM304" s="9647" t="n"/>
      <c r="AN304" s="10002" t="inlineStr">
        <is>
          <t>Total</t>
        </is>
      </c>
      <c r="AO304" s="10002" t="inlineStr">
        <is>
          <t>Por alta</t>
        </is>
      </c>
      <c r="AP304" s="9920" t="inlineStr">
        <is>
          <t>Por abandono</t>
        </is>
      </c>
      <c r="AQ304" s="9638" t="n"/>
      <c r="AR304" s="9639" t="n"/>
      <c r="AS304" s="9614" t="n"/>
      <c r="AT304" s="9668" t="n"/>
      <c r="AU304" s="9687" t="n"/>
      <c r="AV304" s="9625" t="n"/>
    </row>
    <row r="305" ht="39.75" customHeight="1" s="8286">
      <c r="A305" s="9638" t="n"/>
      <c r="B305" s="9639" t="n"/>
      <c r="C305" s="7932" t="inlineStr">
        <is>
          <t>Ambos Sexos</t>
        </is>
      </c>
      <c r="D305" s="2110" t="inlineStr">
        <is>
          <t>Hombres</t>
        </is>
      </c>
      <c r="E305" s="7936" t="inlineStr">
        <is>
          <t>Mujeres</t>
        </is>
      </c>
      <c r="F305" s="7932" t="inlineStr">
        <is>
          <t xml:space="preserve">Hombres </t>
        </is>
      </c>
      <c r="G305" s="7933" t="inlineStr">
        <is>
          <t>Mujeres</t>
        </is>
      </c>
      <c r="H305" s="7932" t="inlineStr">
        <is>
          <t xml:space="preserve">Hombres </t>
        </is>
      </c>
      <c r="I305" s="7933" t="inlineStr">
        <is>
          <t>Mujeres</t>
        </is>
      </c>
      <c r="J305" s="7932" t="inlineStr">
        <is>
          <t xml:space="preserve">Hombres </t>
        </is>
      </c>
      <c r="K305" s="7933" t="inlineStr">
        <is>
          <t>Mujeres</t>
        </is>
      </c>
      <c r="L305" s="7932" t="inlineStr">
        <is>
          <t xml:space="preserve">Hombres </t>
        </is>
      </c>
      <c r="M305" s="7933" t="inlineStr">
        <is>
          <t>Mujeres</t>
        </is>
      </c>
      <c r="N305" s="7932" t="inlineStr">
        <is>
          <t xml:space="preserve">Hombres </t>
        </is>
      </c>
      <c r="O305" s="7933" t="inlineStr">
        <is>
          <t>Mujeres</t>
        </is>
      </c>
      <c r="P305" s="7932" t="inlineStr">
        <is>
          <t xml:space="preserve">Hombres </t>
        </is>
      </c>
      <c r="Q305" s="7933" t="inlineStr">
        <is>
          <t>Mujeres</t>
        </is>
      </c>
      <c r="R305" s="7932" t="inlineStr">
        <is>
          <t xml:space="preserve">Hombres </t>
        </is>
      </c>
      <c r="S305" s="7933" t="inlineStr">
        <is>
          <t>Mujeres</t>
        </is>
      </c>
      <c r="T305" s="7932" t="inlineStr">
        <is>
          <t xml:space="preserve">Hombres </t>
        </is>
      </c>
      <c r="U305" s="7933" t="inlineStr">
        <is>
          <t>Mujeres</t>
        </is>
      </c>
      <c r="V305" s="7932" t="inlineStr">
        <is>
          <t xml:space="preserve">Hombres </t>
        </is>
      </c>
      <c r="W305" s="7933" t="inlineStr">
        <is>
          <t>Mujeres</t>
        </is>
      </c>
      <c r="X305" s="7932" t="inlineStr">
        <is>
          <t xml:space="preserve">Hombres </t>
        </is>
      </c>
      <c r="Y305" s="7933" t="inlineStr">
        <is>
          <t>Mujeres</t>
        </is>
      </c>
      <c r="Z305" s="7932" t="inlineStr">
        <is>
          <t xml:space="preserve">Hombres </t>
        </is>
      </c>
      <c r="AA305" s="7933" t="inlineStr">
        <is>
          <t>Mujeres</t>
        </is>
      </c>
      <c r="AB305" s="7932" t="inlineStr">
        <is>
          <t xml:space="preserve">Hombres </t>
        </is>
      </c>
      <c r="AC305" s="7933" t="inlineStr">
        <is>
          <t>Mujeres</t>
        </is>
      </c>
      <c r="AD305" s="7932" t="inlineStr">
        <is>
          <t xml:space="preserve">Hombres </t>
        </is>
      </c>
      <c r="AE305" s="7933" t="inlineStr">
        <is>
          <t>Mujeres</t>
        </is>
      </c>
      <c r="AF305" s="7932" t="inlineStr">
        <is>
          <t xml:space="preserve">Hombres </t>
        </is>
      </c>
      <c r="AG305" s="7933" t="inlineStr">
        <is>
          <t>Mujeres</t>
        </is>
      </c>
      <c r="AH305" s="7932" t="inlineStr">
        <is>
          <t xml:space="preserve">Hombres </t>
        </is>
      </c>
      <c r="AI305" s="7933" t="inlineStr">
        <is>
          <t>Mujeres</t>
        </is>
      </c>
      <c r="AJ305" s="7932" t="inlineStr">
        <is>
          <t xml:space="preserve">Hombres </t>
        </is>
      </c>
      <c r="AK305" s="7933" t="inlineStr">
        <is>
          <t>Mujeres</t>
        </is>
      </c>
      <c r="AL305" s="7932" t="inlineStr">
        <is>
          <t xml:space="preserve">Hombres </t>
        </is>
      </c>
      <c r="AM305" s="1981" t="inlineStr">
        <is>
          <t>Mujeres</t>
        </is>
      </c>
      <c r="AN305" s="9688" t="n"/>
      <c r="AO305" s="9688" t="n"/>
      <c r="AP305" s="9641" t="n"/>
      <c r="AQ305" s="7932" t="inlineStr">
        <is>
          <t>Masculino</t>
        </is>
      </c>
      <c r="AR305" s="7666" t="inlineStr">
        <is>
          <t>Femenino</t>
        </is>
      </c>
      <c r="AS305" s="9610" t="n"/>
      <c r="AT305" s="9855" t="n"/>
      <c r="AU305" s="9688" t="n"/>
      <c r="AV305" s="9641" t="n"/>
    </row>
    <row r="306" ht="18" customFormat="1" customHeight="1" s="5">
      <c r="A306" s="9240" t="inlineStr">
        <is>
          <t>TOTAL DE INGRESOS</t>
        </is>
      </c>
      <c r="B306" s="9647" t="n"/>
      <c r="C306" s="2169">
        <f>SUM(D306+E306)</f>
        <v/>
      </c>
      <c r="D306" s="2170">
        <f>SUM(F306+H306+J306+L306+N306+P306+R306+T306+V306+X306+Z306+AB306+AD306+AF306+AH306+AJ306+AL306)</f>
        <v/>
      </c>
      <c r="E306" s="2250">
        <f>SUM(G306+I306+K306+M306+O306+Q306+S306+U306+W306+Y306+AA306+AC306+AE306+AG306+AI306+AK306+AM306)</f>
        <v/>
      </c>
      <c r="F306" s="2169">
        <f>SUM(F316:F324)</f>
        <v/>
      </c>
      <c r="G306" s="2251">
        <f>SUM(G316:G324)</f>
        <v/>
      </c>
      <c r="H306" s="2169">
        <f>SUM(H316:H324)</f>
        <v/>
      </c>
      <c r="I306" s="2251">
        <f>SUM(I316:I324)</f>
        <v/>
      </c>
      <c r="J306" s="2169">
        <f>SUM(J316:J324)</f>
        <v/>
      </c>
      <c r="K306" s="2251">
        <f>SUM(K307:K324)</f>
        <v/>
      </c>
      <c r="L306" s="2169">
        <f>SUM(L316:L324)</f>
        <v/>
      </c>
      <c r="M306" s="2251">
        <f>SUM(M307:M324)</f>
        <v/>
      </c>
      <c r="N306" s="2169">
        <f>SUM(N316:N324)</f>
        <v/>
      </c>
      <c r="O306" s="2251">
        <f>SUM(O307:O324)</f>
        <v/>
      </c>
      <c r="P306" s="2169">
        <f>SUM(P316:P324)</f>
        <v/>
      </c>
      <c r="Q306" s="2251">
        <f>SUM(Q307:Q324)</f>
        <v/>
      </c>
      <c r="R306" s="2169">
        <f>SUM(R316:R324)</f>
        <v/>
      </c>
      <c r="S306" s="2251">
        <f>SUM(S307:S324)</f>
        <v/>
      </c>
      <c r="T306" s="2169">
        <f>SUM(T316:T324)</f>
        <v/>
      </c>
      <c r="U306" s="2251">
        <f>SUM(U307:U324)</f>
        <v/>
      </c>
      <c r="V306" s="2169">
        <f>SUM(V316:V324)</f>
        <v/>
      </c>
      <c r="W306" s="2251">
        <f>SUM(W307:W324)</f>
        <v/>
      </c>
      <c r="X306" s="2169">
        <f>SUM(X316:X324)</f>
        <v/>
      </c>
      <c r="Y306" s="2251">
        <f>SUM(Y307:Y324)</f>
        <v/>
      </c>
      <c r="Z306" s="2169">
        <f>SUM(Z316:Z324)</f>
        <v/>
      </c>
      <c r="AA306" s="2251">
        <f>SUM(AA307:AA324)</f>
        <v/>
      </c>
      <c r="AB306" s="2169">
        <f>SUM(AB316:AB324)</f>
        <v/>
      </c>
      <c r="AC306" s="2251">
        <f>SUM(AC307:AC324)</f>
        <v/>
      </c>
      <c r="AD306" s="2169">
        <f>SUM(AD316:AD324)</f>
        <v/>
      </c>
      <c r="AE306" s="2251">
        <f>SUM(AE316:AE324)</f>
        <v/>
      </c>
      <c r="AF306" s="2169">
        <f>SUM(AF316:AF324)</f>
        <v/>
      </c>
      <c r="AG306" s="2251">
        <f>SUM(AG316:AG324)</f>
        <v/>
      </c>
      <c r="AH306" s="2169">
        <f>SUM(AH316:AH324)</f>
        <v/>
      </c>
      <c r="AI306" s="2251">
        <f>SUM(AI316:AI324)</f>
        <v/>
      </c>
      <c r="AJ306" s="2169">
        <f>SUM(AJ316:AJ324)</f>
        <v/>
      </c>
      <c r="AK306" s="2251">
        <f>SUM(AK316:AK324)</f>
        <v/>
      </c>
      <c r="AL306" s="2169">
        <f>SUM(AL316:AL324)</f>
        <v/>
      </c>
      <c r="AM306" s="2252">
        <f>SUM(AM316:AM324)</f>
        <v/>
      </c>
      <c r="AN306" s="2253">
        <f>SUM(AN307:AN324)</f>
        <v/>
      </c>
      <c r="AO306" s="2253">
        <f>SUM(AO307:AO324)</f>
        <v/>
      </c>
      <c r="AP306" s="2254">
        <f>SUM(AP307:AP324)</f>
        <v/>
      </c>
      <c r="AQ306" s="2169">
        <f>SUM(AQ307:AQ324)</f>
        <v/>
      </c>
      <c r="AR306" s="2254">
        <f>SUM(AR307:AR324)</f>
        <v/>
      </c>
      <c r="AS306" s="5395">
        <f>SUM(AS307:AS324)</f>
        <v/>
      </c>
      <c r="AT306" s="5394">
        <f>SUM(AT307:AT324)</f>
        <v/>
      </c>
      <c r="AU306" s="2253">
        <f>SUM(AU307:AU324)</f>
        <v/>
      </c>
      <c r="AV306" s="2250">
        <f>SUM(AV307:AV324)</f>
        <v/>
      </c>
    </row>
    <row r="307" ht="15" customHeight="1" s="8286">
      <c r="A307" s="9236" t="inlineStr">
        <is>
          <t>Gestantes</t>
        </is>
      </c>
      <c r="B307" s="1946" t="inlineStr">
        <is>
          <t>Sífilis</t>
        </is>
      </c>
      <c r="C307" s="1978">
        <f>SUM(E307)</f>
        <v/>
      </c>
      <c r="D307" s="149" t="n"/>
      <c r="E307" s="7833">
        <f>SUM(K307+M307+O307+Q307+S307+U307+W307+Y307+AA307+AC307)</f>
        <v/>
      </c>
      <c r="F307" s="651" t="n"/>
      <c r="G307" s="40" t="n"/>
      <c r="H307" s="40" t="n"/>
      <c r="I307" s="40" t="n"/>
      <c r="J307" s="205" t="n"/>
      <c r="K307" s="1186" t="n"/>
      <c r="L307" s="652" t="n"/>
      <c r="M307" s="1186" t="n"/>
      <c r="N307" s="652" t="n"/>
      <c r="O307" s="1186" t="n"/>
      <c r="P307" s="652" t="n"/>
      <c r="Q307" s="1186" t="n"/>
      <c r="R307" s="652" t="n"/>
      <c r="S307" s="1186" t="n"/>
      <c r="T307" s="652" t="n"/>
      <c r="U307" s="1186" t="n"/>
      <c r="V307" s="652" t="n"/>
      <c r="W307" s="1186" t="n"/>
      <c r="X307" s="652" t="n"/>
      <c r="Y307" s="1186" t="n"/>
      <c r="Z307" s="652" t="n"/>
      <c r="AA307" s="1186" t="n"/>
      <c r="AB307" s="652" t="n"/>
      <c r="AC307" s="1186" t="n"/>
      <c r="AD307" s="651" t="n"/>
      <c r="AE307" s="40" t="n"/>
      <c r="AF307" s="40" t="n"/>
      <c r="AG307" s="40" t="n"/>
      <c r="AH307" s="40" t="n"/>
      <c r="AI307" s="40" t="n"/>
      <c r="AJ307" s="40" t="n"/>
      <c r="AK307" s="40" t="n"/>
      <c r="AL307" s="40" t="n"/>
      <c r="AM307" s="41" t="n"/>
      <c r="AN307" s="1432" t="n"/>
      <c r="AO307" s="1432" t="n"/>
      <c r="AP307" s="1186" t="n"/>
      <c r="AQ307" s="1935" t="n"/>
      <c r="AR307" s="40" t="n"/>
      <c r="AS307" s="1964" t="n"/>
      <c r="AT307" s="2648" t="n"/>
      <c r="AU307" s="1432" t="n"/>
      <c r="AV307" s="1186" t="n"/>
      <c r="AW307">
        <f>CA307&amp;CB307&amp;CC307&amp;CD307&amp;CE307&amp;CF307&amp;CG307</f>
        <v/>
      </c>
      <c r="CA307" s="90">
        <f>IF((AO307+AP307)&gt;AN307," * Los Egresos Por Alta + Egresos Por Abandono no pueden ser mayor que el Total de Egresos.","")</f>
        <v/>
      </c>
      <c r="CB307" s="260">
        <f>IF(AND(E307&gt;0,OR(AQ307=""))," * No olvide digitar la variable Trans (Masculino). Digite Cero si no tiene.",IF(AQ307&gt;E307,"  * La variable Trans (Masculino) No puede ser mayor al Total Mujeres.",""))</f>
        <v/>
      </c>
      <c r="CC307" s="223" t="n"/>
      <c r="CD307" s="260">
        <f>IF(AND(C307&gt;0,AS307=""), " * No olvide digitar la variable Pueblos originarios. Digite Cero si no tiene.",IF(AS307&gt;C307,"  * La variable Pueblos originarios No puede ser mayor al Total.",""))</f>
        <v/>
      </c>
      <c r="CE307" s="260">
        <f>IF(AND(C307&gt;0,AT307=""), " * No olvide digitar la variable Migrantes. Digite Cero si no tiene.",IF(AT307&gt;C307,"  * La variable Migrantes No puede ser mayor al Total.",""))</f>
        <v/>
      </c>
      <c r="CF307" s="260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>IF((AO307+AP307)&gt;AN307,1,0)</f>
        <v/>
      </c>
      <c r="CP307" s="221">
        <f>IF(AND(E307&gt;0,OR(AQ307="")),1,IF(AQ307&gt;E307,1,0))</f>
        <v/>
      </c>
      <c r="CQ307" s="252" t="n"/>
      <c r="CR307" s="221">
        <f>IF(AND(C307&gt;0,AS307=""),1,IF(AS307&gt;C307,1,0))</f>
        <v/>
      </c>
      <c r="CS307" s="221">
        <f>IF(AND(C307&gt;0,AT307=""),1,IF(AT307&gt;C307,1,0))</f>
        <v/>
      </c>
      <c r="CT307" s="221">
        <f>IF(AND(C307&gt;0,AU307=""),1,IF(AU307&gt;C307,1,0))</f>
        <v/>
      </c>
      <c r="CU307" s="221">
        <f>IF(AND(C307&gt;0,AV307=""),1,IF(AV307&gt;C307,1,0))</f>
        <v/>
      </c>
    </row>
    <row r="308" ht="15" customHeight="1" s="8286">
      <c r="A308" s="9718" t="n"/>
      <c r="B308" s="8320" t="inlineStr">
        <is>
          <t>Gonorrea</t>
        </is>
      </c>
      <c r="C308" s="1485">
        <f>SUM(E308)</f>
        <v/>
      </c>
      <c r="D308" s="149" t="n"/>
      <c r="E308" s="7750">
        <f>SUM(K308+M308+O308+Q308+S308+U308+W308+Y308+AA308+AC308)</f>
        <v/>
      </c>
      <c r="F308" s="651" t="n"/>
      <c r="G308" s="40" t="n"/>
      <c r="H308" s="40" t="n"/>
      <c r="I308" s="40" t="n"/>
      <c r="J308" s="205" t="n"/>
      <c r="K308" s="1186" t="n"/>
      <c r="L308" s="652" t="n"/>
      <c r="M308" s="1186" t="n"/>
      <c r="N308" s="652" t="n"/>
      <c r="O308" s="1186" t="n"/>
      <c r="P308" s="652" t="n"/>
      <c r="Q308" s="1186" t="n"/>
      <c r="R308" s="652" t="n"/>
      <c r="S308" s="1186" t="n"/>
      <c r="T308" s="652" t="n"/>
      <c r="U308" s="1186" t="n"/>
      <c r="V308" s="652" t="n"/>
      <c r="W308" s="1186" t="n"/>
      <c r="X308" s="652" t="n"/>
      <c r="Y308" s="1186" t="n"/>
      <c r="Z308" s="652" t="n"/>
      <c r="AA308" s="1186" t="n"/>
      <c r="AB308" s="652" t="n"/>
      <c r="AC308" s="1186" t="n"/>
      <c r="AD308" s="651" t="n"/>
      <c r="AE308" s="40" t="n"/>
      <c r="AF308" s="40" t="n"/>
      <c r="AG308" s="40" t="n"/>
      <c r="AH308" s="40" t="n"/>
      <c r="AI308" s="40" t="n"/>
      <c r="AJ308" s="40" t="n"/>
      <c r="AK308" s="40" t="n"/>
      <c r="AL308" s="40" t="n"/>
      <c r="AM308" s="41" t="n"/>
      <c r="AN308" s="1432" t="n"/>
      <c r="AO308" s="1432" t="n"/>
      <c r="AP308" s="1186" t="n"/>
      <c r="AQ308" s="1935" t="n"/>
      <c r="AR308" s="40" t="n"/>
      <c r="AS308" s="1964" t="n"/>
      <c r="AT308" s="2648" t="n"/>
      <c r="AU308" s="1432" t="n"/>
      <c r="AV308" s="1186" t="n"/>
      <c r="AW308">
        <f>CA308&amp;CB308&amp;CC308&amp;CD308&amp;CE308&amp;CF308&amp;CG308</f>
        <v/>
      </c>
      <c r="CA308" s="90">
        <f>IF((AO308+AP308)&gt;AN308," * Los Egresos Por Alta + Egresos Por Abandono no pueden ser mayor que el Total de Egresos.","")</f>
        <v/>
      </c>
      <c r="CB308" s="260">
        <f>IF(AND(E308&gt;0,OR(AQ308=""))," * No olvide digitar la variable Trans (Masculino). Digite Cero si no tiene.",IF(AQ308&gt;E308,"  * La variable Trans (Masculino) No puede ser mayor al Total Mujeres.",""))</f>
        <v/>
      </c>
      <c r="CC308" s="223" t="n"/>
      <c r="CD308" s="260">
        <f>IF(AND(C308&gt;0,AS308=""), " * No olvide digitar la variable Pueblos originarios. Digite Cero si no tiene.",IF(AS308&gt;C308,"  * La variable Pueblos originarios No puede ser mayor al Total.",""))</f>
        <v/>
      </c>
      <c r="CE308" s="260">
        <f>IF(AND(C308&gt;0,AT308=""), " * No olvide digitar la variable Migrantes. Digite Cero si no tiene.",IF(AT308&gt;C308,"  * La variable Migrantes No puede ser mayor al Total.",""))</f>
        <v/>
      </c>
      <c r="CF308" s="260">
        <f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>
        <f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>IF((AO308+AP308)&gt;AN308,1,0)</f>
        <v/>
      </c>
      <c r="CP308" s="221">
        <f>IF(AND(E308&gt;0,OR(AQ308="")),1,IF(AQ308&gt;E308,1,0))</f>
        <v/>
      </c>
      <c r="CQ308" s="252" t="n"/>
      <c r="CR308" s="221">
        <f>IF(AND(C308&gt;0,AS308=""),1,IF(AS308&gt;C308,1,0))</f>
        <v/>
      </c>
      <c r="CS308" s="221">
        <f>IF(AND(C308&gt;0,AT308=""),1,IF(AT308&gt;C308,1,0))</f>
        <v/>
      </c>
      <c r="CT308" s="221">
        <f>IF(AND(C308&gt;0,AU308=""),1,IF(AU308&gt;C308,1,0))</f>
        <v/>
      </c>
      <c r="CU308" s="221">
        <f>IF(AND(C308&gt;0,AV308=""),1,IF(AV308&gt;C308,1,0))</f>
        <v/>
      </c>
    </row>
    <row r="309" ht="15" customHeight="1" s="8286">
      <c r="A309" s="9718" t="n"/>
      <c r="B309" s="1170" t="inlineStr">
        <is>
          <t>Condiloma</t>
        </is>
      </c>
      <c r="C309" s="1485">
        <f>SUM(D309+E309)</f>
        <v/>
      </c>
      <c r="D309" s="149" t="n"/>
      <c r="E309" s="7750">
        <f>SUM(K309+M309+O309+Q309+S309+U309+W309+Y309+AA309+AC309)</f>
        <v/>
      </c>
      <c r="F309" s="651" t="n"/>
      <c r="G309" s="40" t="n"/>
      <c r="H309" s="40" t="n"/>
      <c r="I309" s="40" t="n"/>
      <c r="J309" s="205" t="n"/>
      <c r="K309" s="1173" t="n"/>
      <c r="L309" s="652" t="n"/>
      <c r="M309" s="1173" t="n"/>
      <c r="N309" s="652" t="n"/>
      <c r="O309" s="1173" t="n"/>
      <c r="P309" s="652" t="n"/>
      <c r="Q309" s="1173" t="n"/>
      <c r="R309" s="652" t="n"/>
      <c r="S309" s="1173" t="n"/>
      <c r="T309" s="652" t="n"/>
      <c r="U309" s="1173" t="n"/>
      <c r="V309" s="652" t="n"/>
      <c r="W309" s="1173" t="n"/>
      <c r="X309" s="652" t="n"/>
      <c r="Y309" s="1173" t="n"/>
      <c r="Z309" s="652" t="n"/>
      <c r="AA309" s="1173" t="n"/>
      <c r="AB309" s="652" t="n"/>
      <c r="AC309" s="1173" t="n"/>
      <c r="AD309" s="651" t="n"/>
      <c r="AE309" s="40" t="n"/>
      <c r="AF309" s="40" t="n"/>
      <c r="AG309" s="40" t="n"/>
      <c r="AH309" s="40" t="n"/>
      <c r="AI309" s="40" t="n"/>
      <c r="AJ309" s="40" t="n"/>
      <c r="AK309" s="40" t="n"/>
      <c r="AL309" s="40" t="n"/>
      <c r="AM309" s="41" t="n"/>
      <c r="AN309" s="1174" t="n"/>
      <c r="AO309" s="1174" t="n"/>
      <c r="AP309" s="1173" t="n"/>
      <c r="AQ309" s="1172" t="n"/>
      <c r="AR309" s="40" t="n"/>
      <c r="AS309" s="3892" t="n"/>
      <c r="AT309" s="5157" t="n"/>
      <c r="AU309" s="1174" t="n"/>
      <c r="AV309" s="1173" t="n"/>
      <c r="AW309">
        <f>CA309&amp;CB309&amp;CC309&amp;CD309&amp;CE309&amp;CF309&amp;CG309</f>
        <v/>
      </c>
      <c r="CA309" s="90">
        <f>IF((AO309+AP309)&gt;AN309," * Los Egresos Por Alta + Egresos Por Abandono no pueden ser mayor que el Total de Egresos.","")</f>
        <v/>
      </c>
      <c r="CB309" s="260">
        <f>IF(AND(E309&gt;0,OR(AQ309=""))," * No olvide digitar la variable Trans (Masculino). Digite Cero si no tiene.",IF(AQ309&gt;E309,"  * La variable Trans (Masculino) No puede ser mayor al Total Mujeres.",""))</f>
        <v/>
      </c>
      <c r="CC309" s="223" t="n"/>
      <c r="CD309" s="260">
        <f>IF(AND(C309&gt;0,AS309=""), " * No olvide digitar la variable Pueblos originarios. Digite Cero si no tiene.",IF(AS309&gt;C309,"  * La variable Pueblos originarios No puede ser mayor al Total.",""))</f>
        <v/>
      </c>
      <c r="CE309" s="260">
        <f>IF(AND(C309&gt;0,AT309=""), " * No olvide digitar la variable Migrantes. Digite Cero si no tiene.",IF(AT309&gt;C309,"  * La variable Migrantes No puede ser mayor al Total.",""))</f>
        <v/>
      </c>
      <c r="CF309" s="260">
        <f>IF(AND(C309&gt;0,AU309=""), " * No olvide digitar la variable SENAME/ Servicio Nacional de Reinserción social Juvenil . Digite Cero si no tiene.",IF(AU309&gt;C309,"  * La variable SENAME/ Servicio Nacional de Reinserción social Juvenil No puede ser mayor al Total.",""))</f>
        <v/>
      </c>
      <c r="CG309" s="260">
        <f>IF(AND(C309&gt;0,AV309=""), " * No olvide digitar la variable Servicio Nacional Protección Especializada a la Niñez y Adolescencia. Digite Cero si no tiene.",IF(AV309&gt;C309,"  * La variable Servicio Nacional Protección Especializada a la Niñez y Adolescencia No puede ser mayor al Total.",""))</f>
        <v/>
      </c>
      <c r="CO309" s="221">
        <f>IF((AO309+AP309)&gt;AN309,1,0)</f>
        <v/>
      </c>
      <c r="CP309" s="221">
        <f>IF(AND(E309&gt;0,OR(AQ309="")),1,IF(AQ309&gt;E309,1,0))</f>
        <v/>
      </c>
      <c r="CQ309" s="252" t="n"/>
      <c r="CR309" s="221">
        <f>IF(AND(C309&gt;0,AS309=""),1,IF(AS309&gt;C309,1,0))</f>
        <v/>
      </c>
      <c r="CS309" s="221">
        <f>IF(AND(C309&gt;0,AT309=""),1,IF(AT309&gt;C309,1,0))</f>
        <v/>
      </c>
      <c r="CT309" s="221">
        <f>IF(AND(C309&gt;0,AU309=""),1,IF(AU309&gt;C309,1,0))</f>
        <v/>
      </c>
      <c r="CU309" s="221">
        <f>IF(AND(C309&gt;0,AV309=""),1,IF(AV309&gt;C309,1,0))</f>
        <v/>
      </c>
    </row>
    <row r="310" ht="15" customHeight="1" s="8286">
      <c r="A310" s="9718" t="n"/>
      <c r="B310" s="1170" t="inlineStr">
        <is>
          <t>Herpes</t>
        </is>
      </c>
      <c r="C310" s="1485">
        <f>SUM(E310)</f>
        <v/>
      </c>
      <c r="D310" s="149" t="n"/>
      <c r="E310" s="7750">
        <f>SUM(K310+M310+O310+Q310+S310+U310+W310+Y310+AA310+AC310)</f>
        <v/>
      </c>
      <c r="F310" s="651" t="n"/>
      <c r="G310" s="40" t="n"/>
      <c r="H310" s="40" t="n"/>
      <c r="I310" s="40" t="n"/>
      <c r="J310" s="205" t="n"/>
      <c r="K310" s="1173" t="n"/>
      <c r="L310" s="652" t="n"/>
      <c r="M310" s="1173" t="n"/>
      <c r="N310" s="652" t="n"/>
      <c r="O310" s="1173" t="n"/>
      <c r="P310" s="652" t="n"/>
      <c r="Q310" s="1173" t="n"/>
      <c r="R310" s="652" t="n"/>
      <c r="S310" s="1173" t="n"/>
      <c r="T310" s="652" t="n"/>
      <c r="U310" s="1173" t="n"/>
      <c r="V310" s="652" t="n"/>
      <c r="W310" s="1173" t="n"/>
      <c r="X310" s="652" t="n"/>
      <c r="Y310" s="1173" t="n"/>
      <c r="Z310" s="652" t="n"/>
      <c r="AA310" s="1173" t="n"/>
      <c r="AB310" s="652" t="n"/>
      <c r="AC310" s="1173" t="n"/>
      <c r="AD310" s="651" t="n"/>
      <c r="AE310" s="40" t="n"/>
      <c r="AF310" s="40" t="n"/>
      <c r="AG310" s="40" t="n"/>
      <c r="AH310" s="40" t="n"/>
      <c r="AI310" s="40" t="n"/>
      <c r="AJ310" s="40" t="n"/>
      <c r="AK310" s="40" t="n"/>
      <c r="AL310" s="40" t="n"/>
      <c r="AM310" s="41" t="n"/>
      <c r="AN310" s="1174" t="n"/>
      <c r="AO310" s="1174" t="n"/>
      <c r="AP310" s="1173" t="n"/>
      <c r="AQ310" s="1172" t="n"/>
      <c r="AR310" s="40" t="n"/>
      <c r="AS310" s="3892" t="n"/>
      <c r="AT310" s="5157" t="n"/>
      <c r="AU310" s="1174" t="n"/>
      <c r="AV310" s="1173" t="n"/>
      <c r="AW310">
        <f>CA310&amp;CB310&amp;CC310&amp;CD310&amp;CE310&amp;CF310&amp;CG310</f>
        <v/>
      </c>
      <c r="CA310" s="90">
        <f>IF((AO310+AP310)&gt;AN310," * Los Egresos Por Alta + Egresos Por Abandono no pueden ser mayor que el Total de Egresos.","")</f>
        <v/>
      </c>
      <c r="CB310" s="260">
        <f>IF(AND(E310&gt;0,OR(AQ310=""))," * No olvide digitar la variable Trans (Masculino). Digite Cero si no tiene.",IF(AQ310&gt;E310,"  * La variable Trans (Masculino) No puede ser mayor al Total Mujeres.",""))</f>
        <v/>
      </c>
      <c r="CC310" s="223" t="n"/>
      <c r="CD310" s="260">
        <f>IF(AND(C310&gt;0,AS310=""), " * No olvide digitar la variable Pueblos originarios. Digite Cero si no tiene.",IF(AS310&gt;C310,"  * La variable Pueblos originarios No puede ser mayor al Total.",""))</f>
        <v/>
      </c>
      <c r="CE310" s="260">
        <f>IF(AND(C310&gt;0,AT310=""), " * No olvide digitar la variable Migrantes. Digite Cero si no tiene.",IF(AT310&gt;C310,"  * La variable Migrantes No puede ser mayor al Total.",""))</f>
        <v/>
      </c>
      <c r="CF310" s="260">
        <f>IF(AND(C310&gt;0,AU310=""), " * No olvide digitar la variable SENAME/ Servicio Nacional de Reinserción social Juvenil . Digite Cero si no tiene.",IF(AU310&gt;C310,"  * La variable SENAME/ Servicio Nacional de Reinserción social Juvenil No puede ser mayor al Total.",""))</f>
        <v/>
      </c>
      <c r="CG310" s="260">
        <f>IF(AND(C310&gt;0,AV310=""), " * No olvide digitar la variable Servicio Nacional Protección Especializada a la Niñez y Adolescencia. Digite Cero si no tiene.",IF(AV310&gt;C310,"  * La variable Servicio Nacional Protección Especializada a la Niñez y Adolescencia No puede ser mayor al Total.",""))</f>
        <v/>
      </c>
      <c r="CO310" s="221">
        <f>IF((AO310+AP310)&gt;AN310,1,0)</f>
        <v/>
      </c>
      <c r="CP310" s="221">
        <f>IF(AND(E310&gt;0,OR(AQ310="")),1,IF(AQ310&gt;E310,1,0))</f>
        <v/>
      </c>
      <c r="CQ310" s="252" t="n"/>
      <c r="CR310" s="221">
        <f>IF(AND(C310&gt;0,AS310=""),1,IF(AS310&gt;C310,1,0))</f>
        <v/>
      </c>
      <c r="CS310" s="221">
        <f>IF(AND(C310&gt;0,AT310=""),1,IF(AT310&gt;C310,1,0))</f>
        <v/>
      </c>
      <c r="CT310" s="221">
        <f>IF(AND(C310&gt;0,AU310=""),1,IF(AU310&gt;C310,1,0))</f>
        <v/>
      </c>
      <c r="CU310" s="221">
        <f>IF(AND(C310&gt;0,AV310=""),1,IF(AV310&gt;C310,1,0))</f>
        <v/>
      </c>
    </row>
    <row r="311" ht="15" customHeight="1" s="8286">
      <c r="A311" s="9718" t="n"/>
      <c r="B311" s="1170" t="inlineStr">
        <is>
          <t>Chlamydias</t>
        </is>
      </c>
      <c r="C311" s="1485">
        <f>SUM(E311)</f>
        <v/>
      </c>
      <c r="D311" s="149" t="n"/>
      <c r="E311" s="7750">
        <f>SUM(K311+M311+O311+Q311+S311+U311+W311+Y311+AA311+AC311)</f>
        <v/>
      </c>
      <c r="F311" s="651" t="n"/>
      <c r="G311" s="40" t="n"/>
      <c r="H311" s="40" t="n"/>
      <c r="I311" s="40" t="n"/>
      <c r="J311" s="205" t="n"/>
      <c r="K311" s="1173" t="n"/>
      <c r="L311" s="652" t="n"/>
      <c r="M311" s="1173" t="n"/>
      <c r="N311" s="652" t="n"/>
      <c r="O311" s="1173" t="n"/>
      <c r="P311" s="652" t="n"/>
      <c r="Q311" s="1173" t="n"/>
      <c r="R311" s="652" t="n"/>
      <c r="S311" s="1173" t="n"/>
      <c r="T311" s="652" t="n"/>
      <c r="U311" s="1173" t="n"/>
      <c r="V311" s="652" t="n"/>
      <c r="W311" s="1173" t="n"/>
      <c r="X311" s="652" t="n"/>
      <c r="Y311" s="1173" t="n"/>
      <c r="Z311" s="652" t="n"/>
      <c r="AA311" s="1173" t="n"/>
      <c r="AB311" s="652" t="n"/>
      <c r="AC311" s="1173" t="n"/>
      <c r="AD311" s="651" t="n"/>
      <c r="AE311" s="40" t="n"/>
      <c r="AF311" s="40" t="n"/>
      <c r="AG311" s="40" t="n"/>
      <c r="AH311" s="40" t="n"/>
      <c r="AI311" s="40" t="n"/>
      <c r="AJ311" s="40" t="n"/>
      <c r="AK311" s="40" t="n"/>
      <c r="AL311" s="40" t="n"/>
      <c r="AM311" s="41" t="n"/>
      <c r="AN311" s="1174" t="n"/>
      <c r="AO311" s="1174" t="n"/>
      <c r="AP311" s="1173" t="n"/>
      <c r="AQ311" s="1172" t="n"/>
      <c r="AR311" s="40" t="n"/>
      <c r="AS311" s="3892" t="n"/>
      <c r="AT311" s="5157" t="n"/>
      <c r="AU311" s="1174" t="n"/>
      <c r="AV311" s="1173" t="n"/>
      <c r="AW311">
        <f>CA311&amp;CB311&amp;CC311&amp;CD311&amp;CE311&amp;CF311&amp;CG311</f>
        <v/>
      </c>
      <c r="CA311" s="90">
        <f>IF((AO311+AP311)&gt;AN311," * Los Egresos Por Alta + Egresos Por Abandono no pueden ser mayor que el Total de Egresos.","")</f>
        <v/>
      </c>
      <c r="CB311" s="260">
        <f>IF(AND(E311&gt;0,OR(AQ311=""))," * No olvide digitar la variable Trans (Masculino). Digite Cero si no tiene.",IF(AQ311&gt;E311,"  * La variable Trans (Masculino) No puede ser mayor al Total Mujeres.",""))</f>
        <v/>
      </c>
      <c r="CC311" s="223" t="n"/>
      <c r="CD311" s="260">
        <f>IF(AND(C311&gt;0,AS311=""), " * No olvide digitar la variable Pueblos originarios. Digite Cero si no tiene.",IF(AS311&gt;C311,"  * La variable Pueblos originarios No puede ser mayor al Total.",""))</f>
        <v/>
      </c>
      <c r="CE311" s="260">
        <f>IF(AND(C311&gt;0,AT311=""), " * No olvide digitar la variable Migrantes. Digite Cero si no tiene.",IF(AT311&gt;C311,"  * La variable Migrantes No puede ser mayor al Total.",""))</f>
        <v/>
      </c>
      <c r="CF311" s="260">
        <f>IF(AND(C311&gt;0,AU311=""), " * No olvide digitar la variable SENAME/ Servicio Nacional de Reinserción social Juvenil . Digite Cero si no tiene.",IF(AU311&gt;C311,"  * La variable SENAME/ Servicio Nacional de Reinserción social Juvenil No puede ser mayor al Total.",""))</f>
        <v/>
      </c>
      <c r="CG311" s="260">
        <f>IF(AND(C311&gt;0,AV311=""), " * No olvide digitar la variable Servicio Nacional Protección Especializada a la Niñez y Adolescencia. Digite Cero si no tiene.",IF(AV311&gt;C311,"  * La variable Servicio Nacional Protección Especializada a la Niñez y Adolescencia No puede ser mayor al Total.",""))</f>
        <v/>
      </c>
      <c r="CO311" s="221">
        <f>IF((AO311+AP311)&gt;AN311,1,0)</f>
        <v/>
      </c>
      <c r="CP311" s="221">
        <f>IF(AND(E311&gt;0,OR(AQ311="")),1,IF(AQ311&gt;E311,1,0))</f>
        <v/>
      </c>
      <c r="CQ311" s="252" t="n"/>
      <c r="CR311" s="221">
        <f>IF(AND(C311&gt;0,AS311=""),1,IF(AS311&gt;C311,1,0))</f>
        <v/>
      </c>
      <c r="CS311" s="221">
        <f>IF(AND(C311&gt;0,AT311=""),1,IF(AT311&gt;C311,1,0))</f>
        <v/>
      </c>
      <c r="CT311" s="221">
        <f>IF(AND(C311&gt;0,AU311=""),1,IF(AU311&gt;C311,1,0))</f>
        <v/>
      </c>
      <c r="CU311" s="221">
        <f>IF(AND(C311&gt;0,AV311=""),1,IF(AV311&gt;C311,1,0))</f>
        <v/>
      </c>
    </row>
    <row r="312" ht="15" customHeight="1" s="8286">
      <c r="A312" s="9718" t="n"/>
      <c r="B312" s="1170" t="inlineStr">
        <is>
          <t>Uretritis no Gonocócica</t>
        </is>
      </c>
      <c r="C312" s="1485">
        <f>SUM(E312)</f>
        <v/>
      </c>
      <c r="D312" s="149" t="n"/>
      <c r="E312" s="7750">
        <f>SUM(K312+M312+O312+Q312+S312+U312+W312+Y312+AA312+AC312)</f>
        <v/>
      </c>
      <c r="F312" s="651" t="n"/>
      <c r="G312" s="40" t="n"/>
      <c r="H312" s="40" t="n"/>
      <c r="I312" s="40" t="n"/>
      <c r="J312" s="205" t="n"/>
      <c r="K312" s="1173" t="n"/>
      <c r="L312" s="652" t="n"/>
      <c r="M312" s="1173" t="n"/>
      <c r="N312" s="652" t="n"/>
      <c r="O312" s="1173" t="n"/>
      <c r="P312" s="652" t="n"/>
      <c r="Q312" s="1173" t="n"/>
      <c r="R312" s="652" t="n"/>
      <c r="S312" s="1173" t="n"/>
      <c r="T312" s="652" t="n"/>
      <c r="U312" s="1173" t="n"/>
      <c r="V312" s="652" t="n"/>
      <c r="W312" s="1173" t="n"/>
      <c r="X312" s="652" t="n"/>
      <c r="Y312" s="1173" t="n"/>
      <c r="Z312" s="652" t="n"/>
      <c r="AA312" s="1173" t="n"/>
      <c r="AB312" s="652" t="n"/>
      <c r="AC312" s="1173" t="n"/>
      <c r="AD312" s="651" t="n"/>
      <c r="AE312" s="40" t="n"/>
      <c r="AF312" s="40" t="n"/>
      <c r="AG312" s="40" t="n"/>
      <c r="AH312" s="40" t="n"/>
      <c r="AI312" s="40" t="n"/>
      <c r="AJ312" s="40" t="n"/>
      <c r="AK312" s="40" t="n"/>
      <c r="AL312" s="40" t="n"/>
      <c r="AM312" s="41" t="n"/>
      <c r="AN312" s="1174" t="n"/>
      <c r="AO312" s="1174" t="n"/>
      <c r="AP312" s="1173" t="n"/>
      <c r="AQ312" s="1172" t="n"/>
      <c r="AR312" s="40" t="n"/>
      <c r="AS312" s="3892" t="n"/>
      <c r="AT312" s="5157" t="n"/>
      <c r="AU312" s="1174" t="n"/>
      <c r="AV312" s="1173" t="n"/>
      <c r="AW312">
        <f>CA312&amp;CB312&amp;CC312&amp;CD312&amp;CE312&amp;CF312&amp;CG312</f>
        <v/>
      </c>
      <c r="CA312" s="90">
        <f>IF((AO312+AP312)&gt;AN312," * Los Egresos Por Alta + Egresos Por Abandono no pueden ser mayor que el Total de Egresos.","")</f>
        <v/>
      </c>
      <c r="CB312" s="260">
        <f>IF(AND(E312&gt;0,OR(AQ312=""))," * No olvide digitar la variable Trans (Masculino). Digite Cero si no tiene.",IF(AQ312&gt;E312,"  * La variable Trans (Masculino) No puede ser mayor al Total Mujeres.",""))</f>
        <v/>
      </c>
      <c r="CC312" s="223" t="n"/>
      <c r="CD312" s="260">
        <f>IF(AND(C312&gt;0,AS312=""), " * No olvide digitar la variable Pueblos originarios. Digite Cero si no tiene.",IF(AS312&gt;C312,"  * La variable Pueblos originarios No puede ser mayor al Total.",""))</f>
        <v/>
      </c>
      <c r="CE312" s="260">
        <f>IF(AND(C312&gt;0,AT312=""), " * No olvide digitar la variable Migrantes. Digite Cero si no tiene.",IF(AT312&gt;C312,"  * La variable Migrantes No puede ser mayor al Total.",""))</f>
        <v/>
      </c>
      <c r="CF312" s="260">
        <f>IF(AND(C312&gt;0,AU312=""), " * No olvide digitar la variable SENAME/ Servicio Nacional de Reinserción social Juvenil . Digite Cero si no tiene.",IF(AU312&gt;C312,"  * La variable SENAME/ Servicio Nacional de Reinserción social Juvenil No puede ser mayor al Total.",""))</f>
        <v/>
      </c>
      <c r="CG312" s="260">
        <f>IF(AND(C312&gt;0,AV312=""), " * No olvide digitar la variable Servicio Nacional Protección Especializada a la Niñez y Adolescencia. Digite Cero si no tiene.",IF(AV312&gt;C312,"  * La variable Servicio Nacional Protección Especializada a la Niñez y Adolescencia No puede ser mayor al Total.",""))</f>
        <v/>
      </c>
      <c r="CO312" s="221">
        <f>IF((AO312+AP312)&gt;AN312,1,0)</f>
        <v/>
      </c>
      <c r="CP312" s="221">
        <f>IF(AND(E312&gt;0,OR(AQ312="")),1,IF(AQ312&gt;E312,1,0))</f>
        <v/>
      </c>
      <c r="CQ312" s="252" t="n"/>
      <c r="CR312" s="221">
        <f>IF(AND(C312&gt;0,AS312=""),1,IF(AS312&gt;C312,1,0))</f>
        <v/>
      </c>
      <c r="CS312" s="221">
        <f>IF(AND(C312&gt;0,AT312=""),1,IF(AT312&gt;C312,1,0))</f>
        <v/>
      </c>
      <c r="CT312" s="221">
        <f>IF(AND(C312&gt;0,AU312=""),1,IF(AU312&gt;C312,1,0))</f>
        <v/>
      </c>
      <c r="CU312" s="221">
        <f>IF(AND(C312&gt;0,AV312=""),1,IF(AV312&gt;C312,1,0))</f>
        <v/>
      </c>
    </row>
    <row r="313" ht="15" customHeight="1" s="8286">
      <c r="A313" s="9718" t="n"/>
      <c r="B313" s="1170" t="inlineStr">
        <is>
          <t>Linfogranuloma</t>
        </is>
      </c>
      <c r="C313" s="1485">
        <f>SUM(E313)</f>
        <v/>
      </c>
      <c r="D313" s="149" t="n"/>
      <c r="E313" s="7750">
        <f>SUM(K313+M313+O313+Q313+S313+U313+W313+Y313+AA313+AC313)</f>
        <v/>
      </c>
      <c r="F313" s="651" t="n"/>
      <c r="G313" s="40" t="n"/>
      <c r="H313" s="40" t="n"/>
      <c r="I313" s="40" t="n"/>
      <c r="J313" s="205" t="n"/>
      <c r="K313" s="1173" t="n"/>
      <c r="L313" s="652" t="n"/>
      <c r="M313" s="1173" t="n"/>
      <c r="N313" s="652" t="n"/>
      <c r="O313" s="1173" t="n"/>
      <c r="P313" s="652" t="n"/>
      <c r="Q313" s="1173" t="n"/>
      <c r="R313" s="652" t="n"/>
      <c r="S313" s="1173" t="n"/>
      <c r="T313" s="652" t="n"/>
      <c r="U313" s="1173" t="n"/>
      <c r="V313" s="652" t="n"/>
      <c r="W313" s="1173" t="n"/>
      <c r="X313" s="652" t="n"/>
      <c r="Y313" s="1173" t="n"/>
      <c r="Z313" s="652" t="n"/>
      <c r="AA313" s="1173" t="n"/>
      <c r="AB313" s="652" t="n"/>
      <c r="AC313" s="1173" t="n"/>
      <c r="AD313" s="651" t="n"/>
      <c r="AE313" s="40" t="n"/>
      <c r="AF313" s="40" t="n"/>
      <c r="AG313" s="40" t="n"/>
      <c r="AH313" s="40" t="n"/>
      <c r="AI313" s="40" t="n"/>
      <c r="AJ313" s="40" t="n"/>
      <c r="AK313" s="40" t="n"/>
      <c r="AL313" s="40" t="n"/>
      <c r="AM313" s="41" t="n"/>
      <c r="AN313" s="1174" t="n"/>
      <c r="AO313" s="1174" t="n"/>
      <c r="AP313" s="1173" t="n"/>
      <c r="AQ313" s="1172" t="n"/>
      <c r="AR313" s="40" t="n"/>
      <c r="AS313" s="3892" t="n"/>
      <c r="AT313" s="5157" t="n"/>
      <c r="AU313" s="1174" t="n"/>
      <c r="AV313" s="1173" t="n"/>
      <c r="AW313">
        <f>CA313&amp;CB313&amp;CC313&amp;CD313&amp;CE313&amp;CF313&amp;CG313</f>
        <v/>
      </c>
      <c r="CA313" s="90">
        <f>IF((AO313+AP313)&gt;AN313," * Los Egresos Por Alta + Egresos Por Abandono no pueden ser mayor que el Total de Egresos.","")</f>
        <v/>
      </c>
      <c r="CB313" s="260">
        <f>IF(AND(E313&gt;0,OR(AQ313=""))," * No olvide digitar la variable Trans (Masculino). Digite Cero si no tiene.",IF(AQ313&gt;E313,"  * La variable Trans (Masculino) No puede ser mayor al Total Mujeres.",""))</f>
        <v/>
      </c>
      <c r="CC313" s="223" t="n"/>
      <c r="CD313" s="260">
        <f>IF(AND(C313&gt;0,AS313=""), " * No olvide digitar la variable Pueblos originarios. Digite Cero si no tiene.",IF(AS313&gt;C313,"  * La variable Pueblos originarios No puede ser mayor al Total.",""))</f>
        <v/>
      </c>
      <c r="CE313" s="260">
        <f>IF(AND(C313&gt;0,AT313=""), " * No olvide digitar la variable Migrantes. Digite Cero si no tiene.",IF(AT313&gt;C313,"  * La variable Migrantes No puede ser mayor al Total.",""))</f>
        <v/>
      </c>
      <c r="CF313" s="260">
        <f>IF(AND(C313&gt;0,AU313=""), " * No olvide digitar la variable SENAME/ Servicio Nacional de Reinserción social Juvenil . Digite Cero si no tiene.",IF(AU313&gt;C313,"  * La variable SENAME/ Servicio Nacional de Reinserción social Juvenil No puede ser mayor al Total.",""))</f>
        <v/>
      </c>
      <c r="CG313" s="260">
        <f>IF(AND(C313&gt;0,AV313=""), " * No olvide digitar la variable Servicio Nacional Protección Especializada a la Niñez y Adolescencia. Digite Cero si no tiene.",IF(AV313&gt;C313,"  * La variable Servicio Nacional Protección Especializada a la Niñez y Adolescencia No puede ser mayor al Total.",""))</f>
        <v/>
      </c>
      <c r="CO313" s="221">
        <f>IF((AO313+AP313)&gt;AN313,1,0)</f>
        <v/>
      </c>
      <c r="CP313" s="221">
        <f>IF(AND(E313&gt;0,OR(AQ313="")),1,IF(AQ313&gt;E313,1,0))</f>
        <v/>
      </c>
      <c r="CQ313" s="252" t="n"/>
      <c r="CR313" s="221">
        <f>IF(AND(C313&gt;0,AS313=""),1,IF(AS313&gt;C313,1,0))</f>
        <v/>
      </c>
      <c r="CS313" s="221">
        <f>IF(AND(C313&gt;0,AT313=""),1,IF(AT313&gt;C313,1,0))</f>
        <v/>
      </c>
      <c r="CT313" s="221">
        <f>IF(AND(C313&gt;0,AU313=""),1,IF(AU313&gt;C313,1,0))</f>
        <v/>
      </c>
      <c r="CU313" s="221">
        <f>IF(AND(C313&gt;0,AV313=""),1,IF(AV313&gt;C313,1,0))</f>
        <v/>
      </c>
    </row>
    <row r="314" ht="15" customHeight="1" s="8286">
      <c r="A314" s="9718" t="n"/>
      <c r="B314" s="1170" t="inlineStr">
        <is>
          <t>Chancroide</t>
        </is>
      </c>
      <c r="C314" s="1485">
        <f>SUM(E314)</f>
        <v/>
      </c>
      <c r="D314" s="149" t="n"/>
      <c r="E314" s="7750">
        <f>SUM(K314+M314+O314+Q314+S314+U314+W314+Y314+AA314+AC314)</f>
        <v/>
      </c>
      <c r="F314" s="651" t="n"/>
      <c r="G314" s="40" t="n"/>
      <c r="H314" s="40" t="n"/>
      <c r="I314" s="40" t="n"/>
      <c r="J314" s="205" t="n"/>
      <c r="K314" s="1173" t="n"/>
      <c r="L314" s="652" t="n"/>
      <c r="M314" s="1173" t="n"/>
      <c r="N314" s="652" t="n"/>
      <c r="O314" s="1173" t="n"/>
      <c r="P314" s="652" t="n"/>
      <c r="Q314" s="1173" t="n"/>
      <c r="R314" s="652" t="n"/>
      <c r="S314" s="1173" t="n"/>
      <c r="T314" s="652" t="n"/>
      <c r="U314" s="1173" t="n"/>
      <c r="V314" s="652" t="n"/>
      <c r="W314" s="1173" t="n"/>
      <c r="X314" s="652" t="n"/>
      <c r="Y314" s="1173" t="n"/>
      <c r="Z314" s="652" t="n"/>
      <c r="AA314" s="1173" t="n"/>
      <c r="AB314" s="652" t="n"/>
      <c r="AC314" s="1173" t="n"/>
      <c r="AD314" s="651" t="n"/>
      <c r="AE314" s="40" t="n"/>
      <c r="AF314" s="40" t="n"/>
      <c r="AG314" s="40" t="n"/>
      <c r="AH314" s="40" t="n"/>
      <c r="AI314" s="40" t="n"/>
      <c r="AJ314" s="40" t="n"/>
      <c r="AK314" s="40" t="n"/>
      <c r="AL314" s="40" t="n"/>
      <c r="AM314" s="41" t="n"/>
      <c r="AN314" s="1174" t="n"/>
      <c r="AO314" s="1174" t="n"/>
      <c r="AP314" s="1173" t="n"/>
      <c r="AQ314" s="1172" t="n"/>
      <c r="AR314" s="40" t="n"/>
      <c r="AS314" s="3892" t="n"/>
      <c r="AT314" s="5157" t="n"/>
      <c r="AU314" s="1174" t="n"/>
      <c r="AV314" s="1173" t="n"/>
      <c r="AW314">
        <f>CA314&amp;CB314&amp;CC314&amp;CD314&amp;CE314&amp;CF314&amp;CG314</f>
        <v/>
      </c>
      <c r="CA314" s="90">
        <f>IF((AO314+AP314)&gt;AN314," * Los Egresos Por Alta + Egresos Por Abandono no pueden ser mayor que el Total de Egresos.","")</f>
        <v/>
      </c>
      <c r="CB314" s="260">
        <f>IF(AND(E314&gt;0,OR(AQ314=""))," * No olvide digitar la variable Trans (Masculino). Digite Cero si no tiene.",IF(AQ314&gt;E314,"  * La variable Trans (Masculino) No puede ser mayor al Total Mujeres.",""))</f>
        <v/>
      </c>
      <c r="CC314" s="223" t="n"/>
      <c r="CD314" s="260">
        <f>IF(AND(C314&gt;0,AS314=""), " * No olvide digitar la variable Pueblos originarios. Digite Cero si no tiene.",IF(AS314&gt;C314,"  * La variable Pueblos originarios No puede ser mayor al Total.",""))</f>
        <v/>
      </c>
      <c r="CE314" s="260">
        <f>IF(AND(C314&gt;0,AT314=""), " * No olvide digitar la variable Migrantes. Digite Cero si no tiene.",IF(AT314&gt;C314,"  * La variable Migrantes No puede ser mayor al Total.",""))</f>
        <v/>
      </c>
      <c r="CF314" s="260">
        <f>IF(AND(C314&gt;0,AU314=""), " * No olvide digitar la variable SENAME/ Servicio Nacional de Reinserción social Juvenil . Digite Cero si no tiene.",IF(AU314&gt;C314,"  * La variable SENAME/ Servicio Nacional de Reinserción social Juvenil No puede ser mayor al Total.",""))</f>
        <v/>
      </c>
      <c r="CG314" s="260">
        <f>IF(AND(C314&gt;0,AV314=""), " * No olvide digitar la variable Servicio Nacional Protección Especializada a la Niñez y Adolescencia. Digite Cero si no tiene.",IF(AV314&gt;C314,"  * La variable Servicio Nacional Protección Especializada a la Niñez y Adolescencia No puede ser mayor al Total.",""))</f>
        <v/>
      </c>
      <c r="CO314" s="221">
        <f>IF((AO314+AP314)&gt;AN314,1,0)</f>
        <v/>
      </c>
      <c r="CP314" s="221">
        <f>IF(AND(E314&gt;0,OR(AQ314="")),1,IF(AQ314&gt;E314,1,0))</f>
        <v/>
      </c>
      <c r="CQ314" s="252" t="n"/>
      <c r="CR314" s="221">
        <f>IF(AND(C314&gt;0,AS314=""),1,IF(AS314&gt;C314,1,0))</f>
        <v/>
      </c>
      <c r="CS314" s="221">
        <f>IF(AND(C314&gt;0,AT314=""),1,IF(AT314&gt;C314,1,0))</f>
        <v/>
      </c>
      <c r="CT314" s="221">
        <f>IF(AND(C314&gt;0,AU314=""),1,IF(AU314&gt;C314,1,0))</f>
        <v/>
      </c>
      <c r="CU314" s="221">
        <f>IF(AND(C314&gt;0,AV314=""),1,IF(AV314&gt;C314,1,0))</f>
        <v/>
      </c>
    </row>
    <row r="315" ht="15" customHeight="1" s="8286">
      <c r="A315" s="9639" t="n"/>
      <c r="B315" s="7763" t="inlineStr">
        <is>
          <t>Otras ITS</t>
        </is>
      </c>
      <c r="C315" s="1360">
        <f>SUM(E315)</f>
        <v/>
      </c>
      <c r="D315" s="184" t="n"/>
      <c r="E315" s="7752">
        <f>SUM(K315+M315+O315+Q315+S315+U315+W315+Y315+AA315+AC315)</f>
        <v/>
      </c>
      <c r="F315" s="2210" t="n"/>
      <c r="G315" s="2211" t="n"/>
      <c r="H315" s="2211" t="n"/>
      <c r="I315" s="2211" t="n"/>
      <c r="J315" s="2235" t="n"/>
      <c r="K315" s="1192" t="n"/>
      <c r="L315" s="891" t="n"/>
      <c r="M315" s="1192" t="n"/>
      <c r="N315" s="891" t="n"/>
      <c r="O315" s="1192" t="n"/>
      <c r="P315" s="891" t="n"/>
      <c r="Q315" s="1192" t="n"/>
      <c r="R315" s="891" t="n"/>
      <c r="S315" s="1192" t="n"/>
      <c r="T315" s="891" t="n"/>
      <c r="U315" s="1192" t="n"/>
      <c r="V315" s="891" t="n"/>
      <c r="W315" s="1192" t="n"/>
      <c r="X315" s="891" t="n"/>
      <c r="Y315" s="1192" t="n"/>
      <c r="Z315" s="891" t="n"/>
      <c r="AA315" s="1192" t="n"/>
      <c r="AB315" s="891" t="n"/>
      <c r="AC315" s="1192" t="n"/>
      <c r="AD315" s="2210" t="n"/>
      <c r="AE315" s="2211" t="n"/>
      <c r="AF315" s="2211" t="n"/>
      <c r="AG315" s="2211" t="n"/>
      <c r="AH315" s="2211" t="n"/>
      <c r="AI315" s="2211" t="n"/>
      <c r="AJ315" s="2211" t="n"/>
      <c r="AK315" s="2211" t="n"/>
      <c r="AL315" s="2211" t="n"/>
      <c r="AM315" s="2212" t="n"/>
      <c r="AN315" s="1193" t="n"/>
      <c r="AO315" s="1193" t="n"/>
      <c r="AP315" s="1192" t="n"/>
      <c r="AQ315" s="1188" t="n"/>
      <c r="AR315" s="2211" t="n"/>
      <c r="AS315" s="1223" t="n"/>
      <c r="AT315" s="1296" t="n"/>
      <c r="AU315" s="1193" t="n"/>
      <c r="AV315" s="1192" t="n"/>
      <c r="AW315">
        <f>CA315&amp;CB315&amp;CC315&amp;CD315&amp;CE315&amp;CF315&amp;CG315</f>
        <v/>
      </c>
      <c r="CA315" s="90">
        <f>IF((AO315+AP315)&gt;AN315," * Los Egresos Por Alta + Egresos Por Abandono no pueden ser mayor que el Total de Egresos.","")</f>
        <v/>
      </c>
      <c r="CB315" s="260">
        <f>IF(AND(E315&gt;0,OR(AQ315=""))," * No olvide digitar la variable Trans (Masculino). Digite Cero si no tiene.",IF(AQ315&gt;E315,"  * La variable Trans (Masculino) No puede ser mayor al Total Mujeres.",""))</f>
        <v/>
      </c>
      <c r="CC315" s="223" t="n"/>
      <c r="CD315" s="260">
        <f>IF(AND(C315&gt;0,AS315=""), " * No olvide digitar la variable Pueblos originarios. Digite Cero si no tiene.",IF(AS315&gt;C315,"  * La variable Pueblos originarios No puede ser mayor al Total.",""))</f>
        <v/>
      </c>
      <c r="CE315" s="260">
        <f>IF(AND(C315&gt;0,AT315=""), " * No olvide digitar la variable Migrantes. Digite Cero si no tiene.",IF(AT315&gt;C315,"  * La variable Migrantes No puede ser mayor al Total.",""))</f>
        <v/>
      </c>
      <c r="CF315" s="260">
        <f>IF(AND(C315&gt;0,AU315=""), " * No olvide digitar la variable SENAME/ Servicio Nacional de Reinserción social Juvenil . Digite Cero si no tiene.",IF(AU315&gt;C315,"  * La variable SENAME/ Servicio Nacional de Reinserción social Juvenil No puede ser mayor al Total.",""))</f>
        <v/>
      </c>
      <c r="CG315" s="260">
        <f>IF(AND(C315&gt;0,AV315=""), " * No olvide digitar la variable Servicio Nacional Protección Especializada a la Niñez y Adolescencia. Digite Cero si no tiene.",IF(AV315&gt;C315,"  * La variable Servicio Nacional Protección Especializada a la Niñez y Adolescencia No puede ser mayor al Total.",""))</f>
        <v/>
      </c>
      <c r="CO315" s="221">
        <f>IF((AO315+AP315)&gt;AN315,1,0)</f>
        <v/>
      </c>
      <c r="CP315" s="221">
        <f>IF(AND(E315&gt;0,OR(AQ315="")),1,IF(AQ315&gt;E315,1,0))</f>
        <v/>
      </c>
      <c r="CQ315" s="252" t="n"/>
      <c r="CR315" s="221">
        <f>IF(AND(C315&gt;0,AS315=""),1,IF(AS315&gt;C315,1,0))</f>
        <v/>
      </c>
      <c r="CS315" s="221">
        <f>IF(AND(C315&gt;0,AT315=""),1,IF(AT315&gt;C315,1,0))</f>
        <v/>
      </c>
      <c r="CT315" s="221">
        <f>IF(AND(C315&gt;0,AU315=""),1,IF(AU315&gt;C315,1,0))</f>
        <v/>
      </c>
      <c r="CU315" s="221">
        <f>IF(AND(C315&gt;0,AV315=""),1,IF(AV315&gt;C315,1,0))</f>
        <v/>
      </c>
    </row>
    <row r="316" ht="15" customHeight="1" s="8286">
      <c r="A316" s="10003" t="inlineStr">
        <is>
          <t>No Gestantes</t>
        </is>
      </c>
      <c r="B316" s="7748" t="inlineStr">
        <is>
          <t>Sífilis</t>
        </is>
      </c>
      <c r="C316" s="2181">
        <f>SUM(D316+E316)</f>
        <v/>
      </c>
      <c r="D316" s="797">
        <f>SUM(F316+H316+J316+L316+N316+P316+R316+T316+V316+X316+Z316+AB316+AD316+AF316+AH316+AJ316+AL316)</f>
        <v/>
      </c>
      <c r="E316" s="7833">
        <f>SUM(G316+I316+K316+M316+O316+Q316+S316+U316+W316+Y316+AA316+AC316+AE316+AG316+AI316+AK316+AM316)</f>
        <v/>
      </c>
      <c r="F316" s="2255" t="n"/>
      <c r="G316" s="2256" t="n"/>
      <c r="H316" s="2257" t="n"/>
      <c r="I316" s="2256" t="n"/>
      <c r="J316" s="2257" t="n"/>
      <c r="K316" s="755" t="n"/>
      <c r="L316" s="2258" t="n"/>
      <c r="M316" s="2256" t="n"/>
      <c r="N316" s="2257" t="n"/>
      <c r="O316" s="2259" t="n"/>
      <c r="P316" s="2255" t="n"/>
      <c r="Q316" s="2256" t="n"/>
      <c r="R316" s="2257" t="n"/>
      <c r="S316" s="2259" t="n"/>
      <c r="T316" s="2255" t="n"/>
      <c r="U316" s="2256" t="n"/>
      <c r="V316" s="2257" t="n"/>
      <c r="W316" s="2259" t="n"/>
      <c r="X316" s="2255" t="n"/>
      <c r="Y316" s="2256" t="n"/>
      <c r="Z316" s="2257" t="n"/>
      <c r="AA316" s="2259" t="n"/>
      <c r="AB316" s="2255" t="n"/>
      <c r="AC316" s="2256" t="n"/>
      <c r="AD316" s="2257" t="n"/>
      <c r="AE316" s="2259" t="n"/>
      <c r="AF316" s="2255" t="n"/>
      <c r="AG316" s="2256" t="n"/>
      <c r="AH316" s="2257" t="n"/>
      <c r="AI316" s="2259" t="n"/>
      <c r="AJ316" s="2255" t="n"/>
      <c r="AK316" s="2256" t="n"/>
      <c r="AL316" s="2257" t="n"/>
      <c r="AM316" s="2260" t="n"/>
      <c r="AN316" s="2023" t="n"/>
      <c r="AO316" s="1432" t="n"/>
      <c r="AP316" s="1186" t="n"/>
      <c r="AQ316" s="1935" t="n"/>
      <c r="AR316" s="1186" t="n"/>
      <c r="AS316" s="1964" t="n"/>
      <c r="AT316" s="2648" t="n"/>
      <c r="AU316" s="1432" t="n"/>
      <c r="AV316" s="1186" t="n"/>
      <c r="AW316">
        <f>CA316&amp;CB316&amp;CC316&amp;CD316&amp;CE316&amp;CF316&amp;CG316</f>
        <v/>
      </c>
      <c r="CA316" s="90">
        <f>IF((AO316+AP316)&gt;AN316," * Los Egresos Por Alta + Egresos Por Abandono no pueden ser mayor que el Total de Egresos.","")</f>
        <v/>
      </c>
      <c r="CB316" s="260">
        <f>IF(AND(E316&gt;0,OR(AQ316=""))," * No olvide digitar la variable Trans (Masculino). Digite Cero si no tiene.",IF(AQ316&gt;E316,"  * La variable Trans (Masculino) No puede ser mayor al Total Mujeres.",""))</f>
        <v/>
      </c>
      <c r="CC316" s="260">
        <f>IF(AND(D316&gt;0,OR(AR316=""))," * No olvide digitar la variable Trans (Femenino). Digite Cero si no tiene.",IF(AR316&gt;D316,"  * La variable Trans (Femenino) No puede ser mayor al Total Hombres.",""))</f>
        <v/>
      </c>
      <c r="CD316" s="260">
        <f>IF(AND(C316&gt;0,AS316=""), " * No olvide digitar la variable Pueblos originarios. Digite Cero si no tiene.",IF(AS316&gt;C316,"  * La variable Pueblos originarios No puede ser mayor al Total.",""))</f>
        <v/>
      </c>
      <c r="CE316" s="260">
        <f>IF(AND(C316&gt;0,AT316=""), " * No olvide digitar la variable Migrantes. Digite Cero si no tiene.",IF(AT316&gt;C316,"  * La variable Migrantes No puede ser mayor al Total.",""))</f>
        <v/>
      </c>
      <c r="CF316" s="260">
        <f>IF(AND(C316&gt;0,AU316=""), " * No olvide digitar la variable SENAME/ Servicio Nacional de Reinserción social Juvenil . Digite Cero si no tiene.",IF(AU316&gt;C316,"  * La variable SENAME/ Servicio Nacional de Reinserción social Juvenil No puede ser mayor al Total.",""))</f>
        <v/>
      </c>
      <c r="CG316" s="260">
        <f>IF(AND(C316&gt;0,AV316=""), " * No olvide digitar la variable Servicio Nacional Protección Especializada a la Niñez y Adolescencia. Digite Cero si no tiene.",IF(AV316&gt;C316,"  * La variable Servicio Nacional Protección Especializada a la Niñez y Adolescencia No puede ser mayor al Total.",""))</f>
        <v/>
      </c>
      <c r="CO316" s="221">
        <f>IF((AO316+AP316)&gt;AN316,1,0)</f>
        <v/>
      </c>
      <c r="CP316" s="221">
        <f>IF(AND(E316&gt;0,OR(AQ316="")),1,IF(AQ316&gt;E316,1,0))</f>
        <v/>
      </c>
      <c r="CQ316" s="221">
        <f>IF(AND(D316&gt;0,OR(AR316="")),1,IF(AR316&gt;D316,1,0))</f>
        <v/>
      </c>
      <c r="CR316" s="221">
        <f>IF(AND(C316&gt;0,AS316=""),1,IF(AS316&gt;C316,1,0))</f>
        <v/>
      </c>
      <c r="CS316" s="221">
        <f>IF(AND(C316&gt;0,AT316=""),1,IF(AT316&gt;C316,1,0))</f>
        <v/>
      </c>
      <c r="CT316" s="221">
        <f>IF(AND(C316&gt;0,AU316=""),1,IF(AU316&gt;C316,1,0))</f>
        <v/>
      </c>
      <c r="CU316" s="221">
        <f>IF(AND(C316&gt;0,AV316=""),1,IF(AV316&gt;C316,1,0))</f>
        <v/>
      </c>
    </row>
    <row r="317" ht="15" customHeight="1" s="8286">
      <c r="A317" s="9625" t="n"/>
      <c r="B317" s="8320" t="inlineStr">
        <is>
          <t>Gonorrea</t>
        </is>
      </c>
      <c r="C317" s="1978">
        <f>SUM(D317+E317)</f>
        <v/>
      </c>
      <c r="D317" s="796">
        <f>SUM(F317+H317+J317+L317+N317+P317+R317+T317+V317+X317+Z317+AB317+AD317+AF317+AH317+AJ317+AL317)</f>
        <v/>
      </c>
      <c r="E317" s="7833">
        <f>SUM(G317+I317+K317+M317+O317+Q317+S317+U317+W317+Y317+AA317+AC317+AE317+AG317+AI317+AK317+AM317)</f>
        <v/>
      </c>
      <c r="F317" s="1935" t="n"/>
      <c r="G317" s="755" t="n"/>
      <c r="H317" s="1935" t="n"/>
      <c r="I317" s="755" t="n"/>
      <c r="J317" s="1935" t="n"/>
      <c r="K317" s="755" t="n"/>
      <c r="L317" s="1935" t="n"/>
      <c r="M317" s="755" t="n"/>
      <c r="N317" s="1432" t="n"/>
      <c r="O317" s="2261" t="n"/>
      <c r="P317" s="1935" t="n"/>
      <c r="Q317" s="755" t="n"/>
      <c r="R317" s="1432" t="n"/>
      <c r="S317" s="2261" t="n"/>
      <c r="T317" s="1935" t="n"/>
      <c r="U317" s="755" t="n"/>
      <c r="V317" s="1432" t="n"/>
      <c r="W317" s="2261" t="n"/>
      <c r="X317" s="1935" t="n"/>
      <c r="Y317" s="755" t="n"/>
      <c r="Z317" s="1432" t="n"/>
      <c r="AA317" s="2261" t="n"/>
      <c r="AB317" s="1935" t="n"/>
      <c r="AC317" s="755" t="n"/>
      <c r="AD317" s="1432" t="n"/>
      <c r="AE317" s="2261" t="n"/>
      <c r="AF317" s="1935" t="n"/>
      <c r="AG317" s="755" t="n"/>
      <c r="AH317" s="1432" t="n"/>
      <c r="AI317" s="2261" t="n"/>
      <c r="AJ317" s="1935" t="n"/>
      <c r="AK317" s="755" t="n"/>
      <c r="AL317" s="1432" t="n"/>
      <c r="AM317" s="792" t="n"/>
      <c r="AN317" s="1432" t="n"/>
      <c r="AO317" s="1432" t="n"/>
      <c r="AP317" s="1186" t="n"/>
      <c r="AQ317" s="1935" t="n"/>
      <c r="AR317" s="1186" t="n"/>
      <c r="AS317" s="1964" t="n"/>
      <c r="AT317" s="2648" t="n"/>
      <c r="AU317" s="1432" t="n"/>
      <c r="AV317" s="1186" t="n"/>
      <c r="AW317">
        <f>CA317&amp;CB317&amp;CC317&amp;CD317&amp;CE317&amp;CF317&amp;CG317</f>
        <v/>
      </c>
      <c r="CA317" s="90">
        <f>IF((AO317+AP317)&gt;AN317," * Los Egresos Por Alta + Egresos Por Abandono no pueden ser mayor que el Total de Egresos.","")</f>
        <v/>
      </c>
      <c r="CB317" s="260">
        <f>IF(AND(E317&gt;0,OR(AQ317=""))," * No olvide digitar la variable Trans (Masculino). Digite Cero si no tiene.",IF(AQ317&gt;E317,"  * La variable Trans (Masculino) No puede ser mayor al Total Mujeres.",""))</f>
        <v/>
      </c>
      <c r="CC317" s="260">
        <f>IF(AND(D317&gt;0,OR(AR317=""))," * No olvide digitar la variable Trans (Femenino). Digite Cero si no tiene.",IF(AR317&gt;D317,"  * La variable Trans (Femenino) No puede ser mayor al Total Hombres.",""))</f>
        <v/>
      </c>
      <c r="CD317" s="260">
        <f>IF(AND(C317&gt;0,AS317=""), " * No olvide digitar la variable Pueblos originarios. Digite Cero si no tiene.",IF(AS317&gt;C317,"  * La variable Pueblos originarios No puede ser mayor al Total.",""))</f>
        <v/>
      </c>
      <c r="CE317" s="260">
        <f>IF(AND(C317&gt;0,AT317=""), " * No olvide digitar la variable Migrantes. Digite Cero si no tiene.",IF(AT317&gt;C317,"  * La variable Migrantes No puede ser mayor al Total.",""))</f>
        <v/>
      </c>
      <c r="CF317" s="260">
        <f>IF(AND(C317&gt;0,AU317=""), " * No olvide digitar la variable SENAME/ Servicio Nacional de Reinserción social Juvenil . Digite Cero si no tiene.",IF(AU317&gt;C317,"  * La variable SENAME/ Servicio Nacional de Reinserción social Juvenil No puede ser mayor al Total.",""))</f>
        <v/>
      </c>
      <c r="CG317" s="260">
        <f>IF(AND(C317&gt;0,AV317=""), " * No olvide digitar la variable Servicio Nacional Protección Especializada a la Niñez y Adolescencia. Digite Cero si no tiene.",IF(AV317&gt;C317,"  * La variable Servicio Nacional Protección Especializada a la Niñez y Adolescencia No puede ser mayor al Total.",""))</f>
        <v/>
      </c>
      <c r="CO317" s="221">
        <f>IF((AO317+AP317)&gt;AN317,1,0)</f>
        <v/>
      </c>
      <c r="CP317" s="221">
        <f>IF(AND(E317&gt;0,OR(AQ317="")),1,IF(AQ317&gt;E317,1,0))</f>
        <v/>
      </c>
      <c r="CQ317" s="221">
        <f>IF(AND(D317&gt;0,OR(AR317="")),1,IF(AR317&gt;D317,1,0))</f>
        <v/>
      </c>
      <c r="CR317" s="221">
        <f>IF(AND(C317&gt;0,AS317=""),1,IF(AS317&gt;C317,1,0))</f>
        <v/>
      </c>
      <c r="CS317" s="221">
        <f>IF(AND(C317&gt;0,AT317=""),1,IF(AT317&gt;C317,1,0))</f>
        <v/>
      </c>
      <c r="CT317" s="221">
        <f>IF(AND(C317&gt;0,AU317=""),1,IF(AU317&gt;C317,1,0))</f>
        <v/>
      </c>
      <c r="CU317" s="221">
        <f>IF(AND(C317&gt;0,AV317=""),1,IF(AV317&gt;C317,1,0))</f>
        <v/>
      </c>
    </row>
    <row r="318" ht="15" customHeight="1" s="8286">
      <c r="A318" s="9625" t="n"/>
      <c r="B318" s="1170" t="inlineStr">
        <is>
          <t>Condiloma</t>
        </is>
      </c>
      <c r="C318" s="1485">
        <f>SUM(D318+E318)</f>
        <v/>
      </c>
      <c r="D318" s="2134">
        <f>SUM(F318+H318+J318+L318+N318+P318+R318+T318+V318+X318+Z318+AB318+AD318+AF318+AH318+AJ318+AL318)</f>
        <v/>
      </c>
      <c r="E318" s="7750">
        <f>SUM(G318+I318+K318+M318+O318+Q318+S318+U318+W318+Y318+AA318+AC318+AE318+AG318+AI318+AK318+AM318)</f>
        <v/>
      </c>
      <c r="F318" s="1172" t="n"/>
      <c r="G318" s="886" t="n"/>
      <c r="H318" s="1172" t="n"/>
      <c r="I318" s="886" t="n"/>
      <c r="J318" s="1172" t="n"/>
      <c r="K318" s="886" t="n"/>
      <c r="L318" s="1172" t="n"/>
      <c r="M318" s="886" t="n"/>
      <c r="N318" s="1172" t="n"/>
      <c r="O318" s="885" t="n"/>
      <c r="P318" s="1172" t="n"/>
      <c r="Q318" s="886" t="n"/>
      <c r="R318" s="1174" t="n"/>
      <c r="S318" s="885" t="n"/>
      <c r="T318" s="1172" t="n"/>
      <c r="U318" s="886" t="n"/>
      <c r="V318" s="1174" t="n"/>
      <c r="W318" s="885" t="n"/>
      <c r="X318" s="1172" t="n"/>
      <c r="Y318" s="886" t="n"/>
      <c r="Z318" s="1174" t="n"/>
      <c r="AA318" s="885" t="n"/>
      <c r="AB318" s="1172" t="n"/>
      <c r="AC318" s="886" t="n"/>
      <c r="AD318" s="1174" t="n"/>
      <c r="AE318" s="885" t="n"/>
      <c r="AF318" s="1172" t="n"/>
      <c r="AG318" s="886" t="n"/>
      <c r="AH318" s="1174" t="n"/>
      <c r="AI318" s="885" t="n"/>
      <c r="AJ318" s="1172" t="n"/>
      <c r="AK318" s="886" t="n"/>
      <c r="AL318" s="1174" t="n"/>
      <c r="AM318" s="1929" t="n"/>
      <c r="AN318" s="1174" t="n"/>
      <c r="AO318" s="1174" t="n"/>
      <c r="AP318" s="1173" t="n"/>
      <c r="AQ318" s="1172" t="n"/>
      <c r="AR318" s="1173" t="n"/>
      <c r="AS318" s="3892" t="n"/>
      <c r="AT318" s="5157" t="n"/>
      <c r="AU318" s="1174" t="n"/>
      <c r="AV318" s="1173" t="n"/>
      <c r="AW318">
        <f>CA318&amp;CB318&amp;CC318&amp;CD318&amp;CE318&amp;CF318&amp;CG318</f>
        <v/>
      </c>
      <c r="CA318" s="90">
        <f>IF((AO318+AP318)&gt;AN318," * Los Egresos Por Alta + Egresos Por Abandono no pueden ser mayor que el Total de Egresos.","")</f>
        <v/>
      </c>
      <c r="CB318" s="260">
        <f>IF(AND(E318&gt;0,OR(AQ318=""))," * No olvide digitar la variable Trans (Masculino). Digite Cero si no tiene.",IF(AQ318&gt;E318,"  * La variable Trans (Masculino) No puede ser mayor al Total Mujeres.",""))</f>
        <v/>
      </c>
      <c r="CC318" s="260">
        <f>IF(AND(D318&gt;0,OR(AR318=""))," * No olvide digitar la variable Trans (Femenino). Digite Cero si no tiene.",IF(AR318&gt;D318,"  * La variable Trans (Femenino) No puede ser mayor al Total Hombres.",""))</f>
        <v/>
      </c>
      <c r="CD318" s="260">
        <f>IF(AND(C318&gt;0,AS318=""), " * No olvide digitar la variable Pueblos originarios. Digite Cero si no tiene.",IF(AS318&gt;C318,"  * La variable Pueblos originarios No puede ser mayor al Total.",""))</f>
        <v/>
      </c>
      <c r="CE318" s="260">
        <f>IF(AND(C318&gt;0,AT318=""), " * No olvide digitar la variable Migrantes. Digite Cero si no tiene.",IF(AT318&gt;C318,"  * La variable Migrantes No puede ser mayor al Total.",""))</f>
        <v/>
      </c>
      <c r="CF318" s="260">
        <f>IF(AND(C318&gt;0,AU318=""), " * No olvide digitar la variable SENAME/ Servicio Nacional de Reinserción social Juvenil . Digite Cero si no tiene.",IF(AU318&gt;C318,"  * La variable SENAME/ Servicio Nacional de Reinserción social Juvenil No puede ser mayor al Total.",""))</f>
        <v/>
      </c>
      <c r="CG318" s="260">
        <f>IF(AND(C318&gt;0,AV318=""), " * No olvide digitar la variable Servicio Nacional Protección Especializada a la Niñez y Adolescencia. Digite Cero si no tiene.",IF(AV318&gt;C318,"  * La variable Servicio Nacional Protección Especializada a la Niñez y Adolescencia No puede ser mayor al Total.",""))</f>
        <v/>
      </c>
      <c r="CO318" s="221">
        <f>IF((AO318+AP318)&gt;AN318,1,0)</f>
        <v/>
      </c>
      <c r="CP318" s="221">
        <f>IF(AND(E318&gt;0,OR(AQ318="")),1,IF(AQ318&gt;E318,1,0))</f>
        <v/>
      </c>
      <c r="CQ318" s="221">
        <f>IF(AND(D318&gt;0,OR(AR318="")),1,IF(AR318&gt;D318,1,0))</f>
        <v/>
      </c>
      <c r="CR318" s="221">
        <f>IF(AND(C318&gt;0,AS318=""),1,IF(AS318&gt;C318,1,0))</f>
        <v/>
      </c>
      <c r="CS318" s="221">
        <f>IF(AND(C318&gt;0,AT318=""),1,IF(AT318&gt;C318,1,0))</f>
        <v/>
      </c>
      <c r="CT318" s="221">
        <f>IF(AND(C318&gt;0,AU318=""),1,IF(AU318&gt;C318,1,0))</f>
        <v/>
      </c>
      <c r="CU318" s="221">
        <f>IF(AND(C318&gt;0,AV318=""),1,IF(AV318&gt;C318,1,0))</f>
        <v/>
      </c>
    </row>
    <row r="319" ht="15" customHeight="1" s="8286">
      <c r="A319" s="9625" t="n"/>
      <c r="B319" s="1170" t="inlineStr">
        <is>
          <t>Herpes</t>
        </is>
      </c>
      <c r="C319" s="1485">
        <f>SUM(D319+E319)</f>
        <v/>
      </c>
      <c r="D319" s="2134">
        <f>SUM(F319+H319+J319+L319+N319+P319+R319+T319+V319+X319+Z319+AB319+AD319+AF319+AH319+AJ319+AL319)</f>
        <v/>
      </c>
      <c r="E319" s="7750">
        <f>SUM(G319+I319+K319+M319+O319+Q319+S319+U319+W319+Y319+AA319+AC319+AE319+AG319+AI319+AK319+AM319)</f>
        <v/>
      </c>
      <c r="F319" s="1172" t="n"/>
      <c r="G319" s="886" t="n"/>
      <c r="H319" s="1172" t="n"/>
      <c r="I319" s="886" t="n"/>
      <c r="J319" s="1172" t="n"/>
      <c r="K319" s="886" t="n"/>
      <c r="L319" s="1172" t="n"/>
      <c r="M319" s="886" t="n"/>
      <c r="N319" s="1172" t="n"/>
      <c r="O319" s="885" t="n"/>
      <c r="P319" s="1172" t="n"/>
      <c r="Q319" s="886" t="n"/>
      <c r="R319" s="1174" t="n"/>
      <c r="S319" s="885" t="n"/>
      <c r="T319" s="1172" t="n"/>
      <c r="U319" s="886" t="n"/>
      <c r="V319" s="1174" t="n"/>
      <c r="W319" s="885" t="n"/>
      <c r="X319" s="1172" t="n"/>
      <c r="Y319" s="886" t="n"/>
      <c r="Z319" s="1174" t="n"/>
      <c r="AA319" s="885" t="n"/>
      <c r="AB319" s="1172" t="n"/>
      <c r="AC319" s="886" t="n"/>
      <c r="AD319" s="1174" t="n"/>
      <c r="AE319" s="885" t="n"/>
      <c r="AF319" s="1172" t="n"/>
      <c r="AG319" s="886" t="n"/>
      <c r="AH319" s="1174" t="n"/>
      <c r="AI319" s="885" t="n"/>
      <c r="AJ319" s="1172" t="n"/>
      <c r="AK319" s="886" t="n"/>
      <c r="AL319" s="1174" t="n"/>
      <c r="AM319" s="1929" t="n"/>
      <c r="AN319" s="1174" t="n"/>
      <c r="AO319" s="1174" t="n"/>
      <c r="AP319" s="1173" t="n"/>
      <c r="AQ319" s="1172" t="n"/>
      <c r="AR319" s="1173" t="n"/>
      <c r="AS319" s="3892" t="n"/>
      <c r="AT319" s="5157" t="n"/>
      <c r="AU319" s="1174" t="n"/>
      <c r="AV319" s="1173" t="n"/>
      <c r="AW319">
        <f>CA319&amp;CB319&amp;CC319&amp;CD319&amp;CE319&amp;CF319&amp;CG319</f>
        <v/>
      </c>
      <c r="CA319" s="90">
        <f>IF((AO319+AP319)&gt;AN319," * Los Egresos Por Alta + Egresos Por Abandono no pueden ser mayor que el Total de Egresos.","")</f>
        <v/>
      </c>
      <c r="CB319" s="260">
        <f>IF(AND(E319&gt;0,OR(AQ319=""))," * No olvide digitar la variable Trans (Masculino). Digite Cero si no tiene.",IF(AQ319&gt;E319,"  * La variable Trans (Masculino) No puede ser mayor al Total Mujeres.",""))</f>
        <v/>
      </c>
      <c r="CC319" s="260">
        <f>IF(AND(D319&gt;0,OR(AR319=""))," * No olvide digitar la variable Trans (Femenino). Digite Cero si no tiene.",IF(AR319&gt;D319,"  * La variable Trans (Femenino) No puede ser mayor al Total Hombres.",""))</f>
        <v/>
      </c>
      <c r="CD319" s="260">
        <f>IF(AND(C319&gt;0,AS319=""), " * No olvide digitar la variable Pueblos originarios. Digite Cero si no tiene.",IF(AS319&gt;C319,"  * La variable Pueblos originarios No puede ser mayor al Total.",""))</f>
        <v/>
      </c>
      <c r="CE319" s="260">
        <f>IF(AND(C319&gt;0,AT319=""), " * No olvide digitar la variable Migrantes. Digite Cero si no tiene.",IF(AT319&gt;C319,"  * La variable Migrantes No puede ser mayor al Total.",""))</f>
        <v/>
      </c>
      <c r="CF319" s="260">
        <f>IF(AND(C319&gt;0,AU319=""), " * No olvide digitar la variable SENAME/ Servicio Nacional de Reinserción social Juvenil . Digite Cero si no tiene.",IF(AU319&gt;C319,"  * La variable SENAME/ Servicio Nacional de Reinserción social Juvenil No puede ser mayor al Total.",""))</f>
        <v/>
      </c>
      <c r="CG319" s="260">
        <f>IF(AND(C319&gt;0,AV319=""), " * No olvide digitar la variable Servicio Nacional Protección Especializada a la Niñez y Adolescencia. Digite Cero si no tiene.",IF(AV319&gt;C319,"  * La variable Servicio Nacional Protección Especializada a la Niñez y Adolescencia No puede ser mayor al Total.",""))</f>
        <v/>
      </c>
      <c r="CO319" s="221">
        <f>IF((AO319+AP319)&gt;AN319,1,0)</f>
        <v/>
      </c>
      <c r="CP319" s="221">
        <f>IF(AND(E319&gt;0,OR(AQ319="")),1,IF(AQ319&gt;E319,1,0))</f>
        <v/>
      </c>
      <c r="CQ319" s="221">
        <f>IF(AND(D319&gt;0,OR(AR319="")),1,IF(AR319&gt;D319,1,0))</f>
        <v/>
      </c>
      <c r="CR319" s="221">
        <f>IF(AND(C319&gt;0,AS319=""),1,IF(AS319&gt;C319,1,0))</f>
        <v/>
      </c>
      <c r="CS319" s="221">
        <f>IF(AND(C319&gt;0,AT319=""),1,IF(AT319&gt;C319,1,0))</f>
        <v/>
      </c>
      <c r="CT319" s="221">
        <f>IF(AND(C319&gt;0,AU319=""),1,IF(AU319&gt;C319,1,0))</f>
        <v/>
      </c>
      <c r="CU319" s="221">
        <f>IF(AND(C319&gt;0,AV319=""),1,IF(AV319&gt;C319,1,0))</f>
        <v/>
      </c>
    </row>
    <row r="320" ht="15" customHeight="1" s="8286">
      <c r="A320" s="9625" t="n"/>
      <c r="B320" s="1170" t="inlineStr">
        <is>
          <t>Chlamydias</t>
        </is>
      </c>
      <c r="C320" s="1485">
        <f>SUM(D320+E320)</f>
        <v/>
      </c>
      <c r="D320" s="2134">
        <f>SUM(F320+H320+J320+L320+N320+P320+R320+T320+V320+X320+Z320+AB320+AD320+AF320+AH320+AJ320+AL320)</f>
        <v/>
      </c>
      <c r="E320" s="7750">
        <f>SUM(G320+I320+K320+M320+O320+Q320+S320+U320+W320+Y320+AA320+AC320+AE320+AG320+AI320+AK320+AM320)</f>
        <v/>
      </c>
      <c r="F320" s="1172" t="n"/>
      <c r="G320" s="886" t="n"/>
      <c r="H320" s="1172" t="n"/>
      <c r="I320" s="886" t="n"/>
      <c r="J320" s="1172" t="n"/>
      <c r="K320" s="886" t="n"/>
      <c r="L320" s="1172" t="n"/>
      <c r="M320" s="886" t="n"/>
      <c r="N320" s="1172" t="n"/>
      <c r="O320" s="885" t="n"/>
      <c r="P320" s="1172" t="n"/>
      <c r="Q320" s="886" t="n"/>
      <c r="R320" s="1174" t="n"/>
      <c r="S320" s="885" t="n"/>
      <c r="T320" s="1172" t="n"/>
      <c r="U320" s="886" t="n"/>
      <c r="V320" s="1174" t="n"/>
      <c r="W320" s="885" t="n"/>
      <c r="X320" s="1172" t="n"/>
      <c r="Y320" s="886" t="n"/>
      <c r="Z320" s="1174" t="n"/>
      <c r="AA320" s="885" t="n"/>
      <c r="AB320" s="1172" t="n"/>
      <c r="AC320" s="886" t="n"/>
      <c r="AD320" s="1174" t="n"/>
      <c r="AE320" s="885" t="n"/>
      <c r="AF320" s="1172" t="n"/>
      <c r="AG320" s="886" t="n"/>
      <c r="AH320" s="1174" t="n"/>
      <c r="AI320" s="885" t="n"/>
      <c r="AJ320" s="1172" t="n"/>
      <c r="AK320" s="886" t="n"/>
      <c r="AL320" s="1174" t="n"/>
      <c r="AM320" s="1929" t="n"/>
      <c r="AN320" s="1174" t="n"/>
      <c r="AO320" s="1174" t="n"/>
      <c r="AP320" s="1173" t="n"/>
      <c r="AQ320" s="1172" t="n"/>
      <c r="AR320" s="1173" t="n"/>
      <c r="AS320" s="3892" t="n"/>
      <c r="AT320" s="5157" t="n"/>
      <c r="AU320" s="1174" t="n"/>
      <c r="AV320" s="1173" t="n"/>
      <c r="AW320">
        <f>CA320&amp;CB320&amp;CC320&amp;CD320&amp;CE320&amp;CF320&amp;CG320</f>
        <v/>
      </c>
      <c r="CA320" s="90">
        <f>IF((AO320+AP320)&gt;AN320," * Los Egresos Por Alta + Egresos Por Abandono no pueden ser mayor que el Total de Egresos.","")</f>
        <v/>
      </c>
      <c r="CB320" s="260">
        <f>IF(AND(E320&gt;0,OR(AQ320=""))," * No olvide digitar la variable Trans (Masculino). Digite Cero si no tiene.",IF(AQ320&gt;E320,"  * La variable Trans (Masculino) No puede ser mayor al Total Mujeres.",""))</f>
        <v/>
      </c>
      <c r="CC320" s="260">
        <f>IF(AND(D320&gt;0,OR(AR320=""))," * No olvide digitar la variable Trans (Femenino). Digite Cero si no tiene.",IF(AR320&gt;D320,"  * La variable Trans (Femenino) No puede ser mayor al Total Hombres.",""))</f>
        <v/>
      </c>
      <c r="CD320" s="260">
        <f>IF(AND(C320&gt;0,AS320=""), " * No olvide digitar la variable Pueblos originarios. Digite Cero si no tiene.",IF(AS320&gt;C320,"  * La variable Pueblos originarios No puede ser mayor al Total.",""))</f>
        <v/>
      </c>
      <c r="CE320" s="260">
        <f>IF(AND(C320&gt;0,AT320=""), " * No olvide digitar la variable Migrantes. Digite Cero si no tiene.",IF(AT320&gt;C320,"  * La variable Migrantes No puede ser mayor al Total.",""))</f>
        <v/>
      </c>
      <c r="CF320" s="260">
        <f>IF(AND(C320&gt;0,AU320=""), " * No olvide digitar la variable SENAME/ Servicio Nacional de Reinserción social Juvenil . Digite Cero si no tiene.",IF(AU320&gt;C320,"  * La variable SENAME/ Servicio Nacional de Reinserción social Juvenil No puede ser mayor al Total.",""))</f>
        <v/>
      </c>
      <c r="CG320" s="260">
        <f>IF(AND(C320&gt;0,AV320=""), " * No olvide digitar la variable Servicio Nacional Protección Especializada a la Niñez y Adolescencia. Digite Cero si no tiene.",IF(AV320&gt;C320,"  * La variable Servicio Nacional Protección Especializada a la Niñez y Adolescencia No puede ser mayor al Total.",""))</f>
        <v/>
      </c>
      <c r="CO320" s="221">
        <f>IF((AO320+AP320)&gt;AN320,1,0)</f>
        <v/>
      </c>
      <c r="CP320" s="221">
        <f>IF(AND(E320&gt;0,OR(AQ320="")),1,IF(AQ320&gt;E320,1,0))</f>
        <v/>
      </c>
      <c r="CQ320" s="221">
        <f>IF(AND(D320&gt;0,OR(AR320="")),1,IF(AR320&gt;D320,1,0))</f>
        <v/>
      </c>
      <c r="CR320" s="221">
        <f>IF(AND(C320&gt;0,AS320=""),1,IF(AS320&gt;C320,1,0))</f>
        <v/>
      </c>
      <c r="CS320" s="221">
        <f>IF(AND(C320&gt;0,AT320=""),1,IF(AT320&gt;C320,1,0))</f>
        <v/>
      </c>
      <c r="CT320" s="221">
        <f>IF(AND(C320&gt;0,AU320=""),1,IF(AU320&gt;C320,1,0))</f>
        <v/>
      </c>
      <c r="CU320" s="221">
        <f>IF(AND(C320&gt;0,AV320=""),1,IF(AV320&gt;C320,1,0))</f>
        <v/>
      </c>
    </row>
    <row r="321" ht="15" customHeight="1" s="8286">
      <c r="A321" s="9625" t="n"/>
      <c r="B321" s="1170" t="inlineStr">
        <is>
          <t>Uretritis no Gonocócica</t>
        </is>
      </c>
      <c r="C321" s="1485">
        <f>SUM(D321+E321)</f>
        <v/>
      </c>
      <c r="D321" s="2134">
        <f>SUM(F321+H321+J321+L321+N321+P321+R321+T321+V321+X321+Z321+AB321+AD321+AF321+AH321+AJ321+AL321)</f>
        <v/>
      </c>
      <c r="E321" s="7750">
        <f>SUM(G321+I321+K321+M321+O321+Q321+S321+U321+W321+Y321+AA321+AC321+AE321+AG321+AI321+AK321+AM321)</f>
        <v/>
      </c>
      <c r="F321" s="1172" t="n"/>
      <c r="G321" s="886" t="n"/>
      <c r="H321" s="1172" t="n"/>
      <c r="I321" s="886" t="n"/>
      <c r="J321" s="1172" t="n"/>
      <c r="K321" s="886" t="n"/>
      <c r="L321" s="1172" t="n"/>
      <c r="M321" s="886" t="n"/>
      <c r="N321" s="1172" t="n"/>
      <c r="O321" s="885" t="n"/>
      <c r="P321" s="1172" t="n"/>
      <c r="Q321" s="886" t="n"/>
      <c r="R321" s="1174" t="n"/>
      <c r="S321" s="885" t="n"/>
      <c r="T321" s="1172" t="n"/>
      <c r="U321" s="886" t="n"/>
      <c r="V321" s="1174" t="n"/>
      <c r="W321" s="885" t="n"/>
      <c r="X321" s="1172" t="n"/>
      <c r="Y321" s="886" t="n"/>
      <c r="Z321" s="1174" t="n"/>
      <c r="AA321" s="885" t="n"/>
      <c r="AB321" s="1172" t="n"/>
      <c r="AC321" s="886" t="n"/>
      <c r="AD321" s="1174" t="n"/>
      <c r="AE321" s="885" t="n"/>
      <c r="AF321" s="1172" t="n"/>
      <c r="AG321" s="886" t="n"/>
      <c r="AH321" s="1174" t="n"/>
      <c r="AI321" s="885" t="n"/>
      <c r="AJ321" s="1172" t="n"/>
      <c r="AK321" s="886" t="n"/>
      <c r="AL321" s="1174" t="n"/>
      <c r="AM321" s="1929" t="n"/>
      <c r="AN321" s="1174" t="n"/>
      <c r="AO321" s="1174" t="n"/>
      <c r="AP321" s="1173" t="n"/>
      <c r="AQ321" s="1172" t="n"/>
      <c r="AR321" s="1173" t="n"/>
      <c r="AS321" s="3892" t="n"/>
      <c r="AT321" s="5157" t="n"/>
      <c r="AU321" s="1174" t="n"/>
      <c r="AV321" s="1173" t="n"/>
      <c r="AW321">
        <f>CA321&amp;CB321&amp;CC321&amp;CD321&amp;CE321&amp;CF321&amp;CG321</f>
        <v/>
      </c>
      <c r="CA321" s="90">
        <f>IF((AO321+AP321)&gt;AN321," * Los Egresos Por Alta + Egresos Por Abandono no pueden ser mayor que el Total de Egresos.","")</f>
        <v/>
      </c>
      <c r="CB321" s="260">
        <f>IF(AND(E321&gt;0,OR(AQ321=""))," * No olvide digitar la variable Trans (Masculino). Digite Cero si no tiene.",IF(AQ321&gt;E321,"  * La variable Trans (Masculino) No puede ser mayor al Total Mujeres.",""))</f>
        <v/>
      </c>
      <c r="CC321" s="260">
        <f>IF(AND(D321&gt;0,OR(AR321=""))," * No olvide digitar la variable Trans (Femenino). Digite Cero si no tiene.",IF(AR321&gt;D321,"  * La variable Trans (Femenino) No puede ser mayor al Total Hombres.",""))</f>
        <v/>
      </c>
      <c r="CD321" s="260">
        <f>IF(AND(C321&gt;0,AS321=""), " * No olvide digitar la variable Pueblos originarios. Digite Cero si no tiene.",IF(AS321&gt;C321,"  * La variable Pueblos originarios No puede ser mayor al Total.",""))</f>
        <v/>
      </c>
      <c r="CE321" s="260">
        <f>IF(AND(C321&gt;0,AT321=""), " * No olvide digitar la variable Migrantes. Digite Cero si no tiene.",IF(AT321&gt;C321,"  * La variable Migrantes No puede ser mayor al Total.",""))</f>
        <v/>
      </c>
      <c r="CF321" s="260">
        <f>IF(AND(C321&gt;0,AU321=""), " * No olvide digitar la variable SENAME/ Servicio Nacional de Reinserción social Juvenil . Digite Cero si no tiene.",IF(AU321&gt;C321,"  * La variable SENAME/ Servicio Nacional de Reinserción social Juvenil No puede ser mayor al Total.",""))</f>
        <v/>
      </c>
      <c r="CG321" s="260">
        <f>IF(AND(C321&gt;0,AV321=""), " * No olvide digitar la variable Servicio Nacional Protección Especializada a la Niñez y Adolescencia. Digite Cero si no tiene.",IF(AV321&gt;C321,"  * La variable Servicio Nacional Protección Especializada a la Niñez y Adolescencia No puede ser mayor al Total.",""))</f>
        <v/>
      </c>
      <c r="CO321" s="221">
        <f>IF((AO321+AP321)&gt;AN321,1,0)</f>
        <v/>
      </c>
      <c r="CP321" s="221">
        <f>IF(AND(E321&gt;0,OR(AQ321="")),1,IF(AQ321&gt;E321,1,0))</f>
        <v/>
      </c>
      <c r="CQ321" s="221">
        <f>IF(AND(D321&gt;0,OR(AR321="")),1,IF(AR321&gt;D321,1,0))</f>
        <v/>
      </c>
      <c r="CR321" s="221">
        <f>IF(AND(C321&gt;0,AS321=""),1,IF(AS321&gt;C321,1,0))</f>
        <v/>
      </c>
      <c r="CS321" s="221">
        <f>IF(AND(C321&gt;0,AT321=""),1,IF(AT321&gt;C321,1,0))</f>
        <v/>
      </c>
      <c r="CT321" s="221">
        <f>IF(AND(C321&gt;0,AU321=""),1,IF(AU321&gt;C321,1,0))</f>
        <v/>
      </c>
      <c r="CU321" s="221">
        <f>IF(AND(C321&gt;0,AV321=""),1,IF(AV321&gt;C321,1,0))</f>
        <v/>
      </c>
    </row>
    <row r="322" ht="15" customHeight="1" s="8286">
      <c r="A322" s="9625" t="n"/>
      <c r="B322" s="1170" t="inlineStr">
        <is>
          <t>Linfogranuloma</t>
        </is>
      </c>
      <c r="C322" s="1485">
        <f>SUM(D322+E322)</f>
        <v/>
      </c>
      <c r="D322" s="2134">
        <f>SUM(F322+H322+J322+L322+N322+P322+R322+T322+V322+X322+Z322+AB322+AD322+AF322+AH322+AJ322+AL322)</f>
        <v/>
      </c>
      <c r="E322" s="7750">
        <f>SUM(G322+I322+K322+M322+O322+Q322+S322+U322+W322+Y322+AA322+AC322+AE322+AG322+AI322+AK322+AM322)</f>
        <v/>
      </c>
      <c r="F322" s="1172" t="n"/>
      <c r="G322" s="886" t="n"/>
      <c r="H322" s="1172" t="n"/>
      <c r="I322" s="886" t="n"/>
      <c r="J322" s="1172" t="n"/>
      <c r="K322" s="886" t="n"/>
      <c r="L322" s="1172" t="n"/>
      <c r="M322" s="886" t="n"/>
      <c r="N322" s="1172" t="n"/>
      <c r="O322" s="885" t="n"/>
      <c r="P322" s="1172" t="n"/>
      <c r="Q322" s="886" t="n"/>
      <c r="R322" s="1174" t="n"/>
      <c r="S322" s="885" t="n"/>
      <c r="T322" s="1172" t="n"/>
      <c r="U322" s="886" t="n"/>
      <c r="V322" s="1174" t="n"/>
      <c r="W322" s="885" t="n"/>
      <c r="X322" s="1172" t="n"/>
      <c r="Y322" s="886" t="n"/>
      <c r="Z322" s="1174" t="n"/>
      <c r="AA322" s="885" t="n"/>
      <c r="AB322" s="1172" t="n"/>
      <c r="AC322" s="886" t="n"/>
      <c r="AD322" s="1174" t="n"/>
      <c r="AE322" s="885" t="n"/>
      <c r="AF322" s="1172" t="n"/>
      <c r="AG322" s="886" t="n"/>
      <c r="AH322" s="1174" t="n"/>
      <c r="AI322" s="885" t="n"/>
      <c r="AJ322" s="1172" t="n"/>
      <c r="AK322" s="886" t="n"/>
      <c r="AL322" s="1174" t="n"/>
      <c r="AM322" s="1929" t="n"/>
      <c r="AN322" s="1174" t="n"/>
      <c r="AO322" s="1174" t="n"/>
      <c r="AP322" s="1173" t="n"/>
      <c r="AQ322" s="1172" t="n"/>
      <c r="AR322" s="1173" t="n"/>
      <c r="AS322" s="3892" t="n"/>
      <c r="AT322" s="5157" t="n"/>
      <c r="AU322" s="1174" t="n"/>
      <c r="AV322" s="1173" t="n"/>
      <c r="AW322">
        <f>CA322&amp;CB322&amp;CC322&amp;CD322&amp;CE322&amp;CF322&amp;CG322</f>
        <v/>
      </c>
      <c r="CA322" s="90">
        <f>IF((AO322+AP322)&gt;AN322," * Los Egresos Por Alta + Egresos Por Abandono no pueden ser mayor que el Total de Egresos.","")</f>
        <v/>
      </c>
      <c r="CB322" s="260">
        <f>IF(AND(E322&gt;0,OR(AQ322=""))," * No olvide digitar la variable Trans (Masculino). Digite Cero si no tiene.",IF(AQ322&gt;E322,"  * La variable Trans (Masculino) No puede ser mayor al Total Mujeres.",""))</f>
        <v/>
      </c>
      <c r="CC322" s="260">
        <f>IF(AND(D322&gt;0,OR(AR322=""))," * No olvide digitar la variable Trans (Femenino). Digite Cero si no tiene.",IF(AR322&gt;D322,"  * La variable Trans (Femenino) No puede ser mayor al Total Hombres.",""))</f>
        <v/>
      </c>
      <c r="CD322" s="260">
        <f>IF(AND(C322&gt;0,AS322=""), " * No olvide digitar la variable Pueblos originarios. Digite Cero si no tiene.",IF(AS322&gt;C322,"  * La variable Pueblos originarios No puede ser mayor al Total.",""))</f>
        <v/>
      </c>
      <c r="CE322" s="260">
        <f>IF(AND(C322&gt;0,AT322=""), " * No olvide digitar la variable Migrantes. Digite Cero si no tiene.",IF(AT322&gt;C322,"  * La variable Migrantes No puede ser mayor al Total.",""))</f>
        <v/>
      </c>
      <c r="CF322" s="260">
        <f>IF(AND(C322&gt;0,AU322=""), " * No olvide digitar la variable SENAME/ Servicio Nacional de Reinserción social Juvenil . Digite Cero si no tiene.",IF(AU322&gt;C322,"  * La variable SENAME/ Servicio Nacional de Reinserción social Juvenil No puede ser mayor al Total.",""))</f>
        <v/>
      </c>
      <c r="CG322" s="260">
        <f>IF(AND(C322&gt;0,AV322=""), " * No olvide digitar la variable Servicio Nacional Protección Especializada a la Niñez y Adolescencia. Digite Cero si no tiene.",IF(AV322&gt;C322,"  * La variable Servicio Nacional Protección Especializada a la Niñez y Adolescencia No puede ser mayor al Total.",""))</f>
        <v/>
      </c>
      <c r="CO322" s="221">
        <f>IF((AO322+AP322)&gt;AN322,1,0)</f>
        <v/>
      </c>
      <c r="CP322" s="221">
        <f>IF(AND(E322&gt;0,OR(AQ322="")),1,IF(AQ322&gt;E322,1,0))</f>
        <v/>
      </c>
      <c r="CQ322" s="221">
        <f>IF(AND(D322&gt;0,OR(AR322="")),1,IF(AR322&gt;D322,1,0))</f>
        <v/>
      </c>
      <c r="CR322" s="221">
        <f>IF(AND(C322&gt;0,AS322=""),1,IF(AS322&gt;C322,1,0))</f>
        <v/>
      </c>
      <c r="CS322" s="221">
        <f>IF(AND(C322&gt;0,AT322=""),1,IF(AT322&gt;C322,1,0))</f>
        <v/>
      </c>
      <c r="CT322" s="221">
        <f>IF(AND(C322&gt;0,AU322=""),1,IF(AU322&gt;C322,1,0))</f>
        <v/>
      </c>
      <c r="CU322" s="221">
        <f>IF(AND(C322&gt;0,AV322=""),1,IF(AV322&gt;C322,1,0))</f>
        <v/>
      </c>
    </row>
    <row r="323" ht="15" customHeight="1" s="8286">
      <c r="A323" s="9625" t="n"/>
      <c r="B323" s="1170" t="inlineStr">
        <is>
          <t>Chancroide</t>
        </is>
      </c>
      <c r="C323" s="1485">
        <f>SUM(D323+E323)</f>
        <v/>
      </c>
      <c r="D323" s="2134">
        <f>SUM(F323+H323+J323+L323+N323+P323+R323+T323+V323+X323+Z323+AB323+AD323+AF323+AH323+AJ323+AL323)</f>
        <v/>
      </c>
      <c r="E323" s="7750">
        <f>SUM(G323+I323+K323+M323+O323+Q323+S323+U323+W323+Y323+AA323+AC323+AE323+AG323+AI323+AK323+AM323)</f>
        <v/>
      </c>
      <c r="F323" s="1172" t="n"/>
      <c r="G323" s="886" t="n"/>
      <c r="H323" s="1172" t="n"/>
      <c r="I323" s="886" t="n"/>
      <c r="J323" s="1172" t="n"/>
      <c r="K323" s="886" t="n"/>
      <c r="L323" s="1172" t="n"/>
      <c r="M323" s="886" t="n"/>
      <c r="N323" s="1172" t="n"/>
      <c r="O323" s="885" t="n"/>
      <c r="P323" s="1172" t="n"/>
      <c r="Q323" s="886" t="n"/>
      <c r="R323" s="1174" t="n"/>
      <c r="S323" s="885" t="n"/>
      <c r="T323" s="1172" t="n"/>
      <c r="U323" s="886" t="n"/>
      <c r="V323" s="1174" t="n"/>
      <c r="W323" s="885" t="n"/>
      <c r="X323" s="1172" t="n"/>
      <c r="Y323" s="886" t="n"/>
      <c r="Z323" s="1174" t="n"/>
      <c r="AA323" s="885" t="n"/>
      <c r="AB323" s="1172" t="n"/>
      <c r="AC323" s="886" t="n"/>
      <c r="AD323" s="1174" t="n"/>
      <c r="AE323" s="885" t="n"/>
      <c r="AF323" s="1172" t="n"/>
      <c r="AG323" s="886" t="n"/>
      <c r="AH323" s="1174" t="n"/>
      <c r="AI323" s="885" t="n"/>
      <c r="AJ323" s="1172" t="n"/>
      <c r="AK323" s="886" t="n"/>
      <c r="AL323" s="1174" t="n"/>
      <c r="AM323" s="1929" t="n"/>
      <c r="AN323" s="1174" t="n"/>
      <c r="AO323" s="1174" t="n"/>
      <c r="AP323" s="1173" t="n"/>
      <c r="AQ323" s="1172" t="n"/>
      <c r="AR323" s="1173" t="n"/>
      <c r="AS323" s="3892" t="n"/>
      <c r="AT323" s="5157" t="n"/>
      <c r="AU323" s="1174" t="n"/>
      <c r="AV323" s="1173" t="n"/>
      <c r="AW323">
        <f>CA323&amp;CB323&amp;CC323&amp;CD323&amp;CE323&amp;CF323&amp;CG323</f>
        <v/>
      </c>
      <c r="CA323" s="90">
        <f>IF((AO323+AP323)&gt;AN323," * Los Egresos Por Alta + Egresos Por Abandono no pueden ser mayor que el Total de Egresos.","")</f>
        <v/>
      </c>
      <c r="CB323" s="260">
        <f>IF(AND(E323&gt;0,OR(AQ323=""))," * No olvide digitar la variable Trans (Masculino). Digite Cero si no tiene.",IF(AQ323&gt;E323,"  * La variable Trans (Masculino) No puede ser mayor al Total Mujeres.",""))</f>
        <v/>
      </c>
      <c r="CC323" s="260">
        <f>IF(AND(D323&gt;0,OR(AR323=""))," * No olvide digitar la variable Trans (Femenino). Digite Cero si no tiene.",IF(AR323&gt;D323,"  * La variable Trans (Femenino) No puede ser mayor al Total Hombres.",""))</f>
        <v/>
      </c>
      <c r="CD323" s="260">
        <f>IF(AND(C323&gt;0,AS323=""), " * No olvide digitar la variable Pueblos originarios. Digite Cero si no tiene.",IF(AS323&gt;C323,"  * La variable Pueblos originarios No puede ser mayor al Total.",""))</f>
        <v/>
      </c>
      <c r="CE323" s="260">
        <f>IF(AND(C323&gt;0,AT323=""), " * No olvide digitar la variable Migrantes. Digite Cero si no tiene.",IF(AT323&gt;C323,"  * La variable Migrantes No puede ser mayor al Total.",""))</f>
        <v/>
      </c>
      <c r="CF323" s="260">
        <f>IF(AND(C323&gt;0,AU323=""), " * No olvide digitar la variable SENAME/ Servicio Nacional de Reinserción social Juvenil . Digite Cero si no tiene.",IF(AU323&gt;C323,"  * La variable SENAME/ Servicio Nacional de Reinserción social Juvenil No puede ser mayor al Total.",""))</f>
        <v/>
      </c>
      <c r="CG323" s="260">
        <f>IF(AND(C323&gt;0,AV323=""), " * No olvide digitar la variable Servicio Nacional Protección Especializada a la Niñez y Adolescencia. Digite Cero si no tiene.",IF(AV323&gt;C323,"  * La variable Servicio Nacional Protección Especializada a la Niñez y Adolescencia No puede ser mayor al Total.",""))</f>
        <v/>
      </c>
      <c r="CO323" s="221">
        <f>IF((AO323+AP323)&gt;AN323,1,0)</f>
        <v/>
      </c>
      <c r="CP323" s="221">
        <f>IF(AND(E323&gt;0,OR(AQ323="")),1,IF(AQ323&gt;E323,1,0))</f>
        <v/>
      </c>
      <c r="CQ323" s="221">
        <f>IF(AND(D323&gt;0,OR(AR323="")),1,IF(AR323&gt;D323,1,0))</f>
        <v/>
      </c>
      <c r="CR323" s="221">
        <f>IF(AND(C323&gt;0,AS323=""),1,IF(AS323&gt;C323,1,0))</f>
        <v/>
      </c>
      <c r="CS323" s="221">
        <f>IF(AND(C323&gt;0,AT323=""),1,IF(AT323&gt;C323,1,0))</f>
        <v/>
      </c>
      <c r="CT323" s="221">
        <f>IF(AND(C323&gt;0,AU323=""),1,IF(AU323&gt;C323,1,0))</f>
        <v/>
      </c>
      <c r="CU323" s="221">
        <f>IF(AND(C323&gt;0,AV323=""),1,IF(AV323&gt;C323,1,0))</f>
        <v/>
      </c>
    </row>
    <row r="324" ht="15" customHeight="1" s="8286">
      <c r="A324" s="9641" t="n"/>
      <c r="B324" s="7763" t="inlineStr">
        <is>
          <t>Otras ITS</t>
        </is>
      </c>
      <c r="C324" s="1360">
        <f>SUM(D324+E324)</f>
        <v/>
      </c>
      <c r="D324" s="1358">
        <f>SUM(F324+H324+J324+L324+N324+P324+R324+T324+V324+X324+Z324+AB324+AD324+AF324+AH324+AJ324+AL324)</f>
        <v/>
      </c>
      <c r="E324" s="7752">
        <f>SUM(G324+I324+K324+M324+O324+Q324+S324+U324+W324+Y324+AA324+AC324+AE324+AG324+AI324+AK324+AM324)</f>
        <v/>
      </c>
      <c r="F324" s="1188" t="n"/>
      <c r="G324" s="1119" t="n"/>
      <c r="H324" s="1188" t="n"/>
      <c r="I324" s="1119" t="n"/>
      <c r="J324" s="1188" t="n"/>
      <c r="K324" s="1119" t="n"/>
      <c r="L324" s="1188" t="n"/>
      <c r="M324" s="1119" t="n"/>
      <c r="N324" s="1188" t="n"/>
      <c r="O324" s="1194" t="n"/>
      <c r="P324" s="1188" t="n"/>
      <c r="Q324" s="1119" t="n"/>
      <c r="R324" s="1193" t="n"/>
      <c r="S324" s="1194" t="n"/>
      <c r="T324" s="1188" t="n"/>
      <c r="U324" s="1119" t="n"/>
      <c r="V324" s="1193" t="n"/>
      <c r="W324" s="1194" t="n"/>
      <c r="X324" s="1188" t="n"/>
      <c r="Y324" s="1119" t="n"/>
      <c r="Z324" s="1193" t="n"/>
      <c r="AA324" s="1194" t="n"/>
      <c r="AB324" s="1188" t="n"/>
      <c r="AC324" s="1119" t="n"/>
      <c r="AD324" s="1193" t="n"/>
      <c r="AE324" s="1194" t="n"/>
      <c r="AF324" s="1188" t="n"/>
      <c r="AG324" s="1119" t="n"/>
      <c r="AH324" s="1193" t="n"/>
      <c r="AI324" s="1194" t="n"/>
      <c r="AJ324" s="1188" t="n"/>
      <c r="AK324" s="1119" t="n"/>
      <c r="AL324" s="1193" t="n"/>
      <c r="AM324" s="1224" t="n"/>
      <c r="AN324" s="1193" t="n"/>
      <c r="AO324" s="1193" t="n"/>
      <c r="AP324" s="1192" t="n"/>
      <c r="AQ324" s="1188" t="n"/>
      <c r="AR324" s="1192" t="n"/>
      <c r="AS324" s="1223" t="n"/>
      <c r="AT324" s="1296" t="n"/>
      <c r="AU324" s="1193" t="n"/>
      <c r="AV324" s="1192" t="n"/>
      <c r="AW324">
        <f>CA324&amp;CB324&amp;CC324&amp;CD324&amp;CE324&amp;CF324&amp;CG324</f>
        <v/>
      </c>
      <c r="CA324" s="90">
        <f>IF((AO324+AP324)&gt;AN324," * Los Egresos Por Alta + Egresos Por Abandono no pueden ser mayor que el Total de Egresos.","")</f>
        <v/>
      </c>
      <c r="CB324" s="260">
        <f>IF(AND(E324&gt;0,OR(AQ324=""))," * No olvide digitar la variable Trans (Masculino). Digite Cero si no tiene.",IF(AQ324&gt;E324,"  * La variable Trans (Masculino) No puede ser mayor al Total Mujeres.",""))</f>
        <v/>
      </c>
      <c r="CC324" s="260">
        <f>IF(AND(D324&gt;0,OR(AR324=""))," * No olvide digitar la variable Trans (Femenino). Digite Cero si no tiene.",IF(AR324&gt;D324,"  * La variable Trans (Femenino) No puede ser mayor al Total Hombres.",""))</f>
        <v/>
      </c>
      <c r="CD324" s="260">
        <f>IF(AND(C324&gt;0,AS324=""), " * No olvide digitar la variable Pueblos originarios. Digite Cero si no tiene.",IF(AS324&gt;C324,"  * La variable Pueblos originarios No puede ser mayor al Total.",""))</f>
        <v/>
      </c>
      <c r="CE324" s="260">
        <f>IF(AND(C324&gt;0,AT324=""), " * No olvide digitar la variable Migrantes. Digite Cero si no tiene.",IF(AT324&gt;C324,"  * La variable Migrantes No puede ser mayor al Total.",""))</f>
        <v/>
      </c>
      <c r="CF324" s="260">
        <f>IF(AND(C324&gt;0,AU324=""), " * No olvide digitar la variable SENAME/ Servicio Nacional de Reinserción social Juvenil . Digite Cero si no tiene.",IF(AU324&gt;C324,"  * La variable SENAME/ Servicio Nacional de Reinserción social Juvenil No puede ser mayor al Total.",""))</f>
        <v/>
      </c>
      <c r="CG324" s="260">
        <f>IF(AND(C324&gt;0,AV324=""), " * No olvide digitar la variable Servicio Nacional Protección Especializada a la Niñez y Adolescencia. Digite Cero si no tiene.",IF(AV324&gt;C324,"  * La variable Servicio Nacional Protección Especializada a la Niñez y Adolescencia No puede ser mayor al Total.",""))</f>
        <v/>
      </c>
      <c r="CO324" s="221">
        <f>IF((AO324+AP324)&gt;AN324,1,0)</f>
        <v/>
      </c>
      <c r="CP324" s="221">
        <f>IF(AND(E324&gt;0,OR(AQ324="")),1,IF(AQ324&gt;E324,1,0))</f>
        <v/>
      </c>
      <c r="CQ324" s="221">
        <f>IF(AND(D324&gt;0,OR(AR324="")),1,IF(AR324&gt;D324,1,0))</f>
        <v/>
      </c>
      <c r="CR324" s="221">
        <f>IF(AND(C324&gt;0,AS324=""),1,IF(AS324&gt;C324,1,0))</f>
        <v/>
      </c>
      <c r="CS324" s="221">
        <f>IF(AND(C324&gt;0,AT324=""),1,IF(AT324&gt;C324,1,0))</f>
        <v/>
      </c>
      <c r="CT324" s="221">
        <f>IF(AND(C324&gt;0,AU324=""),1,IF(AU324&gt;C324,1,0))</f>
        <v/>
      </c>
      <c r="CU324" s="221">
        <f>IF(AND(C324&gt;0,AV324=""),1,IF(AV324&gt;C324,1,0))</f>
        <v/>
      </c>
    </row>
    <row r="325" ht="18" customFormat="1" customHeight="1" s="5">
      <c r="A325" s="2" t="inlineStr">
        <is>
          <t>SECCIÓN R: INGRESOS Y EGRESOS DEL PROGRAMA DE VIH/SIDA (Uso exclusivo Centros de Atención VIH-SIDA)</t>
        </is>
      </c>
      <c r="B325" s="59" t="n"/>
      <c r="C325" s="3" t="n"/>
      <c r="D325" s="3" t="n"/>
      <c r="E325" s="3" t="n"/>
      <c r="F325" s="3" t="n"/>
      <c r="G325" s="3" t="n"/>
      <c r="H325" s="3" t="n"/>
      <c r="I325" s="3" t="n"/>
      <c r="J325" s="3" t="n"/>
      <c r="K325" s="3" t="n"/>
      <c r="L325" s="3" t="n"/>
      <c r="M325" s="3" t="n"/>
      <c r="N325" s="3" t="n"/>
      <c r="O325" s="3" t="n"/>
      <c r="P325" s="3" t="n"/>
      <c r="Q325" s="3" t="n"/>
      <c r="R325" s="3" t="n"/>
      <c r="S325" s="3" t="n"/>
      <c r="T325" s="3" t="n"/>
      <c r="U325" s="3" t="n"/>
      <c r="V325" s="3" t="n"/>
      <c r="W325" s="3" t="n"/>
      <c r="X325" s="3" t="n"/>
      <c r="Y325" s="3" t="n"/>
      <c r="Z325" s="3" t="n"/>
      <c r="AA325" s="3" t="n"/>
      <c r="AB325" s="3" t="n"/>
      <c r="AC325" s="3" t="n"/>
      <c r="AD325" s="3" t="n"/>
      <c r="AE325" s="3" t="n"/>
      <c r="AF325" s="3" t="n"/>
      <c r="AG325" s="3" t="n"/>
      <c r="AH325" s="3" t="n"/>
      <c r="AI325" s="3" t="n"/>
      <c r="AJ325" s="3" t="n"/>
      <c r="AK325" s="3" t="n"/>
      <c r="AL325" s="3" t="n"/>
      <c r="AM325" s="3" t="n"/>
      <c r="AN325" s="3" t="n"/>
      <c r="AO325" s="3" t="n"/>
      <c r="AP325" s="3" t="n"/>
      <c r="AQ325" s="3" t="n"/>
      <c r="AR325" s="3" t="n"/>
      <c r="AS325" s="3" t="n"/>
      <c r="AT325" s="3" t="n"/>
      <c r="AU325" s="3" t="n"/>
      <c r="AV325" s="3" t="n"/>
      <c r="AW325" s="2262" t="n"/>
    </row>
    <row r="326" ht="15" customHeight="1" s="8286">
      <c r="A326" s="9939" t="inlineStr">
        <is>
          <t>CONCEPTO</t>
        </is>
      </c>
      <c r="B326" s="9630" t="n"/>
      <c r="C326" s="10004" t="inlineStr">
        <is>
          <t xml:space="preserve">TOTAL </t>
        </is>
      </c>
      <c r="D326" s="9602" t="n"/>
      <c r="E326" s="9630" t="n"/>
      <c r="F326" s="9915" t="inlineStr">
        <is>
          <t>RANGO ETARIO Y SEXO</t>
        </is>
      </c>
      <c r="G326" s="9584" t="n"/>
      <c r="H326" s="9584" t="n"/>
      <c r="I326" s="9584" t="n"/>
      <c r="J326" s="9584" t="n"/>
      <c r="K326" s="9584" t="n"/>
      <c r="L326" s="9584" t="n"/>
      <c r="M326" s="9584" t="n"/>
      <c r="N326" s="9584" t="n"/>
      <c r="O326" s="9584" t="n"/>
      <c r="P326" s="9584" t="n"/>
      <c r="Q326" s="9584" t="n"/>
      <c r="R326" s="9584" t="n"/>
      <c r="S326" s="9584" t="n"/>
      <c r="T326" s="9584" t="n"/>
      <c r="U326" s="9584" t="n"/>
      <c r="V326" s="9584" t="n"/>
      <c r="W326" s="9584" t="n"/>
      <c r="X326" s="9584" t="n"/>
      <c r="Y326" s="9584" t="n"/>
      <c r="Z326" s="9584" t="n"/>
      <c r="AA326" s="9584" t="n"/>
      <c r="AB326" s="9584" t="n"/>
      <c r="AC326" s="9584" t="n"/>
      <c r="AD326" s="9584" t="n"/>
      <c r="AE326" s="9584" t="n"/>
      <c r="AF326" s="9584" t="n"/>
      <c r="AG326" s="9584" t="n"/>
      <c r="AH326" s="9584" t="n"/>
      <c r="AI326" s="9584" t="n"/>
      <c r="AJ326" s="9584" t="n"/>
      <c r="AK326" s="9584" t="n"/>
      <c r="AL326" s="9584" t="n"/>
      <c r="AM326" s="9584" t="n"/>
      <c r="AN326" s="9584" t="n"/>
      <c r="AO326" s="9584" t="n"/>
      <c r="AP326" s="9584" t="n"/>
      <c r="AQ326" s="9595" t="n"/>
      <c r="AR326" s="10005" t="inlineStr">
        <is>
          <t>TRANS</t>
        </is>
      </c>
      <c r="AS326" s="9630" t="n"/>
      <c r="AT326" s="8400" t="inlineStr">
        <is>
          <t>Pueblos Originarios</t>
        </is>
      </c>
      <c r="AU326" s="9919" t="inlineStr">
        <is>
          <t>Migrantes</t>
        </is>
      </c>
      <c r="AV326" s="10002" t="inlineStr">
        <is>
          <t xml:space="preserve">SENAME/ Servicio Nacional de Reinserción social Juvenil </t>
        </is>
      </c>
      <c r="AW326" s="9920" t="inlineStr">
        <is>
          <t>Servicio Nacional Protección Especializada a la Niñez y Adolescencia</t>
        </is>
      </c>
    </row>
    <row r="327">
      <c r="A327" s="642" t="n"/>
      <c r="B327" s="9718" t="n"/>
      <c r="C327" s="9638" t="n"/>
      <c r="D327" s="9697" t="n"/>
      <c r="E327" s="9639" t="n"/>
      <c r="F327" s="10006" t="inlineStr">
        <is>
          <t>Menor de 6 meses</t>
        </is>
      </c>
      <c r="G327" s="9584" t="n"/>
      <c r="H327" s="10006" t="inlineStr">
        <is>
          <t>6 - 11 meses</t>
        </is>
      </c>
      <c r="I327" s="9584" t="n"/>
      <c r="J327" s="10006" t="inlineStr">
        <is>
          <t>12 - 24 meses</t>
        </is>
      </c>
      <c r="K327" s="9584" t="n"/>
      <c r="L327" s="10006" t="inlineStr">
        <is>
          <t>3 - 4 años</t>
        </is>
      </c>
      <c r="M327" s="9584" t="n"/>
      <c r="N327" s="10006" t="inlineStr">
        <is>
          <t>5 - 9 años</t>
        </is>
      </c>
      <c r="O327" s="9584" t="n"/>
      <c r="P327" s="10006" t="inlineStr">
        <is>
          <t>10 - 14 años</t>
        </is>
      </c>
      <c r="Q327" s="9584" t="n"/>
      <c r="R327" s="10006" t="inlineStr">
        <is>
          <t>15 - 19 años</t>
        </is>
      </c>
      <c r="S327" s="9584" t="n"/>
      <c r="T327" s="10006" t="inlineStr">
        <is>
          <t>20 - 24 años</t>
        </is>
      </c>
      <c r="U327" s="9584" t="n"/>
      <c r="V327" s="9240" t="inlineStr">
        <is>
          <t>25 - 29 años</t>
        </is>
      </c>
      <c r="W327" s="9647" t="n"/>
      <c r="X327" s="9240" t="inlineStr">
        <is>
          <t>30 - 34 años</t>
        </is>
      </c>
      <c r="Y327" s="9647" t="n"/>
      <c r="Z327" s="9240" t="inlineStr">
        <is>
          <t>35 - 39 años</t>
        </is>
      </c>
      <c r="AA327" s="9647" t="n"/>
      <c r="AB327" s="9240" t="inlineStr">
        <is>
          <t>40 - 44 años</t>
        </is>
      </c>
      <c r="AC327" s="9647" t="n"/>
      <c r="AD327" s="9240" t="inlineStr">
        <is>
          <t>45 - 49 años</t>
        </is>
      </c>
      <c r="AE327" s="9647" t="n"/>
      <c r="AF327" s="9240" t="inlineStr">
        <is>
          <t>50 - 54 años</t>
        </is>
      </c>
      <c r="AG327" s="9647" t="n"/>
      <c r="AH327" s="9240" t="inlineStr">
        <is>
          <t>55 - 59 años</t>
        </is>
      </c>
      <c r="AI327" s="9647" t="n"/>
      <c r="AJ327" s="9240" t="inlineStr">
        <is>
          <t>60 - 64 años</t>
        </is>
      </c>
      <c r="AK327" s="9647" t="n"/>
      <c r="AL327" s="9240" t="inlineStr">
        <is>
          <t>65 - 69 años</t>
        </is>
      </c>
      <c r="AM327" s="9647" t="n"/>
      <c r="AN327" s="9240" t="inlineStr">
        <is>
          <t>70 - 74 años</t>
        </is>
      </c>
      <c r="AO327" s="9647" t="n"/>
      <c r="AP327" s="9976" t="inlineStr">
        <is>
          <t>75 y más años</t>
        </is>
      </c>
      <c r="AQ327" s="9595" t="n"/>
      <c r="AR327" s="9697" t="n"/>
      <c r="AS327" s="9639" t="n"/>
      <c r="AT327" s="9614" t="n"/>
      <c r="AU327" s="9668" t="n"/>
      <c r="AV327" s="9687" t="n"/>
      <c r="AW327" s="9625" t="n"/>
    </row>
    <row r="328" ht="39" customHeight="1" s="8286">
      <c r="A328" s="9638" t="n"/>
      <c r="B328" s="9639" t="n"/>
      <c r="C328" s="7932" t="inlineStr">
        <is>
          <t>Ambos Sexos</t>
        </is>
      </c>
      <c r="D328" s="7937" t="inlineStr">
        <is>
          <t>Hombres</t>
        </is>
      </c>
      <c r="E328" s="7772" t="inlineStr">
        <is>
          <t>Mujeres</t>
        </is>
      </c>
      <c r="F328" s="7932" t="inlineStr">
        <is>
          <t xml:space="preserve">Hombres </t>
        </is>
      </c>
      <c r="G328" s="7933" t="inlineStr">
        <is>
          <t>Mujeres</t>
        </is>
      </c>
      <c r="H328" s="7932" t="inlineStr">
        <is>
          <t xml:space="preserve">Hombres </t>
        </is>
      </c>
      <c r="I328" s="7933" t="inlineStr">
        <is>
          <t>Mujeres</t>
        </is>
      </c>
      <c r="J328" s="7932" t="inlineStr">
        <is>
          <t xml:space="preserve">Hombres </t>
        </is>
      </c>
      <c r="K328" s="7933" t="inlineStr">
        <is>
          <t>Mujeres</t>
        </is>
      </c>
      <c r="L328" s="7932" t="inlineStr">
        <is>
          <t xml:space="preserve">Hombres </t>
        </is>
      </c>
      <c r="M328" s="7933" t="inlineStr">
        <is>
          <t>Mujeres</t>
        </is>
      </c>
      <c r="N328" s="7932" t="inlineStr">
        <is>
          <t xml:space="preserve">Hombres </t>
        </is>
      </c>
      <c r="O328" s="7933" t="inlineStr">
        <is>
          <t>Mujeres</t>
        </is>
      </c>
      <c r="P328" s="7932" t="inlineStr">
        <is>
          <t xml:space="preserve">Hombres </t>
        </is>
      </c>
      <c r="Q328" s="7933" t="inlineStr">
        <is>
          <t>Mujeres</t>
        </is>
      </c>
      <c r="R328" s="7932" t="inlineStr">
        <is>
          <t xml:space="preserve">Hombres </t>
        </is>
      </c>
      <c r="S328" s="7933" t="inlineStr">
        <is>
          <t>Mujeres</t>
        </is>
      </c>
      <c r="T328" s="7932" t="inlineStr">
        <is>
          <t xml:space="preserve">Hombres </t>
        </is>
      </c>
      <c r="U328" s="7933" t="inlineStr">
        <is>
          <t>Mujeres</t>
        </is>
      </c>
      <c r="V328" s="7932" t="inlineStr">
        <is>
          <t xml:space="preserve">Hombres </t>
        </is>
      </c>
      <c r="W328" s="7933" t="inlineStr">
        <is>
          <t>Mujeres</t>
        </is>
      </c>
      <c r="X328" s="7932" t="inlineStr">
        <is>
          <t xml:space="preserve">Hombres </t>
        </is>
      </c>
      <c r="Y328" s="7933" t="inlineStr">
        <is>
          <t>Mujeres</t>
        </is>
      </c>
      <c r="Z328" s="7932" t="inlineStr">
        <is>
          <t xml:space="preserve">Hombres </t>
        </is>
      </c>
      <c r="AA328" s="7933" t="inlineStr">
        <is>
          <t>Mujeres</t>
        </is>
      </c>
      <c r="AB328" s="7932" t="inlineStr">
        <is>
          <t xml:space="preserve">Hombres </t>
        </is>
      </c>
      <c r="AC328" s="7933" t="inlineStr">
        <is>
          <t>Mujeres</t>
        </is>
      </c>
      <c r="AD328" s="7932" t="inlineStr">
        <is>
          <t xml:space="preserve">Hombres </t>
        </is>
      </c>
      <c r="AE328" s="7933" t="inlineStr">
        <is>
          <t>Mujeres</t>
        </is>
      </c>
      <c r="AF328" s="7932" t="inlineStr">
        <is>
          <t xml:space="preserve">Hombres </t>
        </is>
      </c>
      <c r="AG328" s="7933" t="inlineStr">
        <is>
          <t>Mujeres</t>
        </is>
      </c>
      <c r="AH328" s="7932" t="inlineStr">
        <is>
          <t xml:space="preserve">Hombres </t>
        </is>
      </c>
      <c r="AI328" s="7933" t="inlineStr">
        <is>
          <t>Mujeres</t>
        </is>
      </c>
      <c r="AJ328" s="7932" t="inlineStr">
        <is>
          <t xml:space="preserve">Hombres </t>
        </is>
      </c>
      <c r="AK328" s="7933" t="inlineStr">
        <is>
          <t>Mujeres</t>
        </is>
      </c>
      <c r="AL328" s="7932" t="inlineStr">
        <is>
          <t xml:space="preserve">Hombres </t>
        </is>
      </c>
      <c r="AM328" s="7933" t="inlineStr">
        <is>
          <t>Mujeres</t>
        </is>
      </c>
      <c r="AN328" s="7932" t="inlineStr">
        <is>
          <t xml:space="preserve">Hombres </t>
        </is>
      </c>
      <c r="AO328" s="7933" t="inlineStr">
        <is>
          <t>Mujeres</t>
        </is>
      </c>
      <c r="AP328" s="7932" t="inlineStr">
        <is>
          <t xml:space="preserve">Hombres </t>
        </is>
      </c>
      <c r="AQ328" s="1981" t="inlineStr">
        <is>
          <t>Mujeres</t>
        </is>
      </c>
      <c r="AR328" s="2150" t="inlineStr">
        <is>
          <t>Masculino</t>
        </is>
      </c>
      <c r="AS328" s="7933" t="inlineStr">
        <is>
          <t>Femenino</t>
        </is>
      </c>
      <c r="AT328" s="9610" t="n"/>
      <c r="AU328" s="9855" t="n"/>
      <c r="AV328" s="9688" t="n"/>
      <c r="AW328" s="9641" t="n"/>
    </row>
    <row r="329">
      <c r="A329" s="9933" t="inlineStr">
        <is>
          <t xml:space="preserve">Ingresos al programa </t>
        </is>
      </c>
      <c r="B329" s="2179" t="inlineStr">
        <is>
          <t>Gestantes</t>
        </is>
      </c>
      <c r="C329" s="1978">
        <f>SUM(E329)</f>
        <v/>
      </c>
      <c r="D329" s="847" t="n"/>
      <c r="E329" s="8308">
        <f>+Q329+S329+U329+W329+Y329+AA329+AC329+AE329+AG329+AI329</f>
        <v/>
      </c>
      <c r="F329" s="2265" t="n"/>
      <c r="G329" s="2227" t="n"/>
      <c r="H329" s="2227" t="n"/>
      <c r="I329" s="2227" t="n"/>
      <c r="J329" s="2227" t="n"/>
      <c r="K329" s="2227" t="n"/>
      <c r="L329" s="2227" t="n"/>
      <c r="M329" s="2227" t="n"/>
      <c r="N329" s="2227" t="n"/>
      <c r="O329" s="2227" t="n"/>
      <c r="P329" s="2070" t="n"/>
      <c r="Q329" s="2023" t="n"/>
      <c r="R329" s="2192" t="n"/>
      <c r="S329" s="2023" t="n"/>
      <c r="T329" s="2192" t="n"/>
      <c r="U329" s="2023" t="n"/>
      <c r="V329" s="2192" t="n"/>
      <c r="W329" s="2023" t="n"/>
      <c r="X329" s="2192" t="n"/>
      <c r="Y329" s="2023" t="n"/>
      <c r="Z329" s="2192" t="n"/>
      <c r="AA329" s="2023" t="n"/>
      <c r="AB329" s="2192" t="n"/>
      <c r="AC329" s="2023" t="n"/>
      <c r="AD329" s="2192" t="n"/>
      <c r="AE329" s="2023" t="n"/>
      <c r="AF329" s="2192" t="n"/>
      <c r="AG329" s="2023" t="n"/>
      <c r="AH329" s="2192" t="n"/>
      <c r="AI329" s="2023" t="n"/>
      <c r="AJ329" s="2192" t="n"/>
      <c r="AK329" s="2070" t="n"/>
      <c r="AL329" s="2192" t="n"/>
      <c r="AM329" s="2070" t="n"/>
      <c r="AN329" s="2192" t="n"/>
      <c r="AO329" s="2070" t="n"/>
      <c r="AP329" s="2192" t="n"/>
      <c r="AQ329" s="2229" t="n"/>
      <c r="AR329" s="2023" t="n"/>
      <c r="AS329" s="2227" t="n"/>
      <c r="AT329" s="5189" t="n"/>
      <c r="AU329" s="3995" t="n"/>
      <c r="AV329" s="2267" t="n"/>
      <c r="AW329" s="2029" t="n"/>
      <c r="AX329">
        <f>CA329&amp;CB329&amp;CC329&amp;CD329&amp;CE329&amp;CF329</f>
        <v/>
      </c>
      <c r="CA329" s="90">
        <f>IF(AND(E329&gt;0,OR(AR329="")),"* No olvide digitar la variable Trans (masculino). Digite Cero si no tiene.",IF(AR329&gt;E329," * La variable Trans (masculino) No puede ser mayor al Total Mujeres.",""))</f>
        <v/>
      </c>
      <c r="CB329" s="126" t="n"/>
      <c r="CC329" s="90">
        <f>IF(AND(C329&gt;0,AT329="")," * No olvide digitar la variable Pueblos originarios. Digite Cero si no tiene.",IF(AT329&gt;C329," * La variable Pueblos originarios No puede ser mayor al Total Ambos Sexos.",""))</f>
        <v/>
      </c>
      <c r="CD329" s="90">
        <f>IF(AND(C329&gt;0,AU329="")," * No olvide digitar la variable Migrantes. Digite Cero si no tiene.",IF(AU329&gt;C329," * La variable Migrantes No puede ser mayor al Total Ambos Sexos.",""))</f>
        <v/>
      </c>
      <c r="CE329" s="90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/>
      </c>
      <c r="CP329" s="252" t="n"/>
      <c r="CQ329" s="221">
        <f>IF(AND(C329&gt;0,AT329=""),1,IF(AT329&gt;C329,1,0))</f>
        <v/>
      </c>
      <c r="CR329" s="221">
        <f>IF(AND(C329&gt;0,AU329=""),1,IF(AU329&gt;C329,1,0))</f>
        <v/>
      </c>
      <c r="CS329" s="221">
        <f>IF(AND(C329&gt;0,AV329=""),1,IF(AV329&gt;C329,1,0))</f>
        <v/>
      </c>
      <c r="CT329" s="221">
        <f>IF(AND(C329&gt;0,AW329=""),1,IF(AW329&gt;C329,1,0))</f>
        <v/>
      </c>
    </row>
    <row r="330">
      <c r="A330" s="9610" t="n"/>
      <c r="B330" s="2182" t="inlineStr">
        <is>
          <t>No Gestantes</t>
        </is>
      </c>
      <c r="C330" s="1383">
        <f>SUM(D330+E330)</f>
        <v/>
      </c>
      <c r="D330" s="2135">
        <f>SUM(F330+H330+J330+L330+N330+P330+R330+T330+V330+X330+Z330+AB330+AD330+AF330+AH330+AJ330+AL330+AN330+AP330)</f>
        <v/>
      </c>
      <c r="E330" s="1984">
        <f>SUM(G330+I330+K330+M330+O330+Q330+S330+U330+W330+Y330+AA330+AC330+AE330+AG330+AI330+AK330+AM330+AO330+AQ330)</f>
        <v/>
      </c>
      <c r="F330" s="645" t="n"/>
      <c r="G330" s="204" t="n"/>
      <c r="H330" s="645" t="n"/>
      <c r="I330" s="204" t="n"/>
      <c r="J330" s="645" t="n"/>
      <c r="K330" s="2057" t="n"/>
      <c r="L330" s="645" t="n"/>
      <c r="M330" s="37" t="n"/>
      <c r="N330" s="645" t="n"/>
      <c r="O330" s="2057" t="n"/>
      <c r="P330" s="645" t="n"/>
      <c r="Q330" s="204" t="n"/>
      <c r="R330" s="645" t="n"/>
      <c r="S330" s="204" t="n"/>
      <c r="T330" s="645" t="n"/>
      <c r="U330" s="204" t="n"/>
      <c r="V330" s="645" t="n"/>
      <c r="W330" s="204" t="n"/>
      <c r="X330" s="645" t="n"/>
      <c r="Y330" s="204" t="n"/>
      <c r="Z330" s="645" t="n"/>
      <c r="AA330" s="204" t="n"/>
      <c r="AB330" s="645" t="n"/>
      <c r="AC330" s="204" t="n"/>
      <c r="AD330" s="645" t="n"/>
      <c r="AE330" s="204" t="n"/>
      <c r="AF330" s="645" t="n"/>
      <c r="AG330" s="204" t="n"/>
      <c r="AH330" s="645" t="n"/>
      <c r="AI330" s="204" t="n"/>
      <c r="AJ330" s="645" t="n"/>
      <c r="AK330" s="204" t="n"/>
      <c r="AL330" s="645" t="n"/>
      <c r="AM330" s="204" t="n"/>
      <c r="AN330" s="645" t="n"/>
      <c r="AO330" s="204" t="n"/>
      <c r="AP330" s="645" t="n"/>
      <c r="AQ330" s="43" t="n"/>
      <c r="AR330" s="204" t="n"/>
      <c r="AS330" s="2057" t="n"/>
      <c r="AT330" s="670" t="n"/>
      <c r="AU330" s="5396" t="n"/>
      <c r="AV330" s="204" t="n"/>
      <c r="AW330" s="2057" t="n"/>
      <c r="AX330">
        <f>CA330&amp;CB330&amp;CC330&amp;CD330&amp;CE330&amp;CF330</f>
        <v/>
      </c>
      <c r="CA330" s="90">
        <f>IF(AND(E330&gt;0,OR(AR330="")),"* No olvide digitar la variable Trans (masculino). Digite Cero si no tiene.",IF(AR330&gt;E330," * La variable Trans (masculino) No puede ser mayor al Total Mujeres.",""))</f>
        <v/>
      </c>
      <c r="CB330" s="90">
        <f>IF(AND(D330&gt;0,OR(AS330="")),"* No olvide digitar la variable Trans (Femenino). Digite Cero si no tiene.",IF(AS330&gt;D330," * La variable Trans (Femenino) No puede ser mayor al Total Hombres.",""))</f>
        <v/>
      </c>
      <c r="CC330" s="90">
        <f>IF(AND(C330&gt;0,AT330="")," * No olvide digitar la variable Pueblos originarios. Digite Cero si no tiene.",IF(AT330&gt;C330," * La variable Pueblos originarios No puede ser mayor al Total Ambos Sexos.",""))</f>
        <v/>
      </c>
      <c r="CD330" s="90">
        <f>IF(AND(C330&gt;0,AU330="")," * No olvide digitar la variable Migrantes. Digite Cero si no tiene.",IF(AU330&gt;C330," * La variable Migrantes No puede ser mayor al Total Ambos Sexos.",""))</f>
        <v/>
      </c>
      <c r="CE330" s="90">
        <f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>
        <f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/>
      </c>
      <c r="CP330" s="221">
        <f>IF(AND(D330&gt;0,OR(AS330="")),1,IF(AS330&gt;D330,1,0))</f>
        <v/>
      </c>
      <c r="CQ330" s="221">
        <f>IF(AND(C330&gt;0,AT330=""),1,IF(AT330&gt;C330,1,0))</f>
        <v/>
      </c>
      <c r="CR330" s="221">
        <f>IF(AND(C330&gt;0,AU330=""),1,IF(AU330&gt;C330,1,0))</f>
        <v/>
      </c>
      <c r="CS330" s="221">
        <f>IF(AND(C330&gt;0,AV330=""),1,IF(AV330&gt;C330,1,0))</f>
        <v/>
      </c>
      <c r="CT330" s="221">
        <f>IF(AND(C330&gt;0,AW330=""),1,IF(AW330&gt;C330,1,0))</f>
        <v/>
      </c>
    </row>
    <row r="331">
      <c r="A331" s="10007" t="inlineStr">
        <is>
          <t>Reingresos por abandono</t>
        </is>
      </c>
      <c r="B331" s="9647" t="n"/>
      <c r="C331" s="1988">
        <f>SUM(D331+E331)</f>
        <v/>
      </c>
      <c r="D331" s="2046">
        <f>SUM(F331+H331+J331+L331+N331+P331+R331+T331+V331+X331+Z331+AB331+AD331+AF331+AH331+AJ331+AL331+AN331+AP331)</f>
        <v/>
      </c>
      <c r="E331" s="2147">
        <f>SUM(G331+I331+K331+M331+O331+Q331+S331+U331+W331+Y331+AA331+AC331+AE331+AG331+AI331+AK331+AM331+AO331+AQ331)</f>
        <v/>
      </c>
      <c r="F331" s="2036" t="n"/>
      <c r="G331" s="2038" t="n"/>
      <c r="H331" s="2036" t="n"/>
      <c r="I331" s="2038" t="n"/>
      <c r="J331" s="2036" t="n"/>
      <c r="K331" s="2039" t="n"/>
      <c r="L331" s="2036" t="n"/>
      <c r="M331" s="2172" t="n"/>
      <c r="N331" s="2036" t="n"/>
      <c r="O331" s="2039" t="n"/>
      <c r="P331" s="2036" t="n"/>
      <c r="Q331" s="2038" t="n"/>
      <c r="R331" s="2036" t="n"/>
      <c r="S331" s="2038" t="n"/>
      <c r="T331" s="2036" t="n"/>
      <c r="U331" s="2038" t="n"/>
      <c r="V331" s="2036" t="n"/>
      <c r="W331" s="2038" t="n"/>
      <c r="X331" s="2036" t="n"/>
      <c r="Y331" s="2038" t="n"/>
      <c r="Z331" s="2036" t="n"/>
      <c r="AA331" s="2038" t="n"/>
      <c r="AB331" s="2036" t="n"/>
      <c r="AC331" s="2038" t="n"/>
      <c r="AD331" s="2036" t="n"/>
      <c r="AE331" s="2038" t="n"/>
      <c r="AF331" s="2036" t="n"/>
      <c r="AG331" s="2038" t="n"/>
      <c r="AH331" s="2036" t="n"/>
      <c r="AI331" s="2038" t="n"/>
      <c r="AJ331" s="2036" t="n"/>
      <c r="AK331" s="2038" t="n"/>
      <c r="AL331" s="2036" t="n"/>
      <c r="AM331" s="2038" t="n"/>
      <c r="AN331" s="2036" t="n"/>
      <c r="AO331" s="2038" t="n"/>
      <c r="AP331" s="2036" t="n"/>
      <c r="AQ331" s="2268" t="n"/>
      <c r="AR331" s="2038" t="n"/>
      <c r="AS331" s="2039" t="n"/>
      <c r="AT331" s="5207" t="n"/>
      <c r="AU331" s="5397" t="n"/>
      <c r="AV331" s="2038" t="n"/>
      <c r="AW331" s="2039" t="n"/>
      <c r="AX331">
        <f>CA331&amp;CB331&amp;CC331&amp;CD331&amp;CE331&amp;CF331</f>
        <v/>
      </c>
      <c r="CA331" s="90">
        <f>IF(AND(E331&gt;0,OR(AR331="")),"* No olvide digitar la variable Trans (masculino). Digite Cero si no tiene.",IF(AR331&gt;E331," * La variable Trans (masculino) No puede ser mayor al Total Mujeres.",""))</f>
        <v/>
      </c>
      <c r="CB331" s="90">
        <f>IF(AND(D331&gt;0,OR(AS331="")),"* No olvide digitar la variable Trans (Femenino). Digite Cero si no tiene.",IF(AS331&gt;D331," * La variable Trans (Femenino) No puede ser mayor al Total Hombres.",""))</f>
        <v/>
      </c>
      <c r="CC331" s="90">
        <f>IF(AND(C331&gt;0,AT331="")," * No olvide digitar la variable Pueblos originarios. Digite Cero si no tiene.",IF(AT331&gt;C331," * La variable Pueblos originarios No puede ser mayor al Total Ambos Sexos.",""))</f>
        <v/>
      </c>
      <c r="CD331" s="90">
        <f>IF(AND(C331&gt;0,AU331="")," * No olvide digitar la variable Migrantes. Digite Cero si no tiene.",IF(AU331&gt;C331," * La variable Migrantes No puede ser mayor al Total Ambos Sexos.",""))</f>
        <v/>
      </c>
      <c r="CE331" s="90">
        <f>IF(AND(C331&gt;0,AV331="")," * No olvide digitar la variable SENAME/ Servicio Nacional de Reinserción social Juvenil . Digite Cero si no tiene.",IF(AV331&gt;C331," * La variable SENAME/ Servicio Nacional de Reinserción social Juvenil No puede ser mayor al Total Ambos Sexos.",""))</f>
        <v/>
      </c>
      <c r="CF331" s="90">
        <f>IF(AND(C331&gt;0,AW331="")," * No olvide digitar la variable Servicio Nacional Protección Especializada a la Niñez y Adolescencia. Digite Cero si no tiene.",IF(AW331&gt;C331," * La variable Servicio Nacional Protección Especializada a la Niñez y Adolescencia No puede ser mayor al Total Ambos Sexos.",""))</f>
        <v/>
      </c>
      <c r="CO331" s="221">
        <f>IF(AND(E331&gt;0,OR(AR331="")),1,IF(AR331&gt;E331,1,0))</f>
        <v/>
      </c>
      <c r="CP331" s="221">
        <f>IF(AND(D331&gt;0,OR(AS331="")),1,IF(AS331&gt;D331,1,0))</f>
        <v/>
      </c>
      <c r="CQ331" s="221">
        <f>IF(AND(C331&gt;0,AT331=""),1,IF(AT331&gt;C331,1,0))</f>
        <v/>
      </c>
      <c r="CR331" s="221">
        <f>IF(AND(C331&gt;0,AU331=""),1,IF(AU331&gt;C331,1,0))</f>
        <v/>
      </c>
      <c r="CS331" s="221">
        <f>IF(AND(C331&gt;0,AV331=""),1,IF(AV331&gt;C331,1,0))</f>
        <v/>
      </c>
      <c r="CT331" s="221">
        <f>IF(AND(C331&gt;0,AW331=""),1,IF(AW331&gt;C331,1,0))</f>
        <v/>
      </c>
    </row>
    <row r="332">
      <c r="A332" s="10008" t="inlineStr">
        <is>
          <t>Total egresos</t>
        </is>
      </c>
      <c r="B332" s="9647" t="n"/>
      <c r="C332" s="1988">
        <f>SUM(D332+E332)</f>
        <v/>
      </c>
      <c r="D332" s="2046">
        <f>SUM(F332+H332+J332+L332+N332+P332+R332+T332+V332+X332+Z332+AB332+AD332+AF332+AH332+AJ332+AL332+AN332+AP332)</f>
        <v/>
      </c>
      <c r="E332" s="2147">
        <f>SUM(G332+I332+K332+M332+O332+Q332+S332+U332+W332+Y332+AA332+AC332+AE332+AG332+AI332+AK332+AM332+AO332+AQ332)</f>
        <v/>
      </c>
      <c r="F332" s="2036" t="n"/>
      <c r="G332" s="2038" t="n"/>
      <c r="H332" s="2036" t="n"/>
      <c r="I332" s="2038" t="n"/>
      <c r="J332" s="2036" t="n"/>
      <c r="K332" s="2039" t="n"/>
      <c r="L332" s="2036" t="n"/>
      <c r="M332" s="2172" t="n"/>
      <c r="N332" s="2036" t="n"/>
      <c r="O332" s="2039" t="n"/>
      <c r="P332" s="2036" t="n"/>
      <c r="Q332" s="2038" t="n"/>
      <c r="R332" s="2036" t="n"/>
      <c r="S332" s="2038" t="n"/>
      <c r="T332" s="2036" t="n"/>
      <c r="U332" s="2038" t="n"/>
      <c r="V332" s="2036" t="n"/>
      <c r="W332" s="2038" t="n"/>
      <c r="X332" s="2036" t="n"/>
      <c r="Y332" s="2038" t="n"/>
      <c r="Z332" s="2036" t="n"/>
      <c r="AA332" s="2038" t="n"/>
      <c r="AB332" s="2036" t="n"/>
      <c r="AC332" s="2038" t="n"/>
      <c r="AD332" s="2036" t="n"/>
      <c r="AE332" s="2038" t="n"/>
      <c r="AF332" s="2036" t="n"/>
      <c r="AG332" s="2038" t="n"/>
      <c r="AH332" s="2036" t="n"/>
      <c r="AI332" s="2038" t="n"/>
      <c r="AJ332" s="2036" t="n"/>
      <c r="AK332" s="2038" t="n"/>
      <c r="AL332" s="2036" t="n"/>
      <c r="AM332" s="2038" t="n"/>
      <c r="AN332" s="2036" t="n"/>
      <c r="AO332" s="2038" t="n"/>
      <c r="AP332" s="2036" t="n"/>
      <c r="AQ332" s="2268" t="n"/>
      <c r="AR332" s="2038" t="n"/>
      <c r="AS332" s="2039" t="n"/>
      <c r="AT332" s="5207" t="n"/>
      <c r="AU332" s="5397" t="n"/>
      <c r="AV332" s="2038" t="n"/>
      <c r="AW332" s="2039" t="n"/>
      <c r="AX332">
        <f>CA332&amp;CB332&amp;CC332&amp;CD332&amp;CE332&amp;CF332</f>
        <v/>
      </c>
      <c r="CA332" s="90">
        <f>IF(AND(E332&gt;0,OR(AR332="")),"* No olvide digitar la variable Trans (masculino). Digite Cero si no tiene.",IF(AR332&gt;E332," * La variable Trans (masculino) No puede ser mayor al Total Mujeres.",""))</f>
        <v/>
      </c>
      <c r="CB332" s="90">
        <f>IF(AND(D332&gt;0,OR(AS332="")),"* No olvide digitar la variable Trans (Femenino). Digite Cero si no tiene.",IF(AS332&gt;D332," * La variable Trans (Femenino) No puede ser mayor al Total Hombres.",""))</f>
        <v/>
      </c>
      <c r="CC332" s="90">
        <f>IF(AND(C332&gt;0,AT332="")," * No olvide digitar la variable Pueblos originarios. Digite Cero si no tiene.",IF(AT332&gt;C332," * La variable Pueblos originarios No puede ser mayor al Total Ambos Sexos.",""))</f>
        <v/>
      </c>
      <c r="CD332" s="90">
        <f>IF(AND(C332&gt;0,AU332="")," * No olvide digitar la variable Migrantes. Digite Cero si no tiene.",IF(AU332&gt;C332," * La variable Migrantes No puede ser mayor al Total Ambos Sexos.",""))</f>
        <v/>
      </c>
      <c r="CE332" s="90">
        <f>IF(AND(C332&gt;0,AV332="")," * No olvide digitar la variable SENAME/ Servicio Nacional de Reinserción social Juvenil . Digite Cero si no tiene.",IF(AV332&gt;C332," * La variable SENAME/ Servicio Nacional de Reinserción social Juvenil No puede ser mayor al Total Ambos Sexos.",""))</f>
        <v/>
      </c>
      <c r="CF332" s="90">
        <f>IF(AND(C332&gt;0,AW332="")," * No olvide digitar la variable Servicio Nacional Protección Especializada a la Niñez y Adolescencia. Digite Cero si no tiene.",IF(AW332&gt;C332," * La variable Servicio Nacional Protección Especializada a la Niñez y Adolescencia No puede ser mayor al Total Ambos Sexos.",""))</f>
        <v/>
      </c>
      <c r="CO332" s="221">
        <f>IF(AND(E332&gt;0,OR(AR332="")),1,IF(AR332&gt;E332,1,0))</f>
        <v/>
      </c>
      <c r="CP332" s="221">
        <f>IF(AND(D332&gt;0,OR(AS332="")),1,IF(AS332&gt;D332,1,0))</f>
        <v/>
      </c>
      <c r="CQ332" s="221">
        <f>IF(AND(C332&gt;0,AT332=""),1,IF(AT332&gt;C332,1,0))</f>
        <v/>
      </c>
      <c r="CR332" s="221">
        <f>IF(AND(C332&gt;0,AU332=""),1,IF(AU332&gt;C332,1,0))</f>
        <v/>
      </c>
      <c r="CS332" s="221">
        <f>IF(AND(C332&gt;0,AV332=""),1,IF(AV332&gt;C332,1,0))</f>
        <v/>
      </c>
      <c r="CT332" s="221">
        <f>IF(AND(C332&gt;0,AW332=""),1,IF(AW332&gt;C332,1,0))</f>
        <v/>
      </c>
    </row>
    <row r="333">
      <c r="A333" s="9995" t="inlineStr">
        <is>
          <t>Egresos por Fallecimiento (Incluido en Total Egresos)</t>
        </is>
      </c>
      <c r="B333" s="9935" t="n"/>
      <c r="C333" s="1978">
        <f>SUM(D333+E333)</f>
        <v/>
      </c>
      <c r="D333" s="796">
        <f>SUM(F333+H333+J333+L333+N333+P333+R333+T333+V333+X333+Z333+AB333+AD333+AF333+AH333+AJ333+AL333+AN333+AP333)</f>
        <v/>
      </c>
      <c r="E333" s="8322">
        <f>SUM(G333+I333+K333+M333+O333+Q333+S333+U333+W333+Y333+AA333+AC333+AE333+AG333+AI333+AK333+AM333+AO333+AQ333)</f>
        <v/>
      </c>
      <c r="F333" s="1935" t="n"/>
      <c r="G333" s="1432" t="n"/>
      <c r="H333" s="1935" t="n"/>
      <c r="I333" s="1432" t="n"/>
      <c r="J333" s="1935" t="n"/>
      <c r="K333" s="1186" t="n"/>
      <c r="L333" s="1935" t="n"/>
      <c r="M333" s="36" t="n"/>
      <c r="N333" s="1935" t="n"/>
      <c r="O333" s="1186" t="n"/>
      <c r="P333" s="1935" t="n"/>
      <c r="Q333" s="1432" t="n"/>
      <c r="R333" s="1935" t="n"/>
      <c r="S333" s="1432" t="n"/>
      <c r="T333" s="1935" t="n"/>
      <c r="U333" s="1432" t="n"/>
      <c r="V333" s="1935" t="n"/>
      <c r="W333" s="1432" t="n"/>
      <c r="X333" s="1935" t="n"/>
      <c r="Y333" s="1432" t="n"/>
      <c r="Z333" s="1935" t="n"/>
      <c r="AA333" s="1432" t="n"/>
      <c r="AB333" s="1935" t="n"/>
      <c r="AC333" s="1432" t="n"/>
      <c r="AD333" s="1935" t="n"/>
      <c r="AE333" s="1432" t="n"/>
      <c r="AF333" s="1935" t="n"/>
      <c r="AG333" s="1432" t="n"/>
      <c r="AH333" s="1935" t="n"/>
      <c r="AI333" s="1432" t="n"/>
      <c r="AJ333" s="1935" t="n"/>
      <c r="AK333" s="1432" t="n"/>
      <c r="AL333" s="1935" t="n"/>
      <c r="AM333" s="1432" t="n"/>
      <c r="AN333" s="1935" t="n"/>
      <c r="AO333" s="1432" t="n"/>
      <c r="AP333" s="1935" t="n"/>
      <c r="AQ333" s="1297" t="n"/>
      <c r="AR333" s="1432" t="n"/>
      <c r="AS333" s="1186" t="n"/>
      <c r="AT333" s="1964" t="n"/>
      <c r="AU333" s="2648" t="n"/>
      <c r="AV333" s="1432" t="n"/>
      <c r="AW333" s="1186" t="n"/>
      <c r="AX333">
        <f>CA333&amp;CB333&amp;CC333&amp;CD333&amp;CE333&amp;CF333</f>
        <v/>
      </c>
      <c r="CA333" s="90">
        <f>IF(AND(E333&gt;0,OR(AR333="")),"* No olvide digitar la variable Trans (masculino). Digite Cero si no tiene.",IF(AR333&gt;E333," * La variable Trans (masculino) No puede ser mayor al Total Mujeres.",""))</f>
        <v/>
      </c>
      <c r="CB333" s="90">
        <f>IF(AND(D333&gt;0,OR(AS333="")),"* No olvide digitar la variable Trans (Femenino). Digite Cero si no tiene.",IF(AS333&gt;D333," * La variable Trans (Femenino) No puede ser mayor al Total Hombres.",""))</f>
        <v/>
      </c>
      <c r="CC333" s="90">
        <f>IF(AND(C333&gt;0,AT333="")," * No olvide digitar la variable Pueblos originarios. Digite Cero si no tiene.",IF(AT333&gt;C333," * La variable Pueblos originarios No puede ser mayor al Total Ambos Sexos.",""))</f>
        <v/>
      </c>
      <c r="CD333" s="90">
        <f>IF(AND(C333&gt;0,AU333="")," * No olvide digitar la variable Migrantes. Digite Cero si no tiene.",IF(AU333&gt;C333," * La variable Migrantes No puede ser mayor al Total Ambos Sexos.",""))</f>
        <v/>
      </c>
      <c r="CE333" s="90">
        <f>IF(AND(C333&gt;0,AV333="")," * No olvide digitar la variable SENAME/ Servicio Nacional de Reinserción social Juvenil . Digite Cero si no tiene.",IF(AV333&gt;C333," * La variable SENAME/ Servicio Nacional de Reinserción social Juvenil No puede ser mayor al Total Ambos Sexos.",""))</f>
        <v/>
      </c>
      <c r="CF333" s="90">
        <f>IF(AND(C333&gt;0,AW333="")," * No olvide digitar la variable Servicio Nacional Protección Especializada a la Niñez y Adolescencia. Digite Cero si no tiene.",IF(AW333&gt;C333," * La variable Servicio Nacional Protección Especializada a la Niñez y Adolescencia No puede ser mayor al Total Ambos Sexos.",""))</f>
        <v/>
      </c>
      <c r="CO333" s="221">
        <f>IF(AND(E333&gt;0,OR(AR333="")),1,IF(AR333&gt;E333,1,0))</f>
        <v/>
      </c>
      <c r="CP333" s="221">
        <f>IF(AND(D333&gt;0,OR(AS333="")),1,IF(AS333&gt;D333,1,0))</f>
        <v/>
      </c>
      <c r="CQ333" s="221">
        <f>IF(AND(C333&gt;0,AT333=""),1,IF(AT333&gt;C333,1,0))</f>
        <v/>
      </c>
      <c r="CR333" s="221">
        <f>IF(AND(C333&gt;0,AU333=""),1,IF(AU333&gt;C333,1,0))</f>
        <v/>
      </c>
      <c r="CS333" s="221">
        <f>IF(AND(C333&gt;0,AV333=""),1,IF(AV333&gt;C333,1,0))</f>
        <v/>
      </c>
      <c r="CT333" s="221">
        <f>IF(AND(C333&gt;0,AW333=""),1,IF(AW333&gt;C333,1,0))</f>
        <v/>
      </c>
    </row>
    <row r="334">
      <c r="A334" s="10009" t="inlineStr">
        <is>
          <t>Egresos por Alta Hijo VIH (-) de Madre VIH (+)Incluido en Total Egresos</t>
        </is>
      </c>
      <c r="B334" s="9720" t="n"/>
      <c r="C334" s="1360">
        <f>SUM(D334+E334)</f>
        <v/>
      </c>
      <c r="D334" s="1358">
        <f>SUM(F334+H334+J334+L334)</f>
        <v/>
      </c>
      <c r="E334" s="7764">
        <f>SUM(G334+I334+K334+M334)</f>
        <v/>
      </c>
      <c r="F334" s="1188" t="n"/>
      <c r="G334" s="1193" t="n"/>
      <c r="H334" s="1188" t="n"/>
      <c r="I334" s="1193" t="n"/>
      <c r="J334" s="1188" t="n"/>
      <c r="K334" s="1192" t="n"/>
      <c r="L334" s="1188" t="n"/>
      <c r="M334" s="1227" t="n"/>
      <c r="N334" s="2270" t="n"/>
      <c r="O334" s="1389" t="n"/>
      <c r="P334" s="1389" t="n"/>
      <c r="Q334" s="1389" t="n"/>
      <c r="R334" s="1389" t="n"/>
      <c r="S334" s="1389" t="n"/>
      <c r="T334" s="1389" t="n"/>
      <c r="U334" s="1389" t="n"/>
      <c r="V334" s="1389" t="n"/>
      <c r="W334" s="1389" t="n"/>
      <c r="X334" s="1389" t="n"/>
      <c r="Y334" s="1389" t="n"/>
      <c r="Z334" s="1389" t="n"/>
      <c r="AA334" s="1389" t="n"/>
      <c r="AB334" s="1389" t="n"/>
      <c r="AC334" s="1389" t="n"/>
      <c r="AD334" s="1389" t="n"/>
      <c r="AE334" s="1389" t="n"/>
      <c r="AF334" s="1389" t="n"/>
      <c r="AG334" s="1389" t="n"/>
      <c r="AH334" s="1389" t="n"/>
      <c r="AI334" s="1389" t="n"/>
      <c r="AJ334" s="1389" t="n"/>
      <c r="AK334" s="1389" t="n"/>
      <c r="AL334" s="1389" t="n"/>
      <c r="AM334" s="1389" t="n"/>
      <c r="AN334" s="1389" t="n"/>
      <c r="AO334" s="1389" t="n"/>
      <c r="AP334" s="1389" t="n"/>
      <c r="AQ334" s="1389" t="n"/>
      <c r="AR334" s="2271" t="n"/>
      <c r="AS334" s="1314" t="n"/>
      <c r="AT334" s="1223" t="n"/>
      <c r="AU334" s="1296" t="n"/>
      <c r="AV334" s="1193" t="n"/>
      <c r="AW334" s="1192" t="n"/>
      <c r="AX334">
        <f>CA334&amp;CB334&amp;CC334&amp;CD334&amp;CE334&amp;CF334</f>
        <v/>
      </c>
      <c r="CA334" s="126" t="n"/>
      <c r="CB334" s="126" t="n"/>
      <c r="CC334" s="90">
        <f>IF(AND(C334&gt;0,AT334="")," * No olvide digitar la variable Pueblos originarios. Digite Cero si no tiene.",IF(AT334&gt;C334," * La variable Pueblos originarios No puede ser mayor al Total Ambos Sexos.",""))</f>
        <v/>
      </c>
      <c r="CD334" s="90">
        <f>IF(AND(C334&gt;0,AU334="")," * No olvide digitar la variable Migrantes. Digite Cero si no tiene.",IF(AU334&gt;C334," * La variable Migrantes No puede ser mayor al Total Ambos Sexos.",""))</f>
        <v/>
      </c>
      <c r="CE334" s="90">
        <f>IF(AND(C334&gt;0,AV334="")," * No olvide digitar la variable SENAME/ Servicio Nacional de Reinserción social Juvenil . Digite Cero si no tiene.",IF(AV334&gt;C334," * La variable SENAME/ Servicio Nacional de Reinserción social Juvenil No puede ser mayor al Total Ambos Sexos.",""))</f>
        <v/>
      </c>
      <c r="CF334" s="90">
        <f>IF(AND(C334&gt;0,AW334="")," * No olvide digitar la variable Servicio Nacional Protección Especializada a la Niñez y Adolescencia. Digite Cero si no tiene.",IF(AW334&gt;C334," * La variable Servicio Nacional Protección Especializada a la Niñez y Adolescencia No puede ser mayor al Total Ambos Sexos.",""))</f>
        <v/>
      </c>
      <c r="CO334" s="262" t="n"/>
      <c r="CP334" s="252" t="n"/>
      <c r="CQ334" s="221">
        <f>IF(AND(C334&gt;0,AT334=""),1,IF(AT334&gt;C334,1,0))</f>
        <v/>
      </c>
      <c r="CR334" s="221">
        <f>IF(AND(C334&gt;0,AU334=""),1,IF(AU334&gt;C334,1,0))</f>
        <v/>
      </c>
      <c r="CS334" s="221">
        <f>IF(AND(C334&gt;0,AV334=""),1,IF(AV334&gt;C334,1,0))</f>
        <v/>
      </c>
      <c r="CT334" s="221">
        <f>IF(AND(C334&gt;0,AW334=""),1,IF(AW334&gt;C334,1,0))</f>
        <v/>
      </c>
    </row>
    <row r="335">
      <c r="A335" s="9989" t="inlineStr">
        <is>
          <t>Evaluación Movilidad Programa</t>
        </is>
      </c>
      <c r="B335" s="7832" t="inlineStr">
        <is>
          <t>Abandono Controles</t>
        </is>
      </c>
      <c r="C335" s="1978">
        <f>SUM(D335+E335)</f>
        <v/>
      </c>
      <c r="D335" s="796">
        <f>SUM(F335+H335+J335+L335+N335+P335+R335+T335+V335+X335+Z335+AB335+AD335+AF335+AH335+AJ335+AL335+AN335+AP335)</f>
        <v/>
      </c>
      <c r="E335" s="8322">
        <f>SUM(G335+I335+K335+M335+O335+Q335+S335+U335+W335+Y335+AA335+AC335+AE335+AG335+AI335+AK335+AM335+AO335+AQ335)</f>
        <v/>
      </c>
      <c r="F335" s="1935" t="n"/>
      <c r="G335" s="1432" t="n"/>
      <c r="H335" s="1935" t="n"/>
      <c r="I335" s="1432" t="n"/>
      <c r="J335" s="1935" t="n"/>
      <c r="K335" s="1186" t="n"/>
      <c r="L335" s="1935" t="n"/>
      <c r="M335" s="36" t="n"/>
      <c r="N335" s="1935" t="n"/>
      <c r="O335" s="1186" t="n"/>
      <c r="P335" s="1935" t="n"/>
      <c r="Q335" s="1432" t="n"/>
      <c r="R335" s="1935" t="n"/>
      <c r="S335" s="1432" t="n"/>
      <c r="T335" s="1935" t="n"/>
      <c r="U335" s="1432" t="n"/>
      <c r="V335" s="1935" t="n"/>
      <c r="W335" s="1432" t="n"/>
      <c r="X335" s="1935" t="n"/>
      <c r="Y335" s="1432" t="n"/>
      <c r="Z335" s="1935" t="n"/>
      <c r="AA335" s="1432" t="n"/>
      <c r="AB335" s="1935" t="n"/>
      <c r="AC335" s="1432" t="n"/>
      <c r="AD335" s="1935" t="n"/>
      <c r="AE335" s="1432" t="n"/>
      <c r="AF335" s="1935" t="n"/>
      <c r="AG335" s="1432" t="n"/>
      <c r="AH335" s="1935" t="n"/>
      <c r="AI335" s="1432" t="n"/>
      <c r="AJ335" s="1935" t="n"/>
      <c r="AK335" s="1432" t="n"/>
      <c r="AL335" s="1935" t="n"/>
      <c r="AM335" s="1432" t="n"/>
      <c r="AN335" s="1935" t="n"/>
      <c r="AO335" s="1432" t="n"/>
      <c r="AP335" s="1935" t="n"/>
      <c r="AQ335" s="1297" t="n"/>
      <c r="AR335" s="1432" t="n"/>
      <c r="AS335" s="1186" t="n"/>
      <c r="AT335" s="1964" t="n"/>
      <c r="AU335" s="2648" t="n"/>
      <c r="AV335" s="1432" t="n"/>
      <c r="AW335" s="1186" t="n"/>
      <c r="AX335">
        <f>CA335&amp;CB335&amp;CC335&amp;CD335&amp;CE335&amp;CF335</f>
        <v/>
      </c>
      <c r="CA335" s="90">
        <f>IF(AND(E335&gt;0,OR(AR335="")),"* No olvide digitar la variable Trans (masculino). Digite Cero si no tiene.",IF(AR335&gt;E335," * La variable Trans (masculino) No puede ser mayor al Total Mujeres.",""))</f>
        <v/>
      </c>
      <c r="CB335" s="90">
        <f>IF(AND(D335&gt;0,OR(AS335="")),"* No olvide digitar la variable Trans (Femenino). Digite Cero si no tiene.",IF(AS335&gt;D335," * La variable Trans (Femenino) No puede ser mayor al Total Hombres.",""))</f>
        <v/>
      </c>
      <c r="CC335" s="90">
        <f>IF(AND(C335&gt;0,AT335="")," * No olvide digitar la variable Pueblos originarios. Digite Cero si no tiene.",IF(AT335&gt;C335," * La variable Pueblos originarios No puede ser mayor al Total Ambos Sexos.",""))</f>
        <v/>
      </c>
      <c r="CD335" s="90">
        <f>IF(AND(C335&gt;0,AU335="")," * No olvide digitar la variable Migrantes. Digite Cero si no tiene.",IF(AU335&gt;C335," * La variable Migrantes No puede ser mayor al Total Ambos Sexos.",""))</f>
        <v/>
      </c>
      <c r="CE335" s="90">
        <f>IF(AND(C335&gt;0,AV335="")," * No olvide digitar la variable SENAME/ Servicio Nacional de Reinserción social Juvenil . Digite Cero si no tiene.",IF(AV335&gt;C335," * La variable SENAME/ Servicio Nacional de Reinserción social Juvenil No puede ser mayor al Total Ambos Sexos.",""))</f>
        <v/>
      </c>
      <c r="CF335" s="90">
        <f>IF(AND(C335&gt;0,AW335="")," * No olvide digitar la variable Servicio Nacional Protección Especializada a la Niñez y Adolescencia. Digite Cero si no tiene.",IF(AW335&gt;C335," * La variable Servicio Nacional Protección Especializada a la Niñez y Adolescencia No puede ser mayor al Total Ambos Sexos.",""))</f>
        <v/>
      </c>
      <c r="CO335" s="221">
        <f>IF(AND(E335&gt;0,OR(AR335="")),1,IF(AR335&gt;E335,1,0))</f>
        <v/>
      </c>
      <c r="CP335" s="221">
        <f>IF(AND(D335&gt;0,OR(AS335="")),1,IF(AS335&gt;D335,1,0))</f>
        <v/>
      </c>
      <c r="CQ335" s="221">
        <f>IF(AND(C335&gt;0,AT335=""),1,IF(AT335&gt;C335,1,0))</f>
        <v/>
      </c>
      <c r="CR335" s="221">
        <f>IF(AND(C335&gt;0,AU335=""),1,IF(AU335&gt;C335,1,0))</f>
        <v/>
      </c>
      <c r="CS335" s="221">
        <f>IF(AND(C335&gt;0,AV335=""),1,IF(AV335&gt;C335,1,0))</f>
        <v/>
      </c>
      <c r="CT335" s="221">
        <f>IF(AND(C335&gt;0,AW335=""),1,IF(AW335&gt;C335,1,0))</f>
        <v/>
      </c>
    </row>
    <row r="336">
      <c r="A336" s="9614" t="n"/>
      <c r="B336" s="7749" t="inlineStr">
        <is>
          <t>Abandono Tratamiento</t>
        </is>
      </c>
      <c r="C336" s="1978">
        <f>SUM(D336+E336)</f>
        <v/>
      </c>
      <c r="D336" s="796">
        <f>SUM(F336+H336+J336+L336+N336+P336+R336+T336+V336+X336+Z336+AB336+AD336+AF336+AH336+AJ336+AL336+AN336+AP336)</f>
        <v/>
      </c>
      <c r="E336" s="8322">
        <f>SUM(G336+I336+K336+M336+O336+Q336+S336+U336+W336+Y336+AA336+AC336+AE336+AG336+AI336+AK336+AM336+AO336+AQ336)</f>
        <v/>
      </c>
      <c r="F336" s="1172" t="n"/>
      <c r="G336" s="1174" t="n"/>
      <c r="H336" s="1172" t="n"/>
      <c r="I336" s="1174" t="n"/>
      <c r="J336" s="1172" t="n"/>
      <c r="K336" s="1173" t="n"/>
      <c r="L336" s="1172" t="n"/>
      <c r="M336" s="1222" t="n"/>
      <c r="N336" s="1172" t="n"/>
      <c r="O336" s="1173" t="n"/>
      <c r="P336" s="1172" t="n"/>
      <c r="Q336" s="1174" t="n"/>
      <c r="R336" s="1172" t="n"/>
      <c r="S336" s="1174" t="n"/>
      <c r="T336" s="1172" t="n"/>
      <c r="U336" s="1174" t="n"/>
      <c r="V336" s="1172" t="n"/>
      <c r="W336" s="1174" t="n"/>
      <c r="X336" s="1172" t="n"/>
      <c r="Y336" s="1174" t="n"/>
      <c r="Z336" s="1172" t="n"/>
      <c r="AA336" s="1174" t="n"/>
      <c r="AB336" s="1172" t="n"/>
      <c r="AC336" s="1174" t="n"/>
      <c r="AD336" s="1172" t="n"/>
      <c r="AE336" s="1174" t="n"/>
      <c r="AF336" s="1172" t="n"/>
      <c r="AG336" s="1174" t="n"/>
      <c r="AH336" s="1172" t="n"/>
      <c r="AI336" s="1174" t="n"/>
      <c r="AJ336" s="1172" t="n"/>
      <c r="AK336" s="1174" t="n"/>
      <c r="AL336" s="1172" t="n"/>
      <c r="AM336" s="1174" t="n"/>
      <c r="AN336" s="1172" t="n"/>
      <c r="AO336" s="1174" t="n"/>
      <c r="AP336" s="1172" t="n"/>
      <c r="AQ336" s="1221" t="n"/>
      <c r="AR336" s="1174" t="n"/>
      <c r="AS336" s="1173" t="n"/>
      <c r="AT336" s="3892" t="n"/>
      <c r="AU336" s="5157" t="n"/>
      <c r="AV336" s="1174" t="n"/>
      <c r="AW336" s="1173" t="n"/>
      <c r="AX336">
        <f>CA336&amp;CB336&amp;CC336&amp;CD336&amp;CE336&amp;CF336</f>
        <v/>
      </c>
      <c r="CA336" s="90">
        <f>IF(AND(E336&gt;0,OR(AR336="")),"* No olvide digitar la variable Trans (masculino). Digite Cero si no tiene.",IF(AR336&gt;E336," * La variable Trans (masculino) No puede ser mayor al Total Mujeres.",""))</f>
        <v/>
      </c>
      <c r="CB336" s="90">
        <f>IF(AND(D336&gt;0,OR(AS336="")),"* No olvide digitar la variable Trans (Femenino). Digite Cero si no tiene.",IF(AS336&gt;D336," * La variable Trans (Femenino) No puede ser mayor al Total Hombres.",""))</f>
        <v/>
      </c>
      <c r="CC336" s="90">
        <f>IF(AND(C336&gt;0,AT336="")," * No olvide digitar la variable Pueblos originarios. Digite Cero si no tiene.",IF(AT336&gt;C336," * La variable Pueblos originarios No puede ser mayor al Total Ambos Sexos.",""))</f>
        <v/>
      </c>
      <c r="CD336" s="90">
        <f>IF(AND(C336&gt;0,AU336="")," * No olvide digitar la variable Migrantes. Digite Cero si no tiene.",IF(AU336&gt;C336," * La variable Migrantes No puede ser mayor al Total Ambos Sexos.",""))</f>
        <v/>
      </c>
      <c r="CE336" s="90">
        <f>IF(AND(C336&gt;0,AV336="")," * No olvide digitar la variable SENAME/ Servicio Nacional de Reinserción social Juvenil . Digite Cero si no tiene.",IF(AV336&gt;C336," * La variable SENAME/ Servicio Nacional de Reinserción social Juvenil No puede ser mayor al Total Ambos Sexos.",""))</f>
        <v/>
      </c>
      <c r="CF336" s="90">
        <f>IF(AND(C336&gt;0,AW336="")," * No olvide digitar la variable Servicio Nacional Protección Especializada a la Niñez y Adolescencia. Digite Cero si no tiene.",IF(AW336&gt;C336," * La variable Servicio Nacional Protección Especializada a la Niñez y Adolescencia No puede ser mayor al Total Ambos Sexos.",""))</f>
        <v/>
      </c>
      <c r="CO336" s="221">
        <f>IF(AND(E336&gt;0,OR(AR336="")),1,IF(AR336&gt;E336,1,0))</f>
        <v/>
      </c>
      <c r="CP336" s="221">
        <f>IF(AND(D336&gt;0,OR(AS336="")),1,IF(AS336&gt;D336,1,0))</f>
        <v/>
      </c>
      <c r="CQ336" s="221">
        <f>IF(AND(C336&gt;0,AT336=""),1,IF(AT336&gt;C336,1,0))</f>
        <v/>
      </c>
      <c r="CR336" s="221">
        <f>IF(AND(C336&gt;0,AU336=""),1,IF(AU336&gt;C336,1,0))</f>
        <v/>
      </c>
      <c r="CS336" s="221">
        <f>IF(AND(C336&gt;0,AV336=""),1,IF(AV336&gt;C336,1,0))</f>
        <v/>
      </c>
      <c r="CT336" s="221">
        <f>IF(AND(C336&gt;0,AW336=""),1,IF(AW336&gt;C336,1,0))</f>
        <v/>
      </c>
    </row>
    <row r="337">
      <c r="A337" s="9614" t="n"/>
      <c r="B337" s="7749" t="inlineStr">
        <is>
          <t>Abandono de la Atención</t>
        </is>
      </c>
      <c r="C337" s="1978">
        <f>SUM(D337+E337)</f>
        <v/>
      </c>
      <c r="D337" s="796">
        <f>SUM(F337+H337+J337+L337+N337+P337+R337+T337+V337+X337+Z337+AB337+AD337+AF337+AH337+AJ337+AL337+AN337+AP337)</f>
        <v/>
      </c>
      <c r="E337" s="8322">
        <f>SUM(G337+I337+K337+M337+O337+Q337+S337+U337+W337+Y337+AA337+AC337+AE337+AG337+AI337+AK337+AM337+AO337+AQ337)</f>
        <v/>
      </c>
      <c r="F337" s="1172" t="n"/>
      <c r="G337" s="1174" t="n"/>
      <c r="H337" s="1172" t="n"/>
      <c r="I337" s="1174" t="n"/>
      <c r="J337" s="1172" t="n"/>
      <c r="K337" s="1173" t="n"/>
      <c r="L337" s="1172" t="n"/>
      <c r="M337" s="1222" t="n"/>
      <c r="N337" s="1172" t="n"/>
      <c r="O337" s="1173" t="n"/>
      <c r="P337" s="1172" t="n"/>
      <c r="Q337" s="1174" t="n"/>
      <c r="R337" s="1172" t="n"/>
      <c r="S337" s="1174" t="n"/>
      <c r="T337" s="1172" t="n"/>
      <c r="U337" s="1174" t="n"/>
      <c r="V337" s="1172" t="n"/>
      <c r="W337" s="1174" t="n"/>
      <c r="X337" s="1172" t="n"/>
      <c r="Y337" s="1174" t="n"/>
      <c r="Z337" s="1172" t="n"/>
      <c r="AA337" s="1174" t="n"/>
      <c r="AB337" s="1172" t="n"/>
      <c r="AC337" s="1174" t="n"/>
      <c r="AD337" s="1172" t="n"/>
      <c r="AE337" s="1174" t="n"/>
      <c r="AF337" s="1172" t="n"/>
      <c r="AG337" s="1174" t="n"/>
      <c r="AH337" s="1172" t="n"/>
      <c r="AI337" s="1174" t="n"/>
      <c r="AJ337" s="1172" t="n"/>
      <c r="AK337" s="1174" t="n"/>
      <c r="AL337" s="1172" t="n"/>
      <c r="AM337" s="1174" t="n"/>
      <c r="AN337" s="1172" t="n"/>
      <c r="AO337" s="1174" t="n"/>
      <c r="AP337" s="1172" t="n"/>
      <c r="AQ337" s="1221" t="n"/>
      <c r="AR337" s="1174" t="n"/>
      <c r="AS337" s="1173" t="n"/>
      <c r="AT337" s="3892" t="n"/>
      <c r="AU337" s="5157" t="n"/>
      <c r="AV337" s="1174" t="n"/>
      <c r="AW337" s="1173" t="n"/>
      <c r="AX337">
        <f>CA337&amp;CB337&amp;CC337&amp;CD337&amp;CE337&amp;CF337</f>
        <v/>
      </c>
      <c r="CA337" s="90">
        <f>IF(AND(E337&gt;0,OR(AR337="")),"* No olvide digitar la variable Trans (masculino). Digite Cero si no tiene.",IF(AR337&gt;E337," * La variable Trans (masculino) No puede ser mayor al Total Mujeres.",""))</f>
        <v/>
      </c>
      <c r="CB337" s="90">
        <f>IF(AND(D337&gt;0,OR(AS337="")),"* No olvide digitar la variable Trans (Femenino). Digite Cero si no tiene.",IF(AS337&gt;D337," * La variable Trans (Femenino) No puede ser mayor al Total Hombres.",""))</f>
        <v/>
      </c>
      <c r="CC337" s="90">
        <f>IF(AND(C337&gt;0,AT337="")," * No olvide digitar la variable Pueblos originarios. Digite Cero si no tiene.",IF(AT337&gt;C337," * La variable Pueblos originarios No puede ser mayor al Total Ambos Sexos.",""))</f>
        <v/>
      </c>
      <c r="CD337" s="90">
        <f>IF(AND(C337&gt;0,AU337="")," * No olvide digitar la variable Migrantes. Digite Cero si no tiene.",IF(AU337&gt;C337," * La variable Migrantes No puede ser mayor al Total Ambos Sexos.",""))</f>
        <v/>
      </c>
      <c r="CE337" s="90">
        <f>IF(AND(C337&gt;0,AV337="")," * No olvide digitar la variable SENAME/ Servicio Nacional de Reinserción social Juvenil . Digite Cero si no tiene.",IF(AV337&gt;C337," * La variable SENAME/ Servicio Nacional de Reinserción social Juvenil No puede ser mayor al Total Ambos Sexos.",""))</f>
        <v/>
      </c>
      <c r="CF337" s="90">
        <f>IF(AND(C337&gt;0,AW337="")," * No olvide digitar la variable Servicio Nacional Protección Especializada a la Niñez y Adolescencia. Digite Cero si no tiene.",IF(AW337&gt;C337," * La variable Servicio Nacional Protección Especializada a la Niñez y Adolescencia No puede ser mayor al Total Ambos Sexos.",""))</f>
        <v/>
      </c>
      <c r="CO337" s="221">
        <f>IF(AND(E337&gt;0,OR(AR337="")),1,IF(AR337&gt;E337,1,0))</f>
        <v/>
      </c>
      <c r="CP337" s="221">
        <f>IF(AND(D337&gt;0,OR(AS337="")),1,IF(AS337&gt;D337,1,0))</f>
        <v/>
      </c>
      <c r="CQ337" s="221">
        <f>IF(AND(C337&gt;0,AT337=""),1,IF(AT337&gt;C337,1,0))</f>
        <v/>
      </c>
      <c r="CR337" s="221">
        <f>IF(AND(C337&gt;0,AU337=""),1,IF(AU337&gt;C337,1,0))</f>
        <v/>
      </c>
      <c r="CS337" s="221">
        <f>IF(AND(C337&gt;0,AV337=""),1,IF(AV337&gt;C337,1,0))</f>
        <v/>
      </c>
      <c r="CT337" s="221">
        <f>IF(AND(C337&gt;0,AW337=""),1,IF(AW337&gt;C337,1,0))</f>
        <v/>
      </c>
    </row>
    <row r="338">
      <c r="A338" s="9614" t="n"/>
      <c r="B338" s="1209" t="inlineStr">
        <is>
          <t>Ingresos por Traslado</t>
        </is>
      </c>
      <c r="C338" s="1978">
        <f>SUM(D338+E338)</f>
        <v/>
      </c>
      <c r="D338" s="796">
        <f>SUM(F338+H338+J338+L338+N338+P338+R338+T338+V338+X338+Z338+AB338+AD338+AF338+AH338+AJ338+AL338+AN338+AP338)</f>
        <v/>
      </c>
      <c r="E338" s="8322">
        <f>SUM(G338+I338+K338+M338+O338+Q338+S338+U338+W338+Y338+AA338+AC338+AE338+AG338+AI338+AK338+AM338+AO338+AQ338)</f>
        <v/>
      </c>
      <c r="F338" s="1172" t="n"/>
      <c r="G338" s="1174" t="n"/>
      <c r="H338" s="1172" t="n"/>
      <c r="I338" s="1174" t="n"/>
      <c r="J338" s="1172" t="n"/>
      <c r="K338" s="1173" t="n"/>
      <c r="L338" s="1172" t="n"/>
      <c r="M338" s="1222" t="n"/>
      <c r="N338" s="1172" t="n"/>
      <c r="O338" s="1173" t="n"/>
      <c r="P338" s="1172" t="n"/>
      <c r="Q338" s="1174" t="n"/>
      <c r="R338" s="1172" t="n"/>
      <c r="S338" s="1174" t="n"/>
      <c r="T338" s="1172" t="n"/>
      <c r="U338" s="1174" t="n"/>
      <c r="V338" s="1172" t="n"/>
      <c r="W338" s="1174" t="n"/>
      <c r="X338" s="1172" t="n"/>
      <c r="Y338" s="1174" t="n"/>
      <c r="Z338" s="1172" t="n"/>
      <c r="AA338" s="1174" t="n"/>
      <c r="AB338" s="1172" t="n"/>
      <c r="AC338" s="1174" t="n"/>
      <c r="AD338" s="1172" t="n"/>
      <c r="AE338" s="1174" t="n"/>
      <c r="AF338" s="1172" t="n"/>
      <c r="AG338" s="1174" t="n"/>
      <c r="AH338" s="1172" t="n"/>
      <c r="AI338" s="1174" t="n"/>
      <c r="AJ338" s="1172" t="n"/>
      <c r="AK338" s="1174" t="n"/>
      <c r="AL338" s="1172" t="n"/>
      <c r="AM338" s="1174" t="n"/>
      <c r="AN338" s="1172" t="n"/>
      <c r="AO338" s="1174" t="n"/>
      <c r="AP338" s="1172" t="n"/>
      <c r="AQ338" s="1221" t="n"/>
      <c r="AR338" s="1174" t="n"/>
      <c r="AS338" s="1173" t="n"/>
      <c r="AT338" s="3892" t="n"/>
      <c r="AU338" s="5157" t="n"/>
      <c r="AV338" s="1174" t="n"/>
      <c r="AW338" s="1173" t="n"/>
      <c r="AX338">
        <f>CA338&amp;CB338&amp;CC338&amp;CD338&amp;CE338&amp;CF338</f>
        <v/>
      </c>
      <c r="CA338" s="90">
        <f>IF(AND(E338&gt;0,OR(AR338="")),"* No olvide digitar la variable Trans (masculino). Digite Cero si no tiene.",IF(AR338&gt;E338," * La variable Trans (masculino) No puede ser mayor al Total Mujeres.",""))</f>
        <v/>
      </c>
      <c r="CB338" s="90">
        <f>IF(AND(D338&gt;0,OR(AS338="")),"* No olvide digitar la variable Trans (Femenino). Digite Cero si no tiene.",IF(AS338&gt;D338," * La variable Trans (Femenino) No puede ser mayor al Total Hombres.",""))</f>
        <v/>
      </c>
      <c r="CC338" s="90">
        <f>IF(AND(C338&gt;0,AT338="")," * No olvide digitar la variable Pueblos originarios. Digite Cero si no tiene.",IF(AT338&gt;C338," * La variable Pueblos originarios No puede ser mayor al Total Ambos Sexos.",""))</f>
        <v/>
      </c>
      <c r="CD338" s="90">
        <f>IF(AND(C338&gt;0,AU338="")," * No olvide digitar la variable Migrantes. Digite Cero si no tiene.",IF(AU338&gt;C338," * La variable Migrantes No puede ser mayor al Total Ambos Sexos.",""))</f>
        <v/>
      </c>
      <c r="CE338" s="90">
        <f>IF(AND(C338&gt;0,AV338="")," * No olvide digitar la variable SENAME/ Servicio Nacional de Reinserción social Juvenil . Digite Cero si no tiene.",IF(AV338&gt;C338," * La variable SENAME/ Servicio Nacional de Reinserción social Juvenil No puede ser mayor al Total Ambos Sexos.",""))</f>
        <v/>
      </c>
      <c r="CF338" s="90">
        <f>IF(AND(C338&gt;0,AW338="")," * No olvide digitar la variable Servicio Nacional Protección Especializada a la Niñez y Adolescencia. Digite Cero si no tiene.",IF(AW338&gt;C338," * La variable Servicio Nacional Protección Especializada a la Niñez y Adolescencia No puede ser mayor al Total Ambos Sexos.",""))</f>
        <v/>
      </c>
      <c r="CO338" s="221">
        <f>IF(AND(E338&gt;0,OR(AR338="")),1,IF(AR338&gt;E338,1,0))</f>
        <v/>
      </c>
      <c r="CP338" s="221">
        <f>IF(AND(D338&gt;0,OR(AS338="")),1,IF(AS338&gt;D338,1,0))</f>
        <v/>
      </c>
      <c r="CQ338" s="221">
        <f>IF(AND(C338&gt;0,AT338=""),1,IF(AT338&gt;C338,1,0))</f>
        <v/>
      </c>
      <c r="CR338" s="221">
        <f>IF(AND(C338&gt;0,AU338=""),1,IF(AU338&gt;C338,1,0))</f>
        <v/>
      </c>
      <c r="CS338" s="221">
        <f>IF(AND(C338&gt;0,AV338=""),1,IF(AV338&gt;C338,1,0))</f>
        <v/>
      </c>
      <c r="CT338" s="221">
        <f>IF(AND(C338&gt;0,AW338=""),1,IF(AW338&gt;C338,1,0))</f>
        <v/>
      </c>
    </row>
    <row r="339">
      <c r="A339" s="9610" t="n"/>
      <c r="B339" s="2272" t="inlineStr">
        <is>
          <t>Egresos por Traslado</t>
        </is>
      </c>
      <c r="C339" s="1360">
        <f>SUM(D339+E339)</f>
        <v/>
      </c>
      <c r="D339" s="1358">
        <f>SUM(F339+H339+J339+L339+N339+P339+R339+T339+V339+X339+Z339+AB339+AD339+AF339+AH339+AJ339+AL339+AN339+AP339)</f>
        <v/>
      </c>
      <c r="E339" s="7764">
        <f>SUM(G339+I339+K339+M339+O339+Q339+S339+U339+W339+Y339+AA339+AC339+AE339+AG339+AI339+AK339+AM339+AO339+AQ339)</f>
        <v/>
      </c>
      <c r="F339" s="872" t="n"/>
      <c r="G339" s="1434" t="n"/>
      <c r="H339" s="872" t="n"/>
      <c r="I339" s="1434" t="n"/>
      <c r="J339" s="872" t="n"/>
      <c r="K339" s="1953" t="n"/>
      <c r="L339" s="872" t="n"/>
      <c r="M339" s="2183" t="n"/>
      <c r="N339" s="872" t="n"/>
      <c r="O339" s="1953" t="n"/>
      <c r="P339" s="872" t="n"/>
      <c r="Q339" s="1434" t="n"/>
      <c r="R339" s="872" t="n"/>
      <c r="S339" s="1434" t="n"/>
      <c r="T339" s="872" t="n"/>
      <c r="U339" s="1434" t="n"/>
      <c r="V339" s="872" t="n"/>
      <c r="W339" s="1434" t="n"/>
      <c r="X339" s="872" t="n"/>
      <c r="Y339" s="1434" t="n"/>
      <c r="Z339" s="872" t="n"/>
      <c r="AA339" s="1434" t="n"/>
      <c r="AB339" s="872" t="n"/>
      <c r="AC339" s="1434" t="n"/>
      <c r="AD339" s="872" t="n"/>
      <c r="AE339" s="1434" t="n"/>
      <c r="AF339" s="872" t="n"/>
      <c r="AG339" s="1434" t="n"/>
      <c r="AH339" s="872" t="n"/>
      <c r="AI339" s="1434" t="n"/>
      <c r="AJ339" s="872" t="n"/>
      <c r="AK339" s="1434" t="n"/>
      <c r="AL339" s="872" t="n"/>
      <c r="AM339" s="1434" t="n"/>
      <c r="AN339" s="872" t="n"/>
      <c r="AO339" s="1434" t="n"/>
      <c r="AP339" s="872" t="n"/>
      <c r="AQ339" s="1954" t="n"/>
      <c r="AR339" s="1434" t="n"/>
      <c r="AS339" s="1953" t="n"/>
      <c r="AT339" s="5362" t="n"/>
      <c r="AU339" s="5398" t="n"/>
      <c r="AV339" s="1434" t="n"/>
      <c r="AW339" s="1953" t="n"/>
      <c r="AX339">
        <f>CA339&amp;CB339&amp;CC339&amp;CD339&amp;CE339&amp;CF339</f>
        <v/>
      </c>
      <c r="CA339" s="90">
        <f>IF(AND(E339&gt;0,OR(AR339="")),"* No olvide digitar la variable Trans (masculino). Digite Cero si no tiene.",IF(AR339&gt;E339," * La variable Trans (masculino) No puede ser mayor al Total Mujeres.",""))</f>
        <v/>
      </c>
      <c r="CB339" s="90">
        <f>IF(AND(D339&gt;0,OR(AS339="")),"* No olvide digitar la variable Trans (Femenino). Digite Cero si no tiene.",IF(AS339&gt;D339," * La variable Trans (Femenino) No puede ser mayor al Total Hombres.",""))</f>
        <v/>
      </c>
      <c r="CC339" s="90">
        <f>IF(AND(C339&gt;0,AT339="")," * No olvide digitar la variable Pueblos originarios. Digite Cero si no tiene.",IF(AT339&gt;C339," * La variable Pueblos originarios No puede ser mayor al Total Ambos Sexos.",""))</f>
        <v/>
      </c>
      <c r="CD339" s="90">
        <f>IF(AND(C339&gt;0,AU339="")," * No olvide digitar la variable Migrantes. Digite Cero si no tiene.",IF(AU339&gt;C339," * La variable Migrantes No puede ser mayor al Total Ambos Sexos.",""))</f>
        <v/>
      </c>
      <c r="CE339" s="90">
        <f>IF(AND(C339&gt;0,AV339="")," * No olvide digitar la variable SENAME/ Servicio Nacional de Reinserción social Juvenil . Digite Cero si no tiene.",IF(AV339&gt;C339," * La variable SENAME/ Servicio Nacional de Reinserción social Juvenil No puede ser mayor al Total Ambos Sexos.",""))</f>
        <v/>
      </c>
      <c r="CF339" s="90">
        <f>IF(AND(C339&gt;0,AW339="")," * No olvide digitar la variable Servicio Nacional Protección Especializada a la Niñez y Adolescencia. Digite Cero si no tiene.",IF(AW339&gt;C339," * La variable Servicio Nacional Protección Especializada a la Niñez y Adolescencia No puede ser mayor al Total Ambos Sexos.",""))</f>
        <v/>
      </c>
      <c r="CO339" s="221">
        <f>IF(AND(E339&gt;0,OR(AR339="")),1,IF(AR339&gt;E339,1,0))</f>
        <v/>
      </c>
      <c r="CP339" s="221">
        <f>IF(AND(D339&gt;0,OR(AS339="")),1,IF(AS339&gt;D339,1,0))</f>
        <v/>
      </c>
      <c r="CQ339" s="221">
        <f>IF(AND(C339&gt;0,AT339=""),1,IF(AT339&gt;C339,1,0))</f>
        <v/>
      </c>
      <c r="CR339" s="221">
        <f>IF(AND(C339&gt;0,AU339=""),1,IF(AU339&gt;C339,1,0))</f>
        <v/>
      </c>
      <c r="CS339" s="221">
        <f>IF(AND(C339&gt;0,AV339=""),1,IF(AV339&gt;C339,1,0))</f>
        <v/>
      </c>
      <c r="CT339" s="221">
        <f>IF(AND(C339&gt;0,AW339=""),1,IF(AW339&gt;C339,1,0))</f>
        <v/>
      </c>
    </row>
    <row r="340" ht="18" customFormat="1" customHeight="1" s="5">
      <c r="A340" s="2" t="inlineStr">
        <is>
          <t>SECCIÓN S: INGRESOS Y EGRESOS POR COMERCIO SEXUAL (Uso exclusivo de Unidades Control Comercio Sexual)</t>
        </is>
      </c>
      <c r="B340" s="59" t="n"/>
      <c r="C340" s="3" t="n"/>
      <c r="D340" s="3" t="n"/>
      <c r="E340" s="3" t="n"/>
      <c r="F340" s="3" t="n"/>
      <c r="G340" s="3" t="n"/>
      <c r="H340" s="3" t="n"/>
      <c r="I340" s="3" t="n"/>
      <c r="J340" s="3" t="n"/>
      <c r="K340" s="3" t="n"/>
      <c r="L340" s="3" t="n"/>
      <c r="M340" s="3" t="n"/>
      <c r="N340" s="3" t="n"/>
      <c r="O340" s="3" t="n"/>
      <c r="P340" s="3" t="n"/>
      <c r="Q340" s="3" t="n"/>
      <c r="R340" s="3" t="n"/>
      <c r="S340" s="3" t="n"/>
      <c r="T340" s="3" t="n"/>
      <c r="U340" s="3" t="n"/>
      <c r="V340" s="3" t="n"/>
      <c r="W340" s="3" t="n"/>
      <c r="X340" s="3" t="n"/>
      <c r="Y340" s="3" t="n"/>
      <c r="Z340" s="3" t="n"/>
      <c r="AA340" s="3" t="n"/>
      <c r="AB340" s="3" t="n"/>
      <c r="AC340" s="3" t="n"/>
      <c r="AD340" s="3" t="n"/>
      <c r="AE340" s="3" t="n"/>
      <c r="AF340" s="3" t="n"/>
      <c r="AG340" s="3" t="n"/>
      <c r="AH340" s="3" t="n"/>
      <c r="AI340" s="3" t="n"/>
      <c r="AJ340" s="3" t="n"/>
      <c r="AK340" s="3" t="n"/>
    </row>
    <row r="341">
      <c r="A341" s="9939" t="inlineStr">
        <is>
          <t>CONCEPTO</t>
        </is>
      </c>
      <c r="B341" s="9630" t="n"/>
      <c r="C341" s="4505" t="inlineStr">
        <is>
          <t xml:space="preserve">TOTAL </t>
        </is>
      </c>
      <c r="D341" s="9602" t="n"/>
      <c r="E341" s="9630" t="n"/>
      <c r="F341" s="9915" t="inlineStr">
        <is>
          <t>RANGO ETARIO Y SEXO</t>
        </is>
      </c>
      <c r="G341" s="9584" t="n"/>
      <c r="H341" s="9584" t="n"/>
      <c r="I341" s="9584" t="n"/>
      <c r="J341" s="9584" t="n"/>
      <c r="K341" s="9584" t="n"/>
      <c r="L341" s="9584" t="n"/>
      <c r="M341" s="9584" t="n"/>
      <c r="N341" s="9584" t="n"/>
      <c r="O341" s="9584" t="n"/>
      <c r="P341" s="9584" t="n"/>
      <c r="Q341" s="9584" t="n"/>
      <c r="R341" s="9584" t="n"/>
      <c r="S341" s="9584" t="n"/>
      <c r="T341" s="9584" t="n"/>
      <c r="U341" s="9584" t="n"/>
      <c r="V341" s="9584" t="n"/>
      <c r="W341" s="9584" t="n"/>
      <c r="X341" s="9584" t="n"/>
      <c r="Y341" s="9584" t="n"/>
      <c r="Z341" s="9584" t="n"/>
      <c r="AA341" s="9584" t="n"/>
      <c r="AB341" s="9584" t="n"/>
      <c r="AC341" s="9584" t="n"/>
      <c r="AD341" s="9584" t="n"/>
      <c r="AE341" s="9584" t="n"/>
      <c r="AF341" s="9584" t="n"/>
      <c r="AG341" s="9595" t="n"/>
      <c r="AH341" s="10005" t="inlineStr">
        <is>
          <t>TRANS</t>
        </is>
      </c>
      <c r="AI341" s="9630" t="n"/>
      <c r="AJ341" s="10006" t="inlineStr">
        <is>
          <t>Pueblos Originarios</t>
        </is>
      </c>
      <c r="AK341" s="8400" t="inlineStr">
        <is>
          <t>Migrantes</t>
        </is>
      </c>
    </row>
    <row r="342">
      <c r="A342" s="642" t="n"/>
      <c r="B342" s="9718" t="n"/>
      <c r="C342" s="9698" t="n"/>
      <c r="D342" s="9591" t="n"/>
      <c r="E342" s="9776" t="n"/>
      <c r="F342" s="4505" t="inlineStr">
        <is>
          <t>15 - 19 años</t>
        </is>
      </c>
      <c r="G342" s="9647" t="n"/>
      <c r="H342" s="9977" t="inlineStr">
        <is>
          <t>20 - 24 años</t>
        </is>
      </c>
      <c r="I342" s="9582" t="n"/>
      <c r="J342" s="9240" t="inlineStr">
        <is>
          <t>25 - 29 años</t>
        </is>
      </c>
      <c r="K342" s="9647" t="n"/>
      <c r="L342" s="9240" t="inlineStr">
        <is>
          <t>30 - 34 años</t>
        </is>
      </c>
      <c r="M342" s="9647" t="n"/>
      <c r="N342" s="9240" t="inlineStr">
        <is>
          <t>35 - 39 años</t>
        </is>
      </c>
      <c r="O342" s="9647" t="n"/>
      <c r="P342" s="9240" t="inlineStr">
        <is>
          <t>40 - 44 años</t>
        </is>
      </c>
      <c r="Q342" s="9647" t="n"/>
      <c r="R342" s="9240" t="inlineStr">
        <is>
          <t>45 - 49 años</t>
        </is>
      </c>
      <c r="S342" s="9647" t="n"/>
      <c r="T342" s="9240" t="inlineStr">
        <is>
          <t>50 - 54 años</t>
        </is>
      </c>
      <c r="U342" s="9647" t="n"/>
      <c r="V342" s="9240" t="inlineStr">
        <is>
          <t>55 - 59 años</t>
        </is>
      </c>
      <c r="W342" s="9647" t="n"/>
      <c r="X342" s="9240" t="inlineStr">
        <is>
          <t>60 - 64 años</t>
        </is>
      </c>
      <c r="Y342" s="9647" t="n"/>
      <c r="Z342" s="9240" t="inlineStr">
        <is>
          <t>65 - 69 años</t>
        </is>
      </c>
      <c r="AA342" s="9647" t="n"/>
      <c r="AB342" s="9240" t="inlineStr">
        <is>
          <t>70 - 74 años</t>
        </is>
      </c>
      <c r="AC342" s="9647" t="n"/>
      <c r="AD342" s="9240" t="inlineStr">
        <is>
          <t>75 - 79 años</t>
        </is>
      </c>
      <c r="AE342" s="9647" t="n"/>
      <c r="AF342" s="9240" t="inlineStr">
        <is>
          <t>80 y más años</t>
        </is>
      </c>
      <c r="AG342" s="9647" t="n"/>
      <c r="AH342" s="9697" t="n"/>
      <c r="AI342" s="9639" t="n"/>
      <c r="AJ342" s="642" t="n"/>
      <c r="AK342" s="9614" t="n"/>
    </row>
    <row r="343">
      <c r="A343" s="9638" t="n"/>
      <c r="B343" s="9639" t="n"/>
      <c r="C343" s="7932" t="inlineStr">
        <is>
          <t>Ambos Sexos</t>
        </is>
      </c>
      <c r="D343" s="2110" t="inlineStr">
        <is>
          <t>Hombres</t>
        </is>
      </c>
      <c r="E343" s="7936" t="inlineStr">
        <is>
          <t>Mujeres</t>
        </is>
      </c>
      <c r="F343" s="7932" t="inlineStr">
        <is>
          <t xml:space="preserve">Hombres </t>
        </is>
      </c>
      <c r="G343" s="7933" t="inlineStr">
        <is>
          <t>Mujeres</t>
        </is>
      </c>
      <c r="H343" s="7932" t="inlineStr">
        <is>
          <t xml:space="preserve">Hombres </t>
        </is>
      </c>
      <c r="I343" s="7933" t="inlineStr">
        <is>
          <t>Mujeres</t>
        </is>
      </c>
      <c r="J343" s="7932" t="inlineStr">
        <is>
          <t xml:space="preserve">Hombres </t>
        </is>
      </c>
      <c r="K343" s="7933" t="inlineStr">
        <is>
          <t>Mujeres</t>
        </is>
      </c>
      <c r="L343" s="7932" t="inlineStr">
        <is>
          <t xml:space="preserve">Hombres </t>
        </is>
      </c>
      <c r="M343" s="7933" t="inlineStr">
        <is>
          <t>Mujeres</t>
        </is>
      </c>
      <c r="N343" s="7932" t="inlineStr">
        <is>
          <t xml:space="preserve">Hombres </t>
        </is>
      </c>
      <c r="O343" s="7933" t="inlineStr">
        <is>
          <t>Mujeres</t>
        </is>
      </c>
      <c r="P343" s="7932" t="inlineStr">
        <is>
          <t xml:space="preserve">Hombres </t>
        </is>
      </c>
      <c r="Q343" s="7933" t="inlineStr">
        <is>
          <t>Mujeres</t>
        </is>
      </c>
      <c r="R343" s="7932" t="inlineStr">
        <is>
          <t xml:space="preserve">Hombres </t>
        </is>
      </c>
      <c r="S343" s="7933" t="inlineStr">
        <is>
          <t>Mujeres</t>
        </is>
      </c>
      <c r="T343" s="7932" t="inlineStr">
        <is>
          <t xml:space="preserve">Hombres </t>
        </is>
      </c>
      <c r="U343" s="7933" t="inlineStr">
        <is>
          <t>Mujeres</t>
        </is>
      </c>
      <c r="V343" s="7932" t="inlineStr">
        <is>
          <t xml:space="preserve">Hombres </t>
        </is>
      </c>
      <c r="W343" s="7933" t="inlineStr">
        <is>
          <t>Mujeres</t>
        </is>
      </c>
      <c r="X343" s="7932" t="inlineStr">
        <is>
          <t xml:space="preserve">Hombres </t>
        </is>
      </c>
      <c r="Y343" s="7933" t="inlineStr">
        <is>
          <t>Mujeres</t>
        </is>
      </c>
      <c r="Z343" s="7932" t="inlineStr">
        <is>
          <t xml:space="preserve">Hombres </t>
        </is>
      </c>
      <c r="AA343" s="7933" t="inlineStr">
        <is>
          <t>Mujeres</t>
        </is>
      </c>
      <c r="AB343" s="7932" t="inlineStr">
        <is>
          <t xml:space="preserve">Hombres </t>
        </is>
      </c>
      <c r="AC343" s="7933" t="inlineStr">
        <is>
          <t>Mujeres</t>
        </is>
      </c>
      <c r="AD343" s="7932" t="inlineStr">
        <is>
          <t xml:space="preserve">Hombres </t>
        </is>
      </c>
      <c r="AE343" s="7933" t="inlineStr">
        <is>
          <t>Mujeres</t>
        </is>
      </c>
      <c r="AF343" s="7932" t="inlineStr">
        <is>
          <t xml:space="preserve">Hombres </t>
        </is>
      </c>
      <c r="AG343" s="1981" t="inlineStr">
        <is>
          <t>Mujeres</t>
        </is>
      </c>
      <c r="AH343" s="2011" t="inlineStr">
        <is>
          <t>Masculino</t>
        </is>
      </c>
      <c r="AI343" s="7666" t="inlineStr">
        <is>
          <t>Femenino</t>
        </is>
      </c>
      <c r="AJ343" s="9698" t="n"/>
      <c r="AK343" s="9610" t="n"/>
    </row>
    <row r="344">
      <c r="A344" s="4569" t="inlineStr">
        <is>
          <t xml:space="preserve">Ingresos al programa </t>
        </is>
      </c>
      <c r="B344" s="9647" t="n"/>
      <c r="C344" s="1988">
        <f>SUM(D344+E344)</f>
        <v/>
      </c>
      <c r="D344" s="2046">
        <f>SUM(F344+H344+J344+L344+N344+P344+R344+T344+V344+X344+Z344+AB344+AD344+AF344)</f>
        <v/>
      </c>
      <c r="E344" s="2250">
        <f>SUM(G344+I344+K344+M344+O344+Q344+S344+U344+W344+Y344+AA344+AC344+AE344+AG344)</f>
        <v/>
      </c>
      <c r="F344" s="2036" t="n"/>
      <c r="G344" s="2038" t="n"/>
      <c r="H344" s="2036" t="n"/>
      <c r="I344" s="2038" t="n"/>
      <c r="J344" s="2036" t="n"/>
      <c r="K344" s="2038" t="n"/>
      <c r="L344" s="2036" t="n"/>
      <c r="M344" s="2038" t="n"/>
      <c r="N344" s="2036" t="n"/>
      <c r="O344" s="2038" t="n"/>
      <c r="P344" s="2036" t="n"/>
      <c r="Q344" s="2038" t="n"/>
      <c r="R344" s="2036" t="n"/>
      <c r="S344" s="2038" t="n"/>
      <c r="T344" s="2036" t="n"/>
      <c r="U344" s="2038" t="n"/>
      <c r="V344" s="2036" t="n"/>
      <c r="W344" s="2038" t="n"/>
      <c r="X344" s="2036" t="n"/>
      <c r="Y344" s="2038" t="n"/>
      <c r="Z344" s="2036" t="n"/>
      <c r="AA344" s="2038" t="n"/>
      <c r="AB344" s="2036" t="n"/>
      <c r="AC344" s="2038" t="n"/>
      <c r="AD344" s="2036" t="n"/>
      <c r="AE344" s="2038" t="n"/>
      <c r="AF344" s="2036" t="n"/>
      <c r="AG344" s="2268" t="n"/>
      <c r="AH344" s="2038" t="n"/>
      <c r="AI344" s="2039" t="n"/>
      <c r="AJ344" s="5399" t="n"/>
      <c r="AK344" s="5207" t="n"/>
      <c r="AL344">
        <f>CA344&amp;CB344&amp;CC344&amp;CD344</f>
        <v/>
      </c>
      <c r="CA344" s="90">
        <f>IF(AND(E344&gt;0,OR(AH344=""))," * No olvide digitar la variable Trans (Masculino). Digite Cero si no tiene.",IF((AH344)&gt;E344,"*  La variable Trans (Masculino) No puede ser mayor al Total Mujeres.",""))</f>
        <v/>
      </c>
      <c r="CB344" s="90">
        <f>IF(AND(D344&gt;0,OR(AI344=""))," * No olvide digitar la variable Trans (Femenino). Digite Cero si no tiene.",IF((AI344)&gt;D344,"*  La variable Trans (Femenino) No puede ser mayor al Total Hombres.",""))</f>
        <v/>
      </c>
      <c r="CC344" s="90">
        <f>IF(AND(C344&gt;0,AJ344="")," * No olvide digitar la variable Pueblos originarios. Digite Cero si no tiene.",IF(AJ344&gt;C344," * La variable Pueblos originarios No puede ser mayor al Total.",""))</f>
        <v/>
      </c>
      <c r="CD344" s="90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/>
      </c>
      <c r="CP344" s="221">
        <f>IF(AND(D344&gt;0,OR(AI344="")),1,IF((AI344)&gt;D344,1,0))</f>
        <v/>
      </c>
      <c r="CQ344" s="221">
        <f>IF(AND(C344&gt;0,AJ344=""),1,IF(AJ344&gt;C344,1,0))</f>
        <v/>
      </c>
      <c r="CR344" s="221">
        <f>IF(AND(C344&gt;0,AK344=""),1,IF(AK344&gt;C344,1,0))</f>
        <v/>
      </c>
    </row>
    <row r="345">
      <c r="A345" s="4569" t="inlineStr">
        <is>
          <t>Total egresos</t>
        </is>
      </c>
      <c r="B345" s="9647" t="n"/>
      <c r="C345" s="1988">
        <f>SUM(D345+E345)</f>
        <v/>
      </c>
      <c r="D345" s="2046">
        <f>SUM(F345+H345+J345+L345+N345+P345+R345+T345+V345+X345+Z345+AB345+AD345+AF345)</f>
        <v/>
      </c>
      <c r="E345" s="2250">
        <f>SUM(G345+I345+K345+M345+O345+Q345+S345+U345+W345+Y345+AA345+AC345+AE345+AG345)</f>
        <v/>
      </c>
      <c r="F345" s="2036" t="n"/>
      <c r="G345" s="2038" t="n"/>
      <c r="H345" s="2036" t="n"/>
      <c r="I345" s="2038" t="n"/>
      <c r="J345" s="2036" t="n"/>
      <c r="K345" s="2038" t="n"/>
      <c r="L345" s="2036" t="n"/>
      <c r="M345" s="2038" t="n"/>
      <c r="N345" s="2036" t="n"/>
      <c r="O345" s="2038" t="n"/>
      <c r="P345" s="2036" t="n"/>
      <c r="Q345" s="2038" t="n"/>
      <c r="R345" s="2036" t="n"/>
      <c r="S345" s="2038" t="n"/>
      <c r="T345" s="2036" t="n"/>
      <c r="U345" s="2038" t="n"/>
      <c r="V345" s="2036" t="n"/>
      <c r="W345" s="2038" t="n"/>
      <c r="X345" s="2036" t="n"/>
      <c r="Y345" s="2038" t="n"/>
      <c r="Z345" s="2036" t="n"/>
      <c r="AA345" s="2038" t="n"/>
      <c r="AB345" s="2036" t="n"/>
      <c r="AC345" s="2038" t="n"/>
      <c r="AD345" s="2036" t="n"/>
      <c r="AE345" s="2038" t="n"/>
      <c r="AF345" s="2036" t="n"/>
      <c r="AG345" s="2268" t="n"/>
      <c r="AH345" s="2038" t="n"/>
      <c r="AI345" s="2039" t="n"/>
      <c r="AJ345" s="5399" t="n"/>
      <c r="AK345" s="5207" t="n"/>
      <c r="AL345">
        <f>CA345&amp;CB345&amp;CC345&amp;CD345</f>
        <v/>
      </c>
      <c r="CA345" s="90">
        <f>IF(AND(E345&gt;0,OR(AH345=""))," * No olvide digitar la variable Trans (Masculino). Digite Cero si no tiene.",IF((AH345)&gt;E345,"*  La variable Trans (Masculino) No puede ser mayor al Total Mujeres.",""))</f>
        <v/>
      </c>
      <c r="CB345" s="90">
        <f>IF(AND(D345&gt;0,OR(AI345=""))," * No olvide digitar la variable Trans (Femenino). Digite Cero si no tiene.",IF((AI345)&gt;D345,"*  La variable Trans (Femenino) No puede ser mayor al Total Hombres.",""))</f>
        <v/>
      </c>
      <c r="CC345" s="90">
        <f>IF(AND(C345&gt;0,AJ345="")," * No olvide digitar la variable Pueblos originarios. Digite Cero si no tiene.",IF(AJ345&gt;C345," * La variable Pueblos originarios No puede ser mayor al Total.",""))</f>
        <v/>
      </c>
      <c r="CD345" s="90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/>
      </c>
      <c r="CP345" s="221">
        <f>IF(AND(D345&gt;0,OR(AI345="")),1,IF((AI345)&gt;D345,1,0))</f>
        <v/>
      </c>
      <c r="CQ345" s="221">
        <f>IF(AND(C345&gt;0,AJ345=""),1,IF(AJ345&gt;C345,1,0))</f>
        <v/>
      </c>
      <c r="CR345" s="221">
        <f>IF(AND(C345&gt;0,AK345=""),1,IF(AK345&gt;C345,1,0))</f>
        <v/>
      </c>
    </row>
    <row r="346">
      <c r="A346" s="4569" t="inlineStr">
        <is>
          <t>Inasistentes</t>
        </is>
      </c>
      <c r="B346" s="9647" t="n"/>
      <c r="C346" s="1988">
        <f>SUM(D346+E346)</f>
        <v/>
      </c>
      <c r="D346" s="2046">
        <f>SUM(F346+H346+J346+L346+N346+P346+R346+T346+V346+X346+Z346+AB346+AD346+AF346)</f>
        <v/>
      </c>
      <c r="E346" s="2250">
        <f>SUM(G346+I346+K346+M346+O346+Q346+S346+U346+W346+Y346+AA346+AC346+AE346+AG346)</f>
        <v/>
      </c>
      <c r="F346" s="2036" t="n"/>
      <c r="G346" s="2038" t="n"/>
      <c r="H346" s="2036" t="n"/>
      <c r="I346" s="2038" t="n"/>
      <c r="J346" s="2036" t="n"/>
      <c r="K346" s="2038" t="n"/>
      <c r="L346" s="2036" t="n"/>
      <c r="M346" s="2038" t="n"/>
      <c r="N346" s="2036" t="n"/>
      <c r="O346" s="2038" t="n"/>
      <c r="P346" s="2036" t="n"/>
      <c r="Q346" s="2038" t="n"/>
      <c r="R346" s="2036" t="n"/>
      <c r="S346" s="2038" t="n"/>
      <c r="T346" s="2036" t="n"/>
      <c r="U346" s="2038" t="n"/>
      <c r="V346" s="2036" t="n"/>
      <c r="W346" s="2038" t="n"/>
      <c r="X346" s="2036" t="n"/>
      <c r="Y346" s="2038" t="n"/>
      <c r="Z346" s="2036" t="n"/>
      <c r="AA346" s="2038" t="n"/>
      <c r="AB346" s="2036" t="n"/>
      <c r="AC346" s="2038" t="n"/>
      <c r="AD346" s="2036" t="n"/>
      <c r="AE346" s="2038" t="n"/>
      <c r="AF346" s="2036" t="n"/>
      <c r="AG346" s="2268" t="n"/>
      <c r="AH346" s="2038" t="n"/>
      <c r="AI346" s="2039" t="n"/>
      <c r="AJ346" s="5399" t="n"/>
      <c r="AK346" s="5207" t="n"/>
      <c r="AL346">
        <f>CA346&amp;CB346&amp;CC346&amp;CD346</f>
        <v/>
      </c>
      <c r="CA346" s="90">
        <f>IF(AND(E346&gt;0,OR(AH346=""))," * No olvide digitar la variable Trans (Masculino). Digite Cero si no tiene.",IF((AH346)&gt;E346,"*  La variable Trans (Masculino) No puede ser mayor al Total Mujeres.",""))</f>
        <v/>
      </c>
      <c r="CB346" s="90">
        <f>IF(AND(D346&gt;0,OR(AI346=""))," * No olvide digitar la variable Trans (Femenino). Digite Cero si no tiene.",IF((AI346)&gt;D346,"*  La variable Trans (Femenino) No puede ser mayor al Total Hombres.",""))</f>
        <v/>
      </c>
      <c r="CC346" s="90">
        <f>IF(AND(C346&gt;0,AJ346="")," * No olvide digitar la variable Pueblos originarios. Digite Cero si no tiene.",IF(AJ346&gt;C346," * La variable Pueblos originarios No puede ser mayor al Total.",""))</f>
        <v/>
      </c>
      <c r="CD346" s="90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/>
      </c>
      <c r="CP346" s="221">
        <f>IF(AND(D346&gt;0,OR(AI346="")),1,IF((AI346)&gt;D346,1,0))</f>
        <v/>
      </c>
      <c r="CQ346" s="221">
        <f>IF(AND(C346&gt;0,AJ346=""),1,IF(AJ346&gt;C346,1,0))</f>
        <v/>
      </c>
      <c r="CR346" s="221">
        <f>IF(AND(C346&gt;0,AK346=""),1,IF(AK346&gt;C346,1,0))</f>
        <v/>
      </c>
    </row>
    <row r="347" ht="18" customFormat="1" customHeight="1" s="5">
      <c r="A347" s="2273" t="inlineStr">
        <is>
          <t>SECCIÓN T: INGRESOS Y EGRESOS PROGRAMA DE ACOMPAÑAMIENTO PSICOSOCIAL EN ATENCIÓN PRIMARIA</t>
        </is>
      </c>
      <c r="B347" s="2274" t="n"/>
      <c r="C347" s="2274" t="n"/>
      <c r="D347" s="2274" t="n"/>
      <c r="E347" s="2274" t="n"/>
      <c r="F347" s="2274" t="n"/>
      <c r="G347" s="2274" t="n"/>
      <c r="H347" s="2274" t="n"/>
      <c r="I347" s="2274" t="n"/>
      <c r="J347" s="2274" t="n"/>
      <c r="K347" s="2274" t="n"/>
      <c r="L347" s="2274" t="n"/>
      <c r="M347" s="2274" t="n"/>
      <c r="N347" s="2274" t="n"/>
      <c r="O347" s="3" t="n"/>
      <c r="P347" s="3" t="n"/>
      <c r="Q347" s="3" t="n"/>
      <c r="R347" s="3" t="n"/>
    </row>
    <row r="348" ht="15" customHeight="1" s="8286">
      <c r="A348" s="8400" t="inlineStr">
        <is>
          <t>ACTIVIDAD</t>
        </is>
      </c>
      <c r="B348" s="10010" t="inlineStr">
        <is>
          <t xml:space="preserve">TOTAL               </t>
        </is>
      </c>
      <c r="C348" s="10011" t="n"/>
      <c r="D348" s="10012" t="n"/>
      <c r="E348" s="7868" t="inlineStr">
        <is>
          <t>RANGO ETARIO Y SEXO</t>
        </is>
      </c>
      <c r="F348" s="10013" t="n"/>
      <c r="G348" s="10013" t="n"/>
      <c r="H348" s="10013" t="n"/>
      <c r="I348" s="10013" t="n"/>
      <c r="J348" s="10013" t="n"/>
      <c r="K348" s="10013" t="n"/>
      <c r="L348" s="10013" t="n"/>
      <c r="M348" s="10013" t="n"/>
      <c r="N348" s="108" t="n"/>
      <c r="O348" s="10014" t="inlineStr">
        <is>
          <t>Aumento de funcionalidad familiar (4 puntos o más)</t>
        </is>
      </c>
      <c r="P348" s="10015" t="inlineStr">
        <is>
          <t>Cumple con el 70% de los objetivos del plan de acompañamiento</t>
        </is>
      </c>
      <c r="Q348" s="10016" t="inlineStr">
        <is>
          <t>Egreso por alta clínica del Prog de Salud Mental</t>
        </is>
      </c>
      <c r="R348" s="10014" t="inlineStr">
        <is>
          <t>Pueblos Originarios</t>
        </is>
      </c>
      <c r="S348" s="9920" t="inlineStr">
        <is>
          <t>Migrantes</t>
        </is>
      </c>
      <c r="T348" s="10004" t="inlineStr">
        <is>
          <t>TRANS</t>
        </is>
      </c>
      <c r="U348" s="9630" t="n"/>
    </row>
    <row r="349">
      <c r="A349" s="9614" t="n"/>
      <c r="B349" s="9669" t="n"/>
      <c r="C349" s="9697" t="n"/>
      <c r="D349" s="9639" t="n"/>
      <c r="E349" s="9240" t="inlineStr">
        <is>
          <t>0 - 4 años</t>
        </is>
      </c>
      <c r="F349" s="9647" t="n"/>
      <c r="G349" s="9240" t="inlineStr">
        <is>
          <t>5 - 9 años</t>
        </is>
      </c>
      <c r="H349" s="9647" t="n"/>
      <c r="I349" s="9240" t="inlineStr">
        <is>
          <t>10 - 14 años</t>
        </is>
      </c>
      <c r="J349" s="9647" t="n"/>
      <c r="K349" s="9240" t="inlineStr">
        <is>
          <t>15 - 19 años</t>
        </is>
      </c>
      <c r="L349" s="9647" t="n"/>
      <c r="M349" s="10006" t="inlineStr">
        <is>
          <t>20 - 24 años</t>
        </is>
      </c>
      <c r="N349" s="9584" t="n"/>
      <c r="O349" s="9683" t="n"/>
      <c r="P349" s="10017" t="n"/>
      <c r="Q349" s="9625" t="n"/>
      <c r="R349" s="9683" t="n"/>
      <c r="S349" s="9625" t="n"/>
      <c r="T349" s="9638" t="n"/>
      <c r="U349" s="9639" t="n"/>
    </row>
    <row r="350" ht="28.5" customHeight="1" s="8286">
      <c r="A350" s="9610" t="n"/>
      <c r="B350" s="2117" t="inlineStr">
        <is>
          <t>Ambos Sexos</t>
        </is>
      </c>
      <c r="C350" s="1969" t="inlineStr">
        <is>
          <t>Hombres</t>
        </is>
      </c>
      <c r="D350" s="7666" t="inlineStr">
        <is>
          <t>Mujeres</t>
        </is>
      </c>
      <c r="E350" s="7932" t="inlineStr">
        <is>
          <t>Hombres</t>
        </is>
      </c>
      <c r="F350" s="7729" t="inlineStr">
        <is>
          <t>Mujeres</t>
        </is>
      </c>
      <c r="G350" s="7932" t="inlineStr">
        <is>
          <t>Hombres</t>
        </is>
      </c>
      <c r="H350" s="7729" t="inlineStr">
        <is>
          <t>Mujeres</t>
        </is>
      </c>
      <c r="I350" s="7932" t="inlineStr">
        <is>
          <t>Hombres</t>
        </is>
      </c>
      <c r="J350" s="7729" t="inlineStr">
        <is>
          <t>Mujeres</t>
        </is>
      </c>
      <c r="K350" s="7932" t="inlineStr">
        <is>
          <t>Hombres</t>
        </is>
      </c>
      <c r="L350" s="7729" t="inlineStr">
        <is>
          <t>Mujeres</t>
        </is>
      </c>
      <c r="M350" s="7932" t="inlineStr">
        <is>
          <t>Hombres</t>
        </is>
      </c>
      <c r="N350" s="7927" t="inlineStr">
        <is>
          <t>Mujeres</t>
        </is>
      </c>
      <c r="O350" s="9604" t="n"/>
      <c r="P350" s="9912" t="n"/>
      <c r="Q350" s="9641" t="n"/>
      <c r="R350" s="9604" t="n"/>
      <c r="S350" s="9641" t="n"/>
      <c r="T350" s="2167" t="inlineStr">
        <is>
          <t>Masculino</t>
        </is>
      </c>
      <c r="U350" s="7936" t="inlineStr">
        <is>
          <t>Femenino</t>
        </is>
      </c>
    </row>
    <row r="351">
      <c r="A351" s="2213" t="inlineStr">
        <is>
          <t>Ingresos</t>
        </is>
      </c>
      <c r="B351" s="2180">
        <f>SUM(C351+D351)</f>
        <v/>
      </c>
      <c r="C351" s="2275">
        <f>SUM(E351+G351+I351+K351+M351)</f>
        <v/>
      </c>
      <c r="D351" s="2152">
        <f>SUM(F351+H351+J351+L351+N351)</f>
        <v/>
      </c>
      <c r="E351" s="2022" t="n"/>
      <c r="F351" s="2029" t="n"/>
      <c r="G351" s="2022" t="n"/>
      <c r="H351" s="2029" t="n"/>
      <c r="I351" s="2022" t="n"/>
      <c r="J351" s="2124" t="n"/>
      <c r="K351" s="2022" t="n"/>
      <c r="L351" s="2124" t="n"/>
      <c r="M351" s="2276" t="n"/>
      <c r="N351" s="835" t="n"/>
      <c r="O351" s="2277" t="n"/>
      <c r="P351" s="2278" t="n"/>
      <c r="Q351" s="2279" t="n"/>
      <c r="R351" s="2280" t="n"/>
      <c r="S351" s="2029" t="n"/>
      <c r="T351" s="2023" t="n"/>
      <c r="U351" s="2029" t="n"/>
      <c r="V351">
        <f>CD351&amp;CE351&amp;CF351&amp;CG351</f>
        <v/>
      </c>
      <c r="CA351" s="126" t="n"/>
      <c r="CB351" s="223" t="n"/>
      <c r="CC351" s="223" t="n"/>
      <c r="CD351" s="90">
        <f>IF(AND(B351&gt;0,R351="")," * No olvide digitar la variable Pueblos originarios. Digite Cero si no tiene.",IF(R351&gt;B351," * La variable Pueblos originarios No puede ser mayor al Total.",""))</f>
        <v/>
      </c>
      <c r="CE351" s="90">
        <f>IF(AND(B351&gt;0,S351="")," * No olvide digitar la variable Migrantes. Digite Cero si no tiene.",IF(S351&gt;B351," * La variable Migrantes No puede ser mayor al Total.",""))</f>
        <v/>
      </c>
      <c r="CF351" s="260">
        <f>IF(AND(D351&gt;0,OR(T351=""))," * No olvide digitar la variable Trans (Masculino). Digite Cero si no tiene.",IF((T351)&gt;D351," * La variable Trans Masculino No puede ser mayor al Total Mujeres.",""))</f>
        <v/>
      </c>
      <c r="CG351" s="260">
        <f>IF(AND(C351&gt;0,OR(U351=""))," * No olvide digitar la variable Trans (Femenino). Digite Cero si no tiene.",IF((U351)&gt;C351," * La variable Trans Femenino No puede ser mayor al Total Hombres.",""))</f>
        <v/>
      </c>
      <c r="CO351" s="262" t="n"/>
      <c r="CP351" s="262" t="n"/>
      <c r="CQ351" s="262" t="n"/>
      <c r="CR351" s="221">
        <f>IF(AND(B351&gt;0,R351=""),1,IF(R351&gt;B351,1,0))</f>
        <v/>
      </c>
      <c r="CS351" s="221">
        <f>IF(AND(B351&gt;0,S351=""),1,IF(S351&gt;B351,1,0))</f>
        <v/>
      </c>
      <c r="CT351" s="221">
        <f>IF(AND(D351&gt;0,OR(T351="")),1,IF((T351)&gt;D351,1,0))</f>
        <v/>
      </c>
      <c r="CU351" s="221">
        <f>IF(AND(C351&gt;0,OR(U351="")),1,IF((U351)&gt;C351,1,0))</f>
        <v/>
      </c>
    </row>
    <row r="352">
      <c r="A352" s="2272" t="inlineStr">
        <is>
          <t>Egresos</t>
        </is>
      </c>
      <c r="B352" s="897">
        <f>SUM(C352+D352)</f>
        <v/>
      </c>
      <c r="C352" s="1939">
        <f>SUM(E352+G352+I352+K352+M352)</f>
        <v/>
      </c>
      <c r="D352" s="2161">
        <f>SUM(F352+H352+J352+L352+N352)</f>
        <v/>
      </c>
      <c r="E352" s="872" t="n"/>
      <c r="F352" s="1953" t="n"/>
      <c r="G352" s="872" t="n"/>
      <c r="H352" s="183" t="n"/>
      <c r="I352" s="872" t="n"/>
      <c r="J352" s="1953" t="n"/>
      <c r="K352" s="872" t="n"/>
      <c r="L352" s="1953" t="n"/>
      <c r="M352" s="2183" t="n"/>
      <c r="N352" s="185" t="n"/>
      <c r="O352" s="2281" t="n"/>
      <c r="P352" s="155" t="n"/>
      <c r="Q352" s="1953" t="n"/>
      <c r="R352" s="2281" t="n"/>
      <c r="S352" s="1953" t="n"/>
      <c r="T352" s="1434" t="n"/>
      <c r="U352" s="1953" t="n"/>
      <c r="V352">
        <f>CA352&amp;CB352&amp;CC352&amp;CD352&amp;CE352&amp;CF352&amp;CG352</f>
        <v/>
      </c>
      <c r="CA352" s="90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>
        <f>IF(AND(B352&gt;0,R352="")," * No olvide digitar la variable Pueblos originarios. Digite Cero si no tiene.",IF(R352&gt;B352," * La variable Pueblos originarios No puede ser mayor al Total.",""))</f>
        <v/>
      </c>
      <c r="CE352" s="90">
        <f>IF(AND(B352&gt;0,S352="")," * No olvide digitar la variable Migrantes. Digite Cero si no tiene.",IF(S352&gt;B352," * La variable Migrantes No puede ser mayor al Total.",""))</f>
        <v/>
      </c>
      <c r="CF352" s="260">
        <f>IF(AND(D352&gt;0,OR(T352=""))," * No olvide digitar la variable Trans (Masculino). Digite Cero si no tiene.",IF((T352)&gt;D352," * La variable Trans Masculino No puede ser mayor al Total Mujeres.",""))</f>
        <v/>
      </c>
      <c r="CG352" s="260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/>
      </c>
      <c r="CP352" s="127">
        <f>IF(AND($B352&gt;0,P352=""),1,IF(P352&gt;$B352,1,0))</f>
        <v/>
      </c>
      <c r="CQ352" s="127">
        <f>IF(AND($B352&gt;0,Q352=""),1,IF(Q352&gt;$B352,1,0))</f>
        <v/>
      </c>
      <c r="CR352" s="221">
        <f>IF(AND(B352&gt;0,R352=""),1,IF(R352&gt;B352,1,0))</f>
        <v/>
      </c>
      <c r="CS352" s="221">
        <f>IF(AND(B352&gt;0,S352=""),1,IF(S352&gt;B352,1,0))</f>
        <v/>
      </c>
      <c r="CT352" s="221">
        <f>IF(AND(D352&gt;0,OR(T352="")),1,IF((T352)&gt;D352,1,0))</f>
        <v/>
      </c>
      <c r="CU352" s="221">
        <f>IF(AND(C352&gt;0,OR(U352="")),1,IF((U352)&gt;C352,1,0))</f>
        <v/>
      </c>
    </row>
    <row r="353" ht="18" customFormat="1" customHeight="1" s="5">
      <c r="A353" s="2" t="inlineStr">
        <is>
          <t>SECCIÓN U: INGRESOS  INTEGRALES DE PERSONAS CON CONDICIONES CRÓNICAS EN ATENCIÓN PRIMARIA</t>
        </is>
      </c>
      <c r="B353" s="3" t="n"/>
      <c r="C353" s="3" t="n"/>
      <c r="D353" s="3" t="n"/>
      <c r="E353" s="3" t="n"/>
      <c r="F353" s="3" t="n"/>
      <c r="G353" s="3" t="n"/>
      <c r="H353" s="3" t="n"/>
      <c r="I353" s="3" t="n"/>
      <c r="J353" s="3" t="n"/>
      <c r="K353" s="3" t="n"/>
      <c r="L353" s="3" t="n"/>
      <c r="M353" s="3" t="n"/>
      <c r="N353" s="3" t="n"/>
      <c r="O353" s="3" t="n"/>
      <c r="P353" s="3" t="n"/>
      <c r="Q353" s="3" t="n"/>
      <c r="R353" s="3" t="n"/>
      <c r="S353" s="3" t="n"/>
      <c r="T353" s="3" t="n"/>
      <c r="U353" s="3" t="n"/>
      <c r="V353" s="3" t="n"/>
      <c r="W353" s="3" t="n"/>
      <c r="X353" s="3" t="n"/>
      <c r="Y353" s="3" t="n"/>
      <c r="Z353" s="3" t="n"/>
      <c r="AA353" s="3" t="n"/>
      <c r="AB353" s="3" t="n"/>
      <c r="AC353" s="3" t="n"/>
      <c r="AD353" s="3" t="n"/>
      <c r="AE353" s="3" t="n"/>
      <c r="AF353" s="3" t="n"/>
      <c r="AG353" s="3" t="n"/>
      <c r="AH353" s="3" t="n"/>
      <c r="AI353" s="3" t="n"/>
      <c r="AJ353" s="3" t="n"/>
      <c r="AK353" s="3" t="n"/>
      <c r="AL353" s="3" t="n"/>
      <c r="AM353" s="3" t="n"/>
    </row>
    <row r="354">
      <c r="A354" s="8400" t="inlineStr">
        <is>
          <t>ACTIVIDAD</t>
        </is>
      </c>
      <c r="B354" s="8400" t="inlineStr">
        <is>
          <t>RIESGO</t>
        </is>
      </c>
      <c r="C354" s="9240" t="inlineStr">
        <is>
          <t xml:space="preserve">TOTAL               </t>
        </is>
      </c>
      <c r="D354" s="9602" t="n"/>
      <c r="E354" s="9630" t="n"/>
      <c r="F354" s="9976" t="inlineStr">
        <is>
          <t>RANGO ETARIO Y SEXO</t>
        </is>
      </c>
      <c r="G354" s="9584" t="n"/>
      <c r="H354" s="9584" t="n"/>
      <c r="I354" s="9584" t="n"/>
      <c r="J354" s="9584" t="n"/>
      <c r="K354" s="9584" t="n"/>
      <c r="L354" s="9584" t="n"/>
      <c r="M354" s="9584" t="n"/>
      <c r="N354" s="9584" t="n"/>
      <c r="O354" s="9584" t="n"/>
      <c r="P354" s="9584" t="n"/>
      <c r="Q354" s="9584" t="n"/>
      <c r="R354" s="9584" t="n"/>
      <c r="S354" s="9584" t="n"/>
      <c r="T354" s="9584" t="n"/>
      <c r="U354" s="9584" t="n"/>
      <c r="V354" s="9584" t="n"/>
      <c r="W354" s="9584" t="n"/>
      <c r="X354" s="9584" t="n"/>
      <c r="Y354" s="9584" t="n"/>
      <c r="Z354" s="9584" t="n"/>
      <c r="AA354" s="9584" t="n"/>
      <c r="AB354" s="9584" t="n"/>
      <c r="AC354" s="9584" t="n"/>
      <c r="AD354" s="9584" t="n"/>
      <c r="AE354" s="9584" t="n"/>
      <c r="AF354" s="9584" t="n"/>
      <c r="AG354" s="9595" t="n"/>
      <c r="AH354" s="9916" t="inlineStr">
        <is>
          <t>Pueblos Originarios</t>
        </is>
      </c>
      <c r="AI354" s="10018" t="inlineStr">
        <is>
          <t>Migrantes</t>
        </is>
      </c>
      <c r="AJ354" s="7834" t="inlineStr">
        <is>
          <t>REALIZADO POR</t>
        </is>
      </c>
      <c r="AK354" s="9584" t="n"/>
      <c r="AL354" s="9647" t="n"/>
      <c r="AM354" s="8400" t="inlineStr">
        <is>
          <t>Realizado en domicilio</t>
        </is>
      </c>
    </row>
    <row r="355">
      <c r="A355" s="9614" t="n"/>
      <c r="B355" s="9614" t="n"/>
      <c r="C355" s="9698" t="n"/>
      <c r="D355" s="9591" t="n"/>
      <c r="E355" s="9776" t="n"/>
      <c r="F355" s="9240" t="inlineStr">
        <is>
          <t>15 - 19 años</t>
        </is>
      </c>
      <c r="G355" s="9647" t="n"/>
      <c r="H355" s="9240" t="inlineStr">
        <is>
          <t>20 - 24 años</t>
        </is>
      </c>
      <c r="I355" s="9647" t="n"/>
      <c r="J355" s="9240" t="inlineStr">
        <is>
          <t>25 - 29 años</t>
        </is>
      </c>
      <c r="K355" s="9647" t="n"/>
      <c r="L355" s="9240" t="inlineStr">
        <is>
          <t>30 - 34 años</t>
        </is>
      </c>
      <c r="M355" s="9647" t="n"/>
      <c r="N355" s="9240" t="inlineStr">
        <is>
          <t>35 - 39 años</t>
        </is>
      </c>
      <c r="O355" s="9647" t="n"/>
      <c r="P355" s="9240" t="inlineStr">
        <is>
          <t>40 - 44 años</t>
        </is>
      </c>
      <c r="Q355" s="9647" t="n"/>
      <c r="R355" s="9240" t="inlineStr">
        <is>
          <t>45 - 49 años</t>
        </is>
      </c>
      <c r="S355" s="9647" t="n"/>
      <c r="T355" s="9240" t="inlineStr">
        <is>
          <t>50 - 54 años</t>
        </is>
      </c>
      <c r="U355" s="9647" t="n"/>
      <c r="V355" s="9240" t="inlineStr">
        <is>
          <t>55 - 59 años</t>
        </is>
      </c>
      <c r="W355" s="9647" t="n"/>
      <c r="X355" s="9240" t="inlineStr">
        <is>
          <t>60 - 64 años</t>
        </is>
      </c>
      <c r="Y355" s="9647" t="n"/>
      <c r="Z355" s="9240" t="inlineStr">
        <is>
          <t>65 - 69 años</t>
        </is>
      </c>
      <c r="AA355" s="9647" t="n"/>
      <c r="AB355" s="9240" t="inlineStr">
        <is>
          <t>70 - 74 años</t>
        </is>
      </c>
      <c r="AC355" s="9647" t="n"/>
      <c r="AD355" s="9240" t="inlineStr">
        <is>
          <t>75 - 79 años</t>
        </is>
      </c>
      <c r="AE355" s="9647" t="n"/>
      <c r="AF355" s="9976" t="inlineStr">
        <is>
          <t>80 y más años</t>
        </is>
      </c>
      <c r="AG355" s="9595" t="n"/>
      <c r="AH355" s="9978" t="n"/>
      <c r="AI355" s="10019" t="n"/>
      <c r="AJ355" s="10002" t="inlineStr">
        <is>
          <t>Dupla (Médico + Profesional no médico)</t>
        </is>
      </c>
      <c r="AK355" s="9981" t="inlineStr">
        <is>
          <t>Médico</t>
        </is>
      </c>
      <c r="AL355" s="9931" t="inlineStr">
        <is>
          <t>Profesional No Médico</t>
        </is>
      </c>
      <c r="AM355" s="9614" t="n"/>
    </row>
    <row r="356" ht="27" customHeight="1" s="8286">
      <c r="A356" s="9610" t="n"/>
      <c r="B356" s="9610" t="n"/>
      <c r="C356" s="2167" t="inlineStr">
        <is>
          <t>Ambos Sexos</t>
        </is>
      </c>
      <c r="D356" s="2042" t="inlineStr">
        <is>
          <t>Hombres</t>
        </is>
      </c>
      <c r="E356" s="7729" t="inlineStr">
        <is>
          <t>Mujeres</t>
        </is>
      </c>
      <c r="F356" s="7932" t="inlineStr">
        <is>
          <t>Hombres</t>
        </is>
      </c>
      <c r="G356" s="7729" t="inlineStr">
        <is>
          <t>Mujeres</t>
        </is>
      </c>
      <c r="H356" s="7932" t="inlineStr">
        <is>
          <t>Hombres</t>
        </is>
      </c>
      <c r="I356" s="7729" t="inlineStr">
        <is>
          <t>Mujeres</t>
        </is>
      </c>
      <c r="J356" s="7932" t="inlineStr">
        <is>
          <t xml:space="preserve">Hombres </t>
        </is>
      </c>
      <c r="K356" s="7729" t="inlineStr">
        <is>
          <t>Mujeres</t>
        </is>
      </c>
      <c r="L356" s="7932" t="inlineStr">
        <is>
          <t xml:space="preserve">Hombres </t>
        </is>
      </c>
      <c r="M356" s="7729" t="inlineStr">
        <is>
          <t>Mujeres</t>
        </is>
      </c>
      <c r="N356" s="7932" t="inlineStr">
        <is>
          <t xml:space="preserve">Hombres </t>
        </is>
      </c>
      <c r="O356" s="7729" t="inlineStr">
        <is>
          <t>Mujeres</t>
        </is>
      </c>
      <c r="P356" s="7932" t="inlineStr">
        <is>
          <t xml:space="preserve">Hombres </t>
        </is>
      </c>
      <c r="Q356" s="7729" t="inlineStr">
        <is>
          <t>Mujeres</t>
        </is>
      </c>
      <c r="R356" s="7932" t="inlineStr">
        <is>
          <t xml:space="preserve">Hombres </t>
        </is>
      </c>
      <c r="S356" s="7729" t="inlineStr">
        <is>
          <t>Mujeres</t>
        </is>
      </c>
      <c r="T356" s="7932" t="inlineStr">
        <is>
          <t xml:space="preserve">Hombres </t>
        </is>
      </c>
      <c r="U356" s="7729" t="inlineStr">
        <is>
          <t>Mujeres</t>
        </is>
      </c>
      <c r="V356" s="7932" t="inlineStr">
        <is>
          <t xml:space="preserve">Hombres </t>
        </is>
      </c>
      <c r="W356" s="7729" t="inlineStr">
        <is>
          <t>Mujeres</t>
        </is>
      </c>
      <c r="X356" s="7932" t="inlineStr">
        <is>
          <t xml:space="preserve">Hombres </t>
        </is>
      </c>
      <c r="Y356" s="7729" t="inlineStr">
        <is>
          <t>Mujeres</t>
        </is>
      </c>
      <c r="Z356" s="7932" t="inlineStr">
        <is>
          <t xml:space="preserve">Hombres </t>
        </is>
      </c>
      <c r="AA356" s="7729" t="inlineStr">
        <is>
          <t>Mujeres</t>
        </is>
      </c>
      <c r="AB356" s="7932" t="inlineStr">
        <is>
          <t xml:space="preserve">Hombres </t>
        </is>
      </c>
      <c r="AC356" s="7729" t="inlineStr">
        <is>
          <t>Mujeres</t>
        </is>
      </c>
      <c r="AD356" s="7932" t="inlineStr">
        <is>
          <t xml:space="preserve">Hombres </t>
        </is>
      </c>
      <c r="AE356" s="7729" t="inlineStr">
        <is>
          <t>Mujeres</t>
        </is>
      </c>
      <c r="AF356" s="7932" t="inlineStr">
        <is>
          <t xml:space="preserve">Hombres </t>
        </is>
      </c>
      <c r="AG356" s="7684" t="inlineStr">
        <is>
          <t>Mujeres</t>
        </is>
      </c>
      <c r="AH356" s="9890" t="n"/>
      <c r="AI356" s="10020" t="n"/>
      <c r="AJ356" s="9688" t="n"/>
      <c r="AK356" s="9912" t="n"/>
      <c r="AL356" s="9705" t="n"/>
      <c r="AM356" s="9610" t="n"/>
    </row>
    <row r="357">
      <c r="A357" s="9933" t="inlineStr">
        <is>
          <t>Ingreso Integral</t>
        </is>
      </c>
      <c r="B357" s="7748" t="inlineStr">
        <is>
          <t>Riesgo Leve (G1)</t>
        </is>
      </c>
      <c r="C357" s="2282">
        <f>SUM(D357+E357)</f>
        <v/>
      </c>
      <c r="D357" s="2275">
        <f>SUM(F357+H357+J357+L357+N357+P357+R357+T357+V357+X357+Z357+AB357+AD357+AF357)</f>
        <v/>
      </c>
      <c r="E357" s="2283">
        <f>SUM(G357+I357+K357+M357+O357+Q357+S357+U357+W357+Y357+AA357+AC357+AE357+AG357)</f>
        <v/>
      </c>
      <c r="F357" s="2022" t="n"/>
      <c r="G357" s="2029" t="n"/>
      <c r="H357" s="2022" t="n"/>
      <c r="I357" s="2029" t="n"/>
      <c r="J357" s="2022" t="n"/>
      <c r="K357" s="2029" t="n"/>
      <c r="L357" s="2022" t="n"/>
      <c r="M357" s="2029" t="n"/>
      <c r="N357" s="2022" t="n"/>
      <c r="O357" s="2029" t="n"/>
      <c r="P357" s="2022" t="n"/>
      <c r="Q357" s="2029" t="n"/>
      <c r="R357" s="2022" t="n"/>
      <c r="S357" s="2029" t="n"/>
      <c r="T357" s="2022" t="n"/>
      <c r="U357" s="2029" t="n"/>
      <c r="V357" s="2022" t="n"/>
      <c r="W357" s="2029" t="n"/>
      <c r="X357" s="2022" t="n"/>
      <c r="Y357" s="2029" t="n"/>
      <c r="Z357" s="2022" t="n"/>
      <c r="AA357" s="2029" t="n"/>
      <c r="AB357" s="2022" t="n"/>
      <c r="AC357" s="2029" t="n"/>
      <c r="AD357" s="2022" t="n"/>
      <c r="AE357" s="2029" t="n"/>
      <c r="AF357" s="2022" t="n"/>
      <c r="AG357" s="1983" t="n"/>
      <c r="AH357" s="5213" t="n"/>
      <c r="AI357" s="3996" t="n"/>
      <c r="AJ357" s="2023" t="n"/>
      <c r="AK357" s="835" t="n"/>
      <c r="AL357" s="2124" t="n"/>
      <c r="AM357" s="2124" t="n"/>
      <c r="AN357">
        <f>CA357&amp;CB357</f>
        <v/>
      </c>
      <c r="CA357" s="90">
        <f>IF(AND(C357&gt;0,AH357="")," * No olvide digitar la variable Pueblos originarios. Digite Cero si no tiene.",IF(AH357&gt;C357," * La variable Pueblos originarios No puede ser mayor al Total.",""))</f>
        <v/>
      </c>
      <c r="CB357" s="90">
        <f>IF(AND(C357&gt;0,AI357="")," * No olvide digitar la variable Migrantes. Digite Cero si no tiene.",IF(AI357&gt;C357," * La variable Migrantes No puede ser mayor al Total.",""))</f>
        <v/>
      </c>
      <c r="CO357" s="221">
        <f>IF(AND(C357&gt;0,AH357=""),1,IF(AH357&gt;C357,1,0))</f>
        <v/>
      </c>
      <c r="CP357" s="221">
        <f>IF(AND(C357&gt;0,AI357=""),1,IF(AI357&gt;C357,1,0))</f>
        <v/>
      </c>
    </row>
    <row r="358">
      <c r="A358" s="9614" t="n"/>
      <c r="B358" s="1946" t="inlineStr">
        <is>
          <t>Riesgo Moderado (G2)</t>
        </is>
      </c>
      <c r="C358" s="1254">
        <f>SUM(D358+E358)</f>
        <v/>
      </c>
      <c r="D358" s="2284">
        <f>SUM(F358+H358+J358+L358+N358+P358+R358+T358+V358+X358+Z358+AB358+AD358+AF358)</f>
        <v/>
      </c>
      <c r="E358" s="2285">
        <f>SUM(G358+I358+K358+M358+O358+Q358+S358+U358+W358+Y358+AA358+AC358+AE358+AG358)</f>
        <v/>
      </c>
      <c r="F358" s="1172" t="n"/>
      <c r="G358" s="1173" t="n"/>
      <c r="H358" s="1172" t="n"/>
      <c r="I358" s="1173" t="n"/>
      <c r="J358" s="1172" t="n"/>
      <c r="K358" s="1173" t="n"/>
      <c r="L358" s="1172" t="n"/>
      <c r="M358" s="1173" t="n"/>
      <c r="N358" s="1172" t="n"/>
      <c r="O358" s="1173" t="n"/>
      <c r="P358" s="1172" t="n"/>
      <c r="Q358" s="1173" t="n"/>
      <c r="R358" s="1172" t="n"/>
      <c r="S358" s="1173" t="n"/>
      <c r="T358" s="1172" t="n"/>
      <c r="U358" s="1173" t="n"/>
      <c r="V358" s="1172" t="n"/>
      <c r="W358" s="1173" t="n"/>
      <c r="X358" s="1172" t="n"/>
      <c r="Y358" s="1173" t="n"/>
      <c r="Z358" s="1172" t="n"/>
      <c r="AA358" s="1173" t="n"/>
      <c r="AB358" s="1172" t="n"/>
      <c r="AC358" s="1173" t="n"/>
      <c r="AD358" s="1172" t="n"/>
      <c r="AE358" s="1173" t="n"/>
      <c r="AF358" s="1172" t="n"/>
      <c r="AG358" s="1221" t="n"/>
      <c r="AH358" s="5215" t="n"/>
      <c r="AI358" s="3926" t="n"/>
      <c r="AJ358" s="1174" t="n"/>
      <c r="AK358" s="2001" t="n"/>
      <c r="AL358" s="886" t="n"/>
      <c r="AM358" s="886" t="n"/>
      <c r="AN358">
        <f>CA358&amp;CB358</f>
        <v/>
      </c>
      <c r="CA358" s="90">
        <f>IF(AND(C358&gt;0,AH358="")," * No olvide digitar la variable Pueblos originarios. Digite Cero si no tiene.",IF(AH358&gt;C358," * La variable Pueblos originarios No puede ser mayor al Total.",""))</f>
        <v/>
      </c>
      <c r="CB358" s="90">
        <f>IF(AND(C358&gt;0,AI358="")," * No olvide digitar la variable Migrantes. Digite Cero si no tiene.",IF(AI358&gt;C358," * La variable Migrantes No puede ser mayor al Total.",""))</f>
        <v/>
      </c>
      <c r="CO358" s="221">
        <f>IF(AND(C358&gt;0,AH358=""),1,IF(AH358&gt;C358,1,0))</f>
        <v/>
      </c>
      <c r="CP358" s="221">
        <f>IF(AND(C358&gt;0,AI358=""),1,IF(AI358&gt;C358,1,0))</f>
        <v/>
      </c>
    </row>
    <row r="359">
      <c r="A359" s="9610" t="n"/>
      <c r="B359" s="2060" t="inlineStr">
        <is>
          <t>Riesgo Alto (G3)</t>
        </is>
      </c>
      <c r="C359" s="2286">
        <f>SUM(D359+E359)</f>
        <v/>
      </c>
      <c r="D359" s="2287">
        <f>SUM(F359+H359+J359+L359+N359+P359+R359+T359+V359+X359+Z359+AB359+AD359+AF359)</f>
        <v/>
      </c>
      <c r="E359" s="2288">
        <f>SUM(G359+I359+K359+M359+O359+Q359+S359+U359+W359+Y359+AA359+AC359+AE359+AG359)</f>
        <v/>
      </c>
      <c r="F359" s="1188" t="n"/>
      <c r="G359" s="1192" t="n"/>
      <c r="H359" s="1188" t="n"/>
      <c r="I359" s="1192" t="n"/>
      <c r="J359" s="1188" t="n"/>
      <c r="K359" s="1192" t="n"/>
      <c r="L359" s="1188" t="n"/>
      <c r="M359" s="1192" t="n"/>
      <c r="N359" s="1188" t="n"/>
      <c r="O359" s="1192" t="n"/>
      <c r="P359" s="1188" t="n"/>
      <c r="Q359" s="1192" t="n"/>
      <c r="R359" s="1188" t="n"/>
      <c r="S359" s="1192" t="n"/>
      <c r="T359" s="1188" t="n"/>
      <c r="U359" s="1192" t="n"/>
      <c r="V359" s="1188" t="n"/>
      <c r="W359" s="1192" t="n"/>
      <c r="X359" s="1188" t="n"/>
      <c r="Y359" s="1192" t="n"/>
      <c r="Z359" s="1188" t="n"/>
      <c r="AA359" s="1192" t="n"/>
      <c r="AB359" s="1188" t="n"/>
      <c r="AC359" s="1192" t="n"/>
      <c r="AD359" s="1188" t="n"/>
      <c r="AE359" s="1192" t="n"/>
      <c r="AF359" s="1188" t="n"/>
      <c r="AG359" s="1226" t="n">
        <v>1</v>
      </c>
      <c r="AH359" s="5249" t="n">
        <v>0</v>
      </c>
      <c r="AI359" s="3994" t="n">
        <v>0</v>
      </c>
      <c r="AJ359" s="1193" t="n">
        <v>0</v>
      </c>
      <c r="AK359" s="1118" t="n">
        <v>1</v>
      </c>
      <c r="AL359" s="1119" t="n">
        <v>0</v>
      </c>
      <c r="AM359" s="1119" t="n">
        <v>0</v>
      </c>
      <c r="AN359">
        <f>CA359&amp;CB359</f>
        <v/>
      </c>
      <c r="CA359" s="90">
        <f>IF(AND(C359&gt;0,AH359="")," * No olvide digitar la variable Pueblos originarios. Digite Cero si no tiene.",IF(AH359&gt;C359," * La variable Pueblos originarios No puede ser mayor al Total.",""))</f>
        <v/>
      </c>
      <c r="CB359" s="90">
        <f>IF(AND(C359&gt;0,AI359="")," * No olvide digitar la variable Migrantes. Digite Cero si no tiene.",IF(AI359&gt;C359," * La variable Migrantes No puede ser mayor al Total.",""))</f>
        <v/>
      </c>
      <c r="CO359" s="221">
        <f>IF(AND(C359&gt;0,AH359=""),1,IF(AH359&gt;C359,1,0))</f>
        <v/>
      </c>
      <c r="CP359" s="221">
        <f>IF(AND(C359&gt;0,AI359=""),1,IF(AI359&gt;C359,1,0))</f>
        <v/>
      </c>
    </row>
    <row r="360">
      <c r="A360" s="9933" t="inlineStr">
        <is>
          <t>Plan de Cuidado Elaborado</t>
        </is>
      </c>
      <c r="B360" s="7748" t="inlineStr">
        <is>
          <t>Riesgo Leve (G1)</t>
        </is>
      </c>
      <c r="C360" s="2282">
        <f>SUM(D360+E360)</f>
        <v/>
      </c>
      <c r="D360" s="2275">
        <f>SUM(F360+H360+J360+L360+N360+P360+R360+T360+V360+X360+Z360+AB360+AD360+AF360)</f>
        <v/>
      </c>
      <c r="E360" s="2283">
        <f>SUM(G360+I360+K360+M360+O360+Q360+S360+U360+W360+Y360+AA360+AC360+AE360+AG360)</f>
        <v/>
      </c>
      <c r="F360" s="1935" t="n"/>
      <c r="G360" s="1186" t="n"/>
      <c r="H360" s="1935" t="n"/>
      <c r="I360" s="1186" t="n"/>
      <c r="J360" s="1935" t="n"/>
      <c r="K360" s="1186" t="n"/>
      <c r="L360" s="1935" t="n"/>
      <c r="M360" s="1186" t="n"/>
      <c r="N360" s="1935" t="n"/>
      <c r="O360" s="1186" t="n"/>
      <c r="P360" s="1935" t="n"/>
      <c r="Q360" s="1186" t="n"/>
      <c r="R360" s="1935" t="n"/>
      <c r="S360" s="1186" t="n"/>
      <c r="T360" s="1935" t="n"/>
      <c r="U360" s="1186" t="n"/>
      <c r="V360" s="1935" t="n"/>
      <c r="W360" s="1186" t="n"/>
      <c r="X360" s="1935" t="n"/>
      <c r="Y360" s="1186" t="n"/>
      <c r="Z360" s="1935" t="n"/>
      <c r="AA360" s="1186" t="n"/>
      <c r="AB360" s="1935" t="n"/>
      <c r="AC360" s="1186" t="n"/>
      <c r="AD360" s="1935" t="n"/>
      <c r="AE360" s="1186" t="n"/>
      <c r="AF360" s="1935" t="n"/>
      <c r="AG360" s="1297" t="n"/>
      <c r="AH360" s="5214" t="n"/>
      <c r="AI360" s="1965" t="n"/>
      <c r="AJ360" s="1432" t="n"/>
      <c r="AK360" s="793" t="n"/>
      <c r="AL360" s="755" t="n"/>
      <c r="AM360" s="755" t="n"/>
      <c r="AN360">
        <f>CA360&amp;CB360</f>
        <v/>
      </c>
      <c r="CA360" s="90">
        <f>IF(AND(C360&gt;0,AH360="")," * No olvide digitar la variable Pueblos originarios. Digite Cero si no tiene.",IF(AH360&gt;C360," * La variable Pueblos originarios No puede ser mayor al Total.",""))</f>
        <v/>
      </c>
      <c r="CB360" s="90">
        <f>IF(AND(C360&gt;0,AI360="")," * No olvide digitar la variable Migrantes. Digite Cero si no tiene.",IF(AI360&gt;C360," * La variable Migrantes No puede ser mayor al Total.",""))</f>
        <v/>
      </c>
      <c r="CO360" s="221">
        <f>IF(AND(C360&gt;0,AH360=""),1,IF(AH360&gt;C360,1,0))</f>
        <v/>
      </c>
      <c r="CP360" s="221">
        <f>IF(AND(C360&gt;0,AI360=""),1,IF(AI360&gt;C360,1,0))</f>
        <v/>
      </c>
    </row>
    <row r="361">
      <c r="A361" s="9614" t="n"/>
      <c r="B361" s="1946" t="inlineStr">
        <is>
          <t>Riesgo Moderado (G2)</t>
        </is>
      </c>
      <c r="C361" s="1254">
        <f>SUM(D361+E361)</f>
        <v/>
      </c>
      <c r="D361" s="2284">
        <f>SUM(F361+H361+J361+L361+N361+P361+R361+T361+V361+X361+Z361+AB361+AD361+AF361)</f>
        <v/>
      </c>
      <c r="E361" s="2285">
        <f>SUM(G361+I361+K361+M361+O361+Q361+S361+U361+W361+Y361+AA361+AC361+AE361+AG361)</f>
        <v/>
      </c>
      <c r="F361" s="1172" t="n"/>
      <c r="G361" s="1173" t="n"/>
      <c r="H361" s="1172" t="n"/>
      <c r="I361" s="1173" t="n"/>
      <c r="J361" s="1172" t="n"/>
      <c r="K361" s="1173" t="n"/>
      <c r="L361" s="1172" t="n"/>
      <c r="M361" s="1173" t="n"/>
      <c r="N361" s="1172" t="n"/>
      <c r="O361" s="1173" t="n"/>
      <c r="P361" s="1172" t="n"/>
      <c r="Q361" s="1173" t="n"/>
      <c r="R361" s="1172" t="n"/>
      <c r="S361" s="1173" t="n"/>
      <c r="T361" s="1172" t="n"/>
      <c r="U361" s="1173" t="n"/>
      <c r="V361" s="1172" t="n"/>
      <c r="W361" s="1173" t="n"/>
      <c r="X361" s="1172" t="n"/>
      <c r="Y361" s="1173" t="n"/>
      <c r="Z361" s="1172" t="n"/>
      <c r="AA361" s="1173" t="n"/>
      <c r="AB361" s="1172" t="n"/>
      <c r="AC361" s="1173" t="n"/>
      <c r="AD361" s="1172" t="n"/>
      <c r="AE361" s="1173" t="n"/>
      <c r="AF361" s="1172" t="n"/>
      <c r="AG361" s="1221" t="n"/>
      <c r="AH361" s="5215" t="n"/>
      <c r="AI361" s="3926" t="n"/>
      <c r="AJ361" s="3893" t="n"/>
      <c r="AK361" s="3789" t="n"/>
      <c r="AL361" s="886" t="n"/>
      <c r="AM361" s="886" t="n"/>
      <c r="AN361">
        <f>CA361&amp;CB361</f>
        <v/>
      </c>
      <c r="CA361" s="90">
        <f>IF(AND(C361&gt;0,AH361="")," * No olvide digitar la variable Pueblos originarios. Digite Cero si no tiene.",IF(AH361&gt;C361," * La variable Pueblos originarios No puede ser mayor al Total.",""))</f>
        <v/>
      </c>
      <c r="CB361" s="90">
        <f>IF(AND(C361&gt;0,AI361="")," * No olvide digitar la variable Migrantes. Digite Cero si no tiene.",IF(AI361&gt;C361," * La variable Migrantes No puede ser mayor al Total.",""))</f>
        <v/>
      </c>
      <c r="CO361" s="221">
        <f>IF(AND(C361&gt;0,AH361=""),1,IF(AH361&gt;C361,1,0))</f>
        <v/>
      </c>
      <c r="CP361" s="221">
        <f>IF(AND(C361&gt;0,AI361=""),1,IF(AI361&gt;C361,1,0))</f>
        <v/>
      </c>
    </row>
    <row r="362">
      <c r="A362" s="9610" t="n"/>
      <c r="B362" s="2060" t="inlineStr">
        <is>
          <t>Riesgo Alto (G3)</t>
        </is>
      </c>
      <c r="C362" s="1252">
        <f>SUM(D362+E362)</f>
        <v/>
      </c>
      <c r="D362" s="2289">
        <f>SUM(F362+H362+J362+L362+N362+P362+R362+T362+V362+X362+Z362+AB362+AD362+AF362)</f>
        <v/>
      </c>
      <c r="E362" s="2290">
        <f>SUM(G362+I362+K362+M362+O362+Q362+S362+U362+W362+Y362+AA362+AC362+AE362+AG362)</f>
        <v/>
      </c>
      <c r="F362" s="872" t="n"/>
      <c r="G362" s="1953" t="n"/>
      <c r="H362" s="872" t="n"/>
      <c r="I362" s="1953" t="n"/>
      <c r="J362" s="872" t="n"/>
      <c r="K362" s="1953" t="n"/>
      <c r="L362" s="872" t="n"/>
      <c r="M362" s="1953" t="n"/>
      <c r="N362" s="872" t="n"/>
      <c r="O362" s="1953" t="n"/>
      <c r="P362" s="872" t="n"/>
      <c r="Q362" s="1953" t="n"/>
      <c r="R362" s="872" t="n"/>
      <c r="S362" s="1953" t="n"/>
      <c r="T362" s="872" t="n"/>
      <c r="U362" s="1953" t="n"/>
      <c r="V362" s="872" t="n"/>
      <c r="W362" s="1953" t="n"/>
      <c r="X362" s="872" t="n"/>
      <c r="Y362" s="1953" t="n"/>
      <c r="Z362" s="872" t="n"/>
      <c r="AA362" s="1953" t="n"/>
      <c r="AB362" s="872" t="n"/>
      <c r="AC362" s="1953" t="n"/>
      <c r="AD362" s="872" t="n"/>
      <c r="AE362" s="1953" t="n"/>
      <c r="AF362" s="872" t="n"/>
      <c r="AG362" s="1954" t="n"/>
      <c r="AH362" s="5249" t="n"/>
      <c r="AI362" s="3994" t="n"/>
      <c r="AJ362" s="1193" t="n"/>
      <c r="AK362" s="1118" t="n"/>
      <c r="AL362" s="1119" t="n"/>
      <c r="AM362" s="1119" t="n"/>
      <c r="AN362">
        <f>CA362&amp;CB362</f>
        <v/>
      </c>
      <c r="CA362" s="90">
        <f>IF(AND(C362&gt;0,AH362="")," * No olvide digitar la variable Pueblos originarios. Digite Cero si no tiene.",IF(AH362&gt;C362," * La variable Pueblos originarios No puede ser mayor al Total.",""))</f>
        <v/>
      </c>
      <c r="CB362" s="90">
        <f>IF(AND(C362&gt;0,AI362="")," * No olvide digitar la variable Migrantes. Digite Cero si no tiene.",IF(AI362&gt;C362," * La variable Migrantes No puede ser mayor al Total.",""))</f>
        <v/>
      </c>
      <c r="CO362" s="221">
        <f>IF(AND(C362&gt;0,AH362=""),1,IF(AH362&gt;C362,1,0))</f>
        <v/>
      </c>
      <c r="CP362" s="221">
        <f>IF(AND(C362&gt;0,AI362=""),1,IF(AI362&gt;C362,1,0))</f>
        <v/>
      </c>
    </row>
    <row r="363">
      <c r="A363" s="10021" t="inlineStr">
        <is>
          <t>Gestión de casos</t>
        </is>
      </c>
      <c r="B363" s="7748" t="inlineStr">
        <is>
          <t>Ingreso Riesgo Alto (G3)</t>
        </is>
      </c>
      <c r="C363" s="1931">
        <f>SUM(D363+E363)</f>
        <v/>
      </c>
      <c r="D363" s="1932">
        <f>SUM(F363+H363+J363+L363+N363+P363+R363+T363+V363+X363+Z363+AB363+AD363+AF363)</f>
        <v/>
      </c>
      <c r="E363" s="2291">
        <f>SUM(G363+I363+K363+M363+O363+Q363+S363+U363+W363+Y363+AA363+AC363+AE363+AG363)</f>
        <v/>
      </c>
      <c r="F363" s="1935" t="n"/>
      <c r="G363" s="1186" t="n"/>
      <c r="H363" s="1935" t="n"/>
      <c r="I363" s="1186" t="n"/>
      <c r="J363" s="1935" t="n"/>
      <c r="K363" s="1186" t="n"/>
      <c r="L363" s="1935" t="n"/>
      <c r="M363" s="1186" t="n"/>
      <c r="N363" s="1935" t="n"/>
      <c r="O363" s="1186" t="n"/>
      <c r="P363" s="1935" t="n"/>
      <c r="Q363" s="1186" t="n"/>
      <c r="R363" s="1935" t="n"/>
      <c r="S363" s="1186" t="n"/>
      <c r="T363" s="1935" t="n"/>
      <c r="U363" s="1186" t="n"/>
      <c r="V363" s="1935" t="n"/>
      <c r="W363" s="1186" t="n"/>
      <c r="X363" s="1935" t="n"/>
      <c r="Y363" s="1186" t="n"/>
      <c r="Z363" s="1935" t="n"/>
      <c r="AA363" s="1186" t="n"/>
      <c r="AB363" s="1935" t="n"/>
      <c r="AC363" s="1186" t="n"/>
      <c r="AD363" s="1935" t="n"/>
      <c r="AE363" s="1186" t="n"/>
      <c r="AF363" s="1935" t="n"/>
      <c r="AG363" s="1297" t="n"/>
      <c r="AH363" s="5214" t="n"/>
      <c r="AI363" s="1965" t="n"/>
      <c r="AJ363" s="1432" t="n"/>
      <c r="AK363" s="793" t="n"/>
      <c r="AL363" s="755" t="n"/>
      <c r="AM363" s="755" t="n"/>
      <c r="AN363">
        <f>CA363&amp;CB363</f>
        <v/>
      </c>
      <c r="CA363" s="90">
        <f>IF(AND(C363&gt;0,AH363="")," * No olvide digitar la variable Pueblos originarios. Digite Cero si no tiene.",IF(AH363&gt;C363," * La variable Pueblos originarios No puede ser mayor al Total.",""))</f>
        <v/>
      </c>
      <c r="CB363" s="90">
        <f>IF(AND(C363&gt;0,AI363="")," * No olvide digitar la variable Migrantes. Digite Cero si no tiene.",IF(AI363&gt;C363," * La variable Migrantes No puede ser mayor al Total.",""))</f>
        <v/>
      </c>
      <c r="CO363" s="221">
        <f>IF(AND(C363&gt;0,AH363=""),1,IF(AH363&gt;C363,1,0))</f>
        <v/>
      </c>
      <c r="CP363" s="221">
        <f>IF(AND(C363&gt;0,AI363=""),1,IF(AI363&gt;C363,1,0))</f>
        <v/>
      </c>
    </row>
    <row r="364">
      <c r="A364" s="9625" t="n"/>
      <c r="B364" s="1121" t="inlineStr">
        <is>
          <t>Ingreso Riesgo Moderado (G2)</t>
        </is>
      </c>
      <c r="C364" s="1254">
        <f>SUM(D364+E364)</f>
        <v/>
      </c>
      <c r="D364" s="2284">
        <f>SUM(F364+H364+J364+L364+N364+P364+R364+T364+V364+X364+Z364+AB364+AD364+AF364)</f>
        <v/>
      </c>
      <c r="E364" s="2285">
        <f>SUM(G364+I364+K364+M364+O364+Q364+S364+U364+W364+Y364+AA364+AC364+AE364+AG364)</f>
        <v/>
      </c>
      <c r="F364" s="1172" t="n"/>
      <c r="G364" s="1173" t="n"/>
      <c r="H364" s="1172" t="n"/>
      <c r="I364" s="1173" t="n"/>
      <c r="J364" s="1172" t="n"/>
      <c r="K364" s="1173" t="n"/>
      <c r="L364" s="1172" t="n"/>
      <c r="M364" s="1173" t="n"/>
      <c r="N364" s="1172" t="n"/>
      <c r="O364" s="1173" t="n"/>
      <c r="P364" s="1172" t="n"/>
      <c r="Q364" s="1173" t="n"/>
      <c r="R364" s="1172" t="n"/>
      <c r="S364" s="1173" t="n"/>
      <c r="T364" s="1172" t="n"/>
      <c r="U364" s="1173" t="n"/>
      <c r="V364" s="1172" t="n"/>
      <c r="W364" s="1173" t="n"/>
      <c r="X364" s="1172" t="n"/>
      <c r="Y364" s="1173" t="n"/>
      <c r="Z364" s="1172" t="n"/>
      <c r="AA364" s="1173" t="n"/>
      <c r="AB364" s="1172" t="n"/>
      <c r="AC364" s="1173" t="n"/>
      <c r="AD364" s="1172" t="n"/>
      <c r="AE364" s="1173" t="n"/>
      <c r="AF364" s="1172" t="n"/>
      <c r="AG364" s="1221" t="n"/>
      <c r="AH364" s="5215" t="n"/>
      <c r="AI364" s="3926" t="n"/>
      <c r="AJ364" s="1174" t="n"/>
      <c r="AK364" s="2001" t="n"/>
      <c r="AL364" s="886" t="n"/>
      <c r="AM364" s="886" t="n"/>
      <c r="AN364">
        <f>CA364&amp;CB364</f>
        <v/>
      </c>
      <c r="CA364" s="90">
        <f>IF(AND(C364&gt;0,AH364="")," * No olvide digitar la variable Pueblos originarios. Digite Cero si no tiene.",IF(AH364&gt;C364," * La variable Pueblos originarios No puede ser mayor al Total.",""))</f>
        <v/>
      </c>
      <c r="CB364" s="90">
        <f>IF(AND(C364&gt;0,AI364="")," * No olvide digitar la variable Migrantes. Digite Cero si no tiene.",IF(AI364&gt;C364," * La variable Migrantes No puede ser mayor al Total.",""))</f>
        <v/>
      </c>
      <c r="CO364" s="221">
        <f>IF(AND(C364&gt;0,AH364=""),1,IF(AH364&gt;C364,1,0))</f>
        <v/>
      </c>
      <c r="CP364" s="221">
        <f>IF(AND(C364&gt;0,AI364=""),1,IF(AI364&gt;C364,1,0))</f>
        <v/>
      </c>
    </row>
    <row r="365">
      <c r="A365" s="9625" t="n"/>
      <c r="B365" s="1121" t="inlineStr">
        <is>
          <t>Egreso Riesgo Alto (G3)</t>
        </is>
      </c>
      <c r="C365" s="1254">
        <f>SUM(D365+E365)</f>
        <v/>
      </c>
      <c r="D365" s="2284">
        <f>SUM(F365+H365+J365+L365+N365+P365+R365+T365+V365+X365+Z365+AB365+AD365+AF365)</f>
        <v/>
      </c>
      <c r="E365" s="2285">
        <f>SUM(G365+I365+K365+M365+O365+Q365+S365+U365+W365+Y365+AA365+AC365+AE365+AG365)</f>
        <v/>
      </c>
      <c r="F365" s="1172" t="n"/>
      <c r="G365" s="1173" t="n"/>
      <c r="H365" s="1172" t="n"/>
      <c r="I365" s="1173" t="n"/>
      <c r="J365" s="1172" t="n"/>
      <c r="K365" s="1173" t="n"/>
      <c r="L365" s="1172" t="n"/>
      <c r="M365" s="1173" t="n"/>
      <c r="N365" s="1172" t="n"/>
      <c r="O365" s="1173" t="n"/>
      <c r="P365" s="1172" t="n"/>
      <c r="Q365" s="1173" t="n"/>
      <c r="R365" s="1172" t="n"/>
      <c r="S365" s="1173" t="n"/>
      <c r="T365" s="1172" t="n"/>
      <c r="U365" s="1173" t="n"/>
      <c r="V365" s="1172" t="n"/>
      <c r="W365" s="1173" t="n"/>
      <c r="X365" s="1172" t="n"/>
      <c r="Y365" s="1173" t="n"/>
      <c r="Z365" s="1172" t="n"/>
      <c r="AA365" s="1173" t="n"/>
      <c r="AB365" s="1172" t="n"/>
      <c r="AC365" s="1173" t="n"/>
      <c r="AD365" s="1172" t="n"/>
      <c r="AE365" s="1173" t="n"/>
      <c r="AF365" s="1172" t="n"/>
      <c r="AG365" s="1221" t="n"/>
      <c r="AH365" s="5215" t="n"/>
      <c r="AI365" s="3926" t="n"/>
      <c r="AJ365" s="1174" t="n"/>
      <c r="AK365" s="2001" t="n"/>
      <c r="AL365" s="886" t="n"/>
      <c r="AM365" s="886" t="n"/>
      <c r="AN365">
        <f>CA365&amp;CB365</f>
        <v/>
      </c>
      <c r="CA365" s="90">
        <f>IF(AND(C365&gt;0,AH365="")," * No olvide digitar la variable Pueblos originarios. Digite Cero si no tiene.",IF(AH365&gt;C365," * La variable Pueblos originarios No puede ser mayor al Total.",""))</f>
        <v/>
      </c>
      <c r="CB365" s="90">
        <f>IF(AND(C365&gt;0,AI365="")," * No olvide digitar la variable Migrantes. Digite Cero si no tiene.",IF(AI365&gt;C365," * La variable Migrantes No puede ser mayor al Total.",""))</f>
        <v/>
      </c>
      <c r="CO365" s="221">
        <f>IF(AND(C365&gt;0,AH365=""),1,IF(AH365&gt;C365,1,0))</f>
        <v/>
      </c>
      <c r="CP365" s="221">
        <f>IF(AND(C365&gt;0,AI365=""),1,IF(AI365&gt;C365,1,0))</f>
        <v/>
      </c>
    </row>
    <row r="366">
      <c r="A366" s="9641" t="n"/>
      <c r="B366" s="2060" t="inlineStr">
        <is>
          <t>Egreso Riesgo Moderado (G2)</t>
        </is>
      </c>
      <c r="C366" s="1252">
        <f>SUM(D366+E366)</f>
        <v/>
      </c>
      <c r="D366" s="2289">
        <f>SUM(F366+H366+J366+L366+N366+P366+R366+T366+V366+X366+Z366+AB366+AD366+AF366)</f>
        <v/>
      </c>
      <c r="E366" s="2290">
        <f>SUM(G366+I366+K366+M366+O366+Q366+S366+U366+W366+Y366+AA366+AC366+AE366+AG366)</f>
        <v/>
      </c>
      <c r="F366" s="872" t="n"/>
      <c r="G366" s="1953" t="n"/>
      <c r="H366" s="872" t="n"/>
      <c r="I366" s="1953" t="n"/>
      <c r="J366" s="872" t="n"/>
      <c r="K366" s="1953" t="n"/>
      <c r="L366" s="872" t="n"/>
      <c r="M366" s="1953" t="n"/>
      <c r="N366" s="872" t="n"/>
      <c r="O366" s="1953" t="n"/>
      <c r="P366" s="872" t="n"/>
      <c r="Q366" s="1953" t="n"/>
      <c r="R366" s="872" t="n"/>
      <c r="S366" s="1953" t="n"/>
      <c r="T366" s="872" t="n"/>
      <c r="U366" s="1953" t="n"/>
      <c r="V366" s="872" t="n"/>
      <c r="W366" s="1953" t="n"/>
      <c r="X366" s="872" t="n"/>
      <c r="Y366" s="1953" t="n"/>
      <c r="Z366" s="872" t="n"/>
      <c r="AA366" s="1953" t="n"/>
      <c r="AB366" s="872" t="n"/>
      <c r="AC366" s="1953" t="n"/>
      <c r="AD366" s="872" t="n"/>
      <c r="AE366" s="1953" t="n"/>
      <c r="AF366" s="872" t="n"/>
      <c r="AG366" s="1954" t="n"/>
      <c r="AH366" s="5360" t="n"/>
      <c r="AI366" s="5400" t="n"/>
      <c r="AJ366" s="1434" t="n"/>
      <c r="AK366" s="155" t="n"/>
      <c r="AL366" s="183" t="n"/>
      <c r="AM366" s="183" t="n"/>
      <c r="AN366">
        <f>CA366&amp;CB366</f>
        <v/>
      </c>
      <c r="CA366" s="90">
        <f>IF(AND(C366&gt;0,AH366="")," * No olvide digitar la variable Pueblos originarios. Digite Cero si no tiene.",IF(AH366&gt;C366," * La variable Pueblos originarios No puede ser mayor al Total.",""))</f>
        <v/>
      </c>
      <c r="CB366" s="90">
        <f>IF(AND(C366&gt;0,AI366="")," * No olvide digitar la variable Migrantes. Digite Cero si no tiene.",IF(AI366&gt;C366," * La variable Migrantes No puede ser mayor al Total.",""))</f>
        <v/>
      </c>
      <c r="CO366" s="221">
        <f>IF(AND(C366&gt;0,AH366=""),1,IF(AH366&gt;C366,1,0))</f>
        <v/>
      </c>
      <c r="CP366" s="221">
        <f>IF(AND(C366&gt;0,AI366=""),1,IF(AI366&gt;C366,1,0))</f>
        <v/>
      </c>
    </row>
    <row r="367" ht="18" customHeight="1" s="8286">
      <c r="A367" s="263" t="inlineStr">
        <is>
          <t xml:space="preserve">SECCIÓN V: INGRESOS Y EGRESOS DEL PROGRAMA DE ATENCIÓN DOMICILIARIA PARA PERSONAS CON DEPENDENCIA SEVERA </t>
        </is>
      </c>
      <c r="B367" s="646" t="n"/>
      <c r="C367" s="7" t="n"/>
      <c r="D367" s="5" t="n"/>
      <c r="E367" s="7" t="n"/>
      <c r="F367" s="7" t="n"/>
      <c r="G367" s="7" t="n"/>
      <c r="H367" s="7" t="n"/>
      <c r="I367" s="7" t="n"/>
      <c r="J367" s="7" t="n"/>
      <c r="K367" s="264" t="n"/>
      <c r="L367" s="7" t="n"/>
      <c r="M367" s="7" t="n"/>
      <c r="N367" s="7" t="n"/>
      <c r="O367" s="7" t="n"/>
      <c r="P367" s="7" t="n"/>
      <c r="Q367" s="7" t="n"/>
      <c r="R367" s="7" t="n"/>
      <c r="S367" s="7" t="n"/>
      <c r="T367" s="7" t="n"/>
      <c r="U367" s="7" t="n"/>
      <c r="V367" s="7" t="n"/>
      <c r="W367" s="7" t="n"/>
      <c r="X367" s="7" t="n"/>
      <c r="Y367" s="7" t="n"/>
      <c r="Z367" s="7" t="n"/>
      <c r="AA367" s="7" t="n"/>
      <c r="AB367" s="7" t="n"/>
      <c r="AC367" s="7" t="n"/>
      <c r="AD367" s="7" t="n"/>
      <c r="AE367" s="7" t="n"/>
      <c r="AF367" s="7" t="n"/>
      <c r="AG367" s="7" t="n"/>
      <c r="AH367" s="7" t="n"/>
      <c r="AI367" s="7" t="n"/>
      <c r="AJ367" s="7" t="n"/>
      <c r="AK367" s="7" t="n"/>
      <c r="AL367" s="7" t="n"/>
      <c r="AM367" s="7" t="n"/>
      <c r="AN367" s="7" t="n"/>
      <c r="AO367" s="7" t="n"/>
      <c r="AP367" s="7" t="n"/>
      <c r="AQ367" s="7" t="n"/>
      <c r="AR367" s="7" t="n"/>
      <c r="AS367" s="7" t="n"/>
    </row>
    <row r="368">
      <c r="A368" s="8473" t="inlineStr">
        <is>
          <t>TIPO DE INGRESO O EGRESO</t>
        </is>
      </c>
      <c r="B368" s="9914" t="inlineStr">
        <is>
          <t>TOTAL</t>
        </is>
      </c>
      <c r="C368" s="9602" t="n"/>
      <c r="D368" s="9630" t="n"/>
      <c r="E368" s="9915" t="inlineStr">
        <is>
          <t>RANGO ETARIO Y SEXO</t>
        </is>
      </c>
      <c r="F368" s="9584" t="n"/>
      <c r="G368" s="9584" t="n"/>
      <c r="H368" s="9584" t="n"/>
      <c r="I368" s="9584" t="n"/>
      <c r="J368" s="9584" t="n"/>
      <c r="K368" s="9584" t="n"/>
      <c r="L368" s="9584" t="n"/>
      <c r="M368" s="9584" t="n"/>
      <c r="N368" s="9584" t="n"/>
      <c r="O368" s="9584" t="n"/>
      <c r="P368" s="9584" t="n"/>
      <c r="Q368" s="9584" t="n"/>
      <c r="R368" s="9584" t="n"/>
      <c r="S368" s="9584" t="n"/>
      <c r="T368" s="9584" t="n"/>
      <c r="U368" s="9584" t="n"/>
      <c r="V368" s="9584" t="n"/>
      <c r="W368" s="9584" t="n"/>
      <c r="X368" s="9584" t="n"/>
      <c r="Y368" s="9584" t="n"/>
      <c r="Z368" s="9584" t="n"/>
      <c r="AA368" s="9584" t="n"/>
      <c r="AB368" s="9584" t="n"/>
      <c r="AC368" s="9584" t="n"/>
      <c r="AD368" s="9584" t="n"/>
      <c r="AE368" s="9584" t="n"/>
      <c r="AF368" s="9584" t="n"/>
      <c r="AG368" s="9584" t="n"/>
      <c r="AH368" s="9584" t="n"/>
      <c r="AI368" s="9584" t="n"/>
      <c r="AJ368" s="9584" t="n"/>
      <c r="AK368" s="9584" t="n"/>
      <c r="AL368" s="9595" t="n"/>
      <c r="AM368" s="10022" t="inlineStr">
        <is>
          <t>TIPO DE ESTRATEGIA</t>
        </is>
      </c>
      <c r="AN368" s="9584" t="n"/>
      <c r="AO368" s="9584" t="n"/>
      <c r="AP368" s="9647" t="n"/>
      <c r="AQ368" s="9693" t="inlineStr">
        <is>
          <t>Personas con discapacidad (con RND)</t>
        </is>
      </c>
      <c r="AR368" s="9980" t="inlineStr">
        <is>
          <t>Pueblos Originarios</t>
        </is>
      </c>
      <c r="AS368" s="9920" t="inlineStr">
        <is>
          <t>Migrantes</t>
        </is>
      </c>
    </row>
    <row r="369">
      <c r="A369" s="9614" t="n"/>
      <c r="B369" s="642" t="n"/>
      <c r="D369" s="9718" t="n"/>
      <c r="E369" s="8400" t="inlineStr">
        <is>
          <t>0 - 4 años</t>
        </is>
      </c>
      <c r="F369" s="9582" t="n"/>
      <c r="G369" s="8400" t="inlineStr">
        <is>
          <t>5 - 9 años</t>
        </is>
      </c>
      <c r="H369" s="9582" t="n"/>
      <c r="I369" s="8400" t="inlineStr">
        <is>
          <t>10 - 14 años</t>
        </is>
      </c>
      <c r="J369" s="9582" t="n"/>
      <c r="K369" s="8400" t="inlineStr">
        <is>
          <t>15 - 19 años</t>
        </is>
      </c>
      <c r="L369" s="9582" t="n"/>
      <c r="M369" s="8400" t="inlineStr">
        <is>
          <t>20 - 24 años</t>
        </is>
      </c>
      <c r="N369" s="9582" t="n"/>
      <c r="O369" s="8400" t="inlineStr">
        <is>
          <t>25-29 años</t>
        </is>
      </c>
      <c r="P369" s="9582" t="n"/>
      <c r="Q369" s="8400" t="inlineStr">
        <is>
          <t>30-34 años</t>
        </is>
      </c>
      <c r="R369" s="9582" t="n"/>
      <c r="S369" s="8400" t="inlineStr">
        <is>
          <t>35 - 39 años</t>
        </is>
      </c>
      <c r="T369" s="9582" t="n"/>
      <c r="U369" s="8400" t="inlineStr">
        <is>
          <t>40 - 44 años</t>
        </is>
      </c>
      <c r="V369" s="9582" t="n"/>
      <c r="W369" s="8400" t="inlineStr">
        <is>
          <t>45- 49 años</t>
        </is>
      </c>
      <c r="X369" s="9582" t="n"/>
      <c r="Y369" s="8400" t="inlineStr">
        <is>
          <t>50 - 54 años</t>
        </is>
      </c>
      <c r="Z369" s="9582" t="n"/>
      <c r="AA369" s="8400" t="inlineStr">
        <is>
          <t>55 - 59 años</t>
        </is>
      </c>
      <c r="AB369" s="9582" t="n"/>
      <c r="AC369" s="8400" t="inlineStr">
        <is>
          <t>60 - 64 años</t>
        </is>
      </c>
      <c r="AD369" s="9582" t="n"/>
      <c r="AE369" s="8400" t="inlineStr">
        <is>
          <t>65 - 69 años</t>
        </is>
      </c>
      <c r="AF369" s="9582" t="n"/>
      <c r="AG369" s="8400" t="inlineStr">
        <is>
          <t>70 - 74 años</t>
        </is>
      </c>
      <c r="AH369" s="9582" t="n"/>
      <c r="AI369" s="8400" t="inlineStr">
        <is>
          <t>75 - 79 años</t>
        </is>
      </c>
      <c r="AJ369" s="9582" t="n"/>
      <c r="AK369" s="9915" t="inlineStr">
        <is>
          <t>80 y mas años</t>
        </is>
      </c>
      <c r="AL369" s="9595" t="n"/>
      <c r="AM369" s="10023" t="inlineStr">
        <is>
          <t xml:space="preserve">Rehabilitación NNA </t>
        </is>
      </c>
      <c r="AN369" s="10024" t="inlineStr">
        <is>
          <t>Rehabilitación Base Comunitaria (RBC)</t>
        </is>
      </c>
      <c r="AO369" s="10025" t="inlineStr">
        <is>
          <t>Rehabilitación Integral(RI)</t>
        </is>
      </c>
      <c r="AP369" s="10026" t="inlineStr">
        <is>
          <t>Rehabilitación Rural (RR)</t>
        </is>
      </c>
      <c r="AQ369" s="10027" t="n"/>
      <c r="AR369" s="9683" t="n"/>
      <c r="AS369" s="9625" t="n"/>
    </row>
    <row r="370">
      <c r="A370" s="9610" t="n"/>
      <c r="B370" s="7932" t="inlineStr">
        <is>
          <t>Ambos Sexos</t>
        </is>
      </c>
      <c r="C370" s="2011" t="inlineStr">
        <is>
          <t>Hombres</t>
        </is>
      </c>
      <c r="D370" s="7933" t="inlineStr">
        <is>
          <t>Mujeres</t>
        </is>
      </c>
      <c r="E370" s="7932" t="inlineStr">
        <is>
          <t>Hombres</t>
        </is>
      </c>
      <c r="F370" s="7686" t="inlineStr">
        <is>
          <t>Mujeres</t>
        </is>
      </c>
      <c r="G370" s="7932" t="inlineStr">
        <is>
          <t>Hombres</t>
        </is>
      </c>
      <c r="H370" s="7686" t="inlineStr">
        <is>
          <t>Mujeres</t>
        </is>
      </c>
      <c r="I370" s="7932" t="inlineStr">
        <is>
          <t>Hombres</t>
        </is>
      </c>
      <c r="J370" s="7686" t="inlineStr">
        <is>
          <t>Mujeres</t>
        </is>
      </c>
      <c r="K370" s="7932" t="inlineStr">
        <is>
          <t>Hombres</t>
        </is>
      </c>
      <c r="L370" s="7686" t="inlineStr">
        <is>
          <t>Mujeres</t>
        </is>
      </c>
      <c r="M370" s="7932" t="inlineStr">
        <is>
          <t>Hombres</t>
        </is>
      </c>
      <c r="N370" s="7686" t="inlineStr">
        <is>
          <t>Mujeres</t>
        </is>
      </c>
      <c r="O370" s="7932" t="inlineStr">
        <is>
          <t>Hombres</t>
        </is>
      </c>
      <c r="P370" s="7686" t="inlineStr">
        <is>
          <t>Mujeres</t>
        </is>
      </c>
      <c r="Q370" s="7932" t="inlineStr">
        <is>
          <t>Hombres</t>
        </is>
      </c>
      <c r="R370" s="7686" t="inlineStr">
        <is>
          <t>Mujeres</t>
        </is>
      </c>
      <c r="S370" s="7932" t="inlineStr">
        <is>
          <t>Hombres</t>
        </is>
      </c>
      <c r="T370" s="7686" t="inlineStr">
        <is>
          <t>Mujeres</t>
        </is>
      </c>
      <c r="U370" s="7932" t="inlineStr">
        <is>
          <t>Hombres</t>
        </is>
      </c>
      <c r="V370" s="7686" t="inlineStr">
        <is>
          <t>Mujeres</t>
        </is>
      </c>
      <c r="W370" s="7932" t="inlineStr">
        <is>
          <t>Hombres</t>
        </is>
      </c>
      <c r="X370" s="7686" t="inlineStr">
        <is>
          <t>Mujeres</t>
        </is>
      </c>
      <c r="Y370" s="7932" t="inlineStr">
        <is>
          <t>Hombres</t>
        </is>
      </c>
      <c r="Z370" s="7686" t="inlineStr">
        <is>
          <t>Mujeres</t>
        </is>
      </c>
      <c r="AA370" s="7932" t="inlineStr">
        <is>
          <t>Hombres</t>
        </is>
      </c>
      <c r="AB370" s="7686" t="inlineStr">
        <is>
          <t>Mujeres</t>
        </is>
      </c>
      <c r="AC370" s="7932" t="inlineStr">
        <is>
          <t>Hombres</t>
        </is>
      </c>
      <c r="AD370" s="7686" t="inlineStr">
        <is>
          <t>Mujeres</t>
        </is>
      </c>
      <c r="AE370" s="7932" t="inlineStr">
        <is>
          <t>Hombres</t>
        </is>
      </c>
      <c r="AF370" s="7686" t="inlineStr">
        <is>
          <t>Mujeres</t>
        </is>
      </c>
      <c r="AG370" s="7932" t="inlineStr">
        <is>
          <t>Hombres</t>
        </is>
      </c>
      <c r="AH370" s="7686" t="inlineStr">
        <is>
          <t>Mujeres</t>
        </is>
      </c>
      <c r="AI370" s="7932" t="inlineStr">
        <is>
          <t>Hombres</t>
        </is>
      </c>
      <c r="AJ370" s="7686" t="inlineStr">
        <is>
          <t>Mujeres</t>
        </is>
      </c>
      <c r="AK370" s="7932" t="inlineStr">
        <is>
          <t>Hombres</t>
        </is>
      </c>
      <c r="AL370" s="7684" t="inlineStr">
        <is>
          <t>Mujeres</t>
        </is>
      </c>
      <c r="AM370" s="9688" t="n"/>
      <c r="AN370" s="9912" t="n"/>
      <c r="AO370" s="9605" t="n"/>
      <c r="AP370" s="9591" t="n"/>
      <c r="AQ370" s="10028" t="n"/>
      <c r="AR370" s="9604" t="n"/>
      <c r="AS370" s="9641" t="n"/>
    </row>
    <row r="371" ht="15" customHeight="1" s="8286">
      <c r="A371" s="2292" t="inlineStr">
        <is>
          <t>Ingresos persona con dependencia severa</t>
        </is>
      </c>
      <c r="B371" s="2187" t="n"/>
      <c r="C371" s="2230" t="n"/>
      <c r="D371" s="2191" t="n"/>
      <c r="E371" s="2187" t="n"/>
      <c r="F371" s="2188" t="n"/>
      <c r="G371" s="2187" t="n"/>
      <c r="H371" s="2188" t="n"/>
      <c r="I371" s="2187" t="n"/>
      <c r="J371" s="2188" t="n"/>
      <c r="K371" s="2187" t="n"/>
      <c r="L371" s="2188" t="n"/>
      <c r="M371" s="2187" t="n"/>
      <c r="N371" s="2188" t="n"/>
      <c r="O371" s="2187" t="n"/>
      <c r="P371" s="2188" t="n"/>
      <c r="Q371" s="2187" t="n"/>
      <c r="R371" s="2188" t="n"/>
      <c r="S371" s="2187" t="n"/>
      <c r="T371" s="2188" t="n"/>
      <c r="U371" s="2187" t="n"/>
      <c r="V371" s="2188" t="n"/>
      <c r="W371" s="2187" t="n"/>
      <c r="X371" s="2188" t="n"/>
      <c r="Y371" s="2187" t="n"/>
      <c r="Z371" s="2188" t="n"/>
      <c r="AA371" s="2187" t="n"/>
      <c r="AB371" s="2188" t="n"/>
      <c r="AC371" s="2187" t="n"/>
      <c r="AD371" s="2188" t="n"/>
      <c r="AE371" s="2187" t="n"/>
      <c r="AF371" s="2188" t="n"/>
      <c r="AG371" s="2187" t="n"/>
      <c r="AH371" s="2188" t="n"/>
      <c r="AI371" s="2187" t="n"/>
      <c r="AJ371" s="2188" t="n"/>
      <c r="AK371" s="2187" t="n"/>
      <c r="AL371" s="2293" t="n"/>
      <c r="AM371" s="2190" t="n"/>
      <c r="AN371" s="2062" t="n"/>
      <c r="AO371" s="2062" t="n"/>
      <c r="AP371" s="2188" t="n"/>
      <c r="AQ371" s="2294" t="n"/>
      <c r="AR371" s="2190" t="n"/>
      <c r="AS371" s="2188" t="n"/>
    </row>
    <row r="372" ht="21" customHeight="1" s="8286">
      <c r="A372" s="2295" t="inlineStr">
        <is>
          <t>Ingresos con Plan de Cuidado Integral  (ingresado vía ECICEP)</t>
        </is>
      </c>
      <c r="B372" s="2296">
        <f>SUM(C372:D372)</f>
        <v/>
      </c>
      <c r="C372" s="2297">
        <f>SUM(E372,G372,I372,K372,M372,O372,Q372,S372,U372,W372,Y372,AA372,AC372,AE372,AG372,AI372,AK372)</f>
        <v/>
      </c>
      <c r="D372" s="1993">
        <f>SUM(F372,H372,J372,L372,N372,P372,R372,T372,V372,X372,Z372,AB372,AD372,AF372,AH372,AJ372,AL372)</f>
        <v/>
      </c>
      <c r="E372" s="2022" t="n"/>
      <c r="F372" s="2029" t="n"/>
      <c r="G372" s="2022" t="n"/>
      <c r="H372" s="2029" t="n"/>
      <c r="I372" s="2022" t="n"/>
      <c r="J372" s="2029" t="n"/>
      <c r="K372" s="2022" t="n"/>
      <c r="L372" s="2029" t="n"/>
      <c r="M372" s="2022" t="n"/>
      <c r="N372" s="2029" t="n"/>
      <c r="O372" s="2022" t="n"/>
      <c r="P372" s="2029" t="n"/>
      <c r="Q372" s="2022" t="n"/>
      <c r="R372" s="2029" t="n"/>
      <c r="S372" s="2022" t="n"/>
      <c r="T372" s="2029" t="n"/>
      <c r="U372" s="2022" t="n"/>
      <c r="V372" s="2029" t="n"/>
      <c r="W372" s="2022" t="n"/>
      <c r="X372" s="2029" t="n"/>
      <c r="Y372" s="2022" t="n"/>
      <c r="Z372" s="2029" t="n"/>
      <c r="AA372" s="2022" t="n"/>
      <c r="AB372" s="2029" t="n"/>
      <c r="AC372" s="2022" t="n"/>
      <c r="AD372" s="2029" t="n"/>
      <c r="AE372" s="2022" t="n"/>
      <c r="AF372" s="2029" t="n"/>
      <c r="AG372" s="2022" t="n"/>
      <c r="AH372" s="2029" t="n"/>
      <c r="AI372" s="2022" t="n"/>
      <c r="AJ372" s="2029" t="n"/>
      <c r="AK372" s="2022" t="n"/>
      <c r="AL372" s="1983" t="n"/>
      <c r="AM372" s="2228" t="n"/>
      <c r="AN372" s="847" t="n"/>
      <c r="AO372" s="847" t="n"/>
      <c r="AP372" s="2193" t="n"/>
      <c r="AQ372" s="2298" t="n"/>
      <c r="AR372" s="2025" t="n"/>
      <c r="AS372" s="2029" t="n"/>
      <c r="AT372">
        <f>CA372&amp;CB372</f>
        <v/>
      </c>
      <c r="CA372" s="90">
        <f>IF(AND(B372&gt;0,AR372=""),"* No olvide digitar la variable Pueblos originarios. Digite Cero si no tiene.",IF(AR372&gt;B372," * La variable Pueblos originarios No puede ser mayor al Total.",""))</f>
        <v/>
      </c>
      <c r="CB372" s="90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/>
      </c>
      <c r="CP372" s="221">
        <f>IF(AND(B372&gt;0,AS372=""),1,IF(AS372&gt;B372,1,0))</f>
        <v/>
      </c>
    </row>
    <row r="373" ht="21" customHeight="1" s="8286">
      <c r="A373" s="653" t="inlineStr">
        <is>
          <t>Ingresos con Plan de  Cuidado  Integral (no ingresados a ECICEP)</t>
        </is>
      </c>
      <c r="B373" s="2296">
        <f>SUM(C373:D373)</f>
        <v/>
      </c>
      <c r="C373" s="2297">
        <f>SUM(E373,G373,I373,K373,M373,O373,Q373,S373,U373,W373,Y373,AA373,AC373,AE373,AG373,AI373,AK373)</f>
        <v/>
      </c>
      <c r="D373" s="1993">
        <f>SUM(F373,H373,J373,L373,N373,P373,R373,T373,V373,X373,Z373,AB373,AD373,AF373,AH373,AJ373,AL373)</f>
        <v/>
      </c>
      <c r="E373" s="1188" t="n">
        <v>1</v>
      </c>
      <c r="F373" s="1192" t="n">
        <v>1</v>
      </c>
      <c r="G373" s="1188" t="n"/>
      <c r="H373" s="1192" t="n"/>
      <c r="I373" s="1188" t="n"/>
      <c r="J373" s="1192" t="n"/>
      <c r="K373" s="1188" t="n"/>
      <c r="L373" s="1192" t="n"/>
      <c r="M373" s="1188" t="n"/>
      <c r="N373" s="1192" t="n"/>
      <c r="O373" s="1188" t="n"/>
      <c r="P373" s="1192" t="n"/>
      <c r="Q373" s="1188" t="n"/>
      <c r="R373" s="1192" t="n"/>
      <c r="S373" s="1188" t="n"/>
      <c r="T373" s="1192" t="n"/>
      <c r="U373" s="1188" t="n"/>
      <c r="V373" s="1192" t="n"/>
      <c r="W373" s="1188" t="n"/>
      <c r="X373" s="1192" t="n"/>
      <c r="Y373" s="1188" t="n"/>
      <c r="Z373" s="1192" t="n"/>
      <c r="AA373" s="1188" t="n"/>
      <c r="AB373" s="1192" t="n"/>
      <c r="AC373" s="1188" t="n"/>
      <c r="AD373" s="1192" t="n"/>
      <c r="AE373" s="1188" t="n"/>
      <c r="AF373" s="1192" t="n"/>
      <c r="AG373" s="1188" t="n"/>
      <c r="AH373" s="1192" t="n"/>
      <c r="AI373" s="1188" t="n"/>
      <c r="AJ373" s="1192" t="n">
        <v>1</v>
      </c>
      <c r="AK373" s="1188" t="n">
        <v>2</v>
      </c>
      <c r="AL373" s="1226" t="n">
        <v>2</v>
      </c>
      <c r="AM373" s="1370" t="n"/>
      <c r="AN373" s="1237" t="n"/>
      <c r="AO373" s="1237" t="n"/>
      <c r="AP373" s="1233" t="n"/>
      <c r="AQ373" s="1292" t="n"/>
      <c r="AR373" s="1225" t="n"/>
      <c r="AS373" s="1192" t="n"/>
      <c r="AT373">
        <f>CA373&amp;CB373</f>
        <v/>
      </c>
      <c r="CA373" s="90">
        <f>IF(AND(B373&gt;0,AR373="")," * No olvide digitar la variable Pueblos originarios. Digite Cero si no tiene.",IF(AR373&gt;B373," * La variable Pueblos originarios No puede ser mayor al Total.",""))</f>
        <v/>
      </c>
      <c r="CB373" s="90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/>
      </c>
      <c r="CP373" s="221">
        <f>IF(AND(B373&gt;0,AS373=""),1,IF(AS373&gt;B373,1,0))</f>
        <v/>
      </c>
    </row>
    <row r="374">
      <c r="A374" s="2299" t="inlineStr">
        <is>
          <t>Ingreso Cuidador</t>
        </is>
      </c>
      <c r="B374" s="2300" t="n"/>
      <c r="C374" s="2301" t="n"/>
      <c r="D374" s="2191" t="n"/>
      <c r="E374" s="2187" t="n"/>
      <c r="F374" s="2188" t="n"/>
      <c r="G374" s="2187" t="n"/>
      <c r="H374" s="2188" t="n"/>
      <c r="I374" s="2187" t="n"/>
      <c r="J374" s="2188" t="n"/>
      <c r="K374" s="2187" t="n"/>
      <c r="L374" s="2188" t="n"/>
      <c r="M374" s="2187" t="n"/>
      <c r="N374" s="2188" t="n"/>
      <c r="O374" s="2187" t="n"/>
      <c r="P374" s="2188" t="n"/>
      <c r="Q374" s="2187" t="n"/>
      <c r="R374" s="2188" t="n"/>
      <c r="S374" s="2187" t="n"/>
      <c r="T374" s="2188" t="n"/>
      <c r="U374" s="2187" t="n"/>
      <c r="V374" s="2188" t="n"/>
      <c r="W374" s="2187" t="n"/>
      <c r="X374" s="2188" t="n"/>
      <c r="Y374" s="2187" t="n"/>
      <c r="Z374" s="2188" t="n"/>
      <c r="AA374" s="2187" t="n"/>
      <c r="AB374" s="2188" t="n"/>
      <c r="AC374" s="2187" t="n"/>
      <c r="AD374" s="2188" t="n"/>
      <c r="AE374" s="2187" t="n"/>
      <c r="AF374" s="2188" t="n"/>
      <c r="AG374" s="2187" t="n"/>
      <c r="AH374" s="2188" t="n"/>
      <c r="AI374" s="2187" t="n"/>
      <c r="AJ374" s="2188" t="n"/>
      <c r="AK374" s="2187" t="n"/>
      <c r="AL374" s="2293" t="n"/>
      <c r="AM374" s="2190" t="n"/>
      <c r="AN374" s="2062" t="n"/>
      <c r="AO374" s="2062" t="n"/>
      <c r="AP374" s="2188" t="n"/>
      <c r="AQ374" s="2294" t="n"/>
      <c r="AR374" s="2190" t="n"/>
      <c r="AS374" s="2188" t="n"/>
      <c r="CA374" s="126" t="n"/>
      <c r="CB374" s="126" t="n"/>
      <c r="CO374" s="905" t="n"/>
      <c r="CP374" s="905" t="n"/>
    </row>
    <row r="375" ht="21" customHeight="1" s="8286">
      <c r="A375" s="2295" t="inlineStr">
        <is>
          <t>Ingreso con Plan de Cuidado al Cuidador (ingresado vía ECICEP)</t>
        </is>
      </c>
      <c r="B375" s="2302">
        <f>SUM(C375:D375)</f>
        <v/>
      </c>
      <c r="C375" s="265">
        <f>SUM(E375,G375,I375,K375,M375,O375,Q375,S375,U375,W375,Y375,AA375,AC375,AE375,AG375,AI375,AK375)</f>
        <v/>
      </c>
      <c r="D375" s="752">
        <f>SUM(F375,H375,J375,L375,N375,P375,R375,T375,V375,X375,Z375,AB375,AD375,AF375,AH375,AJ375,AL375)</f>
        <v/>
      </c>
      <c r="E375" s="1935" t="n"/>
      <c r="F375" s="1186" t="n"/>
      <c r="G375" s="1935" t="n"/>
      <c r="H375" s="1186" t="n"/>
      <c r="I375" s="1935" t="n"/>
      <c r="J375" s="1186" t="n"/>
      <c r="K375" s="1935" t="n"/>
      <c r="L375" s="1186" t="n"/>
      <c r="M375" s="1935" t="n"/>
      <c r="N375" s="1186" t="n"/>
      <c r="O375" s="1935" t="n"/>
      <c r="P375" s="1186" t="n"/>
      <c r="Q375" s="1935" t="n"/>
      <c r="R375" s="1186" t="n"/>
      <c r="S375" s="1935" t="n"/>
      <c r="T375" s="1186" t="n"/>
      <c r="U375" s="1935" t="n"/>
      <c r="V375" s="1186" t="n"/>
      <c r="W375" s="1935" t="n"/>
      <c r="X375" s="1186" t="n"/>
      <c r="Y375" s="1935" t="n"/>
      <c r="Z375" s="1186" t="n"/>
      <c r="AA375" s="1935" t="n"/>
      <c r="AB375" s="1186" t="n"/>
      <c r="AC375" s="1935" t="n"/>
      <c r="AD375" s="1186" t="n"/>
      <c r="AE375" s="1935" t="n"/>
      <c r="AF375" s="1186" t="n"/>
      <c r="AG375" s="1935" t="n"/>
      <c r="AH375" s="1186" t="n"/>
      <c r="AI375" s="1935" t="n"/>
      <c r="AJ375" s="1186" t="n"/>
      <c r="AK375" s="1935" t="n"/>
      <c r="AL375" s="1297" t="n"/>
      <c r="AM375" s="2303" t="n"/>
      <c r="AN375" s="794" t="n"/>
      <c r="AO375" s="794" t="n"/>
      <c r="AP375" s="1234" t="n"/>
      <c r="AQ375" s="1965" t="n"/>
      <c r="AR375" s="1966" t="n"/>
      <c r="AS375" s="1186" t="n"/>
      <c r="AT375">
        <f>CA375&amp;CB375</f>
        <v/>
      </c>
      <c r="CA375" s="90">
        <f>IF(AND(B375&gt;0,AR375="")," * No olvide digitar la variable Pueblos originarios. Digite Cero si no tiene.",IF(AR375&gt;B375," * La variable Pueblos originarios No puede ser mayor al Total.",""))</f>
        <v/>
      </c>
      <c r="CB375" s="90">
        <f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/>
      </c>
      <c r="CP375" s="221">
        <f>IF(AND(B375&gt;0,AS375=""),1,IF(AS375&gt;B375,1,0))</f>
        <v/>
      </c>
    </row>
    <row r="376" ht="21" customHeight="1" s="8286">
      <c r="A376" s="2304" t="inlineStr">
        <is>
          <t>Ingreso con Plan de Cuidado al cuidador (no ingresado a ECICEP)</t>
        </is>
      </c>
      <c r="B376" s="1344">
        <f>SUM(C376:D376)</f>
        <v/>
      </c>
      <c r="C376" s="1343">
        <f>SUM(E376,G376,I376,K376,M376,O376,Q376,S376,U376,W376,Y376,AA376,AC376,AE376,AG376,AI376,AK376)</f>
        <v/>
      </c>
      <c r="D376" s="1382">
        <f>SUM(F376,H376,J376,L376,N376,P376,R376,T376,V376,X376,Z376,AB376,AD376,AF376,AH376,AJ376,AL376)</f>
        <v/>
      </c>
      <c r="E376" s="645" t="n"/>
      <c r="F376" s="1180" t="n"/>
      <c r="G376" s="1179" t="n"/>
      <c r="H376" s="1180" t="n"/>
      <c r="I376" s="1179" t="n"/>
      <c r="J376" s="1180" t="n"/>
      <c r="K376" s="1179" t="n"/>
      <c r="L376" s="1180" t="n"/>
      <c r="M376" s="1179" t="n"/>
      <c r="N376" s="1180" t="n"/>
      <c r="O376" s="1179" t="n"/>
      <c r="P376" s="1180" t="n">
        <v>1</v>
      </c>
      <c r="Q376" s="1179" t="n">
        <v>1</v>
      </c>
      <c r="R376" s="1180" t="n"/>
      <c r="S376" s="1179" t="n"/>
      <c r="T376" s="1180" t="n"/>
      <c r="U376" s="1179" t="n"/>
      <c r="V376" s="1180" t="n">
        <v>1</v>
      </c>
      <c r="W376" s="1179" t="n"/>
      <c r="X376" s="1180" t="n"/>
      <c r="Y376" s="1179" t="n"/>
      <c r="Z376" s="1180" t="n">
        <v>1</v>
      </c>
      <c r="AA376" s="1179" t="n"/>
      <c r="AB376" s="1180" t="n">
        <v>3</v>
      </c>
      <c r="AC376" s="1179" t="n"/>
      <c r="AD376" s="1180" t="n"/>
      <c r="AE376" s="1179" t="n"/>
      <c r="AF376" s="1180" t="n"/>
      <c r="AG376" s="1179" t="n"/>
      <c r="AH376" s="1180" t="n"/>
      <c r="AI376" s="1179" t="n"/>
      <c r="AJ376" s="1180" t="n"/>
      <c r="AK376" s="1179" t="n"/>
      <c r="AL376" s="1231" t="n"/>
      <c r="AM376" s="1393" t="n"/>
      <c r="AN376" s="2305" t="n"/>
      <c r="AO376" s="2305" t="n"/>
      <c r="AP376" s="1371" t="n"/>
      <c r="AQ376" s="2306" t="n"/>
      <c r="AR376" s="1230" t="n"/>
      <c r="AS376" s="1180" t="n"/>
      <c r="AT376">
        <f>CA376&amp;CB376</f>
        <v/>
      </c>
      <c r="CA376" s="90">
        <f>IF(AND(B376&gt;0,AR376="")," * No olvide digitar la variable Pueblos originarios. Digite Cero si no tiene.",IF(AR376&gt;B376," * La variable Pueblos originarios No puede ser mayor al Total.",""))</f>
        <v/>
      </c>
      <c r="CB376" s="90">
        <f>IF(AND(B376&gt;0,AS376="")," * No olvide digitar la variable Migrantes. Digite Cero si no tiene.",IF(AS376&gt;B376," * La variable Migrantes No puede ser mayor al Total.",""))</f>
        <v/>
      </c>
      <c r="CO376" s="221">
        <f>IF(AND(B376&gt;0,AR376=""),1,IF(AR376&gt;B376,1,0))</f>
        <v/>
      </c>
      <c r="CP376" s="221">
        <f>IF(AND(B376&gt;0,AS376=""),1,IF(AS376&gt;B376,1,0))</f>
        <v/>
      </c>
    </row>
    <row r="377">
      <c r="A377" s="2292" t="inlineStr">
        <is>
          <t>Egresos persona con dependencia</t>
        </is>
      </c>
      <c r="B377" s="2300" t="n"/>
      <c r="C377" s="2301" t="n"/>
      <c r="D377" s="2191" t="n"/>
      <c r="E377" s="2187" t="n"/>
      <c r="F377" s="2188" t="n"/>
      <c r="G377" s="2187" t="n"/>
      <c r="H377" s="2188" t="n"/>
      <c r="I377" s="2187" t="n"/>
      <c r="J377" s="2188" t="n"/>
      <c r="K377" s="2187" t="n"/>
      <c r="L377" s="2188" t="n"/>
      <c r="M377" s="2187" t="n"/>
      <c r="N377" s="2188" t="n"/>
      <c r="O377" s="2187" t="n"/>
      <c r="P377" s="2188" t="n"/>
      <c r="Q377" s="2187" t="n"/>
      <c r="R377" s="2188" t="n"/>
      <c r="S377" s="2187" t="n"/>
      <c r="T377" s="2188" t="n"/>
      <c r="U377" s="2187" t="n"/>
      <c r="V377" s="2188" t="n"/>
      <c r="W377" s="2187" t="n"/>
      <c r="X377" s="2188" t="n"/>
      <c r="Y377" s="2187" t="n"/>
      <c r="Z377" s="2188" t="n"/>
      <c r="AA377" s="2187" t="n"/>
      <c r="AB377" s="2188" t="n"/>
      <c r="AC377" s="2187" t="n"/>
      <c r="AD377" s="2188" t="n"/>
      <c r="AE377" s="2187" t="n"/>
      <c r="AF377" s="2188" t="n"/>
      <c r="AG377" s="2187" t="n"/>
      <c r="AH377" s="2188" t="n"/>
      <c r="AI377" s="2187" t="n"/>
      <c r="AJ377" s="2188" t="n"/>
      <c r="AK377" s="2187" t="n"/>
      <c r="AL377" s="2293" t="n"/>
      <c r="AM377" s="2190" t="n"/>
      <c r="AN377" s="2062" t="n"/>
      <c r="AO377" s="2062" t="n"/>
      <c r="AP377" s="2188" t="n"/>
      <c r="AQ377" s="2294" t="n"/>
      <c r="AR377" s="2190" t="n"/>
      <c r="AS377" s="2188" t="n"/>
      <c r="CA377" s="126" t="n"/>
      <c r="CB377" s="126" t="n"/>
      <c r="CO377" s="905" t="n"/>
      <c r="CP377" s="905" t="n"/>
    </row>
    <row r="378" ht="21" customHeight="1" s="8286">
      <c r="A378" s="2295" t="inlineStr">
        <is>
          <t>Egresos por alta (disminuye nivel de dependencia)</t>
        </is>
      </c>
      <c r="B378" s="654">
        <f>SUM(C378:D378)</f>
        <v/>
      </c>
      <c r="C378" s="265">
        <f>SUM(E378,G378,I378,K378,M378,O378,Q378,S378,U378,W378,Y378,AA378,AC378,AE378,AG378,AI378,AK378)</f>
        <v/>
      </c>
      <c r="D378" s="2307">
        <f>SUM(F378,H378,J378,L378,N378,P378,R378,T378,V378,X378,Z378,AB378,AD378,AF378,AH378,AJ378,AL378)</f>
        <v/>
      </c>
      <c r="E378" s="645" t="n"/>
      <c r="F378" s="2057" t="n"/>
      <c r="G378" s="645" t="n"/>
      <c r="H378" s="2057" t="n"/>
      <c r="I378" s="645" t="n"/>
      <c r="J378" s="2057" t="n"/>
      <c r="K378" s="645" t="n"/>
      <c r="L378" s="2057" t="n"/>
      <c r="M378" s="645" t="n"/>
      <c r="N378" s="2057" t="n"/>
      <c r="O378" s="645" t="n"/>
      <c r="P378" s="2057" t="n"/>
      <c r="Q378" s="645" t="n"/>
      <c r="R378" s="2057" t="n"/>
      <c r="S378" s="645" t="n"/>
      <c r="T378" s="2057" t="n"/>
      <c r="U378" s="645" t="n"/>
      <c r="V378" s="2057" t="n"/>
      <c r="W378" s="645" t="n"/>
      <c r="X378" s="2057" t="n"/>
      <c r="Y378" s="645" t="n"/>
      <c r="Z378" s="2057" t="n"/>
      <c r="AA378" s="645" t="n"/>
      <c r="AB378" s="2057" t="n"/>
      <c r="AC378" s="645" t="n"/>
      <c r="AD378" s="2057" t="n"/>
      <c r="AE378" s="645" t="n"/>
      <c r="AF378" s="2057" t="n"/>
      <c r="AG378" s="645" t="n"/>
      <c r="AH378" s="2057" t="n"/>
      <c r="AI378" s="645" t="n"/>
      <c r="AJ378" s="2057" t="n"/>
      <c r="AK378" s="645" t="n"/>
      <c r="AL378" s="43" t="n"/>
      <c r="AM378" s="621" t="n"/>
      <c r="AN378" s="146" t="n"/>
      <c r="AO378" s="146" t="n"/>
      <c r="AP378" s="2194" t="n"/>
      <c r="AQ378" s="655" t="n"/>
      <c r="AR378" s="42" t="n"/>
      <c r="AS378" s="2057" t="n"/>
      <c r="AT378">
        <f>CA378&amp;CB378</f>
        <v/>
      </c>
      <c r="CA378" s="90">
        <f>IF(AND(B378&gt;0,AR378="")," * No olvide digitar la variable Pueblos originarios. Digite Cero si no tiene.",IF(AR378&gt;B378," * La variable Pueblos originarios No puede ser mayor al Total.",""))</f>
        <v/>
      </c>
      <c r="CB378" s="90">
        <f>IF(AND(B378&gt;0,AS378="")," * No olvide digitar la variable Migrantes. Digite Cero si no tiene.",IF(AS378&gt;B378," * La variable Migrantes No puede ser mayor al Total.",""))</f>
        <v/>
      </c>
      <c r="CO378" s="221">
        <f>IF(AND(B378&gt;0,AR378=""),1,IF(AR378&gt;B378,1,0))</f>
        <v/>
      </c>
      <c r="CP378" s="221">
        <f>IF(AND(B378&gt;0,AS378=""),1,IF(AS378&gt;B378,1,0))</f>
        <v/>
      </c>
    </row>
    <row r="379">
      <c r="A379" s="2304" t="inlineStr">
        <is>
          <t>Egresos por alta administrativa</t>
        </is>
      </c>
      <c r="B379" s="1344">
        <f>SUM(C379:D379)</f>
        <v/>
      </c>
      <c r="C379" s="1343">
        <f>SUM(E379,G379,I379,K379,M379,O379,Q379,S379,U379,W379,Y379,AA379,AC379,AE379,AG379,AI379,AK379)</f>
        <v/>
      </c>
      <c r="D379" s="1382">
        <f>SUM(F379,H379,J379,L379,N379,P379,R379,T379,V379,X379,Z379,AB379,AD379,AF379,AH379,AJ379,AL379)</f>
        <v/>
      </c>
      <c r="E379" s="1179" t="n"/>
      <c r="F379" s="1180" t="n"/>
      <c r="G379" s="1179" t="n"/>
      <c r="H379" s="1180" t="n"/>
      <c r="I379" s="1179" t="n"/>
      <c r="J379" s="1180" t="n"/>
      <c r="K379" s="1179" t="n"/>
      <c r="L379" s="1180" t="n"/>
      <c r="M379" s="1179" t="n"/>
      <c r="N379" s="1180" t="n"/>
      <c r="O379" s="1179" t="n"/>
      <c r="P379" s="1180" t="n"/>
      <c r="Q379" s="1179" t="n"/>
      <c r="R379" s="1180" t="n"/>
      <c r="S379" s="1179" t="n"/>
      <c r="T379" s="1180" t="n"/>
      <c r="U379" s="1179" t="n"/>
      <c r="V379" s="1180" t="n"/>
      <c r="W379" s="1179" t="n"/>
      <c r="X379" s="1180" t="n"/>
      <c r="Y379" s="1179" t="n"/>
      <c r="Z379" s="1180" t="n"/>
      <c r="AA379" s="1179" t="n"/>
      <c r="AB379" s="1180" t="n"/>
      <c r="AC379" s="1179" t="n"/>
      <c r="AD379" s="1180" t="n"/>
      <c r="AE379" s="1179" t="n"/>
      <c r="AF379" s="1180" t="n"/>
      <c r="AG379" s="1179" t="n"/>
      <c r="AH379" s="1180" t="n"/>
      <c r="AI379" s="1179" t="n"/>
      <c r="AJ379" s="1180" t="n"/>
      <c r="AK379" s="1179" t="n"/>
      <c r="AL379" s="1231" t="n"/>
      <c r="AM379" s="1393" t="n"/>
      <c r="AN379" s="2305" t="n"/>
      <c r="AO379" s="2305" t="n"/>
      <c r="AP379" s="1371" t="n"/>
      <c r="AQ379" s="2306" t="n"/>
      <c r="AR379" s="1230" t="n"/>
      <c r="AS379" s="1180" t="n"/>
      <c r="AT379">
        <f>CA379&amp;CB379</f>
        <v/>
      </c>
      <c r="CA379" s="90">
        <f>IF(AND(B379&gt;0,AR379="")," * No olvide digitar la variable Pueblos originarios. Digite Cero si no tiene.",IF(AR379&gt;B379," * La variable Pueblos originarios No puede ser mayor al Total.",""))</f>
        <v/>
      </c>
      <c r="CB379" s="90">
        <f>IF(AND(B379&gt;0,AS379="")," * No olvide digitar la variable Migrantes. Digite Cero si no tiene.",IF(AS379&gt;B379," * La variable Migrantes No puede ser mayor al Total.",""))</f>
        <v/>
      </c>
      <c r="CO379" s="221">
        <f>IF(AND(B379&gt;0,AR379=""),1,IF(AR379&gt;B379,1,0))</f>
        <v/>
      </c>
      <c r="CP379" s="221">
        <f>IF(AND(B379&gt;0,AS379=""),1,IF(AS379&gt;B379,1,0))</f>
        <v/>
      </c>
    </row>
    <row r="380">
      <c r="A380" s="2308" t="inlineStr">
        <is>
          <t>Egreso por traslado</t>
        </is>
      </c>
      <c r="B380" s="2309">
        <f>SUM(C380:D380)</f>
        <v/>
      </c>
      <c r="C380" s="1210">
        <f>SUM(E380,G380,I380,K380,M380,O380,Q380,S380,U380,W380,Y380,AA380,AC380,AE380,AG380,AI380,AK380)</f>
        <v/>
      </c>
      <c r="D380" s="894">
        <f>SUM(F380,H380,J380,L380,N380,P380,R380,T380,V380,X380,Z380,AB380,AD380,AF380,AH380,AJ380,AL380)</f>
        <v/>
      </c>
      <c r="E380" s="1172" t="n"/>
      <c r="F380" s="1173" t="n"/>
      <c r="G380" s="1172" t="n"/>
      <c r="H380" s="1173" t="n"/>
      <c r="I380" s="1172" t="n"/>
      <c r="J380" s="1173" t="n"/>
      <c r="K380" s="1172" t="n"/>
      <c r="L380" s="1173" t="n"/>
      <c r="M380" s="1172" t="n"/>
      <c r="N380" s="1173" t="n"/>
      <c r="O380" s="1172" t="n"/>
      <c r="P380" s="1173" t="n"/>
      <c r="Q380" s="1172" t="n"/>
      <c r="R380" s="1173" t="n"/>
      <c r="S380" s="1172" t="n"/>
      <c r="T380" s="1173" t="n"/>
      <c r="U380" s="1172" t="n"/>
      <c r="V380" s="1173" t="n"/>
      <c r="W380" s="1172" t="n"/>
      <c r="X380" s="1173" t="n"/>
      <c r="Y380" s="1172" t="n"/>
      <c r="Z380" s="1173" t="n"/>
      <c r="AA380" s="1172" t="n"/>
      <c r="AB380" s="1173" t="n"/>
      <c r="AC380" s="1172" t="n"/>
      <c r="AD380" s="1173" t="n"/>
      <c r="AE380" s="1172" t="n"/>
      <c r="AF380" s="1173" t="n"/>
      <c r="AG380" s="1172" t="n"/>
      <c r="AH380" s="1173" t="n"/>
      <c r="AI380" s="1172" t="n"/>
      <c r="AJ380" s="1173" t="n"/>
      <c r="AK380" s="1172" t="n"/>
      <c r="AL380" s="1221" t="n"/>
      <c r="AM380" s="896" t="n"/>
      <c r="AN380" s="2054" t="n"/>
      <c r="AO380" s="2054" t="n"/>
      <c r="AP380" s="1948" t="n"/>
      <c r="AQ380" s="1247" t="n"/>
      <c r="AR380" s="887" t="n"/>
      <c r="AS380" s="1173" t="n"/>
      <c r="AT380">
        <f>CA380&amp;CB380</f>
        <v/>
      </c>
      <c r="CA380" s="90">
        <f>IF(AND(B380&gt;0,AR380="")," * No olvide digitar la variable Pueblos originarios. Digite Cero si no tiene.",IF(AR380&gt;B380," * La variable Pueblos originarios No puede ser mayor al Total.",""))</f>
        <v/>
      </c>
      <c r="CB380" s="90">
        <f>IF(AND(B380&gt;0,AS380="")," * No olvide digitar la variable Migrantes. Digite Cero si no tiene.",IF(AS380&gt;B380," * La variable Migrantes No puede ser mayor al Total.",""))</f>
        <v/>
      </c>
      <c r="CO380" s="221">
        <f>IF(AND(B380&gt;0,AR380=""),1,IF(AR380&gt;B380,1,0))</f>
        <v/>
      </c>
      <c r="CP380" s="221">
        <f>IF(AND(B380&gt;0,AS380=""),1,IF(AS380&gt;B380,1,0))</f>
        <v/>
      </c>
    </row>
    <row r="381">
      <c r="A381" s="653" t="inlineStr">
        <is>
          <t>Egresos por fallecimiento</t>
        </is>
      </c>
      <c r="B381" s="654">
        <f>SUM(C381:D381)</f>
        <v/>
      </c>
      <c r="C381" s="265">
        <f>SUM(E381,G381,I381,K381,M381,O381,Q381,S381,U381,W381,Y381,AA381,AC381,AE381,AG381,AI381,AK381)</f>
        <v/>
      </c>
      <c r="D381" s="2307">
        <f>SUM(F381,H381,J381,L381,N381,P381,R381,T381,V381,X381,Z381,AB381,AD381,AF381,AH381,AJ381,AL381)</f>
        <v/>
      </c>
      <c r="E381" s="645" t="n"/>
      <c r="F381" s="2057" t="n"/>
      <c r="G381" s="645" t="n"/>
      <c r="H381" s="2057" t="n"/>
      <c r="I381" s="645" t="n"/>
      <c r="J381" s="2057" t="n"/>
      <c r="K381" s="645" t="n"/>
      <c r="L381" s="2057" t="n"/>
      <c r="M381" s="645" t="n"/>
      <c r="N381" s="2057" t="n"/>
      <c r="O381" s="645" t="n"/>
      <c r="P381" s="2057" t="n"/>
      <c r="Q381" s="645" t="n"/>
      <c r="R381" s="2057" t="n"/>
      <c r="S381" s="645" t="n"/>
      <c r="T381" s="2057" t="n"/>
      <c r="U381" s="645" t="n"/>
      <c r="V381" s="2057" t="n"/>
      <c r="W381" s="645" t="n"/>
      <c r="X381" s="2057" t="n"/>
      <c r="Y381" s="645" t="n"/>
      <c r="Z381" s="2057" t="n"/>
      <c r="AA381" s="645" t="n"/>
      <c r="AB381" s="2057" t="n"/>
      <c r="AC381" s="645" t="n"/>
      <c r="AD381" s="2057" t="n"/>
      <c r="AE381" s="645" t="n"/>
      <c r="AF381" s="2057" t="n"/>
      <c r="AG381" s="645" t="n"/>
      <c r="AH381" s="2057" t="n"/>
      <c r="AI381" s="645" t="n"/>
      <c r="AJ381" s="2057" t="n"/>
      <c r="AK381" s="645" t="n"/>
      <c r="AL381" s="43" t="n"/>
      <c r="AM381" s="621" t="n"/>
      <c r="AN381" s="146" t="n"/>
      <c r="AO381" s="146" t="n"/>
      <c r="AP381" s="2194" t="n"/>
      <c r="AQ381" s="655" t="n"/>
      <c r="AR381" s="42" t="n"/>
      <c r="AS381" s="2057" t="n"/>
      <c r="AT381">
        <f>CA381&amp;CB381</f>
        <v/>
      </c>
      <c r="CA381" s="90">
        <f>IF(AND(B381&gt;0,AR381="")," * No olvide digitar la variable Pueblos originarios. Digite Cero si no tiene.",IF(AR381&gt;B381," * La variable Pueblos originarios No puede ser mayor al Total.",""))</f>
        <v/>
      </c>
      <c r="CB381" s="90">
        <f>IF(AND(B381&gt;0,AS381="")," * No olvide digitar la variable Migrantes. Digite Cero si no tiene.",IF(AS381&gt;B381," * La variable Migrantes No puede ser mayor al Total.",""))</f>
        <v/>
      </c>
      <c r="CO381" s="221">
        <f>IF(AND(B381&gt;0,AR381=""),1,IF(AR381&gt;B381,1,0))</f>
        <v/>
      </c>
      <c r="CP381" s="221">
        <f>IF(AND(B381&gt;0,AS381=""),1,IF(AS381&gt;B381,1,0))</f>
        <v/>
      </c>
    </row>
    <row r="382">
      <c r="A382" s="2304" t="inlineStr">
        <is>
          <t xml:space="preserve">Egresos por otras causas </t>
        </is>
      </c>
      <c r="B382" s="1344">
        <f>SUM(C382:D382)</f>
        <v/>
      </c>
      <c r="C382" s="1343">
        <f>SUM(E382,G382,I382,K382,M382,O382,Q382,S382,U382,W382,Y382,AA382,AC382,AE382,AG382,AI382,AK382)</f>
        <v/>
      </c>
      <c r="D382" s="1382">
        <f>SUM(F382,H382,J382,L382,N382,P382,R382,T382,V382,X382,Z382,AB382,AD382,AF382,AH382,AJ382,AL382)</f>
        <v/>
      </c>
      <c r="E382" s="1179" t="n"/>
      <c r="F382" s="1180" t="n"/>
      <c r="G382" s="1179" t="n"/>
      <c r="H382" s="1180" t="n"/>
      <c r="I382" s="1179" t="n"/>
      <c r="J382" s="1180" t="n"/>
      <c r="K382" s="1179" t="n"/>
      <c r="L382" s="1180" t="n"/>
      <c r="M382" s="1179" t="n"/>
      <c r="N382" s="1180" t="n"/>
      <c r="O382" s="1179" t="n"/>
      <c r="P382" s="1180" t="n"/>
      <c r="Q382" s="1179" t="n"/>
      <c r="R382" s="1180" t="n"/>
      <c r="S382" s="1179" t="n"/>
      <c r="T382" s="1180" t="n"/>
      <c r="U382" s="1179" t="n"/>
      <c r="V382" s="1180" t="n"/>
      <c r="W382" s="1179" t="n"/>
      <c r="X382" s="1180" t="n"/>
      <c r="Y382" s="1179" t="n"/>
      <c r="Z382" s="1180" t="n"/>
      <c r="AA382" s="1179" t="n"/>
      <c r="AB382" s="1180" t="n"/>
      <c r="AC382" s="1179" t="n"/>
      <c r="AD382" s="1180" t="n"/>
      <c r="AE382" s="1179" t="n"/>
      <c r="AF382" s="1180" t="n"/>
      <c r="AG382" s="1179" t="n"/>
      <c r="AH382" s="1180" t="n"/>
      <c r="AI382" s="1179" t="n"/>
      <c r="AJ382" s="1180" t="n"/>
      <c r="AK382" s="1179" t="n"/>
      <c r="AL382" s="1231" t="n"/>
      <c r="AM382" s="1393" t="n"/>
      <c r="AN382" s="2305" t="n"/>
      <c r="AO382" s="2305" t="n"/>
      <c r="AP382" s="1371" t="n"/>
      <c r="AQ382" s="2306" t="n"/>
      <c r="AR382" s="1230" t="n"/>
      <c r="AS382" s="1180" t="n"/>
      <c r="AT382">
        <f>CA382&amp;CB382</f>
        <v/>
      </c>
      <c r="CA382" s="90">
        <f>IF(AND(B382&gt;0,AR382="")," * No olvide digitar la variable Pueblos originarios. Digite Cero si no tiene.",IF(AR382&gt;B382," * La variable Pueblos originarios No puede ser mayor al Total.",""))</f>
        <v/>
      </c>
      <c r="CB382" s="90">
        <f>IF(AND(B382&gt;0,AS382="")," * No olvide digitar la variable Migrantes. Digite Cero si no tiene.",IF(AS382&gt;B382," * La variable Migrantes No puede ser mayor al Total.",""))</f>
        <v/>
      </c>
      <c r="CO382" s="221">
        <f>IF(AND(B382&gt;0,AR382=""),1,IF(AR382&gt;B382,1,0))</f>
        <v/>
      </c>
      <c r="CP382" s="221">
        <f>IF(AND(B382&gt;0,AS382=""),1,IF(AS382&gt;B382,1,0))</f>
        <v/>
      </c>
    </row>
    <row r="383">
      <c r="A383" s="2299" t="inlineStr">
        <is>
          <t>Egreso Cuidador</t>
        </is>
      </c>
      <c r="B383" s="2300" t="n"/>
      <c r="C383" s="2301" t="n"/>
      <c r="D383" s="2191" t="n"/>
      <c r="E383" s="2187" t="n"/>
      <c r="F383" s="2188" t="n"/>
      <c r="G383" s="2187" t="n"/>
      <c r="H383" s="2188" t="n"/>
      <c r="I383" s="2187" t="n"/>
      <c r="J383" s="2188" t="n"/>
      <c r="K383" s="2187" t="n"/>
      <c r="L383" s="2188" t="n"/>
      <c r="M383" s="2187" t="n"/>
      <c r="N383" s="2188" t="n"/>
      <c r="O383" s="2187" t="n"/>
      <c r="P383" s="2188" t="n"/>
      <c r="Q383" s="2187" t="n"/>
      <c r="R383" s="2188" t="n"/>
      <c r="S383" s="2187" t="n"/>
      <c r="T383" s="2188" t="n"/>
      <c r="U383" s="2187" t="n"/>
      <c r="V383" s="2188" t="n"/>
      <c r="W383" s="2187" t="n"/>
      <c r="X383" s="2188" t="n"/>
      <c r="Y383" s="2187" t="n"/>
      <c r="Z383" s="2188" t="n"/>
      <c r="AA383" s="2187" t="n"/>
      <c r="AB383" s="2188" t="n"/>
      <c r="AC383" s="2187" t="n"/>
      <c r="AD383" s="2188" t="n"/>
      <c r="AE383" s="2187" t="n"/>
      <c r="AF383" s="2188" t="n"/>
      <c r="AG383" s="2187" t="n"/>
      <c r="AH383" s="2188" t="n"/>
      <c r="AI383" s="2187" t="n"/>
      <c r="AJ383" s="2188" t="n"/>
      <c r="AK383" s="2187" t="n"/>
      <c r="AL383" s="2293" t="n"/>
      <c r="AM383" s="2190" t="n"/>
      <c r="AN383" s="2062" t="n"/>
      <c r="AO383" s="2062" t="n"/>
      <c r="AP383" s="2188" t="n"/>
      <c r="AQ383" s="2294" t="n"/>
      <c r="AR383" s="2190" t="n"/>
      <c r="AS383" s="2188" t="n"/>
      <c r="CA383" s="126" t="n"/>
      <c r="CB383" s="126" t="n"/>
      <c r="CO383" s="905" t="n"/>
      <c r="CP383" s="905" t="n"/>
    </row>
    <row r="384">
      <c r="A384" s="2310" t="inlineStr">
        <is>
          <t>Egreso por alta persona con dependencia</t>
        </is>
      </c>
      <c r="B384" s="2311">
        <f>SUM(C384:D384)</f>
        <v/>
      </c>
      <c r="C384" s="2312">
        <f>SUM(E384,G384,I384,K384,M384,O384,Q384,S384,U384,W384,Y384,AA384,AC384,AE384,AG384,AI384,AK384)</f>
        <v/>
      </c>
      <c r="D384" s="1993">
        <f>SUM(F384,H384,J384,L384,N384,P384,R384,T384,V384,X384,Z384,AB384,AD384,AF384,AH384,AJ384,AL384)</f>
        <v/>
      </c>
      <c r="E384" s="2022" t="n"/>
      <c r="F384" s="2029" t="n"/>
      <c r="G384" s="2022" t="n"/>
      <c r="H384" s="2029" t="n"/>
      <c r="I384" s="2022" t="n"/>
      <c r="J384" s="2029" t="n"/>
      <c r="K384" s="2022" t="n"/>
      <c r="L384" s="2029" t="n"/>
      <c r="M384" s="2022" t="n"/>
      <c r="N384" s="2029" t="n"/>
      <c r="O384" s="2022" t="n"/>
      <c r="P384" s="2029" t="n"/>
      <c r="Q384" s="2022" t="n"/>
      <c r="R384" s="2029" t="n"/>
      <c r="S384" s="2022" t="n"/>
      <c r="T384" s="2029" t="n"/>
      <c r="U384" s="2022" t="n"/>
      <c r="V384" s="2029" t="n"/>
      <c r="W384" s="2022" t="n"/>
      <c r="X384" s="2029" t="n"/>
      <c r="Y384" s="2022" t="n"/>
      <c r="Z384" s="2029" t="n"/>
      <c r="AA384" s="2022" t="n"/>
      <c r="AB384" s="2029" t="n"/>
      <c r="AC384" s="2022" t="n"/>
      <c r="AD384" s="2029" t="n"/>
      <c r="AE384" s="2022" t="n"/>
      <c r="AF384" s="2029" t="n"/>
      <c r="AG384" s="2022" t="n"/>
      <c r="AH384" s="2029" t="n"/>
      <c r="AI384" s="2022" t="n"/>
      <c r="AJ384" s="2029" t="n"/>
      <c r="AK384" s="2022" t="n"/>
      <c r="AL384" s="1983" t="n"/>
      <c r="AM384" s="2228" t="n"/>
      <c r="AN384" s="847" t="n"/>
      <c r="AO384" s="847" t="n"/>
      <c r="AP384" s="2193" t="n"/>
      <c r="AQ384" s="2298" t="n"/>
      <c r="AR384" s="2025" t="n"/>
      <c r="AS384" s="2029" t="n"/>
      <c r="AT384">
        <f>CA384&amp;CB384</f>
        <v/>
      </c>
      <c r="CA384" s="90">
        <f>IF(AND(B384&gt;0,AR384="")," * No olvide digitar la variable Pueblos originarios. Digite Cero si no tiene.",IF(AR384&gt;B384," * La variable Pueblos originarios No puede ser mayor al Total.",""))</f>
        <v/>
      </c>
      <c r="CB384" s="90">
        <f>IF(AND(B384&gt;0,AS384="")," * No olvide digitar la variable Migrantes. Digite Cero si no tiene.",IF(AS384&gt;B384," * La variable Migrantes No puede ser mayor al Total.",""))</f>
        <v/>
      </c>
      <c r="CO384" s="221">
        <f>IF(AND(B384&gt;0,AR384=""),1,IF(AR384&gt;B384,1,0))</f>
        <v/>
      </c>
      <c r="CP384" s="221">
        <f>IF(AND(B384&gt;0,AS384=""),1,IF(AS384&gt;B384,1,0))</f>
        <v/>
      </c>
    </row>
    <row r="385">
      <c r="A385" s="2308" t="inlineStr">
        <is>
          <t>Egreso por cambio de cuidador</t>
        </is>
      </c>
      <c r="B385" s="2309">
        <f>SUM(C385:D385)</f>
        <v/>
      </c>
      <c r="C385" s="1210">
        <f>SUM(E385,G385,I385,K385,M385,O385,Q385,S385,U385,W385,Y385,AA385,AC385,AE385,AG385,AI385,AK385)</f>
        <v/>
      </c>
      <c r="D385" s="894">
        <f>SUM(F385,H385,J385,L385,N385,P385,R385,T385,V385,X385,Z385,AB385,AD385,AF385,AH385,AJ385,AL385)</f>
        <v/>
      </c>
      <c r="E385" s="1172" t="n"/>
      <c r="F385" s="1173" t="n"/>
      <c r="G385" s="1172" t="n"/>
      <c r="H385" s="1173" t="n"/>
      <c r="I385" s="1172" t="n"/>
      <c r="J385" s="1173" t="n"/>
      <c r="K385" s="1172" t="n"/>
      <c r="L385" s="1173" t="n"/>
      <c r="M385" s="1172" t="n"/>
      <c r="N385" s="1173" t="n"/>
      <c r="O385" s="1172" t="n"/>
      <c r="P385" s="1173" t="n"/>
      <c r="Q385" s="1172" t="n"/>
      <c r="R385" s="1173" t="n"/>
      <c r="S385" s="1172" t="n"/>
      <c r="T385" s="1173" t="n"/>
      <c r="U385" s="1172" t="n"/>
      <c r="V385" s="1173" t="n"/>
      <c r="W385" s="1172" t="n"/>
      <c r="X385" s="1173" t="n"/>
      <c r="Y385" s="1172" t="n"/>
      <c r="Z385" s="1173" t="n"/>
      <c r="AA385" s="1172" t="n"/>
      <c r="AB385" s="1173" t="n"/>
      <c r="AC385" s="1172" t="n"/>
      <c r="AD385" s="1173" t="n"/>
      <c r="AE385" s="1172" t="n"/>
      <c r="AF385" s="1173" t="n"/>
      <c r="AG385" s="1172" t="n"/>
      <c r="AH385" s="1173" t="n"/>
      <c r="AI385" s="1172" t="n"/>
      <c r="AJ385" s="1173" t="n"/>
      <c r="AK385" s="1172" t="n"/>
      <c r="AL385" s="1221" t="n"/>
      <c r="AM385" s="896" t="n"/>
      <c r="AN385" s="2054" t="n"/>
      <c r="AO385" s="2054" t="n"/>
      <c r="AP385" s="1948" t="n"/>
      <c r="AQ385" s="1247" t="n"/>
      <c r="AR385" s="887" t="n"/>
      <c r="AS385" s="1173" t="n"/>
      <c r="AT385">
        <f>CA385&amp;CB385</f>
        <v/>
      </c>
      <c r="CA385" s="90">
        <f>IF(AND(B385&gt;0,AR385="")," * No olvide digitar la variable Pueblos originarios. Digite Cero si no tiene.",IF(AR385&gt;B385," * La variable Pueblos originarios No puede ser mayor al Total.",""))</f>
        <v/>
      </c>
      <c r="CB385" s="90">
        <f>IF(AND(B385&gt;0,AS385="")," * No olvide digitar la variable Migrantes. Digite Cero si no tiene.",IF(AS385&gt;B385," * La variable Migrantes No puede ser mayor al Total.",""))</f>
        <v/>
      </c>
      <c r="CO385" s="221">
        <f>IF(AND(B385&gt;0,AR385=""),1,IF(AR385&gt;B385,1,0))</f>
        <v/>
      </c>
      <c r="CP385" s="221">
        <f>IF(AND(B385&gt;0,AS385=""),1,IF(AS385&gt;B385,1,0))</f>
        <v/>
      </c>
    </row>
    <row r="386">
      <c r="A386" s="2308" t="inlineStr">
        <is>
          <t xml:space="preserve">Egreso por alta administrativa </t>
        </is>
      </c>
      <c r="B386" s="2309">
        <f>SUM(C386:D386)</f>
        <v/>
      </c>
      <c r="C386" s="1210">
        <f>SUM(E386,G386,I386,K386,M386,O386,Q386,S386,U386,W386,Y386,AA386,AC386,AE386,AG386,AI386,AK386)</f>
        <v/>
      </c>
      <c r="D386" s="894">
        <f>SUM(F386,H386,J386,L386,N386,P386,R386,T386,V386,X386,Z386,AB386,AD386,AF386,AH386,AJ386,AL386)</f>
        <v/>
      </c>
      <c r="E386" s="1172" t="n"/>
      <c r="F386" s="1173" t="n"/>
      <c r="G386" s="1172" t="n"/>
      <c r="H386" s="1173" t="n"/>
      <c r="I386" s="1172" t="n"/>
      <c r="J386" s="1173" t="n"/>
      <c r="K386" s="1172" t="n"/>
      <c r="L386" s="1173" t="n"/>
      <c r="M386" s="1172" t="n"/>
      <c r="N386" s="1173" t="n"/>
      <c r="O386" s="1172" t="n"/>
      <c r="P386" s="1173" t="n"/>
      <c r="Q386" s="1172" t="n"/>
      <c r="R386" s="1173" t="n"/>
      <c r="S386" s="1172" t="n"/>
      <c r="T386" s="1173" t="n"/>
      <c r="U386" s="1172" t="n"/>
      <c r="V386" s="1173" t="n"/>
      <c r="W386" s="1172" t="n"/>
      <c r="X386" s="1173" t="n"/>
      <c r="Y386" s="1172" t="n"/>
      <c r="Z386" s="1173" t="n"/>
      <c r="AA386" s="1172" t="n"/>
      <c r="AB386" s="1173" t="n"/>
      <c r="AC386" s="1172" t="n"/>
      <c r="AD386" s="1173" t="n"/>
      <c r="AE386" s="1172" t="n"/>
      <c r="AF386" s="1173" t="n"/>
      <c r="AG386" s="1172" t="n"/>
      <c r="AH386" s="1173" t="n"/>
      <c r="AI386" s="1172" t="n"/>
      <c r="AJ386" s="1173" t="n"/>
      <c r="AK386" s="1172" t="n"/>
      <c r="AL386" s="1221" t="n"/>
      <c r="AM386" s="896" t="n"/>
      <c r="AN386" s="2054" t="n"/>
      <c r="AO386" s="2054" t="n"/>
      <c r="AP386" s="1948" t="n"/>
      <c r="AQ386" s="1247" t="n"/>
      <c r="AR386" s="887" t="n"/>
      <c r="AS386" s="1173" t="n"/>
      <c r="AT386">
        <f>CA386&amp;CB386</f>
        <v/>
      </c>
      <c r="CA386" s="90">
        <f>IF(AND(B386&gt;0,AR386="")," * No olvide digitar la variable Pueblos originarios. Digite Cero si no tiene.",IF(AR386&gt;B386," * La variable Pueblos originarios No puede ser mayor al Total.",""))</f>
        <v/>
      </c>
      <c r="CB386" s="90">
        <f>IF(AND(B386&gt;0,AS386="")," * No olvide digitar la variable Migrantes. Digite Cero si no tiene.",IF(AS386&gt;B386," * La variable Migrantes No puede ser mayor al Total.",""))</f>
        <v/>
      </c>
      <c r="CO386" s="221">
        <f>IF(AND(B386&gt;0,AR386=""),1,IF(AR386&gt;B386,1,0))</f>
        <v/>
      </c>
      <c r="CP386" s="221">
        <f>IF(AND(B386&gt;0,AS386=""),1,IF(AS386&gt;B386,1,0))</f>
        <v/>
      </c>
    </row>
    <row r="387">
      <c r="A387" s="2308" t="inlineStr">
        <is>
          <t>Egreso por traslado</t>
        </is>
      </c>
      <c r="B387" s="2309">
        <f>SUM(C387:D387)</f>
        <v/>
      </c>
      <c r="C387" s="1210">
        <f>SUM(E387,G387,I387,K387,M387,O387,Q387,S387,U387,W387,Y387,AA387,AC387,AE387,AG387,AI387,AK387)</f>
        <v/>
      </c>
      <c r="D387" s="894">
        <f>SUM(F387,H387,J387,L387,N387,P387,R387,T387,V387,X387,Z387,AB387,AD387,AF387,AH387,AJ387,AL387)</f>
        <v/>
      </c>
      <c r="E387" s="1172" t="n"/>
      <c r="F387" s="1173" t="n"/>
      <c r="G387" s="1172" t="n"/>
      <c r="H387" s="1173" t="n"/>
      <c r="I387" s="1172" t="n"/>
      <c r="J387" s="1173" t="n"/>
      <c r="K387" s="1172" t="n"/>
      <c r="L387" s="1173" t="n"/>
      <c r="M387" s="1172" t="n"/>
      <c r="N387" s="1173" t="n"/>
      <c r="O387" s="1172" t="n"/>
      <c r="P387" s="1173" t="n"/>
      <c r="Q387" s="1172" t="n"/>
      <c r="R387" s="1173" t="n"/>
      <c r="S387" s="1172" t="n"/>
      <c r="T387" s="1173" t="n"/>
      <c r="U387" s="1172" t="n"/>
      <c r="V387" s="1173" t="n"/>
      <c r="W387" s="1172" t="n"/>
      <c r="X387" s="1173" t="n"/>
      <c r="Y387" s="1172" t="n"/>
      <c r="Z387" s="1173" t="n"/>
      <c r="AA387" s="1172" t="n"/>
      <c r="AB387" s="1173" t="n"/>
      <c r="AC387" s="1172" t="n"/>
      <c r="AD387" s="1173" t="n"/>
      <c r="AE387" s="1172" t="n"/>
      <c r="AF387" s="1173" t="n"/>
      <c r="AG387" s="1172" t="n"/>
      <c r="AH387" s="1173" t="n"/>
      <c r="AI387" s="1172" t="n"/>
      <c r="AJ387" s="1173" t="n"/>
      <c r="AK387" s="1172" t="n"/>
      <c r="AL387" s="1221" t="n"/>
      <c r="AM387" s="896" t="n"/>
      <c r="AN387" s="2054" t="n"/>
      <c r="AO387" s="2054" t="n"/>
      <c r="AP387" s="1948" t="n"/>
      <c r="AQ387" s="1247" t="n"/>
      <c r="AR387" s="887" t="n"/>
      <c r="AS387" s="1173" t="n"/>
      <c r="AT387">
        <f>CA387&amp;CB387</f>
        <v/>
      </c>
      <c r="CA387" s="90">
        <f>IF(AND(B387&gt;0,AR387="")," * No olvide digitar la variable Pueblos originarios. Digite Cero si no tiene.",IF(AR387&gt;B387," * La variable Pueblos originarios No puede ser mayor al Total.",""))</f>
        <v/>
      </c>
      <c r="CB387" s="90">
        <f>IF(AND(B387&gt;0,AS387="")," * No olvide digitar la variable Migrantes. Digite Cero si no tiene.",IF(AS387&gt;B387," * La variable Migrantes No puede ser mayor al Total.",""))</f>
        <v/>
      </c>
      <c r="CO387" s="221">
        <f>IF(AND(B387&gt;0,AR387=""),1,IF(AR387&gt;B387,1,0))</f>
        <v/>
      </c>
      <c r="CP387" s="221">
        <f>IF(AND(B387&gt;0,AS387=""),1,IF(AS387&gt;B387,1,0))</f>
        <v/>
      </c>
    </row>
    <row r="388" ht="21" customHeight="1" s="8286">
      <c r="A388" s="2308" t="inlineStr">
        <is>
          <t>Egreso por fallecimiento persona con dependencia</t>
        </is>
      </c>
      <c r="B388" s="2309">
        <f>SUM(C388:D388)</f>
        <v/>
      </c>
      <c r="C388" s="1210">
        <f>SUM(E388,G388,I388,K388,M388,O388,Q388,S388,U388,W388,Y388,AA388,AC388,AE388,AG388,AI388,AK388)</f>
        <v/>
      </c>
      <c r="D388" s="894">
        <f>SUM(F388,H388,J388,L388,N388,P388,R388,T388,V388,X388,Z388,AB388,AD388,AF388,AH388,AJ388,AL388)</f>
        <v/>
      </c>
      <c r="E388" s="1172" t="n"/>
      <c r="F388" s="1173" t="n"/>
      <c r="G388" s="1172" t="n"/>
      <c r="H388" s="1173" t="n"/>
      <c r="I388" s="1172" t="n"/>
      <c r="J388" s="1173" t="n"/>
      <c r="K388" s="1172" t="n"/>
      <c r="L388" s="1173" t="n"/>
      <c r="M388" s="1172" t="n"/>
      <c r="N388" s="1173" t="n"/>
      <c r="O388" s="1172" t="n"/>
      <c r="P388" s="1173" t="n"/>
      <c r="Q388" s="1172" t="n"/>
      <c r="R388" s="1173" t="n"/>
      <c r="S388" s="1172" t="n"/>
      <c r="T388" s="1173" t="n"/>
      <c r="U388" s="1172" t="n"/>
      <c r="V388" s="1173" t="n"/>
      <c r="W388" s="1172" t="n"/>
      <c r="X388" s="1173" t="n"/>
      <c r="Y388" s="1172" t="n"/>
      <c r="Z388" s="1173" t="n"/>
      <c r="AA388" s="1172" t="n"/>
      <c r="AB388" s="1173" t="n"/>
      <c r="AC388" s="1172" t="n"/>
      <c r="AD388" s="1173" t="n"/>
      <c r="AE388" s="1172" t="n"/>
      <c r="AF388" s="1173" t="n"/>
      <c r="AG388" s="1172" t="n"/>
      <c r="AH388" s="1173" t="n"/>
      <c r="AI388" s="1172" t="n"/>
      <c r="AJ388" s="1173" t="n"/>
      <c r="AK388" s="1172" t="n"/>
      <c r="AL388" s="1221" t="n"/>
      <c r="AM388" s="896" t="n"/>
      <c r="AN388" s="2054" t="n"/>
      <c r="AO388" s="2054" t="n"/>
      <c r="AP388" s="1948" t="n"/>
      <c r="AQ388" s="1247" t="n"/>
      <c r="AR388" s="887" t="n"/>
      <c r="AS388" s="1173" t="n"/>
      <c r="AT388">
        <f>CA388&amp;CB388</f>
        <v/>
      </c>
      <c r="CA388" s="90">
        <f>IF(AND(B388&gt;0,AR388="")," * No olvide digitar la variable Pueblos originarios. Digite Cero si no tiene.",IF(AR388&gt;B388," * La variable Pueblos originarios No puede ser mayor al Total.",""))</f>
        <v/>
      </c>
      <c r="CB388" s="90">
        <f>IF(AND(B388&gt;0,AS388="")," * No olvide digitar la variable Migrantes. Digite Cero si no tiene.",IF(AS388&gt;B388," * La variable Migrantes No puede ser mayor al Total.",""))</f>
        <v/>
      </c>
      <c r="CO388" s="221">
        <f>IF(AND(B388&gt;0,AR388=""),1,IF(AR388&gt;B388,1,0))</f>
        <v/>
      </c>
      <c r="CP388" s="221">
        <f>IF(AND(B388&gt;0,AS388=""),1,IF(AS388&gt;B388,1,0))</f>
        <v/>
      </c>
    </row>
    <row r="389">
      <c r="A389" s="2313" t="inlineStr">
        <is>
          <t>Egreso por fallecimiento cuidador</t>
        </is>
      </c>
      <c r="B389" s="1218">
        <f>SUM(C389:D389)</f>
        <v/>
      </c>
      <c r="C389" s="1211">
        <f>SUM(E389,G389,I389,K389,M389,O389,Q389,S389,U389,W389,Y389,AA389,AC389,AE389,AG389,AI389,AK389)</f>
        <v/>
      </c>
      <c r="D389" s="1359">
        <f>SUM(F389,H389,J389,L389,N389,P389,R389,T389,V389,X389,Z389,AB389,AD389,AF389,AH389,AJ389,AL389)</f>
        <v/>
      </c>
      <c r="E389" s="1188" t="n"/>
      <c r="F389" s="1192" t="n"/>
      <c r="G389" s="1188" t="n"/>
      <c r="H389" s="1192" t="n"/>
      <c r="I389" s="1188" t="n"/>
      <c r="J389" s="1192" t="n"/>
      <c r="K389" s="1188" t="n"/>
      <c r="L389" s="1192" t="n"/>
      <c r="M389" s="1188" t="n"/>
      <c r="N389" s="1192" t="n"/>
      <c r="O389" s="1188" t="n"/>
      <c r="P389" s="1192" t="n"/>
      <c r="Q389" s="1188" t="n"/>
      <c r="R389" s="1192" t="n"/>
      <c r="S389" s="1188" t="n"/>
      <c r="T389" s="1192" t="n"/>
      <c r="U389" s="1188" t="n"/>
      <c r="V389" s="1192" t="n"/>
      <c r="W389" s="1188" t="n"/>
      <c r="X389" s="1192" t="n"/>
      <c r="Y389" s="1188" t="n"/>
      <c r="Z389" s="1192" t="n"/>
      <c r="AA389" s="1188" t="n"/>
      <c r="AB389" s="1192" t="n"/>
      <c r="AC389" s="1188" t="n"/>
      <c r="AD389" s="1192" t="n"/>
      <c r="AE389" s="1188" t="n"/>
      <c r="AF389" s="1192" t="n"/>
      <c r="AG389" s="1188" t="n"/>
      <c r="AH389" s="1192" t="n"/>
      <c r="AI389" s="1188" t="n"/>
      <c r="AJ389" s="1192" t="n"/>
      <c r="AK389" s="1188" t="n"/>
      <c r="AL389" s="1226" t="n"/>
      <c r="AM389" s="1370" t="n"/>
      <c r="AN389" s="1237" t="n"/>
      <c r="AO389" s="1237" t="n"/>
      <c r="AP389" s="1233" t="n"/>
      <c r="AQ389" s="1292" t="n"/>
      <c r="AR389" s="1225" t="n"/>
      <c r="AS389" s="1192" t="n"/>
      <c r="AT389">
        <f>CA389&amp;CB389</f>
        <v/>
      </c>
      <c r="CA389" s="90">
        <f>IF(AND(B389&gt;0,AR389="")," * No olvide digitar la variable Pueblos originarios. Digite Cero si no tiene.",IF(AR389&gt;B389," * La variable Pueblos originarios No puede ser mayor al Total.",""))</f>
        <v/>
      </c>
      <c r="CB389" s="90">
        <f>IF(AND(B389&gt;0,AS389="")," * No olvide digitar la variable Migrantes. Digite Cero si no tiene.",IF(AS389&gt;B389," * La variable Migrantes No puede ser mayor al Total.",""))</f>
        <v/>
      </c>
      <c r="CO389" s="221">
        <f>IF(AND(B389&gt;0,AR389=""),1,IF(AR389&gt;B389,1,0))</f>
        <v/>
      </c>
      <c r="CP389" s="221">
        <f>IF(AND(B389&gt;0,AS389=""),1,IF(AS389&gt;B389,1,0))</f>
        <v/>
      </c>
    </row>
    <row r="390">
      <c r="A390" s="10029" t="inlineStr">
        <is>
          <t>SECCIÓN W: INGRESO Y EGRESO PROGRAMA ACOMPAÑAMIENTO A LA IDENTIDAD DE GENERO EN NIVEL DE ESPECIALIDAD</t>
        </is>
      </c>
      <c r="B390" s="9617" t="n"/>
      <c r="C390" s="9617" t="n"/>
      <c r="D390" s="9617" t="n"/>
      <c r="E390" s="9617" t="n"/>
      <c r="F390" s="9617" t="n"/>
      <c r="G390" s="9617" t="n"/>
      <c r="H390" s="9617" t="n"/>
      <c r="I390" s="9617" t="n"/>
      <c r="J390" s="9617" t="n"/>
      <c r="K390" s="9617" t="n"/>
      <c r="L390" s="9617" t="n"/>
    </row>
    <row r="391">
      <c r="A391" s="8473" t="inlineStr">
        <is>
          <t>TIPO DE INGRESO O EGRESO</t>
        </is>
      </c>
      <c r="B391" s="8400" t="inlineStr">
        <is>
          <t>TOTAL</t>
        </is>
      </c>
      <c r="C391" s="9976" t="inlineStr">
        <is>
          <t>RANGO ETARIO</t>
        </is>
      </c>
      <c r="D391" s="9584" t="n"/>
      <c r="E391" s="9584" t="n"/>
      <c r="F391" s="9584" t="n"/>
      <c r="G391" s="9584" t="n"/>
      <c r="H391" s="9595" t="n"/>
      <c r="I391" s="9988" t="inlineStr">
        <is>
          <t>IDENTIDAD DE GÉNERO</t>
        </is>
      </c>
      <c r="J391" s="9597" t="n"/>
      <c r="K391" s="10002" t="inlineStr">
        <is>
          <t xml:space="preserve">SENAME/ Servicio Nacional de Reinserción social Juvenil </t>
        </is>
      </c>
      <c r="L391" s="10005" t="inlineStr">
        <is>
          <t>Servicio Nacional Protección Especializada a la Niñez y Adolescencia</t>
        </is>
      </c>
      <c r="M391" s="10030" t="inlineStr">
        <is>
          <t>PROCEDENCIA DE LA DERIVACIÓN</t>
        </is>
      </c>
      <c r="N391" s="9725" t="n"/>
      <c r="O391" s="9725" t="n"/>
      <c r="P391" s="9725" t="n"/>
      <c r="Q391" s="9725" t="n"/>
      <c r="R391" s="10031" t="n"/>
      <c r="S391" s="10032" t="inlineStr">
        <is>
          <t>ACOMPAÑAMIENTO AL INGRESO</t>
        </is>
      </c>
      <c r="T391" s="10033" t="n"/>
      <c r="U391" s="10034" t="n"/>
    </row>
    <row r="392">
      <c r="A392" s="9614" t="n"/>
      <c r="B392" s="9614" t="n"/>
      <c r="C392" s="8400" t="inlineStr">
        <is>
          <t>3 a 9 años</t>
        </is>
      </c>
      <c r="D392" s="9584" t="n"/>
      <c r="E392" s="9582" t="n"/>
      <c r="F392" s="9976" t="inlineStr">
        <is>
          <t>10 a 17 años</t>
        </is>
      </c>
      <c r="G392" s="9584" t="n"/>
      <c r="H392" s="9595" t="n"/>
      <c r="I392" s="9980" t="inlineStr">
        <is>
          <t>Trans o género no conforme</t>
        </is>
      </c>
      <c r="J392" s="9982" t="inlineStr">
        <is>
          <t>No trans ni género no conforme</t>
        </is>
      </c>
      <c r="K392" s="9687" t="n"/>
      <c r="L392" s="9718" t="n"/>
      <c r="M392" s="10035" t="inlineStr">
        <is>
          <t>Establecimiento Educacional</t>
        </is>
      </c>
      <c r="N392" s="10036" t="inlineStr">
        <is>
          <t>APS</t>
        </is>
      </c>
      <c r="O392" s="10036" t="inlineStr">
        <is>
          <t>Otras especialidades u hospitalización</t>
        </is>
      </c>
      <c r="P392" s="10037" t="inlineStr">
        <is>
          <t>Sistema Judicial</t>
        </is>
      </c>
      <c r="Q392" s="9975" t="inlineStr">
        <is>
          <t>Intersector</t>
        </is>
      </c>
      <c r="R392" s="10038" t="inlineStr">
        <is>
          <t>Consulta espontánea a PAIG</t>
        </is>
      </c>
      <c r="S392" s="9280" t="inlineStr">
        <is>
          <t>Padres o tutores legales</t>
        </is>
      </c>
      <c r="T392" s="9280" t="inlineStr">
        <is>
          <t>Adulto significativo (diferente del tutor legal)</t>
        </is>
      </c>
      <c r="U392" s="9290" t="inlineStr">
        <is>
          <t>Sin acompañamiento</t>
        </is>
      </c>
    </row>
    <row r="393" ht="53.25" customHeight="1" s="8286">
      <c r="A393" s="9610" t="n"/>
      <c r="B393" s="9610" t="n"/>
      <c r="C393" s="7932" t="inlineStr">
        <is>
          <t>Hombre</t>
        </is>
      </c>
      <c r="D393" s="2011" t="inlineStr">
        <is>
          <t>Mujer</t>
        </is>
      </c>
      <c r="E393" s="7666" t="inlineStr">
        <is>
          <t>Intersexual</t>
        </is>
      </c>
      <c r="F393" s="7932" t="inlineStr">
        <is>
          <t>Hombre</t>
        </is>
      </c>
      <c r="G393" s="2011" t="inlineStr">
        <is>
          <t>Mujer</t>
        </is>
      </c>
      <c r="H393" s="7690" t="inlineStr">
        <is>
          <t>Intersexual</t>
        </is>
      </c>
      <c r="I393" s="9604" t="n"/>
      <c r="J393" s="9865" t="n"/>
      <c r="K393" s="9688" t="n"/>
      <c r="L393" s="9639" t="n"/>
      <c r="M393" s="10039" t="n"/>
      <c r="N393" s="9870" t="n"/>
      <c r="O393" s="9870" t="n"/>
      <c r="P393" s="10040" t="n"/>
      <c r="Q393" s="9611" t="n"/>
      <c r="R393" s="9611" t="n"/>
      <c r="S393" s="9870" t="n"/>
      <c r="T393" s="9870" t="n"/>
      <c r="U393" s="9639" t="n"/>
    </row>
    <row r="394" ht="21" customHeight="1" s="8286">
      <c r="A394" s="8420" t="inlineStr">
        <is>
          <t>Número de Niños, Niñas y Adolescentes en atención</t>
        </is>
      </c>
      <c r="B394" s="1974">
        <f>SUM(C394:H394)</f>
        <v/>
      </c>
      <c r="C394" s="2022" t="n"/>
      <c r="D394" s="2023" t="n"/>
      <c r="E394" s="2029" t="n"/>
      <c r="F394" s="2022" t="n"/>
      <c r="G394" s="2023" t="n"/>
      <c r="H394" s="1940" t="n"/>
      <c r="I394" s="2064" t="n"/>
      <c r="J394" s="2268" t="n"/>
      <c r="K394" s="2038" t="n"/>
      <c r="L394" s="2115" t="n"/>
      <c r="M394" s="266" t="n"/>
      <c r="N394" s="624" t="n"/>
      <c r="O394" s="5277" t="n"/>
      <c r="P394" s="5404" t="n"/>
      <c r="Q394" s="5403" t="n"/>
      <c r="R394" s="1234" t="n"/>
      <c r="S394" s="2070" t="n"/>
      <c r="T394" s="2070" t="n"/>
      <c r="U394" s="2193" t="n"/>
      <c r="V394">
        <f>CA394&amp;CB394</f>
        <v/>
      </c>
      <c r="CA394" s="90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/>
      </c>
      <c r="CP394" s="221">
        <f>IF(AND($B394&gt;0,L394=""),1,IF(L394&gt;$B394,1,0))</f>
        <v/>
      </c>
    </row>
    <row r="395">
      <c r="A395" s="2292" t="inlineStr">
        <is>
          <t>INGRESOS</t>
        </is>
      </c>
      <c r="B395" s="7725">
        <f>SUM(C395:H395)</f>
        <v/>
      </c>
      <c r="C395" s="1988">
        <f>SUM(C396:C398)</f>
        <v/>
      </c>
      <c r="D395" s="2121">
        <f>SUM(D396:D398)</f>
        <v/>
      </c>
      <c r="E395" s="2121">
        <f>SUM(E396:E398)</f>
        <v/>
      </c>
      <c r="F395" s="1988">
        <f>SUM(F396:F398)</f>
        <v/>
      </c>
      <c r="G395" s="2046">
        <f>SUM(G396:G398)</f>
        <v/>
      </c>
      <c r="H395" s="2069">
        <f>SUM(H396:H398)</f>
        <v/>
      </c>
      <c r="I395" s="178">
        <f>SUM(I396:I398)</f>
        <v/>
      </c>
      <c r="J395" s="1368" t="n"/>
      <c r="K395" s="2314">
        <f>SUM(K396:K398)</f>
        <v/>
      </c>
      <c r="L395" s="2133">
        <f>SUM(L396:L398)</f>
        <v/>
      </c>
      <c r="M395" s="267">
        <f>SUM(M396:M398)</f>
        <v/>
      </c>
      <c r="N395" s="177">
        <f>SUM(N396:N398)</f>
        <v/>
      </c>
      <c r="O395" s="5258">
        <f>SUM(O396:O398)</f>
        <v/>
      </c>
      <c r="P395" s="5405">
        <f>SUM(P396:P398)</f>
        <v/>
      </c>
      <c r="Q395" s="5258">
        <f>SUM(Q396:Q398)</f>
        <v/>
      </c>
      <c r="R395" s="2147">
        <f>SUM(R396:R398)</f>
        <v/>
      </c>
      <c r="S395" s="1988">
        <f>SUM(S396:S398)</f>
        <v/>
      </c>
      <c r="T395" s="2121">
        <f>SUM(T396:T398)</f>
        <v/>
      </c>
      <c r="U395" s="2147">
        <f>SUM(U396:U398)</f>
        <v/>
      </c>
    </row>
    <row r="396">
      <c r="A396" s="2310" t="inlineStr">
        <is>
          <t>Ingresos con nivel de riesgo bajo</t>
        </is>
      </c>
      <c r="B396" s="2315">
        <f>SUM(C396:H396)</f>
        <v/>
      </c>
      <c r="C396" s="2022" t="n"/>
      <c r="D396" s="2023" t="n"/>
      <c r="E396" s="2029" t="n"/>
      <c r="F396" s="2022" t="n"/>
      <c r="G396" s="835" t="n"/>
      <c r="H396" s="1983" t="n"/>
      <c r="I396" s="2025" t="n"/>
      <c r="J396" s="2229" t="n"/>
      <c r="K396" s="2023" t="n"/>
      <c r="L396" s="2029" t="n"/>
      <c r="M396" s="2022" t="n"/>
      <c r="N396" s="5026" t="n"/>
      <c r="O396" s="3503" t="n"/>
      <c r="P396" s="1169" t="n"/>
      <c r="Q396" s="3503" t="n"/>
      <c r="R396" s="2029" t="n"/>
      <c r="S396" s="2022" t="n"/>
      <c r="T396" s="2023" t="n"/>
      <c r="U396" s="2029" t="n"/>
      <c r="V396">
        <f>CA396&amp;CB396</f>
        <v/>
      </c>
      <c r="CA396" s="90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>IF(AND($B396&gt;0,K396=""),1,IF(K396&gt;$B396,1,0))</f>
        <v/>
      </c>
      <c r="CP396" s="221">
        <f>IF(AND($B396&gt;0,L396=""),1,IF(L396&gt;$B396,1,0))</f>
        <v/>
      </c>
    </row>
    <row r="397">
      <c r="A397" s="2308" t="inlineStr">
        <is>
          <t>Ingresos con nivel riesgo medio</t>
        </is>
      </c>
      <c r="B397" s="1144">
        <f>SUM(C397:H397)</f>
        <v/>
      </c>
      <c r="C397" s="1172" t="n"/>
      <c r="D397" s="1174" t="n"/>
      <c r="E397" s="1173" t="n"/>
      <c r="F397" s="1172" t="n"/>
      <c r="G397" s="1174" t="n"/>
      <c r="H397" s="1221" t="n"/>
      <c r="I397" s="887" t="n"/>
      <c r="J397" s="1952" t="n"/>
      <c r="K397" s="1174" t="n"/>
      <c r="L397" s="1173" t="n"/>
      <c r="M397" s="1172" t="n"/>
      <c r="N397" s="3891" t="n"/>
      <c r="O397" s="3789" t="n"/>
      <c r="P397" s="3791" t="n"/>
      <c r="Q397" s="3789" t="n"/>
      <c r="R397" s="1173" t="n"/>
      <c r="S397" s="1172" t="n"/>
      <c r="T397" s="1174" t="n"/>
      <c r="U397" s="1173" t="n"/>
      <c r="V397">
        <f>CA397&amp;CB397</f>
        <v/>
      </c>
      <c r="CA397" s="90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>IF(AND($B397&gt;0,K397=""),1,IF(K397&gt;$B397,1,0))</f>
        <v/>
      </c>
      <c r="CP397" s="221">
        <f>IF(AND($B397&gt;0,L397=""),1,IF(L397&gt;$B397,1,0))</f>
        <v/>
      </c>
    </row>
    <row r="398">
      <c r="A398" s="2308" t="inlineStr">
        <is>
          <t>Ingresos con nivel de riesgo alto</t>
        </is>
      </c>
      <c r="B398" s="2316">
        <f>SUM(C398:H398)</f>
        <v/>
      </c>
      <c r="C398" s="1172" t="n"/>
      <c r="D398" s="1174" t="n"/>
      <c r="E398" s="1173" t="n"/>
      <c r="F398" s="1172" t="n"/>
      <c r="G398" s="1174" t="n"/>
      <c r="H398" s="1221" t="n"/>
      <c r="I398" s="887" t="n"/>
      <c r="J398" s="1952" t="n"/>
      <c r="K398" s="1174" t="n"/>
      <c r="L398" s="1173" t="n"/>
      <c r="M398" s="1172" t="n"/>
      <c r="N398" s="793" t="n"/>
      <c r="O398" s="5222" t="n"/>
      <c r="P398" s="755" t="n"/>
      <c r="Q398" s="5222" t="n"/>
      <c r="R398" s="1186" t="n"/>
      <c r="S398" s="1935" t="n"/>
      <c r="T398" s="1432" t="n"/>
      <c r="U398" s="1186" t="n"/>
      <c r="V398">
        <f>CA398&amp;CB398</f>
        <v/>
      </c>
      <c r="CA398" s="90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>IF(AND($B398&gt;0,K398=""),1,IF(K398&gt;$B398,1,0))</f>
        <v/>
      </c>
      <c r="CP398" s="221">
        <f>IF(AND($B398&gt;0,L398=""),1,IF(L398&gt;$B398,1,0))</f>
        <v/>
      </c>
    </row>
    <row r="399">
      <c r="A399" s="2292" t="inlineStr">
        <is>
          <t>EGRESOS</t>
        </is>
      </c>
      <c r="B399" s="7725">
        <f>SUM(C399:H399)</f>
        <v/>
      </c>
      <c r="C399" s="1988">
        <f>SUM(C400:C403)</f>
        <v/>
      </c>
      <c r="D399" s="2121">
        <f>SUM(D400:D403)</f>
        <v/>
      </c>
      <c r="E399" s="7769">
        <f>SUM(E400:E403)</f>
        <v/>
      </c>
      <c r="F399" s="1988">
        <f>SUM(F400:F403)</f>
        <v/>
      </c>
      <c r="G399" s="2046">
        <f>SUM(G400:G403)</f>
        <v/>
      </c>
      <c r="H399" s="2069">
        <f>SUM(H400:H403)</f>
        <v/>
      </c>
      <c r="I399" s="2047">
        <f>SUM(I400:I403)</f>
        <v/>
      </c>
      <c r="J399" s="2317">
        <f>SUM(J400:J403)</f>
        <v/>
      </c>
      <c r="K399" s="2121">
        <f>SUM(K400:K403)</f>
        <v/>
      </c>
      <c r="L399" s="2133">
        <f>SUM(L400:L403)</f>
        <v/>
      </c>
      <c r="M399" s="2318">
        <f>SUM(M400:M403)</f>
        <v/>
      </c>
      <c r="N399" s="5402">
        <f>SUM(N400:N403)</f>
        <v/>
      </c>
      <c r="O399" s="5401">
        <f>SUM(O400:O403)</f>
        <v/>
      </c>
      <c r="P399" s="5406">
        <f>SUM(P400:P403)</f>
        <v/>
      </c>
      <c r="Q399" s="5401">
        <f>SUM(Q400:Q403)</f>
        <v/>
      </c>
      <c r="R399" s="2319">
        <f>SUM(R400:R403)</f>
        <v/>
      </c>
      <c r="S399" s="2318">
        <f>SUM(S400:S403)</f>
        <v/>
      </c>
      <c r="T399" s="2320">
        <f>SUM(T400:T403)</f>
        <v/>
      </c>
      <c r="U399" s="2319">
        <f>SUM(U400:U403)</f>
        <v/>
      </c>
    </row>
    <row r="400">
      <c r="A400" s="2310" t="inlineStr">
        <is>
          <t>Egresos con nivel de riesgo bajo</t>
        </is>
      </c>
      <c r="B400" s="2315">
        <f>SUM(C400:H400)</f>
        <v/>
      </c>
      <c r="C400" s="2022" t="n"/>
      <c r="D400" s="2023" t="n"/>
      <c r="E400" s="2029" t="n"/>
      <c r="F400" s="2022" t="n"/>
      <c r="G400" s="2023" t="n"/>
      <c r="H400" s="1983" t="n"/>
      <c r="I400" s="2025" t="n"/>
      <c r="J400" s="1983" t="n"/>
      <c r="K400" s="2023" t="n"/>
      <c r="L400" s="2115" t="n"/>
      <c r="M400" s="268" t="n"/>
      <c r="N400" s="623" t="n"/>
      <c r="O400" s="271" t="n"/>
      <c r="P400" s="5407" t="n"/>
      <c r="Q400" s="271" t="n"/>
      <c r="R400" s="269" t="n"/>
      <c r="S400" s="268" t="n"/>
      <c r="T400" s="271" t="n"/>
      <c r="U400" s="270" t="n"/>
      <c r="V400">
        <f>CA400&amp;CB400</f>
        <v/>
      </c>
      <c r="CA400" s="90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>IF(AND($B400&gt;0,K400=""),1,IF(K400&gt;$B400,1,0))</f>
        <v/>
      </c>
      <c r="CP400" s="221">
        <f>IF(AND($B400&gt;0,L400=""),1,IF(L400&gt;$B400,1,0))</f>
        <v/>
      </c>
    </row>
    <row r="401" ht="16.5" customHeight="1" s="8286">
      <c r="A401" s="2308" t="inlineStr">
        <is>
          <t>Egresos con nivel riesgo medio</t>
        </is>
      </c>
      <c r="B401" s="1144">
        <f>SUM(C401:H401)</f>
        <v/>
      </c>
      <c r="C401" s="1172" t="n"/>
      <c r="D401" s="1174" t="n"/>
      <c r="E401" s="1173" t="n"/>
      <c r="F401" s="1172" t="n"/>
      <c r="G401" s="1174" t="n"/>
      <c r="H401" s="1221" t="n"/>
      <c r="I401" s="887" t="n"/>
      <c r="J401" s="1221" t="n"/>
      <c r="K401" s="1174" t="n"/>
      <c r="L401" s="1222" t="n"/>
      <c r="M401" s="272" t="n"/>
      <c r="N401" s="146" t="n"/>
      <c r="O401" s="203" t="n"/>
      <c r="P401" s="5408" t="n"/>
      <c r="Q401" s="203" t="n"/>
      <c r="R401" s="273" t="n"/>
      <c r="S401" s="272" t="n"/>
      <c r="T401" s="203" t="n"/>
      <c r="U401" s="274" t="n"/>
      <c r="V401">
        <f>CA401&amp;CB401</f>
        <v/>
      </c>
      <c r="CA401" s="90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>IF(AND($B401&gt;0,K401=""),1,IF(K401&gt;$B401,1,0))</f>
        <v/>
      </c>
      <c r="CP401" s="221">
        <f>IF(AND($B401&gt;0,L401=""),1,IF(L401&gt;$B401,1,0))</f>
        <v/>
      </c>
    </row>
    <row r="402" ht="12" customHeight="1" s="8286">
      <c r="A402" s="2308" t="inlineStr">
        <is>
          <t>Egresos con nivel de riesgo alto</t>
        </is>
      </c>
      <c r="B402" s="2316">
        <f>SUM(C402:H402)</f>
        <v/>
      </c>
      <c r="C402" s="1172" t="n"/>
      <c r="D402" s="1174" t="n"/>
      <c r="E402" s="1173" t="n"/>
      <c r="F402" s="1172" t="n"/>
      <c r="G402" s="1174" t="n"/>
      <c r="H402" s="1221" t="n"/>
      <c r="I402" s="887" t="n"/>
      <c r="J402" s="1221" t="n"/>
      <c r="K402" s="1174" t="n"/>
      <c r="L402" s="1222" t="n"/>
      <c r="M402" s="272" t="n"/>
      <c r="N402" s="146" t="n"/>
      <c r="O402" s="203" t="n"/>
      <c r="P402" s="5408" t="n"/>
      <c r="Q402" s="203" t="n"/>
      <c r="R402" s="273" t="n"/>
      <c r="S402" s="272" t="n"/>
      <c r="T402" s="203" t="n"/>
      <c r="U402" s="274" t="n"/>
      <c r="V402">
        <f>CA402&amp;CB402</f>
        <v/>
      </c>
      <c r="CA402" s="90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>IF(AND($B402&gt;0,K402=""),1,IF(K402&gt;$B402,1,0))</f>
        <v/>
      </c>
      <c r="CP402" s="221">
        <f>IF(AND($B402&gt;0,L402=""),1,IF(L402&gt;$B402,1,0))</f>
        <v/>
      </c>
    </row>
    <row r="403" ht="15.75" customHeight="1" s="8286" thickBot="1">
      <c r="A403" s="2321" t="inlineStr">
        <is>
          <t>Egresos sin completar PCI</t>
        </is>
      </c>
      <c r="B403" s="2322">
        <f>SUM(C403:H403)</f>
        <v/>
      </c>
      <c r="C403" s="2323" t="n"/>
      <c r="D403" s="2324" t="n"/>
      <c r="E403" s="2073" t="n"/>
      <c r="F403" s="2323" t="n"/>
      <c r="G403" s="2324" t="n"/>
      <c r="H403" s="2325" t="n"/>
      <c r="I403" s="2072" t="n"/>
      <c r="J403" s="2325" t="n"/>
      <c r="K403" s="2324" t="n"/>
      <c r="L403" s="2326" t="n"/>
      <c r="M403" s="275" t="n"/>
      <c r="N403" s="106" t="n"/>
      <c r="O403" s="105" t="n"/>
      <c r="P403" s="5409" t="n"/>
      <c r="Q403" s="105" t="n"/>
      <c r="R403" s="276" t="n"/>
      <c r="S403" s="275" t="n"/>
      <c r="T403" s="105" t="n"/>
      <c r="U403" s="277" t="n"/>
      <c r="V403">
        <f>CA403&amp;CB403</f>
        <v/>
      </c>
      <c r="CA403" s="90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>IF(AND($B403&gt;0,K403=""),1,IF(K403&gt;$B403,1,0))</f>
        <v/>
      </c>
      <c r="CP403" s="221">
        <f>IF(AND($B403&gt;0,L403=""),1,IF(L403&gt;$B403,1,0))</f>
        <v/>
      </c>
    </row>
    <row r="404" ht="15.75" customHeight="1" s="8286" thickTop="1">
      <c r="A404" s="2327" t="inlineStr">
        <is>
          <t>Egresos por abandono</t>
        </is>
      </c>
      <c r="B404" s="2328">
        <f>SUM(C404:H404)</f>
        <v/>
      </c>
      <c r="C404" s="872" t="n"/>
      <c r="D404" s="1434" t="n"/>
      <c r="E404" s="1953" t="n"/>
      <c r="F404" s="872" t="n"/>
      <c r="G404" s="1434" t="n"/>
      <c r="H404" s="1954" t="n"/>
      <c r="I404" s="159" t="n"/>
      <c r="J404" s="1954" t="n"/>
      <c r="K404" s="1434" t="n"/>
      <c r="L404" s="2183" t="n"/>
      <c r="M404" s="278" t="n"/>
      <c r="N404" s="5410" t="n"/>
      <c r="O404" s="5411" t="n"/>
      <c r="P404" s="5412" t="n"/>
      <c r="Q404" s="281" t="n"/>
      <c r="R404" s="279" t="n"/>
      <c r="S404" s="278" t="n"/>
      <c r="T404" s="281" t="n"/>
      <c r="U404" s="280" t="n"/>
      <c r="V404">
        <f>CA404&amp;CB404</f>
        <v/>
      </c>
      <c r="CA404" s="90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>IF(AND($B404&gt;0,K404=""),1,IF(K404&gt;$B404,1,0))</f>
        <v/>
      </c>
      <c r="CP404" s="221">
        <f>IF(AND($B404&gt;0,L404=""),1,IF(L404&gt;$B404,1,0))</f>
        <v/>
      </c>
    </row>
    <row r="405">
      <c r="A405" s="657" t="inlineStr">
        <is>
          <t>SECCIÓN X: INTERVENCIONES REALIZADAS POR ÁMBITO DENTRO DEL PROGRAMA DE ACOMPAÑAMIENTO A LA IDENTIDAD DE GÉNERO (PAIG)</t>
        </is>
      </c>
      <c r="B405" s="646" t="n"/>
      <c r="C405" s="7" t="n"/>
      <c r="D405" s="5" t="n"/>
    </row>
    <row r="406" ht="24.95" customHeight="1" s="8286">
      <c r="A406" s="10041" t="inlineStr">
        <is>
          <t>INTERVENCIONES POR ÁMBITO</t>
        </is>
      </c>
      <c r="B406" s="8400" t="inlineStr">
        <is>
          <t>TOTAL</t>
        </is>
      </c>
      <c r="C406" s="9976" t="inlineStr">
        <is>
          <t>RANGO ETARIO</t>
        </is>
      </c>
      <c r="D406" s="9595" t="n"/>
      <c r="E406" s="7829" t="inlineStr">
        <is>
          <t>SENAME/ Servicio Nacional de Reinserción social Juvenil</t>
        </is>
      </c>
      <c r="F406" s="8400" t="inlineStr">
        <is>
          <t>Servicio Nacional Protección Especializada a la Niñez y Adolescencia</t>
        </is>
      </c>
    </row>
    <row r="407" ht="24.95" customHeight="1" s="8286">
      <c r="A407" s="9614" t="n"/>
      <c r="B407" s="9614" t="n"/>
      <c r="C407" s="9924" t="inlineStr">
        <is>
          <t>3 a 9 años</t>
        </is>
      </c>
      <c r="D407" s="9982" t="inlineStr">
        <is>
          <t>10 a 17 años</t>
        </is>
      </c>
      <c r="F407" s="9614" t="n"/>
    </row>
    <row r="408" ht="31.5" customHeight="1" s="8286">
      <c r="A408" s="9614" t="n"/>
      <c r="B408" s="9610" t="n"/>
      <c r="C408" s="9800" t="n"/>
      <c r="D408" s="9865" t="n"/>
      <c r="E408" s="9591" t="n"/>
      <c r="F408" s="9610" t="n"/>
    </row>
    <row r="409">
      <c r="A409" s="2310" t="inlineStr">
        <is>
          <t>Ámbito individual</t>
        </is>
      </c>
      <c r="B409" s="2315">
        <f>SUM(C409:D409)</f>
        <v/>
      </c>
      <c r="C409" s="2022" t="n"/>
      <c r="D409" s="1983" t="n"/>
      <c r="E409" s="5414" t="n"/>
      <c r="F409" s="5189" t="n"/>
      <c r="G409">
        <f>CA409&amp;CB409</f>
        <v/>
      </c>
      <c r="CA409" s="90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/>
      </c>
      <c r="CP409" s="221">
        <f>IF(AND($B409&gt;0,F409=""),1,IF(F409&gt;$B409,1,0))</f>
        <v/>
      </c>
      <c r="CQ409" s="221">
        <f>IF(AND($B409&gt;0,E409=""),1,IF(E409&gt;$B409,1,0))</f>
        <v/>
      </c>
      <c r="CR409" s="221">
        <f>IF(AND($B409&gt;0,F409=""),1,IF(F409&gt;$B409,1,0))</f>
        <v/>
      </c>
    </row>
    <row r="410">
      <c r="A410" s="2308" t="inlineStr">
        <is>
          <t>Ámbito familiar</t>
        </is>
      </c>
      <c r="B410" s="1144">
        <f>SUM(C410:D410)</f>
        <v/>
      </c>
      <c r="C410" s="1172" t="n"/>
      <c r="D410" s="1221" t="n"/>
      <c r="E410" s="3895" t="n"/>
      <c r="F410" s="3892" t="n"/>
      <c r="G410">
        <f>CA410&amp;CB410</f>
        <v/>
      </c>
      <c r="CA410" s="90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>
        <f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>IF(AND($B410&gt;0,E410=""),1,IF(E410&gt;$B410,1,0))</f>
        <v/>
      </c>
      <c r="CP410" s="221">
        <f>IF(AND($B410&gt;0,F410=""),1,IF(F410&gt;$B410,1,0))</f>
        <v/>
      </c>
      <c r="CQ410" s="221">
        <f>IF(AND($B410&gt;0,E410=""),1,IF(E410&gt;$B410,1,0))</f>
        <v/>
      </c>
      <c r="CR410" s="221">
        <f>IF(AND($B410&gt;0,F410=""),1,IF(F410&gt;$B410,1,0))</f>
        <v/>
      </c>
    </row>
    <row r="411">
      <c r="A411" s="2327" t="inlineStr">
        <is>
          <t>Ámbito educativo</t>
        </is>
      </c>
      <c r="B411" s="1425">
        <f>SUM(C411:D411)</f>
        <v/>
      </c>
      <c r="C411" s="1188" t="n"/>
      <c r="D411" s="1226" t="n"/>
      <c r="E411" s="1227" t="n"/>
      <c r="F411" s="1223" t="n"/>
      <c r="G411">
        <f>CA411&amp;CB411</f>
        <v/>
      </c>
      <c r="CA411" s="90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>
        <f>IF(AND(B411&gt;0,F411="")," *No olvide digitar la variable Servicio Nacional Protección Especializada a la Niñez y Adolescencia. Digite Cero si no tiene.",IF(B411&gt;F411," *La variable Servicio Nacional Protección Especializada a la Niñez y Adolescencia No puede ser mayor al Total Ambos Sexos.",""))</f>
        <v/>
      </c>
      <c r="CO411" s="221">
        <f>IF(AND($B411&gt;0,E411=""),1,IF(E411&gt;$B411,1,0))</f>
        <v/>
      </c>
      <c r="CP411" s="221">
        <f>IF(AND($B411&gt;0,F411=""),1,IF(F411&gt;$B411,1,0))</f>
        <v/>
      </c>
      <c r="CQ411" s="221">
        <f>IF(AND($B411&gt;0,E411=""),1,IF(E411&gt;$B411,1,0))</f>
        <v/>
      </c>
      <c r="CR411" s="221">
        <f>IF(AND($B411&gt;0,F411=""),1,IF(F411&gt;$B411,1,0))</f>
        <v/>
      </c>
    </row>
    <row r="437" hidden="1" ht="32.25" customHeight="1" s="8286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/>
      </c>
      <c r="B437" s="283">
        <f>SUM(CO11:CY411)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ikkyeTl1+LgSdIfTrc3Uw==" formatRows="1" sort="1" spinCount="100000" hashValue="kz0eP1WwNcZj2axwO+s/BGvkztNf5tTr8bPnOrMzFxOAPvZvUsSMYvObiqzINaEDU9dAbkmCv7Olg6yl4PO2tA=="/>
  <mergeCells count="583">
    <mergeCell ref="N101:O101"/>
    <mergeCell ref="A64:B64"/>
    <mergeCell ref="A51:B51"/>
    <mergeCell ref="AL130:AL132"/>
    <mergeCell ref="L391:L393"/>
    <mergeCell ref="AL295:AL297"/>
    <mergeCell ref="A265:A269"/>
    <mergeCell ref="D16:D17"/>
    <mergeCell ref="AL304:AM304"/>
    <mergeCell ref="F355:G355"/>
    <mergeCell ref="A120:A127"/>
    <mergeCell ref="T191:U191"/>
    <mergeCell ref="V191:W191"/>
    <mergeCell ref="X117:Y117"/>
    <mergeCell ref="R92:W92"/>
    <mergeCell ref="A231:B231"/>
    <mergeCell ref="A35:B35"/>
    <mergeCell ref="R33:R34"/>
    <mergeCell ref="A333:B333"/>
    <mergeCell ref="A100:B102"/>
    <mergeCell ref="O9:O10"/>
    <mergeCell ref="A28:B28"/>
    <mergeCell ref="S391:U391"/>
    <mergeCell ref="C341:E342"/>
    <mergeCell ref="A335:A339"/>
    <mergeCell ref="AO144:AO145"/>
    <mergeCell ref="A245:B245"/>
    <mergeCell ref="A30:B30"/>
    <mergeCell ref="A79:A80"/>
    <mergeCell ref="H327:I327"/>
    <mergeCell ref="A59:B59"/>
    <mergeCell ref="C326:E327"/>
    <mergeCell ref="T33:U33"/>
    <mergeCell ref="A103:B103"/>
    <mergeCell ref="A45:A46"/>
    <mergeCell ref="A213:A217"/>
    <mergeCell ref="H93:I93"/>
    <mergeCell ref="J93:K93"/>
    <mergeCell ref="T342:U342"/>
    <mergeCell ref="L342:M342"/>
    <mergeCell ref="R304:S304"/>
    <mergeCell ref="A348:A350"/>
    <mergeCell ref="N342:O342"/>
    <mergeCell ref="A128:B128"/>
    <mergeCell ref="AD243:AE243"/>
    <mergeCell ref="AJ327:AK327"/>
    <mergeCell ref="AL327:AM327"/>
    <mergeCell ref="AN327:AO327"/>
    <mergeCell ref="A205:A212"/>
    <mergeCell ref="N392:N393"/>
    <mergeCell ref="P392:P393"/>
    <mergeCell ref="AU243:AU244"/>
    <mergeCell ref="F109:G109"/>
    <mergeCell ref="AH116:AH118"/>
    <mergeCell ref="H109:I109"/>
    <mergeCell ref="AP369:AP370"/>
    <mergeCell ref="Z117:AA117"/>
    <mergeCell ref="J296:K296"/>
    <mergeCell ref="R165:R166"/>
    <mergeCell ref="A194:B194"/>
    <mergeCell ref="H304:I304"/>
    <mergeCell ref="AB296:AC296"/>
    <mergeCell ref="A134:A141"/>
    <mergeCell ref="AR143:AR145"/>
    <mergeCell ref="A300:A301"/>
    <mergeCell ref="A83:B83"/>
    <mergeCell ref="AV326:AV328"/>
    <mergeCell ref="K391:K393"/>
    <mergeCell ref="L355:M355"/>
    <mergeCell ref="N355:O355"/>
    <mergeCell ref="A49:B49"/>
    <mergeCell ref="P178:P179"/>
    <mergeCell ref="AD191:AE191"/>
    <mergeCell ref="A36:B36"/>
    <mergeCell ref="A334:B334"/>
    <mergeCell ref="P348:P350"/>
    <mergeCell ref="X92:AC92"/>
    <mergeCell ref="V131:W131"/>
    <mergeCell ref="A78:B78"/>
    <mergeCell ref="X131:Y131"/>
    <mergeCell ref="R296:S296"/>
    <mergeCell ref="A65:B65"/>
    <mergeCell ref="AL355:AL356"/>
    <mergeCell ref="A108:B110"/>
    <mergeCell ref="E369:F369"/>
    <mergeCell ref="A326:B328"/>
    <mergeCell ref="P327:Q327"/>
    <mergeCell ref="G369:H369"/>
    <mergeCell ref="R327:S327"/>
    <mergeCell ref="AL93:AM93"/>
    <mergeCell ref="AI354:AI356"/>
    <mergeCell ref="AN93:AO93"/>
    <mergeCell ref="A287:A291"/>
    <mergeCell ref="AB355:AC355"/>
    <mergeCell ref="T355:U355"/>
    <mergeCell ref="O348:O350"/>
    <mergeCell ref="L152:M152"/>
    <mergeCell ref="AB342:AC342"/>
    <mergeCell ref="G349:H349"/>
    <mergeCell ref="AD342:AE342"/>
    <mergeCell ref="F117:G117"/>
    <mergeCell ref="I349:J349"/>
    <mergeCell ref="V342:W342"/>
    <mergeCell ref="A148:A149"/>
    <mergeCell ref="AK355:AK356"/>
    <mergeCell ref="A24:B24"/>
    <mergeCell ref="Z304:AA304"/>
    <mergeCell ref="W33:W34"/>
    <mergeCell ref="O392:O393"/>
    <mergeCell ref="Q392:Q393"/>
    <mergeCell ref="AF191:AG191"/>
    <mergeCell ref="Q165:Q166"/>
    <mergeCell ref="H191:I191"/>
    <mergeCell ref="AJ296:AK296"/>
    <mergeCell ref="A38:A44"/>
    <mergeCell ref="H178:I178"/>
    <mergeCell ref="J178:K178"/>
    <mergeCell ref="L117:M117"/>
    <mergeCell ref="A9:B10"/>
    <mergeCell ref="A50:B50"/>
    <mergeCell ref="X100:AC100"/>
    <mergeCell ref="C61:C62"/>
    <mergeCell ref="AD355:AE355"/>
    <mergeCell ref="A47:A48"/>
    <mergeCell ref="A150:B150"/>
    <mergeCell ref="A303:B305"/>
    <mergeCell ref="Y369:Z369"/>
    <mergeCell ref="AA369:AB369"/>
    <mergeCell ref="AW326:AW328"/>
    <mergeCell ref="P93:Q93"/>
    <mergeCell ref="R93:S93"/>
    <mergeCell ref="AQ92:AQ94"/>
    <mergeCell ref="AB304:AC304"/>
    <mergeCell ref="C406:D406"/>
    <mergeCell ref="A241:B241"/>
    <mergeCell ref="C16:C17"/>
    <mergeCell ref="A357:A359"/>
    <mergeCell ref="A363:A366"/>
    <mergeCell ref="N117:O117"/>
    <mergeCell ref="AH354:AH356"/>
    <mergeCell ref="A292:B292"/>
    <mergeCell ref="A286:B286"/>
    <mergeCell ref="A163:B163"/>
    <mergeCell ref="J191:K191"/>
    <mergeCell ref="C165:E165"/>
    <mergeCell ref="AH304:AI304"/>
    <mergeCell ref="AJ304:AK304"/>
    <mergeCell ref="S9:T9"/>
    <mergeCell ref="L144:M144"/>
    <mergeCell ref="AN143:AP143"/>
    <mergeCell ref="F143:AM143"/>
    <mergeCell ref="V355:W355"/>
    <mergeCell ref="AB243:AC243"/>
    <mergeCell ref="T243:U243"/>
    <mergeCell ref="AL191:AM191"/>
    <mergeCell ref="F406:F408"/>
    <mergeCell ref="T348:U349"/>
    <mergeCell ref="A270:A273"/>
    <mergeCell ref="AD131:AE131"/>
    <mergeCell ref="AF131:AG131"/>
    <mergeCell ref="T101:U101"/>
    <mergeCell ref="V101:W101"/>
    <mergeCell ref="F303:AM303"/>
    <mergeCell ref="F304:G304"/>
    <mergeCell ref="D33:P33"/>
    <mergeCell ref="X33:Z33"/>
    <mergeCell ref="AO304:AO305"/>
    <mergeCell ref="V9:V10"/>
    <mergeCell ref="A345:B345"/>
    <mergeCell ref="X327:Y327"/>
    <mergeCell ref="Z327:AA327"/>
    <mergeCell ref="A89:B89"/>
    <mergeCell ref="A282:B282"/>
    <mergeCell ref="Z93:AA93"/>
    <mergeCell ref="A195:A196"/>
    <mergeCell ref="E406:E408"/>
    <mergeCell ref="P296:Q296"/>
    <mergeCell ref="J101:K101"/>
    <mergeCell ref="A105:B105"/>
    <mergeCell ref="Q348:Q350"/>
    <mergeCell ref="A26:B26"/>
    <mergeCell ref="F326:AQ326"/>
    <mergeCell ref="AI131:AI132"/>
    <mergeCell ref="AK131:AK132"/>
    <mergeCell ref="AP92:AP94"/>
    <mergeCell ref="A234:B234"/>
    <mergeCell ref="AB101:AC101"/>
    <mergeCell ref="D9:N9"/>
    <mergeCell ref="AD92:AO92"/>
    <mergeCell ref="A178:B179"/>
    <mergeCell ref="AD144:AE144"/>
    <mergeCell ref="A360:A362"/>
    <mergeCell ref="AF144:AG144"/>
    <mergeCell ref="D61:P61"/>
    <mergeCell ref="A130:B132"/>
    <mergeCell ref="U9:U10"/>
    <mergeCell ref="A344:B344"/>
    <mergeCell ref="A77:B77"/>
    <mergeCell ref="P191:Q191"/>
    <mergeCell ref="R191:S191"/>
    <mergeCell ref="AH131:AH132"/>
    <mergeCell ref="AJ131:AJ132"/>
    <mergeCell ref="J131:K131"/>
    <mergeCell ref="U53:W53"/>
    <mergeCell ref="A307:A315"/>
    <mergeCell ref="A33:B34"/>
    <mergeCell ref="C116:E117"/>
    <mergeCell ref="A254:A255"/>
    <mergeCell ref="AJ243:AK243"/>
    <mergeCell ref="AL243:AM243"/>
    <mergeCell ref="A279:A281"/>
    <mergeCell ref="AI369:AJ369"/>
    <mergeCell ref="AK369:AL369"/>
    <mergeCell ref="AS368:AS370"/>
    <mergeCell ref="A247:A248"/>
    <mergeCell ref="A21:B21"/>
    <mergeCell ref="F116:AG116"/>
    <mergeCell ref="F327:G327"/>
    <mergeCell ref="A113:B113"/>
    <mergeCell ref="A191:B192"/>
    <mergeCell ref="AJ341:AJ343"/>
    <mergeCell ref="S53:T53"/>
    <mergeCell ref="A249:A250"/>
    <mergeCell ref="C100:E101"/>
    <mergeCell ref="F93:G93"/>
    <mergeCell ref="H355:I355"/>
    <mergeCell ref="A23:B23"/>
    <mergeCell ref="H342:I342"/>
    <mergeCell ref="N304:O304"/>
    <mergeCell ref="J342:K342"/>
    <mergeCell ref="P304:Q304"/>
    <mergeCell ref="A96:B96"/>
    <mergeCell ref="R61:R62"/>
    <mergeCell ref="F392:H392"/>
    <mergeCell ref="A332:B332"/>
    <mergeCell ref="AP327:AQ327"/>
    <mergeCell ref="AL100:AL102"/>
    <mergeCell ref="AH327:AI327"/>
    <mergeCell ref="V33:V34"/>
    <mergeCell ref="AN304:AN305"/>
    <mergeCell ref="AQ243:AQ244"/>
    <mergeCell ref="AP304:AP305"/>
    <mergeCell ref="J144:K144"/>
    <mergeCell ref="AN369:AN370"/>
    <mergeCell ref="L131:M131"/>
    <mergeCell ref="F296:G296"/>
    <mergeCell ref="A235:A239"/>
    <mergeCell ref="C33:C34"/>
    <mergeCell ref="AR191:AR192"/>
    <mergeCell ref="AK341:AK343"/>
    <mergeCell ref="X296:Y296"/>
    <mergeCell ref="AN303:AP303"/>
    <mergeCell ref="A18:B18"/>
    <mergeCell ref="C91:E93"/>
    <mergeCell ref="R355:S355"/>
    <mergeCell ref="A341:B343"/>
    <mergeCell ref="J355:K355"/>
    <mergeCell ref="P243:Q243"/>
    <mergeCell ref="F243:G243"/>
    <mergeCell ref="AM369:AM370"/>
    <mergeCell ref="H243:I243"/>
    <mergeCell ref="M369:N369"/>
    <mergeCell ref="O369:P369"/>
    <mergeCell ref="J109:K109"/>
    <mergeCell ref="A61:B62"/>
    <mergeCell ref="R131:S131"/>
    <mergeCell ref="X93:Y93"/>
    <mergeCell ref="AO191:AO192"/>
    <mergeCell ref="T131:U131"/>
    <mergeCell ref="H101:I101"/>
    <mergeCell ref="AL144:AM144"/>
    <mergeCell ref="A29:B29"/>
    <mergeCell ref="AJ355:AJ356"/>
    <mergeCell ref="A31:B31"/>
    <mergeCell ref="C152:E152"/>
    <mergeCell ref="A98:B98"/>
    <mergeCell ref="L327:M327"/>
    <mergeCell ref="N327:O327"/>
    <mergeCell ref="A218:A221"/>
    <mergeCell ref="AR368:AR370"/>
    <mergeCell ref="Z296:AA296"/>
    <mergeCell ref="A162:B162"/>
    <mergeCell ref="F100:Q100"/>
    <mergeCell ref="AM295:AM297"/>
    <mergeCell ref="C108:E109"/>
    <mergeCell ref="X342:Y342"/>
    <mergeCell ref="AO295:AO297"/>
    <mergeCell ref="H152:I152"/>
    <mergeCell ref="Z342:AA342"/>
    <mergeCell ref="J152:K152"/>
    <mergeCell ref="E349:F349"/>
    <mergeCell ref="A274:A278"/>
    <mergeCell ref="C243:E243"/>
    <mergeCell ref="AD100:AI100"/>
    <mergeCell ref="V304:W304"/>
    <mergeCell ref="R144:S144"/>
    <mergeCell ref="E368:AL368"/>
    <mergeCell ref="T144:U144"/>
    <mergeCell ref="L109:M109"/>
    <mergeCell ref="S33:S34"/>
    <mergeCell ref="A171:A174"/>
    <mergeCell ref="AU91:AU94"/>
    <mergeCell ref="AW91:AW94"/>
    <mergeCell ref="A199:A200"/>
    <mergeCell ref="A116:B118"/>
    <mergeCell ref="A253:B253"/>
    <mergeCell ref="M392:M393"/>
    <mergeCell ref="A240:B240"/>
    <mergeCell ref="Z191:AA191"/>
    <mergeCell ref="AO369:AO370"/>
    <mergeCell ref="AB191:AC191"/>
    <mergeCell ref="A19:B19"/>
    <mergeCell ref="AD91:AT91"/>
    <mergeCell ref="AF296:AG296"/>
    <mergeCell ref="AH296:AI296"/>
    <mergeCell ref="A111:B111"/>
    <mergeCell ref="O152:O153"/>
    <mergeCell ref="Q53:Q54"/>
    <mergeCell ref="H165:I165"/>
    <mergeCell ref="Z355:AA355"/>
    <mergeCell ref="J165:K165"/>
    <mergeCell ref="AQ143:AQ145"/>
    <mergeCell ref="U369:V369"/>
    <mergeCell ref="W369:X369"/>
    <mergeCell ref="AU326:AU328"/>
    <mergeCell ref="C178:E178"/>
    <mergeCell ref="A298:A299"/>
    <mergeCell ref="L93:M93"/>
    <mergeCell ref="AS92:AS94"/>
    <mergeCell ref="T117:U117"/>
    <mergeCell ref="N93:O93"/>
    <mergeCell ref="A37:B37"/>
    <mergeCell ref="V117:W117"/>
    <mergeCell ref="AF304:AG304"/>
    <mergeCell ref="X304:Y304"/>
    <mergeCell ref="F354:AG354"/>
    <mergeCell ref="A227:A229"/>
    <mergeCell ref="AS243:AT243"/>
    <mergeCell ref="AW243:AW244"/>
    <mergeCell ref="A63:B63"/>
    <mergeCell ref="AT191:AU191"/>
    <mergeCell ref="AV191:AW191"/>
    <mergeCell ref="F178:G178"/>
    <mergeCell ref="AB117:AC117"/>
    <mergeCell ref="A316:A324"/>
    <mergeCell ref="A119:B119"/>
    <mergeCell ref="AA33:AA34"/>
    <mergeCell ref="AV243:AV244"/>
    <mergeCell ref="S392:S393"/>
    <mergeCell ref="AX243:AX244"/>
    <mergeCell ref="X243:Y243"/>
    <mergeCell ref="U392:U393"/>
    <mergeCell ref="A165:B166"/>
    <mergeCell ref="Z243:AA243"/>
    <mergeCell ref="AF327:AG327"/>
    <mergeCell ref="B406:B408"/>
    <mergeCell ref="R243:S243"/>
    <mergeCell ref="A152:B153"/>
    <mergeCell ref="A133:B133"/>
    <mergeCell ref="A193:B193"/>
    <mergeCell ref="AV91:AV94"/>
    <mergeCell ref="Z131:AA131"/>
    <mergeCell ref="AF93:AG93"/>
    <mergeCell ref="J392:J393"/>
    <mergeCell ref="AB131:AC131"/>
    <mergeCell ref="A167:A169"/>
    <mergeCell ref="AH93:AI93"/>
    <mergeCell ref="P101:Q101"/>
    <mergeCell ref="R101:S101"/>
    <mergeCell ref="B295:B297"/>
    <mergeCell ref="AN243:AP243"/>
    <mergeCell ref="Q61:Q62"/>
    <mergeCell ref="D407:D408"/>
    <mergeCell ref="C295:E296"/>
    <mergeCell ref="A6:P6"/>
    <mergeCell ref="M391:R391"/>
    <mergeCell ref="AM368:AP368"/>
    <mergeCell ref="N178:O178"/>
    <mergeCell ref="R53:R54"/>
    <mergeCell ref="R9:R10"/>
    <mergeCell ref="A147:B147"/>
    <mergeCell ref="V327:W327"/>
    <mergeCell ref="AN295:AN297"/>
    <mergeCell ref="A243:B244"/>
    <mergeCell ref="A406:A408"/>
    <mergeCell ref="S348:S350"/>
    <mergeCell ref="L296:M296"/>
    <mergeCell ref="N296:O296"/>
    <mergeCell ref="A197:A198"/>
    <mergeCell ref="AR92:AR94"/>
    <mergeCell ref="X191:Y191"/>
    <mergeCell ref="B354:B356"/>
    <mergeCell ref="X101:Y101"/>
    <mergeCell ref="A146:B146"/>
    <mergeCell ref="C354:E355"/>
    <mergeCell ref="AH144:AI144"/>
    <mergeCell ref="A390:L390"/>
    <mergeCell ref="Z144:AA144"/>
    <mergeCell ref="AJ144:AK144"/>
    <mergeCell ref="A75:A76"/>
    <mergeCell ref="AB144:AC144"/>
    <mergeCell ref="A257:A264"/>
    <mergeCell ref="R100:W100"/>
    <mergeCell ref="N152:N153"/>
    <mergeCell ref="J304:K304"/>
    <mergeCell ref="Q9:Q10"/>
    <mergeCell ref="F295:AK295"/>
    <mergeCell ref="C143:E144"/>
    <mergeCell ref="N191:O191"/>
    <mergeCell ref="A95:B95"/>
    <mergeCell ref="A331:B331"/>
    <mergeCell ref="A222:A226"/>
    <mergeCell ref="A81:A82"/>
    <mergeCell ref="F131:G131"/>
    <mergeCell ref="AM130:AM132"/>
    <mergeCell ref="H131:I131"/>
    <mergeCell ref="A97:B97"/>
    <mergeCell ref="C130:E131"/>
    <mergeCell ref="W9:X9"/>
    <mergeCell ref="P342:Q342"/>
    <mergeCell ref="C53:C54"/>
    <mergeCell ref="R342:S342"/>
    <mergeCell ref="B348:D349"/>
    <mergeCell ref="AF243:AG243"/>
    <mergeCell ref="AH243:AI243"/>
    <mergeCell ref="C303:E304"/>
    <mergeCell ref="AC369:AD369"/>
    <mergeCell ref="AE369:AF369"/>
    <mergeCell ref="AG369:AH369"/>
    <mergeCell ref="AQ368:AQ370"/>
    <mergeCell ref="R392:R393"/>
    <mergeCell ref="T392:T393"/>
    <mergeCell ref="AH101:AI101"/>
    <mergeCell ref="Z101:AA101"/>
    <mergeCell ref="AD117:AE117"/>
    <mergeCell ref="AF117:AG117"/>
    <mergeCell ref="A88:B88"/>
    <mergeCell ref="AX191:AX192"/>
    <mergeCell ref="A346:B346"/>
    <mergeCell ref="L304:M304"/>
    <mergeCell ref="X53:X54"/>
    <mergeCell ref="F91:AC91"/>
    <mergeCell ref="C407:C408"/>
    <mergeCell ref="A283:B283"/>
    <mergeCell ref="AJ100:AJ102"/>
    <mergeCell ref="A27:B27"/>
    <mergeCell ref="F92:Q92"/>
    <mergeCell ref="F144:G144"/>
    <mergeCell ref="A285:B285"/>
    <mergeCell ref="H144:I144"/>
    <mergeCell ref="A306:B306"/>
    <mergeCell ref="AT326:AT328"/>
    <mergeCell ref="P355:Q355"/>
    <mergeCell ref="AH191:AI191"/>
    <mergeCell ref="R348:R350"/>
    <mergeCell ref="AJ191:AK191"/>
    <mergeCell ref="AN191:AN192"/>
    <mergeCell ref="A22:B22"/>
    <mergeCell ref="AT303:AT305"/>
    <mergeCell ref="T296:U296"/>
    <mergeCell ref="AV303:AV305"/>
    <mergeCell ref="A354:A356"/>
    <mergeCell ref="A230:B230"/>
    <mergeCell ref="F16:F17"/>
    <mergeCell ref="A232:B232"/>
    <mergeCell ref="A143:B145"/>
    <mergeCell ref="AQ303:AR304"/>
    <mergeCell ref="J243:K243"/>
    <mergeCell ref="P9:P10"/>
    <mergeCell ref="L243:M243"/>
    <mergeCell ref="A11:B11"/>
    <mergeCell ref="N243:O243"/>
    <mergeCell ref="T327:U327"/>
    <mergeCell ref="I369:J369"/>
    <mergeCell ref="K369:L369"/>
    <mergeCell ref="AM354:AM356"/>
    <mergeCell ref="N131:O131"/>
    <mergeCell ref="T93:U93"/>
    <mergeCell ref="P131:Q131"/>
    <mergeCell ref="X355:Y355"/>
    <mergeCell ref="AF342:AG342"/>
    <mergeCell ref="H117:I117"/>
    <mergeCell ref="K349:L349"/>
    <mergeCell ref="J117:K117"/>
    <mergeCell ref="M349:N349"/>
    <mergeCell ref="A57:A58"/>
    <mergeCell ref="AD304:AE304"/>
    <mergeCell ref="J327:K327"/>
    <mergeCell ref="AD296:AE296"/>
    <mergeCell ref="Q178:Q179"/>
    <mergeCell ref="V296:W296"/>
    <mergeCell ref="F152:G152"/>
    <mergeCell ref="A16:B17"/>
    <mergeCell ref="AT92:AT94"/>
    <mergeCell ref="L191:M191"/>
    <mergeCell ref="A293:B293"/>
    <mergeCell ref="L178:M178"/>
    <mergeCell ref="N165:P165"/>
    <mergeCell ref="P117:Q117"/>
    <mergeCell ref="A157:B157"/>
    <mergeCell ref="V144:W144"/>
    <mergeCell ref="C392:E392"/>
    <mergeCell ref="A284:B284"/>
    <mergeCell ref="X144:Y144"/>
    <mergeCell ref="T304:U304"/>
    <mergeCell ref="N144:O144"/>
    <mergeCell ref="P144:Q144"/>
    <mergeCell ref="AF355:AG355"/>
    <mergeCell ref="AK100:AK102"/>
    <mergeCell ref="Q33:Q34"/>
    <mergeCell ref="F108:M108"/>
    <mergeCell ref="AJ354:AL354"/>
    <mergeCell ref="I392:I393"/>
    <mergeCell ref="F130:AG130"/>
    <mergeCell ref="A295:A297"/>
    <mergeCell ref="AN144:AN145"/>
    <mergeCell ref="A158:A161"/>
    <mergeCell ref="AP144:AP145"/>
    <mergeCell ref="A246:B246"/>
    <mergeCell ref="A53:B54"/>
    <mergeCell ref="V93:W93"/>
    <mergeCell ref="A368:A370"/>
    <mergeCell ref="A233:B233"/>
    <mergeCell ref="F101:G101"/>
    <mergeCell ref="A12:B12"/>
    <mergeCell ref="AS303:AS305"/>
    <mergeCell ref="AU303:AU305"/>
    <mergeCell ref="A104:B104"/>
    <mergeCell ref="F342:G342"/>
    <mergeCell ref="A175:B175"/>
    <mergeCell ref="F165:G165"/>
    <mergeCell ref="E348:M348"/>
    <mergeCell ref="C391:H391"/>
    <mergeCell ref="A14:B14"/>
    <mergeCell ref="Q369:R369"/>
    <mergeCell ref="E16:E17"/>
    <mergeCell ref="S369:T369"/>
    <mergeCell ref="A106:B106"/>
    <mergeCell ref="B391:B393"/>
    <mergeCell ref="AH341:AI342"/>
    <mergeCell ref="C191:E191"/>
    <mergeCell ref="A184:A187"/>
    <mergeCell ref="A170:B170"/>
    <mergeCell ref="R117:S117"/>
    <mergeCell ref="AH130:AK130"/>
    <mergeCell ref="AD101:AG101"/>
    <mergeCell ref="D53:P53"/>
    <mergeCell ref="A154:A156"/>
    <mergeCell ref="A201:B201"/>
    <mergeCell ref="F191:G191"/>
    <mergeCell ref="AS191:AS192"/>
    <mergeCell ref="L101:M101"/>
    <mergeCell ref="B368:D369"/>
    <mergeCell ref="F341:AG341"/>
    <mergeCell ref="A251:A252"/>
    <mergeCell ref="L165:M165"/>
    <mergeCell ref="C9:C10"/>
    <mergeCell ref="A91:B94"/>
    <mergeCell ref="A391:A393"/>
    <mergeCell ref="A25:B25"/>
    <mergeCell ref="AP191:AQ191"/>
    <mergeCell ref="A55:A56"/>
    <mergeCell ref="I391:J391"/>
    <mergeCell ref="H296:I296"/>
    <mergeCell ref="AI116:AI118"/>
    <mergeCell ref="AR326:AS327"/>
    <mergeCell ref="AR243:AR244"/>
    <mergeCell ref="A20:B20"/>
    <mergeCell ref="A202:A203"/>
    <mergeCell ref="A329:A330"/>
    <mergeCell ref="AB327:AC327"/>
    <mergeCell ref="V243:W243"/>
    <mergeCell ref="A180:A183"/>
    <mergeCell ref="AD327:AE327"/>
    <mergeCell ref="A112:B112"/>
    <mergeCell ref="A66:A72"/>
    <mergeCell ref="A13:B13"/>
    <mergeCell ref="AJ93:AK93"/>
    <mergeCell ref="A73:A74"/>
    <mergeCell ref="AB93:AC93"/>
    <mergeCell ref="AD93:AE93"/>
    <mergeCell ref="A176:B176"/>
    <mergeCell ref="A114:B114"/>
  </mergeCells>
  <dataValidations count="12">
    <dataValidation sqref="B86:D86 C18:F31 D11:P14 D52:U52 D55:X59 D89:E89 F103:AL106 F111:M114 F119:AI128 F133:AM141 F146:AR150 F154:O156 F158:O161 F167:R169 F171:R174 F193:AX193 F245:AX245 F298:AO301 F344:AK346 F357:AM366 H247:AX247 Q13 R11:X14" showDropDown="0" showInputMessage="1" showErrorMessage="1" allowBlank="0" type="whole" operator="greaterThanOrEqual">
      <formula1>0</formula1>
    </dataValidation>
    <dataValidation sqref="E351:U352 F247:G293 H248:AX293" showDropDown="0" showInputMessage="1" showErrorMessage="1" allowBlank="0" type="whole">
      <formula1>0</formula1>
      <formula2>9.99999999999999E+35</formula2>
    </dataValidation>
    <dataValidation sqref="F180:Q182 F184:Q187 F307:AV324" showDropDown="0" showInputMessage="1" showErrorMessage="1" allowBlank="0" type="whole">
      <formula1>0</formula1>
      <formula2>9.99999999999999E+38</formula2>
    </dataValidation>
    <dataValidation sqref="U53 X33 X53:X54 AA33:AA34" showDropDown="0" showInputMessage="1" showErrorMessage="1" allowBlank="0" errorTitle="Error de ingreso" error="Debe ingresar sólo números enteros positivos."/>
    <dataValidation sqref="B372:AS373 B375:AS376 B378:AS382 B384:AS389 B395:B402 B409:B411 C395:I395 C399:U399 K395:U395" showDropDown="0" showInputMessage="1" showErrorMessage="1" allowBlank="0" error="Valor no Permitido" type="whole" operator="greaterThanOrEqual">
      <formula1>0</formula1>
    </dataValidation>
    <dataValidation sqref="C194:AX194 C246:AX246 D208 D329 N37 Q11:Q12 Q14 AD208:AN208" showDropDown="0" showInputMessage="1" showErrorMessage="1" allowBlank="0" type="whole" operator="equal">
      <formula1>0</formula1>
    </dataValidation>
    <dataValidation sqref="B371:AS371 B374:AS374 B377:AS377 B383:AS383 J395" showDropDown="0" showInputMessage="1" showErrorMessage="1" allowBlank="0" error="Valor no Permitido" type="whole" operator="equal">
      <formula1>0</formula1>
    </dataValidation>
    <dataValidation sqref="D36:M51 N36 N38:N51 O36:AA51" showDropDown="0" showInputMessage="1" showErrorMessage="1" allowBlank="0" type="whole">
      <formula1>0</formula1>
      <formula2>9.99999999999999E+32</formula2>
    </dataValidation>
    <dataValidation sqref="D64:R83" showDropDown="0" showInputMessage="1" showErrorMessage="1" allowBlank="0" type="whole">
      <formula1>0</formula1>
      <formula2>9.99999999999999E+28</formula2>
    </dataValidation>
    <dataValidation sqref="F95:AW98" showDropDown="0" showInputMessage="1" showErrorMessage="1" allowBlank="0" type="whole">
      <formula1>0</formula1>
      <formula2>9.99999999999999E+39</formula2>
    </dataValidation>
    <dataValidation sqref="F195:AC241 F329:AW339 AD195:AN207 AD209:AN241 AO195:AX241" showDropDown="0" showInputMessage="1" showErrorMessage="1" allowBlank="0" type="whole">
      <formula1>0</formula1>
      <formula2>9.99999999999999E+37</formula2>
    </dataValidation>
    <dataValidation sqref="C394:U394 C396:U398 C400:U404 C409:F411" showDropDown="0" showInputMessage="1" showErrorMessage="1" allowBlank="0" type="whole">
      <formula1>0</formula1>
      <formula2>9.99999999999999E+34</formula2>
    </dataValidation>
  </dataValidation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CS205"/>
  <sheetViews>
    <sheetView showGridLines="0" topLeftCell="A19" zoomScaleNormal="100" workbookViewId="0">
      <selection activeCell="A1" sqref="A1"/>
    </sheetView>
  </sheetViews>
  <sheetFormatPr baseColWidth="10" defaultColWidth="11.42578125" defaultRowHeight="15"/>
  <cols>
    <col width="48.140625" customWidth="1" style="8286" min="1" max="1"/>
    <col width="32.140625" customWidth="1" style="8286" min="2" max="2"/>
    <col width="18.85546875" customWidth="1" style="8286" min="3" max="4"/>
    <col width="17.140625" customWidth="1" style="8286" min="5" max="5"/>
    <col width="13.85546875" customWidth="1" style="8286" min="6" max="6"/>
    <col width="14.140625" customWidth="1" style="8286" min="7" max="7"/>
    <col width="13.42578125" customWidth="1" style="8286" min="8" max="8"/>
    <col width="13.28515625" customWidth="1" style="8286" min="9" max="9"/>
    <col width="12.28515625" customWidth="1" style="8286" min="10" max="10"/>
    <col width="13.42578125" customWidth="1" style="8286" min="11" max="11"/>
    <col width="12" customWidth="1" style="8286" min="12" max="13"/>
    <col width="11.42578125" customWidth="1" style="8286" min="18" max="45"/>
    <col width="11" customWidth="1" style="8286" min="46" max="46"/>
    <col width="11.42578125" customWidth="1" style="8286" min="47" max="77"/>
    <col hidden="1" width="11.42578125" customWidth="1" style="8286" min="78" max="91"/>
    <col hidden="1" width="12.140625" customWidth="1" style="8286" min="92" max="95"/>
    <col hidden="1" width="12.28515625" customWidth="1" style="8286" min="96" max="96"/>
    <col hidden="1" width="11.42578125" customWidth="1" style="8286" min="97" max="114"/>
    <col width="11.42578125" customWidth="1" style="8286" min="115" max="148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25">
        <f>CONCATENATE("AÑO: ",NOMBRE!B7)</f>
        <v/>
      </c>
    </row>
    <row r="6" ht="18" customFormat="1" customHeight="1" s="8337">
      <c r="A6" s="7256" t="inlineStr">
        <is>
          <t>REM-06.   PROGRAMA DE SALUD MENTAL ATENCIÓN PRIMARIA Y ESPECIALIDADES</t>
        </is>
      </c>
      <c r="X6" s="6" t="n"/>
      <c r="Y6" s="6" t="n"/>
      <c r="Z6" s="6" t="n"/>
      <c r="AA6" s="6" t="n"/>
      <c r="AB6" s="6" t="n"/>
      <c r="AC6" s="6" t="n"/>
      <c r="AD6" s="6" t="n"/>
      <c r="AE6" s="6" t="n"/>
      <c r="AF6" s="6" t="n"/>
      <c r="AG6" s="6" t="n"/>
      <c r="AH6" s="6" t="n"/>
      <c r="AI6" s="6" t="n"/>
      <c r="AJ6" s="6" t="n"/>
      <c r="AK6" s="6" t="n"/>
      <c r="AL6" s="6" t="n"/>
      <c r="AM6" s="6" t="n"/>
      <c r="AN6" s="6" t="n"/>
      <c r="AO6" s="6" t="n"/>
      <c r="AP6" s="6" t="n"/>
      <c r="AQ6" s="8" t="n"/>
      <c r="AR6" s="8" t="n"/>
      <c r="AS6" s="8" t="n"/>
      <c r="AT6" s="8" t="n"/>
      <c r="AU6" s="8" t="n"/>
    </row>
    <row r="8" ht="18" customFormat="1" customHeight="1" s="5">
      <c r="A8" s="8744" t="inlineStr">
        <is>
          <t>SECCIÓN A.1: CONTROLES DE ATENCIÓN PRIMARIA / ESPECIALIDADES</t>
        </is>
      </c>
      <c r="B8" s="1" t="n"/>
      <c r="C8" s="1" t="n"/>
      <c r="D8" s="1" t="n"/>
      <c r="E8" s="1" t="n"/>
      <c r="F8" s="1" t="n"/>
      <c r="G8" s="1" t="n"/>
      <c r="H8" s="1" t="n"/>
      <c r="I8" s="1" t="n"/>
      <c r="J8" s="1" t="n"/>
      <c r="K8" s="12" t="n"/>
      <c r="L8" s="1" t="n"/>
      <c r="M8" s="1" t="n"/>
      <c r="N8" s="1" t="n"/>
      <c r="O8" s="7" t="n"/>
      <c r="P8" s="7" t="n"/>
      <c r="Q8" s="7" t="n"/>
      <c r="R8" s="7" t="n"/>
      <c r="S8" s="7" t="n"/>
      <c r="T8" s="7" t="n"/>
      <c r="U8" s="7" t="n"/>
      <c r="V8" s="12" t="n"/>
      <c r="W8" s="7" t="n"/>
      <c r="X8" s="7" t="n"/>
      <c r="Y8" s="7" t="n"/>
      <c r="Z8" s="7" t="n"/>
      <c r="AA8" s="7" t="n"/>
      <c r="AB8" s="7" t="n"/>
      <c r="AC8" s="7" t="n"/>
      <c r="AD8" s="7" t="n"/>
      <c r="AE8" s="7" t="n"/>
      <c r="AF8" s="7" t="n"/>
      <c r="AG8" s="7" t="n"/>
      <c r="AH8" s="7" t="n"/>
      <c r="AI8" s="7" t="n"/>
      <c r="AJ8" s="7" t="n"/>
      <c r="AK8" s="7" t="n"/>
      <c r="AL8" s="7" t="n"/>
      <c r="AM8" s="7" t="n"/>
      <c r="AN8" s="7" t="n"/>
      <c r="AO8" s="7" t="n"/>
      <c r="AP8" s="4" t="n"/>
      <c r="AQ8" s="4" t="n"/>
      <c r="AR8" s="4" t="n"/>
      <c r="AS8" s="4" t="n"/>
      <c r="AT8" s="4" t="n"/>
      <c r="AU8" s="4" t="n"/>
      <c r="AV8" s="3" t="n"/>
    </row>
    <row r="9" ht="15.75" customHeight="1" s="8286">
      <c r="A9" s="9977" t="inlineStr">
        <is>
          <t>ACTIVIDAD</t>
        </is>
      </c>
      <c r="B9" s="9977" t="inlineStr">
        <is>
          <t>PROFESIONAL</t>
        </is>
      </c>
      <c r="C9" s="9939" t="inlineStr">
        <is>
          <t xml:space="preserve">TOTAL               </t>
        </is>
      </c>
      <c r="D9" s="9602" t="n"/>
      <c r="E9" s="9630" t="n"/>
      <c r="F9" s="9976" t="inlineStr">
        <is>
          <t>RANGO ETARIO Y SEXO</t>
        </is>
      </c>
      <c r="G9" s="9584" t="n"/>
      <c r="H9" s="9584" t="n"/>
      <c r="I9" s="9584" t="n"/>
      <c r="J9" s="9584" t="n"/>
      <c r="K9" s="9584" t="n"/>
      <c r="L9" s="9584" t="n"/>
      <c r="M9" s="9584" t="n"/>
      <c r="N9" s="9584" t="n"/>
      <c r="O9" s="9584" t="n"/>
      <c r="P9" s="9584" t="n"/>
      <c r="Q9" s="9584" t="n"/>
      <c r="R9" s="9584" t="n"/>
      <c r="S9" s="9584" t="n"/>
      <c r="T9" s="9584" t="n"/>
      <c r="U9" s="9584" t="n"/>
      <c r="V9" s="9584" t="n"/>
      <c r="W9" s="9584" t="n"/>
      <c r="X9" s="9584" t="n"/>
      <c r="Y9" s="9584" t="n"/>
      <c r="Z9" s="9584" t="n"/>
      <c r="AA9" s="9584" t="n"/>
      <c r="AB9" s="9584" t="n"/>
      <c r="AC9" s="9584" t="n"/>
      <c r="AD9" s="9584" t="n"/>
      <c r="AE9" s="9584" t="n"/>
      <c r="AF9" s="9584" t="n"/>
      <c r="AG9" s="9584" t="n"/>
      <c r="AH9" s="9584" t="n"/>
      <c r="AI9" s="9584" t="n"/>
      <c r="AJ9" s="9584" t="n"/>
      <c r="AK9" s="9584" t="n"/>
      <c r="AL9" s="9584" t="n"/>
      <c r="AM9" s="9595" t="n"/>
      <c r="AN9" s="10042" t="inlineStr">
        <is>
          <t>Beneficiarios</t>
        </is>
      </c>
      <c r="AO9" s="9981" t="inlineStr">
        <is>
          <t xml:space="preserve">SENAME/ Servicio Nacional de Reinserción social Juvenil </t>
        </is>
      </c>
      <c r="AP9" s="10043" t="inlineStr">
        <is>
          <t>Servicio Nacional Protección Especializada a la Niñez y Adolescencia</t>
        </is>
      </c>
      <c r="AQ9" s="10044" t="inlineStr">
        <is>
          <t>Pueblos Originarios</t>
        </is>
      </c>
      <c r="AR9" s="10045" t="inlineStr">
        <is>
          <t>Migrantes</t>
        </is>
      </c>
      <c r="AS9" s="9920" t="inlineStr">
        <is>
          <t>Demencia</t>
        </is>
      </c>
      <c r="AT9" s="10046" t="inlineStr">
        <is>
          <t xml:space="preserve">TRANS
</t>
        </is>
      </c>
      <c r="AU9" s="9603" t="n"/>
      <c r="AV9" s="8400" t="inlineStr">
        <is>
          <t>Cuidadores de personas con demencia</t>
        </is>
      </c>
    </row>
    <row r="10">
      <c r="A10" s="9614" t="n"/>
      <c r="B10" s="9614" t="n"/>
      <c r="C10" s="9638" t="n"/>
      <c r="D10" s="9697" t="n"/>
      <c r="E10" s="9639" t="n"/>
      <c r="F10" s="9240" t="inlineStr">
        <is>
          <t>0 - 4 años</t>
        </is>
      </c>
      <c r="G10" s="9647" t="n"/>
      <c r="H10" s="9240" t="inlineStr">
        <is>
          <t>5 - 9 años</t>
        </is>
      </c>
      <c r="I10" s="9647" t="n"/>
      <c r="J10" s="9240" t="inlineStr">
        <is>
          <t>10 - 14 años</t>
        </is>
      </c>
      <c r="K10" s="9647" t="n"/>
      <c r="L10" s="9240" t="inlineStr">
        <is>
          <t>15 - 19 años</t>
        </is>
      </c>
      <c r="M10" s="9647" t="n"/>
      <c r="N10" s="9240" t="inlineStr">
        <is>
          <t>20 - 24 años</t>
        </is>
      </c>
      <c r="O10" s="9647" t="n"/>
      <c r="P10" s="4505" t="inlineStr">
        <is>
          <t>25 - 29 años</t>
        </is>
      </c>
      <c r="Q10" s="9647" t="n"/>
      <c r="R10" s="4505" t="inlineStr">
        <is>
          <t>30 - 34 años</t>
        </is>
      </c>
      <c r="S10" s="9647" t="n"/>
      <c r="T10" s="4505" t="inlineStr">
        <is>
          <t>35 - 39 años</t>
        </is>
      </c>
      <c r="U10" s="9647" t="n"/>
      <c r="V10" s="4505" t="inlineStr">
        <is>
          <t>40 - 44 años</t>
        </is>
      </c>
      <c r="W10" s="9647" t="n"/>
      <c r="X10" s="4505" t="inlineStr">
        <is>
          <t>45 - 49 años</t>
        </is>
      </c>
      <c r="Y10" s="9647" t="n"/>
      <c r="Z10" s="4505" t="inlineStr">
        <is>
          <t>50 - 54 años</t>
        </is>
      </c>
      <c r="AA10" s="9647" t="n"/>
      <c r="AB10" s="4505" t="inlineStr">
        <is>
          <t>55 - 59 años</t>
        </is>
      </c>
      <c r="AC10" s="9647" t="n"/>
      <c r="AD10" s="4505" t="inlineStr">
        <is>
          <t>60 - 64 años</t>
        </is>
      </c>
      <c r="AE10" s="9647" t="n"/>
      <c r="AF10" s="4505" t="inlineStr">
        <is>
          <t>65 - 69 años</t>
        </is>
      </c>
      <c r="AG10" s="9647" t="n"/>
      <c r="AH10" s="4505" t="inlineStr">
        <is>
          <t>70 - 74 años</t>
        </is>
      </c>
      <c r="AI10" s="9647" t="n"/>
      <c r="AJ10" s="4505" t="inlineStr">
        <is>
          <t>75 - 79 años</t>
        </is>
      </c>
      <c r="AK10" s="9647" t="n"/>
      <c r="AL10" s="9915" t="inlineStr">
        <is>
          <t>80 y más años</t>
        </is>
      </c>
      <c r="AM10" s="9595" t="n"/>
      <c r="AN10" s="10047" t="n"/>
      <c r="AO10" s="10017" t="n"/>
      <c r="AP10" s="10048" t="n"/>
      <c r="AQ10" s="10049" t="n"/>
      <c r="AR10" s="10050" t="n"/>
      <c r="AS10" s="9625" t="n"/>
      <c r="AT10" s="9498" t="inlineStr">
        <is>
          <t>Masculino</t>
        </is>
      </c>
      <c r="AU10" s="4758" t="inlineStr">
        <is>
          <t>Femenino</t>
        </is>
      </c>
      <c r="AV10" s="9614" t="n"/>
    </row>
    <row r="11" ht="38.25" customHeight="1" s="8286">
      <c r="A11" s="9610" t="n"/>
      <c r="B11" s="9610" t="n"/>
      <c r="C11" s="7691" t="inlineStr">
        <is>
          <t>Ambos Sexos</t>
        </is>
      </c>
      <c r="D11" s="7937" t="inlineStr">
        <is>
          <t>Hombres</t>
        </is>
      </c>
      <c r="E11" s="7665" t="inlineStr">
        <is>
          <t>Mujeres</t>
        </is>
      </c>
      <c r="F11" s="7932" t="inlineStr">
        <is>
          <t>Hombres</t>
        </is>
      </c>
      <c r="G11" s="7665" t="inlineStr">
        <is>
          <t>Mujeres</t>
        </is>
      </c>
      <c r="H11" s="7932" t="inlineStr">
        <is>
          <t>Hombres</t>
        </is>
      </c>
      <c r="I11" s="7665" t="inlineStr">
        <is>
          <t>Mujeres</t>
        </is>
      </c>
      <c r="J11" s="7932" t="inlineStr">
        <is>
          <t>Hombres</t>
        </is>
      </c>
      <c r="K11" s="7665" t="inlineStr">
        <is>
          <t>Mujeres</t>
        </is>
      </c>
      <c r="L11" s="7932" t="inlineStr">
        <is>
          <t>Hombres</t>
        </is>
      </c>
      <c r="M11" s="7665" t="inlineStr">
        <is>
          <t>Mujeres</t>
        </is>
      </c>
      <c r="N11" s="7932" t="inlineStr">
        <is>
          <t>Hombres</t>
        </is>
      </c>
      <c r="O11" s="7665" t="inlineStr">
        <is>
          <t>Mujeres</t>
        </is>
      </c>
      <c r="P11" s="7932" t="inlineStr">
        <is>
          <t>Hombres</t>
        </is>
      </c>
      <c r="Q11" s="7665" t="inlineStr">
        <is>
          <t>Mujeres</t>
        </is>
      </c>
      <c r="R11" s="7932" t="inlineStr">
        <is>
          <t>Hombres</t>
        </is>
      </c>
      <c r="S11" s="7665" t="inlineStr">
        <is>
          <t>Mujeres</t>
        </is>
      </c>
      <c r="T11" s="7932" t="inlineStr">
        <is>
          <t>Hombres</t>
        </is>
      </c>
      <c r="U11" s="7665" t="inlineStr">
        <is>
          <t>Mujeres</t>
        </is>
      </c>
      <c r="V11" s="7932" t="inlineStr">
        <is>
          <t>Hombres</t>
        </is>
      </c>
      <c r="W11" s="7665" t="inlineStr">
        <is>
          <t>Mujeres</t>
        </is>
      </c>
      <c r="X11" s="7932" t="inlineStr">
        <is>
          <t>Hombres</t>
        </is>
      </c>
      <c r="Y11" s="7665" t="inlineStr">
        <is>
          <t>Mujeres</t>
        </is>
      </c>
      <c r="Z11" s="7932" t="inlineStr">
        <is>
          <t>Hombres</t>
        </is>
      </c>
      <c r="AA11" s="7665" t="inlineStr">
        <is>
          <t>Mujeres</t>
        </is>
      </c>
      <c r="AB11" s="7932" t="inlineStr">
        <is>
          <t>Hombres</t>
        </is>
      </c>
      <c r="AC11" s="7665" t="inlineStr">
        <is>
          <t>Mujeres</t>
        </is>
      </c>
      <c r="AD11" s="7932" t="inlineStr">
        <is>
          <t>Hombres</t>
        </is>
      </c>
      <c r="AE11" s="7665" t="inlineStr">
        <is>
          <t>Mujeres</t>
        </is>
      </c>
      <c r="AF11" s="7932" t="inlineStr">
        <is>
          <t>Hombres</t>
        </is>
      </c>
      <c r="AG11" s="7665" t="inlineStr">
        <is>
          <t>Mujeres</t>
        </is>
      </c>
      <c r="AH11" s="7932" t="inlineStr">
        <is>
          <t>Hombres</t>
        </is>
      </c>
      <c r="AI11" s="7665" t="inlineStr">
        <is>
          <t>Mujeres</t>
        </is>
      </c>
      <c r="AJ11" s="7932" t="inlineStr">
        <is>
          <t>Hombres</t>
        </is>
      </c>
      <c r="AK11" s="7665" t="inlineStr">
        <is>
          <t>Mujeres</t>
        </is>
      </c>
      <c r="AL11" s="7932" t="inlineStr">
        <is>
          <t>Hombres</t>
        </is>
      </c>
      <c r="AM11" s="8007" t="inlineStr">
        <is>
          <t>Mujeres</t>
        </is>
      </c>
      <c r="AN11" s="10051" t="n"/>
      <c r="AO11" s="9912" t="n"/>
      <c r="AP11" s="10052" t="n"/>
      <c r="AQ11" s="10053" t="n"/>
      <c r="AR11" s="10054" t="n"/>
      <c r="AS11" s="9641" t="n"/>
      <c r="AT11" s="10055" t="n"/>
      <c r="AU11" s="10056" t="n"/>
      <c r="AV11" s="9610" t="n"/>
    </row>
    <row r="12" ht="15" customHeight="1" s="8286">
      <c r="A12" s="9933" t="inlineStr">
        <is>
          <t>Controles Salud Mental</t>
        </is>
      </c>
      <c r="B12" s="2335" t="inlineStr">
        <is>
          <t>Médico/a</t>
        </is>
      </c>
      <c r="C12" s="2282">
        <f>SUM(D12+E12)</f>
        <v/>
      </c>
      <c r="D12" s="834">
        <f>SUM(F12+H12+J12+L12+N12+P12+R12+T12+V12+X12+Z12+AB12+AD12+AF12+AH12+AJ12+AL12)</f>
        <v/>
      </c>
      <c r="E12" s="2152">
        <f>SUM(G12+I12+K12+M12+O12+Q12+S12+U12+W12+Y12+AA12+AC12+AE12+AG12+AI12+AK12+AM12)</f>
        <v/>
      </c>
      <c r="F12" s="2266" t="n"/>
      <c r="G12" s="2336" t="n"/>
      <c r="H12" s="2266" t="n">
        <v>8</v>
      </c>
      <c r="I12" s="2336" t="n">
        <v>2</v>
      </c>
      <c r="J12" s="2266" t="n">
        <v>11</v>
      </c>
      <c r="K12" s="2337" t="n">
        <v>9</v>
      </c>
      <c r="L12" s="2266" t="n">
        <v>2</v>
      </c>
      <c r="M12" s="2337" t="n">
        <v>15</v>
      </c>
      <c r="N12" s="2266" t="n">
        <v>4</v>
      </c>
      <c r="O12" s="2337" t="n">
        <v>9</v>
      </c>
      <c r="P12" s="2266" t="n">
        <v>4</v>
      </c>
      <c r="Q12" s="2337" t="n">
        <v>13</v>
      </c>
      <c r="R12" s="2266" t="n">
        <v>3</v>
      </c>
      <c r="S12" s="2337" t="n">
        <v>12</v>
      </c>
      <c r="T12" s="2266" t="n">
        <v>4</v>
      </c>
      <c r="U12" s="2337" t="n">
        <v>12</v>
      </c>
      <c r="V12" s="2266" t="n">
        <v>1</v>
      </c>
      <c r="W12" s="2337" t="n">
        <v>11</v>
      </c>
      <c r="X12" s="2266" t="n">
        <v>5</v>
      </c>
      <c r="Y12" s="2337" t="n">
        <v>12</v>
      </c>
      <c r="Z12" s="2266" t="n">
        <v>5</v>
      </c>
      <c r="AA12" s="2337" t="n">
        <v>12</v>
      </c>
      <c r="AB12" s="2266" t="n">
        <v>2</v>
      </c>
      <c r="AC12" s="2337" t="n">
        <v>10</v>
      </c>
      <c r="AD12" s="2266" t="n">
        <v>6</v>
      </c>
      <c r="AE12" s="2337" t="n">
        <v>19</v>
      </c>
      <c r="AF12" s="2266" t="n">
        <v>8</v>
      </c>
      <c r="AG12" s="2337" t="n">
        <v>19</v>
      </c>
      <c r="AH12" s="2266" t="n">
        <v>5</v>
      </c>
      <c r="AI12" s="2337" t="n">
        <v>17</v>
      </c>
      <c r="AJ12" s="2266" t="n">
        <v>4</v>
      </c>
      <c r="AK12" s="2337" t="n">
        <v>14</v>
      </c>
      <c r="AL12" s="2276" t="n">
        <v>4</v>
      </c>
      <c r="AM12" s="1940" t="n">
        <v>18</v>
      </c>
      <c r="AN12" s="2338" t="n"/>
      <c r="AO12" s="835" t="n"/>
      <c r="AP12" s="1433" t="n"/>
      <c r="AQ12" s="2329" t="n"/>
      <c r="AR12" s="2339" t="n"/>
      <c r="AS12" s="2336" t="n"/>
      <c r="AT12" s="2266" t="n"/>
      <c r="AU12" s="2337" t="n"/>
      <c r="AV12" s="2336" t="n"/>
      <c r="AW12">
        <f>CA12&amp;CB12&amp;CC12&amp;CD12&amp;CE12&amp;CF12&amp;CG12&amp;CH12&amp;CI12</f>
        <v/>
      </c>
      <c r="CA12" s="260">
        <f>IF(AND($C12&gt;0,AN12="")," *No olvide digitar la variable Beneficiarios. Digite Cero si no tiene.",IF(AN12&gt;$C12," *La variable Beneficiarios No puede ser mayor al Total Ambos Sexos.",""))</f>
        <v/>
      </c>
      <c r="CB12" s="260">
        <f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>
        <f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>
        <f>IF(AND($C12&gt;0,AQ12="")," *No olvide digitar la variable Pueblos originarios. Digite Cero si no tiene.",IF(AQ12&gt;$C12," *La variable Pueblos Originarios No puede ser mayor al Total Ambos Sexos.",""))</f>
        <v/>
      </c>
      <c r="CE12" s="260">
        <f>IF(AND($C12&gt;0,AR12="")," *No olvide digitar la variable Migrantes. Digite Cero si no tiene.",IF(AR12&gt;$C12," *La variable Migrantes No puede ser mayor al Total Ambos Sexos.",""))</f>
        <v/>
      </c>
      <c r="CF12" s="260">
        <f>IF(AND($C12&gt;0,AS12="")," *No olvide digitar la variable Demencia. Digite Cero si no tiene.",IF(AS12&gt;$C12," *La variable Demencia No puede ser mayor al Total Ambos Sexos.",""))</f>
        <v/>
      </c>
      <c r="CG12" s="260">
        <f>IF(AND($E12&gt;0,OR(AT12=""))," *No olvide digitar la variable Trans (Masculino). Digite Cero si no tiene.",IF((AT12)&gt;$E12," *La variable Trans (Masculino) No puede ser mayor al Total Mujeres.",""))</f>
        <v/>
      </c>
      <c r="CH12" s="260">
        <f>IF(AND(D12&gt;0,OR(AU12=""))," *No olvide digitar la variable Trans (Femenino). Digite Cero si no tiene.",IF((AU12)&gt;D12," *La variable Trans (Femenino) No puede ser mayor al Total Hombres.",""))</f>
        <v/>
      </c>
      <c r="CI12" s="260">
        <f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>IF(AND($C12&gt;0,AN12=""),1,IF(AN12&gt;$C12,1,0))</f>
        <v/>
      </c>
      <c r="CL12" s="221">
        <f>IF(AND($C12&gt;0,AO12=""),1,IF(AO12&gt;$C12,1,0))</f>
        <v/>
      </c>
      <c r="CM12" s="221">
        <f>IF(AND($C12&gt;0,AP12=""),1,IF(AP12&gt;$C12,1,0))</f>
        <v/>
      </c>
      <c r="CN12" s="221">
        <f>IF(AND($C12&gt;0,AQ12=""),1,IF(AQ12&gt;$C12,1,0))</f>
        <v/>
      </c>
      <c r="CO12" s="221">
        <f>IF(AND($C12&gt;0,AR12=""),1,IF(AR12&gt;$C12,1,0))</f>
        <v/>
      </c>
      <c r="CP12" s="221">
        <f>IF(AND($C12&gt;0,AS12=""),1,IF(AS12&gt;$C12,1,0))</f>
        <v/>
      </c>
      <c r="CQ12" s="221">
        <f>IF(AND($E12&gt;0,OR(AT12="")),1,IF((AT12)&gt;$E12,1,0))</f>
        <v/>
      </c>
      <c r="CR12" s="221">
        <f>IF(AND($D12&gt;0,OR(AU12="")),1,IF((AU12)&gt;$D12,1,0))</f>
        <v/>
      </c>
      <c r="CS12" s="221">
        <f>IF(AND($C12&gt;0,AV12=""),1,IF(AV12&gt;$C12,1,0))</f>
        <v/>
      </c>
    </row>
    <row r="13" ht="15" customHeight="1" s="8286">
      <c r="A13" s="9614" t="n"/>
      <c r="B13" s="1130" t="inlineStr">
        <is>
          <t>Psicólogo/a</t>
        </is>
      </c>
      <c r="C13" s="1254">
        <f>SUM(D13+E13)</f>
        <v/>
      </c>
      <c r="D13" s="2340">
        <f>SUM(F13+H13+J13+L13+N13+P13+R13+T13+V13+X13+Z13+AB13+AD13+AF13+AH13+AJ13+AL13)</f>
        <v/>
      </c>
      <c r="E13" s="1171">
        <f>SUM(G13+I13+K13+M13+O13+Q13+S13+U13+W13+Y13+AA13+AC13+AE13+AG13+AI13+AK13+AM13)</f>
        <v/>
      </c>
      <c r="F13" s="1172" t="n"/>
      <c r="G13" s="1173" t="n">
        <v>1</v>
      </c>
      <c r="H13" s="1172" t="n">
        <v>8</v>
      </c>
      <c r="I13" s="1173" t="n">
        <v>6</v>
      </c>
      <c r="J13" s="1172" t="n">
        <v>24</v>
      </c>
      <c r="K13" s="886" t="n">
        <v>31</v>
      </c>
      <c r="L13" s="1172" t="n">
        <v>15</v>
      </c>
      <c r="M13" s="886" t="n">
        <v>30</v>
      </c>
      <c r="N13" s="1172" t="n">
        <v>8</v>
      </c>
      <c r="O13" s="886" t="n">
        <v>23</v>
      </c>
      <c r="P13" s="1172" t="n">
        <v>11</v>
      </c>
      <c r="Q13" s="886" t="n">
        <v>17</v>
      </c>
      <c r="R13" s="1172" t="n">
        <v>10</v>
      </c>
      <c r="S13" s="886" t="n">
        <v>29</v>
      </c>
      <c r="T13" s="1172" t="n">
        <v>3</v>
      </c>
      <c r="U13" s="886" t="n">
        <v>38</v>
      </c>
      <c r="V13" s="1172" t="n">
        <v>3</v>
      </c>
      <c r="W13" s="886" t="n">
        <v>19</v>
      </c>
      <c r="X13" s="1172" t="n">
        <v>6</v>
      </c>
      <c r="Y13" s="886" t="n">
        <v>31</v>
      </c>
      <c r="Z13" s="1172" t="n">
        <v>5</v>
      </c>
      <c r="AA13" s="886" t="n">
        <v>32</v>
      </c>
      <c r="AB13" s="1172" t="n">
        <v>8</v>
      </c>
      <c r="AC13" s="886" t="n">
        <v>35</v>
      </c>
      <c r="AD13" s="1172" t="n">
        <v>7</v>
      </c>
      <c r="AE13" s="886" t="n">
        <v>47</v>
      </c>
      <c r="AF13" s="1172" t="n">
        <v>7</v>
      </c>
      <c r="AG13" s="886" t="n">
        <v>25</v>
      </c>
      <c r="AH13" s="1172" t="n">
        <v>3</v>
      </c>
      <c r="AI13" s="886" t="n">
        <v>16</v>
      </c>
      <c r="AJ13" s="1172" t="n">
        <v>6</v>
      </c>
      <c r="AK13" s="886" t="n">
        <v>10</v>
      </c>
      <c r="AL13" s="1175" t="n">
        <v>1</v>
      </c>
      <c r="AM13" s="1929" t="n">
        <v>6</v>
      </c>
      <c r="AN13" s="2341" t="n"/>
      <c r="AO13" s="2001" t="n"/>
      <c r="AP13" s="1100" t="n"/>
      <c r="AQ13" s="2331" t="n"/>
      <c r="AR13" s="2342" t="n"/>
      <c r="AS13" s="1173" t="n"/>
      <c r="AT13" s="1172" t="n"/>
      <c r="AU13" s="886" t="n"/>
      <c r="AV13" s="1173" t="n"/>
      <c r="AW13">
        <f>CA13&amp;CB13&amp;CC13&amp;CD13&amp;CE13&amp;CF13&amp;CG13&amp;CH13&amp;CI13</f>
        <v/>
      </c>
      <c r="CA13" s="260">
        <f>IF(AND($C13&gt;0,AN13="")," *No olvide digitar la variable Beneficiarios. Digite Cero si no tiene.",IF(AN13&gt;$C13," *La variable Beneficiarios No puede ser mayor al Total Ambos Sexos.",""))</f>
        <v/>
      </c>
      <c r="CB13" s="260">
        <f>IF(AND($C13&gt;0,AO13="")," *No olvide digitar la variable SENAME/ Servicio Nacional de Reinserción social Juvenil. Digite Cero si no tiene.",IF(AO13&gt;$C13," *La variable SENAME/ Servicio Nacional de Reinserción social Juvenil No puede ser mayor al Total Ambos Sexos.",""))</f>
        <v/>
      </c>
      <c r="CC13" s="260">
        <f>IF(AND($C13&gt;0,AP13="")," *No olvide digitar la variable Servicio Nacional Protección Especializada a la Niñez y Adolescencia. Digite Cero si no tiene.",IF(AP13&gt;$C13," *La variable Servicio Nacional Protección Especializada a la Niñez y Adolescencia, No puede ser mayor al Total Ambos Sexos.",""))</f>
        <v/>
      </c>
      <c r="CD13" s="260">
        <f>IF(AND($C13&gt;0,AQ13="")," *No olvide digitar la variable Pueblos originarios. Digite Cero si no tiene.",IF(AQ13&gt;$C13," *La variable Pueblos Originarios No puede ser mayor al Total Ambos Sexos.",""))</f>
        <v/>
      </c>
      <c r="CE13" s="260">
        <f>IF(AND($C13&gt;0,AR13="")," *No olvide digitar la variable Migrantes. Digite Cero si no tiene.",IF(AR13&gt;$C13," *La variable Migrantes No puede ser mayor al Total Ambos Sexos.",""))</f>
        <v/>
      </c>
      <c r="CF13" s="260">
        <f>IF(AND($C13&gt;0,AS13="")," *No olvide digitar la variable Demencia. Digite Cero si no tiene.",IF(AS13&gt;$C13," *La variable Demencia No puede ser mayor al Total Ambos Sexos.",""))</f>
        <v/>
      </c>
      <c r="CG13" s="260">
        <f>IF(AND($E13&gt;0,OR(AT13=""))," *No olvide digitar la variable Trans (Masculino). Digite Cero si no tiene.",IF((AT13)&gt;$E13," *La variable Trans (Masculino) No puede ser mayor al Total Mujeres.",""))</f>
        <v/>
      </c>
      <c r="CH13" s="260">
        <f>IF(AND(D13&gt;0,OR(AU13=""))," *No olvide digitar la variable Trans (Femenino). Digite Cero si no tiene.",IF((AU13)&gt;D13," *La variable Trans (Femenino) No puede ser mayor al Total Hombres.",""))</f>
        <v/>
      </c>
      <c r="CI13" s="260">
        <f>IF(AND($C13&gt;0,AV13="")," *No olvide digitar la variable Cuidadores de personas con demencia. Digite Cero si no tiene.",IF(AV13&gt;$C13," *La variable Cuidadores de personas con demencia No puede ser mayor al Total Ambos Sexos.",""))</f>
        <v/>
      </c>
      <c r="CK13" s="221">
        <f>IF(AND(C13&gt;0,AN13=""),1,IF(AN13&gt;C13,1,0))</f>
        <v/>
      </c>
      <c r="CL13" s="221">
        <f>IF(AND(C13&gt;0,AO13=""),1,IF(AO13&gt;C13,1,0))</f>
        <v/>
      </c>
      <c r="CM13" s="221">
        <f>IF(AND(C13&gt;0,AP13=""),1,IF(AP13&gt;C13,1,0))</f>
        <v/>
      </c>
      <c r="CN13" s="221">
        <f>IF(AND(C13&gt;0,AQ13=""),1,IF(AQ13&gt;C13,1,0))</f>
        <v/>
      </c>
      <c r="CO13" s="221">
        <f>IF(AND(C13&gt;0,AR13=""),1,IF(AR13&gt;C13,1,0))</f>
        <v/>
      </c>
      <c r="CP13" s="221">
        <f>IF(AND(C13&gt;0,AS13=""),1,IF(AS13&gt;C13,1,0))</f>
        <v/>
      </c>
      <c r="CQ13" s="221">
        <f>IF(AND(E13&gt;0,OR(AT13="")),1,IF((AT13)&gt;E13,1,0))</f>
        <v/>
      </c>
      <c r="CR13" s="221">
        <f>IF(AND(D13&gt;0,OR(AU13="")),1,IF((AU13)&gt;D13,1,0))</f>
        <v/>
      </c>
      <c r="CS13" s="221">
        <f>IF(AND($C13&gt;0,AV13=""),1,IF(AV13&gt;$C13,1,0))</f>
        <v/>
      </c>
    </row>
    <row r="14" ht="15" customHeight="1" s="8286">
      <c r="A14" s="9614" t="n"/>
      <c r="B14" s="1130" t="inlineStr">
        <is>
          <t>Enfermera/o</t>
        </is>
      </c>
      <c r="C14" s="1254">
        <f>SUM(D14+E14)</f>
        <v/>
      </c>
      <c r="D14" s="2340">
        <f>SUM(F14+H14+J14+L14+N14+P14+R14+T14+V14+X14+Z14+AB14+AD14+AF14+AH14+AJ14+AL14)</f>
        <v/>
      </c>
      <c r="E14" s="1171">
        <f>SUM(G14+I14+K14+M14+O14+Q14+S14+U14+W14+Y14+AA14+AC14+AE14+AG14+AI14+AK14+AM14)</f>
        <v/>
      </c>
      <c r="F14" s="1172" t="n"/>
      <c r="G14" s="1173" t="n"/>
      <c r="H14" s="1172" t="n"/>
      <c r="I14" s="1173" t="n"/>
      <c r="J14" s="1172" t="n"/>
      <c r="K14" s="886" t="n"/>
      <c r="L14" s="1172" t="n"/>
      <c r="M14" s="886" t="n"/>
      <c r="N14" s="1172" t="n"/>
      <c r="O14" s="886" t="n"/>
      <c r="P14" s="1172" t="n"/>
      <c r="Q14" s="886" t="n"/>
      <c r="R14" s="1172" t="n"/>
      <c r="S14" s="886" t="n"/>
      <c r="T14" s="1172" t="n"/>
      <c r="U14" s="886" t="n"/>
      <c r="V14" s="1172" t="n"/>
      <c r="W14" s="886" t="n"/>
      <c r="X14" s="1172" t="n"/>
      <c r="Y14" s="886" t="n"/>
      <c r="Z14" s="1172" t="n"/>
      <c r="AA14" s="886" t="n"/>
      <c r="AB14" s="1172" t="n"/>
      <c r="AC14" s="886" t="n"/>
      <c r="AD14" s="1172" t="n"/>
      <c r="AE14" s="886" t="n"/>
      <c r="AF14" s="1172" t="n"/>
      <c r="AG14" s="886" t="n"/>
      <c r="AH14" s="1172" t="n"/>
      <c r="AI14" s="886" t="n"/>
      <c r="AJ14" s="1172" t="n"/>
      <c r="AK14" s="886" t="n"/>
      <c r="AL14" s="1175" t="n"/>
      <c r="AM14" s="1929" t="n"/>
      <c r="AN14" s="2341" t="n"/>
      <c r="AO14" s="2001" t="n"/>
      <c r="AP14" s="1100" t="n"/>
      <c r="AQ14" s="2331" t="n"/>
      <c r="AR14" s="2342" t="n"/>
      <c r="AS14" s="1173" t="n"/>
      <c r="AT14" s="1172" t="n"/>
      <c r="AU14" s="886" t="n"/>
      <c r="AV14" s="1173" t="n"/>
      <c r="AW14">
        <f>CA14&amp;CB14&amp;CC14&amp;CD14&amp;CE14&amp;CF14&amp;CG14&amp;CH14&amp;CI14</f>
        <v/>
      </c>
      <c r="CA14" s="260">
        <f>IF(AND($C14&gt;0,AN14="")," *No olvide digitar la variable Beneficiarios. Digite Cero si no tiene.",IF(AN14&gt;$C14," *La variable Beneficiarios No puede ser mayor al Total Ambos Sexos.",""))</f>
        <v/>
      </c>
      <c r="CB14" s="260">
        <f>IF(AND($C14&gt;0,AO14="")," *No olvide digitar la variable SENAME/ Servicio Nacional de Reinserción social Juvenil. Digite Cero si no tiene.",IF(AO14&gt;$C14," *La variable SENAME/ Servicio Nacional de Reinserción social Juvenil No puede ser mayor al Total Ambos Sexos.",""))</f>
        <v/>
      </c>
      <c r="CC14" s="260">
        <f>IF(AND($C14&gt;0,AP14="")," *No olvide digitar la variable Servicio Nacional Protección Especializada a la Niñez y Adolescencia. Digite Cero si no tiene.",IF(AP14&gt;$C14," *La variable Servicio Nacional Protección Especializada a la Niñez y Adolescencia, No puede ser mayor al Total Ambos Sexos.",""))</f>
        <v/>
      </c>
      <c r="CD14" s="260">
        <f>IF(AND($C14&gt;0,AQ14="")," *No olvide digitar la variable Pueblos originarios. Digite Cero si no tiene.",IF(AQ14&gt;$C14," *La variable Pueblos Originarios No puede ser mayor al Total Ambos Sexos.",""))</f>
        <v/>
      </c>
      <c r="CE14" s="260">
        <f>IF(AND($C14&gt;0,AR14="")," *No olvide digitar la variable Migrantes. Digite Cero si no tiene.",IF(AR14&gt;$C14," *La variable Migrantes No puede ser mayor al Total Ambos Sexos.",""))</f>
        <v/>
      </c>
      <c r="CF14" s="260">
        <f>IF(AND($C14&gt;0,AS14="")," *No olvide digitar la variable Demencia. Digite Cero si no tiene.",IF(AS14&gt;$C14," *La variable Demencia No puede ser mayor al Total Ambos Sexos.",""))</f>
        <v/>
      </c>
      <c r="CG14" s="260">
        <f>IF(AND($E14&gt;0,OR(AT14=""))," *No olvide digitar la variable Trans (Masculino). Digite Cero si no tiene.",IF((AT14)&gt;$E14," *La variable Trans (Masculino) No puede ser mayor al Total Mujeres.",""))</f>
        <v/>
      </c>
      <c r="CH14" s="260">
        <f>IF(AND(D14&gt;0,OR(AU14=""))," *No olvide digitar la variable Trans (Femenino). Digite Cero si no tiene.",IF((AU14)&gt;D14," *La variable Trans (Femenino) No puede ser mayor al Total Hombres.",""))</f>
        <v/>
      </c>
      <c r="CI14" s="260">
        <f>IF(AND($C14&gt;0,AV14="")," *No olvide digitar la variable Cuidadores de personas con demencia. Digite Cero si no tiene.",IF(AV14&gt;$C14," *La variable Cuidadores de personas con demencia No puede ser mayor al Total Ambos Sexos.",""))</f>
        <v/>
      </c>
      <c r="CK14" s="221">
        <f>IF(AND(C14&gt;0,AN14=""),1,IF(AN14&gt;C14,1,0))</f>
        <v/>
      </c>
      <c r="CL14" s="221">
        <f>IF(AND(C14&gt;0,AO14=""),1,IF(AO14&gt;C14,1,0))</f>
        <v/>
      </c>
      <c r="CM14" s="221">
        <f>IF(AND(C14&gt;0,AP14=""),1,IF(AP14&gt;C14,1,0))</f>
        <v/>
      </c>
      <c r="CN14" s="221">
        <f>IF(AND(C14&gt;0,AQ14=""),1,IF(AQ14&gt;C14,1,0))</f>
        <v/>
      </c>
      <c r="CO14" s="221">
        <f>IF(AND(C14&gt;0,AR14=""),1,IF(AR14&gt;C14,1,0))</f>
        <v/>
      </c>
      <c r="CP14" s="221">
        <f>IF(AND(C14&gt;0,AS14=""),1,IF(AS14&gt;C14,1,0))</f>
        <v/>
      </c>
      <c r="CQ14" s="221">
        <f>IF(AND(E14&gt;0,OR(AT14="")),1,IF((AT14)&gt;E14,1,0))</f>
        <v/>
      </c>
      <c r="CR14" s="221">
        <f>IF(AND(D14&gt;0,OR(AU14="")),1,IF((AU14)&gt;D14,1,0))</f>
        <v/>
      </c>
      <c r="CS14" s="221">
        <f>IF(AND($C14&gt;0,AV14=""),1,IF(AV14&gt;$C14,1,0))</f>
        <v/>
      </c>
    </row>
    <row r="15" ht="15" customHeight="1" s="8286">
      <c r="A15" s="9614" t="n"/>
      <c r="B15" s="1130" t="inlineStr">
        <is>
          <t>Matrona/ón</t>
        </is>
      </c>
      <c r="C15" s="1254">
        <f>SUM(D15+E15)</f>
        <v/>
      </c>
      <c r="D15" s="2340">
        <f>SUM(F15+H15+J15+L15+N15+P15+R15+T15+V15+X15+Z15+AB15+AD15+AF15+AH15+AJ15+AL15)</f>
        <v/>
      </c>
      <c r="E15" s="1171">
        <f>SUM(G15+I15+K15+M15+O15+Q15+S15+U15+W15+Y15+AA15+AC15+AE15+AG15+AI15+AK15+AM15)</f>
        <v/>
      </c>
      <c r="F15" s="1172" t="n"/>
      <c r="G15" s="1173" t="n"/>
      <c r="H15" s="1172" t="n"/>
      <c r="I15" s="1173" t="n"/>
      <c r="J15" s="1172" t="n"/>
      <c r="K15" s="886" t="n"/>
      <c r="L15" s="1172" t="n"/>
      <c r="M15" s="886" t="n"/>
      <c r="N15" s="1172" t="n"/>
      <c r="O15" s="886" t="n"/>
      <c r="P15" s="1172" t="n"/>
      <c r="Q15" s="886" t="n"/>
      <c r="R15" s="1172" t="n"/>
      <c r="S15" s="886" t="n"/>
      <c r="T15" s="1172" t="n"/>
      <c r="U15" s="886" t="n"/>
      <c r="V15" s="1172" t="n"/>
      <c r="W15" s="886" t="n"/>
      <c r="X15" s="1172" t="n"/>
      <c r="Y15" s="886" t="n"/>
      <c r="Z15" s="1172" t="n"/>
      <c r="AA15" s="886" t="n"/>
      <c r="AB15" s="1172" t="n"/>
      <c r="AC15" s="886" t="n"/>
      <c r="AD15" s="1172" t="n"/>
      <c r="AE15" s="886" t="n"/>
      <c r="AF15" s="1172" t="n"/>
      <c r="AG15" s="886" t="n"/>
      <c r="AH15" s="1172" t="n"/>
      <c r="AI15" s="886" t="n"/>
      <c r="AJ15" s="1172" t="n"/>
      <c r="AK15" s="886" t="n"/>
      <c r="AL15" s="1175" t="n"/>
      <c r="AM15" s="1929" t="n"/>
      <c r="AN15" s="2341" t="n"/>
      <c r="AO15" s="2001" t="n"/>
      <c r="AP15" s="1100" t="n"/>
      <c r="AQ15" s="2331" t="n"/>
      <c r="AR15" s="2342" t="n"/>
      <c r="AS15" s="1173" t="n"/>
      <c r="AT15" s="1172" t="n"/>
      <c r="AU15" s="886" t="n"/>
      <c r="AV15" s="1173" t="n"/>
      <c r="AW15">
        <f>CA15&amp;CB15&amp;CC15&amp;CD15&amp;CE15&amp;CF15&amp;CG15&amp;CH15&amp;CI15</f>
        <v/>
      </c>
      <c r="CA15" s="260">
        <f>IF(AND($C15&gt;0,AN15="")," *No olvide digitar la variable Beneficiarios. Digite Cero si no tiene.",IF(AN15&gt;$C15," *La variable Beneficiarios No puede ser mayor al Total Ambos Sexos.",""))</f>
        <v/>
      </c>
      <c r="CB15" s="260">
        <f>IF(AND($C15&gt;0,AO15="")," *No olvide digitar la variable SENAME/ Servicio Nacional de Reinserción social Juvenil. Digite Cero si no tiene.",IF(AO15&gt;$C15," *La variable SENAME/ Servicio Nacional de Reinserción social Juvenil No puede ser mayor al Total Ambos Sexos.",""))</f>
        <v/>
      </c>
      <c r="CC15" s="260">
        <f>IF(AND($C15&gt;0,AP15="")," *No olvide digitar la variable Servicio Nacional Protección Especializada a la Niñez y Adolescencia. Digite Cero si no tiene.",IF(AP15&gt;$C15," *La variable Servicio Nacional Protección Especializada a la Niñez y Adolescencia, No puede ser mayor al Total Ambos Sexos.",""))</f>
        <v/>
      </c>
      <c r="CD15" s="260">
        <f>IF(AND($C15&gt;0,AQ15="")," *No olvide digitar la variable Pueblos originarios. Digite Cero si no tiene.",IF(AQ15&gt;$C15," *La variable Pueblos Originarios No puede ser mayor al Total Ambos Sexos.",""))</f>
        <v/>
      </c>
      <c r="CE15" s="260">
        <f>IF(AND($C15&gt;0,AR15="")," *No olvide digitar la variable Migrantes. Digite Cero si no tiene.",IF(AR15&gt;$C15," *La variable Migrantes No puede ser mayor al Total Ambos Sexos.",""))</f>
        <v/>
      </c>
      <c r="CF15" s="260">
        <f>IF(AND($C15&gt;0,AS15="")," *No olvide digitar la variable Demencia. Digite Cero si no tiene.",IF(AS15&gt;$C15," *La variable Demencia No puede ser mayor al Total Ambos Sexos.",""))</f>
        <v/>
      </c>
      <c r="CG15" s="260">
        <f>IF(AND($E15&gt;0,OR(AT15=""))," *No olvide digitar la variable Trans (Masculino). Digite Cero si no tiene.",IF((AT15)&gt;$E15," *La variable Trans (Masculino) No puede ser mayor al Total Mujeres.",""))</f>
        <v/>
      </c>
      <c r="CH15" s="260">
        <f>IF(AND(D15&gt;0,OR(AU15=""))," *No olvide digitar la variable Trans (Femenino). Digite Cero si no tiene.",IF((AU15)&gt;D15," *La variable Trans (Femenino) No puede ser mayor al Total Hombres.",""))</f>
        <v/>
      </c>
      <c r="CI15" s="260">
        <f>IF(AND($C15&gt;0,AV15="")," *No olvide digitar la variable Cuidadores de personas con demencia. Digite Cero si no tiene.",IF(AV15&gt;$C15," *La variable Cuidadores de personas con demencia No puede ser mayor al Total Ambos Sexos.",""))</f>
        <v/>
      </c>
      <c r="CK15" s="221">
        <f>IF(AND(C15&gt;0,AN15=""),1,IF(AN15&gt;C15,1,0))</f>
        <v/>
      </c>
      <c r="CL15" s="221">
        <f>IF(AND(C15&gt;0,AO15=""),1,IF(AO15&gt;C15,1,0))</f>
        <v/>
      </c>
      <c r="CM15" s="221">
        <f>IF(AND(C15&gt;0,AP15=""),1,IF(AP15&gt;C15,1,0))</f>
        <v/>
      </c>
      <c r="CN15" s="221">
        <f>IF(AND(C15&gt;0,AQ15=""),1,IF(AQ15&gt;C15,1,0))</f>
        <v/>
      </c>
      <c r="CO15" s="221">
        <f>IF(AND(C15&gt;0,AR15=""),1,IF(AR15&gt;C15,1,0))</f>
        <v/>
      </c>
      <c r="CP15" s="221">
        <f>IF(AND(C15&gt;0,AS15=""),1,IF(AS15&gt;C15,1,0))</f>
        <v/>
      </c>
      <c r="CQ15" s="221">
        <f>IF(AND(E15&gt;0,OR(AT15="")),1,IF((AT15)&gt;E15,1,0))</f>
        <v/>
      </c>
      <c r="CR15" s="221">
        <f>IF(AND(D15&gt;0,OR(AU15="")),1,IF((AU15)&gt;D15,1,0))</f>
        <v/>
      </c>
      <c r="CS15" s="221">
        <f>IF(AND($C15&gt;0,AV15=""),1,IF(AV15&gt;$C15,1,0))</f>
        <v/>
      </c>
    </row>
    <row r="16" ht="15" customHeight="1" s="8286">
      <c r="A16" s="9614" t="n"/>
      <c r="B16" s="1130" t="inlineStr">
        <is>
          <t>Trabajador/a Social</t>
        </is>
      </c>
      <c r="C16" s="1254">
        <f>SUM(D16+E16)</f>
        <v/>
      </c>
      <c r="D16" s="2340">
        <f>SUM(F16+H16+J16+L16+N16+P16+R16+T16+V16+X16+Z16+AB16+AD16+AF16+AH16+AJ16+AL16)</f>
        <v/>
      </c>
      <c r="E16" s="1171">
        <f>SUM(G16+I16+K16+M16+O16+Q16+S16+U16+W16+Y16+AA16+AC16+AE16+AG16+AI16+AK16+AM16)</f>
        <v/>
      </c>
      <c r="F16" s="1172" t="n"/>
      <c r="G16" s="1173" t="n"/>
      <c r="H16" s="1172" t="n">
        <v>7</v>
      </c>
      <c r="I16" s="1173" t="n">
        <v>5</v>
      </c>
      <c r="J16" s="1172" t="n">
        <v>6</v>
      </c>
      <c r="K16" s="886" t="n">
        <v>10</v>
      </c>
      <c r="L16" s="1172" t="n">
        <v>3</v>
      </c>
      <c r="M16" s="886" t="n">
        <v>11</v>
      </c>
      <c r="N16" s="1172" t="n">
        <v>3</v>
      </c>
      <c r="O16" s="886" t="n">
        <v>12</v>
      </c>
      <c r="P16" s="1172" t="n">
        <v>2</v>
      </c>
      <c r="Q16" s="886" t="n">
        <v>11</v>
      </c>
      <c r="R16" s="1172" t="n">
        <v>1</v>
      </c>
      <c r="S16" s="886" t="n">
        <v>6</v>
      </c>
      <c r="T16" s="1172" t="n">
        <v>3</v>
      </c>
      <c r="U16" s="886" t="n">
        <v>11</v>
      </c>
      <c r="V16" s="1172" t="n">
        <v>2</v>
      </c>
      <c r="W16" s="886" t="n">
        <v>7</v>
      </c>
      <c r="X16" s="1172" t="n">
        <v>1</v>
      </c>
      <c r="Y16" s="886" t="n">
        <v>8</v>
      </c>
      <c r="Z16" s="1172" t="n">
        <v>3</v>
      </c>
      <c r="AA16" s="886" t="n">
        <v>10</v>
      </c>
      <c r="AB16" s="1172" t="n">
        <v>3</v>
      </c>
      <c r="AC16" s="886" t="n">
        <v>8</v>
      </c>
      <c r="AD16" s="1172" t="n">
        <v>3</v>
      </c>
      <c r="AE16" s="886" t="n">
        <v>15</v>
      </c>
      <c r="AF16" s="1172" t="n">
        <v>3</v>
      </c>
      <c r="AG16" s="886" t="n">
        <v>11</v>
      </c>
      <c r="AH16" s="1172" t="n">
        <v>3</v>
      </c>
      <c r="AI16" s="886" t="n">
        <v>3</v>
      </c>
      <c r="AJ16" s="1172" t="n"/>
      <c r="AK16" s="886" t="n">
        <v>7</v>
      </c>
      <c r="AL16" s="1175" t="n">
        <v>1</v>
      </c>
      <c r="AM16" s="1929" t="n">
        <v>3</v>
      </c>
      <c r="AN16" s="2341" t="n"/>
      <c r="AO16" s="2001" t="n"/>
      <c r="AP16" s="1100" t="n"/>
      <c r="AQ16" s="2331" t="n"/>
      <c r="AR16" s="2342" t="n"/>
      <c r="AS16" s="1173" t="n"/>
      <c r="AT16" s="1172" t="n"/>
      <c r="AU16" s="886" t="n"/>
      <c r="AV16" s="1173" t="n"/>
      <c r="AW16">
        <f>CA16&amp;CB16&amp;CC16&amp;CD16&amp;CE16&amp;CF16&amp;CG16&amp;CH16&amp;CI16</f>
        <v/>
      </c>
      <c r="CA16" s="260">
        <f>IF(AND($C16&gt;0,AN16="")," *No olvide digitar la variable Beneficiarios. Digite Cero si no tiene.",IF(AN16&gt;$C16," *La variable Beneficiarios No puede ser mayor al Total Ambos Sexos.",""))</f>
        <v/>
      </c>
      <c r="CB16" s="260">
        <f>IF(AND($C16&gt;0,AO16="")," *No olvide digitar la variable SENAME/ Servicio Nacional de Reinserción social Juvenil. Digite Cero si no tiene.",IF(AO16&gt;$C16," *La variable SENAME/ Servicio Nacional de Reinserción social Juvenil No puede ser mayor al Total Ambos Sexos.",""))</f>
        <v/>
      </c>
      <c r="CC16" s="260">
        <f>IF(AND($C16&gt;0,AP16="")," *No olvide digitar la variable Servicio Nacional Protección Especializada a la Niñez y Adolescencia. Digite Cero si no tiene.",IF(AP16&gt;$C16," *La variable Servicio Nacional Protección Especializada a la Niñez y Adolescencia, No puede ser mayor al Total Ambos Sexos.",""))</f>
        <v/>
      </c>
      <c r="CD16" s="260">
        <f>IF(AND($C16&gt;0,AQ16="")," *No olvide digitar la variable Pueblos originarios. Digite Cero si no tiene.",IF(AQ16&gt;$C16," *La variable Pueblos Originarios No puede ser mayor al Total Ambos Sexos.",""))</f>
        <v/>
      </c>
      <c r="CE16" s="260">
        <f>IF(AND($C16&gt;0,AR16="")," *No olvide digitar la variable Migrantes. Digite Cero si no tiene.",IF(AR16&gt;$C16," *La variable Migrantes No puede ser mayor al Total Ambos Sexos.",""))</f>
        <v/>
      </c>
      <c r="CF16" s="260">
        <f>IF(AND($C16&gt;0,AS16="")," *No olvide digitar la variable Demencia. Digite Cero si no tiene.",IF(AS16&gt;$C16," *La variable Demencia No puede ser mayor al Total Ambos Sexos.",""))</f>
        <v/>
      </c>
      <c r="CG16" s="260">
        <f>IF(AND($E16&gt;0,OR(AT16=""))," *No olvide digitar la variable Trans (Masculino). Digite Cero si no tiene.",IF((AT16)&gt;$E16," *La variable Trans (Masculino) No puede ser mayor al Total Mujeres.",""))</f>
        <v/>
      </c>
      <c r="CH16" s="260">
        <f>IF(AND(D16&gt;0,OR(AU16=""))," *No olvide digitar la variable Trans (Femenino). Digite Cero si no tiene.",IF((AU16)&gt;D16," *La variable Trans (Femenino) No puede ser mayor al Total Hombres.",""))</f>
        <v/>
      </c>
      <c r="CI16" s="260">
        <f>IF(AND($C16&gt;0,AV16="")," *No olvide digitar la variable Cuidadores de personas con demencia. Digite Cero si no tiene.",IF(AV16&gt;$C16," *La variable Cuidadores de personas con demencia No puede ser mayor al Total Ambos Sexos.",""))</f>
        <v/>
      </c>
      <c r="CK16" s="221">
        <f>IF(AND(C16&gt;0,AN16=""),1,IF(AN16&gt;C16,1,0))</f>
        <v/>
      </c>
      <c r="CL16" s="221">
        <f>IF(AND(C16&gt;0,AO16=""),1,IF(AO16&gt;C16,1,0))</f>
        <v/>
      </c>
      <c r="CM16" s="221">
        <f>IF(AND(C16&gt;0,AP16=""),1,IF(AP16&gt;C16,1,0))</f>
        <v/>
      </c>
      <c r="CN16" s="221">
        <f>IF(AND(C16&gt;0,AQ16=""),1,IF(AQ16&gt;C16,1,0))</f>
        <v/>
      </c>
      <c r="CO16" s="221">
        <f>IF(AND(C16&gt;0,AR16=""),1,IF(AR16&gt;C16,1,0))</f>
        <v/>
      </c>
      <c r="CP16" s="221">
        <f>IF(AND(C16&gt;0,AS16=""),1,IF(AS16&gt;C16,1,0))</f>
        <v/>
      </c>
      <c r="CQ16" s="221">
        <f>IF(AND(E16&gt;0,OR(AT16="")),1,IF((AT16)&gt;E16,1,0))</f>
        <v/>
      </c>
      <c r="CR16" s="221">
        <f>IF(AND(D16&gt;0,OR(AU16="")),1,IF((AU16)&gt;D16,1,0))</f>
        <v/>
      </c>
      <c r="CS16" s="221">
        <f>IF(AND($C16&gt;0,AV16=""),1,IF(AV16&gt;$C16,1,0))</f>
        <v/>
      </c>
    </row>
    <row r="17" ht="21" customHeight="1" s="8286">
      <c r="A17" s="9614" t="n"/>
      <c r="B17" s="1130" t="inlineStr">
        <is>
          <t>Otros Profesionales Capacitados (Salud Mental)</t>
        </is>
      </c>
      <c r="C17" s="1254">
        <f>SUM(D17+E17)</f>
        <v/>
      </c>
      <c r="D17" s="2340">
        <f>SUM(F17+H17+J17+L17+N17+P17+R17+T17+V17+X17+Z17+AB17+AD17+AF17+AH17+AJ17+AL17)</f>
        <v/>
      </c>
      <c r="E17" s="1171">
        <f>SUM(G17+I17+K17+M17+O17+Q17+S17+U17+W17+Y17+AA17+AC17+AE17+AG17+AI17+AK17+AM17)</f>
        <v/>
      </c>
      <c r="F17" s="1172" t="n"/>
      <c r="G17" s="1173" t="n"/>
      <c r="H17" s="1172" t="n"/>
      <c r="I17" s="1173" t="n"/>
      <c r="J17" s="1172" t="n"/>
      <c r="K17" s="886" t="n"/>
      <c r="L17" s="1172" t="n"/>
      <c r="M17" s="886" t="n"/>
      <c r="N17" s="1172" t="n"/>
      <c r="O17" s="886" t="n"/>
      <c r="P17" s="1172" t="n"/>
      <c r="Q17" s="886" t="n"/>
      <c r="R17" s="1172" t="n"/>
      <c r="S17" s="886" t="n"/>
      <c r="T17" s="1172" t="n"/>
      <c r="U17" s="886" t="n"/>
      <c r="V17" s="1172" t="n"/>
      <c r="W17" s="886" t="n"/>
      <c r="X17" s="1172" t="n"/>
      <c r="Y17" s="886" t="n"/>
      <c r="Z17" s="1172" t="n"/>
      <c r="AA17" s="886" t="n"/>
      <c r="AB17" s="1172" t="n"/>
      <c r="AC17" s="886" t="n"/>
      <c r="AD17" s="1172" t="n"/>
      <c r="AE17" s="886" t="n"/>
      <c r="AF17" s="1172" t="n"/>
      <c r="AG17" s="886" t="n"/>
      <c r="AH17" s="1172" t="n"/>
      <c r="AI17" s="886" t="n"/>
      <c r="AJ17" s="1172" t="n"/>
      <c r="AK17" s="886" t="n"/>
      <c r="AL17" s="1175" t="n"/>
      <c r="AM17" s="1929" t="n"/>
      <c r="AN17" s="2341" t="n"/>
      <c r="AO17" s="2001" t="n"/>
      <c r="AP17" s="1100" t="n"/>
      <c r="AQ17" s="2331" t="n"/>
      <c r="AR17" s="2342" t="n"/>
      <c r="AS17" s="1173" t="n"/>
      <c r="AT17" s="1172" t="n"/>
      <c r="AU17" s="886" t="n"/>
      <c r="AV17" s="1173" t="n"/>
      <c r="AW17">
        <f>CA17&amp;CB17&amp;CC17&amp;CD17&amp;CE17&amp;CF17&amp;CG17&amp;CH17&amp;CI17</f>
        <v/>
      </c>
      <c r="CA17" s="260">
        <f>IF(AND($C17&gt;0,AN17="")," *No olvide digitar la variable Beneficiarios. Digite Cero si no tiene.",IF(AN17&gt;$C17," *La variable Beneficiarios No puede ser mayor al Total Ambos Sexos.",""))</f>
        <v/>
      </c>
      <c r="CB17" s="260">
        <f>IF(AND($C17&gt;0,AO17="")," *No olvide digitar la variable SENAME/ Servicio Nacional de Reinserción social Juvenil. Digite Cero si no tiene.",IF(AO17&gt;$C17," *La variable SENAME/ Servicio Nacional de Reinserción social Juvenil No puede ser mayor al Total Ambos Sexos.",""))</f>
        <v/>
      </c>
      <c r="CC17" s="260">
        <f>IF(AND($C17&gt;0,AP17="")," *No olvide digitar la variable Servicio Nacional Protección Especializada a la Niñez y Adolescencia. Digite Cero si no tiene.",IF(AP17&gt;$C17," *La variable Servicio Nacional Protección Especializada a la Niñez y Adolescencia, No puede ser mayor al Total Ambos Sexos.",""))</f>
        <v/>
      </c>
      <c r="CD17" s="260">
        <f>IF(AND($C17&gt;0,AQ17="")," *No olvide digitar la variable Pueblos originarios. Digite Cero si no tiene.",IF(AQ17&gt;$C17," *La variable Pueblos Originarios No puede ser mayor al Total Ambos Sexos.",""))</f>
        <v/>
      </c>
      <c r="CE17" s="260">
        <f>IF(AND($C17&gt;0,AR17="")," *No olvide digitar la variable Migrantes. Digite Cero si no tiene.",IF(AR17&gt;$C17," *La variable Migrantes No puede ser mayor al Total Ambos Sexos.",""))</f>
        <v/>
      </c>
      <c r="CF17" s="260">
        <f>IF(AND($C17&gt;0,AS17="")," *No olvide digitar la variable Demencia. Digite Cero si no tiene.",IF(AS17&gt;$C17," *La variable Demencia No puede ser mayor al Total Ambos Sexos.",""))</f>
        <v/>
      </c>
      <c r="CG17" s="260">
        <f>IF(AND($E17&gt;0,OR(AT17=""))," *No olvide digitar la variable Trans (Masculino). Digite Cero si no tiene.",IF((AT17)&gt;$E17," *La variable Trans (Masculino) No puede ser mayor al Total Mujeres.",""))</f>
        <v/>
      </c>
      <c r="CH17" s="260">
        <f>IF(AND(D17&gt;0,OR(AU17=""))," *No olvide digitar la variable Trans (Femenino). Digite Cero si no tiene.",IF((AU17)&gt;D17," *La variable Trans (Femenino) No puede ser mayor al Total Hombres.",""))</f>
        <v/>
      </c>
      <c r="CI17" s="260">
        <f>IF(AND($C17&gt;0,AV17="")," *No olvide digitar la variable Cuidadores de personas con demencia. Digite Cero si no tiene.",IF(AV17&gt;$C17," *La variable Cuidadores de personas con demencia No puede ser mayor al Total Ambos Sexos.",""))</f>
        <v/>
      </c>
      <c r="CK17" s="221">
        <f>IF(AND(C17&gt;0,AN17=""),1,IF(AN17&gt;C17,1,0))</f>
        <v/>
      </c>
      <c r="CL17" s="221">
        <f>IF(AND(C17&gt;0,AO17=""),1,IF(AO17&gt;C17,1,0))</f>
        <v/>
      </c>
      <c r="CM17" s="221">
        <f>IF(AND(C17&gt;0,AP17=""),1,IF(AP17&gt;C17,1,0))</f>
        <v/>
      </c>
      <c r="CN17" s="221">
        <f>IF(AND(C17&gt;0,AQ17=""),1,IF(AQ17&gt;C17,1,0))</f>
        <v/>
      </c>
      <c r="CO17" s="221">
        <f>IF(AND(C17&gt;0,AR17=""),1,IF(AR17&gt;C17,1,0))</f>
        <v/>
      </c>
      <c r="CP17" s="221">
        <f>IF(AND(C17&gt;0,AS17=""),1,IF(AS17&gt;C17,1,0))</f>
        <v/>
      </c>
      <c r="CQ17" s="221">
        <f>IF(AND(E17&gt;0,OR(AT17="")),1,IF((AT17)&gt;E17,1,0))</f>
        <v/>
      </c>
      <c r="CR17" s="221">
        <f>IF(AND(D17&gt;0,OR(AU17="")),1,IF((AU17)&gt;D17,1,0))</f>
        <v/>
      </c>
      <c r="CS17" s="221">
        <f>IF(AND($C17&gt;0,AV17=""),1,IF(AV17&gt;$C17,1,0))</f>
        <v/>
      </c>
    </row>
    <row r="18" ht="15" customHeight="1" s="8286">
      <c r="A18" s="9614" t="n"/>
      <c r="B18" s="1130" t="inlineStr">
        <is>
          <t>Terapeuta Ocupacional</t>
        </is>
      </c>
      <c r="C18" s="2286">
        <f>SUM(D18+E18)</f>
        <v/>
      </c>
      <c r="D18" s="2343">
        <f>SUM(F18+H18+J18+L18+N18+P18+R18+T18+V18+X18+Z18+AB18+AD18+AF18+AH18+AJ18+AL18)</f>
        <v/>
      </c>
      <c r="E18" s="2154">
        <f>SUM(G18+I18+K18+M18+O18+Q18+S18+U18+W18+Y18+AA18+AC18+AE18+AG18+AI18+AK18+AM18)</f>
        <v/>
      </c>
      <c r="F18" s="1179" t="n"/>
      <c r="G18" s="1180" t="n"/>
      <c r="H18" s="1179" t="n">
        <v>13</v>
      </c>
      <c r="I18" s="1180" t="n">
        <v>7</v>
      </c>
      <c r="J18" s="1179" t="n">
        <v>5</v>
      </c>
      <c r="K18" s="1183" t="n">
        <v>1</v>
      </c>
      <c r="L18" s="1179" t="n">
        <v>3</v>
      </c>
      <c r="M18" s="1183" t="n">
        <v>5</v>
      </c>
      <c r="N18" s="1179" t="n">
        <v>1</v>
      </c>
      <c r="O18" s="1183" t="n"/>
      <c r="P18" s="1179" t="n">
        <v>1</v>
      </c>
      <c r="Q18" s="1183" t="n">
        <v>1</v>
      </c>
      <c r="R18" s="1179" t="n">
        <v>1</v>
      </c>
      <c r="S18" s="1183" t="n"/>
      <c r="T18" s="1179" t="n"/>
      <c r="U18" s="1183" t="n"/>
      <c r="V18" s="1179" t="n"/>
      <c r="W18" s="1183" t="n">
        <v>1</v>
      </c>
      <c r="X18" s="1179" t="n"/>
      <c r="Y18" s="1183" t="n">
        <v>1</v>
      </c>
      <c r="Z18" s="1179" t="n"/>
      <c r="AA18" s="1183" t="n"/>
      <c r="AB18" s="1179" t="n"/>
      <c r="AC18" s="1183" t="n"/>
      <c r="AD18" s="1179" t="n"/>
      <c r="AE18" s="1183" t="n"/>
      <c r="AF18" s="1179" t="n"/>
      <c r="AG18" s="1183" t="n">
        <v>1</v>
      </c>
      <c r="AH18" s="1179" t="n"/>
      <c r="AI18" s="1183" t="n">
        <v>1</v>
      </c>
      <c r="AJ18" s="1179" t="n">
        <v>2</v>
      </c>
      <c r="AK18" s="1183" t="n">
        <v>3</v>
      </c>
      <c r="AL18" s="1184" t="n">
        <v>2</v>
      </c>
      <c r="AM18" s="1185" t="n">
        <v>4</v>
      </c>
      <c r="AN18" s="716" t="n"/>
      <c r="AO18" s="1228" t="n"/>
      <c r="AP18" s="717" t="n"/>
      <c r="AQ18" s="1311" t="n"/>
      <c r="AR18" s="718" t="n"/>
      <c r="AS18" s="1180" t="n"/>
      <c r="AT18" s="1179" t="n"/>
      <c r="AU18" s="1183" t="n"/>
      <c r="AV18" s="1180" t="n"/>
      <c r="AW18">
        <f>CA18&amp;CB18&amp;CC18&amp;CD18&amp;CE18&amp;CF18&amp;CG18&amp;CH18&amp;CI18</f>
        <v/>
      </c>
      <c r="CA18" s="260">
        <f>IF(AND($C18&gt;0,AN18="")," *No olvide digitar la variable Beneficiarios. Digite Cero si no tiene.",IF(AN18&gt;$C18," *La variable Beneficiarios No puede ser mayor al Total Ambos Sexos.",""))</f>
        <v/>
      </c>
      <c r="CB18" s="260">
        <f>IF(AND($C18&gt;0,AO18="")," *No olvide digitar la variable SENAME/ Servicio Nacional de Reinserción social Juvenil. Digite Cero si no tiene.",IF(AO18&gt;$C18," *La variable SENAME/ Servicio Nacional de Reinserción social Juvenil No puede ser mayor al Total Ambos Sexos.",""))</f>
        <v/>
      </c>
      <c r="CC18" s="260">
        <f>IF(AND($C18&gt;0,AP18="")," *No olvide digitar la variable Servicio Nacional Protección Especializada a la Niñez y Adolescencia. Digite Cero si no tiene.",IF(AP18&gt;$C18," *La variable Servicio Nacional Protección Especializada a la Niñez y Adolescencia, No puede ser mayor al Total Ambos Sexos.",""))</f>
        <v/>
      </c>
      <c r="CD18" s="260">
        <f>IF(AND($C18&gt;0,AQ18="")," *No olvide digitar la variable Pueblos originarios. Digite Cero si no tiene.",IF(AQ18&gt;$C18," *La variable Pueblos Originarios No puede ser mayor al Total Ambos Sexos.",""))</f>
        <v/>
      </c>
      <c r="CE18" s="260">
        <f>IF(AND($C18&gt;0,AR18="")," *No olvide digitar la variable Migrantes. Digite Cero si no tiene.",IF(AR18&gt;$C18," *La variable Migrantes No puede ser mayor al Total Ambos Sexos.",""))</f>
        <v/>
      </c>
      <c r="CF18" s="260">
        <f>IF(AND($C18&gt;0,AS18="")," *No olvide digitar la variable Demencia. Digite Cero si no tiene.",IF(AS18&gt;$C18," *La variable Demencia No puede ser mayor al Total Ambos Sexos.",""))</f>
        <v/>
      </c>
      <c r="CG18" s="260">
        <f>IF(AND($E18&gt;0,OR(AT18=""))," *No olvide digitar la variable Trans (Masculino). Digite Cero si no tiene.",IF((AT18)&gt;$E18," *La variable Trans (Masculino) No puede ser mayor al Total Mujeres.",""))</f>
        <v/>
      </c>
      <c r="CH18" s="260">
        <f>IF(AND(D18&gt;0,OR(AU18=""))," *No olvide digitar la variable Trans (Femenino). Digite Cero si no tiene.",IF((AU18)&gt;D18," *La variable Trans (Femenino) No puede ser mayor al Total Hombres.",""))</f>
        <v/>
      </c>
      <c r="CI18" s="260">
        <f>IF(AND($C18&gt;0,AV18="")," *No olvide digitar la variable Cuidadores de personas con demencia. Digite Cero si no tiene.",IF(AV18&gt;$C18," *La variable Cuidadores de personas con demencia No puede ser mayor al Total Ambos Sexos.",""))</f>
        <v/>
      </c>
      <c r="CK18" s="221">
        <f>IF(AND(C18&gt;0,AN18=""),1,IF(AN18&gt;C18,1,0))</f>
        <v/>
      </c>
      <c r="CL18" s="221">
        <f>IF(AND(C18&gt;0,AO18=""),1,IF(AO18&gt;C18,1,0))</f>
        <v/>
      </c>
      <c r="CM18" s="221">
        <f>IF(AND(C18&gt;0,AP18=""),1,IF(AP18&gt;C18,1,0))</f>
        <v/>
      </c>
      <c r="CN18" s="221">
        <f>IF(AND(C18&gt;0,AQ18=""),1,IF(AQ18&gt;C18,1,0))</f>
        <v/>
      </c>
      <c r="CO18" s="221">
        <f>IF(AND(C18&gt;0,AR18=""),1,IF(AR18&gt;C18,1,0))</f>
        <v/>
      </c>
      <c r="CP18" s="221">
        <f>IF(AND(C18&gt;0,AS18=""),1,IF(AS18&gt;C18,1,0))</f>
        <v/>
      </c>
      <c r="CQ18" s="221">
        <f>IF(AND(E18&gt;0,OR(AT18="")),1,IF((AT18)&gt;E18,1,0))</f>
        <v/>
      </c>
      <c r="CR18" s="221">
        <f>IF(AND(D18&gt;0,OR(AU18="")),1,IF((AU18)&gt;D18,1,0))</f>
        <v/>
      </c>
      <c r="CS18" s="221">
        <f>IF(AND($C18&gt;0,AV18=""),1,IF(AV18&gt;$C18,1,0))</f>
        <v/>
      </c>
    </row>
    <row r="19" ht="21" customHeight="1" s="8286">
      <c r="A19" s="9614" t="n"/>
      <c r="B19" s="1130" t="inlineStr">
        <is>
          <t>Técnico en Enfermería en Salud Mental</t>
        </is>
      </c>
      <c r="C19" s="2286">
        <f>SUM(D19+E19)</f>
        <v/>
      </c>
      <c r="D19" s="2343">
        <f>SUM(F19+H19+J19+L19+N19+P19+R19+T19+V19+X19+Z19+AB19+AD19+AF19+AH19+AJ19+AL19)</f>
        <v/>
      </c>
      <c r="E19" s="2154">
        <f>SUM(G19+I19+K19+M19+O19+Q19+S19+U19+W19+Y19+AA19+AC19+AE19+AG19+AI19+AK19+AM19)</f>
        <v/>
      </c>
      <c r="F19" s="1179" t="n"/>
      <c r="G19" s="1180" t="n"/>
      <c r="H19" s="1179" t="n"/>
      <c r="I19" s="1180" t="n"/>
      <c r="J19" s="1179" t="n"/>
      <c r="K19" s="1183" t="n"/>
      <c r="L19" s="1179" t="n"/>
      <c r="M19" s="1183" t="n"/>
      <c r="N19" s="1179" t="n"/>
      <c r="O19" s="1183" t="n"/>
      <c r="P19" s="1179" t="n"/>
      <c r="Q19" s="1183" t="n"/>
      <c r="R19" s="1179" t="n"/>
      <c r="S19" s="1183" t="n"/>
      <c r="T19" s="1179" t="n"/>
      <c r="U19" s="1183" t="n"/>
      <c r="V19" s="1179" t="n"/>
      <c r="W19" s="1183" t="n"/>
      <c r="X19" s="1179" t="n"/>
      <c r="Y19" s="1183" t="n"/>
      <c r="Z19" s="1179" t="n"/>
      <c r="AA19" s="1183" t="n"/>
      <c r="AB19" s="1179" t="n"/>
      <c r="AC19" s="1183" t="n"/>
      <c r="AD19" s="1179" t="n"/>
      <c r="AE19" s="1183" t="n"/>
      <c r="AF19" s="1179" t="n"/>
      <c r="AG19" s="1183" t="n"/>
      <c r="AH19" s="1179" t="n"/>
      <c r="AI19" s="1183" t="n"/>
      <c r="AJ19" s="1179" t="n"/>
      <c r="AK19" s="1183" t="n"/>
      <c r="AL19" s="1184" t="n"/>
      <c r="AM19" s="1185" t="n"/>
      <c r="AN19" s="716" t="n"/>
      <c r="AO19" s="1228" t="n"/>
      <c r="AP19" s="717" t="n"/>
      <c r="AQ19" s="1311" t="n"/>
      <c r="AR19" s="718" t="n"/>
      <c r="AS19" s="1180" t="n"/>
      <c r="AT19" s="1179" t="n"/>
      <c r="AU19" s="1183" t="n"/>
      <c r="AV19" s="1180" t="n"/>
      <c r="AW19">
        <f>CA19&amp;CB19&amp;CC19&amp;CD19&amp;CE19&amp;CF19&amp;CG19&amp;CH19&amp;CI19</f>
        <v/>
      </c>
      <c r="CA19" s="260">
        <f>IF(AND($C19&gt;0,AN19="")," *No olvide digitar la variable Beneficiarios. Digite Cero si no tiene.",IF(AN19&gt;$C19," *La variable Beneficiarios No puede ser mayor al Total Ambos Sexos.",""))</f>
        <v/>
      </c>
      <c r="CB19" s="260">
        <f>IF(AND($C19&gt;0,AO19="")," *No olvide digitar la variable SENAME/ Servicio Nacional de Reinserción social Juvenil. Digite Cero si no tiene.",IF(AO19&gt;$C19," *La variable SENAME/ Servicio Nacional de Reinserción social Juvenil No puede ser mayor al Total Ambos Sexos.",""))</f>
        <v/>
      </c>
      <c r="CC19" s="260">
        <f>IF(AND($C19&gt;0,AP19="")," *No olvide digitar la variable Servicio Nacional Protección Especializada a la Niñez y Adolescencia. Digite Cero si no tiene.",IF(AP19&gt;$C19," *La variable Servicio Nacional Protección Especializada a la Niñez y Adolescencia, No puede ser mayor al Total Ambos Sexos.",""))</f>
        <v/>
      </c>
      <c r="CD19" s="260">
        <f>IF(AND($C19&gt;0,AQ19="")," *No olvide digitar la variable Pueblos originarios. Digite Cero si no tiene.",IF(AQ19&gt;$C19," *La variable Pueblos Originarios No puede ser mayor al Total Ambos Sexos.",""))</f>
        <v/>
      </c>
      <c r="CE19" s="260">
        <f>IF(AND($C19&gt;0,AR19="")," *No olvide digitar la variable Migrantes. Digite Cero si no tiene.",IF(AR19&gt;$C19," *La variable Migrantes No puede ser mayor al Total Ambos Sexos.",""))</f>
        <v/>
      </c>
      <c r="CF19" s="260">
        <f>IF(AND($C19&gt;0,AS19="")," *No olvide digitar la variable Demencia. Digite Cero si no tiene.",IF(AS19&gt;$C19," *La variable Demencia No puede ser mayor al Total Ambos Sexos.",""))</f>
        <v/>
      </c>
      <c r="CG19" s="260">
        <f>IF(AND($E19&gt;0,OR(AT19=""))," *No olvide digitar la variable Trans (Masculino). Digite Cero si no tiene.",IF((AT19)&gt;$E19," *La variable Trans (Masculino) No puede ser mayor al Total Mujeres.",""))</f>
        <v/>
      </c>
      <c r="CH19" s="260">
        <f>IF(AND(D19&gt;0,OR(AU19=""))," *No olvide digitar la variable Trans (Femenino). Digite Cero si no tiene.",IF((AU19)&gt;D19," *La variable Trans (Femenino) No puede ser mayor al Total Hombres.",""))</f>
        <v/>
      </c>
      <c r="CI19" s="260">
        <f>IF(AND($C19&gt;0,AV19="")," *No olvide digitar la variable Cuidadores de personas con demencia. Digite Cero si no tiene.",IF(AV19&gt;$C19," *La variable Cuidadores de personas con demencia No puede ser mayor al Total Ambos Sexos.",""))</f>
        <v/>
      </c>
      <c r="CK19" s="221">
        <f>IF(AND(C19&gt;0,AN19=""),1,IF(AN19&gt;C19,1,0))</f>
        <v/>
      </c>
      <c r="CL19" s="221">
        <f>IF(AND(C19&gt;0,AO19=""),1,IF(AO19&gt;C19,1,0))</f>
        <v/>
      </c>
      <c r="CM19" s="221">
        <f>IF(AND(C19&gt;0,AP19=""),1,IF(AP19&gt;C19,1,0))</f>
        <v/>
      </c>
      <c r="CN19" s="221">
        <f>IF(AND(C19&gt;0,AQ19=""),1,IF(AQ19&gt;C19,1,0))</f>
        <v/>
      </c>
      <c r="CO19" s="221">
        <f>IF(AND(C19&gt;0,AR19=""),1,IF(AR19&gt;C19,1,0))</f>
        <v/>
      </c>
      <c r="CP19" s="221">
        <f>IF(AND(C19&gt;0,AS19=""),1,IF(AS19&gt;C19,1,0))</f>
        <v/>
      </c>
      <c r="CQ19" s="221">
        <f>IF(AND(E19&gt;0,OR(AT19="")),1,IF((AT19)&gt;E19,1,0))</f>
        <v/>
      </c>
      <c r="CR19" s="221">
        <f>IF(AND(D19&gt;0,OR(AU19="")),1,IF((AU19)&gt;D19,1,0))</f>
        <v/>
      </c>
      <c r="CS19" s="221">
        <f>IF(AND($C19&gt;0,AV19=""),1,IF(AV19&gt;$C19,1,0))</f>
        <v/>
      </c>
    </row>
    <row r="20" ht="15" customHeight="1" s="8286">
      <c r="A20" s="9614" t="n"/>
      <c r="B20" s="1130" t="inlineStr">
        <is>
          <t>Gestor Comunitario</t>
        </is>
      </c>
      <c r="C20" s="2286">
        <f>SUM(D20+E20)</f>
        <v/>
      </c>
      <c r="D20" s="2343">
        <f>SUM(F20+H20+J20+L20+N20+P20+R20+T20+V20+X20+Z20+AB20+AD20+AF20+AH20+AJ20+AL20)</f>
        <v/>
      </c>
      <c r="E20" s="2154">
        <f>SUM(G20+I20+K20+M20+O20+Q20+S20+U20+W20+Y20+AA20+AC20+AE20+AG20+AI20+AK20+AM20)</f>
        <v/>
      </c>
      <c r="F20" s="1179" t="n"/>
      <c r="G20" s="1180" t="n"/>
      <c r="H20" s="1179" t="n"/>
      <c r="I20" s="1180" t="n"/>
      <c r="J20" s="1179" t="n"/>
      <c r="K20" s="1183" t="n"/>
      <c r="L20" s="1179" t="n"/>
      <c r="M20" s="1183" t="n"/>
      <c r="N20" s="1179" t="n"/>
      <c r="O20" s="1183" t="n"/>
      <c r="P20" s="1179" t="n"/>
      <c r="Q20" s="1183" t="n"/>
      <c r="R20" s="1179" t="n"/>
      <c r="S20" s="1183" t="n"/>
      <c r="T20" s="1179" t="n"/>
      <c r="U20" s="1183" t="n"/>
      <c r="V20" s="1179" t="n"/>
      <c r="W20" s="1183" t="n"/>
      <c r="X20" s="1179" t="n"/>
      <c r="Y20" s="1183" t="n"/>
      <c r="Z20" s="1179" t="n"/>
      <c r="AA20" s="1183" t="n"/>
      <c r="AB20" s="1179" t="n"/>
      <c r="AC20" s="1183" t="n"/>
      <c r="AD20" s="1179" t="n"/>
      <c r="AE20" s="1183" t="n"/>
      <c r="AF20" s="1179" t="n"/>
      <c r="AG20" s="1183" t="n"/>
      <c r="AH20" s="1179" t="n"/>
      <c r="AI20" s="1183" t="n"/>
      <c r="AJ20" s="1179" t="n"/>
      <c r="AK20" s="1183" t="n"/>
      <c r="AL20" s="1184" t="n"/>
      <c r="AM20" s="1185" t="n"/>
      <c r="AN20" s="716" t="n"/>
      <c r="AO20" s="1228" t="n"/>
      <c r="AP20" s="717" t="n"/>
      <c r="AQ20" s="1311" t="n"/>
      <c r="AR20" s="718" t="n"/>
      <c r="AS20" s="1180" t="n"/>
      <c r="AT20" s="1179" t="n"/>
      <c r="AU20" s="1183" t="n"/>
      <c r="AV20" s="1180" t="n"/>
      <c r="AW20">
        <f>CA20&amp;CB20&amp;CC20&amp;CD20&amp;CE20&amp;CF20&amp;CG20&amp;CH20&amp;CI20</f>
        <v/>
      </c>
      <c r="CA20" s="260">
        <f>IF(AND($C20&gt;0,AN20="")," *No olvide digitar la variable Beneficiarios. Digite Cero si no tiene.",IF(AN20&gt;$C20," *La variable Beneficiarios No puede ser mayor al Total Ambos Sexos.",""))</f>
        <v/>
      </c>
      <c r="CB20" s="260">
        <f>IF(AND($C20&gt;0,AO20="")," *No olvide digitar la variable SENAME/ Servicio Nacional de Reinserción social Juvenil. Digite Cero si no tiene.",IF(AO20&gt;$C20," *La variable SENAME/ Servicio Nacional de Reinserción social Juvenil No puede ser mayor al Total Ambos Sexos.",""))</f>
        <v/>
      </c>
      <c r="CC20" s="260">
        <f>IF(AND($C20&gt;0,AP20="")," *No olvide digitar la variable Servicio Nacional Protección Especializada a la Niñez y Adolescencia. Digite Cero si no tiene.",IF(AP20&gt;$C20," *La variable Servicio Nacional Protección Especializada a la Niñez y Adolescencia, No puede ser mayor al Total Ambos Sexos.",""))</f>
        <v/>
      </c>
      <c r="CD20" s="260">
        <f>IF(AND($C20&gt;0,AQ20="")," *No olvide digitar la variable Pueblos originarios. Digite Cero si no tiene.",IF(AQ20&gt;$C20," *La variable Pueblos Originarios No puede ser mayor al Total Ambos Sexos.",""))</f>
        <v/>
      </c>
      <c r="CE20" s="260">
        <f>IF(AND($C20&gt;0,AR20="")," *No olvide digitar la variable Migrantes. Digite Cero si no tiene.",IF(AR20&gt;$C20," *La variable Migrantes No puede ser mayor al Total Ambos Sexos.",""))</f>
        <v/>
      </c>
      <c r="CF20" s="260">
        <f>IF(AND($C20&gt;0,AS20="")," *No olvide digitar la variable Demencia. Digite Cero si no tiene.",IF(AS20&gt;$C20," *La variable Demencia No puede ser mayor al Total Ambos Sexos.",""))</f>
        <v/>
      </c>
      <c r="CG20" s="260">
        <f>IF(AND($E20&gt;0,OR(AT20=""))," *No olvide digitar la variable Trans (Masculino). Digite Cero si no tiene.",IF((AT20)&gt;$E20," *La variable Trans (Masculino) No puede ser mayor al Total Mujeres.",""))</f>
        <v/>
      </c>
      <c r="CH20" s="260">
        <f>IF(AND(D20&gt;0,OR(AU20=""))," *No olvide digitar la variable Trans (Femenino). Digite Cero si no tiene.",IF((AU20)&gt;D20," *La variable Trans (Femenino) No puede ser mayor al Total Hombres.",""))</f>
        <v/>
      </c>
      <c r="CI20" s="260">
        <f>IF(AND($C20&gt;0,AV20="")," *No olvide digitar la variable Cuidadores de personas con demencia. Digite Cero si no tiene.",IF(AV20&gt;$C20," *La variable Cuidadores de personas con demencia No puede ser mayor al Total Ambos Sexos.",""))</f>
        <v/>
      </c>
      <c r="CK20" s="221">
        <f>IF(AND(C20&gt;0,AN20=""),1,IF(AN20&gt;C20,1,0))</f>
        <v/>
      </c>
      <c r="CL20" s="221">
        <f>IF(AND(C20&gt;0,AO20=""),1,IF(AO20&gt;C20,1,0))</f>
        <v/>
      </c>
      <c r="CM20" s="221">
        <f>IF(AND(C20&gt;0,AP20=""),1,IF(AP20&gt;C20,1,0))</f>
        <v/>
      </c>
      <c r="CN20" s="221">
        <f>IF(AND(C20&gt;0,AQ20=""),1,IF(AQ20&gt;C20,1,0))</f>
        <v/>
      </c>
      <c r="CO20" s="221">
        <f>IF(AND(C20&gt;0,AR20=""),1,IF(AR20&gt;C20,1,0))</f>
        <v/>
      </c>
      <c r="CP20" s="221">
        <f>IF(AND(C20&gt;0,AS20=""),1,IF(AS20&gt;C20,1,0))</f>
        <v/>
      </c>
      <c r="CQ20" s="221">
        <f>IF(AND(E20&gt;0,OR(AT20="")),1,IF((AT20)&gt;E20,1,0))</f>
        <v/>
      </c>
      <c r="CR20" s="221">
        <f>IF(AND(D20&gt;0,OR(AU20="")),1,IF((AU20)&gt;D20,1,0))</f>
        <v/>
      </c>
      <c r="CS20" s="221">
        <f>IF(AND($C20&gt;0,AV20=""),1,IF(AV20&gt;$C20,1,0))</f>
        <v/>
      </c>
    </row>
    <row r="21" ht="21" customHeight="1" s="8286">
      <c r="A21" s="9614" t="n"/>
      <c r="B21" s="1130" t="inlineStr">
        <is>
          <t>Técnico Rehabilitación Alcohol y Drogas</t>
        </is>
      </c>
      <c r="C21" s="2286">
        <f>SUM(D21+E21)</f>
        <v/>
      </c>
      <c r="D21" s="1253">
        <f>SUM(F21+H21+J21+L21+N21+P21+R21+T21+V21+X21+Z21+AB21+AD21+AF21+AH21+AJ21+AL21)</f>
        <v/>
      </c>
      <c r="E21" s="2154">
        <f>SUM(G21+I21+K21+M21+O21+Q21+S21+U21+W21+Y21+AA21+AC21+AE21+AG21+AI21+AK21+AM21)</f>
        <v/>
      </c>
      <c r="F21" s="1179" t="n"/>
      <c r="G21" s="1180" t="n"/>
      <c r="H21" s="1179" t="n"/>
      <c r="I21" s="1180" t="n"/>
      <c r="J21" s="1179" t="n"/>
      <c r="K21" s="1183" t="n"/>
      <c r="L21" s="1179" t="n"/>
      <c r="M21" s="1183" t="n"/>
      <c r="N21" s="1179" t="n"/>
      <c r="O21" s="1183" t="n"/>
      <c r="P21" s="1179" t="n"/>
      <c r="Q21" s="1183" t="n"/>
      <c r="R21" s="1179" t="n"/>
      <c r="S21" s="1183" t="n"/>
      <c r="T21" s="1179" t="n"/>
      <c r="U21" s="1183" t="n"/>
      <c r="V21" s="1179" t="n"/>
      <c r="W21" s="1183" t="n"/>
      <c r="X21" s="1179" t="n"/>
      <c r="Y21" s="1183" t="n"/>
      <c r="Z21" s="1179" t="n"/>
      <c r="AA21" s="1183" t="n"/>
      <c r="AB21" s="1179" t="n"/>
      <c r="AC21" s="1183" t="n"/>
      <c r="AD21" s="1179" t="n"/>
      <c r="AE21" s="1183" t="n"/>
      <c r="AF21" s="1179" t="n"/>
      <c r="AG21" s="1183" t="n"/>
      <c r="AH21" s="1179" t="n"/>
      <c r="AI21" s="1183" t="n"/>
      <c r="AJ21" s="1179" t="n"/>
      <c r="AK21" s="1183" t="n"/>
      <c r="AL21" s="1184" t="n"/>
      <c r="AM21" s="1185" t="n"/>
      <c r="AN21" s="716" t="n"/>
      <c r="AO21" s="1228" t="n"/>
      <c r="AP21" s="717" t="n"/>
      <c r="AQ21" s="1311" t="n"/>
      <c r="AR21" s="718" t="n"/>
      <c r="AS21" s="1180" t="n"/>
      <c r="AT21" s="1179" t="n"/>
      <c r="AU21" s="1183" t="n"/>
      <c r="AV21" s="1180" t="n"/>
      <c r="AW21">
        <f>CA21&amp;CB21&amp;CC21&amp;CD21&amp;CE21&amp;CF21&amp;CG21&amp;CH21&amp;CI21</f>
        <v/>
      </c>
      <c r="CA21" s="260">
        <f>IF(AND($C21&gt;0,AN21="")," *No olvide digitar la variable Beneficiarios. Digite Cero si no tiene.",IF(AN21&gt;$C21," *La variable Beneficiarios No puede ser mayor al Total Ambos Sexos.",""))</f>
        <v/>
      </c>
      <c r="CB21" s="260">
        <f>IF(AND($C21&gt;0,AO21="")," *No olvide digitar la variable SENAME/ Servicio Nacional de Reinserción social Juvenil. Digite Cero si no tiene.",IF(AO21&gt;$C21," *La variable SENAME/ Servicio Nacional de Reinserción social Juvenil No puede ser mayor al Total Ambos Sexos.",""))</f>
        <v/>
      </c>
      <c r="CC21" s="260">
        <f>IF(AND($C21&gt;0,AP21="")," *No olvide digitar la variable Servicio Nacional Protección Especializada a la Niñez y Adolescencia. Digite Cero si no tiene.",IF(AP21&gt;$C21," *La variable Servicio Nacional Protección Especializada a la Niñez y Adolescencia, No puede ser mayor al Total Ambos Sexos.",""))</f>
        <v/>
      </c>
      <c r="CD21" s="260">
        <f>IF(AND($C21&gt;0,AQ21="")," *No olvide digitar la variable Pueblos originarios. Digite Cero si no tiene.",IF(AQ21&gt;$C21," *La variable Pueblos Originarios No puede ser mayor al Total Ambos Sexos.",""))</f>
        <v/>
      </c>
      <c r="CE21" s="260">
        <f>IF(AND($C21&gt;0,AR21="")," *No olvide digitar la variable Migrantes. Digite Cero si no tiene.",IF(AR21&gt;$C21," *La variable Migrantes No puede ser mayor al Total Ambos Sexos.",""))</f>
        <v/>
      </c>
      <c r="CF21" s="260">
        <f>IF(AND($C21&gt;0,AS21="")," *No olvide digitar la variable Demencia. Digite Cero si no tiene.",IF(AS21&gt;$C21," *La variable Demencia No puede ser mayor al Total Ambos Sexos.",""))</f>
        <v/>
      </c>
      <c r="CG21" s="260">
        <f>IF(AND($E21&gt;0,OR(AT21=""))," *No olvide digitar la variable Trans (Masculino). Digite Cero si no tiene.",IF((AT21)&gt;$E21," *La variable Trans (Masculino) No puede ser mayor al Total Mujeres.",""))</f>
        <v/>
      </c>
      <c r="CH21" s="260">
        <f>IF(AND(D21&gt;0,OR(AU21=""))," *No olvide digitar la variable Trans (Femenino). Digite Cero si no tiene.",IF((AU21)&gt;D21," *La variable Trans (Femenino) No puede ser mayor al Total Hombres.",""))</f>
        <v/>
      </c>
      <c r="CI21" s="260">
        <f>IF(AND($C21&gt;0,AV21="")," *No olvide digitar la variable Cuidadores de personas con demencia. Digite Cero si no tiene.",IF(AV21&gt;$C21," *La variable Cuidadores de personas con demencia No puede ser mayor al Total Ambos Sexos.",""))</f>
        <v/>
      </c>
      <c r="CK21" s="221">
        <f>IF(AND(C21&gt;0,AN21=""),1,IF(AN21&gt;C21,1,0))</f>
        <v/>
      </c>
      <c r="CL21" s="221">
        <f>IF(AND(C21&gt;0,AO21=""),1,IF(AO21&gt;C21,1,0))</f>
        <v/>
      </c>
      <c r="CM21" s="221">
        <f>IF(AND(C21&gt;0,AP21=""),1,IF(AP21&gt;C21,1,0))</f>
        <v/>
      </c>
      <c r="CN21" s="221">
        <f>IF(AND(C21&gt;0,AQ21=""),1,IF(AQ21&gt;C21,1,0))</f>
        <v/>
      </c>
      <c r="CO21" s="221">
        <f>IF(AND(C21&gt;0,AR21=""),1,IF(AR21&gt;C21,1,0))</f>
        <v/>
      </c>
      <c r="CP21" s="221">
        <f>IF(AND(C21&gt;0,AS21=""),1,IF(AS21&gt;C21,1,0))</f>
        <v/>
      </c>
      <c r="CQ21" s="221">
        <f>IF(AND(E21&gt;0,OR(AT21="")),1,IF((AT21)&gt;E21,1,0))</f>
        <v/>
      </c>
      <c r="CR21" s="221">
        <f>IF(AND(D21&gt;0,OR(AU21="")),1,IF((AU21)&gt;D21,1,0))</f>
        <v/>
      </c>
      <c r="CS21" s="221">
        <f>IF(AND($C21&gt;0,AV21=""),1,IF(AV21&gt;$C21,1,0))</f>
        <v/>
      </c>
    </row>
    <row r="22" ht="15" customHeight="1" s="8286">
      <c r="A22" s="9610" t="n"/>
      <c r="B22" s="7727" t="inlineStr">
        <is>
          <t>TOTAL</t>
        </is>
      </c>
      <c r="C22" s="2155">
        <f>SUM(D22+E22)</f>
        <v/>
      </c>
      <c r="D22" s="2156">
        <f>SUM(F22+H22+J22+L22+N22+P22+R22+T22+V22+X22+Z22+AB22+AD22+AF22+AH22+AJ22+AL22)</f>
        <v/>
      </c>
      <c r="E22" s="2157">
        <f>SUM(G22+I22+K22+M22+O22+Q22+S22+U22+W22+Y22+AA22+AC22+AE22+AG22+AI22+AK22+AM22)</f>
        <v/>
      </c>
      <c r="F22" s="1988">
        <f>SUM(F12:F21)</f>
        <v/>
      </c>
      <c r="G22" s="2147">
        <f>SUM(G12:G21)</f>
        <v/>
      </c>
      <c r="H22" s="1988">
        <f>SUM(H12:H21)</f>
        <v/>
      </c>
      <c r="I22" s="2147">
        <f>SUM(I12:I21)</f>
        <v/>
      </c>
      <c r="J22" s="1988">
        <f>SUM(J12:J21)</f>
        <v/>
      </c>
      <c r="K22" s="2133">
        <f>SUM(K12:K21)</f>
        <v/>
      </c>
      <c r="L22" s="1988">
        <f>SUM(L12:L21)</f>
        <v/>
      </c>
      <c r="M22" s="2133">
        <f>SUM(M12:M21)</f>
        <v/>
      </c>
      <c r="N22" s="1988">
        <f>SUM(N12:N21)</f>
        <v/>
      </c>
      <c r="O22" s="2133">
        <f>SUM(O12:O21)</f>
        <v/>
      </c>
      <c r="P22" s="1988">
        <f>SUM(P12:P21)</f>
        <v/>
      </c>
      <c r="Q22" s="2133">
        <f>SUM(Q12:Q21)</f>
        <v/>
      </c>
      <c r="R22" s="1988">
        <f>SUM(R12:R21)</f>
        <v/>
      </c>
      <c r="S22" s="2133">
        <f>SUM(S12:S21)</f>
        <v/>
      </c>
      <c r="T22" s="1988">
        <f>SUM(T12:T21)</f>
        <v/>
      </c>
      <c r="U22" s="2133">
        <f>SUM(U12:U21)</f>
        <v/>
      </c>
      <c r="V22" s="1988">
        <f>SUM(V12:V21)</f>
        <v/>
      </c>
      <c r="W22" s="2133">
        <f>SUM(W12:W21)</f>
        <v/>
      </c>
      <c r="X22" s="1988">
        <f>SUM(X12:X21)</f>
        <v/>
      </c>
      <c r="Y22" s="2133">
        <f>SUM(Y12:Y21)</f>
        <v/>
      </c>
      <c r="Z22" s="1988">
        <f>SUM(Z12:Z21)</f>
        <v/>
      </c>
      <c r="AA22" s="2133">
        <f>SUM(AA12:AA21)</f>
        <v/>
      </c>
      <c r="AB22" s="1988">
        <f>SUM(AB12:AB21)</f>
        <v/>
      </c>
      <c r="AC22" s="2133">
        <f>SUM(AC12:AC21)</f>
        <v/>
      </c>
      <c r="AD22" s="1988">
        <f>SUM(AD12:AD21)</f>
        <v/>
      </c>
      <c r="AE22" s="2133">
        <f>SUM(AE12:AE21)</f>
        <v/>
      </c>
      <c r="AF22" s="1988">
        <f>SUM(AF12:AF21)</f>
        <v/>
      </c>
      <c r="AG22" s="2133">
        <f>SUM(AG12:AG21)</f>
        <v/>
      </c>
      <c r="AH22" s="1988">
        <f>SUM(AH12:AH21)</f>
        <v/>
      </c>
      <c r="AI22" s="2133">
        <f>SUM(AI12:AI21)</f>
        <v/>
      </c>
      <c r="AJ22" s="1988">
        <f>SUM(AJ12:AJ21)</f>
        <v/>
      </c>
      <c r="AK22" s="2133">
        <f>SUM(AK12:AK21)</f>
        <v/>
      </c>
      <c r="AL22" s="7768">
        <f>SUM(AL12:AL21)</f>
        <v/>
      </c>
      <c r="AM22" s="2317">
        <f>SUM(AM12:AM21)</f>
        <v/>
      </c>
      <c r="AN22" s="2344">
        <f>SUM(AN12:AN21)</f>
        <v/>
      </c>
      <c r="AO22" s="2345">
        <f>SUM(AO12:AO21)</f>
        <v/>
      </c>
      <c r="AP22" s="2346">
        <f>SUM(AP12:AP21)</f>
        <v/>
      </c>
      <c r="AQ22" s="2347">
        <f>SUM(AQ12:AQ21)</f>
        <v/>
      </c>
      <c r="AR22" s="2348">
        <f>SUM(AR12:AR21)</f>
        <v/>
      </c>
      <c r="AS22" s="2147">
        <f>SUM(AS12:AS21)</f>
        <v/>
      </c>
      <c r="AT22" s="1988">
        <f>SUM(AT12:AT21)</f>
        <v/>
      </c>
      <c r="AU22" s="2133">
        <f>SUM(AU12:AU21)</f>
        <v/>
      </c>
      <c r="AV22" s="2147">
        <f>SUM(AV12:AV21)</f>
        <v/>
      </c>
      <c r="CC22">
        <f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ht="15" customHeight="1" s="8286">
      <c r="A23" s="4456" t="inlineStr">
        <is>
          <t>Intervención Psicosocial Grupal</t>
        </is>
      </c>
      <c r="B23" s="9647" t="n"/>
      <c r="C23" s="2349">
        <f>SUM(D23+E23)</f>
        <v/>
      </c>
      <c r="D23" s="2350">
        <f>SUM(F23+H23+J23+L23+N23+P23+R23+T23+V23+X23+Z23+AB23+AD23+AF23+AH23+AJ23+AL23)</f>
        <v/>
      </c>
      <c r="E23" s="2157">
        <f>SUM(G23+I23+K23+M23+O23+Q23+S23+U23+W23+Y23+AA23+AC23+AE23+AG23+AI23+AK23+AM23)</f>
        <v/>
      </c>
      <c r="F23" s="2036" t="n"/>
      <c r="G23" s="2351" t="n"/>
      <c r="H23" s="2036" t="n"/>
      <c r="I23" s="2351" t="n"/>
      <c r="J23" s="2036" t="n"/>
      <c r="K23" s="2173" t="n"/>
      <c r="L23" s="2036" t="n"/>
      <c r="M23" s="2173" t="n">
        <v>1</v>
      </c>
      <c r="N23" s="2036" t="n"/>
      <c r="O23" s="2173" t="n"/>
      <c r="P23" s="2036" t="n"/>
      <c r="Q23" s="2173" t="n">
        <v>1</v>
      </c>
      <c r="R23" s="2036" t="n"/>
      <c r="S23" s="2173" t="n">
        <v>6</v>
      </c>
      <c r="T23" s="2036" t="n"/>
      <c r="U23" s="2173" t="n"/>
      <c r="V23" s="2036" t="n"/>
      <c r="W23" s="2173" t="n">
        <v>3</v>
      </c>
      <c r="X23" s="2036" t="n"/>
      <c r="Y23" s="2173" t="n">
        <v>2</v>
      </c>
      <c r="Z23" s="2036" t="n">
        <v>1</v>
      </c>
      <c r="AA23" s="2173" t="n">
        <v>8</v>
      </c>
      <c r="AB23" s="2036" t="n"/>
      <c r="AC23" s="2173" t="n">
        <v>3</v>
      </c>
      <c r="AD23" s="2036" t="n"/>
      <c r="AE23" s="2173" t="n">
        <v>21</v>
      </c>
      <c r="AF23" s="2036" t="n">
        <v>1</v>
      </c>
      <c r="AG23" s="2173" t="n">
        <v>9</v>
      </c>
      <c r="AH23" s="2036" t="n"/>
      <c r="AI23" s="2173" t="n">
        <v>10</v>
      </c>
      <c r="AJ23" s="2036" t="n">
        <v>1</v>
      </c>
      <c r="AK23" s="2173" t="n"/>
      <c r="AL23" s="2352" t="n"/>
      <c r="AM23" s="2037" t="n">
        <v>4</v>
      </c>
      <c r="AN23" s="2353" t="n"/>
      <c r="AO23" s="2354" t="n"/>
      <c r="AP23" s="2269" t="n"/>
      <c r="AQ23" s="2355" t="n"/>
      <c r="AR23" s="2356" t="n"/>
      <c r="AS23" s="2351" t="n"/>
      <c r="AT23" s="2036" t="n"/>
      <c r="AU23" s="2173" t="n"/>
      <c r="AV23" s="2351" t="n"/>
      <c r="AW23">
        <f>CA23&amp;CB23&amp;CC23&amp;CD23&amp;CE23&amp;CF23&amp;CG23&amp;CH23&amp;CI23</f>
        <v/>
      </c>
      <c r="CA23" s="260">
        <f>IF(AND($C23&gt;0,AN23="")," *No olvide digitar la variable Beneficiarios. Digite Cero si no tiene.",IF(AN23&gt;$C23," *La variable Beneficiarios No puede ser mayor al Total Ambos Sexos.",""))</f>
        <v/>
      </c>
      <c r="CB23" s="260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>
        <f>IF(AND($C23&gt;0,AQ23="")," *No olvide digitar la variable Pueblos originarios. Digite Cero si no tiene.",IF(AQ23&gt;$C23," *La variable Pueblos Originarios No puede ser mayor al Total Ambos Sexos.",""))</f>
        <v/>
      </c>
      <c r="CE23" s="260">
        <f>IF(AND($C23&gt;0,AR23="")," *No olvide digitar la variable Migrantes. Digite Cero si no tiene.",IF(AR23&gt;$C23," *La variable Migrantes No puede ser mayor al Total Ambos Sexos.",""))</f>
        <v/>
      </c>
      <c r="CF23" s="260">
        <f>IF(AND($C23&gt;0,AS23="")," *No olvide digitar la variable Demencia. Digite Cero si no tiene.",IF(AS23&gt;$C23," *La variable Demencia No puede ser mayor al Total Ambos Sexos.",""))</f>
        <v/>
      </c>
      <c r="CG23" s="260">
        <f>IF(AND($E23&gt;0,OR(AT23=""))," *No olvide digitar la variable Trans (Masculino). Digite Cero si no tiene.",IF((AT23)&gt;$E23," *La variable Trans (Masculino) No puede ser mayor al Total Mujeres.",""))</f>
        <v/>
      </c>
      <c r="CH23" s="260">
        <f>IF(AND(D23&gt;0,OR(AU23=""))," *No olvide digitar la variable Trans (Femenino). Digite Cero si no tiene.",IF((AU23)&gt;D23," *La variable Trans (Femenino) No puede ser mayor al Total Hombres.",""))</f>
        <v/>
      </c>
      <c r="CI23" s="260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/>
      </c>
      <c r="CL23" s="221">
        <f>IF(AND(C23&gt;0,AO23=""),1,IF(AO23&gt;C23,1,0))</f>
        <v/>
      </c>
      <c r="CM23" s="221">
        <f>IF(AND(C23&gt;0,AP23=""),1,IF(AP23&gt;C23,1,0))</f>
        <v/>
      </c>
      <c r="CN23" s="221">
        <f>IF(AND(C23&gt;0,AQ23=""),1,IF(AQ23&gt;C23,1,0))</f>
        <v/>
      </c>
      <c r="CO23" s="221">
        <f>IF(AND(C23&gt;0,AR23=""),1,IF(AR23&gt;C23,1,0))</f>
        <v/>
      </c>
      <c r="CP23" s="221">
        <f>IF(AND(C23&gt;0,AS23=""),1,IF(AS23&gt;C23,1,0))</f>
        <v/>
      </c>
      <c r="CQ23" s="221">
        <f>IF(AND(E23&gt;0,OR(AT23="")),1,IF((AT23)&gt;E23,1,0))</f>
        <v/>
      </c>
      <c r="CR23" s="221">
        <f>IF(AND(D23&gt;0,OR(AU23="")),1,IF((AU23)&gt;D23,1,0))</f>
        <v/>
      </c>
      <c r="CS23" s="221">
        <f>IF(AND($C23&gt;0,AV23=""),1,IF(AV23&gt;$C23,1,0))</f>
        <v/>
      </c>
    </row>
    <row r="24" ht="15" customHeight="1" s="8286">
      <c r="A24" s="7718" t="inlineStr">
        <is>
          <t>Psicodiagnóstico</t>
        </is>
      </c>
      <c r="B24" s="2357" t="inlineStr">
        <is>
          <t>Psicólogo/a</t>
        </is>
      </c>
      <c r="C24" s="2245">
        <f>SUM(D24+E24)</f>
        <v/>
      </c>
      <c r="D24" s="2246">
        <f>SUM(F24+H24+J24+L24+N24+P24+R24+T24+V24+X24+Z24+AB24+AD24+AF24+AH24+AJ24+AL24)</f>
        <v/>
      </c>
      <c r="E24" s="2358">
        <f>SUM(G24+I24+K24+M24+O24+Q24+S24+U24+W24+Y24+AA24+AC24+AE24+AG24+AI24+AK24+AM24)</f>
        <v/>
      </c>
      <c r="F24" s="2014" t="n"/>
      <c r="G24" s="2019" t="n"/>
      <c r="H24" s="2014" t="n"/>
      <c r="I24" s="2019" t="n"/>
      <c r="J24" s="2014" t="n"/>
      <c r="K24" s="2204" t="n"/>
      <c r="L24" s="2014" t="n"/>
      <c r="M24" s="2204" t="n"/>
      <c r="N24" s="2014" t="n"/>
      <c r="O24" s="2204" t="n"/>
      <c r="P24" s="2014" t="n"/>
      <c r="Q24" s="2204" t="n"/>
      <c r="R24" s="2014" t="n"/>
      <c r="S24" s="2204" t="n"/>
      <c r="T24" s="2014" t="n"/>
      <c r="U24" s="2204" t="n"/>
      <c r="V24" s="2014" t="n"/>
      <c r="W24" s="2204" t="n"/>
      <c r="X24" s="2014" t="n"/>
      <c r="Y24" s="2204" t="n"/>
      <c r="Z24" s="2014" t="n"/>
      <c r="AA24" s="2204" t="n"/>
      <c r="AB24" s="2014" t="n"/>
      <c r="AC24" s="2204" t="n"/>
      <c r="AD24" s="2014" t="n"/>
      <c r="AE24" s="2204" t="n"/>
      <c r="AF24" s="2014" t="n"/>
      <c r="AG24" s="2204" t="n"/>
      <c r="AH24" s="2014" t="n"/>
      <c r="AI24" s="2204" t="n"/>
      <c r="AJ24" s="2014" t="n"/>
      <c r="AK24" s="2204" t="n"/>
      <c r="AL24" s="2359" t="n"/>
      <c r="AM24" s="2018" t="n"/>
      <c r="AN24" s="2360" t="n"/>
      <c r="AO24" s="2361" t="n"/>
      <c r="AP24" s="2362" t="n"/>
      <c r="AQ24" s="2363" t="n"/>
      <c r="AR24" s="2364" t="n"/>
      <c r="AS24" s="2019" t="n"/>
      <c r="AT24" s="2014" t="n"/>
      <c r="AU24" s="2204" t="n"/>
      <c r="AV24" s="2019" t="n"/>
      <c r="AW24">
        <f>CA24&amp;CB24&amp;CC24&amp;CD24&amp;CE24&amp;CF24&amp;CG24&amp;CH24&amp;CI24</f>
        <v/>
      </c>
      <c r="CA24" s="260">
        <f>IF(AND($C24&gt;0,AN24="")," *No olvide digitar la variable Beneficiarios. Digite Cero si no tiene.",IF(AN24&gt;$C24," *La variable Beneficiarios No puede ser mayor al Total Ambos Sexos.",""))</f>
        <v/>
      </c>
      <c r="CB24" s="260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>
        <f>IF(AND($C24&gt;0,AQ24="")," *No olvide digitar la variable Pueblos originarios. Digite Cero si no tiene.",IF(AQ24&gt;$C24," *La variable Pueblos Originarios No puede ser mayor al Total Ambos Sexos.",""))</f>
        <v/>
      </c>
      <c r="CE24" s="260">
        <f>IF(AND($C24&gt;0,AR24="")," *No olvide digitar la variable Migrantes. Digite Cero si no tiene.",IF(AR24&gt;$C24," *La variable Migrantes No puede ser mayor al Total Ambos Sexos.",""))</f>
        <v/>
      </c>
      <c r="CF24" s="260">
        <f>IF(AND($C24&gt;0,AS24="")," *No olvide digitar la variable Demencia. Digite Cero si no tiene.",IF(AS24&gt;$C24," *La variable Demencia No puede ser mayor al Total Ambos Sexos.",""))</f>
        <v/>
      </c>
      <c r="CG24" s="260">
        <f>IF(AND($E24&gt;0,OR(AT24=""))," *No olvide digitar la variable Trans (Masculino). Digite Cero si no tiene.",IF((AT24)&gt;$E24," *La variable Trans (Masculino) No puede ser mayor al Total Mujeres.",""))</f>
        <v/>
      </c>
      <c r="CH24" s="260">
        <f>IF(AND(D24&gt;0,OR(AU24=""))," *No olvide digitar la variable Trans (Femenino). Digite Cero si no tiene.",IF((AU24)&gt;D24," *La variable Trans (Femenino) No puede ser mayor al Total Hombres.",""))</f>
        <v/>
      </c>
      <c r="CI24" s="260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/>
      </c>
      <c r="CL24" s="221">
        <f>IF(AND(C24&gt;0,AO24=""),1,IF(AO24&gt;C24,1,0))</f>
        <v/>
      </c>
      <c r="CM24" s="221">
        <f>IF(AND(C24&gt;0,AP24=""),1,IF(AP24&gt;C24,1,0))</f>
        <v/>
      </c>
      <c r="CN24" s="221">
        <f>IF(AND(C24&gt;0,AQ24=""),1,IF(AQ24&gt;C24,1,0))</f>
        <v/>
      </c>
      <c r="CO24" s="221">
        <f>IF(AND(C24&gt;0,AR24=""),1,IF(AR24&gt;C24,1,0))</f>
        <v/>
      </c>
      <c r="CP24" s="221">
        <f>IF(AND(C24&gt;0,AS24=""),1,IF(AS24&gt;C24,1,0))</f>
        <v/>
      </c>
      <c r="CQ24" s="221">
        <f>IF(AND(E24&gt;0,OR(AT24="")),1,IF((AT24)&gt;E24,1,0))</f>
        <v/>
      </c>
      <c r="CR24" s="221">
        <f>IF(AND(D24&gt;0,OR(AU24="")),1,IF((AU24)&gt;D24,1,0))</f>
        <v/>
      </c>
      <c r="CS24" s="221">
        <f>IF(AND($C24&gt;0,AV24=""),1,IF(AV24&gt;$C24,1,0))</f>
        <v/>
      </c>
    </row>
    <row r="25" ht="15" customHeight="1" s="8286">
      <c r="A25" s="9933" t="inlineStr">
        <is>
          <t>Psicoterapia Individual</t>
        </is>
      </c>
      <c r="B25" s="8050" t="inlineStr">
        <is>
          <t>Psicólogo/a</t>
        </is>
      </c>
      <c r="C25" s="2282">
        <f>SUM(D25+E25)</f>
        <v/>
      </c>
      <c r="D25" s="834">
        <f>SUM(F25+H25+J25+L25+N25+P25+R25+T25+V25+X25+Z25+AB25+AD25+AF25+AH25+AJ25+AL25)</f>
        <v/>
      </c>
      <c r="E25" s="2152">
        <f>SUM(G25+I25+K25+M25+O25+Q25+S25+U25+W25+Y25+AA25+AC25+AE25+AG25+AI25+AK25+AM25)</f>
        <v/>
      </c>
      <c r="F25" s="2266" t="n"/>
      <c r="G25" s="2336" t="n"/>
      <c r="H25" s="2266" t="n"/>
      <c r="I25" s="2336" t="n"/>
      <c r="J25" s="2266" t="n"/>
      <c r="K25" s="2337" t="n"/>
      <c r="L25" s="2266" t="n"/>
      <c r="M25" s="2337" t="n"/>
      <c r="N25" s="2266" t="n"/>
      <c r="O25" s="2337" t="n"/>
      <c r="P25" s="2266" t="n"/>
      <c r="Q25" s="2337" t="n"/>
      <c r="R25" s="2266" t="n"/>
      <c r="S25" s="2337" t="n"/>
      <c r="T25" s="2266" t="n"/>
      <c r="U25" s="2337" t="n"/>
      <c r="V25" s="2266" t="n"/>
      <c r="W25" s="2337" t="n"/>
      <c r="X25" s="2266" t="n"/>
      <c r="Y25" s="2337" t="n"/>
      <c r="Z25" s="2266" t="n"/>
      <c r="AA25" s="2337" t="n"/>
      <c r="AB25" s="2266" t="n"/>
      <c r="AC25" s="2337" t="n"/>
      <c r="AD25" s="2266" t="n"/>
      <c r="AE25" s="2337" t="n"/>
      <c r="AF25" s="2266" t="n"/>
      <c r="AG25" s="2337" t="n"/>
      <c r="AH25" s="2266" t="n"/>
      <c r="AI25" s="2337" t="n"/>
      <c r="AJ25" s="2266" t="n"/>
      <c r="AK25" s="2337" t="n"/>
      <c r="AL25" s="2276" t="n"/>
      <c r="AM25" s="1940" t="n"/>
      <c r="AN25" s="2338" t="n"/>
      <c r="AO25" s="835" t="n"/>
      <c r="AP25" s="1433" t="n"/>
      <c r="AQ25" s="2329" t="n"/>
      <c r="AR25" s="2339" t="n"/>
      <c r="AS25" s="2336" t="n"/>
      <c r="AT25" s="2266" t="n"/>
      <c r="AU25" s="2337" t="n"/>
      <c r="AV25" s="2336" t="n"/>
      <c r="AW25">
        <f>CA25&amp;CB25&amp;CC25&amp;CD25&amp;CE25&amp;CF25&amp;CG25&amp;CH25&amp;CI25</f>
        <v/>
      </c>
      <c r="CA25" s="260">
        <f>IF(AND($C25&gt;0,AN25="")," *No olvide digitar la variable Beneficiarios. Digite Cero si no tiene.",IF(AN25&gt;$C25," *La variable Beneficiarios No puede ser mayor al Total Ambos Sexos.",""))</f>
        <v/>
      </c>
      <c r="CB25" s="260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>
        <f>IF(AND($C25&gt;0,AQ25="")," *No olvide digitar la variable Pueblos originarios. Digite Cero si no tiene.",IF(AQ25&gt;$C25," *La variable Pueblos Originarios No puede ser mayor al Total Ambos Sexos.",""))</f>
        <v/>
      </c>
      <c r="CE25" s="260">
        <f>IF(AND($C25&gt;0,AR25="")," *No olvide digitar la variable Migrantes. Digite Cero si no tiene.",IF(AR25&gt;$C25," *La variable Migrantes No puede ser mayor al Total Ambos Sexos.",""))</f>
        <v/>
      </c>
      <c r="CF25" s="260">
        <f>IF(AND($C25&gt;0,AS25="")," *No olvide digitar la variable Demencia. Digite Cero si no tiene.",IF(AS25&gt;$C25," *La variable Demencia No puede ser mayor al Total Ambos Sexos.",""))</f>
        <v/>
      </c>
      <c r="CG25" s="260">
        <f>IF(AND($E25&gt;0,OR(AT25=""))," *No olvide digitar la variable Trans (Masculino). Digite Cero si no tiene.",IF((AT25)&gt;$E25," *La variable Trans (Masculino) No puede ser mayor al Total Mujeres.",""))</f>
        <v/>
      </c>
      <c r="CH25" s="260">
        <f>IF(AND(D25&gt;0,OR(AU25=""))," *No olvide digitar la variable Trans (Femenino). Digite Cero si no tiene.",IF((AU25)&gt;D25," *La variable Trans (Femenino) No puede ser mayor al Total Hombres.",""))</f>
        <v/>
      </c>
      <c r="CI25" s="260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/>
      </c>
      <c r="CL25" s="221">
        <f>IF(AND(C25&gt;0,AO25=""),1,IF(AO25&gt;C25,1,0))</f>
        <v/>
      </c>
      <c r="CM25" s="221">
        <f>IF(AND(C25&gt;0,AP25=""),1,IF(AP25&gt;C25,1,0))</f>
        <v/>
      </c>
      <c r="CN25" s="221">
        <f>IF(AND(C25&gt;0,AQ25=""),1,IF(AQ25&gt;C25,1,0))</f>
        <v/>
      </c>
      <c r="CO25" s="221">
        <f>IF(AND(C25&gt;0,AR25=""),1,IF(AR25&gt;C25,1,0))</f>
        <v/>
      </c>
      <c r="CP25" s="221">
        <f>IF(AND(C25&gt;0,AS25=""),1,IF(AS25&gt;C25,1,0))</f>
        <v/>
      </c>
      <c r="CQ25" s="221">
        <f>IF(AND(E25&gt;0,OR(AT25="")),1,IF((AT25)&gt;E25,1,0))</f>
        <v/>
      </c>
      <c r="CR25" s="221">
        <f>IF(AND(D25&gt;0,OR(AU25="")),1,IF((AU25)&gt;D25,1,0))</f>
        <v/>
      </c>
      <c r="CS25" s="221">
        <f>IF(AND($C25&gt;0,AV25=""),1,IF(AV25&gt;$C25,1,0))</f>
        <v/>
      </c>
    </row>
    <row r="26" ht="15" customHeight="1" s="8286">
      <c r="A26" s="9610" t="n"/>
      <c r="B26" s="2366" t="inlineStr">
        <is>
          <t>Médico/a Psiquiatra</t>
        </is>
      </c>
      <c r="C26" s="867">
        <f>SUM(D26+E26)</f>
        <v/>
      </c>
      <c r="D26" s="186">
        <f>SUM(F26+H26+J26+L26+N26+P26+R26+T26+V26+X26+Z26+AB26+AD26+AF26+AH26+AJ26+AL26)</f>
        <v/>
      </c>
      <c r="E26" s="2367">
        <f>SUM(G26+I26+K26+M26+O26+Q26+S26+U26+W26+Y26+AA26+AC26+AE26+AG26+AI26+AK26+AM26)</f>
        <v/>
      </c>
      <c r="F26" s="1188" t="n"/>
      <c r="G26" s="2368" t="n"/>
      <c r="H26" s="1188" t="n"/>
      <c r="I26" s="1119" t="n"/>
      <c r="J26" s="1188" t="n"/>
      <c r="K26" s="1119" t="n"/>
      <c r="L26" s="1188" t="n"/>
      <c r="M26" s="1119" t="n"/>
      <c r="N26" s="1188" t="n"/>
      <c r="O26" s="1192" t="n"/>
      <c r="P26" s="1188" t="n"/>
      <c r="Q26" s="2368" t="n"/>
      <c r="R26" s="2369" t="n"/>
      <c r="S26" s="1119" t="n"/>
      <c r="T26" s="1188" t="n"/>
      <c r="U26" s="1119" t="n"/>
      <c r="V26" s="1188" t="n"/>
      <c r="W26" s="1119" t="n"/>
      <c r="X26" s="1188" t="n"/>
      <c r="Y26" s="2368" t="n"/>
      <c r="Z26" s="1188" t="n"/>
      <c r="AA26" s="2368" t="n"/>
      <c r="AB26" s="1188" t="n"/>
      <c r="AC26" s="1119" t="n"/>
      <c r="AD26" s="1188" t="n"/>
      <c r="AE26" s="2368" t="n"/>
      <c r="AF26" s="1188" t="n"/>
      <c r="AG26" s="2368" t="n"/>
      <c r="AH26" s="1188" t="n"/>
      <c r="AI26" s="1119" t="n"/>
      <c r="AJ26" s="1188" t="n"/>
      <c r="AK26" s="1119" t="n"/>
      <c r="AL26" s="1195" t="n"/>
      <c r="AM26" s="1224" t="n"/>
      <c r="AN26" s="2370" t="n"/>
      <c r="AO26" s="1118" t="n"/>
      <c r="AP26" s="1430" t="n"/>
      <c r="AQ26" s="1293" t="n"/>
      <c r="AR26" s="2371" t="n"/>
      <c r="AS26" s="1192" t="n"/>
      <c r="AT26" s="1188" t="n"/>
      <c r="AU26" s="1119" t="n"/>
      <c r="AV26" s="1192" t="n"/>
      <c r="AW26">
        <f>CA26&amp;CB26&amp;CC26&amp;CD26&amp;CE26&amp;CF26&amp;CG26&amp;CH26&amp;CI26</f>
        <v/>
      </c>
      <c r="CA26" s="260">
        <f>IF(AND($C26&gt;0,AN26="")," *No olvide digitar la variable Beneficiarios. Digite Cero si no tiene.",IF(AN26&gt;$C26," *La variable Beneficiarios No puede ser mayor al Total Ambos Sexos.",""))</f>
        <v/>
      </c>
      <c r="CB26" s="260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>
        <f>IF(AND($C26&gt;0,AQ26="")," *No olvide digitar la variable Pueblos originarios. Digite Cero si no tiene.",IF(AQ26&gt;$C26," *La variable Pueblos Originarios No puede ser mayor al Total Ambos Sexos.",""))</f>
        <v/>
      </c>
      <c r="CE26" s="260">
        <f>IF(AND($C26&gt;0,AR26="")," *No olvide digitar la variable Migrantes. Digite Cero si no tiene.",IF(AR26&gt;$C26," *La variable Migrantes No puede ser mayor al Total Ambos Sexos.",""))</f>
        <v/>
      </c>
      <c r="CF26" s="260">
        <f>IF(AND($C26&gt;0,AS26="")," *No olvide digitar la variable Demencia. Digite Cero si no tiene.",IF(AS26&gt;$C26," *La variable Demencia No puede ser mayor al Total Ambos Sexos.",""))</f>
        <v/>
      </c>
      <c r="CG26" s="260">
        <f>IF(AND($E26&gt;0,OR(AT26=""))," *No olvide digitar la variable Trans (Masculino). Digite Cero si no tiene.",IF((AT26)&gt;$E26," *La variable Trans (Masculino) No puede ser mayor al Total Mujeres.",""))</f>
        <v/>
      </c>
      <c r="CH26" s="260">
        <f>IF(AND(D26&gt;0,OR(AU26=""))," *No olvide digitar la variable Trans (Femenino). Digite Cero si no tiene.",IF((AU26)&gt;D26," *La variable Trans (Femenino) No puede ser mayor al Total Hombres.",""))</f>
        <v/>
      </c>
      <c r="CI26" s="260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/>
      </c>
      <c r="CL26" s="221">
        <f>IF(AND(C26&gt;0,AO26=""),1,IF(AO26&gt;C26,1,0))</f>
        <v/>
      </c>
      <c r="CM26" s="221">
        <f>IF(AND(C26&gt;0,AP26=""),1,IF(AP26&gt;C26,1,0))</f>
        <v/>
      </c>
      <c r="CN26" s="221">
        <f>IF(AND(C26&gt;0,AQ26=""),1,IF(AQ26&gt;C26,1,0))</f>
        <v/>
      </c>
      <c r="CO26" s="221">
        <f>IF(AND(C26&gt;0,AR26=""),1,IF(AR26&gt;C26,1,0))</f>
        <v/>
      </c>
      <c r="CP26" s="221">
        <f>IF(AND(C26&gt;0,AS26=""),1,IF(AS26&gt;C26,1,0))</f>
        <v/>
      </c>
      <c r="CQ26" s="221">
        <f>IF(AND(E26&gt;0,OR(AT26="")),1,IF((AT26)&gt;E26,1,0))</f>
        <v/>
      </c>
      <c r="CR26" s="221">
        <f>IF(AND(D26&gt;0,OR(AU26="")),1,IF((AU26)&gt;D26,1,0))</f>
        <v/>
      </c>
      <c r="CS26" s="221">
        <f>IF(AND($C26&gt;0,AV26=""),1,IF(AV26&gt;$C26,1,0))</f>
        <v/>
      </c>
    </row>
    <row r="27" ht="18" customFormat="1" customHeight="1" s="5">
      <c r="A27" s="2" t="inlineStr">
        <is>
          <t>SECCIÓN A.2: CONSULTORÍAS DE SALUD MENTAL EN APS</t>
        </is>
      </c>
      <c r="B27" s="2" t="n"/>
      <c r="C27" s="8744" t="n"/>
      <c r="D27" s="2" t="n"/>
      <c r="E27" s="2" t="n"/>
      <c r="F27" s="2" t="n"/>
      <c r="G27" s="2" t="n"/>
      <c r="H27" s="2" t="n"/>
      <c r="I27" s="2" t="n"/>
      <c r="J27" s="2" t="n"/>
      <c r="K27" s="2" t="n"/>
      <c r="L27" s="2" t="n"/>
      <c r="M27" s="2" t="n"/>
      <c r="N27" s="2" t="n"/>
      <c r="O27" s="3" t="n"/>
      <c r="P27" s="3" t="n"/>
      <c r="Q27" s="3" t="n"/>
      <c r="R27" s="3" t="n"/>
      <c r="S27" s="3" t="n"/>
      <c r="T27" s="3" t="n"/>
      <c r="U27" s="3" t="n"/>
      <c r="V27" s="30" t="n"/>
      <c r="W27" s="3" t="n"/>
      <c r="X27" s="3" t="n"/>
      <c r="Y27" s="3" t="n"/>
      <c r="Z27" s="3" t="n"/>
      <c r="AA27" s="3" t="n"/>
      <c r="AB27" s="3" t="n"/>
      <c r="AC27" s="3" t="n"/>
      <c r="AD27" s="3" t="n"/>
      <c r="AE27" s="3" t="n"/>
      <c r="AF27" s="3" t="n"/>
      <c r="AG27" s="3" t="n"/>
      <c r="AH27" s="3" t="n"/>
      <c r="AI27" s="3" t="n"/>
      <c r="AJ27" s="3" t="n"/>
      <c r="AK27" s="3" t="n"/>
      <c r="AL27" s="3" t="n"/>
      <c r="AM27" s="3" t="n"/>
      <c r="AN27" s="3" t="n"/>
      <c r="AO27" s="3" t="n"/>
      <c r="AP27" s="3" t="n"/>
      <c r="AQ27" s="3" t="n"/>
      <c r="AR27" s="3" t="n"/>
      <c r="AS27" s="3" t="n"/>
      <c r="AT27" s="3" t="n"/>
      <c r="AU27" s="3" t="n"/>
    </row>
    <row r="28" ht="21.75" customHeight="1" s="8286">
      <c r="A28" s="8400" t="inlineStr">
        <is>
          <t>ACTIVIDAD</t>
        </is>
      </c>
      <c r="B28" s="8400" t="inlineStr">
        <is>
          <t>TOTAL CONSULTORÍAS Y TELECONSULTORÍAS RECIBIDAS</t>
        </is>
      </c>
      <c r="C28" s="9240" t="inlineStr">
        <is>
          <t>CONSULTORÍAS Y TELECONSULTORÍAS RECIBIDAS</t>
        </is>
      </c>
      <c r="D28" s="9647" t="n"/>
      <c r="E28" s="9240" t="inlineStr">
        <is>
          <t>TOTAL Nº DE CASOS REVISADOS</t>
        </is>
      </c>
      <c r="F28" s="9584" t="n"/>
      <c r="G28" s="9647" t="n"/>
      <c r="H28" s="9240" t="inlineStr">
        <is>
          <t>0 - 4 años</t>
        </is>
      </c>
      <c r="I28" s="9647" t="n"/>
      <c r="J28" s="9240" t="inlineStr">
        <is>
          <t>5 - 9 años</t>
        </is>
      </c>
      <c r="K28" s="9647" t="n"/>
      <c r="L28" s="9240" t="inlineStr">
        <is>
          <t>10 - 14 años</t>
        </is>
      </c>
      <c r="M28" s="9647" t="n"/>
      <c r="N28" s="9240" t="inlineStr">
        <is>
          <t>15 - 19 años</t>
        </is>
      </c>
      <c r="O28" s="9647" t="n"/>
      <c r="P28" s="9240" t="inlineStr">
        <is>
          <t>20 - 24 años</t>
        </is>
      </c>
      <c r="Q28" s="9647" t="n"/>
      <c r="R28" s="4505" t="inlineStr">
        <is>
          <t>25 - 29 años</t>
        </is>
      </c>
      <c r="S28" s="9647" t="n"/>
      <c r="T28" s="4505" t="inlineStr">
        <is>
          <t>30 - 34 años</t>
        </is>
      </c>
      <c r="U28" s="9647" t="n"/>
      <c r="V28" s="4505" t="inlineStr">
        <is>
          <t>35 - 39 años</t>
        </is>
      </c>
      <c r="W28" s="9647" t="n"/>
      <c r="X28" s="4505" t="inlineStr">
        <is>
          <t>40 - 44 años</t>
        </is>
      </c>
      <c r="Y28" s="9647" t="n"/>
      <c r="Z28" s="4505" t="inlineStr">
        <is>
          <t>45 - 49 años</t>
        </is>
      </c>
      <c r="AA28" s="9647" t="n"/>
      <c r="AB28" s="4505" t="inlineStr">
        <is>
          <t>50 - 54 años</t>
        </is>
      </c>
      <c r="AC28" s="9647" t="n"/>
      <c r="AD28" s="4505" t="inlineStr">
        <is>
          <t>55 - 59 años</t>
        </is>
      </c>
      <c r="AE28" s="9647" t="n"/>
      <c r="AF28" s="4505" t="inlineStr">
        <is>
          <t>60 - 64 años</t>
        </is>
      </c>
      <c r="AG28" s="9647" t="n"/>
      <c r="AH28" s="4505" t="inlineStr">
        <is>
          <t>65 - 69 años</t>
        </is>
      </c>
      <c r="AI28" s="9647" t="n"/>
      <c r="AJ28" s="4505" t="inlineStr">
        <is>
          <t>70 - 74 años</t>
        </is>
      </c>
      <c r="AK28" s="9647" t="n"/>
      <c r="AL28" s="4505" t="inlineStr">
        <is>
          <t>75 - 79 años</t>
        </is>
      </c>
      <c r="AM28" s="9647" t="n"/>
      <c r="AN28" s="9915" t="inlineStr">
        <is>
          <t>80 y más años</t>
        </is>
      </c>
      <c r="AO28" s="9595" t="n"/>
      <c r="AP28" s="9980" t="inlineStr">
        <is>
          <t>Pueblos Originarios</t>
        </is>
      </c>
      <c r="AQ28" s="9981" t="inlineStr">
        <is>
          <t>Migrantes</t>
        </is>
      </c>
      <c r="AR28" s="9981" t="inlineStr">
        <is>
          <t>SENAME/ Servicio Nacional de Reinserción social Juvenil</t>
        </is>
      </c>
      <c r="AS28" s="9981" t="inlineStr">
        <is>
          <t>Servicio Nacional Protección Especializada a la Niñez y Adolescencia</t>
        </is>
      </c>
      <c r="AT28" s="9981" t="inlineStr">
        <is>
          <t>Personas con sospecha de demencia</t>
        </is>
      </c>
      <c r="AU28" s="9920" t="inlineStr">
        <is>
          <t>Personas con diagnóstico de demencia</t>
        </is>
      </c>
    </row>
    <row r="29" ht="40.5" customHeight="1" s="8286">
      <c r="A29" s="9610" t="n"/>
      <c r="B29" s="9610" t="n"/>
      <c r="C29" s="7681" t="inlineStr">
        <is>
          <t>Consultorías y Teleconsultorías de Salud Mental Infanto Adolescente</t>
        </is>
      </c>
      <c r="D29" s="7681" t="inlineStr">
        <is>
          <t>Consultorías Y Teleconsultorías de Salud Mental Adulto</t>
        </is>
      </c>
      <c r="E29" s="7932" t="inlineStr">
        <is>
          <t>Ambos Sexos</t>
        </is>
      </c>
      <c r="F29" s="2372" t="inlineStr">
        <is>
          <t>Hombres</t>
        </is>
      </c>
      <c r="G29" s="7729" t="inlineStr">
        <is>
          <t>Mujeres</t>
        </is>
      </c>
      <c r="H29" s="7932" t="inlineStr">
        <is>
          <t>Hombres</t>
        </is>
      </c>
      <c r="I29" s="7729" t="inlineStr">
        <is>
          <t>Mujeres</t>
        </is>
      </c>
      <c r="J29" s="7932" t="inlineStr">
        <is>
          <t>Hombres</t>
        </is>
      </c>
      <c r="K29" s="7729" t="inlineStr">
        <is>
          <t>Mujeres</t>
        </is>
      </c>
      <c r="L29" s="7932" t="inlineStr">
        <is>
          <t>Hombres</t>
        </is>
      </c>
      <c r="M29" s="7729" t="inlineStr">
        <is>
          <t>Mujeres</t>
        </is>
      </c>
      <c r="N29" s="7932" t="inlineStr">
        <is>
          <t>Hombres</t>
        </is>
      </c>
      <c r="O29" s="7729" t="inlineStr">
        <is>
          <t>Mujeres</t>
        </is>
      </c>
      <c r="P29" s="7932" t="inlineStr">
        <is>
          <t>Hombres</t>
        </is>
      </c>
      <c r="Q29" s="7729" t="inlineStr">
        <is>
          <t>Mujeres</t>
        </is>
      </c>
      <c r="R29" s="7932" t="inlineStr">
        <is>
          <t>Hombres</t>
        </is>
      </c>
      <c r="S29" s="7729" t="inlineStr">
        <is>
          <t>Mujeres</t>
        </is>
      </c>
      <c r="T29" s="7932" t="inlineStr">
        <is>
          <t>Hombres</t>
        </is>
      </c>
      <c r="U29" s="7927" t="inlineStr">
        <is>
          <t>Mujeres</t>
        </is>
      </c>
      <c r="V29" s="7932" t="inlineStr">
        <is>
          <t>Hombres</t>
        </is>
      </c>
      <c r="W29" s="7729" t="inlineStr">
        <is>
          <t>Mujeres</t>
        </is>
      </c>
      <c r="X29" s="7932" t="inlineStr">
        <is>
          <t>Hombres</t>
        </is>
      </c>
      <c r="Y29" s="7729" t="inlineStr">
        <is>
          <t>Mujeres</t>
        </is>
      </c>
      <c r="Z29" s="7932" t="inlineStr">
        <is>
          <t>Hombres</t>
        </is>
      </c>
      <c r="AA29" s="7729" t="inlineStr">
        <is>
          <t>Mujeres</t>
        </is>
      </c>
      <c r="AB29" s="7932" t="inlineStr">
        <is>
          <t>Hombres</t>
        </is>
      </c>
      <c r="AC29" s="7729" t="inlineStr">
        <is>
          <t>Mujeres</t>
        </is>
      </c>
      <c r="AD29" s="7932" t="inlineStr">
        <is>
          <t>Hombres</t>
        </is>
      </c>
      <c r="AE29" s="7729" t="inlineStr">
        <is>
          <t>Mujeres</t>
        </is>
      </c>
      <c r="AF29" s="7932" t="inlineStr">
        <is>
          <t>Hombres</t>
        </is>
      </c>
      <c r="AG29" s="7729" t="inlineStr">
        <is>
          <t>Mujeres</t>
        </is>
      </c>
      <c r="AH29" s="7932" t="inlineStr">
        <is>
          <t>Hombres</t>
        </is>
      </c>
      <c r="AI29" s="7729" t="inlineStr">
        <is>
          <t>Mujeres</t>
        </is>
      </c>
      <c r="AJ29" s="7932" t="inlineStr">
        <is>
          <t>Hombres</t>
        </is>
      </c>
      <c r="AK29" s="7729" t="inlineStr">
        <is>
          <t>Mujeres</t>
        </is>
      </c>
      <c r="AL29" s="7932" t="inlineStr">
        <is>
          <t>Hombres</t>
        </is>
      </c>
      <c r="AM29" s="7729" t="inlineStr">
        <is>
          <t>Mujeres</t>
        </is>
      </c>
      <c r="AN29" s="7932" t="inlineStr">
        <is>
          <t>Hombres</t>
        </is>
      </c>
      <c r="AO29" s="7684" t="inlineStr">
        <is>
          <t>Mujeres</t>
        </is>
      </c>
      <c r="AP29" s="9604" t="n"/>
      <c r="AQ29" s="9912" t="n"/>
      <c r="AR29" s="9912" t="n"/>
      <c r="AS29" s="9912" t="n"/>
      <c r="AT29" s="9912" t="n"/>
      <c r="AU29" s="9641" t="n"/>
    </row>
    <row r="30">
      <c r="A30" s="8050" t="inlineStr">
        <is>
          <t>Consultorías de Salud Mental</t>
        </is>
      </c>
      <c r="B30" s="2373">
        <f>SUM(C30:D30)</f>
        <v/>
      </c>
      <c r="C30" s="2336" t="n"/>
      <c r="D30" s="2374" t="n"/>
      <c r="E30" s="2375">
        <f>SUM(F30+G30)</f>
        <v/>
      </c>
      <c r="F30" s="833">
        <f>SUM(H30+J30+L30+N30+P30+R30+T30+V30+X30+Z30+AB30+AD30+AF30+AH30+AJ30+AL30+AN30)</f>
        <v/>
      </c>
      <c r="G30" s="8308">
        <f>SUM(I30+K30+M30+O30+Q30+S30+U30+W30+Y30+AA30+AC30+AE30+AG30+AI30+AK30+AM30+AO30)</f>
        <v/>
      </c>
      <c r="H30" s="2266" t="n"/>
      <c r="I30" s="2336" t="n"/>
      <c r="J30" s="2266" t="n"/>
      <c r="K30" s="2337" t="n"/>
      <c r="L30" s="2266" t="n"/>
      <c r="M30" s="2337" t="n"/>
      <c r="N30" s="2266" t="n"/>
      <c r="O30" s="2337" t="n"/>
      <c r="P30" s="2266" t="n"/>
      <c r="Q30" s="2336" t="n"/>
      <c r="R30" s="2266" t="n"/>
      <c r="S30" s="2336" t="n"/>
      <c r="T30" s="2276" t="n"/>
      <c r="U30" s="2337" t="n"/>
      <c r="V30" s="2266" t="n"/>
      <c r="W30" s="2337" t="n"/>
      <c r="X30" s="2266" t="n"/>
      <c r="Y30" s="2337" t="n"/>
      <c r="Z30" s="2266" t="n"/>
      <c r="AA30" s="2336" t="n"/>
      <c r="AB30" s="2266" t="n"/>
      <c r="AC30" s="2336" t="n"/>
      <c r="AD30" s="2266" t="n"/>
      <c r="AE30" s="2337" t="n"/>
      <c r="AF30" s="2266" t="n"/>
      <c r="AG30" s="2336" t="n"/>
      <c r="AH30" s="2266" t="n"/>
      <c r="AI30" s="2336" t="n"/>
      <c r="AJ30" s="2266" t="n"/>
      <c r="AK30" s="2337" t="n"/>
      <c r="AL30" s="2266" t="n"/>
      <c r="AM30" s="2337" t="n"/>
      <c r="AN30" s="2276" t="n"/>
      <c r="AO30" s="1940" t="n"/>
      <c r="AP30" s="2376" t="n"/>
      <c r="AQ30" s="835" t="n"/>
      <c r="AR30" s="835" t="n"/>
      <c r="AS30" s="835" t="n"/>
      <c r="AT30" s="835" t="n"/>
      <c r="AU30" s="2336" t="n"/>
      <c r="AV30">
        <f>CA30&amp;CB30&amp;CC30&amp;CD30&amp;CE30&amp;CF30</f>
        <v/>
      </c>
      <c r="CA30" s="260">
        <f>IF(AND($E30&gt;0,AP30="")," *No olvide digitar la variable Pueblos originarios. Digite Cero si no tiene.",IF(AP30&gt;E30," *La variable Pueblos originarios No puede ser mayor al Total Ambos Sexos.",""))</f>
        <v/>
      </c>
      <c r="CB30" s="260">
        <f>IF(AND($E30&gt;0,AQ30="")," *No olvide digitar la variable Migrantes. Digite Cero si no tiene.",IF(AQ30&gt;$E30," *La variable Migrantes No puede ser mayor al Total Ambos Sexos.",""))</f>
        <v/>
      </c>
      <c r="CC30" s="260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/>
      </c>
      <c r="CL30" s="221">
        <f>IF(AND(E30&gt;0,AQ30=""),1,IF(AQ30&gt;E30,1,0))</f>
        <v/>
      </c>
      <c r="CM30" s="221">
        <f>IF(AND(E30&gt;0,AR30=""),1,IF(AR30&gt;E30,1,0))</f>
        <v/>
      </c>
      <c r="CN30" s="221">
        <f>IF(AND(E30&gt;0,AS30=""),1,IF(AS30&gt;E30,1,0))</f>
        <v/>
      </c>
      <c r="CO30" s="221">
        <f>IF(AND(E30&gt;0,AT30=""),1,IF(AT30&gt;E30,1,0))</f>
        <v/>
      </c>
      <c r="CP30" s="221">
        <f>IF(AND(E30&gt;0,AU30=""),1,IF(AU30&gt;E30,1,0))</f>
        <v/>
      </c>
    </row>
    <row r="31">
      <c r="A31" s="2377" t="inlineStr">
        <is>
          <t>Teleconsultorías de Salud Mental</t>
        </is>
      </c>
      <c r="B31" s="1268">
        <f>SUM(C31:D31)</f>
        <v/>
      </c>
      <c r="C31" s="1192" t="n"/>
      <c r="D31" s="1223" t="n"/>
      <c r="E31" s="1379">
        <f>SUM(F31+G31)</f>
        <v/>
      </c>
      <c r="F31" s="1358">
        <f>SUM(H31+J31+L31+N31+P31+R31+T31+V31+X31+Z31+AB31+AD31+AF31+AH31+AJ31+AL31+AN31)</f>
        <v/>
      </c>
      <c r="G31" s="7764">
        <f>SUM(I31+K31+M31+O31+Q31+S31+U31+W31+Y31+AA31+AC31+AE31+AG31+AI31+AK31+AM31+AO31)</f>
        <v/>
      </c>
      <c r="H31" s="1188" t="n"/>
      <c r="I31" s="1192" t="n"/>
      <c r="J31" s="1188" t="n"/>
      <c r="K31" s="1119" t="n"/>
      <c r="L31" s="1188" t="n"/>
      <c r="M31" s="1119" t="n"/>
      <c r="N31" s="1188" t="n"/>
      <c r="O31" s="1119" t="n"/>
      <c r="P31" s="1188" t="n"/>
      <c r="Q31" s="1192" t="n"/>
      <c r="R31" s="1188" t="n"/>
      <c r="S31" s="1192" t="n"/>
      <c r="T31" s="1195" t="n"/>
      <c r="U31" s="1119" t="n"/>
      <c r="V31" s="1188" t="n"/>
      <c r="W31" s="1119" t="n"/>
      <c r="X31" s="1188" t="n"/>
      <c r="Y31" s="1119" t="n"/>
      <c r="Z31" s="1188" t="n"/>
      <c r="AA31" s="1192" t="n"/>
      <c r="AB31" s="1188" t="n"/>
      <c r="AC31" s="1192" t="n"/>
      <c r="AD31" s="1188" t="n"/>
      <c r="AE31" s="1119" t="n"/>
      <c r="AF31" s="1188" t="n"/>
      <c r="AG31" s="1192" t="n"/>
      <c r="AH31" s="1188" t="n"/>
      <c r="AI31" s="1192" t="n"/>
      <c r="AJ31" s="1188" t="n"/>
      <c r="AK31" s="1119" t="n"/>
      <c r="AL31" s="1188" t="n"/>
      <c r="AM31" s="1119" t="n"/>
      <c r="AN31" s="1195" t="n"/>
      <c r="AO31" s="1224" t="n"/>
      <c r="AP31" s="1225" t="n"/>
      <c r="AQ31" s="1118" t="n"/>
      <c r="AR31" s="1118" t="n"/>
      <c r="AS31" s="1118" t="n"/>
      <c r="AT31" s="1118" t="n"/>
      <c r="AU31" s="1192" t="n"/>
      <c r="AV31">
        <f>CA31&amp;CB31&amp;CC31&amp;CD31&amp;CE31&amp;CF31</f>
        <v/>
      </c>
      <c r="CA31" s="260">
        <f>IF(AND($E31&gt;0,AP31="")," *No olvide digitar la variable Pueblos originarios. Digite Cero si no tiene.",IF(AP31&gt;E31," *La variable Pueblos originarios No puede ser mayor al Total Ambos Sexos.",""))</f>
        <v/>
      </c>
      <c r="CB31" s="260">
        <f>IF(AND($E31&gt;0,AQ31="")," *No olvide digitar la variable Migrantes. Digite Cero si no tiene.",IF(AQ31&gt;$E31," *La variable Migrantes No puede ser mayor al Total Ambos Sexos.",""))</f>
        <v/>
      </c>
      <c r="CC31" s="260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/>
      </c>
      <c r="CL31" s="221">
        <f>IF(AND(E31&gt;0,AQ31=""),1,IF(AQ31&gt;E31,1,0))</f>
        <v/>
      </c>
      <c r="CM31" s="221">
        <f>IF(AND(E31&gt;0,AR31=""),1,IF(AR31&gt;E31,1,0))</f>
        <v/>
      </c>
      <c r="CN31" s="221">
        <f>IF(AND(E31&gt;0,AS31=""),1,IF(AS31&gt;E31,1,0))</f>
        <v/>
      </c>
      <c r="CO31" s="221">
        <f>IF(AND(E31&gt;0,AT31=""),1,IF(AT31&gt;E31,1,0))</f>
        <v/>
      </c>
      <c r="CP31" s="221">
        <f>IF(AND(E31&gt;0,AU31=""),1,IF(AU31&gt;E31,1,0))</f>
        <v/>
      </c>
    </row>
    <row r="32" ht="15" customFormat="1" customHeight="1" s="17">
      <c r="A32" s="2378" t="inlineStr">
        <is>
          <t>TOTAL</t>
        </is>
      </c>
      <c r="B32" s="7725">
        <f>SUM(B30:B31)</f>
        <v/>
      </c>
      <c r="C32" s="2147">
        <f>SUM(C30:C31)</f>
        <v/>
      </c>
      <c r="D32" s="7725">
        <f>SUM(D30:D31)</f>
        <v/>
      </c>
      <c r="E32" s="2121">
        <f>SUM(E30:E31)</f>
        <v/>
      </c>
      <c r="F32" s="2121">
        <f>SUM(F30:F31)</f>
        <v/>
      </c>
      <c r="G32" s="2121">
        <f>SUM(G30:G31)</f>
        <v/>
      </c>
      <c r="H32" s="1988">
        <f>SUM(H30:H31)</f>
        <v/>
      </c>
      <c r="I32" s="2121">
        <f>SUM(I30:I31)</f>
        <v/>
      </c>
      <c r="J32" s="1988">
        <f>SUM(J30:J31)</f>
        <v/>
      </c>
      <c r="K32" s="2121">
        <f>SUM(K30:K31)</f>
        <v/>
      </c>
      <c r="L32" s="1988">
        <f>SUM(L30:L31)</f>
        <v/>
      </c>
      <c r="M32" s="2121">
        <f>SUM(M30:M31)</f>
        <v/>
      </c>
      <c r="N32" s="1988">
        <f>SUM(N30:N31)</f>
        <v/>
      </c>
      <c r="O32" s="2121">
        <f>SUM(O30:O31)</f>
        <v/>
      </c>
      <c r="P32" s="1988">
        <f>SUM(P30:P31)</f>
        <v/>
      </c>
      <c r="Q32" s="2121">
        <f>SUM(Q30:Q31)</f>
        <v/>
      </c>
      <c r="R32" s="1988">
        <f>SUM(R30:R31)</f>
        <v/>
      </c>
      <c r="S32" s="2121">
        <f>SUM(S30:S31)</f>
        <v/>
      </c>
      <c r="T32" s="1988">
        <f>SUM(T30:T31)</f>
        <v/>
      </c>
      <c r="U32" s="2121">
        <f>SUM(U30:U31)</f>
        <v/>
      </c>
      <c r="V32" s="1988">
        <f>SUM(V30:V31)</f>
        <v/>
      </c>
      <c r="W32" s="2121">
        <f>SUM(W30:W31)</f>
        <v/>
      </c>
      <c r="X32" s="1988">
        <f>SUM(X30:X31)</f>
        <v/>
      </c>
      <c r="Y32" s="2121">
        <f>SUM(Y30:Y31)</f>
        <v/>
      </c>
      <c r="Z32" s="1988">
        <f>SUM(Z30:Z31)</f>
        <v/>
      </c>
      <c r="AA32" s="2121">
        <f>SUM(AA30:AA31)</f>
        <v/>
      </c>
      <c r="AB32" s="1988">
        <f>SUM(AB30:AB31)</f>
        <v/>
      </c>
      <c r="AC32" s="2121">
        <f>SUM(AC30:AC31)</f>
        <v/>
      </c>
      <c r="AD32" s="1988">
        <f>SUM(AD30:AD31)</f>
        <v/>
      </c>
      <c r="AE32" s="2121">
        <f>SUM(AE30:AE31)</f>
        <v/>
      </c>
      <c r="AF32" s="1988">
        <f>SUM(AF30:AF31)</f>
        <v/>
      </c>
      <c r="AG32" s="2121">
        <f>SUM(AG30:AG31)</f>
        <v/>
      </c>
      <c r="AH32" s="1988">
        <f>SUM(AH30:AH31)</f>
        <v/>
      </c>
      <c r="AI32" s="2121">
        <f>SUM(AI30:AI31)</f>
        <v/>
      </c>
      <c r="AJ32" s="1988">
        <f>SUM(AJ30:AJ31)</f>
        <v/>
      </c>
      <c r="AK32" s="2121">
        <f>SUM(AK30:AK31)</f>
        <v/>
      </c>
      <c r="AL32" s="1988">
        <f>SUM(AL30:AL31)</f>
        <v/>
      </c>
      <c r="AM32" s="2121">
        <f>SUM(AM30:AM31)</f>
        <v/>
      </c>
      <c r="AN32" s="1988">
        <f>SUM(AN30:AN31)</f>
        <v/>
      </c>
      <c r="AO32" s="2069">
        <f>SUM(AO30:AO31)</f>
        <v/>
      </c>
      <c r="AP32" s="2047">
        <f>SUM(AP30:AP31)</f>
        <v/>
      </c>
      <c r="AQ32" s="2345">
        <f>SUM(AQ30:AQ31)</f>
        <v/>
      </c>
      <c r="AR32" s="2345">
        <f>SUM(AR30:AR31)</f>
        <v/>
      </c>
      <c r="AS32" s="2345">
        <f>SUM(AS30:AS31)</f>
        <v/>
      </c>
      <c r="AT32" s="2345">
        <f>SUM(AT30:AT31)</f>
        <v/>
      </c>
      <c r="AU32" s="2147">
        <f>SUM(AU30:AU31)</f>
        <v/>
      </c>
    </row>
    <row r="33" ht="18" customFormat="1" customHeight="1" s="5">
      <c r="A33" s="2" t="inlineStr">
        <is>
          <t>SECCIÓN A.3: CONSULTORÍAS DE SALUD MENTAL OTORGADA POR EL NIVEL DE ESPECIALIDAD</t>
        </is>
      </c>
      <c r="B33" s="2" t="n"/>
      <c r="C33" s="8744" t="n"/>
      <c r="D33" s="2" t="n"/>
      <c r="E33" s="2" t="n"/>
      <c r="F33" s="2" t="n"/>
      <c r="G33" s="2" t="n"/>
      <c r="H33" s="2" t="n"/>
      <c r="I33" s="2" t="n"/>
      <c r="J33" s="2" t="n"/>
      <c r="K33" s="2" t="n"/>
      <c r="L33" s="2" t="n"/>
      <c r="M33" s="2" t="n"/>
    </row>
    <row r="34" ht="24" customHeight="1" s="8286">
      <c r="A34" s="8400" t="inlineStr">
        <is>
          <t>ACTIVIDAD</t>
        </is>
      </c>
      <c r="B34" s="8400" t="inlineStr">
        <is>
          <t>TOTAL CONSULTORÍAS Y TELECONSULTORÍAS OTORGADAS</t>
        </is>
      </c>
      <c r="C34" s="9240" t="inlineStr">
        <is>
          <t>CONSULTORÍAS Y TELECONSULTORÍAS OTORGADAS</t>
        </is>
      </c>
      <c r="D34" s="9647" t="n"/>
      <c r="E34" s="9240" t="inlineStr">
        <is>
          <t>TOTAL Nº DE CASOS REVISADOS</t>
        </is>
      </c>
      <c r="F34" s="9584" t="n"/>
      <c r="G34" s="9647" t="n"/>
      <c r="H34" s="10057" t="inlineStr">
        <is>
          <t>Participantes</t>
        </is>
      </c>
      <c r="I34" s="9584" t="n"/>
      <c r="J34" s="9584" t="n"/>
      <c r="K34" s="9584" t="n"/>
      <c r="L34" s="9584" t="n"/>
      <c r="M34" s="9647" t="n"/>
    </row>
    <row r="35" ht="42" customHeight="1" s="8286">
      <c r="A35" s="9610" t="n"/>
      <c r="B35" s="9610" t="n"/>
      <c r="C35" s="7932" t="inlineStr">
        <is>
          <t>Consultorías y Teleconsultorías de Salud Mental Infanto Adolescente</t>
        </is>
      </c>
      <c r="D35" s="7925" t="inlineStr">
        <is>
          <t>Consultorías y Teleconsultorías de Salud Mental Adulto</t>
        </is>
      </c>
      <c r="E35" s="7932" t="inlineStr">
        <is>
          <t>Ambos Sexos</t>
        </is>
      </c>
      <c r="F35" s="2372" t="inlineStr">
        <is>
          <t>Hombres</t>
        </is>
      </c>
      <c r="G35" s="2379" t="inlineStr">
        <is>
          <t>Mujeres</t>
        </is>
      </c>
      <c r="H35" s="8033" t="inlineStr">
        <is>
          <t>Médico psiquiatra</t>
        </is>
      </c>
      <c r="I35" s="2380" t="inlineStr">
        <is>
          <t>Médico Psiquiatría más un profesional</t>
        </is>
      </c>
      <c r="J35" s="2380" t="inlineStr">
        <is>
          <t>Médico Psiquiatría más dos Profesionales</t>
        </is>
      </c>
      <c r="K35" s="2380" t="inlineStr">
        <is>
          <t>Médico Psiquiatría con más de dos Profesionales</t>
        </is>
      </c>
      <c r="L35" s="2380" t="inlineStr">
        <is>
          <t>Dos profesionales</t>
        </is>
      </c>
      <c r="M35" s="8011" t="inlineStr">
        <is>
          <t>Más de dos profesionales</t>
        </is>
      </c>
    </row>
    <row r="36" ht="15" customHeight="1" s="8286">
      <c r="A36" s="8050" t="inlineStr">
        <is>
          <t>Consultorías de Salud Mental</t>
        </is>
      </c>
      <c r="B36" s="2373">
        <f>SUM(C36:D36)</f>
        <v/>
      </c>
      <c r="C36" s="2266" t="n"/>
      <c r="D36" s="2336" t="n"/>
      <c r="E36" s="2382">
        <f>SUM(F36:G36)</f>
        <v/>
      </c>
      <c r="F36" s="2267" t="n"/>
      <c r="G36" s="2336" t="n"/>
      <c r="H36" s="2266" t="n"/>
      <c r="I36" s="835" t="n"/>
      <c r="J36" s="835" t="n"/>
      <c r="K36" s="835" t="n"/>
      <c r="L36" s="835" t="n"/>
      <c r="M36" s="2337" t="n"/>
    </row>
    <row r="37" ht="15" customHeight="1" s="8286">
      <c r="A37" s="7710" t="inlineStr">
        <is>
          <t>Teleconsultorías de Salud Mental</t>
        </is>
      </c>
      <c r="B37" s="1974">
        <f>SUM(C37:D37)</f>
        <v/>
      </c>
      <c r="C37" s="872" t="n"/>
      <c r="D37" s="2368" t="n"/>
      <c r="E37" s="869">
        <f>SUM(F37:G37)</f>
        <v/>
      </c>
      <c r="F37" s="1434" t="n"/>
      <c r="G37" s="2368" t="n"/>
      <c r="H37" s="872" t="n"/>
      <c r="I37" s="155" t="n"/>
      <c r="J37" s="155" t="n"/>
      <c r="K37" s="155" t="n"/>
      <c r="L37" s="155" t="n"/>
      <c r="M37" s="183" t="n"/>
    </row>
    <row r="38" ht="15" customHeight="1" s="8286">
      <c r="A38" s="2378" t="inlineStr">
        <is>
          <t>TOTAL</t>
        </is>
      </c>
      <c r="B38" s="7725">
        <f>SUM(B36:B37)</f>
        <v/>
      </c>
      <c r="C38" s="2383">
        <f>SUM(C36:C37)</f>
        <v/>
      </c>
      <c r="D38" s="2384">
        <f>SUM(D36:D37)</f>
        <v/>
      </c>
      <c r="E38" s="2383">
        <f>SUM(E36:E37)</f>
        <v/>
      </c>
      <c r="F38" s="2385">
        <f>SUM(F36:F37)</f>
        <v/>
      </c>
      <c r="G38" s="2385">
        <f>SUM(G36:G37)</f>
        <v/>
      </c>
      <c r="H38" s="2383">
        <f>SUM(H36:H37)</f>
        <v/>
      </c>
      <c r="I38" s="2386">
        <f>SUM(I36:I37)</f>
        <v/>
      </c>
      <c r="J38" s="2386">
        <f>SUM(J36:J37)</f>
        <v/>
      </c>
      <c r="K38" s="2386">
        <f>SUM(K36:K37)</f>
        <v/>
      </c>
      <c r="L38" s="2386">
        <f>SUM(L36:L37)</f>
        <v/>
      </c>
      <c r="M38" s="2387">
        <f>SUM(M36:M37)</f>
        <v/>
      </c>
    </row>
    <row r="39" ht="18" customFormat="1" customHeight="1" s="5">
      <c r="A39" s="8616" t="inlineStr">
        <is>
          <t>SECCIÓN B.1: ACTIVIDADES GRUPALES (NÚMERO DE SESIONES)</t>
        </is>
      </c>
      <c r="B39" s="1" t="n"/>
      <c r="C39" s="1" t="n"/>
    </row>
    <row r="40">
      <c r="A40" s="7921" t="inlineStr">
        <is>
          <t>ACTIVIDAD</t>
        </is>
      </c>
      <c r="B40" s="7680" t="inlineStr">
        <is>
          <t>PROFESIONAL</t>
        </is>
      </c>
      <c r="C40" s="7680" t="inlineStr">
        <is>
          <t xml:space="preserve">TOTAL               </t>
        </is>
      </c>
    </row>
    <row r="41">
      <c r="A41" s="9933" t="inlineStr">
        <is>
          <t>Psicoterapia Grupal</t>
        </is>
      </c>
      <c r="B41" s="2357" t="inlineStr">
        <is>
          <t>Médico/a Psiquiatra</t>
        </is>
      </c>
      <c r="C41" s="2388" t="n"/>
    </row>
    <row r="42">
      <c r="A42" s="9610" t="n"/>
      <c r="B42" s="7830" t="inlineStr">
        <is>
          <t>Psicólogo/a</t>
        </is>
      </c>
      <c r="C42" s="1220" t="n"/>
    </row>
    <row r="43">
      <c r="A43" s="9933" t="inlineStr">
        <is>
          <t>Psicoterapia Familiar</t>
        </is>
      </c>
      <c r="B43" s="2357" t="inlineStr">
        <is>
          <t>Médico/a Psiquiatra</t>
        </is>
      </c>
      <c r="C43" s="2388" t="n"/>
    </row>
    <row r="44">
      <c r="A44" s="9610" t="n"/>
      <c r="B44" s="8051" t="inlineStr">
        <is>
          <t>Psicólogo/a</t>
        </is>
      </c>
      <c r="C44" s="1223" t="n"/>
    </row>
    <row r="45" ht="18" customFormat="1" customHeight="1" s="5">
      <c r="A45" s="2" t="inlineStr">
        <is>
          <t>SECCIÓN B.2:  PROGRAMA DE REHABILITACIÓN (PERSONAS CON TRASTORNOS PSIQUIÁTRICOS)</t>
        </is>
      </c>
      <c r="B45" s="2389" t="n"/>
      <c r="C45" s="2389" t="n"/>
      <c r="D45" s="2390" t="n"/>
      <c r="E45" s="2390" t="n"/>
      <c r="F45" s="2390" t="n"/>
      <c r="G45" s="2390" t="n"/>
      <c r="H45" s="2390" t="n"/>
      <c r="I45" s="2390" t="n"/>
      <c r="J45" s="2390" t="n"/>
      <c r="K45" s="2390" t="n"/>
      <c r="L45" s="2391" t="n"/>
      <c r="M45" s="2392" t="n"/>
      <c r="N45" s="2393" t="n"/>
      <c r="O45" s="2394" t="n"/>
      <c r="P45" s="2394" t="n"/>
      <c r="Q45" s="2394" t="n"/>
      <c r="R45" s="2394" t="n"/>
      <c r="S45" s="2394" t="n"/>
      <c r="T45" s="2394" t="n"/>
      <c r="U45" s="2394" t="n"/>
      <c r="V45" s="2395" t="n"/>
      <c r="W45" s="2394" t="n"/>
      <c r="X45" s="2394" t="n"/>
      <c r="Y45" s="2394" t="n"/>
      <c r="Z45" s="2394" t="n"/>
      <c r="AA45" s="2394" t="n"/>
      <c r="AB45" s="2394" t="n"/>
      <c r="AC45" s="2394" t="n"/>
      <c r="AD45" s="2394" t="n"/>
      <c r="AE45" s="2394" t="n"/>
      <c r="AF45" s="2394" t="n"/>
      <c r="AG45" s="2394" t="n"/>
      <c r="AH45" s="2394" t="n"/>
      <c r="AI45" s="2394" t="n"/>
      <c r="AJ45" s="2394" t="n"/>
      <c r="AK45" s="2394" t="n"/>
      <c r="AL45" s="2394" t="n"/>
      <c r="AM45" s="2394" t="n"/>
      <c r="AN45" s="14" t="n"/>
      <c r="AO45" s="15" t="n"/>
      <c r="AP45" s="15" t="n"/>
    </row>
    <row r="46" ht="15" customHeight="1" s="8286">
      <c r="A46" s="10058" t="inlineStr">
        <is>
          <t>TIPO</t>
        </is>
      </c>
      <c r="B46" s="10059" t="n"/>
      <c r="C46" s="10060" t="inlineStr">
        <is>
          <t xml:space="preserve">TOTAL               </t>
        </is>
      </c>
      <c r="D46" s="10061" t="n"/>
      <c r="E46" s="10059" t="n"/>
      <c r="F46" s="9976" t="inlineStr">
        <is>
          <t>RANGO ETARIO Y SEXO</t>
        </is>
      </c>
      <c r="G46" s="9584" t="n"/>
      <c r="H46" s="9584" t="n"/>
      <c r="I46" s="9584" t="n"/>
      <c r="J46" s="9584" t="n"/>
      <c r="K46" s="9584" t="n"/>
      <c r="L46" s="9584" t="n"/>
      <c r="M46" s="9584" t="n"/>
      <c r="N46" s="9584" t="n"/>
      <c r="O46" s="9584" t="n"/>
      <c r="P46" s="9584" t="n"/>
      <c r="Q46" s="9584" t="n"/>
      <c r="R46" s="9584" t="n"/>
      <c r="S46" s="9584" t="n"/>
      <c r="T46" s="9584" t="n"/>
      <c r="U46" s="9584" t="n"/>
      <c r="V46" s="9584" t="n"/>
      <c r="W46" s="9584" t="n"/>
      <c r="X46" s="9584" t="n"/>
      <c r="Y46" s="9584" t="n"/>
      <c r="Z46" s="9584" t="n"/>
      <c r="AA46" s="9584" t="n"/>
      <c r="AB46" s="9584" t="n"/>
      <c r="AC46" s="9584" t="n"/>
      <c r="AD46" s="9584" t="n"/>
      <c r="AE46" s="9584" t="n"/>
      <c r="AF46" s="9584" t="n"/>
      <c r="AG46" s="9584" t="n"/>
      <c r="AH46" s="9584" t="n"/>
      <c r="AI46" s="9584" t="n"/>
      <c r="AJ46" s="9584" t="n"/>
      <c r="AK46" s="9595" t="n"/>
      <c r="AL46" s="9980" t="inlineStr">
        <is>
          <t>Beneficiarios</t>
        </is>
      </c>
      <c r="AM46" s="9981" t="inlineStr">
        <is>
          <t>Pueblos Originarios</t>
        </is>
      </c>
      <c r="AN46" s="9920" t="inlineStr">
        <is>
          <t>Migrantes</t>
        </is>
      </c>
    </row>
    <row r="47">
      <c r="A47" s="10062" t="n"/>
      <c r="B47" s="10063" t="n"/>
      <c r="C47" s="10064" t="n"/>
      <c r="D47" s="10065" t="n"/>
      <c r="E47" s="10066" t="n"/>
      <c r="F47" s="9240" t="inlineStr">
        <is>
          <t>5 - 9 años</t>
        </is>
      </c>
      <c r="G47" s="9647" t="n"/>
      <c r="H47" s="9240" t="inlineStr">
        <is>
          <t>10 - 14 años</t>
        </is>
      </c>
      <c r="I47" s="9647" t="n"/>
      <c r="J47" s="9240" t="inlineStr">
        <is>
          <t>15 - 19 años</t>
        </is>
      </c>
      <c r="K47" s="9647" t="n"/>
      <c r="L47" s="9240" t="inlineStr">
        <is>
          <t>20 - 24 años</t>
        </is>
      </c>
      <c r="M47" s="9647" t="n"/>
      <c r="N47" s="4505" t="inlineStr">
        <is>
          <t>25 - 29 años</t>
        </is>
      </c>
      <c r="O47" s="9647" t="n"/>
      <c r="P47" s="4505" t="inlineStr">
        <is>
          <t>30 - 34 años</t>
        </is>
      </c>
      <c r="Q47" s="9647" t="n"/>
      <c r="R47" s="4505" t="inlineStr">
        <is>
          <t>35 - 39 años</t>
        </is>
      </c>
      <c r="S47" s="9647" t="n"/>
      <c r="T47" s="4505" t="inlineStr">
        <is>
          <t>40 - 44 años</t>
        </is>
      </c>
      <c r="U47" s="9647" t="n"/>
      <c r="V47" s="4505" t="inlineStr">
        <is>
          <t>45 - 49 años</t>
        </is>
      </c>
      <c r="W47" s="9647" t="n"/>
      <c r="X47" s="4505" t="inlineStr">
        <is>
          <t>50 - 54 años</t>
        </is>
      </c>
      <c r="Y47" s="9647" t="n"/>
      <c r="Z47" s="4505" t="inlineStr">
        <is>
          <t>55 - 59 años</t>
        </is>
      </c>
      <c r="AA47" s="9647" t="n"/>
      <c r="AB47" s="4505" t="inlineStr">
        <is>
          <t>60 - 64 años</t>
        </is>
      </c>
      <c r="AC47" s="9647" t="n"/>
      <c r="AD47" s="4505" t="inlineStr">
        <is>
          <t>65 - 69 años</t>
        </is>
      </c>
      <c r="AE47" s="9647" t="n"/>
      <c r="AF47" s="4505" t="inlineStr">
        <is>
          <t>70 - 74 años</t>
        </is>
      </c>
      <c r="AG47" s="9647" t="n"/>
      <c r="AH47" s="4505" t="inlineStr">
        <is>
          <t>75 - 79 años</t>
        </is>
      </c>
      <c r="AI47" s="9647" t="n"/>
      <c r="AJ47" s="9915" t="inlineStr">
        <is>
          <t>80 y más años</t>
        </is>
      </c>
      <c r="AK47" s="9595" t="n"/>
      <c r="AL47" s="9683" t="n"/>
      <c r="AM47" s="10017" t="n"/>
      <c r="AN47" s="9625" t="n"/>
    </row>
    <row r="48">
      <c r="A48" s="10064" t="n"/>
      <c r="B48" s="10066" t="n"/>
      <c r="C48" s="2240" t="inlineStr">
        <is>
          <t>Ambos Sexos</t>
        </is>
      </c>
      <c r="D48" s="2397" t="inlineStr">
        <is>
          <t>Hombres</t>
        </is>
      </c>
      <c r="E48" s="7959" t="inlineStr">
        <is>
          <t>Mujeres</t>
        </is>
      </c>
      <c r="F48" s="7932" t="inlineStr">
        <is>
          <t>Hombres</t>
        </is>
      </c>
      <c r="G48" s="7729" t="inlineStr">
        <is>
          <t>Mujeres</t>
        </is>
      </c>
      <c r="H48" s="7932" t="inlineStr">
        <is>
          <t>Hombres</t>
        </is>
      </c>
      <c r="I48" s="7729" t="inlineStr">
        <is>
          <t>Mujeres</t>
        </is>
      </c>
      <c r="J48" s="7932" t="inlineStr">
        <is>
          <t>Hombres</t>
        </is>
      </c>
      <c r="K48" s="7729" t="inlineStr">
        <is>
          <t>Mujeres</t>
        </is>
      </c>
      <c r="L48" s="7932" t="inlineStr">
        <is>
          <t>Hombres</t>
        </is>
      </c>
      <c r="M48" s="7729" t="inlineStr">
        <is>
          <t>Mujeres</t>
        </is>
      </c>
      <c r="N48" s="7932" t="inlineStr">
        <is>
          <t>Hombres</t>
        </is>
      </c>
      <c r="O48" s="7729" t="inlineStr">
        <is>
          <t>Mujeres</t>
        </is>
      </c>
      <c r="P48" s="7932" t="inlineStr">
        <is>
          <t>Hombres</t>
        </is>
      </c>
      <c r="Q48" s="7729" t="inlineStr">
        <is>
          <t>Mujeres</t>
        </is>
      </c>
      <c r="R48" s="7932" t="inlineStr">
        <is>
          <t>Hombres</t>
        </is>
      </c>
      <c r="S48" s="7729" t="inlineStr">
        <is>
          <t>Mujeres</t>
        </is>
      </c>
      <c r="T48" s="7932" t="inlineStr">
        <is>
          <t>Hombres</t>
        </is>
      </c>
      <c r="U48" s="7729" t="inlineStr">
        <is>
          <t>Mujeres</t>
        </is>
      </c>
      <c r="V48" s="7932" t="inlineStr">
        <is>
          <t>Hombres</t>
        </is>
      </c>
      <c r="W48" s="7729" t="inlineStr">
        <is>
          <t>Mujeres</t>
        </is>
      </c>
      <c r="X48" s="7932" t="inlineStr">
        <is>
          <t>Hombres</t>
        </is>
      </c>
      <c r="Y48" s="7729" t="inlineStr">
        <is>
          <t>Mujeres</t>
        </is>
      </c>
      <c r="Z48" s="7932" t="inlineStr">
        <is>
          <t>Hombres</t>
        </is>
      </c>
      <c r="AA48" s="7729" t="inlineStr">
        <is>
          <t>Mujeres</t>
        </is>
      </c>
      <c r="AB48" s="7932" t="inlineStr">
        <is>
          <t>Hombres</t>
        </is>
      </c>
      <c r="AC48" s="7729" t="inlineStr">
        <is>
          <t>Mujeres</t>
        </is>
      </c>
      <c r="AD48" s="7932" t="inlineStr">
        <is>
          <t>Hombres</t>
        </is>
      </c>
      <c r="AE48" s="7729" t="inlineStr">
        <is>
          <t>Mujeres</t>
        </is>
      </c>
      <c r="AF48" s="7932" t="inlineStr">
        <is>
          <t>Hombres</t>
        </is>
      </c>
      <c r="AG48" s="7729" t="inlineStr">
        <is>
          <t>Mujeres</t>
        </is>
      </c>
      <c r="AH48" s="7932" t="inlineStr">
        <is>
          <t>Hombres</t>
        </is>
      </c>
      <c r="AI48" s="7729" t="inlineStr">
        <is>
          <t>Mujeres</t>
        </is>
      </c>
      <c r="AJ48" s="2011" t="inlineStr">
        <is>
          <t>Hombres</t>
        </is>
      </c>
      <c r="AK48" s="7684" t="inlineStr">
        <is>
          <t>Mujeres</t>
        </is>
      </c>
      <c r="AL48" s="9604" t="n"/>
      <c r="AM48" s="9912" t="n"/>
      <c r="AN48" s="9641" t="n"/>
    </row>
    <row r="49">
      <c r="A49" s="2398" t="inlineStr">
        <is>
          <t>Programa de Rehabilitación Tipo I</t>
        </is>
      </c>
      <c r="B49" s="2398" t="inlineStr">
        <is>
          <t>Días Persona</t>
        </is>
      </c>
      <c r="C49" s="2282">
        <f>SUM(D49+E49)</f>
        <v/>
      </c>
      <c r="D49" s="834">
        <f>SUM(F49+H49+J49+L49+N49+P49+R49+T49+V49+X49+Z49+AB49+AD49+AF49+AH49+AJ49)</f>
        <v/>
      </c>
      <c r="E49" s="2152">
        <f>SUM(G49+I49+K49+M49+O49+Q49+S49+U49+W49+Y49+AA49+AC49+AE49+AG49+AI49+AK49)</f>
        <v/>
      </c>
      <c r="F49" s="2266" t="n"/>
      <c r="G49" s="2267" t="n"/>
      <c r="H49" s="2266" t="n"/>
      <c r="I49" s="2267" t="n"/>
      <c r="J49" s="2266" t="n"/>
      <c r="K49" s="2337" t="n"/>
      <c r="L49" s="2266" t="n"/>
      <c r="M49" s="2337" t="n"/>
      <c r="N49" s="2276" t="n"/>
      <c r="O49" s="2337" t="n"/>
      <c r="P49" s="2276" t="n"/>
      <c r="Q49" s="2337" t="n"/>
      <c r="R49" s="2276" t="n"/>
      <c r="S49" s="2337" t="n"/>
      <c r="T49" s="2276" t="n"/>
      <c r="U49" s="2337" t="n"/>
      <c r="V49" s="2276" t="n"/>
      <c r="W49" s="2337" t="n"/>
      <c r="X49" s="2276" t="n"/>
      <c r="Y49" s="2337" t="n"/>
      <c r="Z49" s="2276" t="n"/>
      <c r="AA49" s="2337" t="n"/>
      <c r="AB49" s="2276" t="n"/>
      <c r="AC49" s="2337" t="n"/>
      <c r="AD49" s="2276" t="n"/>
      <c r="AE49" s="2337" t="n"/>
      <c r="AF49" s="2276" t="n"/>
      <c r="AG49" s="2337" t="n"/>
      <c r="AH49" s="2276" t="n"/>
      <c r="AI49" s="2337" t="n"/>
      <c r="AJ49" s="2399" t="n"/>
      <c r="AK49" s="1940" t="n"/>
      <c r="AL49" s="2400" t="n"/>
      <c r="AM49" s="836" t="n"/>
      <c r="AN49" s="2401" t="n"/>
      <c r="AO49">
        <f>CA49&amp;CB49&amp;CC49&amp;CD49</f>
        <v/>
      </c>
      <c r="CA49" s="260">
        <f>IF(AND($C49&gt;0,AL49="")," * No olvide digitar la variable Beneficiarios. Digite Cero si no tiene.",IF(AL49&gt;$C49,"  * La variable Beneficiarios No puede ser mayor al Total Ambos Sexos.",""))</f>
        <v/>
      </c>
      <c r="CB49" s="260">
        <f>IF(AND($C49&gt;0,AM49=""),"  * No olvide digitar la variable Pueblos originarios. Digite Cero si no tiene.",IF(AM49&gt;$C49,"  * La variable Pueblos originarios No puede ser mayor al Total Ambos Sexos.",""))</f>
        <v/>
      </c>
      <c r="CC49" s="260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/>
      </c>
      <c r="CL49" s="221">
        <f>IF(AND(C49&gt;0,AM49=""),1,IF(AM49&gt;C49,1,0))</f>
        <v/>
      </c>
      <c r="CM49" s="221">
        <f>IF(AND(C49&gt;0,AN49=""),1,IF(AN49&gt;C49,1,0))</f>
        <v/>
      </c>
    </row>
    <row r="50">
      <c r="A50" s="7846" t="inlineStr">
        <is>
          <t>Programa de Rehabilitación Tipo II</t>
        </is>
      </c>
      <c r="B50" s="7846" t="inlineStr">
        <is>
          <t>Días Persona</t>
        </is>
      </c>
      <c r="C50" s="867">
        <f>SUM(D50+E50)</f>
        <v/>
      </c>
      <c r="D50" s="186">
        <f>SUM(F50+H50+J50+L50+N50+P50+R50+T50+V50+X50+Z50+AB50+AD50+AF50+AH50+AJ50)</f>
        <v/>
      </c>
      <c r="E50" s="2402">
        <f>SUM(G50+I50+K50+M50+O50+Q50+S50+U50+W50+Y50+AA50+AC50+AE50+AG50+AI50+AK50)</f>
        <v/>
      </c>
      <c r="F50" s="872" t="n"/>
      <c r="G50" s="1434" t="n"/>
      <c r="H50" s="872" t="n"/>
      <c r="I50" s="1434" t="n"/>
      <c r="J50" s="872" t="n"/>
      <c r="K50" s="183" t="n"/>
      <c r="L50" s="872" t="n"/>
      <c r="M50" s="183" t="n"/>
      <c r="N50" s="2369" t="n"/>
      <c r="O50" s="183" t="n"/>
      <c r="P50" s="2369" t="n"/>
      <c r="Q50" s="183" t="n"/>
      <c r="R50" s="2369" t="n"/>
      <c r="S50" s="183" t="n"/>
      <c r="T50" s="2369" t="n"/>
      <c r="U50" s="183" t="n"/>
      <c r="V50" s="2369" t="n"/>
      <c r="W50" s="183" t="n"/>
      <c r="X50" s="2369" t="n"/>
      <c r="Y50" s="183" t="n"/>
      <c r="Z50" s="2369" t="n"/>
      <c r="AA50" s="183" t="n"/>
      <c r="AB50" s="2369" t="n"/>
      <c r="AC50" s="183" t="n"/>
      <c r="AD50" s="2369" t="n"/>
      <c r="AE50" s="183" t="n"/>
      <c r="AF50" s="2369" t="n"/>
      <c r="AG50" s="183" t="n"/>
      <c r="AH50" s="2369" t="n"/>
      <c r="AI50" s="183" t="n"/>
      <c r="AJ50" s="2403" t="n"/>
      <c r="AK50" s="176" t="n"/>
      <c r="AL50" s="187" t="n"/>
      <c r="AM50" s="188" t="n"/>
      <c r="AN50" s="2404" t="n"/>
      <c r="AO50">
        <f>CA50&amp;CB50&amp;CC50&amp;CD50</f>
        <v/>
      </c>
      <c r="CA50" s="260">
        <f>IF(AND($C50&gt;0,AL50="")," * No olvide digitar la variable Beneficiarios. Digite Cero si no tiene.",IF(AL50&gt;$C50,"  * La variable Beneficiarios No puede ser mayor al Total Ambos Sexos.",""))</f>
        <v/>
      </c>
      <c r="CB50" s="260">
        <f>IF(AND($C50&gt;0,AM50=""),"  * No olvide digitar la variable Pueblos originarios. Digite Cero si no tiene.",IF(AM50&gt;$C50,"  * La variable Pueblos originarios No puede ser mayor al Total Ambos Sexos.",""))</f>
        <v/>
      </c>
      <c r="CC50" s="260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/>
      </c>
      <c r="CL50" s="221">
        <f>IF(AND(C50&gt;0,AM50=""),1,IF(AM50&gt;C50,1,0))</f>
        <v/>
      </c>
      <c r="CM50" s="221">
        <f>IF(AND(C50&gt;0,AN50=""),1,IF(AN50&gt;C50,1,0))</f>
        <v/>
      </c>
    </row>
    <row r="51" ht="18" customFormat="1" customHeight="1" s="5">
      <c r="A51" s="10067" t="inlineStr">
        <is>
          <t>SECCIÓN B.3: ACTIVIDADES DE PSIQUIATRÍA FORENSE PARA PERSONAS EN CONFLICTO CON LA JUSTICIA (En lo Penal, Civil, Familiar, etc.)</t>
        </is>
      </c>
      <c r="B51" s="9678" t="n"/>
      <c r="C51" s="9678" t="n"/>
      <c r="D51" s="9678" t="n"/>
      <c r="E51" s="9678" t="n"/>
      <c r="F51" s="9678" t="n"/>
      <c r="G51" s="9678" t="n"/>
      <c r="H51" s="9678" t="n"/>
      <c r="I51" s="9678" t="n"/>
      <c r="J51" s="9678" t="n"/>
      <c r="K51" s="9678" t="n"/>
      <c r="L51" s="9678" t="n"/>
      <c r="M51" s="9678" t="n"/>
      <c r="N51" s="31" t="n"/>
      <c r="O51" s="32" t="n"/>
      <c r="P51" s="32" t="n"/>
      <c r="Q51" s="32" t="n"/>
      <c r="R51" s="32" t="n"/>
      <c r="S51" s="32" t="n"/>
      <c r="T51" s="32" t="n"/>
      <c r="U51" s="32" t="n"/>
      <c r="V51" s="33" t="n"/>
      <c r="W51" s="32" t="n"/>
      <c r="X51" s="32" t="n"/>
      <c r="Y51" s="32" t="n"/>
      <c r="Z51" s="32" t="n"/>
      <c r="AA51" s="32" t="n"/>
      <c r="AB51" s="32" t="n"/>
      <c r="AC51" s="32" t="n"/>
      <c r="AD51" s="32" t="n"/>
      <c r="AE51" s="32" t="n"/>
      <c r="AF51" s="32" t="n"/>
      <c r="AG51" s="32" t="n"/>
      <c r="AH51" s="32" t="n"/>
      <c r="AI51" s="32" t="n"/>
      <c r="AJ51" s="32" t="n"/>
      <c r="AK51" s="32" t="n"/>
      <c r="AL51" s="32" t="n"/>
      <c r="AM51" s="32" t="n"/>
      <c r="AN51" s="32" t="n"/>
      <c r="AO51" s="34" t="n"/>
    </row>
    <row r="52" ht="15" customHeight="1" s="8286">
      <c r="A52" s="10058" t="inlineStr">
        <is>
          <t>ACTIVIDAD</t>
        </is>
      </c>
      <c r="B52" s="10059" t="n"/>
      <c r="C52" s="10068" t="inlineStr">
        <is>
          <t xml:space="preserve">TOTAL               </t>
        </is>
      </c>
      <c r="D52" s="10061" t="n"/>
      <c r="E52" s="10059" t="n"/>
      <c r="F52" s="10069" t="inlineStr">
        <is>
          <t>RANGO ETARIO Y SEXO</t>
        </is>
      </c>
      <c r="G52" s="9678" t="n"/>
      <c r="H52" s="9678" t="n"/>
      <c r="I52" s="9678" t="n"/>
      <c r="J52" s="9678" t="n"/>
      <c r="K52" s="9678" t="n"/>
      <c r="L52" s="9678" t="n"/>
      <c r="M52" s="9678" t="n"/>
      <c r="N52" s="9678" t="n"/>
      <c r="O52" s="9678" t="n"/>
      <c r="P52" s="9678" t="n"/>
      <c r="Q52" s="9678" t="n"/>
      <c r="R52" s="9678" t="n"/>
      <c r="S52" s="9678" t="n"/>
      <c r="T52" s="9678" t="n"/>
      <c r="U52" s="9678" t="n"/>
      <c r="V52" s="9678" t="n"/>
      <c r="W52" s="9678" t="n"/>
      <c r="X52" s="9678" t="n"/>
      <c r="Y52" s="9678" t="n"/>
      <c r="Z52" s="9678" t="n"/>
      <c r="AA52" s="9678" t="n"/>
      <c r="AB52" s="9678" t="n"/>
      <c r="AC52" s="9678" t="n"/>
      <c r="AD52" s="9678" t="n"/>
      <c r="AE52" s="9678" t="n"/>
      <c r="AF52" s="9678" t="n"/>
      <c r="AG52" s="9678" t="n"/>
      <c r="AH52" s="9678" t="n"/>
      <c r="AI52" s="9678" t="n"/>
      <c r="AJ52" s="9678" t="n"/>
      <c r="AK52" s="9999" t="n"/>
      <c r="AL52" s="9980" t="inlineStr">
        <is>
          <t>Pueblos Originarios</t>
        </is>
      </c>
      <c r="AM52" s="9920" t="inlineStr">
        <is>
          <t>Migrantes</t>
        </is>
      </c>
    </row>
    <row r="53">
      <c r="A53" s="10062" t="n"/>
      <c r="B53" s="10063" t="n"/>
      <c r="C53" s="10065" t="n"/>
      <c r="D53" s="10065" t="n"/>
      <c r="E53" s="10066" t="n"/>
      <c r="F53" s="9240" t="inlineStr">
        <is>
          <t>5 - 9 años</t>
        </is>
      </c>
      <c r="G53" s="9647" t="n"/>
      <c r="H53" s="9240" t="inlineStr">
        <is>
          <t>10 - 14 años</t>
        </is>
      </c>
      <c r="I53" s="9647" t="n"/>
      <c r="J53" s="9240" t="inlineStr">
        <is>
          <t>15 - 19 años</t>
        </is>
      </c>
      <c r="K53" s="9647" t="n"/>
      <c r="L53" s="9240" t="inlineStr">
        <is>
          <t>20 - 24 años</t>
        </is>
      </c>
      <c r="M53" s="9647" t="n"/>
      <c r="N53" s="4505" t="inlineStr">
        <is>
          <t>25 - 29 años</t>
        </is>
      </c>
      <c r="O53" s="9647" t="n"/>
      <c r="P53" s="4505" t="inlineStr">
        <is>
          <t>30 - 34 años</t>
        </is>
      </c>
      <c r="Q53" s="9647" t="n"/>
      <c r="R53" s="4505" t="inlineStr">
        <is>
          <t>35 - 39 años</t>
        </is>
      </c>
      <c r="S53" s="9647" t="n"/>
      <c r="T53" s="4505" t="inlineStr">
        <is>
          <t>40 - 44 años</t>
        </is>
      </c>
      <c r="U53" s="9647" t="n"/>
      <c r="V53" s="4505" t="inlineStr">
        <is>
          <t>45 - 49 años</t>
        </is>
      </c>
      <c r="W53" s="9647" t="n"/>
      <c r="X53" s="4505" t="inlineStr">
        <is>
          <t>50 - 54 años</t>
        </is>
      </c>
      <c r="Y53" s="9647" t="n"/>
      <c r="Z53" s="4505" t="inlineStr">
        <is>
          <t>55 - 59 años</t>
        </is>
      </c>
      <c r="AA53" s="9647" t="n"/>
      <c r="AB53" s="4505" t="inlineStr">
        <is>
          <t>60 - 64 años</t>
        </is>
      </c>
      <c r="AC53" s="9647" t="n"/>
      <c r="AD53" s="4505" t="inlineStr">
        <is>
          <t>65 - 69 años</t>
        </is>
      </c>
      <c r="AE53" s="9647" t="n"/>
      <c r="AF53" s="4505" t="inlineStr">
        <is>
          <t>70 - 74 años</t>
        </is>
      </c>
      <c r="AG53" s="9647" t="n"/>
      <c r="AH53" s="4505" t="inlineStr">
        <is>
          <t>75 - 79 años</t>
        </is>
      </c>
      <c r="AI53" s="9647" t="n"/>
      <c r="AJ53" s="9915" t="inlineStr">
        <is>
          <t>80 y más años</t>
        </is>
      </c>
      <c r="AK53" s="9595" t="n"/>
      <c r="AL53" s="9683" t="n"/>
      <c r="AM53" s="9625" t="n"/>
    </row>
    <row r="54">
      <c r="A54" s="10064" t="n"/>
      <c r="B54" s="10066" t="n"/>
      <c r="C54" s="2242" t="inlineStr">
        <is>
          <t>Ambos Sexos</t>
        </is>
      </c>
      <c r="D54" s="2407" t="inlineStr">
        <is>
          <t>Hombres</t>
        </is>
      </c>
      <c r="E54" s="2408" t="inlineStr">
        <is>
          <t>Mujeres</t>
        </is>
      </c>
      <c r="F54" s="7691" t="inlineStr">
        <is>
          <t>Hombres</t>
        </is>
      </c>
      <c r="G54" s="7694" t="inlineStr">
        <is>
          <t>Mujeres</t>
        </is>
      </c>
      <c r="H54" s="7691" t="inlineStr">
        <is>
          <t>Hombres</t>
        </is>
      </c>
      <c r="I54" s="7694" t="inlineStr">
        <is>
          <t>Mujeres</t>
        </is>
      </c>
      <c r="J54" s="7691" t="inlineStr">
        <is>
          <t>Hombres</t>
        </is>
      </c>
      <c r="K54" s="7694" t="inlineStr">
        <is>
          <t>Mujeres</t>
        </is>
      </c>
      <c r="L54" s="7691" t="inlineStr">
        <is>
          <t>Hombres</t>
        </is>
      </c>
      <c r="M54" s="7694" t="inlineStr">
        <is>
          <t>Mujeres</t>
        </is>
      </c>
      <c r="N54" s="7691" t="inlineStr">
        <is>
          <t>Hombres</t>
        </is>
      </c>
      <c r="O54" s="7694" t="inlineStr">
        <is>
          <t>Mujeres</t>
        </is>
      </c>
      <c r="P54" s="7691" t="inlineStr">
        <is>
          <t>Hombres</t>
        </is>
      </c>
      <c r="Q54" s="7694" t="inlineStr">
        <is>
          <t>Mujeres</t>
        </is>
      </c>
      <c r="R54" s="7691" t="inlineStr">
        <is>
          <t>Hombres</t>
        </is>
      </c>
      <c r="S54" s="7694" t="inlineStr">
        <is>
          <t>Mujeres</t>
        </is>
      </c>
      <c r="T54" s="7691" t="inlineStr">
        <is>
          <t>Hombres</t>
        </is>
      </c>
      <c r="U54" s="7694" t="inlineStr">
        <is>
          <t>Mujeres</t>
        </is>
      </c>
      <c r="V54" s="7691" t="inlineStr">
        <is>
          <t>Hombres</t>
        </is>
      </c>
      <c r="W54" s="7694" t="inlineStr">
        <is>
          <t>Mujeres</t>
        </is>
      </c>
      <c r="X54" s="7691" t="inlineStr">
        <is>
          <t>Hombres</t>
        </is>
      </c>
      <c r="Y54" s="7694" t="inlineStr">
        <is>
          <t>Mujeres</t>
        </is>
      </c>
      <c r="Z54" s="7691" t="inlineStr">
        <is>
          <t>Hombres</t>
        </is>
      </c>
      <c r="AA54" s="7694" t="inlineStr">
        <is>
          <t>Mujeres</t>
        </is>
      </c>
      <c r="AB54" s="7691" t="inlineStr">
        <is>
          <t>Hombres</t>
        </is>
      </c>
      <c r="AC54" s="7694" t="inlineStr">
        <is>
          <t>Mujeres</t>
        </is>
      </c>
      <c r="AD54" s="7691" t="inlineStr">
        <is>
          <t>Hombres</t>
        </is>
      </c>
      <c r="AE54" s="7694" t="inlineStr">
        <is>
          <t>Mujeres</t>
        </is>
      </c>
      <c r="AF54" s="7691" t="inlineStr">
        <is>
          <t>Hombres</t>
        </is>
      </c>
      <c r="AG54" s="7694" t="inlineStr">
        <is>
          <t>Mujeres</t>
        </is>
      </c>
      <c r="AH54" s="7691" t="inlineStr">
        <is>
          <t>Hombres</t>
        </is>
      </c>
      <c r="AI54" s="7694" t="inlineStr">
        <is>
          <t>Mujeres</t>
        </is>
      </c>
      <c r="AJ54" s="7672" t="inlineStr">
        <is>
          <t>Hombres</t>
        </is>
      </c>
      <c r="AK54" s="8466" t="inlineStr">
        <is>
          <t>Mujeres</t>
        </is>
      </c>
      <c r="AL54" s="9604" t="n"/>
      <c r="AM54" s="9641" t="n"/>
    </row>
    <row r="55">
      <c r="A55" s="10001" t="inlineStr">
        <is>
          <t>Peritaje Psiquiátrico Judicial</t>
        </is>
      </c>
      <c r="B55" s="2409" t="inlineStr">
        <is>
          <t>Médico/a</t>
        </is>
      </c>
      <c r="C55" s="2282">
        <f>SUM(D55+E55)</f>
        <v/>
      </c>
      <c r="D55" s="834">
        <f>SUM(F55+H55+J55+L55+N55+P55+R55+T55+V55+X55+Z55+AB55+AD55+AF55+AH55+AJ55)</f>
        <v/>
      </c>
      <c r="E55" s="2152">
        <f>SUM(G55+I55+K55+M55+O55+Q55+S55+U55+W55+Y55+AA55+AC55+AE55+AG55+AI55+AK55)</f>
        <v/>
      </c>
      <c r="F55" s="2266" t="n"/>
      <c r="G55" s="2336" t="n"/>
      <c r="H55" s="2266" t="n"/>
      <c r="I55" s="2337" t="n"/>
      <c r="J55" s="2266" t="n"/>
      <c r="K55" s="2337" t="n"/>
      <c r="L55" s="2266" t="n"/>
      <c r="M55" s="2337" t="n"/>
      <c r="N55" s="2276" t="n"/>
      <c r="O55" s="2337" t="n"/>
      <c r="P55" s="2276" t="n"/>
      <c r="Q55" s="2337" t="n"/>
      <c r="R55" s="2276" t="n"/>
      <c r="S55" s="2337" t="n"/>
      <c r="T55" s="2276" t="n"/>
      <c r="U55" s="2337" t="n"/>
      <c r="V55" s="2276" t="n"/>
      <c r="W55" s="2337" t="n"/>
      <c r="X55" s="2276" t="n"/>
      <c r="Y55" s="2337" t="n"/>
      <c r="Z55" s="2276" t="n"/>
      <c r="AA55" s="2337" t="n"/>
      <c r="AB55" s="2276" t="n"/>
      <c r="AC55" s="2337" t="n"/>
      <c r="AD55" s="2276" t="n"/>
      <c r="AE55" s="2337" t="n"/>
      <c r="AF55" s="2276" t="n"/>
      <c r="AG55" s="2337" t="n"/>
      <c r="AH55" s="2276" t="n"/>
      <c r="AI55" s="2337" t="n"/>
      <c r="AJ55" s="2276" t="n"/>
      <c r="AK55" s="1940" t="n"/>
      <c r="AL55" s="2400" t="n"/>
      <c r="AM55" s="2401" t="n"/>
      <c r="AN55">
        <f>CA55&amp;CB55&amp;CC55</f>
        <v/>
      </c>
      <c r="CA55" s="260">
        <f>IF(AND($C55&gt;0,AL55="")," * No olvide digitar la variable Pueblos Originarios. Digite cero si no tiene.",IF(AL55&gt;$C55," * La variable Pueblos Originarios no puede ser mayor al Total Ambos Sexos.",""))</f>
        <v/>
      </c>
      <c r="CB55" s="260">
        <f>IF(AND($C55&gt;0,AM55="")," * No olvide digitar la variable Migrantes. Digite cero si no tiene.",IF(AM55&gt;$C55," * La variable Migrantes no puede ser mayor al Total Ambos Sexos.",""))</f>
        <v/>
      </c>
      <c r="CK55" s="221">
        <f>IF(AND(C55&gt;0,AL55=""),1,IF(AL55&gt;C55,1,0))</f>
        <v/>
      </c>
      <c r="CL55" s="221">
        <f>IF(AND(C55&gt;0,AM55=""),1,IF(AM55&gt;C55,1,0))</f>
        <v/>
      </c>
    </row>
    <row r="56">
      <c r="A56" s="9908" t="n"/>
      <c r="B56" s="2410" t="inlineStr">
        <is>
          <t>Médico/a Psiquiatra</t>
        </is>
      </c>
      <c r="C56" s="1254">
        <f>SUM(D56+E56)</f>
        <v/>
      </c>
      <c r="D56" s="2340">
        <f>SUM(F56+H56+J56+L56+N56+P56+R56+T56+V56+X56+Z56+AB56+AD56+AF56+AH56+AJ56)</f>
        <v/>
      </c>
      <c r="E56" s="1171">
        <f>SUM(G56+I56+K56+M56+O56+Q56+S56+U56+W56+Y56+AA56+AC56+AE56+AG56+AI56+AK56)</f>
        <v/>
      </c>
      <c r="F56" s="1172" t="n"/>
      <c r="G56" s="1173" t="n"/>
      <c r="H56" s="1172" t="n"/>
      <c r="I56" s="886" t="n"/>
      <c r="J56" s="1172" t="n"/>
      <c r="K56" s="886" t="n"/>
      <c r="L56" s="1172" t="n"/>
      <c r="M56" s="886" t="n"/>
      <c r="N56" s="1175" t="n"/>
      <c r="O56" s="886" t="n"/>
      <c r="P56" s="1175" t="n"/>
      <c r="Q56" s="886" t="n"/>
      <c r="R56" s="1175" t="n"/>
      <c r="S56" s="886" t="n"/>
      <c r="T56" s="1175" t="n"/>
      <c r="U56" s="886" t="n"/>
      <c r="V56" s="1175" t="n"/>
      <c r="W56" s="886" t="n"/>
      <c r="X56" s="1175" t="n"/>
      <c r="Y56" s="886" t="n"/>
      <c r="Z56" s="1175" t="n"/>
      <c r="AA56" s="886" t="n"/>
      <c r="AB56" s="1175" t="n"/>
      <c r="AC56" s="886" t="n"/>
      <c r="AD56" s="1175" t="n"/>
      <c r="AE56" s="886" t="n"/>
      <c r="AF56" s="1175" t="n"/>
      <c r="AG56" s="886" t="n"/>
      <c r="AH56" s="1175" t="n"/>
      <c r="AI56" s="886" t="n"/>
      <c r="AJ56" s="1175" t="n"/>
      <c r="AK56" s="1929" t="n"/>
      <c r="AL56" s="1113" t="n"/>
      <c r="AM56" s="1275" t="n"/>
      <c r="AN56">
        <f>CA56&amp;CB56&amp;CC56</f>
        <v/>
      </c>
      <c r="CA56" s="260">
        <f>IF(AND($C56&gt;0,AL56="")," * No olvide digitar la variable Pueblos Originarios. Digite cero si no tiene.",IF(AL56&gt;$C56," * La variable Pueblos Originarios no puede ser mayor al Total Ambos Sexos.",""))</f>
        <v/>
      </c>
      <c r="CB56" s="260">
        <f>IF(AND($C56&gt;0,AM56="")," * No olvide digitar la variable Migrantes. Digite cero si no tiene.",IF(AM56&gt;$C56," * La variable Migrantes no puede ser mayor al Total Ambos Sexos.",""))</f>
        <v/>
      </c>
      <c r="CK56" s="221">
        <f>IF(AND(C56&gt;0,AL56=""),1,IF(AL56&gt;C56,1,0))</f>
        <v/>
      </c>
      <c r="CL56" s="221">
        <f>IF(AND(C56&gt;0,AM56=""),1,IF(AM56&gt;C56,1,0))</f>
        <v/>
      </c>
    </row>
    <row r="57">
      <c r="A57" s="9908" t="n"/>
      <c r="B57" s="2410" t="inlineStr">
        <is>
          <t>Psicólogo/a</t>
        </is>
      </c>
      <c r="C57" s="1254">
        <f>SUM(D57+E57)</f>
        <v/>
      </c>
      <c r="D57" s="2340">
        <f>SUM(F57+H57+J57+L57+N57+P57+R57+T57+V57+X57+Z57+AB57+AD57+AF57+AH57+AJ57)</f>
        <v/>
      </c>
      <c r="E57" s="1171">
        <f>SUM(G57+I57+K57+M57+O57+Q57+S57+U57+W57+Y57+AA57+AC57+AE57+AG57+AI57+AK57)</f>
        <v/>
      </c>
      <c r="F57" s="1172" t="n"/>
      <c r="G57" s="1173" t="n"/>
      <c r="H57" s="1172" t="n"/>
      <c r="I57" s="886" t="n"/>
      <c r="J57" s="1172" t="n"/>
      <c r="K57" s="886" t="n"/>
      <c r="L57" s="1172" t="n"/>
      <c r="M57" s="886" t="n"/>
      <c r="N57" s="1175" t="n"/>
      <c r="O57" s="886" t="n"/>
      <c r="P57" s="1175" t="n"/>
      <c r="Q57" s="886" t="n"/>
      <c r="R57" s="1175" t="n"/>
      <c r="S57" s="886" t="n"/>
      <c r="T57" s="1175" t="n"/>
      <c r="U57" s="886" t="n"/>
      <c r="V57" s="1175" t="n"/>
      <c r="W57" s="886" t="n"/>
      <c r="X57" s="1175" t="n"/>
      <c r="Y57" s="886" t="n"/>
      <c r="Z57" s="1175" t="n"/>
      <c r="AA57" s="886" t="n"/>
      <c r="AB57" s="1175" t="n"/>
      <c r="AC57" s="886" t="n"/>
      <c r="AD57" s="1175" t="n"/>
      <c r="AE57" s="886" t="n"/>
      <c r="AF57" s="1175" t="n"/>
      <c r="AG57" s="886" t="n"/>
      <c r="AH57" s="1175" t="n"/>
      <c r="AI57" s="886" t="n"/>
      <c r="AJ57" s="1175" t="n"/>
      <c r="AK57" s="1929" t="n"/>
      <c r="AL57" s="1113" t="n"/>
      <c r="AM57" s="1275" t="n"/>
      <c r="AN57">
        <f>CA57&amp;CB57&amp;CC57</f>
        <v/>
      </c>
      <c r="CA57" s="260">
        <f>IF(AND($C57&gt;0,AL57="")," * No olvide digitar la variable Pueblos Originarios. Digite cero si no tiene.",IF(AL57&gt;$C57," * La variable Pueblos Originarios no puede ser mayor al Total Ambos Sexos.",""))</f>
        <v/>
      </c>
      <c r="CB57" s="260">
        <f>IF(AND($C57&gt;0,AM57="")," * No olvide digitar la variable Migrantes. Digite cero si no tiene.",IF(AM57&gt;$C57," * La variable Migrantes no puede ser mayor al Total Ambos Sexos.",""))</f>
        <v/>
      </c>
      <c r="CK57" s="221">
        <f>IF(AND(C57&gt;0,AL57=""),1,IF(AL57&gt;C57,1,0))</f>
        <v/>
      </c>
      <c r="CL57" s="221">
        <f>IF(AND(C57&gt;0,AM57=""),1,IF(AM57&gt;C57,1,0))</f>
        <v/>
      </c>
    </row>
    <row r="58">
      <c r="A58" s="9908" t="n"/>
      <c r="B58" s="2410" t="inlineStr">
        <is>
          <t>Enfermero/a</t>
        </is>
      </c>
      <c r="C58" s="1254">
        <f>SUM(D58+E58)</f>
        <v/>
      </c>
      <c r="D58" s="2340">
        <f>SUM(F58+H58+J58+L58+N58+P58+R58+T58+V58+X58+Z58+AB58+AD58+AF58+AH58+AJ58)</f>
        <v/>
      </c>
      <c r="E58" s="1171">
        <f>SUM(G58+I58+K58+M58+O58+Q58+S58+U58+W58+Y58+AA58+AC58+AE58+AG58+AI58+AK58)</f>
        <v/>
      </c>
      <c r="F58" s="1172" t="n"/>
      <c r="G58" s="1173" t="n"/>
      <c r="H58" s="1172" t="n"/>
      <c r="I58" s="886" t="n"/>
      <c r="J58" s="1172" t="n"/>
      <c r="K58" s="886" t="n"/>
      <c r="L58" s="1172" t="n"/>
      <c r="M58" s="886" t="n"/>
      <c r="N58" s="1175" t="n"/>
      <c r="O58" s="886" t="n"/>
      <c r="P58" s="1175" t="n"/>
      <c r="Q58" s="886" t="n"/>
      <c r="R58" s="1175" t="n"/>
      <c r="S58" s="886" t="n"/>
      <c r="T58" s="1175" t="n"/>
      <c r="U58" s="886" t="n"/>
      <c r="V58" s="1175" t="n"/>
      <c r="W58" s="886" t="n"/>
      <c r="X58" s="1175" t="n"/>
      <c r="Y58" s="886" t="n"/>
      <c r="Z58" s="1175" t="n"/>
      <c r="AA58" s="886" t="n"/>
      <c r="AB58" s="1175" t="n"/>
      <c r="AC58" s="886" t="n"/>
      <c r="AD58" s="1175" t="n"/>
      <c r="AE58" s="886" t="n"/>
      <c r="AF58" s="1175" t="n"/>
      <c r="AG58" s="886" t="n"/>
      <c r="AH58" s="1175" t="n"/>
      <c r="AI58" s="886" t="n"/>
      <c r="AJ58" s="1175" t="n"/>
      <c r="AK58" s="1929" t="n"/>
      <c r="AL58" s="1113" t="n"/>
      <c r="AM58" s="1275" t="n"/>
      <c r="AN58">
        <f>CA58&amp;CB58&amp;CC58</f>
        <v/>
      </c>
      <c r="CA58" s="260">
        <f>IF(AND($C58&gt;0,AL58="")," * No olvide digitar la variable Pueblos Originarios. Digite cero si no tiene.",IF(AL58&gt;$C58," * La variable Pueblos Originarios no puede ser mayor al Total Ambos Sexos.",""))</f>
        <v/>
      </c>
      <c r="CB58" s="260">
        <f>IF(AND($C58&gt;0,AM58="")," * No olvide digitar la variable Migrantes. Digite cero si no tiene.",IF(AM58&gt;$C58," * La variable Migrantes no puede ser mayor al Total Ambos Sexos.",""))</f>
        <v/>
      </c>
      <c r="CK58" s="221">
        <f>IF(AND(C58&gt;0,AL58=""),1,IF(AL58&gt;C58,1,0))</f>
        <v/>
      </c>
      <c r="CL58" s="221">
        <f>IF(AND(C58&gt;0,AM58=""),1,IF(AM58&gt;C58,1,0))</f>
        <v/>
      </c>
    </row>
    <row r="59">
      <c r="A59" s="9908" t="n"/>
      <c r="B59" s="2410" t="inlineStr">
        <is>
          <t>Trabajador/a Social</t>
        </is>
      </c>
      <c r="C59" s="1254">
        <f>SUM(D59+E59)</f>
        <v/>
      </c>
      <c r="D59" s="2340">
        <f>SUM(F59+H59+J59+L59+N59+P59+R59+T59+V59+X59+Z59+AB59+AD59+AF59+AH59+AJ59)</f>
        <v/>
      </c>
      <c r="E59" s="1171">
        <f>SUM(G59+I59+K59+M59+O59+Q59+S59+U59+W59+Y59+AA59+AC59+AE59+AG59+AI59+AK59)</f>
        <v/>
      </c>
      <c r="F59" s="1172" t="n"/>
      <c r="G59" s="1173" t="n"/>
      <c r="H59" s="1172" t="n"/>
      <c r="I59" s="886" t="n"/>
      <c r="J59" s="1172" t="n"/>
      <c r="K59" s="886" t="n"/>
      <c r="L59" s="1172" t="n"/>
      <c r="M59" s="886" t="n"/>
      <c r="N59" s="1175" t="n"/>
      <c r="O59" s="886" t="n"/>
      <c r="P59" s="1175" t="n"/>
      <c r="Q59" s="886" t="n"/>
      <c r="R59" s="1175" t="n"/>
      <c r="S59" s="886" t="n"/>
      <c r="T59" s="1175" t="n"/>
      <c r="U59" s="886" t="n"/>
      <c r="V59" s="1175" t="n"/>
      <c r="W59" s="886" t="n"/>
      <c r="X59" s="1175" t="n"/>
      <c r="Y59" s="886" t="n"/>
      <c r="Z59" s="1175" t="n"/>
      <c r="AA59" s="886" t="n"/>
      <c r="AB59" s="1175" t="n"/>
      <c r="AC59" s="886" t="n"/>
      <c r="AD59" s="1175" t="n"/>
      <c r="AE59" s="886" t="n"/>
      <c r="AF59" s="1175" t="n"/>
      <c r="AG59" s="886" t="n"/>
      <c r="AH59" s="1175" t="n"/>
      <c r="AI59" s="886" t="n"/>
      <c r="AJ59" s="1175" t="n"/>
      <c r="AK59" s="1929" t="n"/>
      <c r="AL59" s="1113" t="n"/>
      <c r="AM59" s="1275" t="n"/>
      <c r="AN59">
        <f>CA59&amp;CB59&amp;CC59</f>
        <v/>
      </c>
      <c r="CA59" s="260">
        <f>IF(AND($C59&gt;0,AL59="")," * No olvide digitar la variable Pueblos Originarios. Digite cero si no tiene.",IF(AL59&gt;$C59," * La variable Pueblos Originarios no puede ser mayor al Total Ambos Sexos.",""))</f>
        <v/>
      </c>
      <c r="CB59" s="260">
        <f>IF(AND($C59&gt;0,AM59="")," * No olvide digitar la variable Migrantes. Digite cero si no tiene.",IF(AM59&gt;$C59," * La variable Migrantes no puede ser mayor al Total Ambos Sexos.",""))</f>
        <v/>
      </c>
      <c r="CK59" s="221">
        <f>IF(AND(C59&gt;0,AL59=""),1,IF(AL59&gt;C59,1,0))</f>
        <v/>
      </c>
      <c r="CL59" s="221">
        <f>IF(AND(C59&gt;0,AM59=""),1,IF(AM59&gt;C59,1,0))</f>
        <v/>
      </c>
    </row>
    <row r="60">
      <c r="A60" s="10000" t="n"/>
      <c r="B60" s="2411" t="inlineStr">
        <is>
          <t>Otros Profesionales</t>
        </is>
      </c>
      <c r="C60" s="1252">
        <f>SUM(D60+E60)</f>
        <v/>
      </c>
      <c r="D60" s="1253">
        <f>SUM(F60+H60+J60+L60+N60+P60+R60+T60+V60+X60+Z60+AB60+AD60+AF60+AH60+AJ60)</f>
        <v/>
      </c>
      <c r="E60" s="1178">
        <f>SUM(G60+I60+K60+M60+O60+Q60+S60+U60+W60+Y60+AA60+AC60+AE60+AG60+AI60+AK60)</f>
        <v/>
      </c>
      <c r="F60" s="1188" t="n"/>
      <c r="G60" s="1192" t="n"/>
      <c r="H60" s="1188" t="n"/>
      <c r="I60" s="1119" t="n"/>
      <c r="J60" s="1188" t="n"/>
      <c r="K60" s="1119" t="n"/>
      <c r="L60" s="1188" t="n"/>
      <c r="M60" s="1119" t="n"/>
      <c r="N60" s="1195" t="n"/>
      <c r="O60" s="1119" t="n"/>
      <c r="P60" s="1195" t="n"/>
      <c r="Q60" s="1119" t="n"/>
      <c r="R60" s="1195" t="n"/>
      <c r="S60" s="1119" t="n"/>
      <c r="T60" s="1195" t="n"/>
      <c r="U60" s="1119" t="n"/>
      <c r="V60" s="1195" t="n"/>
      <c r="W60" s="1119" t="n"/>
      <c r="X60" s="1195" t="n"/>
      <c r="Y60" s="1119" t="n"/>
      <c r="Z60" s="1195" t="n"/>
      <c r="AA60" s="1119" t="n"/>
      <c r="AB60" s="1195" t="n"/>
      <c r="AC60" s="1119" t="n"/>
      <c r="AD60" s="1195" t="n"/>
      <c r="AE60" s="1119" t="n"/>
      <c r="AF60" s="1195" t="n"/>
      <c r="AG60" s="1119" t="n"/>
      <c r="AH60" s="1195" t="n"/>
      <c r="AI60" s="1119" t="n"/>
      <c r="AJ60" s="1195" t="n"/>
      <c r="AK60" s="1224" t="n"/>
      <c r="AL60" s="1350" t="n"/>
      <c r="AM60" s="1277" t="n"/>
      <c r="AN60">
        <f>CA60&amp;CB60&amp;CC60</f>
        <v/>
      </c>
      <c r="CA60" s="260">
        <f>IF(AND($C60&gt;0,AL60="")," * No olvide digitar la variable Pueblos Originarios. Digite cero si no tiene.",IF(AL60&gt;$C60," * La variable Pueblos Originarios no puede ser mayor al Total Ambos Sexos.",""))</f>
        <v/>
      </c>
      <c r="CB60" s="260">
        <f>IF(AND($C60&gt;0,AM60="")," * No olvide digitar la variable Migrantes. Digite cero si no tiene.",IF(AM60&gt;$C60," * La variable Migrantes no puede ser mayor al Total Ambos Sexos.",""))</f>
        <v/>
      </c>
      <c r="CK60" s="221">
        <f>IF(AND(C60&gt;0,AL60=""),1,IF(AL60&gt;C60,1,0))</f>
        <v/>
      </c>
      <c r="CL60" s="221">
        <f>IF(AND(C60&gt;0,AM60=""),1,IF(AM60&gt;C60,1,0))</f>
        <v/>
      </c>
    </row>
    <row r="61">
      <c r="A61" s="10001" t="inlineStr">
        <is>
          <t xml:space="preserve">Examen Preliminar en Drogas para Adolescentes Imputados / Condenados </t>
        </is>
      </c>
      <c r="B61" s="2409" t="inlineStr">
        <is>
          <t>Psicólogo/a</t>
        </is>
      </c>
      <c r="C61" s="2282">
        <f>SUM(D61+E61)</f>
        <v/>
      </c>
      <c r="D61" s="834">
        <f>SUM(H61+J61+L61)</f>
        <v/>
      </c>
      <c r="E61" s="2152">
        <f>SUM(I61+K61+M61)</f>
        <v/>
      </c>
      <c r="F61" s="2412" t="n"/>
      <c r="G61" s="2413" t="n"/>
      <c r="H61" s="2266" t="n"/>
      <c r="I61" s="2337" t="n"/>
      <c r="J61" s="2266" t="n"/>
      <c r="K61" s="2337" t="n"/>
      <c r="L61" s="2266" t="n"/>
      <c r="M61" s="2337" t="n"/>
      <c r="N61" s="2414" t="n"/>
      <c r="O61" s="2415" t="n"/>
      <c r="P61" s="2414" t="n"/>
      <c r="Q61" s="2415" t="n"/>
      <c r="R61" s="2414" t="n"/>
      <c r="S61" s="2415" t="n"/>
      <c r="T61" s="2414" t="n"/>
      <c r="U61" s="2415" t="n"/>
      <c r="V61" s="2414" t="n"/>
      <c r="W61" s="2415" t="n"/>
      <c r="X61" s="2414" t="n"/>
      <c r="Y61" s="2415" t="n"/>
      <c r="Z61" s="2414" t="n"/>
      <c r="AA61" s="2415" t="n"/>
      <c r="AB61" s="2414" t="n"/>
      <c r="AC61" s="2415" t="n"/>
      <c r="AD61" s="2414" t="n"/>
      <c r="AE61" s="2415" t="n"/>
      <c r="AF61" s="2414" t="n"/>
      <c r="AG61" s="2415" t="n"/>
      <c r="AH61" s="2412" t="n"/>
      <c r="AI61" s="2415" t="n"/>
      <c r="AJ61" s="2414" t="n"/>
      <c r="AK61" s="2416" t="n"/>
      <c r="AL61" s="2400" t="n"/>
      <c r="AM61" s="2401" t="n"/>
      <c r="AN61">
        <f>CA61&amp;CB61&amp;CC61</f>
        <v/>
      </c>
      <c r="CA61" s="260">
        <f>IF(AND($C61&gt;0,AL61="")," * No olvide digitar la variable Pueblos Originarios. Digite cero si no tiene.",IF(AL61&gt;$C61," * La variable Pueblos Originarios no puede ser mayor al Total Ambos Sexos.",""))</f>
        <v/>
      </c>
      <c r="CB61" s="260">
        <f>IF(AND($C61&gt;0,AM61="")," * No olvide digitar la variable Migrantes. Digite cero si no tiene.",IF(AM61&gt;$C61," * La variable Migrantes no puede ser mayor al Total Ambos Sexos.",""))</f>
        <v/>
      </c>
      <c r="CK61" s="221">
        <f>IF(AND(C61&gt;0,AL61=""),1,IF(AL61&gt;C61,1,0))</f>
        <v/>
      </c>
      <c r="CL61" s="221">
        <f>IF(AND(C61&gt;0,AM61=""),1,IF(AM61&gt;C61,1,0))</f>
        <v/>
      </c>
    </row>
    <row r="62">
      <c r="A62" s="10000" t="n"/>
      <c r="B62" s="2410" t="inlineStr">
        <is>
          <t>Trabajador/a Social</t>
        </is>
      </c>
      <c r="C62" s="1252">
        <f>SUM(D62+E62)</f>
        <v/>
      </c>
      <c r="D62" s="1253">
        <f>SUM(H62+J62+L62)</f>
        <v/>
      </c>
      <c r="E62" s="1178">
        <f>SUM(I62+K62+M62)</f>
        <v/>
      </c>
      <c r="F62" s="1312" t="n"/>
      <c r="G62" s="1314" t="n"/>
      <c r="H62" s="1188" t="n"/>
      <c r="I62" s="1119" t="n"/>
      <c r="J62" s="1188" t="n"/>
      <c r="K62" s="1119" t="n"/>
      <c r="L62" s="1188" t="n"/>
      <c r="M62" s="1119" t="n"/>
      <c r="N62" s="2270" t="n"/>
      <c r="O62" s="1323" t="n"/>
      <c r="P62" s="2270" t="n"/>
      <c r="Q62" s="1323" t="n"/>
      <c r="R62" s="2270" t="n"/>
      <c r="S62" s="1323" t="n"/>
      <c r="T62" s="2270" t="n"/>
      <c r="U62" s="1323" t="n"/>
      <c r="V62" s="2270" t="n"/>
      <c r="W62" s="1323" t="n"/>
      <c r="X62" s="2270" t="n"/>
      <c r="Y62" s="1323" t="n"/>
      <c r="Z62" s="2270" t="n"/>
      <c r="AA62" s="1323" t="n"/>
      <c r="AB62" s="2270" t="n"/>
      <c r="AC62" s="1323" t="n"/>
      <c r="AD62" s="2270" t="n"/>
      <c r="AE62" s="1323" t="n"/>
      <c r="AF62" s="2270" t="n"/>
      <c r="AG62" s="1323" t="n"/>
      <c r="AH62" s="1312" t="n"/>
      <c r="AI62" s="1323" t="n"/>
      <c r="AJ62" s="2270" t="n"/>
      <c r="AK62" s="1324" t="n"/>
      <c r="AL62" s="1350" t="n"/>
      <c r="AM62" s="1277" t="n"/>
      <c r="AN62">
        <f>CA62&amp;CB62&amp;CC62</f>
        <v/>
      </c>
      <c r="CA62" s="260">
        <f>IF(AND($C62&gt;0,AL62="")," * No olvide digitar la variable Pueblos Originarios. Digite cero si no tiene.",IF(AL62&gt;$C62," * La variable Pueblos Originarios no puede ser mayor al Total Ambos Sexos.",""))</f>
        <v/>
      </c>
      <c r="CB62" s="260">
        <f>IF(AND($C62&gt;0,AM62="")," * No olvide digitar la variable Migrantes. Digite cero si no tiene.",IF(AM62&gt;$C62," * La variable Migrantes no puede ser mayor al Total Ambos Sexos.",""))</f>
        <v/>
      </c>
      <c r="CK62" s="221">
        <f>IF(AND(C62&gt;0,AL62=""),1,IF(AL62&gt;C62,1,0))</f>
        <v/>
      </c>
      <c r="CL62" s="221">
        <f>IF(AND(C62&gt;0,AM62=""),1,IF(AM62&gt;C62,1,0))</f>
        <v/>
      </c>
    </row>
    <row r="63">
      <c r="A63" s="10001" t="inlineStr">
        <is>
          <t>Evaluación Clínica para Adolescentes Imputados con Consumo de Drogas</t>
        </is>
      </c>
      <c r="B63" s="2409" t="inlineStr">
        <is>
          <t>Médico/a</t>
        </is>
      </c>
      <c r="C63" s="2282">
        <f>SUM(D63+E63)</f>
        <v/>
      </c>
      <c r="D63" s="834">
        <f>SUM(H63+J63+L63)</f>
        <v/>
      </c>
      <c r="E63" s="2152">
        <f>SUM(I63+K63+M63)</f>
        <v/>
      </c>
      <c r="F63" s="2412" t="n"/>
      <c r="G63" s="2413" t="n"/>
      <c r="H63" s="2266" t="n"/>
      <c r="I63" s="2337" t="n"/>
      <c r="J63" s="2266" t="n"/>
      <c r="K63" s="2337" t="n"/>
      <c r="L63" s="2266" t="n"/>
      <c r="M63" s="2337" t="n"/>
      <c r="N63" s="2414" t="n"/>
      <c r="O63" s="2415" t="n"/>
      <c r="P63" s="2414" t="n"/>
      <c r="Q63" s="2415" t="n"/>
      <c r="R63" s="2414" t="n"/>
      <c r="S63" s="2415" t="n"/>
      <c r="T63" s="2414" t="n"/>
      <c r="U63" s="2415" t="n"/>
      <c r="V63" s="2414" t="n"/>
      <c r="W63" s="2415" t="n"/>
      <c r="X63" s="2414" t="n"/>
      <c r="Y63" s="2415" t="n"/>
      <c r="Z63" s="2414" t="n"/>
      <c r="AA63" s="2415" t="n"/>
      <c r="AB63" s="2414" t="n"/>
      <c r="AC63" s="2415" t="n"/>
      <c r="AD63" s="2414" t="n"/>
      <c r="AE63" s="2415" t="n"/>
      <c r="AF63" s="2414" t="n"/>
      <c r="AG63" s="2415" t="n"/>
      <c r="AH63" s="2412" t="n"/>
      <c r="AI63" s="2415" t="n"/>
      <c r="AJ63" s="2414" t="n"/>
      <c r="AK63" s="2416" t="n"/>
      <c r="AL63" s="2400" t="n"/>
      <c r="AM63" s="2401" t="n"/>
      <c r="AN63">
        <f>CA63&amp;CB63&amp;CC63</f>
        <v/>
      </c>
      <c r="CA63" s="260">
        <f>IF(AND($C63&gt;0,AL63="")," * No olvide digitar la variable Pueblos Originarios. Digite cero si no tiene.",IF(AL63&gt;$C63," * La variable Pueblos Originarios no puede ser mayor al Total Ambos Sexos.",""))</f>
        <v/>
      </c>
      <c r="CB63" s="260">
        <f>IF(AND($C63&gt;0,AM63="")," * No olvide digitar la variable Migrantes. Digite cero si no tiene.",IF(AM63&gt;$C63," * La variable Migrantes no puede ser mayor al Total Ambos Sexos.",""))</f>
        <v/>
      </c>
      <c r="CK63" s="221">
        <f>IF(AND(C63&gt;0,AL63=""),1,IF(AL63&gt;C63,1,0))</f>
        <v/>
      </c>
      <c r="CL63" s="221">
        <f>IF(AND(C63&gt;0,AM63=""),1,IF(AM63&gt;C63,1,0))</f>
        <v/>
      </c>
    </row>
    <row r="64">
      <c r="A64" s="9908" t="n"/>
      <c r="B64" s="2410" t="inlineStr">
        <is>
          <t>Médico/a Psiquiatra</t>
        </is>
      </c>
      <c r="C64" s="1254">
        <f>SUM(D64+E64)</f>
        <v/>
      </c>
      <c r="D64" s="2340">
        <f>SUM(H64+J64+L64)</f>
        <v/>
      </c>
      <c r="E64" s="1171">
        <f>SUM(I64+K64+M64)</f>
        <v/>
      </c>
      <c r="F64" s="1325" t="n"/>
      <c r="G64" s="1289" t="n"/>
      <c r="H64" s="1172" t="n"/>
      <c r="I64" s="886" t="n"/>
      <c r="J64" s="1172" t="n"/>
      <c r="K64" s="886" t="n"/>
      <c r="L64" s="1172" t="n"/>
      <c r="M64" s="886" t="n"/>
      <c r="N64" s="2417" t="n"/>
      <c r="O64" s="877" t="n"/>
      <c r="P64" s="2417" t="n"/>
      <c r="Q64" s="877" t="n"/>
      <c r="R64" s="2417" t="n"/>
      <c r="S64" s="877" t="n"/>
      <c r="T64" s="2417" t="n"/>
      <c r="U64" s="877" t="n"/>
      <c r="V64" s="2417" t="n"/>
      <c r="W64" s="877" t="n"/>
      <c r="X64" s="2417" t="n"/>
      <c r="Y64" s="877" t="n"/>
      <c r="Z64" s="2417" t="n"/>
      <c r="AA64" s="877" t="n"/>
      <c r="AB64" s="2417" t="n"/>
      <c r="AC64" s="877" t="n"/>
      <c r="AD64" s="2417" t="n"/>
      <c r="AE64" s="877" t="n"/>
      <c r="AF64" s="2417" t="n"/>
      <c r="AG64" s="877" t="n"/>
      <c r="AH64" s="1325" t="n"/>
      <c r="AI64" s="877" t="n"/>
      <c r="AJ64" s="2417" t="n"/>
      <c r="AK64" s="1927" t="n"/>
      <c r="AL64" s="1113" t="n"/>
      <c r="AM64" s="1275" t="n"/>
      <c r="AN64">
        <f>CA64&amp;CB64&amp;CC64</f>
        <v/>
      </c>
      <c r="CA64" s="260">
        <f>IF(AND($C64&gt;0,AL64="")," * No olvide digitar la variable Pueblos Originarios. Digite cero si no tiene.",IF(AL64&gt;$C64," * La variable Pueblos Originarios no puede ser mayor al Total Ambos Sexos.",""))</f>
        <v/>
      </c>
      <c r="CB64" s="260">
        <f>IF(AND($C64&gt;0,AM64="")," * No olvide digitar la variable Migrantes. Digite cero si no tiene.",IF(AM64&gt;$C64," * La variable Migrantes no puede ser mayor al Total Ambos Sexos.",""))</f>
        <v/>
      </c>
      <c r="CK64" s="221">
        <f>IF(AND(C64&gt;0,AL64=""),1,IF(AL64&gt;C64,1,0))</f>
        <v/>
      </c>
      <c r="CL64" s="221">
        <f>IF(AND(C64&gt;0,AM64=""),1,IF(AM64&gt;C64,1,0))</f>
        <v/>
      </c>
    </row>
    <row r="65">
      <c r="A65" s="9908" t="n"/>
      <c r="B65" s="2410" t="inlineStr">
        <is>
          <t>Psicólogo/a</t>
        </is>
      </c>
      <c r="C65" s="1254">
        <f>SUM(D65+E65)</f>
        <v/>
      </c>
      <c r="D65" s="2340">
        <f>SUM(H65+J65+L65)</f>
        <v/>
      </c>
      <c r="E65" s="1171">
        <f>SUM(I65+K65+M65)</f>
        <v/>
      </c>
      <c r="F65" s="1325" t="n"/>
      <c r="G65" s="1289" t="n"/>
      <c r="H65" s="1172" t="n"/>
      <c r="I65" s="886" t="n"/>
      <c r="J65" s="1172" t="n"/>
      <c r="K65" s="886" t="n"/>
      <c r="L65" s="1172" t="n"/>
      <c r="M65" s="886" t="n"/>
      <c r="N65" s="2417" t="n"/>
      <c r="O65" s="877" t="n"/>
      <c r="P65" s="2417" t="n"/>
      <c r="Q65" s="877" t="n"/>
      <c r="R65" s="2417" t="n"/>
      <c r="S65" s="877" t="n"/>
      <c r="T65" s="2417" t="n"/>
      <c r="U65" s="877" t="n"/>
      <c r="V65" s="2417" t="n"/>
      <c r="W65" s="877" t="n"/>
      <c r="X65" s="2417" t="n"/>
      <c r="Y65" s="877" t="n"/>
      <c r="Z65" s="2417" t="n"/>
      <c r="AA65" s="877" t="n"/>
      <c r="AB65" s="2417" t="n"/>
      <c r="AC65" s="877" t="n"/>
      <c r="AD65" s="2417" t="n"/>
      <c r="AE65" s="877" t="n"/>
      <c r="AF65" s="2417" t="n"/>
      <c r="AG65" s="877" t="n"/>
      <c r="AH65" s="1325" t="n"/>
      <c r="AI65" s="877" t="n"/>
      <c r="AJ65" s="2417" t="n"/>
      <c r="AK65" s="1927" t="n"/>
      <c r="AL65" s="1113" t="n"/>
      <c r="AM65" s="1275" t="n"/>
      <c r="AN65">
        <f>CA65&amp;CB65&amp;CC65</f>
        <v/>
      </c>
      <c r="CA65" s="260">
        <f>IF(AND($C65&gt;0,AL65="")," * No olvide digitar la variable Pueblos Originarios. Digite cero si no tiene.",IF(AL65&gt;$C65," * La variable Pueblos Originarios no puede ser mayor al Total Ambos Sexos.",""))</f>
        <v/>
      </c>
      <c r="CB65" s="260">
        <f>IF(AND($C65&gt;0,AM65="")," * No olvide digitar la variable Migrantes. Digite cero si no tiene.",IF(AM65&gt;$C65," * La variable Migrantes no puede ser mayor al Total Ambos Sexos.",""))</f>
        <v/>
      </c>
      <c r="CK65" s="221">
        <f>IF(AND(C65&gt;0,AL65=""),1,IF(AL65&gt;C65,1,0))</f>
        <v/>
      </c>
      <c r="CL65" s="221">
        <f>IF(AND(C65&gt;0,AM65=""),1,IF(AM65&gt;C65,1,0))</f>
        <v/>
      </c>
    </row>
    <row r="66">
      <c r="A66" s="10000" t="n"/>
      <c r="B66" s="2410" t="inlineStr">
        <is>
          <t>Trabajador/a Social</t>
        </is>
      </c>
      <c r="C66" s="1252">
        <f>SUM(D66+E66)</f>
        <v/>
      </c>
      <c r="D66" s="1253">
        <f>SUM(H66+J66+L66)</f>
        <v/>
      </c>
      <c r="E66" s="1178">
        <f>SUM(I66+K66+M66)</f>
        <v/>
      </c>
      <c r="F66" s="1312" t="n"/>
      <c r="G66" s="1314" t="n"/>
      <c r="H66" s="1188" t="n"/>
      <c r="I66" s="1119" t="n"/>
      <c r="J66" s="1188" t="n"/>
      <c r="K66" s="1119" t="n"/>
      <c r="L66" s="1188" t="n"/>
      <c r="M66" s="1119" t="n"/>
      <c r="N66" s="2270" t="n"/>
      <c r="O66" s="1323" t="n"/>
      <c r="P66" s="2270" t="n"/>
      <c r="Q66" s="1323" t="n"/>
      <c r="R66" s="2270" t="n"/>
      <c r="S66" s="1323" t="n"/>
      <c r="T66" s="2270" t="n"/>
      <c r="U66" s="1323" t="n"/>
      <c r="V66" s="2270" t="n"/>
      <c r="W66" s="1323" t="n"/>
      <c r="X66" s="2270" t="n"/>
      <c r="Y66" s="1323" t="n"/>
      <c r="Z66" s="2270" t="n"/>
      <c r="AA66" s="1323" t="n"/>
      <c r="AB66" s="2270" t="n"/>
      <c r="AC66" s="1323" t="n"/>
      <c r="AD66" s="2270" t="n"/>
      <c r="AE66" s="1323" t="n"/>
      <c r="AF66" s="2270" t="n"/>
      <c r="AG66" s="1323" t="n"/>
      <c r="AH66" s="1312" t="n"/>
      <c r="AI66" s="1323" t="n"/>
      <c r="AJ66" s="2270" t="n"/>
      <c r="AK66" s="1324" t="n"/>
      <c r="AL66" s="1350" t="n"/>
      <c r="AM66" s="1277" t="n"/>
      <c r="AN66">
        <f>CA66&amp;CB66&amp;CC66</f>
        <v/>
      </c>
      <c r="CA66" s="260">
        <f>IF(AND($C66&gt;0,AL66="")," * No olvide digitar la variable Pueblos Originarios. Digite cero si no tiene.",IF(AL66&gt;$C66," * La variable Pueblos Originarios no puede ser mayor al Total Ambos Sexos.",""))</f>
        <v/>
      </c>
      <c r="CB66" s="260">
        <f>IF(AND($C66&gt;0,AM66="")," * No olvide digitar la variable Migrantes. Digite cero si no tiene.",IF(AM66&gt;$C66," * La variable Migrantes no puede ser mayor al Total Ambos Sexos.",""))</f>
        <v/>
      </c>
      <c r="CK66" s="221">
        <f>IF(AND(C66&gt;0,AL66=""),1,IF(AL66&gt;C66,1,0))</f>
        <v/>
      </c>
      <c r="CL66" s="221">
        <f>IF(AND(C66&gt;0,AM66=""),1,IF(AM66&gt;C66,1,0))</f>
        <v/>
      </c>
    </row>
    <row r="67">
      <c r="A67" s="10001" t="inlineStr">
        <is>
          <t>Examen Mental Preliminar a Personas Imputadas</t>
        </is>
      </c>
      <c r="B67" s="2409" t="inlineStr">
        <is>
          <t>Médico/a</t>
        </is>
      </c>
      <c r="C67" s="2282">
        <f>SUM(D67+E67)</f>
        <v/>
      </c>
      <c r="D67" s="834">
        <f>SUM(H67+J67+L67+N67+P67+R67+T67+V67+X67+Z67+AB67+AD67+AF67+AH67+AJ67)</f>
        <v/>
      </c>
      <c r="E67" s="2152">
        <f>SUM(I67+K67+M67+O67+Q67+S67+U67+W67+Y67+AA67+AC67+AE67+AG67+AI67+AK67)</f>
        <v/>
      </c>
      <c r="F67" s="2412" t="n"/>
      <c r="G67" s="2415" t="n"/>
      <c r="H67" s="2266" t="n"/>
      <c r="I67" s="2337" t="n"/>
      <c r="J67" s="2266" t="n"/>
      <c r="K67" s="2337" t="n"/>
      <c r="L67" s="2266" t="n"/>
      <c r="M67" s="2337" t="n"/>
      <c r="N67" s="2266" t="n"/>
      <c r="O67" s="2337" t="n"/>
      <c r="P67" s="2266" t="n"/>
      <c r="Q67" s="2337" t="n"/>
      <c r="R67" s="2266" t="n"/>
      <c r="S67" s="2337" t="n"/>
      <c r="T67" s="2266" t="n"/>
      <c r="U67" s="2337" t="n"/>
      <c r="V67" s="2266" t="n"/>
      <c r="W67" s="2337" t="n"/>
      <c r="X67" s="2266" t="n"/>
      <c r="Y67" s="2337" t="n"/>
      <c r="Z67" s="2266" t="n"/>
      <c r="AA67" s="2337" t="n"/>
      <c r="AB67" s="2266" t="n"/>
      <c r="AC67" s="2337" t="n"/>
      <c r="AD67" s="2266" t="n"/>
      <c r="AE67" s="2337" t="n"/>
      <c r="AF67" s="2266" t="n"/>
      <c r="AG67" s="2337" t="n"/>
      <c r="AH67" s="2266" t="n"/>
      <c r="AI67" s="2337" t="n"/>
      <c r="AJ67" s="2266" t="n"/>
      <c r="AK67" s="1940" t="n"/>
      <c r="AL67" s="2400" t="n"/>
      <c r="AM67" s="2401" t="n"/>
      <c r="AN67">
        <f>CA67&amp;CB67&amp;CC67</f>
        <v/>
      </c>
      <c r="CA67" s="260">
        <f>IF(AND($C67&gt;0,AL67="")," * No olvide digitar la variable Pueblos Originarios. Digite cero si no tiene.",IF(AL67&gt;$C67," * La variable Pueblos Originarios no puede ser mayor al Total Ambos Sexos.",""))</f>
        <v/>
      </c>
      <c r="CB67" s="260">
        <f>IF(AND($C67&gt;0,AM67="")," * No olvide digitar la variable Migrantes. Digite cero si no tiene.",IF(AM67&gt;$C67," * La variable Migrantes no puede ser mayor al Total Ambos Sexos.",""))</f>
        <v/>
      </c>
      <c r="CK67" s="221">
        <f>IF(AND(C67&gt;0,AL67=""),1,IF(AL67&gt;C67,1,0))</f>
        <v/>
      </c>
      <c r="CL67" s="221">
        <f>IF(AND(C67&gt;0,AM67=""),1,IF(AM67&gt;C67,1,0))</f>
        <v/>
      </c>
    </row>
    <row r="68">
      <c r="A68" s="10000" t="n"/>
      <c r="B68" s="2410" t="inlineStr">
        <is>
          <t>Médico/a Psiquiatra</t>
        </is>
      </c>
      <c r="C68" s="2286">
        <f>SUM(D68+E68)</f>
        <v/>
      </c>
      <c r="D68" s="2343">
        <f>SUM(H68+J68+L68+N68+P68+R68+T68+V68+X68+Z68+AB68+AD68+AF68+AH68+AJ68)</f>
        <v/>
      </c>
      <c r="E68" s="1178">
        <f>SUM(I68+K68+M68+O68+Q68+S68+U68+W68+Y68+AA68+AC68+AE68+AG68+AI68+AK68)</f>
        <v/>
      </c>
      <c r="F68" s="1312" t="n"/>
      <c r="G68" s="1323" t="n"/>
      <c r="H68" s="1188" t="n"/>
      <c r="I68" s="1119" t="n"/>
      <c r="J68" s="1188" t="n"/>
      <c r="K68" s="1119" t="n"/>
      <c r="L68" s="1188" t="n"/>
      <c r="M68" s="1119" t="n"/>
      <c r="N68" s="1188" t="n"/>
      <c r="O68" s="1119" t="n"/>
      <c r="P68" s="1188" t="n"/>
      <c r="Q68" s="1119" t="n"/>
      <c r="R68" s="1188" t="n"/>
      <c r="S68" s="1119" t="n"/>
      <c r="T68" s="1188" t="n"/>
      <c r="U68" s="1119" t="n"/>
      <c r="V68" s="1188" t="n"/>
      <c r="W68" s="1119" t="n"/>
      <c r="X68" s="1188" t="n"/>
      <c r="Y68" s="1119" t="n"/>
      <c r="Z68" s="1188" t="n"/>
      <c r="AA68" s="1119" t="n"/>
      <c r="AB68" s="1188" t="n"/>
      <c r="AC68" s="1119" t="n"/>
      <c r="AD68" s="1188" t="n"/>
      <c r="AE68" s="1119" t="n"/>
      <c r="AF68" s="1188" t="n"/>
      <c r="AG68" s="1119" t="n"/>
      <c r="AH68" s="1188" t="n"/>
      <c r="AI68" s="1119" t="n"/>
      <c r="AJ68" s="1188" t="n"/>
      <c r="AK68" s="1224" t="n"/>
      <c r="AL68" s="1350" t="n"/>
      <c r="AM68" s="1277" t="n"/>
      <c r="AN68">
        <f>CA68&amp;CB68&amp;CC68</f>
        <v/>
      </c>
      <c r="CA68" s="260">
        <f>IF(AND($C68&gt;0,AL68="")," * No olvide digitar la variable Pueblos Originarios. Digite cero si no tiene.",IF(AL68&gt;$C68," * La variable Pueblos Originarios no puede ser mayor al Total Ambos Sexos.",""))</f>
        <v/>
      </c>
      <c r="CB68" s="260">
        <f>IF(AND($C68&gt;0,AM68="")," * No olvide digitar la variable Migrantes. Digite cero si no tiene.",IF(AM68&gt;$C68," * La variable Migrantes no puede ser mayor al Total Ambos Sexos.",""))</f>
        <v/>
      </c>
      <c r="CK68" s="221">
        <f>IF(AND(C68&gt;0,AL68=""),1,IF(AL68&gt;C68,1,0))</f>
        <v/>
      </c>
      <c r="CL68" s="221">
        <f>IF(AND(C68&gt;0,AM68=""),1,IF(AM68&gt;C68,1,0))</f>
        <v/>
      </c>
    </row>
    <row r="69">
      <c r="A69" s="10001" t="inlineStr">
        <is>
          <t>Peritaje Drogas</t>
        </is>
      </c>
      <c r="B69" s="2409" t="inlineStr">
        <is>
          <t>Médico/a</t>
        </is>
      </c>
      <c r="C69" s="2282">
        <f>SUM(D69+E69)</f>
        <v/>
      </c>
      <c r="D69" s="834">
        <f>SUM(H69+J69+L69+N69+P69+R69+T69+V69+X69+Z69+AB69+AD69+AF69+AH69+AJ69)</f>
        <v/>
      </c>
      <c r="E69" s="2152">
        <f>SUM(I69+K69+M69+O69+Q69+S69+U69+W69+Y69+AA69+AC69+AE69+AG69+AI69+AK69)</f>
        <v/>
      </c>
      <c r="F69" s="2412" t="n"/>
      <c r="G69" s="2413" t="n"/>
      <c r="H69" s="2266" t="n"/>
      <c r="I69" s="2337" t="n"/>
      <c r="J69" s="2266" t="n"/>
      <c r="K69" s="2337" t="n"/>
      <c r="L69" s="2266" t="n"/>
      <c r="M69" s="2337" t="n"/>
      <c r="N69" s="2266" t="n"/>
      <c r="O69" s="2337" t="n"/>
      <c r="P69" s="2266" t="n"/>
      <c r="Q69" s="2337" t="n"/>
      <c r="R69" s="2266" t="n"/>
      <c r="S69" s="2337" t="n"/>
      <c r="T69" s="2266" t="n"/>
      <c r="U69" s="2337" t="n"/>
      <c r="V69" s="2266" t="n"/>
      <c r="W69" s="2337" t="n"/>
      <c r="X69" s="2266" t="n"/>
      <c r="Y69" s="2337" t="n"/>
      <c r="Z69" s="2266" t="n"/>
      <c r="AA69" s="2337" t="n"/>
      <c r="AB69" s="2266" t="n"/>
      <c r="AC69" s="2337" t="n"/>
      <c r="AD69" s="2266" t="n"/>
      <c r="AE69" s="2337" t="n"/>
      <c r="AF69" s="2266" t="n"/>
      <c r="AG69" s="2337" t="n"/>
      <c r="AH69" s="2266" t="n"/>
      <c r="AI69" s="2337" t="n"/>
      <c r="AJ69" s="2266" t="n"/>
      <c r="AK69" s="1940" t="n"/>
      <c r="AL69" s="2400" t="n"/>
      <c r="AM69" s="2401" t="n"/>
      <c r="AN69">
        <f>CA69&amp;CB69&amp;CC69</f>
        <v/>
      </c>
      <c r="CA69" s="260">
        <f>IF(AND($C69&gt;0,AL69="")," * No olvide digitar la variable Pueblos Originarios. Digite cero si no tiene.",IF(AL69&gt;$C69," * La variable Pueblos Originarios no puede ser mayor al Total Ambos Sexos.",""))</f>
        <v/>
      </c>
      <c r="CB69" s="260">
        <f>IF(AND($C69&gt;0,AM69="")," * No olvide digitar la variable Migrantes. Digite cero si no tiene.",IF(AM69&gt;$C69," * La variable Migrantes no puede ser mayor al Total Ambos Sexos.",""))</f>
        <v/>
      </c>
      <c r="CK69" s="221">
        <f>IF(AND(C69&gt;0,AL69=""),1,IF(AL69&gt;C69,1,0))</f>
        <v/>
      </c>
      <c r="CL69" s="221">
        <f>IF(AND(C69&gt;0,AM69=""),1,IF(AM69&gt;C69,1,0))</f>
        <v/>
      </c>
    </row>
    <row r="70">
      <c r="A70" s="10000" t="n"/>
      <c r="B70" s="2410" t="inlineStr">
        <is>
          <t>Médico/a Psiquiatra</t>
        </is>
      </c>
      <c r="C70" s="1252">
        <f>SUM(D70+E70)</f>
        <v/>
      </c>
      <c r="D70" s="1253">
        <f>SUM(H70+J70+L70+N70+P70+R70+T70+V70+X70+Z70+AB70+AD70+AF70+AH70+AJ70)</f>
        <v/>
      </c>
      <c r="E70" s="1178">
        <f>SUM(I70+K70+M70+O70+Q70+S70+U70+W70+Y70+AA70+AC70+AE70+AG70+AI70+AK70)</f>
        <v/>
      </c>
      <c r="F70" s="1312" t="n"/>
      <c r="G70" s="1314" t="n"/>
      <c r="H70" s="1188" t="n"/>
      <c r="I70" s="1119" t="n"/>
      <c r="J70" s="1188" t="n"/>
      <c r="K70" s="1119" t="n"/>
      <c r="L70" s="1188" t="n"/>
      <c r="M70" s="1119" t="n"/>
      <c r="N70" s="1188" t="n"/>
      <c r="O70" s="1119" t="n"/>
      <c r="P70" s="1188" t="n"/>
      <c r="Q70" s="1119" t="n"/>
      <c r="R70" s="1188" t="n"/>
      <c r="S70" s="1119" t="n"/>
      <c r="T70" s="1188" t="n"/>
      <c r="U70" s="1119" t="n"/>
      <c r="V70" s="1188" t="n"/>
      <c r="W70" s="1119" t="n"/>
      <c r="X70" s="1188" t="n"/>
      <c r="Y70" s="1119" t="n"/>
      <c r="Z70" s="1188" t="n"/>
      <c r="AA70" s="1119" t="n"/>
      <c r="AB70" s="1188" t="n"/>
      <c r="AC70" s="1119" t="n"/>
      <c r="AD70" s="1188" t="n"/>
      <c r="AE70" s="1119" t="n"/>
      <c r="AF70" s="1188" t="n"/>
      <c r="AG70" s="1119" t="n"/>
      <c r="AH70" s="1188" t="n"/>
      <c r="AI70" s="1119" t="n"/>
      <c r="AJ70" s="1188" t="n"/>
      <c r="AK70" s="1224" t="n"/>
      <c r="AL70" s="1350" t="n"/>
      <c r="AM70" s="1277" t="n"/>
      <c r="AN70">
        <f>CA70&amp;CB70&amp;CC70</f>
        <v/>
      </c>
      <c r="CA70" s="260">
        <f>IF(AND($C70&gt;0,AL70="")," * No olvide digitar la variable Pueblos Originarios. Digite cero si no tiene.",IF(AL70&gt;$C70," * La variable Pueblos Originarios no puede ser mayor al Total Ambos Sexos.",""))</f>
        <v/>
      </c>
      <c r="CB70" s="260">
        <f>IF(AND($C70&gt;0,AM70="")," * No olvide digitar la variable Migrantes. Digite cero si no tiene.",IF(AM70&gt;$C70," * La variable Migrantes no puede ser mayor al Total Ambos Sexos.",""))</f>
        <v/>
      </c>
      <c r="CK70" s="221">
        <f>IF(AND(C70&gt;0,AL70=""),1,IF(AL70&gt;C70,1,0))</f>
        <v/>
      </c>
      <c r="CL70" s="221">
        <f>IF(AND(C70&gt;0,AM70=""),1,IF(AM70&gt;C70,1,0))</f>
        <v/>
      </c>
    </row>
    <row r="71">
      <c r="A71" s="10001" t="inlineStr">
        <is>
          <t>Atención a Agresores Derivados de Tribunales (Ley de Violencia Intrafamiliar)</t>
        </is>
      </c>
      <c r="B71" s="2409" t="inlineStr">
        <is>
          <t>Médico/a</t>
        </is>
      </c>
      <c r="C71" s="2282">
        <f>SUM(D71+E71)</f>
        <v/>
      </c>
      <c r="D71" s="834">
        <f>SUM(H71+J71+L71+N71+P71+R71+T71+V71+X71+Z71+AB71+AD71+AF71+AH71+AJ71)</f>
        <v/>
      </c>
      <c r="E71" s="2152">
        <f>SUM(I71+K71+M71+O71+Q71+S71+U71+W71+Y71+AA71+AC71+AE71+AG71+AI71+AK71)</f>
        <v/>
      </c>
      <c r="F71" s="2412" t="n"/>
      <c r="G71" s="2413" t="n"/>
      <c r="H71" s="2266" t="n"/>
      <c r="I71" s="2337" t="n"/>
      <c r="J71" s="2266" t="n"/>
      <c r="K71" s="2337" t="n"/>
      <c r="L71" s="2266" t="n"/>
      <c r="M71" s="2337" t="n"/>
      <c r="N71" s="2266" t="n"/>
      <c r="O71" s="2337" t="n"/>
      <c r="P71" s="2266" t="n"/>
      <c r="Q71" s="2337" t="n"/>
      <c r="R71" s="2266" t="n"/>
      <c r="S71" s="2337" t="n"/>
      <c r="T71" s="2266" t="n"/>
      <c r="U71" s="2337" t="n"/>
      <c r="V71" s="2266" t="n"/>
      <c r="W71" s="2337" t="n"/>
      <c r="X71" s="2266" t="n"/>
      <c r="Y71" s="2337" t="n"/>
      <c r="Z71" s="2266" t="n"/>
      <c r="AA71" s="2337" t="n"/>
      <c r="AB71" s="2266" t="n"/>
      <c r="AC71" s="2337" t="n"/>
      <c r="AD71" s="2266" t="n"/>
      <c r="AE71" s="2337" t="n"/>
      <c r="AF71" s="2266" t="n"/>
      <c r="AG71" s="2337" t="n"/>
      <c r="AH71" s="2266" t="n"/>
      <c r="AI71" s="2337" t="n"/>
      <c r="AJ71" s="2266" t="n"/>
      <c r="AK71" s="1940" t="n"/>
      <c r="AL71" s="2400" t="n"/>
      <c r="AM71" s="2401" t="n"/>
      <c r="AN71">
        <f>CA71&amp;CB71&amp;CC71</f>
        <v/>
      </c>
      <c r="CA71" s="260">
        <f>IF(AND($C71&gt;0,AL71="")," * No olvide digitar la variable Pueblos Originarios. Digite cero si no tiene.",IF(AL71&gt;$C71," * La variable Pueblos Originarios no puede ser mayor al Total Ambos Sexos.",""))</f>
        <v/>
      </c>
      <c r="CB71" s="260">
        <f>IF(AND($C71&gt;0,AM71="")," * No olvide digitar la variable Migrantes. Digite cero si no tiene.",IF(AM71&gt;$C71," * La variable Migrantes no puede ser mayor al Total Ambos Sexos.",""))</f>
        <v/>
      </c>
      <c r="CK71" s="221">
        <f>IF(AND(C71&gt;0,AL71=""),1,IF(AL71&gt;C71,1,0))</f>
        <v/>
      </c>
      <c r="CL71" s="221">
        <f>IF(AND(C71&gt;0,AM71=""),1,IF(AM71&gt;C71,1,0))</f>
        <v/>
      </c>
    </row>
    <row r="72">
      <c r="A72" s="9908" t="n"/>
      <c r="B72" s="2410" t="inlineStr">
        <is>
          <t>Médico/a Psiquiatra</t>
        </is>
      </c>
      <c r="C72" s="1254">
        <f>SUM(D72+E72)</f>
        <v/>
      </c>
      <c r="D72" s="2340">
        <f>SUM(H72+J72+L72+N72+P72+R72+T72+V72+X72+Z72+AB72+AD72+AF72+AH72+AJ72)</f>
        <v/>
      </c>
      <c r="E72" s="1171">
        <f>SUM(I72+K72+M72+O72+Q72+S72+U72+W72+Y72+AA72+AC72+AE72+AG72+AI72+AK72)</f>
        <v/>
      </c>
      <c r="F72" s="1325" t="n"/>
      <c r="G72" s="1289" t="n"/>
      <c r="H72" s="1172" t="n"/>
      <c r="I72" s="886" t="n"/>
      <c r="J72" s="1172" t="n"/>
      <c r="K72" s="886" t="n"/>
      <c r="L72" s="1172" t="n"/>
      <c r="M72" s="886" t="n"/>
      <c r="N72" s="1172" t="n"/>
      <c r="O72" s="886" t="n"/>
      <c r="P72" s="1172" t="n"/>
      <c r="Q72" s="886" t="n"/>
      <c r="R72" s="1172" t="n"/>
      <c r="S72" s="886" t="n"/>
      <c r="T72" s="1172" t="n"/>
      <c r="U72" s="886" t="n"/>
      <c r="V72" s="1172" t="n"/>
      <c r="W72" s="886" t="n"/>
      <c r="X72" s="1172" t="n"/>
      <c r="Y72" s="886" t="n"/>
      <c r="Z72" s="1172" t="n"/>
      <c r="AA72" s="886" t="n"/>
      <c r="AB72" s="1172" t="n"/>
      <c r="AC72" s="886" t="n"/>
      <c r="AD72" s="1172" t="n"/>
      <c r="AE72" s="886" t="n"/>
      <c r="AF72" s="1172" t="n"/>
      <c r="AG72" s="886" t="n"/>
      <c r="AH72" s="1172" t="n"/>
      <c r="AI72" s="886" t="n"/>
      <c r="AJ72" s="1172" t="n"/>
      <c r="AK72" s="1929" t="n"/>
      <c r="AL72" s="1113" t="n"/>
      <c r="AM72" s="1275" t="n"/>
      <c r="AN72">
        <f>CA72&amp;CB72&amp;CC72</f>
        <v/>
      </c>
      <c r="CA72" s="260">
        <f>IF(AND($C72&gt;0,AL72="")," * No olvide digitar la variable Pueblos Originarios. Digite cero si no tiene.",IF(AL72&gt;$C72," * La variable Pueblos Originarios no puede ser mayor al Total Ambos Sexos.",""))</f>
        <v/>
      </c>
      <c r="CB72" s="260">
        <f>IF(AND($C72&gt;0,AM72="")," * No olvide digitar la variable Migrantes. Digite cero si no tiene.",IF(AM72&gt;$C72," * La variable Migrantes no puede ser mayor al Total Ambos Sexos.",""))</f>
        <v/>
      </c>
      <c r="CK72" s="221">
        <f>IF(AND(C72&gt;0,AL72=""),1,IF(AL72&gt;C72,1,0))</f>
        <v/>
      </c>
      <c r="CL72" s="221">
        <f>IF(AND(C72&gt;0,AM72=""),1,IF(AM72&gt;C72,1,0))</f>
        <v/>
      </c>
    </row>
    <row r="73">
      <c r="A73" s="9908" t="n"/>
      <c r="B73" s="2410" t="inlineStr">
        <is>
          <t>Psicólogo/a</t>
        </is>
      </c>
      <c r="C73" s="1254">
        <f>SUM(D73+E73)</f>
        <v/>
      </c>
      <c r="D73" s="2340">
        <f>SUM(H73+J73+L73+N73+P73+R73+T73+V73+X73+Z73+AB73+AD73+AF73+AH73+AJ73)</f>
        <v/>
      </c>
      <c r="E73" s="1171">
        <f>SUM(I73+K73+M73+O73+Q73+S73+U73+W73+Y73+AA73+AC73+AE73+AG73+AI73+AK73)</f>
        <v/>
      </c>
      <c r="F73" s="1325" t="n"/>
      <c r="G73" s="1289" t="n"/>
      <c r="H73" s="1172" t="n"/>
      <c r="I73" s="886" t="n"/>
      <c r="J73" s="1172" t="n"/>
      <c r="K73" s="886" t="n"/>
      <c r="L73" s="1172" t="n"/>
      <c r="M73" s="886" t="n"/>
      <c r="N73" s="1172" t="n"/>
      <c r="O73" s="886" t="n"/>
      <c r="P73" s="1172" t="n"/>
      <c r="Q73" s="886" t="n"/>
      <c r="R73" s="1172" t="n"/>
      <c r="S73" s="886" t="n"/>
      <c r="T73" s="1172" t="n"/>
      <c r="U73" s="886" t="n"/>
      <c r="V73" s="1172" t="n"/>
      <c r="W73" s="886" t="n"/>
      <c r="X73" s="1172" t="n"/>
      <c r="Y73" s="886" t="n"/>
      <c r="Z73" s="1172" t="n"/>
      <c r="AA73" s="886" t="n"/>
      <c r="AB73" s="1172" t="n"/>
      <c r="AC73" s="886" t="n"/>
      <c r="AD73" s="1172" t="n"/>
      <c r="AE73" s="886" t="n"/>
      <c r="AF73" s="1172" t="n"/>
      <c r="AG73" s="886" t="n"/>
      <c r="AH73" s="1172" t="n"/>
      <c r="AI73" s="886" t="n"/>
      <c r="AJ73" s="1172" t="n"/>
      <c r="AK73" s="1929" t="n"/>
      <c r="AL73" s="1113" t="n"/>
      <c r="AM73" s="1275" t="n"/>
      <c r="AN73">
        <f>CA73&amp;CB73&amp;CC73</f>
        <v/>
      </c>
      <c r="CA73" s="260">
        <f>IF(AND($C73&gt;0,AL73="")," * No olvide digitar la variable Pueblos Originarios. Digite cero si no tiene.",IF(AL73&gt;$C73," * La variable Pueblos Originarios no puede ser mayor al Total Ambos Sexos.",""))</f>
        <v/>
      </c>
      <c r="CB73" s="260">
        <f>IF(AND($C73&gt;0,AM73="")," * No olvide digitar la variable Migrantes. Digite cero si no tiene.",IF(AM73&gt;$C73," * La variable Migrantes no puede ser mayor al Total Ambos Sexos.",""))</f>
        <v/>
      </c>
      <c r="CK73" s="221">
        <f>IF(AND(C73&gt;0,AL73=""),1,IF(AL73&gt;C73,1,0))</f>
        <v/>
      </c>
      <c r="CL73" s="221">
        <f>IF(AND(C73&gt;0,AM73=""),1,IF(AM73&gt;C73,1,0))</f>
        <v/>
      </c>
    </row>
    <row r="74">
      <c r="A74" s="9908" t="n"/>
      <c r="B74" s="2410" t="inlineStr">
        <is>
          <t>Enfermero/a</t>
        </is>
      </c>
      <c r="C74" s="1254">
        <f>SUM(D74+E74)</f>
        <v/>
      </c>
      <c r="D74" s="2340">
        <f>SUM(H74+J74+L74+N74+P74+R74+T74+V74+X74+Z74+AB74+AD74+AF74+AH74+AJ74)</f>
        <v/>
      </c>
      <c r="E74" s="1171">
        <f>SUM(I74+K74+M74+O74+Q74+S74+U74+W74+Y74+AA74+AC74+AE74+AG74+AI74+AK74)</f>
        <v/>
      </c>
      <c r="F74" s="1325" t="n"/>
      <c r="G74" s="1289" t="n"/>
      <c r="H74" s="1172" t="n"/>
      <c r="I74" s="886" t="n"/>
      <c r="J74" s="1172" t="n"/>
      <c r="K74" s="886" t="n"/>
      <c r="L74" s="1172" t="n"/>
      <c r="M74" s="886" t="n"/>
      <c r="N74" s="1172" t="n"/>
      <c r="O74" s="886" t="n"/>
      <c r="P74" s="1172" t="n"/>
      <c r="Q74" s="886" t="n"/>
      <c r="R74" s="1172" t="n"/>
      <c r="S74" s="886" t="n"/>
      <c r="T74" s="1172" t="n"/>
      <c r="U74" s="886" t="n"/>
      <c r="V74" s="1172" t="n"/>
      <c r="W74" s="886" t="n"/>
      <c r="X74" s="1172" t="n"/>
      <c r="Y74" s="886" t="n"/>
      <c r="Z74" s="1172" t="n"/>
      <c r="AA74" s="886" t="n"/>
      <c r="AB74" s="1172" t="n"/>
      <c r="AC74" s="886" t="n"/>
      <c r="AD74" s="1172" t="n"/>
      <c r="AE74" s="886" t="n"/>
      <c r="AF74" s="1172" t="n"/>
      <c r="AG74" s="886" t="n"/>
      <c r="AH74" s="1172" t="n"/>
      <c r="AI74" s="886" t="n"/>
      <c r="AJ74" s="1172" t="n"/>
      <c r="AK74" s="1929" t="n"/>
      <c r="AL74" s="1113" t="n"/>
      <c r="AM74" s="1275" t="n"/>
      <c r="AN74">
        <f>CA74&amp;CB74&amp;CC74</f>
        <v/>
      </c>
      <c r="CA74" s="260">
        <f>IF(AND($C74&gt;0,AL74="")," * No olvide digitar la variable Pueblos Originarios. Digite cero si no tiene.",IF(AL74&gt;$C74," * La variable Pueblos Originarios no puede ser mayor al Total Ambos Sexos.",""))</f>
        <v/>
      </c>
      <c r="CB74" s="260">
        <f>IF(AND($C74&gt;0,AM74="")," * No olvide digitar la variable Migrantes. Digite cero si no tiene.",IF(AM74&gt;$C74," * La variable Migrantes no puede ser mayor al Total Ambos Sexos.",""))</f>
        <v/>
      </c>
      <c r="CK74" s="221">
        <f>IF(AND(C74&gt;0,AL74=""),1,IF(AL74&gt;C74,1,0))</f>
        <v/>
      </c>
      <c r="CL74" s="221">
        <f>IF(AND(C74&gt;0,AM74=""),1,IF(AM74&gt;C74,1,0))</f>
        <v/>
      </c>
    </row>
    <row r="75">
      <c r="A75" s="9908" t="n"/>
      <c r="B75" s="2410" t="inlineStr">
        <is>
          <t>Trabajador/a Social</t>
        </is>
      </c>
      <c r="C75" s="1254">
        <f>SUM(D75+E75)</f>
        <v/>
      </c>
      <c r="D75" s="2340">
        <f>SUM(H75+J75+L75+N75+P75+R75+T75+V75+X75+Z75+AB75+AD75+AF75+AH75+AJ75)</f>
        <v/>
      </c>
      <c r="E75" s="1171">
        <f>SUM(I75+K75+M75+O75+Q75+S75+U75+W75+Y75+AA75+AC75+AE75+AG75+AI75+AK75)</f>
        <v/>
      </c>
      <c r="F75" s="1325" t="n"/>
      <c r="G75" s="1289" t="n"/>
      <c r="H75" s="1172" t="n"/>
      <c r="I75" s="886" t="n"/>
      <c r="J75" s="1172" t="n"/>
      <c r="K75" s="886" t="n"/>
      <c r="L75" s="1172" t="n"/>
      <c r="M75" s="886" t="n"/>
      <c r="N75" s="1172" t="n"/>
      <c r="O75" s="886" t="n"/>
      <c r="P75" s="1172" t="n"/>
      <c r="Q75" s="886" t="n"/>
      <c r="R75" s="1172" t="n"/>
      <c r="S75" s="886" t="n"/>
      <c r="T75" s="1172" t="n"/>
      <c r="U75" s="886" t="n"/>
      <c r="V75" s="1172" t="n"/>
      <c r="W75" s="886" t="n"/>
      <c r="X75" s="1172" t="n"/>
      <c r="Y75" s="886" t="n"/>
      <c r="Z75" s="1172" t="n"/>
      <c r="AA75" s="886" t="n"/>
      <c r="AB75" s="1172" t="n"/>
      <c r="AC75" s="886" t="n"/>
      <c r="AD75" s="1172" t="n"/>
      <c r="AE75" s="886" t="n"/>
      <c r="AF75" s="1172" t="n"/>
      <c r="AG75" s="886" t="n"/>
      <c r="AH75" s="1172" t="n"/>
      <c r="AI75" s="886" t="n"/>
      <c r="AJ75" s="1172" t="n"/>
      <c r="AK75" s="1929" t="n"/>
      <c r="AL75" s="1113" t="n"/>
      <c r="AM75" s="1275" t="n"/>
      <c r="AN75">
        <f>CA75&amp;CB75&amp;CC75</f>
        <v/>
      </c>
      <c r="CA75" s="260">
        <f>IF(AND($C75&gt;0,AL75="")," * No olvide digitar la variable Pueblos Originarios. Digite cero si no tiene.",IF(AL75&gt;$C75," * La variable Pueblos Originarios no puede ser mayor al Total Ambos Sexos.",""))</f>
        <v/>
      </c>
      <c r="CB75" s="260">
        <f>IF(AND($C75&gt;0,AM75="")," * No olvide digitar la variable Migrantes. Digite cero si no tiene.",IF(AM75&gt;$C75," * La variable Migrantes no puede ser mayor al Total Ambos Sexos.",""))</f>
        <v/>
      </c>
      <c r="CK75" s="221">
        <f>IF(AND(C75&gt;0,AL75=""),1,IF(AL75&gt;C75,1,0))</f>
        <v/>
      </c>
      <c r="CL75" s="221">
        <f>IF(AND(C75&gt;0,AM75=""),1,IF(AM75&gt;C75,1,0))</f>
        <v/>
      </c>
    </row>
    <row r="76">
      <c r="A76" s="10000" t="n"/>
      <c r="B76" s="2411" t="inlineStr">
        <is>
          <t>Otros Profesionales</t>
        </is>
      </c>
      <c r="C76" s="1252">
        <f>SUM(D76+E76)</f>
        <v/>
      </c>
      <c r="D76" s="1253">
        <f>SUM(H76+J76+L76+N76+P76+R76+T76+V76+X76+Z76+AB76+AD76+AF76+AH76+AJ76)</f>
        <v/>
      </c>
      <c r="E76" s="1178">
        <f>SUM(I76+K76+M76+O76+Q76+S76+U76+W76+Y76+AA76+AC76+AE76+AG76+AI76+AK76)</f>
        <v/>
      </c>
      <c r="F76" s="1312" t="n"/>
      <c r="G76" s="1314" t="n"/>
      <c r="H76" s="1188" t="n"/>
      <c r="I76" s="1119" t="n"/>
      <c r="J76" s="1188" t="n"/>
      <c r="K76" s="1119" t="n"/>
      <c r="L76" s="1188" t="n"/>
      <c r="M76" s="1119" t="n"/>
      <c r="N76" s="1188" t="n"/>
      <c r="O76" s="1119" t="n"/>
      <c r="P76" s="1188" t="n"/>
      <c r="Q76" s="1119" t="n"/>
      <c r="R76" s="1188" t="n"/>
      <c r="S76" s="1119" t="n"/>
      <c r="T76" s="1188" t="n"/>
      <c r="U76" s="1119" t="n"/>
      <c r="V76" s="1188" t="n"/>
      <c r="W76" s="1119" t="n"/>
      <c r="X76" s="1188" t="n"/>
      <c r="Y76" s="1119" t="n"/>
      <c r="Z76" s="1188" t="n"/>
      <c r="AA76" s="1119" t="n"/>
      <c r="AB76" s="1188" t="n"/>
      <c r="AC76" s="1119" t="n"/>
      <c r="AD76" s="1188" t="n"/>
      <c r="AE76" s="1119" t="n"/>
      <c r="AF76" s="1188" t="n"/>
      <c r="AG76" s="1119" t="n"/>
      <c r="AH76" s="1188" t="n"/>
      <c r="AI76" s="1119" t="n"/>
      <c r="AJ76" s="1188" t="n"/>
      <c r="AK76" s="1224" t="n"/>
      <c r="AL76" s="1350" t="n"/>
      <c r="AM76" s="1277" t="n"/>
      <c r="AN76">
        <f>CA76&amp;CB76&amp;CC76</f>
        <v/>
      </c>
      <c r="CA76" s="260">
        <f>IF(AND($C76&gt;0,AL76="")," * No olvide digitar la variable Pueblos Originarios. Digite cero si no tiene.",IF(AL76&gt;$C76," * La variable Pueblos Originarios no puede ser mayor al Total Ambos Sexos.",""))</f>
        <v/>
      </c>
      <c r="CB76" s="260">
        <f>IF(AND($C76&gt;0,AM76="")," * No olvide digitar la variable Migrantes. Digite cero si no tiene.",IF(AM76&gt;$C76," * La variable Migrantes no puede ser mayor al Total Ambos Sexos.",""))</f>
        <v/>
      </c>
      <c r="CK76" s="221">
        <f>IF(AND(C76&gt;0,AL76=""),1,IF(AL76&gt;C76,1,0))</f>
        <v/>
      </c>
      <c r="CL76" s="221">
        <f>IF(AND(C76&gt;0,AM76=""),1,IF(AM76&gt;C76,1,0))</f>
        <v/>
      </c>
    </row>
    <row r="77" ht="18" customFormat="1" customHeight="1" s="5">
      <c r="A77" s="2418" t="inlineStr">
        <is>
          <t>SECCIÓN B.4: DISPOSITIVOS DE SALUD MENTAL</t>
        </is>
      </c>
      <c r="B77" s="7963" t="n"/>
      <c r="C77" s="7963" t="n"/>
      <c r="D77" s="2419" t="n"/>
      <c r="E77" s="2419" t="n"/>
      <c r="F77" s="2419" t="n"/>
      <c r="G77" s="33" t="n"/>
      <c r="H77" s="33" t="n"/>
      <c r="I77" s="33" t="n"/>
    </row>
    <row r="78" ht="23.25" customHeight="1" s="8286">
      <c r="A78" s="5245" t="inlineStr">
        <is>
          <t>TIPO DE DISPOSITIVO</t>
        </is>
      </c>
      <c r="B78" s="9420" t="inlineStr">
        <is>
          <t>Nº DE PERSONAS ATENDIDAS</t>
        </is>
      </c>
      <c r="C78" s="10070" t="n"/>
      <c r="D78" s="9420" t="inlineStr">
        <is>
          <t>DÍAS DE ESTADA DE PERSONAS ATENDIDAS EN EL MES</t>
        </is>
      </c>
      <c r="E78" s="10070" t="n"/>
      <c r="F78" s="10071" t="inlineStr">
        <is>
          <t>Nº DE EGRESOS</t>
        </is>
      </c>
      <c r="G78" s="10072" t="n"/>
      <c r="H78" s="10071" t="inlineStr">
        <is>
          <t>Nº DE PERSONAS EN LISTA DE ESPERA</t>
        </is>
      </c>
      <c r="I78" s="10072" t="n"/>
    </row>
    <row r="79" ht="23.25" customHeight="1" s="8286">
      <c r="A79" s="10000" t="n"/>
      <c r="B79" s="2422" t="inlineStr">
        <is>
          <t>Menos de 20 años</t>
        </is>
      </c>
      <c r="C79" s="2423" t="inlineStr">
        <is>
          <t>20 y más años</t>
        </is>
      </c>
      <c r="D79" s="2422" t="inlineStr">
        <is>
          <t>Menos de 20 años</t>
        </is>
      </c>
      <c r="E79" s="2424" t="inlineStr">
        <is>
          <t>20 y más años</t>
        </is>
      </c>
      <c r="F79" s="2425" t="inlineStr">
        <is>
          <t>Menos de 20 años</t>
        </is>
      </c>
      <c r="G79" s="2423" t="inlineStr">
        <is>
          <t>20 y más años</t>
        </is>
      </c>
      <c r="H79" s="2425" t="inlineStr">
        <is>
          <t>Menos de 20 años</t>
        </is>
      </c>
      <c r="I79" s="2423" t="inlineStr">
        <is>
          <t>20 y más años</t>
        </is>
      </c>
    </row>
    <row r="80" ht="15" customHeight="1" s="8286">
      <c r="A80" s="2426" t="inlineStr">
        <is>
          <t xml:space="preserve">Hogar Protegido  </t>
        </is>
      </c>
      <c r="B80" s="2427" t="n"/>
      <c r="C80" s="2428" t="n"/>
      <c r="D80" s="2427" t="n"/>
      <c r="E80" s="2429" t="n"/>
      <c r="F80" s="2430" t="n"/>
      <c r="G80" s="2428" t="n"/>
      <c r="H80" s="2430" t="n"/>
      <c r="I80" s="2428" t="n"/>
    </row>
    <row r="81" ht="15" customHeight="1" s="8286">
      <c r="A81" s="2431" t="inlineStr">
        <is>
          <t>Residencia Protegida</t>
        </is>
      </c>
      <c r="B81" s="1274" t="n"/>
      <c r="C81" s="1102" t="n"/>
      <c r="D81" s="1274" t="n"/>
      <c r="E81" s="2432" t="n"/>
      <c r="F81" s="1284" t="n"/>
      <c r="G81" s="1102" t="n"/>
      <c r="H81" s="1284" t="n"/>
      <c r="I81" s="1102" t="n"/>
    </row>
    <row r="82" ht="15" customHeight="1" s="8286">
      <c r="A82" s="2431" t="inlineStr">
        <is>
          <t>Hospital Psiquiátrico Diurno</t>
        </is>
      </c>
      <c r="B82" s="1274" t="n"/>
      <c r="C82" s="1102" t="n"/>
      <c r="D82" s="1274" t="n"/>
      <c r="E82" s="2432" t="n"/>
      <c r="F82" s="1284" t="n"/>
      <c r="G82" s="1102" t="n"/>
      <c r="H82" s="1284" t="n"/>
      <c r="I82" s="1102" t="n"/>
    </row>
    <row r="83" ht="15" customHeight="1" s="8286">
      <c r="A83" s="1300" t="inlineStr">
        <is>
          <t>Centro Privativo de Libertad (SENAME)</t>
        </is>
      </c>
      <c r="B83" s="1188" t="n"/>
      <c r="C83" s="1323" t="n"/>
      <c r="D83" s="1188" t="n"/>
      <c r="E83" s="1324" t="n"/>
      <c r="F83" s="1193" t="n"/>
      <c r="G83" s="1323" t="n"/>
      <c r="H83" s="1193" t="n"/>
      <c r="I83" s="1323" t="n"/>
    </row>
    <row r="84" ht="18" customFormat="1" customHeight="1" s="5">
      <c r="A84" s="2" t="inlineStr">
        <is>
          <t>SECCIÓN C.1: ACTIVIDADES DE COORDINACION SECTORIAL, INTERSECTORIAL Y COMUNITARIA</t>
        </is>
      </c>
      <c r="B84" s="2390" t="n"/>
      <c r="C84" s="2390" t="n"/>
      <c r="D84" s="2390" t="n"/>
    </row>
    <row r="85" ht="31.5" customHeight="1" s="8286">
      <c r="A85" s="7977" t="inlineStr">
        <is>
          <t>ACTIVIDADES</t>
        </is>
      </c>
      <c r="B85" s="7839" t="inlineStr">
        <is>
          <t>TOTAL DE PARTICIPANTES</t>
        </is>
      </c>
      <c r="C85" s="7968" t="inlineStr">
        <is>
          <t>Nº REUNIONES / SESIONES</t>
        </is>
      </c>
      <c r="D85" s="8004" t="inlineStr">
        <is>
          <t>Nº INSTITUCIONES,  ORGANIZACIONES  PARTICIPANTES</t>
        </is>
      </c>
    </row>
    <row r="86">
      <c r="A86" s="2434" t="inlineStr">
        <is>
          <t>Trabajo Intersectorial</t>
        </is>
      </c>
      <c r="B86" s="2435" t="n"/>
      <c r="C86" s="2436" t="n"/>
      <c r="D86" s="2437" t="n"/>
    </row>
    <row r="87">
      <c r="A87" s="2431" t="inlineStr">
        <is>
          <t>Trabajo con Organizaciones Comunitarias de Base</t>
        </is>
      </c>
      <c r="B87" s="2438" t="n"/>
      <c r="C87" s="1124" t="n"/>
      <c r="D87" s="1125" t="n"/>
    </row>
    <row r="88">
      <c r="A88" s="2431" t="inlineStr">
        <is>
          <t>Trabajo con Organizaciones de Usuarios y Familiares</t>
        </is>
      </c>
      <c r="B88" s="2438" t="n"/>
      <c r="C88" s="1124" t="n"/>
      <c r="D88" s="1125" t="n"/>
    </row>
    <row r="89">
      <c r="A89" s="2439" t="inlineStr">
        <is>
          <t>Colaboración con Grupo de Autoayuda</t>
        </is>
      </c>
      <c r="B89" s="2438" t="n"/>
      <c r="C89" s="1124" t="n"/>
      <c r="D89" s="1125" t="n"/>
    </row>
    <row r="90" ht="22.5" customHeight="1" s="8286">
      <c r="A90" s="1209" t="inlineStr">
        <is>
          <t>Reuniones con Instituciones del Sector Salud Programa Acompañamiento Psicosocial</t>
        </is>
      </c>
      <c r="B90" s="2438" t="n"/>
      <c r="C90" s="1124" t="n"/>
      <c r="D90" s="1125" t="n"/>
    </row>
    <row r="91" ht="22.5" customHeight="1" s="8286">
      <c r="A91" s="1209" t="inlineStr">
        <is>
          <t>Reuniones con Instituciones del Intersector Acompañamiento Psicosocial</t>
        </is>
      </c>
      <c r="B91" s="2440" t="n"/>
      <c r="C91" s="1124" t="n"/>
      <c r="D91" s="1125" t="n"/>
    </row>
    <row r="92" ht="22.5" customHeight="1" s="8286">
      <c r="A92" s="1209" t="inlineStr">
        <is>
          <t>Reuniones con Organizaciones Comunitarias Acompañamiento Psicosocial</t>
        </is>
      </c>
      <c r="B92" s="2438" t="n"/>
      <c r="C92" s="1124" t="n"/>
      <c r="D92" s="1125" t="n"/>
    </row>
    <row r="93">
      <c r="A93" s="1240" t="inlineStr">
        <is>
          <t>Reuniones con el sector salud</t>
        </is>
      </c>
      <c r="B93" s="2441" t="n"/>
      <c r="C93" s="1137" t="n"/>
      <c r="D93" s="1138" t="n"/>
    </row>
    <row r="94" ht="18" customFormat="1" customHeight="1" s="5">
      <c r="A94" s="2393" t="inlineStr">
        <is>
          <t>SECCIÓN C.2: INFORMES A TRIBUNALES</t>
        </is>
      </c>
      <c r="B94" s="14" t="n"/>
      <c r="C94" s="14" t="n"/>
      <c r="D94" s="14" t="n"/>
      <c r="E94" s="7" t="n"/>
      <c r="F94" s="14" t="n"/>
    </row>
    <row r="95">
      <c r="A95" s="8400" t="inlineStr">
        <is>
          <t>TRIBUNALES</t>
        </is>
      </c>
      <c r="B95" s="10073" t="inlineStr">
        <is>
          <t>Menos de 18 años</t>
        </is>
      </c>
      <c r="C95" s="10074" t="inlineStr">
        <is>
          <t>18 y más años</t>
        </is>
      </c>
      <c r="D95" s="10075" t="inlineStr">
        <is>
          <t>Nº informes</t>
        </is>
      </c>
      <c r="E95" s="9420" t="inlineStr">
        <is>
          <t>ASISTENCIA A TRIBUNALES</t>
        </is>
      </c>
      <c r="F95" s="10070" t="n"/>
    </row>
    <row r="96">
      <c r="A96" s="9610" t="n"/>
      <c r="B96" s="10076" t="n"/>
      <c r="C96" s="10077" t="n"/>
      <c r="D96" s="10078" t="n"/>
      <c r="E96" s="2422" t="inlineStr">
        <is>
          <t>Nº de profesionales</t>
        </is>
      </c>
      <c r="F96" s="7972" t="inlineStr">
        <is>
          <t>Nº de veces</t>
        </is>
      </c>
    </row>
    <row r="97">
      <c r="A97" s="8385" t="inlineStr">
        <is>
          <t>De Familia</t>
        </is>
      </c>
      <c r="B97" s="1172" t="n"/>
      <c r="C97" s="2001" t="n"/>
      <c r="D97" s="2336" t="n"/>
      <c r="E97" s="2266" t="n"/>
      <c r="F97" s="2336" t="n"/>
    </row>
    <row r="98">
      <c r="A98" s="1215" t="inlineStr">
        <is>
          <t>Penales</t>
        </is>
      </c>
      <c r="B98" s="1172" t="n"/>
      <c r="C98" s="2001" t="n"/>
      <c r="D98" s="1173" t="n"/>
      <c r="E98" s="1172" t="n"/>
      <c r="F98" s="1173" t="n"/>
    </row>
    <row r="99">
      <c r="A99" s="1215" t="inlineStr">
        <is>
          <t>Civiles</t>
        </is>
      </c>
      <c r="B99" s="1172" t="n"/>
      <c r="C99" s="2001" t="n"/>
      <c r="D99" s="1173" t="n"/>
      <c r="E99" s="1172" t="n"/>
      <c r="F99" s="1173" t="n"/>
    </row>
    <row r="100">
      <c r="A100" s="1215" t="inlineStr">
        <is>
          <t>Policía Local</t>
        </is>
      </c>
      <c r="B100" s="1172" t="n"/>
      <c r="C100" s="2001" t="n"/>
      <c r="D100" s="1173" t="n"/>
      <c r="E100" s="1172" t="n"/>
      <c r="F100" s="1173" t="n"/>
    </row>
    <row r="101">
      <c r="A101" s="1215" t="inlineStr">
        <is>
          <t>Laborales</t>
        </is>
      </c>
      <c r="B101" s="1172" t="n"/>
      <c r="C101" s="2001" t="n"/>
      <c r="D101" s="1173" t="n"/>
      <c r="E101" s="1172" t="n"/>
      <c r="F101" s="1173" t="n"/>
    </row>
    <row r="102">
      <c r="A102" s="7964" t="inlineStr">
        <is>
          <t>TOTAL</t>
        </is>
      </c>
      <c r="B102" s="2443">
        <f>SUM(B97:B101)</f>
        <v/>
      </c>
      <c r="C102" s="2444">
        <f>SUM(C97:C101)</f>
        <v/>
      </c>
      <c r="D102" s="2445">
        <f>SUM(D97:D101)</f>
        <v/>
      </c>
      <c r="E102" s="2443">
        <f>SUM(E97:E101)</f>
        <v/>
      </c>
      <c r="F102" s="2446">
        <f>SUM(F97:F101)</f>
        <v/>
      </c>
    </row>
    <row r="103">
      <c r="A103" s="2393" t="inlineStr">
        <is>
          <t>SECCIÓN C.3: INFORMES A INTERSECTOR</t>
        </is>
      </c>
      <c r="B103" s="14" t="n"/>
      <c r="C103" s="14" t="n"/>
      <c r="D103" s="14" t="n"/>
      <c r="E103" s="7" t="n"/>
      <c r="F103" s="14" t="n"/>
    </row>
    <row r="104">
      <c r="A104" s="8400" t="inlineStr">
        <is>
          <t>INTERSECTOR</t>
        </is>
      </c>
      <c r="B104" s="10073" t="inlineStr">
        <is>
          <t>Menos de 18 años</t>
        </is>
      </c>
      <c r="C104" s="10075" t="inlineStr">
        <is>
          <t>18 y más años</t>
        </is>
      </c>
      <c r="D104" s="10079" t="inlineStr">
        <is>
          <t>Nº informes</t>
        </is>
      </c>
      <c r="E104" s="10080" t="inlineStr">
        <is>
          <t xml:space="preserve">SENAME/ Servicio Nacional de Reinserción social Juvenil </t>
        </is>
      </c>
      <c r="F104" s="10081" t="inlineStr">
        <is>
          <t>Servicio Nacional Protección Especializada a la Niñez y Adolescencia</t>
        </is>
      </c>
    </row>
    <row r="105" ht="41.25" customHeight="1" s="8286">
      <c r="A105" s="9610" t="n"/>
      <c r="B105" s="10076" t="n"/>
      <c r="C105" s="10078" t="n"/>
      <c r="D105" s="10064" t="n"/>
      <c r="E105" s="10082" t="n"/>
      <c r="F105" s="10083" t="n"/>
    </row>
    <row r="106">
      <c r="A106" s="8385" t="inlineStr">
        <is>
          <t>Establecimientos Educacionales</t>
        </is>
      </c>
      <c r="B106" s="2266" t="n"/>
      <c r="C106" s="1173" t="n"/>
      <c r="D106" s="2298" t="n"/>
      <c r="E106" s="2376" t="n"/>
      <c r="F106" s="2336" t="n"/>
    </row>
    <row r="107" ht="21" customHeight="1" s="8286">
      <c r="A107" s="1215" t="inlineStr">
        <is>
          <t>Oficina local de la Niñez / Oficina de Protección de Derechos de la Infancia</t>
        </is>
      </c>
      <c r="B107" s="1172" t="n"/>
      <c r="C107" s="1173" t="n"/>
      <c r="D107" s="1247" t="n"/>
      <c r="E107" s="2447" t="n"/>
      <c r="F107" s="1173" t="n"/>
    </row>
    <row r="108">
      <c r="A108" s="1215" t="inlineStr">
        <is>
          <t>Otros Programas</t>
        </is>
      </c>
      <c r="B108" s="1172" t="n"/>
      <c r="C108" s="1173" t="n"/>
      <c r="D108" s="1247" t="n"/>
      <c r="E108" s="1174" t="n"/>
      <c r="F108" s="1173" t="n"/>
    </row>
    <row r="109">
      <c r="A109" s="7964" t="inlineStr">
        <is>
          <t>TOTAL</t>
        </is>
      </c>
      <c r="B109" s="2443">
        <f>SUM(B106:B108)</f>
        <v/>
      </c>
      <c r="C109" s="2445">
        <f>SUM(C106:C108)</f>
        <v/>
      </c>
      <c r="D109" s="2448">
        <f>SUM(D106:D108)</f>
        <v/>
      </c>
      <c r="E109" s="2449">
        <f>SUM(E106:E108)</f>
        <v/>
      </c>
      <c r="F109" s="2446">
        <f>SUM(F106:F108)</f>
        <v/>
      </c>
    </row>
    <row r="110" ht="18" customFormat="1" customHeight="1" s="5">
      <c r="A110" s="2450" t="inlineStr">
        <is>
          <t>SECCIÓN D: PLANES Y EVALUACIONES PROGRAMA DE ACOMPAÑAMIENTO PSICOSOCIAL EN ATENCIÓN PRIMARIA</t>
        </is>
      </c>
      <c r="B110" s="3" t="n"/>
      <c r="C110" s="3" t="n"/>
      <c r="D110" s="3" t="n"/>
      <c r="E110" s="2394" t="n"/>
      <c r="F110" s="2451" t="n"/>
      <c r="G110" s="2394" t="n"/>
      <c r="H110" s="2394" t="n"/>
      <c r="I110" s="2394" t="n"/>
      <c r="J110" s="2394" t="n"/>
      <c r="K110" s="2394" t="n"/>
      <c r="L110" s="2394" t="n"/>
      <c r="M110" s="2394" t="n"/>
      <c r="N110" s="14" t="n"/>
      <c r="O110" s="14" t="n"/>
      <c r="P110" s="14" t="n"/>
    </row>
    <row r="111">
      <c r="A111" s="9977" t="inlineStr">
        <is>
          <t>ACTIVIDAD</t>
        </is>
      </c>
      <c r="B111" s="9939" t="inlineStr">
        <is>
          <t xml:space="preserve">TOTAL               </t>
        </is>
      </c>
      <c r="C111" s="9602" t="n"/>
      <c r="D111" s="9630" t="n"/>
      <c r="E111" s="10006" t="inlineStr">
        <is>
          <t>RANGO ETARIO Y SEXO</t>
        </is>
      </c>
      <c r="F111" s="9584" t="n"/>
      <c r="G111" s="9584" t="n"/>
      <c r="H111" s="9584" t="n"/>
      <c r="I111" s="9584" t="n"/>
      <c r="J111" s="9584" t="n"/>
      <c r="K111" s="9584" t="n"/>
      <c r="L111" s="9584" t="n"/>
      <c r="M111" s="9584" t="n"/>
      <c r="N111" s="2452" t="n"/>
      <c r="O111" s="10044" t="inlineStr">
        <is>
          <t>Pueblos Originarios</t>
        </is>
      </c>
      <c r="P111" s="10084" t="inlineStr">
        <is>
          <t>Migrantes</t>
        </is>
      </c>
    </row>
    <row r="112">
      <c r="A112" s="9614" t="n"/>
      <c r="B112" s="9638" t="n"/>
      <c r="C112" s="9697" t="n"/>
      <c r="D112" s="9639" t="n"/>
      <c r="E112" s="9240" t="inlineStr">
        <is>
          <t>0 - 4 años</t>
        </is>
      </c>
      <c r="F112" s="9647" t="n"/>
      <c r="G112" s="9240" t="inlineStr">
        <is>
          <t>5 - 9 años</t>
        </is>
      </c>
      <c r="H112" s="9647" t="n"/>
      <c r="I112" s="9240" t="inlineStr">
        <is>
          <t>10 - 14 años</t>
        </is>
      </c>
      <c r="J112" s="9647" t="n"/>
      <c r="K112" s="9240" t="inlineStr">
        <is>
          <t>15 - 19 años</t>
        </is>
      </c>
      <c r="L112" s="9647" t="n"/>
      <c r="M112" s="9976" t="inlineStr">
        <is>
          <t>20 - 24 años</t>
        </is>
      </c>
      <c r="N112" s="9595" t="n"/>
      <c r="O112" s="10049" t="n"/>
      <c r="P112" s="10085" t="n"/>
    </row>
    <row r="113">
      <c r="A113" s="9610" t="n"/>
      <c r="B113" s="2167" t="inlineStr">
        <is>
          <t>Ambos Sexos</t>
        </is>
      </c>
      <c r="C113" s="2042" t="inlineStr">
        <is>
          <t>Hombres</t>
        </is>
      </c>
      <c r="D113" s="7976" t="inlineStr">
        <is>
          <t>Mujeres</t>
        </is>
      </c>
      <c r="E113" s="7932" t="inlineStr">
        <is>
          <t>Hombres</t>
        </is>
      </c>
      <c r="F113" s="7729" t="inlineStr">
        <is>
          <t>Mujeres</t>
        </is>
      </c>
      <c r="G113" s="7932" t="inlineStr">
        <is>
          <t>Hombres</t>
        </is>
      </c>
      <c r="H113" s="7729" t="inlineStr">
        <is>
          <t>Mujeres</t>
        </is>
      </c>
      <c r="I113" s="7932" t="inlineStr">
        <is>
          <t>Hombres</t>
        </is>
      </c>
      <c r="J113" s="7729" t="inlineStr">
        <is>
          <t>Mujeres</t>
        </is>
      </c>
      <c r="K113" s="7932" t="inlineStr">
        <is>
          <t>Hombres</t>
        </is>
      </c>
      <c r="L113" s="7729" t="inlineStr">
        <is>
          <t>Mujeres</t>
        </is>
      </c>
      <c r="M113" s="7932" t="inlineStr">
        <is>
          <t>Hombres</t>
        </is>
      </c>
      <c r="N113" s="7684" t="inlineStr">
        <is>
          <t>Mujeres</t>
        </is>
      </c>
      <c r="O113" s="10053" t="n"/>
      <c r="P113" s="10086" t="n"/>
    </row>
    <row r="114">
      <c r="A114" s="8050" t="inlineStr">
        <is>
          <t>Plan de Acompañamiento Elaborados</t>
        </is>
      </c>
      <c r="B114" s="2282">
        <f>SUM(C114:D114)</f>
        <v/>
      </c>
      <c r="C114" s="2275">
        <f>SUM(E114+G114+I114+K114+M114)</f>
        <v/>
      </c>
      <c r="D114" s="2152">
        <f>SUM(F114+H114+J114+L114+N114)</f>
        <v/>
      </c>
      <c r="E114" s="2436" t="n"/>
      <c r="F114" s="2437" t="n"/>
      <c r="G114" s="2436" t="n"/>
      <c r="H114" s="2437" t="n"/>
      <c r="I114" s="2436" t="n"/>
      <c r="J114" s="2455" t="n"/>
      <c r="K114" s="2436" t="n"/>
      <c r="L114" s="2455" t="n"/>
      <c r="M114" s="2456" t="n"/>
      <c r="N114" s="1465" t="n"/>
      <c r="O114" s="2457" t="n"/>
      <c r="P114" s="2458" t="n"/>
      <c r="Q114">
        <f>CA114&amp;CB114</f>
        <v/>
      </c>
      <c r="CA114" s="260">
        <f>IF(AND($B114&gt;0,O114="")," * No olvide digitar la variable Pueblos Originarios. Digite cero si no tiene.",IF(O114&gt;$B114,"* La variable Pueblos Originarios no puede ser mayor al Total Ambos Sexos.",""))</f>
        <v/>
      </c>
      <c r="CB114" s="260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/>
      </c>
      <c r="CL114" s="221">
        <f>IF(AND(B114&gt;0,P114=""),1,IF(P114&gt;B114,1,0))</f>
        <v/>
      </c>
    </row>
    <row r="115" ht="21.75" customHeight="1" s="8286">
      <c r="A115" s="1215" t="inlineStr">
        <is>
          <t>Plan de Acompañamiento con Mejoría al Egreso del Programa</t>
        </is>
      </c>
      <c r="B115" s="1254">
        <f>SUM(C115:D115)</f>
        <v/>
      </c>
      <c r="C115" s="2284">
        <f>SUM(E115+G115+I115+K115+M115)</f>
        <v/>
      </c>
      <c r="D115" s="1171">
        <f>SUM(F115+H115+J115+L115+N115)</f>
        <v/>
      </c>
      <c r="E115" s="1124" t="n"/>
      <c r="F115" s="1125" t="n"/>
      <c r="G115" s="1124" t="n"/>
      <c r="H115" s="1125" t="n"/>
      <c r="I115" s="1124" t="n"/>
      <c r="J115" s="1125" t="n"/>
      <c r="K115" s="1124" t="n"/>
      <c r="L115" s="1125" t="n"/>
      <c r="M115" s="1128" t="n"/>
      <c r="N115" s="880" t="n"/>
      <c r="O115" s="2459" t="n"/>
      <c r="P115" s="2460" t="n"/>
      <c r="Q115">
        <f>CA115&amp;CB115</f>
        <v/>
      </c>
      <c r="CA115" s="260">
        <f>IF(AND($B115&gt;0,O115="")," * No olvide digitar la variable Pueblos Originarios. Digite cero si no tiene.",IF(O115&gt;$B115,"* La variable Pueblos Originarios no puede ser mayor al Total Ambos Sexos.",""))</f>
        <v/>
      </c>
      <c r="CB115" s="260">
        <f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/>
      </c>
      <c r="CL115" s="221">
        <f>IF(AND(B115&gt;0,P115=""),1,IF(P115&gt;B115,1,0))</f>
        <v/>
      </c>
    </row>
    <row r="116" ht="21.75" customHeight="1" s="8286">
      <c r="A116" s="8055" t="inlineStr">
        <is>
          <t>Evaluaciones Participativas Realizadas al Egreso del Programa</t>
        </is>
      </c>
      <c r="B116" s="2462">
        <f>SUM(C116:D116)</f>
        <v/>
      </c>
      <c r="C116" s="2463">
        <f>SUM(E116+G116+I116+K116+M116)</f>
        <v/>
      </c>
      <c r="D116" s="2464">
        <f>SUM(F116+H116+J116+L116+N116)</f>
        <v/>
      </c>
      <c r="E116" s="2465" t="n"/>
      <c r="F116" s="2466" t="n"/>
      <c r="G116" s="2465" t="n"/>
      <c r="H116" s="189" t="n"/>
      <c r="I116" s="2465" t="n"/>
      <c r="J116" s="2466" t="n"/>
      <c r="K116" s="2465" t="n"/>
      <c r="L116" s="2466" t="n"/>
      <c r="M116" s="2467" t="n"/>
      <c r="N116" s="190" t="n"/>
      <c r="O116" s="2468" t="n"/>
      <c r="P116" s="2469" t="n"/>
      <c r="Q116">
        <f>CA116&amp;CB116</f>
        <v/>
      </c>
      <c r="CA116" s="260">
        <f>IF(AND($B116&gt;0,O116="")," * No olvide digitar la variable Pueblos Originarios. Digite cero si no tiene.",IF(O116&gt;$B116,"* La variable Pueblos Originarios no puede ser mayor al Total Ambos Sexos.",""))</f>
        <v/>
      </c>
      <c r="CB116" s="260">
        <f>IF(AND($B116&gt;0,P116="")," * No olvide digitar la variable Migrantes. Digite cero si no tiene.",IF(P116&gt;$B116,"* La variable Migrantes no puede ser mayor al Total Ambos Sexos.",""))</f>
        <v/>
      </c>
      <c r="CK116" s="221">
        <f>IF(AND(B116&gt;0,O116=""),1,IF(O116&gt;B116,1,0))</f>
        <v/>
      </c>
      <c r="CL116" s="221">
        <f>IF(AND(B116&gt;0,P116=""),1,IF(P116&gt;B116,1,0))</f>
        <v/>
      </c>
    </row>
    <row r="117" ht="18" customFormat="1" customHeight="1" s="5">
      <c r="A117" s="8744" t="inlineStr">
        <is>
          <t>SECCIÓN E: PERSONAS CON EVALUACIÓN Y CONFIRMACIÓN DIAGNOSTICA EN APS</t>
        </is>
      </c>
      <c r="D117" s="3" t="n"/>
    </row>
    <row r="118">
      <c r="A118" s="8400" t="inlineStr">
        <is>
          <t>N° DE ENTREVISTAS</t>
        </is>
      </c>
      <c r="B118" s="9915" t="inlineStr">
        <is>
          <t>REALIZADA POR</t>
        </is>
      </c>
      <c r="C118" s="9584" t="n"/>
      <c r="D118" s="9595" t="n"/>
      <c r="E118" s="10087" t="inlineStr">
        <is>
          <t>N° Confirmaciones Diagnósticas</t>
        </is>
      </c>
    </row>
    <row r="119">
      <c r="A119" s="9610" t="n"/>
      <c r="B119" s="2167" t="inlineStr">
        <is>
          <t>1 Profesional</t>
        </is>
      </c>
      <c r="C119" s="2471" t="inlineStr">
        <is>
          <t>2 Profesionales</t>
        </is>
      </c>
      <c r="D119" s="7715" t="inlineStr">
        <is>
          <t>3 Profesionales</t>
        </is>
      </c>
      <c r="E119" s="10088" t="n"/>
    </row>
    <row r="120">
      <c r="A120" s="7964" t="inlineStr">
        <is>
          <t>TOTAL</t>
        </is>
      </c>
      <c r="B120" s="2472" t="n"/>
      <c r="C120" s="2473" t="n"/>
      <c r="D120" s="2474" t="n"/>
      <c r="E120" s="2475" t="n"/>
    </row>
    <row r="121" ht="18" customFormat="1" customHeight="1" s="5">
      <c r="A121" s="2450" t="inlineStr">
        <is>
          <t>SECCIÓN F: EVALUACIONES PROGRAMA PLAN NACIONAL DE DEMENCIA</t>
        </is>
      </c>
      <c r="B121" s="3" t="n"/>
      <c r="C121" s="3" t="n"/>
      <c r="D121" s="7" t="n"/>
      <c r="E121" s="7" t="n"/>
      <c r="F121" s="7" t="n"/>
      <c r="G121" s="7" t="n"/>
      <c r="H121" s="2476" t="n"/>
      <c r="I121" s="2476" t="n"/>
      <c r="J121" s="2476" t="n"/>
    </row>
    <row r="122">
      <c r="A122" s="9977" t="inlineStr">
        <is>
          <t>ACTIVIDAD</t>
        </is>
      </c>
      <c r="B122" s="7674" t="inlineStr">
        <is>
          <t xml:space="preserve">TOTAL               </t>
        </is>
      </c>
      <c r="C122" s="9602" t="n"/>
      <c r="D122" s="9603" t="n"/>
      <c r="E122" s="9240" t="inlineStr">
        <is>
          <t>Aumento</t>
        </is>
      </c>
      <c r="F122" s="9647" t="n"/>
      <c r="G122" s="9240" t="inlineStr">
        <is>
          <t>Mantención</t>
        </is>
      </c>
      <c r="H122" s="9647" t="n"/>
      <c r="I122" s="9240" t="inlineStr">
        <is>
          <t>Disminución</t>
        </is>
      </c>
      <c r="J122" s="9647" t="n"/>
    </row>
    <row r="123">
      <c r="A123" s="9610" t="n"/>
      <c r="B123" s="2167" t="inlineStr">
        <is>
          <t>Ambos Sexos</t>
        </is>
      </c>
      <c r="C123" s="2471" t="inlineStr">
        <is>
          <t>Hombres</t>
        </is>
      </c>
      <c r="D123" s="7729" t="inlineStr">
        <is>
          <t>Mujeres</t>
        </is>
      </c>
      <c r="E123" s="7932" t="inlineStr">
        <is>
          <t>Hombres</t>
        </is>
      </c>
      <c r="F123" s="7729" t="inlineStr">
        <is>
          <t>Mujeres</t>
        </is>
      </c>
      <c r="G123" s="7932" t="inlineStr">
        <is>
          <t>Hombres</t>
        </is>
      </c>
      <c r="H123" s="7729" t="inlineStr">
        <is>
          <t>Mujeres</t>
        </is>
      </c>
      <c r="I123" s="7932" t="inlineStr">
        <is>
          <t>Hombres</t>
        </is>
      </c>
      <c r="J123" s="7729" t="inlineStr">
        <is>
          <t>Mujeres</t>
        </is>
      </c>
    </row>
    <row r="124" ht="21" customHeight="1" s="8286">
      <c r="A124" s="2377" t="inlineStr">
        <is>
          <t>Personas con Demencia con Reevaluación Deterioro GLOBAL GDS REISBERG</t>
        </is>
      </c>
      <c r="B124" s="2282">
        <f>SUM(C124:D124)</f>
        <v/>
      </c>
      <c r="C124" s="2275">
        <f>+E124+G124+I124</f>
        <v/>
      </c>
      <c r="D124" s="2152">
        <f>+F124+H124+J124</f>
        <v/>
      </c>
      <c r="E124" s="2436" t="n"/>
      <c r="F124" s="2437" t="n"/>
      <c r="G124" s="2436" t="n"/>
      <c r="H124" s="2437" t="n"/>
      <c r="I124" s="2436" t="n"/>
      <c r="J124" s="2455" t="n"/>
    </row>
    <row r="125" ht="21" customHeight="1" s="8286">
      <c r="A125" s="1470" t="inlineStr">
        <is>
          <t>Cuidadores Principales de Personas con Demencia con Reevaluación Sobrecarga del Cuidado</t>
        </is>
      </c>
      <c r="B125" s="1931">
        <f>SUM(C125:D125)</f>
        <v/>
      </c>
      <c r="C125" s="1932">
        <f>+E125+G125+I125</f>
        <v/>
      </c>
      <c r="D125" s="1161">
        <f>+F125+H125+J125</f>
        <v/>
      </c>
      <c r="E125" s="1971" t="n"/>
      <c r="F125" s="1122" t="n"/>
      <c r="G125" s="1971" t="n"/>
      <c r="H125" s="1122" t="n"/>
      <c r="I125" s="1971" t="n"/>
      <c r="J125" s="750" t="n"/>
    </row>
    <row r="126" ht="31.5" customHeight="1" s="8286">
      <c r="A126" s="8051" t="inlineStr">
        <is>
          <t>Cuidadores Principales de Personas con Demencia con Evaluación de Satisfacción Usuaria del Proceso de Intervención</t>
        </is>
      </c>
      <c r="B126" s="2462">
        <f>SUM(C126:D126)</f>
        <v/>
      </c>
      <c r="C126" s="2463">
        <f>+E126+G126+I126</f>
        <v/>
      </c>
      <c r="D126" s="2464">
        <f>+F126+H126+J126</f>
        <v/>
      </c>
      <c r="E126" s="2465" t="n"/>
      <c r="F126" s="2466" t="n"/>
      <c r="G126" s="2465" t="n"/>
      <c r="H126" s="189" t="n"/>
      <c r="I126" s="2465" t="n"/>
      <c r="J126" s="2466" t="n"/>
    </row>
    <row r="127" ht="18" customFormat="1" customHeight="1" s="5">
      <c r="A127" s="2450" t="inlineStr">
        <is>
          <t>SECCIÓN G: EVALUACIÓN PROGRAMA DE APOYO A LA SALUD MENTAL INFANTIL (PASMI)</t>
        </is>
      </c>
      <c r="B127" s="2477" t="n"/>
      <c r="C127" s="16" t="n"/>
      <c r="D127" s="16" t="n"/>
      <c r="E127" s="7" t="n"/>
      <c r="F127" s="2478" t="n"/>
      <c r="G127" s="2479" t="n"/>
      <c r="H127" s="2479" t="n"/>
    </row>
    <row r="128" ht="23.25" customHeight="1" s="8286">
      <c r="A128" s="9920" t="inlineStr">
        <is>
          <t>ACTIVIDAD</t>
        </is>
      </c>
      <c r="B128" s="9977" t="inlineStr">
        <is>
          <t>TOTAL</t>
        </is>
      </c>
      <c r="C128" s="7674" t="inlineStr">
        <is>
          <t>5 - 9 AÑOS</t>
        </is>
      </c>
      <c r="D128" s="9603" t="n"/>
      <c r="E128" s="7674" t="inlineStr">
        <is>
          <t>Evaluadores</t>
        </is>
      </c>
      <c r="F128" s="9603" t="n"/>
      <c r="G128" s="9240" t="inlineStr">
        <is>
          <t>Cumplimiento de criterios diagnósticos según  Evaluación Diagnóstica Integral (EDI)</t>
        </is>
      </c>
      <c r="H128" s="9584" t="n"/>
      <c r="I128" s="9647" t="n"/>
    </row>
    <row r="129" ht="42" customHeight="1" s="8286">
      <c r="A129" s="9641" t="n"/>
      <c r="B129" s="9610" t="n"/>
      <c r="C129" s="7932" t="inlineStr">
        <is>
          <t>Hombres</t>
        </is>
      </c>
      <c r="D129" s="7933" t="inlineStr">
        <is>
          <t>Mujeres</t>
        </is>
      </c>
      <c r="E129" s="2011" t="inlineStr">
        <is>
          <t>Equipo biopsicosocial</t>
        </is>
      </c>
      <c r="F129" s="7729" t="inlineStr">
        <is>
          <t>Equipo psicosocial</t>
        </is>
      </c>
      <c r="G129" s="2011" t="inlineStr">
        <is>
          <t>Requiere tratamiento en APS</t>
        </is>
      </c>
      <c r="H129" s="2372" t="inlineStr">
        <is>
          <t>Requiere tratamiento en nivel secundario</t>
        </is>
      </c>
      <c r="I129" s="7729" t="inlineStr">
        <is>
          <t>No Requiere tratamiento</t>
        </is>
      </c>
    </row>
    <row r="130">
      <c r="A130" s="2480" t="inlineStr">
        <is>
          <t>Evaluación Diagnóstica Integral (EDI)</t>
        </is>
      </c>
      <c r="B130" s="2481">
        <f>SUM(C130:D130)</f>
        <v/>
      </c>
      <c r="C130" s="2482" t="n"/>
      <c r="D130" s="2483" t="n"/>
      <c r="E130" s="2482" t="n"/>
      <c r="F130" s="2484" t="n"/>
      <c r="G130" s="2482" t="n"/>
      <c r="H130" s="2482" t="n"/>
      <c r="I130" s="2484" t="n"/>
    </row>
    <row r="131" ht="18" customFormat="1" customHeight="1" s="5">
      <c r="A131" s="9" t="inlineStr">
        <is>
          <t>SECCIÓN H: CONSULTA DE SALUD MENTAL POR EL NIVEL DE ESPECIALIDAD</t>
        </is>
      </c>
      <c r="C131" s="7" t="n"/>
      <c r="E131" s="7" t="n"/>
      <c r="F131" s="7" t="n"/>
      <c r="G131" s="7" t="n"/>
      <c r="H131" s="7" t="n"/>
      <c r="I131" s="7" t="n"/>
      <c r="J131" s="7" t="n"/>
      <c r="K131" s="7" t="n"/>
      <c r="L131" s="7" t="n"/>
      <c r="M131" s="7" t="n"/>
      <c r="N131" s="7" t="n"/>
      <c r="O131" s="7" t="n"/>
      <c r="P131" s="7" t="n"/>
      <c r="Q131" s="7" t="n"/>
      <c r="R131" s="7" t="n"/>
      <c r="S131" s="7" t="n"/>
      <c r="T131" s="7" t="n"/>
      <c r="U131" s="7" t="n"/>
      <c r="V131" s="7" t="n"/>
      <c r="W131" s="7" t="n"/>
      <c r="X131" s="7" t="n"/>
      <c r="Y131" s="7" t="n"/>
      <c r="Z131" s="7" t="n"/>
      <c r="AA131" s="7" t="n"/>
      <c r="AB131" s="7" t="n"/>
      <c r="AC131" s="7" t="n"/>
      <c r="AD131" s="7" t="n"/>
      <c r="AE131" s="7" t="n"/>
      <c r="AF131" s="7" t="n"/>
      <c r="AG131" s="7" t="n"/>
      <c r="AH131" s="7" t="n"/>
      <c r="AI131" s="7" t="n"/>
      <c r="AJ131" s="7" t="n"/>
      <c r="AK131" s="7" t="n"/>
      <c r="AL131" s="7" t="n"/>
      <c r="AM131" s="7" t="n"/>
      <c r="AN131" s="7" t="n"/>
      <c r="AO131" s="7" t="n"/>
      <c r="AP131" s="7" t="n"/>
      <c r="AQ131" s="7" t="n"/>
      <c r="AR131" s="7" t="n"/>
    </row>
    <row r="132">
      <c r="A132" s="9977" t="inlineStr">
        <is>
          <t>ACTIVIDAD</t>
        </is>
      </c>
      <c r="B132" s="9977" t="inlineStr">
        <is>
          <t>PROFESIONAL</t>
        </is>
      </c>
      <c r="C132" s="9939" t="inlineStr">
        <is>
          <t xml:space="preserve">TOTAL               </t>
        </is>
      </c>
      <c r="D132" s="9602" t="n"/>
      <c r="E132" s="9630" t="n"/>
      <c r="F132" s="9976" t="inlineStr">
        <is>
          <t>RANGO ETARIO Y SEXO</t>
        </is>
      </c>
      <c r="G132" s="9584" t="n"/>
      <c r="H132" s="9584" t="n"/>
      <c r="I132" s="9584" t="n"/>
      <c r="J132" s="9584" t="n"/>
      <c r="K132" s="9584" t="n"/>
      <c r="L132" s="9584" t="n"/>
      <c r="M132" s="9584" t="n"/>
      <c r="N132" s="9584" t="n"/>
      <c r="O132" s="9584" t="n"/>
      <c r="P132" s="9584" t="n"/>
      <c r="Q132" s="9584" t="n"/>
      <c r="R132" s="9584" t="n"/>
      <c r="S132" s="9584" t="n"/>
      <c r="T132" s="9584" t="n"/>
      <c r="U132" s="9584" t="n"/>
      <c r="V132" s="9584" t="n"/>
      <c r="W132" s="9584" t="n"/>
      <c r="X132" s="9584" t="n"/>
      <c r="Y132" s="9584" t="n"/>
      <c r="Z132" s="9584" t="n"/>
      <c r="AA132" s="9584" t="n"/>
      <c r="AB132" s="9584" t="n"/>
      <c r="AC132" s="9584" t="n"/>
      <c r="AD132" s="9584" t="n"/>
      <c r="AE132" s="9584" t="n"/>
      <c r="AF132" s="9584" t="n"/>
      <c r="AG132" s="9584" t="n"/>
      <c r="AH132" s="9584" t="n"/>
      <c r="AI132" s="9584" t="n"/>
      <c r="AJ132" s="9584" t="n"/>
      <c r="AK132" s="9584" t="n"/>
      <c r="AL132" s="9584" t="n"/>
      <c r="AM132" s="9595" t="n"/>
      <c r="AN132" s="10089" t="inlineStr">
        <is>
          <t>Beneficiarios</t>
        </is>
      </c>
      <c r="AO132" s="10090" t="inlineStr">
        <is>
          <t xml:space="preserve">SENAME/ Servicio Nacional de Reinserción social Juvenil </t>
        </is>
      </c>
      <c r="AP132" s="10043" t="inlineStr">
        <is>
          <t>Servicio Nacional Protección Especializada a la Niñez y Adolescencia</t>
        </is>
      </c>
      <c r="AQ132" s="9981" t="inlineStr">
        <is>
          <t>Pueblos Originarios</t>
        </is>
      </c>
      <c r="AR132" s="9920" t="inlineStr">
        <is>
          <t>Migrantes</t>
        </is>
      </c>
    </row>
    <row r="133">
      <c r="A133" s="9614" t="n"/>
      <c r="B133" s="9614" t="n"/>
      <c r="C133" s="9638" t="n"/>
      <c r="D133" s="9697" t="n"/>
      <c r="E133" s="9639" t="n"/>
      <c r="F133" s="9240" t="inlineStr">
        <is>
          <t>0 - 4 años</t>
        </is>
      </c>
      <c r="G133" s="9647" t="n"/>
      <c r="H133" s="9240" t="inlineStr">
        <is>
          <t>5 - 9 años</t>
        </is>
      </c>
      <c r="I133" s="9647" t="n"/>
      <c r="J133" s="9240" t="inlineStr">
        <is>
          <t>10 - 14 años</t>
        </is>
      </c>
      <c r="K133" s="9647" t="n"/>
      <c r="L133" s="9240" t="inlineStr">
        <is>
          <t>15 - 19 años</t>
        </is>
      </c>
      <c r="M133" s="9647" t="n"/>
      <c r="N133" s="9240" t="inlineStr">
        <is>
          <t>20 - 24 años</t>
        </is>
      </c>
      <c r="O133" s="9647" t="n"/>
      <c r="P133" s="4505" t="inlineStr">
        <is>
          <t>25 - 29 años</t>
        </is>
      </c>
      <c r="Q133" s="9647" t="n"/>
      <c r="R133" s="4505" t="inlineStr">
        <is>
          <t>30 - 34 años</t>
        </is>
      </c>
      <c r="S133" s="9647" t="n"/>
      <c r="T133" s="4505" t="inlineStr">
        <is>
          <t>35 - 39 años</t>
        </is>
      </c>
      <c r="U133" s="9647" t="n"/>
      <c r="V133" s="4505" t="inlineStr">
        <is>
          <t>40 - 44 años</t>
        </is>
      </c>
      <c r="W133" s="9647" t="n"/>
      <c r="X133" s="4505" t="inlineStr">
        <is>
          <t>45 - 49 años</t>
        </is>
      </c>
      <c r="Y133" s="9647" t="n"/>
      <c r="Z133" s="4505" t="inlineStr">
        <is>
          <t>50 - 54 años</t>
        </is>
      </c>
      <c r="AA133" s="9647" t="n"/>
      <c r="AB133" s="4505" t="inlineStr">
        <is>
          <t>55 - 59 años</t>
        </is>
      </c>
      <c r="AC133" s="9647" t="n"/>
      <c r="AD133" s="4505" t="inlineStr">
        <is>
          <t>60 - 64 años</t>
        </is>
      </c>
      <c r="AE133" s="9647" t="n"/>
      <c r="AF133" s="4505" t="inlineStr">
        <is>
          <t>65 - 69 años</t>
        </is>
      </c>
      <c r="AG133" s="9647" t="n"/>
      <c r="AH133" s="4505" t="inlineStr">
        <is>
          <t>70 - 74 años</t>
        </is>
      </c>
      <c r="AI133" s="9647" t="n"/>
      <c r="AJ133" s="4505" t="inlineStr">
        <is>
          <t>75 - 79 años</t>
        </is>
      </c>
      <c r="AK133" s="9647" t="n"/>
      <c r="AL133" s="9915" t="inlineStr">
        <is>
          <t>80 y mas años</t>
        </is>
      </c>
      <c r="AM133" s="9595" t="n"/>
      <c r="AN133" s="9978" t="n"/>
      <c r="AO133" s="10091" t="n"/>
      <c r="AP133" s="10048" t="n"/>
      <c r="AQ133" s="10017" t="n"/>
      <c r="AR133" s="9625" t="n"/>
    </row>
    <row r="134" ht="58.5" customHeight="1" s="8286">
      <c r="A134" s="9610" t="n"/>
      <c r="B134" s="9610" t="n"/>
      <c r="C134" s="7691" t="inlineStr">
        <is>
          <t>Ambos Sexos</t>
        </is>
      </c>
      <c r="D134" s="7937" t="inlineStr">
        <is>
          <t>Hombres</t>
        </is>
      </c>
      <c r="E134" s="7665" t="inlineStr">
        <is>
          <t>Mujeres</t>
        </is>
      </c>
      <c r="F134" s="7932" t="inlineStr">
        <is>
          <t>Hombres</t>
        </is>
      </c>
      <c r="G134" s="7665" t="inlineStr">
        <is>
          <t>Mujeres</t>
        </is>
      </c>
      <c r="H134" s="7932" t="inlineStr">
        <is>
          <t>Hombres</t>
        </is>
      </c>
      <c r="I134" s="7665" t="inlineStr">
        <is>
          <t>Mujeres</t>
        </is>
      </c>
      <c r="J134" s="7932" t="inlineStr">
        <is>
          <t>Hombres</t>
        </is>
      </c>
      <c r="K134" s="7665" t="inlineStr">
        <is>
          <t>Mujeres</t>
        </is>
      </c>
      <c r="L134" s="7932" t="inlineStr">
        <is>
          <t>Hombres</t>
        </is>
      </c>
      <c r="M134" s="7665" t="inlineStr">
        <is>
          <t>Mujeres</t>
        </is>
      </c>
      <c r="N134" s="7932" t="inlineStr">
        <is>
          <t>Hombres</t>
        </is>
      </c>
      <c r="O134" s="7665" t="inlineStr">
        <is>
          <t>Mujeres</t>
        </is>
      </c>
      <c r="P134" s="7932" t="inlineStr">
        <is>
          <t>Hombres</t>
        </is>
      </c>
      <c r="Q134" s="7665" t="inlineStr">
        <is>
          <t>Mujeres</t>
        </is>
      </c>
      <c r="R134" s="7932" t="inlineStr">
        <is>
          <t>Hombres</t>
        </is>
      </c>
      <c r="S134" s="7665" t="inlineStr">
        <is>
          <t>Mujeres</t>
        </is>
      </c>
      <c r="T134" s="7932" t="inlineStr">
        <is>
          <t>Hombres</t>
        </is>
      </c>
      <c r="U134" s="7665" t="inlineStr">
        <is>
          <t>Mujeres</t>
        </is>
      </c>
      <c r="V134" s="7932" t="inlineStr">
        <is>
          <t>Hombres</t>
        </is>
      </c>
      <c r="W134" s="7665" t="inlineStr">
        <is>
          <t>Mujeres</t>
        </is>
      </c>
      <c r="X134" s="7932" t="inlineStr">
        <is>
          <t>Hombres</t>
        </is>
      </c>
      <c r="Y134" s="7665" t="inlineStr">
        <is>
          <t>Mujeres</t>
        </is>
      </c>
      <c r="Z134" s="7932" t="inlineStr">
        <is>
          <t>Hombres</t>
        </is>
      </c>
      <c r="AA134" s="7665" t="inlineStr">
        <is>
          <t>Mujeres</t>
        </is>
      </c>
      <c r="AB134" s="7932" t="inlineStr">
        <is>
          <t>Hombres</t>
        </is>
      </c>
      <c r="AC134" s="7665" t="inlineStr">
        <is>
          <t>Mujeres</t>
        </is>
      </c>
      <c r="AD134" s="7932" t="inlineStr">
        <is>
          <t>Hombres</t>
        </is>
      </c>
      <c r="AE134" s="7665" t="inlineStr">
        <is>
          <t>Mujeres</t>
        </is>
      </c>
      <c r="AF134" s="7932" t="inlineStr">
        <is>
          <t>Hombres</t>
        </is>
      </c>
      <c r="AG134" s="7665" t="inlineStr">
        <is>
          <t>Mujeres</t>
        </is>
      </c>
      <c r="AH134" s="7932" t="inlineStr">
        <is>
          <t>Hombres</t>
        </is>
      </c>
      <c r="AI134" s="7665" t="inlineStr">
        <is>
          <t>Mujeres</t>
        </is>
      </c>
      <c r="AJ134" s="7932" t="inlineStr">
        <is>
          <t>Hombres</t>
        </is>
      </c>
      <c r="AK134" s="7665" t="inlineStr">
        <is>
          <t>Mujeres</t>
        </is>
      </c>
      <c r="AL134" s="7932" t="inlineStr">
        <is>
          <t>Hombres</t>
        </is>
      </c>
      <c r="AM134" s="8007" t="inlineStr">
        <is>
          <t>Mujeres</t>
        </is>
      </c>
      <c r="AN134" s="9650" t="n"/>
      <c r="AO134" s="10092" t="n"/>
      <c r="AP134" s="10052" t="n"/>
      <c r="AQ134" s="9912" t="n"/>
      <c r="AR134" s="9641" t="n"/>
    </row>
    <row r="135">
      <c r="A135" s="10093" t="inlineStr">
        <is>
          <t>Consulta Nueva Salud Mental (Ingreso)</t>
        </is>
      </c>
      <c r="B135" s="2485" t="inlineStr">
        <is>
          <t>Uniprofesional</t>
        </is>
      </c>
      <c r="C135" s="2486">
        <f>SUM(D135+E135)</f>
        <v/>
      </c>
      <c r="D135" s="837">
        <f>SUM(F135+H135+J135+L135+N135+P135+R135+T135+V135+X135+Z135+AB135+AD135+AF135+AH135+AJ135+AL135)</f>
        <v/>
      </c>
      <c r="E135" s="2487">
        <f>SUM(G135+I135+K135+M135+O135+Q135+S135+U135+W135+Y135+AA135+AC135+AE135+AG135+AI135+AK135+AM135)</f>
        <v/>
      </c>
      <c r="F135" s="2266" t="n"/>
      <c r="G135" s="2337" t="n"/>
      <c r="H135" s="2266" t="n"/>
      <c r="I135" s="2337" t="n"/>
      <c r="J135" s="2266" t="n"/>
      <c r="K135" s="2337" t="n"/>
      <c r="L135" s="2266" t="n"/>
      <c r="M135" s="2337" t="n"/>
      <c r="N135" s="2266" t="n"/>
      <c r="O135" s="2337" t="n"/>
      <c r="P135" s="2266" t="n"/>
      <c r="Q135" s="2337" t="n"/>
      <c r="R135" s="2266" t="n"/>
      <c r="S135" s="2337" t="n"/>
      <c r="T135" s="2266" t="n"/>
      <c r="U135" s="2337" t="n"/>
      <c r="V135" s="2266" t="n"/>
      <c r="W135" s="2337" t="n"/>
      <c r="X135" s="2266" t="n"/>
      <c r="Y135" s="2337" t="n"/>
      <c r="Z135" s="2266" t="n"/>
      <c r="AA135" s="2337" t="n"/>
      <c r="AB135" s="2266" t="n"/>
      <c r="AC135" s="2337" t="n"/>
      <c r="AD135" s="2266" t="n"/>
      <c r="AE135" s="2337" t="n"/>
      <c r="AF135" s="2266" t="n"/>
      <c r="AG135" s="2337" t="n"/>
      <c r="AH135" s="2266" t="n"/>
      <c r="AI135" s="2337" t="n"/>
      <c r="AJ135" s="2266" t="n"/>
      <c r="AK135" s="2337" t="n"/>
      <c r="AL135" s="2266" t="n"/>
      <c r="AM135" s="1940" t="n"/>
      <c r="AN135" s="2488" t="n"/>
      <c r="AO135" s="2489" t="n"/>
      <c r="AP135" s="1433" t="n"/>
      <c r="AQ135" s="835" t="n"/>
      <c r="AR135" s="2336" t="n"/>
      <c r="AS135">
        <f>CA135&amp;CB135&amp;CC135&amp;CD135&amp;CE135&amp;CF135&amp;CG135</f>
        <v/>
      </c>
      <c r="CA135" s="260">
        <f>IF(AND($C135&gt;0,AN135=""), " *No olvide digitar la variable Beneficiarios. Digite cero si no tiene.",IF(AN135&gt;$C135," *La variable Beneficiarios no puede ser mayor al Total Ambos sexos.",""))</f>
        <v/>
      </c>
      <c r="CB135" s="260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>
        <f>IF(AND($C135&gt;0,AQ135="")," *No olvide digitar la variable Pueblos originarios. Digite cero si no tiene.",IF(AQ135&gt;$C135," *La variable Pueblos originarios no puede ser mayor al Total Ambos sexos.",""))</f>
        <v/>
      </c>
      <c r="CE135" s="260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/>
      </c>
      <c r="CL135" s="221">
        <f>IF(AND(C135&gt;0,AO135=""),1,IF(AO135&gt;C135,1,0))</f>
        <v/>
      </c>
      <c r="CM135" s="221">
        <f>IF(AND(C135&gt;0,AP135=""),1,IF(AP135&gt;C135,1,0))</f>
        <v/>
      </c>
      <c r="CN135" s="221">
        <f>IF(AND(C135&gt;0,AQ135=""),1,IF(AQ135&gt;C135,1,0))</f>
        <v/>
      </c>
      <c r="CO135" s="221">
        <f>IF(AND(C135&gt;0,AR135=""),1,IF(AR135&gt;C135,1,0))</f>
        <v/>
      </c>
    </row>
    <row r="136">
      <c r="A136" s="9614" t="n"/>
      <c r="B136" s="2490" t="inlineStr">
        <is>
          <t>Dos Profesionales</t>
        </is>
      </c>
      <c r="C136" s="2491">
        <f>SUM(D136+E136)</f>
        <v/>
      </c>
      <c r="D136" s="2492">
        <f>SUM(F136+H136+J136+L136+N136+P136+R136+T136+V136+X136+Z136+AB136+AD136+AF136+AH136+AJ136+AL136)</f>
        <v/>
      </c>
      <c r="E136" s="2493">
        <f>SUM(G136+I136+K136+M136+O136+Q136+S136+U136+W136+Y136+AA136+AC136+AE136+AG136+AI136+AK136+AM136)</f>
        <v/>
      </c>
      <c r="F136" s="1172" t="n"/>
      <c r="G136" s="886" t="n"/>
      <c r="H136" s="1172" t="n"/>
      <c r="I136" s="886" t="n"/>
      <c r="J136" s="1172" t="n"/>
      <c r="K136" s="886" t="n"/>
      <c r="L136" s="1172" t="n"/>
      <c r="M136" s="886" t="n"/>
      <c r="N136" s="1172" t="n"/>
      <c r="O136" s="886" t="n"/>
      <c r="P136" s="1172" t="n"/>
      <c r="Q136" s="886" t="n"/>
      <c r="R136" s="1172" t="n"/>
      <c r="S136" s="886" t="n"/>
      <c r="T136" s="1172" t="n"/>
      <c r="U136" s="886" t="n"/>
      <c r="V136" s="1172" t="n"/>
      <c r="W136" s="886" t="n"/>
      <c r="X136" s="1172" t="n"/>
      <c r="Y136" s="886" t="n"/>
      <c r="Z136" s="1172" t="n"/>
      <c r="AA136" s="886" t="n"/>
      <c r="AB136" s="1172" t="n"/>
      <c r="AC136" s="886" t="n"/>
      <c r="AD136" s="1172" t="n"/>
      <c r="AE136" s="886" t="n"/>
      <c r="AF136" s="1172" t="n"/>
      <c r="AG136" s="886" t="n"/>
      <c r="AH136" s="1172" t="n"/>
      <c r="AI136" s="886" t="n"/>
      <c r="AJ136" s="1172" t="n"/>
      <c r="AK136" s="886" t="n"/>
      <c r="AL136" s="1172" t="n"/>
      <c r="AM136" s="1929" t="n"/>
      <c r="AN136" s="2494" t="n"/>
      <c r="AO136" s="2495" t="n"/>
      <c r="AP136" s="1100" t="n"/>
      <c r="AQ136" s="2001" t="n"/>
      <c r="AR136" s="1173" t="n"/>
      <c r="AS136">
        <f>CA136&amp;CB136&amp;CC136&amp;CD136&amp;CE136&amp;CF136&amp;CG136</f>
        <v/>
      </c>
      <c r="CA136" s="260">
        <f>IF(AND($C136&gt;0,AN136=""), " *No olvide digitar la variable Beneficiarios. Digite cero si no tiene.",IF(AN136&gt;$C136," *La variable Beneficiarios no puede ser mayor al Total Ambos sexos.",""))</f>
        <v/>
      </c>
      <c r="CB136" s="260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>
        <f>IF(AND($C136&gt;0,AQ136="")," *No olvide digitar la variable Pueblos originarios. Digite cero si no tiene.",IF(AQ136&gt;$C136," *La variable Pueblos originarios no puede ser mayor al Total Ambos sexos.",""))</f>
        <v/>
      </c>
      <c r="CE136" s="260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/>
      </c>
      <c r="CL136" s="221">
        <f>IF(AND(C136&gt;0,AO136=""),1,IF(AO136&gt;C136,1,0))</f>
        <v/>
      </c>
      <c r="CM136" s="221">
        <f>IF(AND(C136&gt;0,AP136=""),1,IF(AP136&gt;C136,1,0))</f>
        <v/>
      </c>
      <c r="CN136" s="221">
        <f>IF(AND(C136&gt;0,AQ136=""),1,IF(AQ136&gt;C136,1,0))</f>
        <v/>
      </c>
      <c r="CO136" s="221">
        <f>IF(AND(C136&gt;0,AR136=""),1,IF(AR136&gt;C136,1,0))</f>
        <v/>
      </c>
    </row>
    <row r="137">
      <c r="A137" s="9614" t="n"/>
      <c r="B137" s="2490" t="inlineStr">
        <is>
          <t>Multiprofesional</t>
        </is>
      </c>
      <c r="C137" s="2491">
        <f>SUM(D137+E137)</f>
        <v/>
      </c>
      <c r="D137" s="2492">
        <f>SUM(F137+H137+J137+L137+N137+P137+R137+T137+V137+X137+Z137+AB137+AD137+AF137+AH137+AJ137+AL137)</f>
        <v/>
      </c>
      <c r="E137" s="2493">
        <f>SUM(G137+I137+K137+M137+O137+Q137+S137+U137+W137+Y137+AA137+AC137+AE137+AG137+AI137+AK137+AM137)</f>
        <v/>
      </c>
      <c r="F137" s="1188" t="n"/>
      <c r="G137" s="1119" t="n"/>
      <c r="H137" s="1188" t="n"/>
      <c r="I137" s="1119" t="n"/>
      <c r="J137" s="1188" t="n"/>
      <c r="K137" s="1119" t="n"/>
      <c r="L137" s="1188" t="n"/>
      <c r="M137" s="1119" t="n"/>
      <c r="N137" s="1188" t="n"/>
      <c r="O137" s="1119" t="n"/>
      <c r="P137" s="1188" t="n"/>
      <c r="Q137" s="1119" t="n"/>
      <c r="R137" s="1188" t="n"/>
      <c r="S137" s="1119" t="n"/>
      <c r="T137" s="1188" t="n"/>
      <c r="U137" s="1119" t="n"/>
      <c r="V137" s="1188" t="n"/>
      <c r="W137" s="1119" t="n"/>
      <c r="X137" s="1188" t="n"/>
      <c r="Y137" s="1119" t="n"/>
      <c r="Z137" s="1188" t="n"/>
      <c r="AA137" s="1119" t="n"/>
      <c r="AB137" s="1188" t="n"/>
      <c r="AC137" s="1119" t="n"/>
      <c r="AD137" s="1188" t="n"/>
      <c r="AE137" s="1119" t="n"/>
      <c r="AF137" s="1188" t="n"/>
      <c r="AG137" s="1119" t="n"/>
      <c r="AH137" s="1188" t="n"/>
      <c r="AI137" s="1119" t="n"/>
      <c r="AJ137" s="1188" t="n"/>
      <c r="AK137" s="1119" t="n"/>
      <c r="AL137" s="1188" t="n"/>
      <c r="AM137" s="1224" t="n"/>
      <c r="AN137" s="2496" t="n"/>
      <c r="AO137" s="2497" t="n"/>
      <c r="AP137" s="1430" t="n"/>
      <c r="AQ137" s="1118" t="n"/>
      <c r="AR137" s="1192" t="n"/>
      <c r="AS137">
        <f>CA137&amp;CB137&amp;CC137&amp;CD137&amp;CE137&amp;CF137&amp;CG137</f>
        <v/>
      </c>
      <c r="CA137" s="260">
        <f>IF(AND($C137&gt;0,AN137=""), " *No olvide digitar la variable Beneficiarios. Digite cero si no tiene.",IF(AN137&gt;$C137," *La variable Beneficiarios no puede ser mayor al Total Ambos sexos.",""))</f>
        <v/>
      </c>
      <c r="CB137" s="260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>
        <f>IF(AND($C137&gt;0,AQ137="")," *No olvide digitar la variable Pueblos originarios. Digite cero si no tiene.",IF(AQ137&gt;$C137," *La variable Pueblos originarios no puede ser mayor al Total Ambos sexos.",""))</f>
        <v/>
      </c>
      <c r="CE137" s="260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/>
      </c>
      <c r="CL137" s="221">
        <f>IF(AND(C137&gt;0,AO137=""),1,IF(AO137&gt;C137,1,0))</f>
        <v/>
      </c>
      <c r="CM137" s="221">
        <f>IF(AND(C137&gt;0,AP137=""),1,IF(AP137&gt;C137,1,0))</f>
        <v/>
      </c>
      <c r="CN137" s="221">
        <f>IF(AND(C137&gt;0,AQ137=""),1,IF(AQ137&gt;C137,1,0))</f>
        <v/>
      </c>
      <c r="CO137" s="221">
        <f>IF(AND(C137&gt;0,AR137=""),1,IF(AR137&gt;C137,1,0))</f>
        <v/>
      </c>
    </row>
    <row r="138">
      <c r="A138" s="9610" t="n"/>
      <c r="B138" s="7727" t="inlineStr">
        <is>
          <t>TOTAL</t>
        </is>
      </c>
      <c r="C138" s="2155">
        <f>SUM(D138+E138)</f>
        <v/>
      </c>
      <c r="D138" s="2156">
        <f>SUM(F138+H138+J138+L138+N138+P138+R138+T138+V138+X138+Z138+AB138+AD138+AF138+AH138+AJ138+AL138)</f>
        <v/>
      </c>
      <c r="E138" s="2157">
        <f>SUM(G138+I138+K138+M138+O138+Q138+S138+U138+W138+Y138+AA138+AC138+AE138+AG138+AI138+AK138+AM138)</f>
        <v/>
      </c>
      <c r="F138" s="1988">
        <f>SUM(F135:F137)</f>
        <v/>
      </c>
      <c r="G138" s="2147">
        <f>SUM(G135:G137)</f>
        <v/>
      </c>
      <c r="H138" s="1988">
        <f>SUM(H135:H137)</f>
        <v/>
      </c>
      <c r="I138" s="2147">
        <f>SUM(I135:I137)</f>
        <v/>
      </c>
      <c r="J138" s="1988">
        <f>SUM(J135:J137)</f>
        <v/>
      </c>
      <c r="K138" s="2133">
        <f>SUM(K135:K137)</f>
        <v/>
      </c>
      <c r="L138" s="1988">
        <f>SUM(L135:L137)</f>
        <v/>
      </c>
      <c r="M138" s="2133">
        <f>SUM(M135:M137)</f>
        <v/>
      </c>
      <c r="N138" s="1988">
        <f>SUM(N135:N137)</f>
        <v/>
      </c>
      <c r="O138" s="2133">
        <f>SUM(O135:O137)</f>
        <v/>
      </c>
      <c r="P138" s="1988">
        <f>SUM(P135:P137)</f>
        <v/>
      </c>
      <c r="Q138" s="2133">
        <f>SUM(Q135:Q137)</f>
        <v/>
      </c>
      <c r="R138" s="1988">
        <f>SUM(R135:R137)</f>
        <v/>
      </c>
      <c r="S138" s="2133">
        <f>SUM(S135:S137)</f>
        <v/>
      </c>
      <c r="T138" s="1988">
        <f>SUM(T135:T137)</f>
        <v/>
      </c>
      <c r="U138" s="2133">
        <f>SUM(U135:U137)</f>
        <v/>
      </c>
      <c r="V138" s="1988">
        <f>SUM(V135:V137)</f>
        <v/>
      </c>
      <c r="W138" s="2133">
        <f>SUM(W135:W137)</f>
        <v/>
      </c>
      <c r="X138" s="1988">
        <f>SUM(X135:X137)</f>
        <v/>
      </c>
      <c r="Y138" s="2133">
        <f>SUM(Y135:Y137)</f>
        <v/>
      </c>
      <c r="Z138" s="1988">
        <f>SUM(Z135:Z137)</f>
        <v/>
      </c>
      <c r="AA138" s="2133">
        <f>SUM(AA135:AA137)</f>
        <v/>
      </c>
      <c r="AB138" s="1988">
        <f>SUM(AB135:AB137)</f>
        <v/>
      </c>
      <c r="AC138" s="2133">
        <f>SUM(AC135:AC137)</f>
        <v/>
      </c>
      <c r="AD138" s="1988">
        <f>SUM(AD135:AD137)</f>
        <v/>
      </c>
      <c r="AE138" s="2133">
        <f>SUM(AE135:AE137)</f>
        <v/>
      </c>
      <c r="AF138" s="1988">
        <f>SUM(AF135:AF137)</f>
        <v/>
      </c>
      <c r="AG138" s="2133">
        <f>SUM(AG135:AG137)</f>
        <v/>
      </c>
      <c r="AH138" s="1988">
        <f>SUM(AH135:AH137)</f>
        <v/>
      </c>
      <c r="AI138" s="2133">
        <f>SUM(AI135:AI137)</f>
        <v/>
      </c>
      <c r="AJ138" s="1988">
        <f>SUM(AJ135:AJ137)</f>
        <v/>
      </c>
      <c r="AK138" s="2133">
        <f>SUM(AK135:AK137)</f>
        <v/>
      </c>
      <c r="AL138" s="7768">
        <f>SUM(AL135:AL137)</f>
        <v/>
      </c>
      <c r="AM138" s="2317">
        <f>SUM(AM135:AM137)</f>
        <v/>
      </c>
      <c r="AN138" s="2047">
        <f>SUM(AN135:AN137)</f>
        <v/>
      </c>
      <c r="AO138" s="2345">
        <f>SUM(AO135:AO137)</f>
        <v/>
      </c>
      <c r="AP138" s="2345">
        <f>SUM(AP135:AP137)</f>
        <v/>
      </c>
      <c r="AQ138" s="2345">
        <f>SUM(AQ135:AQ137)</f>
        <v/>
      </c>
      <c r="AR138" s="2147">
        <f>SUM(AR135:AR137)</f>
        <v/>
      </c>
    </row>
    <row r="139" ht="18" customFormat="1" customHeight="1" s="5">
      <c r="A139" s="2498" t="inlineStr">
        <is>
          <t xml:space="preserve">SECCIÓN I: RESCATE DE PACIENTES PROGRAMA SALUD MENTAL </t>
        </is>
      </c>
      <c r="B139" s="2498" t="n"/>
      <c r="C139" s="2498" t="n"/>
      <c r="D139" s="2498" t="n"/>
      <c r="E139" s="2498" t="n"/>
      <c r="F139" s="2498" t="n"/>
      <c r="G139" s="2498" t="n"/>
      <c r="H139" s="2451" t="n"/>
      <c r="I139" s="3" t="n"/>
    </row>
    <row r="140" ht="15" customHeight="1" s="8286">
      <c r="A140" s="9977" t="inlineStr">
        <is>
          <t>RANGO ETARIO</t>
        </is>
      </c>
      <c r="B140" s="4505" t="inlineStr">
        <is>
          <t>RESCATE EN DOMICILIO</t>
        </is>
      </c>
      <c r="C140" s="9584" t="n"/>
      <c r="D140" s="9584" t="n"/>
      <c r="E140" s="9584" t="n"/>
      <c r="F140" s="9647" t="n"/>
      <c r="G140" s="9693" t="inlineStr">
        <is>
          <t>Compra de servicio (*)</t>
        </is>
      </c>
      <c r="H140" s="10094" t="inlineStr">
        <is>
          <t>Rescate Telefónico</t>
        </is>
      </c>
      <c r="I140" s="9630" t="n"/>
    </row>
    <row r="141" ht="15" customHeight="1" s="8286">
      <c r="A141" s="9614" t="n"/>
      <c r="B141" s="10095" t="inlineStr">
        <is>
          <t>TOTAL</t>
        </is>
      </c>
      <c r="C141" s="4505" t="inlineStr">
        <is>
          <t>Funcionario</t>
        </is>
      </c>
      <c r="D141" s="9584" t="n"/>
      <c r="E141" s="9584" t="n"/>
      <c r="F141" s="9647" t="n"/>
      <c r="G141" s="10027" t="n"/>
      <c r="H141" s="9591" t="n"/>
      <c r="I141" s="9776" t="n"/>
    </row>
    <row r="142" ht="31.5" customHeight="1" s="8286">
      <c r="A142" s="9610" t="n"/>
      <c r="B142" s="9698" t="n"/>
      <c r="C142" s="7932" t="inlineStr">
        <is>
          <t>Profesional</t>
        </is>
      </c>
      <c r="D142" s="2011" t="inlineStr">
        <is>
          <t>Técnico en Enfermería</t>
        </is>
      </c>
      <c r="E142" s="2372" t="inlineStr">
        <is>
          <t>Administrativo</t>
        </is>
      </c>
      <c r="F142" s="7933" t="inlineStr">
        <is>
          <t>Otro</t>
        </is>
      </c>
      <c r="G142" s="10028" t="n"/>
      <c r="H142" s="2150" t="inlineStr">
        <is>
          <t>Desde el establecimiento</t>
        </is>
      </c>
      <c r="I142" s="7729" t="inlineStr">
        <is>
          <t>Compra de servicio (*)</t>
        </is>
      </c>
    </row>
    <row r="143" ht="15" customHeight="1" s="8286">
      <c r="A143" s="1170" t="inlineStr">
        <is>
          <t>1 - 4 años</t>
        </is>
      </c>
      <c r="B143" s="1204">
        <f>SUM(C143:F143)+H143</f>
        <v/>
      </c>
      <c r="C143" s="1172" t="n"/>
      <c r="D143" s="1174" t="n"/>
      <c r="E143" s="2001" t="n"/>
      <c r="F143" s="886" t="n"/>
      <c r="G143" s="1175" t="n"/>
      <c r="H143" s="2447" t="n"/>
      <c r="I143" s="1173" t="n"/>
    </row>
    <row r="144" ht="15" customHeight="1" s="8286">
      <c r="A144" s="1170" t="inlineStr">
        <is>
          <t>5 - 9 años</t>
        </is>
      </c>
      <c r="B144" s="1204">
        <f>SUM(C144:F144)+H144</f>
        <v/>
      </c>
      <c r="C144" s="1172" t="n"/>
      <c r="D144" s="1174" t="n"/>
      <c r="E144" s="2001" t="n"/>
      <c r="F144" s="886" t="n"/>
      <c r="G144" s="1175" t="n"/>
      <c r="H144" s="2447" t="n"/>
      <c r="I144" s="1173" t="n"/>
    </row>
    <row r="145" ht="15" customHeight="1" s="8286">
      <c r="A145" s="2499" t="inlineStr">
        <is>
          <t>10 - 14 años</t>
        </is>
      </c>
      <c r="B145" s="1204">
        <f>SUM(C145:F145)+H145</f>
        <v/>
      </c>
      <c r="C145" s="1172" t="n"/>
      <c r="D145" s="1174" t="n"/>
      <c r="E145" s="2001" t="n"/>
      <c r="F145" s="886" t="n"/>
      <c r="G145" s="1175" t="n"/>
      <c r="H145" s="2447" t="n"/>
      <c r="I145" s="1173" t="n"/>
    </row>
    <row r="146" ht="15" customHeight="1" s="8286">
      <c r="A146" s="2499" t="inlineStr">
        <is>
          <t>15 - 19 años</t>
        </is>
      </c>
      <c r="B146" s="1204">
        <f>SUM(C146:F146)+H146</f>
        <v/>
      </c>
      <c r="C146" s="1172" t="n"/>
      <c r="D146" s="1174" t="n"/>
      <c r="E146" s="2001" t="n"/>
      <c r="F146" s="886" t="n"/>
      <c r="G146" s="1175" t="n"/>
      <c r="H146" s="2447" t="n"/>
      <c r="I146" s="1173" t="n"/>
    </row>
    <row r="147" ht="15" customHeight="1" s="8286">
      <c r="A147" s="1170" t="inlineStr">
        <is>
          <t>20 - 24 años</t>
        </is>
      </c>
      <c r="B147" s="1204">
        <f>SUM(C147:F147)+H147</f>
        <v/>
      </c>
      <c r="C147" s="1172" t="n"/>
      <c r="D147" s="1174" t="n"/>
      <c r="E147" s="2001" t="n"/>
      <c r="F147" s="886" t="n"/>
      <c r="G147" s="1175" t="n"/>
      <c r="H147" s="2447" t="n"/>
      <c r="I147" s="1173" t="n"/>
    </row>
    <row r="148" ht="15" customHeight="1" s="8286">
      <c r="A148" s="1170" t="inlineStr">
        <is>
          <t>25 - 64 años</t>
        </is>
      </c>
      <c r="B148" s="1204">
        <f>SUM(C148:F148)+H148</f>
        <v/>
      </c>
      <c r="C148" s="1172" t="n"/>
      <c r="D148" s="1174" t="n"/>
      <c r="E148" s="2001" t="n"/>
      <c r="F148" s="886" t="n"/>
      <c r="G148" s="1175" t="n"/>
      <c r="H148" s="2447" t="n"/>
      <c r="I148" s="1173" t="n"/>
    </row>
    <row r="149" ht="15" customHeight="1" s="8286">
      <c r="A149" s="1121" t="inlineStr">
        <is>
          <t>65 - 79 años</t>
        </is>
      </c>
      <c r="B149" s="2500">
        <f>SUM(C149:F149)+H149</f>
        <v/>
      </c>
      <c r="C149" s="1179" t="n"/>
      <c r="D149" s="1181" t="n"/>
      <c r="E149" s="1228" t="n"/>
      <c r="F149" s="1183" t="n"/>
      <c r="G149" s="1184" t="n"/>
      <c r="H149" s="1230" t="n"/>
      <c r="I149" s="1180" t="n"/>
    </row>
    <row r="150" ht="15" customHeight="1" s="8286">
      <c r="A150" s="2501" t="inlineStr">
        <is>
          <t>80 y más años</t>
        </is>
      </c>
      <c r="B150" s="1279">
        <f>SUM(C150:F150)+H150</f>
        <v/>
      </c>
      <c r="C150" s="1188" t="n"/>
      <c r="D150" s="1193" t="n"/>
      <c r="E150" s="1118" t="n"/>
      <c r="F150" s="1119" t="n"/>
      <c r="G150" s="1195" t="n"/>
      <c r="H150" s="1225" t="n"/>
      <c r="I150" s="1192" t="n"/>
    </row>
    <row r="151" ht="18" customHeight="1" s="8286">
      <c r="A151" s="25" t="inlineStr">
        <is>
          <t>*No incluidos en REM A26 sección D.</t>
        </is>
      </c>
    </row>
    <row r="152" ht="18" customFormat="1" customHeight="1" s="5">
      <c r="A152" s="2502" t="inlineStr">
        <is>
          <t>SECCIÓN J: TIEMPOS DE ESPERA EN SALUD MENTAL DE APS</t>
        </is>
      </c>
      <c r="B152" s="7" t="n"/>
      <c r="C152" s="7" t="n"/>
    </row>
    <row r="153" ht="21" customHeight="1" s="8286">
      <c r="A153" s="1985" t="inlineStr">
        <is>
          <t>TIEMPOS DE ESPERA ENTRE:</t>
        </is>
      </c>
      <c r="B153" s="8032" t="inlineStr">
        <is>
          <t xml:space="preserve">Número de días </t>
        </is>
      </c>
      <c r="C153" s="8032" t="inlineStr">
        <is>
          <t xml:space="preserve">Número de personas atendidas </t>
        </is>
      </c>
    </row>
    <row r="154" ht="21" customHeight="1" s="8286">
      <c r="A154" s="2504" t="inlineStr">
        <is>
          <t>Tamizaje y Primera Atención Salud Mental en APS (Individual o Grupal)</t>
        </is>
      </c>
      <c r="B154" s="1173" t="n"/>
      <c r="C154" s="1220" t="n"/>
    </row>
    <row r="155">
      <c r="A155" s="2505" t="inlineStr">
        <is>
          <t>Tamizaje y Confirmación Diagnóstica</t>
        </is>
      </c>
      <c r="B155" s="1192" t="n"/>
      <c r="C155" s="1223" t="n"/>
    </row>
    <row r="156" ht="18" customFormat="1" customHeight="1" s="5">
      <c r="A156" s="10096" t="inlineStr">
        <is>
          <t>SECCIÓN K : SALUD MENTAL EN SITUACIONES DE EMERGENCIA O DESASTRE</t>
        </is>
      </c>
      <c r="B156" s="9591" t="n"/>
      <c r="C156" s="9591" t="n"/>
      <c r="D156" s="9591" t="n"/>
      <c r="E156" s="9591" t="n"/>
      <c r="F156" s="7" t="n"/>
      <c r="G156" s="7" t="n"/>
      <c r="H156" s="7" t="n"/>
      <c r="I156" s="7" t="n"/>
      <c r="J156" s="7" t="n"/>
      <c r="K156" s="7" t="n"/>
      <c r="L156" s="7" t="n"/>
      <c r="M156" s="7" t="n"/>
      <c r="N156" s="7" t="n"/>
      <c r="O156" s="7" t="n"/>
      <c r="P156" s="3" t="n"/>
      <c r="Q156" s="3" t="n"/>
      <c r="R156" s="7" t="n"/>
      <c r="S156" s="7" t="n"/>
      <c r="T156" s="7" t="n"/>
      <c r="U156" s="7" t="n"/>
      <c r="V156" s="7" t="n"/>
      <c r="W156" s="7" t="n"/>
      <c r="X156" s="7" t="n"/>
      <c r="Y156" s="7" t="n"/>
      <c r="Z156" s="7" t="n"/>
      <c r="AA156" s="7" t="n"/>
      <c r="AB156" s="7" t="n"/>
      <c r="AC156" s="7" t="n"/>
      <c r="AD156" s="7" t="n"/>
      <c r="AE156" s="7" t="n"/>
      <c r="AF156" s="7" t="n"/>
      <c r="AG156" s="7" t="n"/>
      <c r="AH156" s="7" t="n"/>
      <c r="AI156" s="7" t="n"/>
      <c r="AJ156" s="7" t="n"/>
      <c r="AK156" s="7" t="n"/>
      <c r="AL156" s="7" t="n"/>
      <c r="AM156" s="7" t="n"/>
      <c r="AN156" s="7" t="n"/>
      <c r="AO156" s="7" t="n"/>
      <c r="AP156" s="7" t="n"/>
      <c r="AQ156" s="7" t="n"/>
      <c r="AR156" s="7" t="n"/>
      <c r="AS156" s="7" t="n"/>
    </row>
    <row r="157" ht="15" customHeight="1" s="8286">
      <c r="A157" s="9977" t="inlineStr">
        <is>
          <t>ACTIVIDAD</t>
        </is>
      </c>
      <c r="B157" s="9977" t="inlineStr">
        <is>
          <t>PROFESIONAL</t>
        </is>
      </c>
      <c r="C157" s="9939" t="inlineStr">
        <is>
          <t xml:space="preserve">TOTAL          </t>
        </is>
      </c>
      <c r="D157" s="9602" t="n"/>
      <c r="E157" s="9630" t="n"/>
      <c r="F157" s="9240" t="inlineStr">
        <is>
          <t>RANGO ETARIO Y SEXO</t>
        </is>
      </c>
      <c r="G157" s="9584" t="n"/>
      <c r="H157" s="9584" t="n"/>
      <c r="I157" s="9584" t="n"/>
      <c r="J157" s="9584" t="n"/>
      <c r="K157" s="9584" t="n"/>
      <c r="L157" s="9584" t="n"/>
      <c r="M157" s="9647" t="n"/>
      <c r="N157" s="9980" t="inlineStr">
        <is>
          <t>Atenciones a funcionarios de la salud</t>
        </is>
      </c>
      <c r="O157" s="9981" t="inlineStr">
        <is>
          <t>Acciones en domicilio</t>
        </is>
      </c>
      <c r="P157" s="9981" t="inlineStr">
        <is>
          <t>Acciones en albergue/
Espacio comunitario</t>
        </is>
      </c>
      <c r="Q157" s="9982" t="inlineStr">
        <is>
          <t>Acciones no presenciales o remotas</t>
        </is>
      </c>
      <c r="R157" s="10089" t="inlineStr">
        <is>
          <t>Beneficiarios</t>
        </is>
      </c>
      <c r="S157" s="10090" t="inlineStr">
        <is>
          <t>Servicio Nacional Protección Especializada a la Niñez y Adolescencia</t>
        </is>
      </c>
      <c r="T157" s="10043" t="inlineStr">
        <is>
          <t xml:space="preserve">SENAME/ Servicio Nacional de Reinserción social Juvenil </t>
        </is>
      </c>
      <c r="U157" s="10002" t="inlineStr">
        <is>
          <t>Pueblos Originarios</t>
        </is>
      </c>
      <c r="V157" s="9920" t="inlineStr">
        <is>
          <t>Migrantes</t>
        </is>
      </c>
      <c r="W157" s="9240" t="inlineStr">
        <is>
          <t>TRANS</t>
        </is>
      </c>
      <c r="X157" s="9647" t="n"/>
    </row>
    <row r="158">
      <c r="A158" s="9614" t="n"/>
      <c r="B158" s="9614" t="n"/>
      <c r="C158" s="9638" t="n"/>
      <c r="D158" s="9697" t="n"/>
      <c r="E158" s="9639" t="n"/>
      <c r="F158" s="9240" t="inlineStr">
        <is>
          <t>0 - 9 años</t>
        </is>
      </c>
      <c r="G158" s="9647" t="n"/>
      <c r="H158" s="9240" t="inlineStr">
        <is>
          <t>10-19 años</t>
        </is>
      </c>
      <c r="I158" s="9647" t="n"/>
      <c r="J158" s="9240" t="inlineStr">
        <is>
          <t>20-59 años</t>
        </is>
      </c>
      <c r="K158" s="9647" t="n"/>
      <c r="L158" s="9240" t="inlineStr">
        <is>
          <t>60 y más años</t>
        </is>
      </c>
      <c r="M158" s="9647" t="n"/>
      <c r="N158" s="9683" t="n"/>
      <c r="O158" s="10017" t="n"/>
      <c r="P158" s="10017" t="n"/>
      <c r="Q158" s="10097" t="n"/>
      <c r="R158" s="9978" t="n"/>
      <c r="S158" s="10091" t="n"/>
      <c r="T158" s="10048" t="n"/>
      <c r="U158" s="9687" t="n"/>
      <c r="V158" s="9625" t="n"/>
      <c r="W158" s="9924" t="inlineStr">
        <is>
          <t>Masculino</t>
        </is>
      </c>
      <c r="X158" s="9920" t="inlineStr">
        <is>
          <t>Femenino</t>
        </is>
      </c>
    </row>
    <row r="159" ht="53.25" customHeight="1" s="8286">
      <c r="A159" s="9610" t="n"/>
      <c r="B159" s="9610" t="n"/>
      <c r="C159" s="7691" t="inlineStr">
        <is>
          <t>Ambos Sexos</t>
        </is>
      </c>
      <c r="D159" s="7937" t="inlineStr">
        <is>
          <t>Hombres</t>
        </is>
      </c>
      <c r="E159" s="7665" t="inlineStr">
        <is>
          <t>Mujeres</t>
        </is>
      </c>
      <c r="F159" s="7932" t="inlineStr">
        <is>
          <t>Hombres</t>
        </is>
      </c>
      <c r="G159" s="7729" t="inlineStr">
        <is>
          <t>Mujeres</t>
        </is>
      </c>
      <c r="H159" s="7932" t="inlineStr">
        <is>
          <t>Hombres</t>
        </is>
      </c>
      <c r="I159" s="7729" t="inlineStr">
        <is>
          <t>Mujeres</t>
        </is>
      </c>
      <c r="J159" s="7932" t="inlineStr">
        <is>
          <t>Hombres</t>
        </is>
      </c>
      <c r="K159" s="7729" t="inlineStr">
        <is>
          <t>Mujeres</t>
        </is>
      </c>
      <c r="L159" s="7932" t="inlineStr">
        <is>
          <t>Hombres</t>
        </is>
      </c>
      <c r="M159" s="7684" t="inlineStr">
        <is>
          <t>Mujeres</t>
        </is>
      </c>
      <c r="N159" s="9604" t="n"/>
      <c r="O159" s="9912" t="n"/>
      <c r="P159" s="9912" t="n"/>
      <c r="Q159" s="9865" t="n"/>
      <c r="R159" s="9650" t="n"/>
      <c r="S159" s="10092" t="n"/>
      <c r="T159" s="10052" t="n"/>
      <c r="U159" s="9688" t="n"/>
      <c r="V159" s="9641" t="n"/>
      <c r="W159" s="9800" t="n"/>
      <c r="X159" s="9641" t="n"/>
    </row>
    <row r="160">
      <c r="A160" s="4456" t="inlineStr">
        <is>
          <t>Primera Ayuda Psicológica</t>
        </is>
      </c>
      <c r="B160" s="2335" t="inlineStr">
        <is>
          <t>Médico/a</t>
        </is>
      </c>
      <c r="C160" s="2282">
        <f>SUM(D160:E160)</f>
        <v/>
      </c>
      <c r="D160" s="834">
        <f>SUM(F160+H160+J160+L160)</f>
        <v/>
      </c>
      <c r="E160" s="2510">
        <f>SUM(G160+I160+K160+M160)</f>
        <v/>
      </c>
      <c r="F160" s="2266" t="n"/>
      <c r="G160" s="2267" t="n"/>
      <c r="H160" s="2266" t="n"/>
      <c r="I160" s="2267" t="n"/>
      <c r="J160" s="2266" t="n"/>
      <c r="K160" s="2267" t="n"/>
      <c r="L160" s="2266" t="n"/>
      <c r="M160" s="2511" t="n"/>
      <c r="N160" s="2376" t="n"/>
      <c r="O160" s="835" t="n"/>
      <c r="P160" s="835" t="n"/>
      <c r="Q160" s="2511" t="n"/>
      <c r="R160" s="2488" t="n"/>
      <c r="S160" s="2489" t="n"/>
      <c r="T160" s="1433" t="n"/>
      <c r="U160" s="2267" t="n"/>
      <c r="V160" s="2336" t="n"/>
      <c r="W160" s="2266" t="n"/>
      <c r="X160" s="2336" t="n"/>
      <c r="Y160">
        <f>CA160&amp;CB160&amp;CC160&amp;CD160&amp;CE160&amp;CF160&amp;CG160</f>
        <v/>
      </c>
      <c r="CA160" s="260">
        <f>IF(AND($C160&gt;0,R160="")," *No olvide digitar la variable Beneficiarios. Digite cero si no tiene.",IF(R160&gt;$C160," *La variable Beneficiarios no puede ser mayor al Total Ambos Sexos.",""))</f>
        <v/>
      </c>
      <c r="CB160" s="260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>
        <f>IF(AND($C160&gt;0,U160="")," *No olvide digitar la variable Pueblos Originarios. Digite cero si no tiene.",IF(U160&gt;$C160," *La variable Pueblos Originarios no puede ser mayor al Total Ambos Sexos.",""))</f>
        <v/>
      </c>
      <c r="CE160" s="260">
        <f>IF(AND($C160&gt;0,V160="")," *No olvide digitar la variable Migrantes. Digite cero si no tiene.",IF(V160&gt;$C160," *La variable Migrantes no puede ser mayor al Total Ambos Sexos.",""))</f>
        <v/>
      </c>
      <c r="CF160" s="260">
        <f>IF(AND($E160&gt;0,OR(W160=""))," *No olvide digitar la variable Trans (Masculino). Digite cero si no tiene.",IF((W160)&gt;$E160," *La variable Trans (Masculino) no puede ser mayor al Total Mujeres.",""))</f>
        <v/>
      </c>
      <c r="CG160" s="260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/>
      </c>
      <c r="CL160" s="221">
        <f>IF(AND(C160&gt;0,S160=""),1,IF(S160&gt;C160,1,0))</f>
        <v/>
      </c>
      <c r="CM160" s="221">
        <f>IF(AND(C160&gt;0,T160=""),1,IF(T160&gt;C160,1,0))</f>
        <v/>
      </c>
      <c r="CN160" s="221">
        <f>IF(AND(C160&gt;0,U160=""),1,IF(U160&gt;C160,1,0))</f>
        <v/>
      </c>
      <c r="CO160" s="221">
        <f>IF(AND(C160&gt;0,V160=""),1,IF(V160&gt;C160,1,0))</f>
        <v/>
      </c>
      <c r="CP160" s="221">
        <f>IF(AND(E160&gt;0,OR(W160="")),1,IF((W160)&gt;E160,1,0))</f>
        <v/>
      </c>
      <c r="CQ160" s="221">
        <f>IF(AND(D160&gt;0,OR(X160="")),1,IF((X160)&gt;D160,1,0))</f>
        <v/>
      </c>
    </row>
    <row r="161">
      <c r="A161" s="9627" t="n"/>
      <c r="B161" s="1130" t="inlineStr">
        <is>
          <t>Profesional No Médico</t>
        </is>
      </c>
      <c r="C161" s="1254">
        <f>SUM(D161:E161)</f>
        <v/>
      </c>
      <c r="D161" s="2340">
        <f>SUM(F161+H161+J161+L161)</f>
        <v/>
      </c>
      <c r="E161" s="889">
        <f>SUM(G161+I161+K161+M161)</f>
        <v/>
      </c>
      <c r="F161" s="1172" t="n"/>
      <c r="G161" s="1174" t="n"/>
      <c r="H161" s="1172" t="n"/>
      <c r="I161" s="1174" t="n"/>
      <c r="J161" s="1172" t="n"/>
      <c r="K161" s="1174" t="n"/>
      <c r="L161" s="1172" t="n"/>
      <c r="M161" s="1221" t="n"/>
      <c r="N161" s="2447" t="n"/>
      <c r="O161" s="2001" t="n"/>
      <c r="P161" s="2001" t="n"/>
      <c r="Q161" s="1221" t="n"/>
      <c r="R161" s="2494" t="n"/>
      <c r="S161" s="2495" t="n"/>
      <c r="T161" s="1100" t="n"/>
      <c r="U161" s="1174" t="n"/>
      <c r="V161" s="1173" t="n"/>
      <c r="W161" s="1172" t="n"/>
      <c r="X161" s="1173" t="n"/>
      <c r="Y161">
        <f>CA161&amp;CB161&amp;CC161&amp;CD161&amp;CE161&amp;CF161&amp;CG161</f>
        <v/>
      </c>
      <c r="CA161" s="260">
        <f>IF(AND($C161&gt;0,R161="")," *No olvide digitar la variable Beneficiarios. Digite cero si no tiene.",IF(R161&gt;$C161," *La variable Beneficiarios no puede ser mayor al Total Ambos Sexos.",""))</f>
        <v/>
      </c>
      <c r="CB161" s="260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>
        <f>IF(AND($C161&gt;0,U161="")," *No olvide digitar la variable Pueblos Originarios. Digite cero si no tiene.",IF(U161&gt;$C161," *La variable Pueblos Originarios no puede ser mayor al Total Ambos Sexos.",""))</f>
        <v/>
      </c>
      <c r="CE161" s="260">
        <f>IF(AND($C161&gt;0,V161="")," *No olvide digitar la variable Migrantes. Digite cero si no tiene.",IF(V161&gt;$C161," *La variable Migrantes no puede ser mayor al Total Ambos Sexos.",""))</f>
        <v/>
      </c>
      <c r="CF161" s="260">
        <f>IF(AND($E161&gt;0,OR(W161=""))," *No olvide digitar la variable Trans (Masculino). Digite cero si no tiene.",IF((W161)&gt;$E161," *La variable Trans (Masculino) no puede ser mayor al Total Mujeres.",""))</f>
        <v/>
      </c>
      <c r="CG161" s="260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/>
      </c>
      <c r="CL161" s="221">
        <f>IF(AND(C161&gt;0,S161=""),1,IF(S161&gt;C161,1,0))</f>
        <v/>
      </c>
      <c r="CM161" s="221">
        <f>IF(AND(C161&gt;0,T161=""),1,IF(T161&gt;C161,1,0))</f>
        <v/>
      </c>
      <c r="CN161" s="221">
        <f>IF(AND(C161&gt;0,U161=""),1,IF(U161&gt;C161,1,0))</f>
        <v/>
      </c>
      <c r="CO161" s="221">
        <f>IF(AND(C161&gt;0,V161=""),1,IF(V161&gt;C161,1,0))</f>
        <v/>
      </c>
      <c r="CP161" s="221">
        <f>IF(AND(E161&gt;0,OR(W161="")),1,IF((W161)&gt;E161,1,0))</f>
        <v/>
      </c>
      <c r="CQ161" s="221">
        <f>IF(AND(D161&gt;0,OR(X161="")),1,IF((X161)&gt;D161,1,0))</f>
        <v/>
      </c>
    </row>
    <row r="162">
      <c r="A162" s="9621" t="n"/>
      <c r="B162" s="1130" t="inlineStr">
        <is>
          <t>Técnico en Enfermería</t>
        </is>
      </c>
      <c r="C162" s="1252">
        <f>SUM(D162:E162)</f>
        <v/>
      </c>
      <c r="D162" s="1253">
        <f>SUM(F162+H162+J162+L162)</f>
        <v/>
      </c>
      <c r="E162" s="2512">
        <f>SUM(G162+I162+K162+M162)</f>
        <v/>
      </c>
      <c r="F162" s="1172" t="n"/>
      <c r="G162" s="1174" t="n"/>
      <c r="H162" s="1172" t="n"/>
      <c r="I162" s="1174" t="n"/>
      <c r="J162" s="1172" t="n"/>
      <c r="K162" s="1174" t="n"/>
      <c r="L162" s="1172" t="n"/>
      <c r="M162" s="1221" t="n"/>
      <c r="N162" s="2447" t="n"/>
      <c r="O162" s="2001" t="n"/>
      <c r="P162" s="2001" t="n"/>
      <c r="Q162" s="1221" t="n"/>
      <c r="R162" s="2494" t="n"/>
      <c r="S162" s="2495" t="n"/>
      <c r="T162" s="1100" t="n"/>
      <c r="U162" s="1174" t="n"/>
      <c r="V162" s="1173" t="n"/>
      <c r="W162" s="1172" t="n"/>
      <c r="X162" s="1173" t="n"/>
      <c r="Y162">
        <f>CA162&amp;CB162&amp;CC162&amp;CD162&amp;CE162&amp;CF162&amp;CG162</f>
        <v/>
      </c>
      <c r="CA162" s="260">
        <f>IF(AND($C162&gt;0,R162="")," *No olvide digitar la variable Beneficiarios. Digite cero si no tiene.",IF(R162&gt;$C162," *La variable Beneficiarios no puede ser mayor al Total Ambos Sexos.",""))</f>
        <v/>
      </c>
      <c r="CB162" s="260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>
        <f>IF(AND($C162&gt;0,U162="")," *No olvide digitar la variable Pueblos Originarios. Digite cero si no tiene.",IF(U162&gt;$C162," *La variable Pueblos Originarios no puede ser mayor al Total Ambos Sexos.",""))</f>
        <v/>
      </c>
      <c r="CE162" s="260">
        <f>IF(AND($C162&gt;0,V162="")," *No olvide digitar la variable Migrantes. Digite cero si no tiene.",IF(V162&gt;$C162," *La variable Migrantes no puede ser mayor al Total Ambos Sexos.",""))</f>
        <v/>
      </c>
      <c r="CF162" s="260">
        <f>IF(AND($E162&gt;0,OR(W162=""))," *No olvide digitar la variable Trans (Masculino). Digite cero si no tiene.",IF((W162)&gt;$E162," *La variable Trans (Masculino) no puede ser mayor al Total Mujeres.",""))</f>
        <v/>
      </c>
      <c r="CG162" s="260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/>
      </c>
      <c r="CL162" s="221">
        <f>IF(AND(C162&gt;0,S162=""),1,IF(S162&gt;C162,1,0))</f>
        <v/>
      </c>
      <c r="CM162" s="221">
        <f>IF(AND(C162&gt;0,T162=""),1,IF(T162&gt;C162,1,0))</f>
        <v/>
      </c>
      <c r="CN162" s="221">
        <f>IF(AND(C162&gt;0,U162=""),1,IF(U162&gt;C162,1,0))</f>
        <v/>
      </c>
      <c r="CO162" s="221">
        <f>IF(AND(C162&gt;0,V162=""),1,IF(V162&gt;C162,1,0))</f>
        <v/>
      </c>
      <c r="CP162" s="221">
        <f>IF(AND(E162&gt;0,OR(W162="")),1,IF((W162)&gt;E162,1,0))</f>
        <v/>
      </c>
      <c r="CQ162" s="221">
        <f>IF(AND(D162&gt;0,OR(X162="")),1,IF((X162)&gt;D162,1,0))</f>
        <v/>
      </c>
    </row>
    <row r="163">
      <c r="A163" s="2513" t="n"/>
      <c r="B163" s="7727" t="inlineStr">
        <is>
          <t>TOTAL</t>
        </is>
      </c>
      <c r="C163" s="2155">
        <f>SUM(C160:C162)</f>
        <v/>
      </c>
      <c r="D163" s="2156">
        <f>SUM(D160:D162)</f>
        <v/>
      </c>
      <c r="E163" s="2514">
        <f>SUM(E160:E162)</f>
        <v/>
      </c>
      <c r="F163" s="1988">
        <f>SUM(F160:F162)</f>
        <v/>
      </c>
      <c r="G163" s="2121">
        <f>SUM(G160:G162)</f>
        <v/>
      </c>
      <c r="H163" s="1988">
        <f>SUM(H160:H162)</f>
        <v/>
      </c>
      <c r="I163" s="2121">
        <f>SUM(I160:I162)</f>
        <v/>
      </c>
      <c r="J163" s="1988">
        <f>SUM(J160:J162)</f>
        <v/>
      </c>
      <c r="K163" s="2121">
        <f>SUM(K160:K162)</f>
        <v/>
      </c>
      <c r="L163" s="1988">
        <f>SUM(L160:L162)</f>
        <v/>
      </c>
      <c r="M163" s="2069">
        <f>SUM(M160:M162)</f>
        <v/>
      </c>
      <c r="N163" s="2047">
        <f>SUM(N160:N162)</f>
        <v/>
      </c>
      <c r="O163" s="2345">
        <f>SUM(O160:O162)</f>
        <v/>
      </c>
      <c r="P163" s="2345">
        <f>SUM(P160:P162)</f>
        <v/>
      </c>
      <c r="Q163" s="2069">
        <f>SUM(Q160:Q162)</f>
        <v/>
      </c>
      <c r="R163" s="2515">
        <f>SUM(R160:R162)</f>
        <v/>
      </c>
      <c r="S163" s="2516">
        <f>SUM(S160:S162)</f>
        <v/>
      </c>
      <c r="T163" s="2346">
        <f>SUM(T160:T162)</f>
        <v/>
      </c>
      <c r="U163" s="2121">
        <f>SUM(U160:U162)</f>
        <v/>
      </c>
      <c r="V163" s="2147">
        <f>SUM(V160:V162)</f>
        <v/>
      </c>
      <c r="W163" s="1988">
        <f>SUM(W160:W162)</f>
        <v/>
      </c>
      <c r="X163" s="2147">
        <f>SUM(X160:X162)</f>
        <v/>
      </c>
      <c r="CB163">
        <f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>
        <f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>
      <c r="A164" s="4456" t="inlineStr">
        <is>
          <t>Consulta de Salud Mental Asociada a Emergencia o Desastre</t>
        </is>
      </c>
      <c r="B164" s="2335" t="inlineStr">
        <is>
          <t>Médico/a</t>
        </is>
      </c>
      <c r="C164" s="1931">
        <f>SUM(D164:E164)</f>
        <v/>
      </c>
      <c r="D164" s="751">
        <f>SUM(F164+H164+J164+L164)</f>
        <v/>
      </c>
      <c r="E164" s="757">
        <f>SUM(G164+I164+K164+M164)</f>
        <v/>
      </c>
      <c r="F164" s="2266" t="n"/>
      <c r="G164" s="2267" t="n"/>
      <c r="H164" s="2266" t="n"/>
      <c r="I164" s="2267" t="n"/>
      <c r="J164" s="2266" t="n"/>
      <c r="K164" s="2267" t="n"/>
      <c r="L164" s="2266" t="n"/>
      <c r="M164" s="2511" t="n"/>
      <c r="N164" s="2447" t="n"/>
      <c r="O164" s="2001" t="n"/>
      <c r="P164" s="2001" t="n"/>
      <c r="Q164" s="1221" t="n"/>
      <c r="R164" s="2494" t="n"/>
      <c r="S164" s="2495" t="n"/>
      <c r="T164" s="1100" t="n"/>
      <c r="U164" s="1174" t="n"/>
      <c r="V164" s="1173" t="n"/>
      <c r="W164" s="1172" t="n"/>
      <c r="X164" s="1173" t="n"/>
      <c r="Y164">
        <f>CA164&amp;CB164&amp;CC164&amp;CD164&amp;CE164&amp;CF164&amp;CG164</f>
        <v/>
      </c>
      <c r="CA164" s="260">
        <f>IF(AND($C164&gt;0,R164="")," *No olvide digitar la variable Beneficiarios. Digite cero si no tiene.",IF(R164&gt;$C164," *La variable Beneficiarios no puede ser mayor al Total Ambos Sexos.",""))</f>
        <v/>
      </c>
      <c r="CB164" s="260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>
        <f>IF(AND($C164&gt;0,U164="")," *No olvide digitar la variable Pueblos Originarios. Digite cero si no tiene.",IF(U164&gt;$C164," *La variable Pueblos Originarios no puede ser mayor al Total Ambos Sexos.",""))</f>
        <v/>
      </c>
      <c r="CE164" s="260">
        <f>IF(AND($C164&gt;0,V164="")," *No olvide digitar la variable Migrantes. Digite cero si no tiene.",IF(V164&gt;$C164," *La variable Migrantes no puede ser mayor al Total Ambos Sexos.",""))</f>
        <v/>
      </c>
      <c r="CF164" s="260">
        <f>IF(AND($E164&gt;0,OR(W164=""))," *No olvide digitar la variable Trans (Masculino). Digite cero si no tiene.",IF((W164)&gt;$E164," *La variable Trans (Masculino) no puede ser mayor al Total Mujeres.",""))</f>
        <v/>
      </c>
      <c r="CG164" s="260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/>
      </c>
      <c r="CL164" s="221">
        <f>IF(AND(C164&gt;0,S164=""),1,IF(S164&gt;C164,1,0))</f>
        <v/>
      </c>
      <c r="CM164" s="221">
        <f>IF(AND(C164&gt;0,T164=""),1,IF(T164&gt;C164,1,0))</f>
        <v/>
      </c>
      <c r="CN164" s="221">
        <f>IF(AND(C164&gt;0,U164=""),1,IF(U164&gt;C164,1,0))</f>
        <v/>
      </c>
      <c r="CO164" s="221">
        <f>IF(AND(C164&gt;0,V164=""),1,IF(V164&gt;C164,1,0))</f>
        <v/>
      </c>
      <c r="CP164" s="221">
        <f>IF(AND(E164&gt;0,OR(W164="")),1,IF((W164)&gt;E164,1,0))</f>
        <v/>
      </c>
      <c r="CQ164" s="221">
        <f>IF(AND(D164&gt;0,OR(X164="")),1,IF((X164)&gt;D164,1,0))</f>
        <v/>
      </c>
    </row>
    <row r="165">
      <c r="A165" s="9627" t="n"/>
      <c r="B165" s="1130" t="inlineStr">
        <is>
          <t>Profesional No Médico</t>
        </is>
      </c>
      <c r="C165" s="1254">
        <f>SUM(D165:E165)</f>
        <v/>
      </c>
      <c r="D165" s="2340">
        <f>SUM(F165+H165+J165+L165)</f>
        <v/>
      </c>
      <c r="E165" s="889">
        <f>SUM(G165+I165+K165+M165)</f>
        <v/>
      </c>
      <c r="F165" s="1172" t="n"/>
      <c r="G165" s="1174" t="n"/>
      <c r="H165" s="1172" t="n"/>
      <c r="I165" s="1174" t="n"/>
      <c r="J165" s="1172" t="n"/>
      <c r="K165" s="1174" t="n"/>
      <c r="L165" s="1172" t="n"/>
      <c r="M165" s="1221" t="n"/>
      <c r="N165" s="2447" t="n"/>
      <c r="O165" s="2001" t="n"/>
      <c r="P165" s="2001" t="n"/>
      <c r="Q165" s="1221" t="n"/>
      <c r="R165" s="2494" t="n"/>
      <c r="S165" s="2495" t="n"/>
      <c r="T165" s="1100" t="n"/>
      <c r="U165" s="1174" t="n"/>
      <c r="V165" s="1173" t="n"/>
      <c r="W165" s="1172" t="n"/>
      <c r="X165" s="1173" t="n"/>
      <c r="Y165">
        <f>CA165&amp;CB165&amp;CC165&amp;CD165&amp;CE165&amp;CF165&amp;CG165</f>
        <v/>
      </c>
      <c r="CA165" s="260">
        <f>IF(AND($C165&gt;0,R165="")," *No olvide digitar la variable Beneficiarios. Digite cero si no tiene.",IF(R165&gt;$C165," *La variable Beneficiarios no puede ser mayor al Total Ambos Sexos.",""))</f>
        <v/>
      </c>
      <c r="CB165" s="260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>
        <f>IF(AND($C165&gt;0,U165="")," *No olvide digitar la variable Pueblos Originarios. Digite cero si no tiene.",IF(U165&gt;$C165," *La variable Pueblos Originarios no puede ser mayor al Total Ambos Sexos.",""))</f>
        <v/>
      </c>
      <c r="CE165" s="260">
        <f>IF(AND($C165&gt;0,V165="")," *No olvide digitar la variable Migrantes. Digite cero si no tiene.",IF(V165&gt;$C165," *La variable Migrantes no puede ser mayor al Total Ambos Sexos.",""))</f>
        <v/>
      </c>
      <c r="CF165" s="260">
        <f>IF(AND($E165&gt;0,OR(W165=""))," *No olvide digitar la variable Trans (Masculino). Digite cero si no tiene.",IF((W165)&gt;$E165," *La variable Trans (Masculino) no puede ser mayor al Total Mujeres.",""))</f>
        <v/>
      </c>
      <c r="CG165" s="260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/>
      </c>
      <c r="CL165" s="221">
        <f>IF(AND(C165&gt;0,S165=""),1,IF(S165&gt;C165,1,0))</f>
        <v/>
      </c>
      <c r="CM165" s="221">
        <f>IF(AND(C165&gt;0,T165=""),1,IF(T165&gt;C165,1,0))</f>
        <v/>
      </c>
      <c r="CN165" s="221">
        <f>IF(AND(C165&gt;0,U165=""),1,IF(U165&gt;C165,1,0))</f>
        <v/>
      </c>
      <c r="CO165" s="221">
        <f>IF(AND(C165&gt;0,V165=""),1,IF(V165&gt;C165,1,0))</f>
        <v/>
      </c>
      <c r="CP165" s="221">
        <f>IF(AND(E165&gt;0,OR(W165="")),1,IF((W165)&gt;E165,1,0))</f>
        <v/>
      </c>
      <c r="CQ165" s="221">
        <f>IF(AND(D165&gt;0,OR(X165="")),1,IF((X165)&gt;D165,1,0))</f>
        <v/>
      </c>
    </row>
    <row r="166">
      <c r="A166" s="9621" t="n"/>
      <c r="B166" s="1130" t="inlineStr">
        <is>
          <t>Técnico en Enfermería</t>
        </is>
      </c>
      <c r="C166" s="1252">
        <f>SUM(D166:E166)</f>
        <v/>
      </c>
      <c r="D166" s="1253">
        <f>SUM(F166+H166+J166+L166)</f>
        <v/>
      </c>
      <c r="E166" s="2512">
        <f>SUM(G166+I166+K166+M166)</f>
        <v/>
      </c>
      <c r="F166" s="1172" t="n"/>
      <c r="G166" s="1174" t="n"/>
      <c r="H166" s="1172" t="n"/>
      <c r="I166" s="1174" t="n"/>
      <c r="J166" s="1172" t="n"/>
      <c r="K166" s="1174" t="n"/>
      <c r="L166" s="1172" t="n"/>
      <c r="M166" s="1221" t="n"/>
      <c r="N166" s="2447" t="n"/>
      <c r="O166" s="2001" t="n"/>
      <c r="P166" s="2001" t="n"/>
      <c r="Q166" s="1221" t="n"/>
      <c r="R166" s="2494" t="n"/>
      <c r="S166" s="2495" t="n"/>
      <c r="T166" s="1100" t="n"/>
      <c r="U166" s="1174" t="n"/>
      <c r="V166" s="1173" t="n"/>
      <c r="W166" s="1172" t="n"/>
      <c r="X166" s="1173" t="n"/>
      <c r="Y166">
        <f>CA166&amp;CB166&amp;CC166&amp;CD166&amp;CE166&amp;CF166&amp;CG166</f>
        <v/>
      </c>
      <c r="CA166" s="260">
        <f>IF(AND($C166&gt;0,R166="")," *No olvide digitar la variable Beneficiarios. Digite cero si no tiene.",IF(R166&gt;$C166," *La variable Beneficiarios no puede ser mayor al Total Ambos Sexos.",""))</f>
        <v/>
      </c>
      <c r="CB166" s="260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>
        <f>IF(AND($C166&gt;0,U166="")," *No olvide digitar la variable Pueblos Originarios. Digite cero si no tiene.",IF(U166&gt;$C166," *La variable Pueblos Originarios no puede ser mayor al Total Ambos Sexos.",""))</f>
        <v/>
      </c>
      <c r="CE166" s="260">
        <f>IF(AND($C166&gt;0,V166="")," *No olvide digitar la variable Migrantes. Digite cero si no tiene.",IF(V166&gt;$C166," *La variable Migrantes no puede ser mayor al Total Ambos Sexos.",""))</f>
        <v/>
      </c>
      <c r="CF166" s="260">
        <f>IF(AND($E166&gt;0,OR(W166=""))," *No olvide digitar la variable Trans (Masculino). Digite cero si no tiene.",IF((W166)&gt;$E166," *La variable Trans (Masculino) no puede ser mayor al Total Mujeres.",""))</f>
        <v/>
      </c>
      <c r="CG166" s="260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/>
      </c>
      <c r="CL166" s="221">
        <f>IF(AND(C166&gt;0,S166=""),1,IF(S166&gt;C166,1,0))</f>
        <v/>
      </c>
      <c r="CM166" s="221">
        <f>IF(AND(C166&gt;0,T166=""),1,IF(T166&gt;C166,1,0))</f>
        <v/>
      </c>
      <c r="CN166" s="221">
        <f>IF(AND(C166&gt;0,U166=""),1,IF(U166&gt;C166,1,0))</f>
        <v/>
      </c>
      <c r="CO166" s="221">
        <f>IF(AND(C166&gt;0,V166=""),1,IF(V166&gt;C166,1,0))</f>
        <v/>
      </c>
      <c r="CP166" s="221">
        <f>IF(AND(E166&gt;0,OR(W166="")),1,IF((W166)&gt;E166,1,0))</f>
        <v/>
      </c>
      <c r="CQ166" s="221">
        <f>IF(AND(D166&gt;0,OR(X166="")),1,IF((X166)&gt;D166,1,0))</f>
        <v/>
      </c>
    </row>
    <row r="167">
      <c r="A167" s="2513" t="n"/>
      <c r="B167" s="7727" t="inlineStr">
        <is>
          <t>TOTAL</t>
        </is>
      </c>
      <c r="C167" s="1252">
        <f>SUM(D167:E167)</f>
        <v/>
      </c>
      <c r="D167" s="1253">
        <f>SUM(F167+H167+J167+L167)</f>
        <v/>
      </c>
      <c r="E167" s="2512">
        <f>SUM(G167+I167+K167+M167)</f>
        <v/>
      </c>
      <c r="F167" s="1988">
        <f>SUM(F164:F166)</f>
        <v/>
      </c>
      <c r="G167" s="2121">
        <f>SUM(G164:G166)</f>
        <v/>
      </c>
      <c r="H167" s="1988">
        <f>SUM(H164:H166)</f>
        <v/>
      </c>
      <c r="I167" s="2121">
        <f>SUM(I164:I166)</f>
        <v/>
      </c>
      <c r="J167" s="1988">
        <f>SUM(J164:J166)</f>
        <v/>
      </c>
      <c r="K167" s="2121">
        <f>SUM(K164:K166)</f>
        <v/>
      </c>
      <c r="L167" s="1988">
        <f>SUM(L164:L166)</f>
        <v/>
      </c>
      <c r="M167" s="2069">
        <f>SUM(M164:M166)</f>
        <v/>
      </c>
      <c r="N167" s="2047">
        <f>SUM(N164:N166)</f>
        <v/>
      </c>
      <c r="O167" s="2345">
        <f>SUM(O164:O166)</f>
        <v/>
      </c>
      <c r="P167" s="2345">
        <f>SUM(P164:P166)</f>
        <v/>
      </c>
      <c r="Q167" s="2069">
        <f>SUM(Q164:Q166)</f>
        <v/>
      </c>
      <c r="R167" s="2515">
        <f>SUM(R164:R166)</f>
        <v/>
      </c>
      <c r="S167" s="2516">
        <f>SUM(S164:S166)</f>
        <v/>
      </c>
      <c r="T167" s="2346">
        <f>SUM(T164:T166)</f>
        <v/>
      </c>
      <c r="U167" s="2121">
        <f>SUM(U164:U166)</f>
        <v/>
      </c>
      <c r="V167" s="2147">
        <f>SUM(V164:V166)</f>
        <v/>
      </c>
      <c r="W167" s="1988">
        <f>SUM(W164:W166)</f>
        <v/>
      </c>
      <c r="X167" s="2147">
        <f>SUM(X164:X166)</f>
        <v/>
      </c>
      <c r="CB167">
        <f>IF(AND($C167&gt;0,S167="")," * No olvide digitar la variable Servicio Nacional Protección Especializada a la Niñez y Adolescencia. Digite cero si no tiene.",IF(S167&gt;$C167," * La variable Servicio Nacional Protección Especializada a la Niñez y Adolescencia no puede ser mayor al Total Ambos Sexos.",""))</f>
        <v/>
      </c>
      <c r="CC167">
        <f>IF(AND($C167&gt;0,T167="")," * No olvide digitar la variable SENAME/ Servicio Nacional de Reinserción social Juvenil . Digite cero si no tiene.",IF(T167&gt;$C167," * La variable SENAME/ Servicio Nacional de Reinserción social Juvenil  no puede ser mayor al Total Ambos Sexos.",""))</f>
        <v/>
      </c>
    </row>
    <row r="168">
      <c r="A168" s="4456" t="inlineStr">
        <is>
          <t>Intervención Psicosocial Grupal</t>
        </is>
      </c>
      <c r="B168" s="9647" t="n"/>
      <c r="C168" s="1252">
        <f>SUM(D168:E168)</f>
        <v/>
      </c>
      <c r="D168" s="1253">
        <f>SUM(F168+H168+J168+L168)</f>
        <v/>
      </c>
      <c r="E168" s="2512">
        <f>SUM(G168+I168+K168+M168)</f>
        <v/>
      </c>
      <c r="F168" s="2036" t="n"/>
      <c r="G168" s="2351" t="n"/>
      <c r="H168" s="2036" t="n"/>
      <c r="I168" s="2351" t="n"/>
      <c r="J168" s="2036" t="n"/>
      <c r="K168" s="2351" t="n"/>
      <c r="L168" s="2036" t="n"/>
      <c r="M168" s="2268" t="n"/>
      <c r="N168" s="2064" t="n"/>
      <c r="O168" s="2354" t="n"/>
      <c r="P168" s="2354" t="n"/>
      <c r="Q168" s="2268" t="n"/>
      <c r="R168" s="2517" t="n"/>
      <c r="S168" s="2518" t="n"/>
      <c r="T168" s="2269" t="n"/>
      <c r="U168" s="2038" t="n"/>
      <c r="V168" s="2351" t="n"/>
      <c r="W168" s="2036" t="n"/>
      <c r="X168" s="2351" t="n"/>
      <c r="Y168">
        <f>CA168&amp;CB168&amp;CC168&amp;CD168&amp;CE168&amp;CF168&amp;CG168</f>
        <v/>
      </c>
      <c r="CA168" s="260">
        <f>IF(AND($C168&gt;0,R168="")," *No olvide digitar la variable Beneficiarios. Digite cero si no tiene.",IF(R168&gt;$C168," *La variable Beneficiarios no puede ser mayor al Total Ambos Sexos.",""))</f>
        <v/>
      </c>
      <c r="CB168" s="260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>
        <f>IF(AND($C168&gt;0,U168="")," *No olvide digitar la variable Pueblos Originarios. Digite cero si no tiene.",IF(U168&gt;$C168," *La variable Pueblos Originarios no puede ser mayor al Total Ambos Sexos.",""))</f>
        <v/>
      </c>
      <c r="CE168" s="260">
        <f>IF(AND($C168&gt;0,V168="")," *No olvide digitar la variable Migrantes. Digite cero si no tiene.",IF(V168&gt;$C168," *La variable Migrantes no puede ser mayor al Total Ambos Sexos.",""))</f>
        <v/>
      </c>
      <c r="CF168" s="260">
        <f>IF(AND($E168&gt;0,OR(W168=""))," *No olvide digitar la variable Trans (Masculino). Digite cero si no tiene.",IF((W168)&gt;$E168," *La variable Trans (Masculino) no puede ser mayor al Total Mujeres.",""))</f>
        <v/>
      </c>
      <c r="CG168" s="260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/>
      </c>
      <c r="CL168" s="221">
        <f>IF(AND(C168&gt;0,S168=""),1,IF(S168&gt;C168,1,0))</f>
        <v/>
      </c>
      <c r="CM168" s="221">
        <f>IF(AND(C168&gt;0,T168=""),1,IF(T168&gt;C168,1,0))</f>
        <v/>
      </c>
      <c r="CN168" s="221">
        <f>IF(AND(C168&gt;0,U168=""),1,IF(U168&gt;C168,1,0))</f>
        <v/>
      </c>
      <c r="CO168" s="221">
        <f>IF(AND(C168&gt;0,V168=""),1,IF(V168&gt;C168,1,0))</f>
        <v/>
      </c>
      <c r="CP168" s="221">
        <f>IF(AND(E168&gt;0,OR(W168="")),1,IF((W168)&gt;E168,1,0))</f>
        <v/>
      </c>
      <c r="CQ168" s="221">
        <f>IF(AND(D168&gt;0,OR(X168="")),1,IF((X168)&gt;D168,1,0))</f>
        <v/>
      </c>
    </row>
    <row r="169" ht="18" customHeight="1" s="8286">
      <c r="A169" s="2" t="inlineStr">
        <is>
          <t>SECCIÓN K.1: ACTIVIDADES DE COORDINACION EN SITUACIONES DE EMERGENCIA Y DESASTRE</t>
        </is>
      </c>
      <c r="B169" s="2519" t="n"/>
      <c r="C169" s="2519" t="n"/>
      <c r="D169" s="2519" t="n"/>
    </row>
    <row r="170">
      <c r="A170" s="8400" t="inlineStr">
        <is>
          <t>ACTIVIDADES</t>
        </is>
      </c>
      <c r="B170" s="8400" t="inlineStr">
        <is>
          <t>TOTAL DE PARTICIPANTES</t>
        </is>
      </c>
      <c r="C170" s="10098" t="inlineStr">
        <is>
          <t xml:space="preserve">
Nº Reuniones / Sesiones</t>
        </is>
      </c>
      <c r="D170" s="9931" t="inlineStr">
        <is>
          <t>Nº Instituciones, Organizaciones que participan</t>
        </is>
      </c>
    </row>
    <row r="171" ht="18.75" customHeight="1" s="8286">
      <c r="A171" s="9610" t="n"/>
      <c r="B171" s="9610" t="n"/>
      <c r="C171" s="9800" t="n"/>
      <c r="D171" s="9705" t="n"/>
    </row>
    <row r="172">
      <c r="A172" s="2315" t="inlineStr">
        <is>
          <t>Trabajo Intersectorial</t>
        </is>
      </c>
      <c r="B172" s="2435" t="n"/>
      <c r="C172" s="2436" t="n"/>
      <c r="D172" s="2437" t="n"/>
    </row>
    <row r="173">
      <c r="A173" s="1144" t="inlineStr">
        <is>
          <t>Trabajo Sectorial</t>
        </is>
      </c>
      <c r="B173" s="2438" t="n"/>
      <c r="C173" s="1124" t="n"/>
      <c r="D173" s="1125" t="n"/>
    </row>
    <row r="174">
      <c r="A174" s="1149" t="inlineStr">
        <is>
          <t>Actividades Comunitarias</t>
        </is>
      </c>
      <c r="B174" s="2441" t="n"/>
      <c r="C174" s="1137" t="n"/>
      <c r="D174" s="1138" t="n"/>
    </row>
    <row r="175" ht="18" customHeight="1" s="8286">
      <c r="A175" s="2" t="inlineStr">
        <is>
          <t>SECCIÓN L: PROCEDIMIENTOS REALIZADOS EN ATENCIÓN HOSPITALARIA</t>
        </is>
      </c>
    </row>
    <row r="176">
      <c r="A176" s="9977" t="inlineStr">
        <is>
          <t>TERAPIA ELECTROCONVULSIVA</t>
        </is>
      </c>
      <c r="B176" s="9939" t="inlineStr">
        <is>
          <t xml:space="preserve">TOTAL          </t>
        </is>
      </c>
      <c r="C176" s="9602" t="n"/>
      <c r="D176" s="9630" t="n"/>
      <c r="E176" s="10006" t="inlineStr">
        <is>
          <t>RANGO ETARIO Y SEXO</t>
        </is>
      </c>
      <c r="F176" s="9584" t="n"/>
      <c r="G176" s="9584" t="n"/>
      <c r="H176" s="9584" t="n"/>
      <c r="I176" s="9584" t="n"/>
      <c r="J176" s="9584" t="n"/>
      <c r="K176" s="9584" t="n"/>
      <c r="L176" s="2520" t="n"/>
      <c r="M176" s="10002" t="inlineStr">
        <is>
          <t>Atención Abierta</t>
        </is>
      </c>
      <c r="N176" s="9920" t="inlineStr">
        <is>
          <t>Atención Cerrada</t>
        </is>
      </c>
    </row>
    <row r="177">
      <c r="A177" s="9614" t="n"/>
      <c r="B177" s="9638" t="n"/>
      <c r="C177" s="9697" t="n"/>
      <c r="D177" s="9639" t="n"/>
      <c r="E177" s="9240" t="inlineStr">
        <is>
          <t>5 - 18 años</t>
        </is>
      </c>
      <c r="F177" s="9647" t="n"/>
      <c r="G177" s="9240" t="inlineStr">
        <is>
          <t>19 - 40 años</t>
        </is>
      </c>
      <c r="H177" s="9647" t="n"/>
      <c r="I177" s="9240" t="inlineStr">
        <is>
          <t>41-59 años</t>
        </is>
      </c>
      <c r="J177" s="9647" t="n"/>
      <c r="K177" s="10099" t="inlineStr">
        <is>
          <t>60 y más años</t>
        </is>
      </c>
      <c r="L177" s="9873" t="n"/>
      <c r="M177" s="9687" t="n"/>
      <c r="N177" s="9625" t="n"/>
    </row>
    <row r="178">
      <c r="A178" s="9610" t="n"/>
      <c r="B178" s="7691" t="inlineStr">
        <is>
          <t>Ambos Sexos</t>
        </is>
      </c>
      <c r="C178" s="7663" t="inlineStr">
        <is>
          <t>Hombres</t>
        </is>
      </c>
      <c r="D178" s="7665" t="inlineStr">
        <is>
          <t>Mujeres</t>
        </is>
      </c>
      <c r="E178" s="7932" t="inlineStr">
        <is>
          <t>Hombres</t>
        </is>
      </c>
      <c r="F178" s="7729" t="inlineStr">
        <is>
          <t>Mujeres</t>
        </is>
      </c>
      <c r="G178" s="7932" t="inlineStr">
        <is>
          <t>Hombres</t>
        </is>
      </c>
      <c r="H178" s="7729" t="inlineStr">
        <is>
          <t>Mujeres</t>
        </is>
      </c>
      <c r="I178" s="7932" t="inlineStr">
        <is>
          <t>Hombres</t>
        </is>
      </c>
      <c r="J178" s="7729" t="inlineStr">
        <is>
          <t>Mujeres</t>
        </is>
      </c>
      <c r="K178" s="7932" t="inlineStr">
        <is>
          <t>Hombres</t>
        </is>
      </c>
      <c r="L178" s="8006" t="inlineStr">
        <is>
          <t>Mujeres</t>
        </is>
      </c>
      <c r="M178" s="9688" t="n"/>
      <c r="N178" s="9641" t="n"/>
    </row>
    <row r="179">
      <c r="A179" s="2315" t="inlineStr">
        <is>
          <t>Inicio de tratamiento (primera sesión de la serie)</t>
        </is>
      </c>
      <c r="B179" s="2282">
        <f>SUM(C179:D179)</f>
        <v/>
      </c>
      <c r="C179" s="834">
        <f>SUM(E179+G179+I179+K179)</f>
        <v/>
      </c>
      <c r="D179" s="2152">
        <f>SUM(F179+H179+J179+L179)</f>
        <v/>
      </c>
      <c r="E179" s="2266" t="n"/>
      <c r="F179" s="2267" t="n"/>
      <c r="G179" s="2266" t="n"/>
      <c r="H179" s="2267" t="n"/>
      <c r="I179" s="2266" t="n"/>
      <c r="J179" s="2267" t="n"/>
      <c r="K179" s="2266" t="n"/>
      <c r="L179" s="2522" t="n"/>
      <c r="M179" s="2523" t="n"/>
      <c r="N179" s="2437" t="n"/>
    </row>
    <row r="180">
      <c r="A180" s="2513" t="inlineStr">
        <is>
          <t>Sesiones de tratamiento</t>
        </is>
      </c>
      <c r="B180" s="1252">
        <f>SUM(C180:D180)</f>
        <v/>
      </c>
      <c r="C180" s="2340">
        <f>SUM(E180+G180+I180+K180)</f>
        <v/>
      </c>
      <c r="D180" s="1171">
        <f>SUM(F180+H180+J180+L180)</f>
        <v/>
      </c>
      <c r="E180" s="1172" t="n"/>
      <c r="F180" s="1174" t="n"/>
      <c r="G180" s="1172" t="n"/>
      <c r="H180" s="1174" t="n"/>
      <c r="I180" s="1172" t="n"/>
      <c r="J180" s="1174" t="n"/>
      <c r="K180" s="1172" t="n"/>
      <c r="L180" s="2524" t="n"/>
      <c r="M180" s="1127" t="n"/>
      <c r="N180" s="1125" t="n"/>
    </row>
    <row r="181">
      <c r="A181" s="7681" t="inlineStr">
        <is>
          <t>TOTAL</t>
        </is>
      </c>
      <c r="B181" s="2155">
        <f>SUM(B179:B180)</f>
        <v/>
      </c>
      <c r="C181" s="2156">
        <f>SUM(C179:C180)</f>
        <v/>
      </c>
      <c r="D181" s="2158">
        <f>SUM(D179:D180)</f>
        <v/>
      </c>
      <c r="E181" s="2155">
        <f>SUM(E179:E180)</f>
        <v/>
      </c>
      <c r="F181" s="2158">
        <f>SUM(F179:F180)</f>
        <v/>
      </c>
      <c r="G181" s="2155">
        <f>SUM(G179:G180)</f>
        <v/>
      </c>
      <c r="H181" s="2158">
        <f>SUM(H179:H180)</f>
        <v/>
      </c>
      <c r="I181" s="2155">
        <f>SUM(I179:I180)</f>
        <v/>
      </c>
      <c r="J181" s="2158">
        <f>SUM(J179:J180)</f>
        <v/>
      </c>
      <c r="K181" s="2155">
        <f>SUM(K179:K180)</f>
        <v/>
      </c>
      <c r="L181" s="2525">
        <f>SUM(L179:L180)</f>
        <v/>
      </c>
      <c r="M181" s="2526">
        <f>SUM(M179:M180)</f>
        <v/>
      </c>
      <c r="N181" s="2157">
        <f>SUM(N179:N180)</f>
        <v/>
      </c>
    </row>
    <row r="205" hidden="1" ht="48.75" customHeight="1" s="8286">
      <c r="A205" s="282">
        <f>SUM(C12:C21,C23:C26,B30:B32,E30:E32,B36:B38,E36:E38,C41:C44,C49:C50,C55:C76,B80:I83,B86:D93,B97:F101,B106:F108,B114:B116,B120:E120,B124:B126,B130,C135:C138,B143:B150,B154:C155,C160:C168,B172:D174,B179:B181)</f>
        <v/>
      </c>
      <c r="B205" s="283">
        <f>SUM(CK12:CS168)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km4ecX41z66MXs9SVmahwQ==" formatRows="1" sort="1" spinCount="100000" hashValue="4kAll1yKUYI6bOG6ZhfMZfCRitn43FYrymmy+6Fi3LSbzI8usXrfSi7fVGDWKp28/SfTwNi8X/a5k/4KjTQbTw=="/>
  <mergeCells count="228">
    <mergeCell ref="H53:I53"/>
    <mergeCell ref="AQ132:AQ134"/>
    <mergeCell ref="A128:A129"/>
    <mergeCell ref="N157:N159"/>
    <mergeCell ref="W158:W159"/>
    <mergeCell ref="P157:P159"/>
    <mergeCell ref="H10:I10"/>
    <mergeCell ref="K177:L177"/>
    <mergeCell ref="J10:K10"/>
    <mergeCell ref="AJ133:AK133"/>
    <mergeCell ref="R28:S28"/>
    <mergeCell ref="J28:K28"/>
    <mergeCell ref="L53:M53"/>
    <mergeCell ref="L28:M28"/>
    <mergeCell ref="N53:O53"/>
    <mergeCell ref="F158:G158"/>
    <mergeCell ref="Z53:AA53"/>
    <mergeCell ref="AN132:AN134"/>
    <mergeCell ref="F133:G133"/>
    <mergeCell ref="H133:I133"/>
    <mergeCell ref="AB47:AC47"/>
    <mergeCell ref="V28:W28"/>
    <mergeCell ref="J53:K53"/>
    <mergeCell ref="X28:Y28"/>
    <mergeCell ref="R157:R159"/>
    <mergeCell ref="R133:S133"/>
    <mergeCell ref="E128:F128"/>
    <mergeCell ref="T133:U133"/>
    <mergeCell ref="I122:J122"/>
    <mergeCell ref="AR28:AR29"/>
    <mergeCell ref="AJ28:AK28"/>
    <mergeCell ref="B28:B29"/>
    <mergeCell ref="AL28:AM28"/>
    <mergeCell ref="A51:M51"/>
    <mergeCell ref="B128:B129"/>
    <mergeCell ref="B78:C78"/>
    <mergeCell ref="A157:A159"/>
    <mergeCell ref="D78:E78"/>
    <mergeCell ref="X133:Y133"/>
    <mergeCell ref="AP9:AP11"/>
    <mergeCell ref="AR9:AR11"/>
    <mergeCell ref="AJ53:AK53"/>
    <mergeCell ref="C9:E10"/>
    <mergeCell ref="AM52:AM54"/>
    <mergeCell ref="C132:E133"/>
    <mergeCell ref="A63:A66"/>
    <mergeCell ref="P47:Q47"/>
    <mergeCell ref="F46:AK46"/>
    <mergeCell ref="A156:E156"/>
    <mergeCell ref="X158:X159"/>
    <mergeCell ref="W157:X157"/>
    <mergeCell ref="AS9:AS11"/>
    <mergeCell ref="B104:B105"/>
    <mergeCell ref="N176:N178"/>
    <mergeCell ref="C28:D28"/>
    <mergeCell ref="V47:W47"/>
    <mergeCell ref="AH47:AI47"/>
    <mergeCell ref="AJ47:AK47"/>
    <mergeCell ref="E28:G28"/>
    <mergeCell ref="A61:A62"/>
    <mergeCell ref="F10:G10"/>
    <mergeCell ref="E122:F122"/>
    <mergeCell ref="P10:Q10"/>
    <mergeCell ref="B170:B171"/>
    <mergeCell ref="R10:S10"/>
    <mergeCell ref="AU28:AU29"/>
    <mergeCell ref="T53:U53"/>
    <mergeCell ref="AF53:AG53"/>
    <mergeCell ref="AT10:AT11"/>
    <mergeCell ref="T10:U10"/>
    <mergeCell ref="AH53:AI53"/>
    <mergeCell ref="V10:W10"/>
    <mergeCell ref="G112:H112"/>
    <mergeCell ref="AD28:AE28"/>
    <mergeCell ref="I112:J112"/>
    <mergeCell ref="AH10:AI10"/>
    <mergeCell ref="AJ10:AK10"/>
    <mergeCell ref="F47:G47"/>
    <mergeCell ref="C95:C96"/>
    <mergeCell ref="A46:B48"/>
    <mergeCell ref="AN9:AN11"/>
    <mergeCell ref="G177:H177"/>
    <mergeCell ref="AD133:AE133"/>
    <mergeCell ref="E104:E105"/>
    <mergeCell ref="I177:J177"/>
    <mergeCell ref="AF133:AG133"/>
    <mergeCell ref="R47:S47"/>
    <mergeCell ref="N28:O28"/>
    <mergeCell ref="P28:Q28"/>
    <mergeCell ref="B95:B96"/>
    <mergeCell ref="H28:I28"/>
    <mergeCell ref="AP132:AP134"/>
    <mergeCell ref="C46:E47"/>
    <mergeCell ref="AR132:AR134"/>
    <mergeCell ref="L158:M158"/>
    <mergeCell ref="V53:W53"/>
    <mergeCell ref="A43:A44"/>
    <mergeCell ref="P111:P113"/>
    <mergeCell ref="E176:K176"/>
    <mergeCell ref="N133:O133"/>
    <mergeCell ref="P133:Q133"/>
    <mergeCell ref="AF28:AG28"/>
    <mergeCell ref="AH28:AI28"/>
    <mergeCell ref="H34:M34"/>
    <mergeCell ref="AD47:AE47"/>
    <mergeCell ref="A52:B54"/>
    <mergeCell ref="AN46:AN48"/>
    <mergeCell ref="C34:D34"/>
    <mergeCell ref="F157:M157"/>
    <mergeCell ref="AL52:AL54"/>
    <mergeCell ref="Q157:Q159"/>
    <mergeCell ref="A78:A79"/>
    <mergeCell ref="S157:S159"/>
    <mergeCell ref="E34:G34"/>
    <mergeCell ref="A41:A42"/>
    <mergeCell ref="L47:M47"/>
    <mergeCell ref="A168:B168"/>
    <mergeCell ref="C128:D128"/>
    <mergeCell ref="H140:I141"/>
    <mergeCell ref="G122:H122"/>
    <mergeCell ref="F9:AM9"/>
    <mergeCell ref="U157:U159"/>
    <mergeCell ref="E118:E119"/>
    <mergeCell ref="D170:D171"/>
    <mergeCell ref="A111:A113"/>
    <mergeCell ref="AO9:AO11"/>
    <mergeCell ref="AQ9:AQ11"/>
    <mergeCell ref="A6:W6"/>
    <mergeCell ref="AD10:AE10"/>
    <mergeCell ref="E177:F177"/>
    <mergeCell ref="AF10:AG10"/>
    <mergeCell ref="B34:B35"/>
    <mergeCell ref="C141:F141"/>
    <mergeCell ref="A176:A178"/>
    <mergeCell ref="A104:A105"/>
    <mergeCell ref="M176:M178"/>
    <mergeCell ref="B176:D177"/>
    <mergeCell ref="T157:T159"/>
    <mergeCell ref="A122:A123"/>
    <mergeCell ref="E95:F95"/>
    <mergeCell ref="A55:A60"/>
    <mergeCell ref="N10:O10"/>
    <mergeCell ref="L10:M10"/>
    <mergeCell ref="A23:B23"/>
    <mergeCell ref="P53:Q53"/>
    <mergeCell ref="R53:S53"/>
    <mergeCell ref="H158:I158"/>
    <mergeCell ref="AT9:AU9"/>
    <mergeCell ref="J158:K158"/>
    <mergeCell ref="AB53:AC53"/>
    <mergeCell ref="AD53:AE53"/>
    <mergeCell ref="B141:B142"/>
    <mergeCell ref="J133:K133"/>
    <mergeCell ref="B157:B159"/>
    <mergeCell ref="AF47:AG47"/>
    <mergeCell ref="Z28:AA28"/>
    <mergeCell ref="A170:A171"/>
    <mergeCell ref="E112:F112"/>
    <mergeCell ref="AB28:AC28"/>
    <mergeCell ref="C170:C171"/>
    <mergeCell ref="V157:V159"/>
    <mergeCell ref="V133:W133"/>
    <mergeCell ref="A164:A166"/>
    <mergeCell ref="T28:U28"/>
    <mergeCell ref="B132:B134"/>
    <mergeCell ref="AN28:AO28"/>
    <mergeCell ref="AH133:AI133"/>
    <mergeCell ref="A67:A68"/>
    <mergeCell ref="AP28:AP29"/>
    <mergeCell ref="AU10:AU11"/>
    <mergeCell ref="F78:G78"/>
    <mergeCell ref="Z133:AA133"/>
    <mergeCell ref="H78:I78"/>
    <mergeCell ref="G128:I128"/>
    <mergeCell ref="AB133:AC133"/>
    <mergeCell ref="AV9:AV11"/>
    <mergeCell ref="C104:C105"/>
    <mergeCell ref="A69:A70"/>
    <mergeCell ref="N47:O47"/>
    <mergeCell ref="AL133:AM133"/>
    <mergeCell ref="AT28:AT29"/>
    <mergeCell ref="B140:F140"/>
    <mergeCell ref="T47:U47"/>
    <mergeCell ref="A118:A119"/>
    <mergeCell ref="A140:A142"/>
    <mergeCell ref="C157:E158"/>
    <mergeCell ref="A12:A22"/>
    <mergeCell ref="D95:D96"/>
    <mergeCell ref="D104:D105"/>
    <mergeCell ref="B118:D118"/>
    <mergeCell ref="A25:A26"/>
    <mergeCell ref="F104:F105"/>
    <mergeCell ref="L133:M133"/>
    <mergeCell ref="X53:Y53"/>
    <mergeCell ref="A95:A96"/>
    <mergeCell ref="X47:Y47"/>
    <mergeCell ref="Z47:AA47"/>
    <mergeCell ref="F132:AM132"/>
    <mergeCell ref="G140:G142"/>
    <mergeCell ref="AO132:AO134"/>
    <mergeCell ref="A9:A11"/>
    <mergeCell ref="A71:A76"/>
    <mergeCell ref="AL46:AL48"/>
    <mergeCell ref="A132:A134"/>
    <mergeCell ref="O111:O113"/>
    <mergeCell ref="B111:D112"/>
    <mergeCell ref="A135:A138"/>
    <mergeCell ref="O157:O159"/>
    <mergeCell ref="H47:I47"/>
    <mergeCell ref="AM46:AM48"/>
    <mergeCell ref="J47:K47"/>
    <mergeCell ref="AQ28:AQ29"/>
    <mergeCell ref="AS28:AS29"/>
    <mergeCell ref="A34:A35"/>
    <mergeCell ref="X10:Y10"/>
    <mergeCell ref="B122:D122"/>
    <mergeCell ref="E111:M111"/>
    <mergeCell ref="C52:E53"/>
    <mergeCell ref="A28:A29"/>
    <mergeCell ref="Z10:AA10"/>
    <mergeCell ref="AB10:AC10"/>
    <mergeCell ref="K112:L112"/>
    <mergeCell ref="M112:N112"/>
    <mergeCell ref="B9:B11"/>
    <mergeCell ref="AL10:AM10"/>
    <mergeCell ref="F52:AK52"/>
    <mergeCell ref="A160:A162"/>
    <mergeCell ref="F53:G53"/>
  </mergeCells>
  <dataValidations count="4">
    <dataValidation sqref="F156:AS156" showDropDown="0" showInputMessage="1" showErrorMessage="1" allowBlank="0" type="whole">
      <formula1>0</formula1>
      <formula2>1E+30</formula2>
    </dataValidation>
    <dataValidation sqref="B86:D93 B97:F101 B106:F108 B120:E120 B154:C155 B172:D174 C30:AU31 C36:M37 C41:C44 C130:I130 C143:I150 E114:P116 E124:J126 E179:N180 F12:AV26 F49:AN50 F135:AR137 F160:X162 F164:X166 F168:X168" showDropDown="0" showInputMessage="1" showErrorMessage="1" allowBlank="0" type="whole" operator="greaterThanOrEqual">
      <formula1>0</formula1>
    </dataValidation>
    <dataValidation sqref="F55:AM76" showDropDown="0" showInputMessage="1" showErrorMessage="1" allowBlank="0" type="whole">
      <formula1>0</formula1>
      <formula2>9.99999999999999E+36</formula2>
    </dataValidation>
    <dataValidation sqref="B80:I83" showDropDown="0" showInputMessage="1" showErrorMessage="1" allowBlank="0" type="whole">
      <formula1>0</formula1>
      <formula2>9.99999999999999E+38</formula2>
    </dataValidation>
  </dataValidation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CX239"/>
  <sheetViews>
    <sheetView showGridLines="0" topLeftCell="A16" zoomScaleNormal="100" workbookViewId="0">
      <selection activeCell="A1" sqref="A1"/>
    </sheetView>
  </sheetViews>
  <sheetFormatPr baseColWidth="10" defaultColWidth="11.42578125" defaultRowHeight="15"/>
  <cols>
    <col width="55.42578125" customWidth="1" style="8286" min="1" max="1"/>
    <col width="24.42578125" customWidth="1" style="8286" min="2" max="2"/>
    <col width="15.7109375" customWidth="1" style="8286" min="3" max="46"/>
    <col width="14.42578125" customWidth="1" style="8286" min="47" max="55"/>
    <col width="11.42578125" customWidth="1" style="8286" min="56" max="56"/>
    <col width="11.42578125" customWidth="1" style="8286" min="76" max="78"/>
    <col width="16" customWidth="1" style="8286" min="79" max="79"/>
    <col hidden="1" width="11.42578125" customWidth="1" style="17" min="80" max="80"/>
    <col hidden="1" width="13.42578125" customWidth="1" style="17" min="81" max="84"/>
    <col hidden="1" width="11.42578125" customWidth="1" style="17" min="85" max="96"/>
    <col hidden="1" width="9" customWidth="1" style="17" min="97" max="97"/>
    <col hidden="1" width="11.42578125" customWidth="1" style="17" min="98" max="98"/>
    <col hidden="1" width="11.42578125" customWidth="1" style="8286" min="99" max="100"/>
    <col width="11.42578125" customWidth="1" style="8286" min="101" max="141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25">
        <f>CONCATENATE("AÑO: ",NOMBRE!B7)</f>
        <v/>
      </c>
    </row>
    <row r="6" ht="18" customFormat="1" customHeight="1" s="8">
      <c r="A6" s="8082" t="inlineStr">
        <is>
          <t xml:space="preserve">REM-07.  ATENCIÓN  DE ESPECIALIDADES </t>
        </is>
      </c>
      <c r="U6" s="737" t="n"/>
      <c r="V6" s="737" t="n"/>
      <c r="W6" s="737" t="n"/>
      <c r="X6" s="737" t="n"/>
      <c r="Y6" s="737" t="n"/>
      <c r="Z6" s="737" t="n"/>
      <c r="AA6" s="737" t="n"/>
      <c r="AB6" s="737" t="n"/>
      <c r="AC6" s="737" t="n"/>
      <c r="AD6" s="737" t="n"/>
      <c r="AE6" s="6" t="n"/>
      <c r="AF6" s="6" t="n"/>
      <c r="AG6" s="6" t="n"/>
      <c r="AH6" s="247" t="n"/>
      <c r="AI6" s="6" t="n"/>
      <c r="AJ6" s="6" t="n"/>
      <c r="AK6" s="247" t="n"/>
      <c r="AL6" s="6" t="n"/>
      <c r="AM6" s="6" t="n"/>
      <c r="AN6" s="284" t="n"/>
      <c r="CA6" s="8337" t="n"/>
      <c r="CB6" s="8347" t="n"/>
      <c r="CC6" s="8347" t="n"/>
      <c r="CD6" s="8347" t="n"/>
      <c r="CE6" s="8347" t="n"/>
      <c r="CF6" s="8347" t="n"/>
      <c r="CG6" s="8347" t="n"/>
      <c r="CH6" s="6" t="n"/>
      <c r="CI6" s="6" t="n"/>
      <c r="CJ6" s="6" t="n"/>
      <c r="CK6" s="8347" t="n"/>
      <c r="CL6" s="8347" t="n"/>
      <c r="CM6" s="8347" t="n"/>
      <c r="CN6" s="6" t="n"/>
      <c r="CO6" s="6" t="n"/>
      <c r="CP6" s="6" t="n"/>
      <c r="CQ6" s="6" t="n"/>
      <c r="CR6" s="6" t="n"/>
      <c r="CS6" s="6" t="n"/>
      <c r="CT6" s="6" t="n"/>
    </row>
    <row r="8" ht="18" customFormat="1" customHeight="1" s="5">
      <c r="A8" s="2" t="inlineStr">
        <is>
          <t>SECCIÓN A : CONSULTAS MÉDICAS DE ESPECIALIDAD</t>
        </is>
      </c>
      <c r="B8" s="1" t="n"/>
      <c r="C8" s="285" t="n"/>
      <c r="D8" s="285" t="n"/>
      <c r="E8" s="285" t="n"/>
      <c r="F8" s="285" t="n"/>
      <c r="G8" s="285" t="n"/>
      <c r="H8" s="285" t="n"/>
      <c r="I8" s="285" t="n"/>
      <c r="J8" s="285" t="n"/>
      <c r="K8" s="285" t="n"/>
      <c r="L8" s="285" t="n"/>
      <c r="M8" s="285" t="n"/>
      <c r="N8" s="285" t="n"/>
      <c r="O8" s="285" t="n"/>
      <c r="P8" s="285" t="n"/>
      <c r="Q8" s="285" t="n"/>
      <c r="R8" s="285" t="n"/>
      <c r="S8" s="285" t="n"/>
      <c r="T8" s="285" t="n"/>
      <c r="U8" s="285" t="n"/>
      <c r="V8" s="285" t="n"/>
      <c r="W8" s="285" t="n"/>
      <c r="X8" s="285" t="n"/>
      <c r="Y8" s="285" t="n"/>
      <c r="Z8" s="285" t="n"/>
      <c r="AA8" s="285" t="n"/>
      <c r="AB8" s="285" t="n"/>
      <c r="AC8" s="285" t="n"/>
      <c r="AD8" s="286" t="n"/>
      <c r="AE8" s="7" t="n"/>
      <c r="AF8" s="7" t="n"/>
      <c r="CB8" s="17" t="n"/>
      <c r="CC8" s="17" t="n"/>
      <c r="CD8" s="17" t="n"/>
      <c r="CE8" s="17" t="n"/>
      <c r="CF8" s="17" t="n"/>
      <c r="CG8" s="17" t="n"/>
      <c r="CH8" s="17" t="n"/>
      <c r="CI8" s="17" t="n"/>
      <c r="CJ8" s="17" t="n"/>
      <c r="CK8" s="17" t="n"/>
      <c r="CL8" s="17" t="n"/>
      <c r="CM8" s="17" t="n"/>
      <c r="CN8" s="17" t="n"/>
      <c r="CO8" s="17" t="n"/>
      <c r="CP8" s="17" t="n"/>
      <c r="CQ8" s="17" t="n"/>
      <c r="CR8" s="17" t="n"/>
      <c r="CS8" s="17" t="n"/>
      <c r="CT8" s="17" t="n"/>
    </row>
    <row r="9" ht="15" customHeight="1" s="8286">
      <c r="A9" s="10006" t="inlineStr">
        <is>
          <t>ESPECIALIDADES   Y  SUB-ESPECIALIDADES</t>
        </is>
      </c>
      <c r="B9" s="10095" t="inlineStr">
        <is>
          <t>CONSULTAS Y CONTROLES MÉDICOS</t>
        </is>
      </c>
      <c r="C9" s="9584" t="n"/>
      <c r="D9" s="9584" t="n"/>
      <c r="E9" s="9584" t="n"/>
      <c r="F9" s="9584" t="n"/>
      <c r="G9" s="9584" t="n"/>
      <c r="H9" s="9584" t="n"/>
      <c r="I9" s="9584" t="n"/>
      <c r="J9" s="9584" t="n"/>
      <c r="K9" s="9584" t="n"/>
      <c r="L9" s="9584" t="n"/>
      <c r="M9" s="9584" t="n"/>
      <c r="N9" s="9584" t="n"/>
      <c r="O9" s="9584" t="n"/>
      <c r="P9" s="9584" t="n"/>
      <c r="Q9" s="9584" t="n"/>
      <c r="R9" s="9584" t="n"/>
      <c r="S9" s="9584" t="n"/>
      <c r="T9" s="9584" t="n"/>
      <c r="U9" s="8400" t="inlineStr">
        <is>
          <t>Beneficiarios</t>
        </is>
      </c>
      <c r="V9" s="5032" t="inlineStr">
        <is>
          <t>Por Sexo</t>
        </is>
      </c>
      <c r="W9" s="9886" t="n"/>
      <c r="X9" s="9988" t="inlineStr">
        <is>
          <t>CONSULTAS NUEVAS SEGÚN ORIGEN</t>
        </is>
      </c>
      <c r="Y9" s="9617" t="n"/>
      <c r="Z9" s="9617" t="n"/>
      <c r="AA9" s="9617" t="n"/>
      <c r="AB9" s="9617" t="n"/>
      <c r="AC9" s="9617" t="n"/>
      <c r="AD9" s="9617" t="n"/>
      <c r="AE9" s="9597" t="n"/>
      <c r="AF9" s="10100" t="inlineStr">
        <is>
          <t>Consultas de Especialidades resueltas por Médico General</t>
        </is>
      </c>
      <c r="AG9" s="9630" t="n"/>
    </row>
    <row r="10" ht="15" customHeight="1" s="8286">
      <c r="A10" s="642" t="n"/>
      <c r="B10" s="10101" t="inlineStr">
        <is>
          <t xml:space="preserve">TOTAL               </t>
        </is>
      </c>
      <c r="C10" s="10006" t="inlineStr">
        <is>
          <t>RANGO ETARIO</t>
        </is>
      </c>
      <c r="D10" s="9584" t="n"/>
      <c r="E10" s="9584" t="n"/>
      <c r="F10" s="9584" t="n"/>
      <c r="G10" s="9584" t="n"/>
      <c r="H10" s="9584" t="n"/>
      <c r="I10" s="9584" t="n"/>
      <c r="J10" s="9584" t="n"/>
      <c r="K10" s="9584" t="n"/>
      <c r="L10" s="9584" t="n"/>
      <c r="M10" s="9584" t="n"/>
      <c r="N10" s="9584" t="n"/>
      <c r="O10" s="9584" t="n"/>
      <c r="P10" s="9584" t="n"/>
      <c r="Q10" s="9584" t="n"/>
      <c r="R10" s="9584" t="n"/>
      <c r="S10" s="9584" t="n"/>
      <c r="T10" s="9584" t="n"/>
      <c r="U10" s="9614" t="n"/>
      <c r="V10" s="9591" t="n"/>
      <c r="W10" s="9865" t="n"/>
      <c r="X10" s="10102" t="inlineStr">
        <is>
          <t>Menores de 18 años</t>
        </is>
      </c>
      <c r="Y10" s="9617" t="n"/>
      <c r="Z10" s="9617" t="n"/>
      <c r="AA10" s="10103" t="n"/>
      <c r="AB10" s="5032" t="inlineStr">
        <is>
          <t>De 18 y más años</t>
        </is>
      </c>
      <c r="AC10" s="9584" t="n"/>
      <c r="AD10" s="9584" t="n"/>
      <c r="AE10" s="9595" t="n"/>
      <c r="AF10" s="9697" t="n"/>
      <c r="AG10" s="9639" t="n"/>
    </row>
    <row r="11" ht="24.75" customHeight="1" s="8286">
      <c r="A11" s="9698" t="n"/>
      <c r="B11" s="9589" t="n"/>
      <c r="C11" s="7932" t="inlineStr">
        <is>
          <t>0 - 4 años</t>
        </is>
      </c>
      <c r="D11" s="2011" t="inlineStr">
        <is>
          <t>5 - 9 años</t>
        </is>
      </c>
      <c r="E11" s="2372" t="inlineStr">
        <is>
          <t>10 - 14 años</t>
        </is>
      </c>
      <c r="F11" s="2372" t="inlineStr">
        <is>
          <t>15 - 17 años</t>
        </is>
      </c>
      <c r="G11" s="2372" t="inlineStr">
        <is>
          <t>18 - 19 años</t>
        </is>
      </c>
      <c r="H11" s="2372" t="inlineStr">
        <is>
          <t>20 - 24 años</t>
        </is>
      </c>
      <c r="I11" s="2471" t="inlineStr">
        <is>
          <t>25 - 29 años</t>
        </is>
      </c>
      <c r="J11" s="2471" t="inlineStr">
        <is>
          <t>30 - 34 años</t>
        </is>
      </c>
      <c r="K11" s="2471" t="inlineStr">
        <is>
          <t>35 - 39 años</t>
        </is>
      </c>
      <c r="L11" s="2471" t="inlineStr">
        <is>
          <t>40 - 44 años</t>
        </is>
      </c>
      <c r="M11" s="2471" t="inlineStr">
        <is>
          <t>45 - 49 años</t>
        </is>
      </c>
      <c r="N11" s="2471" t="inlineStr">
        <is>
          <t>50 - 54 años</t>
        </is>
      </c>
      <c r="O11" s="2471" t="inlineStr">
        <is>
          <t>55 - 59 años</t>
        </is>
      </c>
      <c r="P11" s="2471" t="inlineStr">
        <is>
          <t>60 - 64 años</t>
        </is>
      </c>
      <c r="Q11" s="2471" t="inlineStr">
        <is>
          <t>65 - 69 años</t>
        </is>
      </c>
      <c r="R11" s="2471" t="inlineStr">
        <is>
          <t>70 - 74 años</t>
        </is>
      </c>
      <c r="S11" s="2471" t="inlineStr">
        <is>
          <t>75 - 79 años</t>
        </is>
      </c>
      <c r="T11" s="2530" t="inlineStr">
        <is>
          <t>80 y más años</t>
        </is>
      </c>
      <c r="U11" s="9610" t="n"/>
      <c r="V11" s="7927" t="inlineStr">
        <is>
          <t>Hombres</t>
        </is>
      </c>
      <c r="W11" s="1981" t="inlineStr">
        <is>
          <t>Mujeres</t>
        </is>
      </c>
      <c r="X11" s="8083" t="inlineStr">
        <is>
          <t>Total</t>
        </is>
      </c>
      <c r="Y11" s="2167" t="inlineStr">
        <is>
          <t>APS</t>
        </is>
      </c>
      <c r="Z11" s="2372" t="inlineStr">
        <is>
          <t xml:space="preserve">CAE/CDT/CRS/Hospitalización </t>
        </is>
      </c>
      <c r="AA11" s="2531" t="inlineStr">
        <is>
          <t xml:space="preserve">Urgencia </t>
        </is>
      </c>
      <c r="AB11" s="2042" t="inlineStr">
        <is>
          <t>Total</t>
        </is>
      </c>
      <c r="AC11" s="2167" t="inlineStr">
        <is>
          <t>APS</t>
        </is>
      </c>
      <c r="AD11" s="2372" t="inlineStr">
        <is>
          <t xml:space="preserve">CAE/CDT/CRS/Hospitalización </t>
        </is>
      </c>
      <c r="AE11" s="1981" t="inlineStr">
        <is>
          <t>Urgencia</t>
        </is>
      </c>
      <c r="AF11" s="2011" t="inlineStr">
        <is>
          <t>Menor de 18 años</t>
        </is>
      </c>
      <c r="AG11" s="7933" t="inlineStr">
        <is>
          <t>De 18 y más años</t>
        </is>
      </c>
    </row>
    <row r="12">
      <c r="A12" s="8320" t="inlineStr">
        <is>
          <t>Pediatría</t>
        </is>
      </c>
      <c r="B12" s="1946">
        <f>SUM(C12:T12)</f>
        <v/>
      </c>
      <c r="C12" s="2266" t="n"/>
      <c r="D12" s="835" t="n"/>
      <c r="E12" s="835" t="n"/>
      <c r="F12" s="835" t="n"/>
      <c r="G12" s="835" t="n"/>
      <c r="H12" s="838" t="n"/>
      <c r="I12" s="838" t="n"/>
      <c r="J12" s="838" t="n"/>
      <c r="K12" s="838" t="n"/>
      <c r="L12" s="838" t="n"/>
      <c r="M12" s="838" t="n"/>
      <c r="N12" s="838" t="n"/>
      <c r="O12" s="838" t="n"/>
      <c r="P12" s="838" t="n"/>
      <c r="Q12" s="838" t="n"/>
      <c r="R12" s="838" t="n"/>
      <c r="S12" s="838" t="n"/>
      <c r="T12" s="2532" t="n"/>
      <c r="U12" s="1186" t="n"/>
      <c r="V12" s="1935" t="n"/>
      <c r="W12" s="792" t="n"/>
      <c r="X12" s="2533">
        <f>SUM(Y12+Z12+AA12)</f>
        <v/>
      </c>
      <c r="Y12" s="1935" t="n"/>
      <c r="Z12" s="793" t="n"/>
      <c r="AA12" s="758" t="n"/>
      <c r="AB12" s="8308">
        <f>SUM(AC12+AD12+AE12)</f>
        <v/>
      </c>
      <c r="AC12" s="1935" t="n"/>
      <c r="AD12" s="793" t="n"/>
      <c r="AE12" s="792" t="n"/>
      <c r="AF12" s="1222" t="n"/>
      <c r="AG12" s="886" t="n"/>
      <c r="AH12">
        <f>CB12&amp;CC12&amp;CD12</f>
        <v/>
      </c>
      <c r="CB12" s="90">
        <f>IF(V12+W12&lt;&gt;B12," *La suma por Sexo (Hombres + Mujeres) NO DEBEN ser diferente al Total","")</f>
        <v/>
      </c>
      <c r="CC12" s="90">
        <f>IF(AND(B12&gt;0,U12="")," *No olvide digitar la variable Beneficiarios. Digite CERO si no tiene",IF(U12&gt;B12," *La variable Beneficiarios No puede ser mayor al Total.",""))</f>
        <v/>
      </c>
      <c r="CD12" s="90">
        <f>IF((X12+AB12)&gt;B12," *La suma del Total de Consultas Nuevas según Origen NO DEBE ser MAYOR que el total de Consultas y Controles médicos.","")</f>
        <v/>
      </c>
      <c r="CM12" s="52">
        <f>IF(V12+W12&lt;&gt;B12,1,0)</f>
        <v/>
      </c>
      <c r="CN12" s="52">
        <f>IF(AND(B12&gt;0,U12=""),1,IF(U12&gt;B12,1,0))</f>
        <v/>
      </c>
      <c r="CO12" s="52">
        <f>IF((X12+AB12)&gt;B12,1,0)</f>
        <v/>
      </c>
    </row>
    <row r="13">
      <c r="A13" s="1170" t="inlineStr">
        <is>
          <t>Medicina Interna</t>
        </is>
      </c>
      <c r="B13" s="1946">
        <f>SUM(C13:T13)</f>
        <v/>
      </c>
      <c r="C13" s="1172" t="n"/>
      <c r="D13" s="2001" t="n"/>
      <c r="E13" s="2001" t="n"/>
      <c r="F13" s="2001" t="n"/>
      <c r="G13" s="2001" t="n"/>
      <c r="H13" s="2001" t="n"/>
      <c r="I13" s="2001" t="n"/>
      <c r="J13" s="2001" t="n"/>
      <c r="K13" s="2001" t="n"/>
      <c r="L13" s="2001" t="n"/>
      <c r="M13" s="2001" t="n"/>
      <c r="N13" s="2001" t="n"/>
      <c r="O13" s="2001" t="n"/>
      <c r="P13" s="2001" t="n"/>
      <c r="Q13" s="2001" t="n"/>
      <c r="R13" s="2001" t="n"/>
      <c r="S13" s="2001" t="n"/>
      <c r="T13" s="1929" t="n"/>
      <c r="U13" s="1173" t="n"/>
      <c r="V13" s="1172" t="n"/>
      <c r="W13" s="1929" t="n"/>
      <c r="X13" s="2534">
        <f>SUM(Y13+Z13+AA13)</f>
        <v/>
      </c>
      <c r="Y13" s="1172" t="n"/>
      <c r="Z13" s="2001" t="n"/>
      <c r="AA13" s="1100" t="n"/>
      <c r="AB13" s="8311">
        <f>SUM(AC13+AD13+AE13)</f>
        <v/>
      </c>
      <c r="AC13" s="1172" t="n"/>
      <c r="AD13" s="1174" t="n"/>
      <c r="AE13" s="1929" t="n"/>
      <c r="AF13" s="1222" t="n"/>
      <c r="AG13" s="886" t="n"/>
      <c r="AH13">
        <f>CB13&amp;CC13&amp;CD13</f>
        <v/>
      </c>
      <c r="CB13" s="90">
        <f>IF(V13+W13&lt;&gt;B13," *La suma por Sexo (Hombres + Mujeres) NO DEBEN ser diferente al Total","")</f>
        <v/>
      </c>
      <c r="CC13" s="90">
        <f>IF(AND(B13&gt;0,U13="")," *No olvide digitar la variable Beneficiarios. Digite CERO si no tiene",IF(U13&gt;B13," *La variable Beneficiarios No puede ser mayor al Total.",""))</f>
        <v/>
      </c>
      <c r="CD13" s="90">
        <f>IF((X13+AB13)&gt;B13," *La suma del Total de Consultas Nuevas según Origen NO DEBE ser MAYOR que el total de Consultas y Controles médicos.","")</f>
        <v/>
      </c>
      <c r="CM13" s="52">
        <f>IF(V13+W13&lt;&gt;B13,1,0)</f>
        <v/>
      </c>
      <c r="CN13" s="52">
        <f>IF(AND(B13&gt;0,U13=""),1,IF(U13&gt;B13,1,0))</f>
        <v/>
      </c>
      <c r="CO13" s="52">
        <f>IF((X13+AB13)&gt;B13,1,0)</f>
        <v/>
      </c>
    </row>
    <row r="14">
      <c r="A14" s="1170" t="inlineStr">
        <is>
          <t>Neonatología</t>
        </is>
      </c>
      <c r="B14" s="1946">
        <f>SUM(C14:D14)</f>
        <v/>
      </c>
      <c r="C14" s="1172" t="n"/>
      <c r="D14" s="2001" t="n"/>
      <c r="E14" s="2233" t="n"/>
      <c r="F14" s="2233" t="n"/>
      <c r="G14" s="2233" t="n"/>
      <c r="H14" s="2233" t="n"/>
      <c r="I14" s="2233" t="n"/>
      <c r="J14" s="2233" t="n"/>
      <c r="K14" s="2233" t="n"/>
      <c r="L14" s="2233" t="n"/>
      <c r="M14" s="2233" t="n"/>
      <c r="N14" s="2233" t="n"/>
      <c r="O14" s="2233" t="n"/>
      <c r="P14" s="2233" t="n"/>
      <c r="Q14" s="2233" t="n"/>
      <c r="R14" s="2233" t="n"/>
      <c r="S14" s="2233" t="n"/>
      <c r="T14" s="1927" t="n"/>
      <c r="U14" s="1173" t="n"/>
      <c r="V14" s="1172" t="n"/>
      <c r="W14" s="1929" t="n"/>
      <c r="X14" s="2534">
        <f>SUM(Y14+Z14+AA14)</f>
        <v/>
      </c>
      <c r="Y14" s="1172" t="n"/>
      <c r="Z14" s="2001" t="n"/>
      <c r="AA14" s="1100" t="n"/>
      <c r="AB14" s="8311">
        <f>SUM(AC14+AD14+AE14)</f>
        <v/>
      </c>
      <c r="AC14" s="1172" t="n"/>
      <c r="AD14" s="1174" t="n"/>
      <c r="AE14" s="1929" t="n"/>
      <c r="AF14" s="1222" t="n"/>
      <c r="AG14" s="886" t="n"/>
      <c r="AH14">
        <f>CB14&amp;CC14&amp;CD14</f>
        <v/>
      </c>
      <c r="CB14" s="90">
        <f>IF(V14+W14&lt;&gt;B14," *La suma por Sexo (Hombres + Mujeres) NO DEBEN ser diferente al Total","")</f>
        <v/>
      </c>
      <c r="CC14" s="90">
        <f>IF(AND(B14&gt;0,U14="")," *No olvide digitar la variable Beneficiarios. Digite CERO si no tiene",IF(U14&gt;B14," *La variable Beneficiarios No puede ser mayor al Total.",""))</f>
        <v/>
      </c>
      <c r="CD14" s="90">
        <f>IF((X14+AB14)&gt;B14," *La suma del Total de Consultas Nuevas según Origen NO DEBE ser MAYOR que el total de Consultas y Controles médicos.","")</f>
        <v/>
      </c>
      <c r="CM14" s="52">
        <f>IF(V14+W14&lt;&gt;B14,1,0)</f>
        <v/>
      </c>
      <c r="CN14" s="52">
        <f>IF(AND(B14&gt;0,U14=""),1,IF(U14&gt;B14,1,0))</f>
        <v/>
      </c>
      <c r="CO14" s="52">
        <f>IF((X14+AB14)&gt;B14,1,0)</f>
        <v/>
      </c>
    </row>
    <row r="15">
      <c r="A15" s="1170" t="inlineStr">
        <is>
          <t>Enfermedad Respiratoria Pediátrica</t>
        </is>
      </c>
      <c r="B15" s="1946">
        <f>SUM(C15:T15)</f>
        <v/>
      </c>
      <c r="C15" s="1172" t="n"/>
      <c r="D15" s="2001" t="n"/>
      <c r="E15" s="2001" t="n"/>
      <c r="F15" s="2001" t="n"/>
      <c r="G15" s="2001" t="n"/>
      <c r="H15" s="2001" t="n"/>
      <c r="I15" s="2001" t="n"/>
      <c r="J15" s="2001" t="n"/>
      <c r="K15" s="2001" t="n"/>
      <c r="L15" s="2001" t="n"/>
      <c r="M15" s="2001" t="n"/>
      <c r="N15" s="2001" t="n"/>
      <c r="O15" s="2001" t="n"/>
      <c r="P15" s="2001" t="n"/>
      <c r="Q15" s="2001" t="n"/>
      <c r="R15" s="2001" t="n"/>
      <c r="S15" s="2001" t="n"/>
      <c r="T15" s="1929" t="n"/>
      <c r="U15" s="1173" t="n"/>
      <c r="V15" s="1172" t="n"/>
      <c r="W15" s="1929" t="n"/>
      <c r="X15" s="2534">
        <f>SUM(Y15+Z15+AA15)</f>
        <v/>
      </c>
      <c r="Y15" s="1172" t="n"/>
      <c r="Z15" s="2001" t="n"/>
      <c r="AA15" s="1100" t="n"/>
      <c r="AB15" s="8311">
        <f>SUM(AC15+AD15+AE15)</f>
        <v/>
      </c>
      <c r="AC15" s="1172" t="n"/>
      <c r="AD15" s="1174" t="n"/>
      <c r="AE15" s="1929" t="n"/>
      <c r="AF15" s="1222" t="n"/>
      <c r="AG15" s="886" t="n"/>
      <c r="AH15">
        <f>CB15&amp;CC15&amp;CD15</f>
        <v/>
      </c>
      <c r="CB15" s="90">
        <f>IF(V15+W15&lt;&gt;B15," *La suma por Sexo (Hombres + Mujeres) NO DEBEN ser diferente al Total","")</f>
        <v/>
      </c>
      <c r="CC15" s="90">
        <f>IF(AND(B15&gt;0,U15="")," *No olvide digitar la variable Beneficiarios. Digite CERO si no tiene",IF(U15&gt;B15," *La variable Beneficiarios No puede ser mayor al Total.",""))</f>
        <v/>
      </c>
      <c r="CD15" s="90">
        <f>IF((X15+AB15)&gt;B15," *La suma del Total de Consultas Nuevas según Origen NO DEBE ser MAYOR que el total de Consultas y Controles médicos.","")</f>
        <v/>
      </c>
      <c r="CM15" s="52">
        <f>IF(V15+W15&lt;&gt;B15,1,0)</f>
        <v/>
      </c>
      <c r="CN15" s="52">
        <f>IF(AND(B15&gt;0,U15=""),1,IF(U15&gt;B15,1,0))</f>
        <v/>
      </c>
      <c r="CO15" s="52">
        <f>IF((X15+AB15)&gt;B15,1,0)</f>
        <v/>
      </c>
    </row>
    <row r="16">
      <c r="A16" s="1170" t="inlineStr">
        <is>
          <t>Enfermedad Respiratoria de Adulto</t>
        </is>
      </c>
      <c r="B16" s="1946">
        <f>SUM(C16:T16)</f>
        <v/>
      </c>
      <c r="C16" s="1172" t="n"/>
      <c r="D16" s="2001" t="n"/>
      <c r="E16" s="2001" t="n"/>
      <c r="F16" s="2001" t="n"/>
      <c r="G16" s="2001" t="n"/>
      <c r="H16" s="2001" t="n"/>
      <c r="I16" s="2001" t="n"/>
      <c r="J16" s="2001" t="n"/>
      <c r="K16" s="2001" t="n"/>
      <c r="L16" s="2001" t="n"/>
      <c r="M16" s="2001" t="n"/>
      <c r="N16" s="2001" t="n"/>
      <c r="O16" s="2001" t="n"/>
      <c r="P16" s="2001" t="n"/>
      <c r="Q16" s="2001" t="n"/>
      <c r="R16" s="2001" t="n"/>
      <c r="S16" s="2001" t="n"/>
      <c r="T16" s="1929" t="n"/>
      <c r="U16" s="1173" t="n"/>
      <c r="V16" s="1172" t="n"/>
      <c r="W16" s="1929" t="n"/>
      <c r="X16" s="2534">
        <f>SUM(Y16+Z16+AA16)</f>
        <v/>
      </c>
      <c r="Y16" s="1172" t="n"/>
      <c r="Z16" s="2001" t="n"/>
      <c r="AA16" s="1100" t="n"/>
      <c r="AB16" s="1486">
        <f>SUM(AC16+AD16+AE16)</f>
        <v/>
      </c>
      <c r="AC16" s="1172" t="n"/>
      <c r="AD16" s="1174" t="n"/>
      <c r="AE16" s="1929" t="n"/>
      <c r="AF16" s="1222" t="n"/>
      <c r="AG16" s="886" t="n"/>
      <c r="AH16">
        <f>CB16&amp;CC16&amp;CD16</f>
        <v/>
      </c>
      <c r="CB16" s="90">
        <f>IF(V16+W16&lt;&gt;B16," *La suma por Sexo (Hombres + Mujeres) NO DEBEN ser diferente al Total","")</f>
        <v/>
      </c>
      <c r="CC16" s="90">
        <f>IF(AND(B16&gt;0,U16="")," *No olvide digitar la variable Beneficiarios. Digite CERO si no tiene",IF(U16&gt;B16," *La variable Beneficiarios No puede ser mayor al Total.",""))</f>
        <v/>
      </c>
      <c r="CD16" s="90">
        <f>IF((X16+AB16)&gt;B16," *La suma del Total de Consultas Nuevas según Origen NO DEBE ser MAYOR que el total de Consultas y Controles médicos.","")</f>
        <v/>
      </c>
      <c r="CM16" s="52">
        <f>IF(V16+W16&lt;&gt;B16,1,0)</f>
        <v/>
      </c>
      <c r="CN16" s="52">
        <f>IF(AND(B16&gt;0,U16=""),1,IF(U16&gt;B16,1,0))</f>
        <v/>
      </c>
      <c r="CO16" s="52">
        <f>IF((X16+AB16)&gt;B16,1,0)</f>
        <v/>
      </c>
    </row>
    <row r="17">
      <c r="A17" s="1170" t="inlineStr">
        <is>
          <t>Cardiología</t>
        </is>
      </c>
      <c r="B17" s="1946">
        <f>SUM(C17:T17)</f>
        <v/>
      </c>
      <c r="C17" s="1172" t="n"/>
      <c r="D17" s="2001" t="n"/>
      <c r="E17" s="2001" t="n"/>
      <c r="F17" s="2001" t="n"/>
      <c r="G17" s="2001" t="n"/>
      <c r="H17" s="2001" t="n"/>
      <c r="I17" s="2001" t="n"/>
      <c r="J17" s="2001" t="n"/>
      <c r="K17" s="2001" t="n"/>
      <c r="L17" s="2001" t="n"/>
      <c r="M17" s="2001" t="n"/>
      <c r="N17" s="2001" t="n"/>
      <c r="O17" s="2001" t="n"/>
      <c r="P17" s="2001" t="n"/>
      <c r="Q17" s="2001" t="n"/>
      <c r="R17" s="2001" t="n"/>
      <c r="S17" s="2001" t="n"/>
      <c r="T17" s="1929" t="n"/>
      <c r="U17" s="1173" t="n"/>
      <c r="V17" s="1172" t="n"/>
      <c r="W17" s="1929" t="n"/>
      <c r="X17" s="2534">
        <f>SUM(Y17+Z17+AA17)</f>
        <v/>
      </c>
      <c r="Y17" s="1172" t="n"/>
      <c r="Z17" s="2001" t="n"/>
      <c r="AA17" s="1100" t="n"/>
      <c r="AB17" s="1486">
        <f>SUM(AC17+AD17+AE17)</f>
        <v/>
      </c>
      <c r="AC17" s="1172" t="n"/>
      <c r="AD17" s="1174" t="n"/>
      <c r="AE17" s="1929" t="n"/>
      <c r="AF17" s="1222" t="n"/>
      <c r="AG17" s="886" t="n"/>
      <c r="AH17">
        <f>CB17&amp;CC17&amp;CD17</f>
        <v/>
      </c>
      <c r="CB17" s="90">
        <f>IF(V17+W17&lt;&gt;B17," *La suma por Sexo (Hombres + Mujeres) NO DEBEN ser diferente al Total","")</f>
        <v/>
      </c>
      <c r="CC17" s="90">
        <f>IF(AND(B17&gt;0,U17="")," *No olvide digitar la variable Beneficiarios. Digite CERO si no tiene",IF(U17&gt;B17," *La variable Beneficiarios No puede ser mayor al Total.",""))</f>
        <v/>
      </c>
      <c r="CD17" s="90">
        <f>IF((X17+AB17)&gt;B17," *La suma del Total de Consultas Nuevas según Origen NO DEBE ser MAYOR que el total de Consultas y Controles médicos.","")</f>
        <v/>
      </c>
      <c r="CM17" s="52">
        <f>IF(V17+W17&lt;&gt;B17,1,0)</f>
        <v/>
      </c>
      <c r="CN17" s="52">
        <f>IF(AND(B17&gt;0,U17=""),1,IF(U17&gt;B17,1,0))</f>
        <v/>
      </c>
      <c r="CO17" s="52">
        <f>IF((X17+AB17)&gt;B17,1,0)</f>
        <v/>
      </c>
    </row>
    <row r="18">
      <c r="A18" s="1170" t="inlineStr">
        <is>
          <t>Mastología</t>
        </is>
      </c>
      <c r="B18" s="1946">
        <f>SUM(C18:T18)</f>
        <v/>
      </c>
      <c r="C18" s="1172" t="n"/>
      <c r="D18" s="2001" t="n"/>
      <c r="E18" s="2001" t="n"/>
      <c r="F18" s="2001" t="n"/>
      <c r="G18" s="2001" t="n"/>
      <c r="H18" s="2001" t="n"/>
      <c r="I18" s="2001" t="n"/>
      <c r="J18" s="2001" t="n"/>
      <c r="K18" s="2001" t="n"/>
      <c r="L18" s="2001" t="n"/>
      <c r="M18" s="2001" t="n"/>
      <c r="N18" s="2001" t="n"/>
      <c r="O18" s="2001" t="n"/>
      <c r="P18" s="2001" t="n"/>
      <c r="Q18" s="2001" t="n"/>
      <c r="R18" s="2001" t="n"/>
      <c r="S18" s="2001" t="n"/>
      <c r="T18" s="1929" t="n"/>
      <c r="U18" s="1173" t="n"/>
      <c r="V18" s="1172" t="n"/>
      <c r="W18" s="1929" t="n"/>
      <c r="X18" s="2534">
        <f>SUM(Y18+Z18+AA18)</f>
        <v/>
      </c>
      <c r="Y18" s="1172" t="n"/>
      <c r="Z18" s="2001" t="n"/>
      <c r="AA18" s="1100" t="n"/>
      <c r="AB18" s="1486">
        <f>SUM(AC18+AD18+AE18)</f>
        <v/>
      </c>
      <c r="AC18" s="1172" t="n"/>
      <c r="AD18" s="1174" t="n"/>
      <c r="AE18" s="1929" t="n"/>
      <c r="AF18" s="1222" t="n"/>
      <c r="AG18" s="886" t="n"/>
      <c r="AH18">
        <f>CB18&amp;CC18&amp;CD18</f>
        <v/>
      </c>
      <c r="CB18" s="90">
        <f>IF(V18+W18&lt;&gt;B18," *La suma por Sexo (Hombres + Mujeres) NO DEBEN ser diferente al Total","")</f>
        <v/>
      </c>
      <c r="CC18" s="90">
        <f>IF(AND(B18&gt;0,U18="")," *No olvide digitar la variable Beneficiarios. Digite CERO si no tiene",IF(U18&gt;B18," *La variable Beneficiarios No puede ser mayor al Total.",""))</f>
        <v/>
      </c>
      <c r="CD18" s="90">
        <f>IF((X18+AB18)&gt;B18," *La suma del Total de Consultas Nuevas según Origen NO DEBE ser MAYOR que el total de Consultas y Controles médicos.","")</f>
        <v/>
      </c>
      <c r="CM18" s="52">
        <f>IF(V18+W18&lt;&gt;B18,1,0)</f>
        <v/>
      </c>
      <c r="CN18" s="52">
        <f>IF(AND(B18&gt;0,U18=""),1,IF(U18&gt;B18,1,0))</f>
        <v/>
      </c>
      <c r="CO18" s="52">
        <f>IF((X18+AB18)&gt;B18,1,0)</f>
        <v/>
      </c>
    </row>
    <row r="19">
      <c r="A19" s="1170" t="inlineStr">
        <is>
          <t>Endocrinología Pediátrica</t>
        </is>
      </c>
      <c r="B19" s="1946">
        <f>SUM(C19:T19)</f>
        <v/>
      </c>
      <c r="C19" s="1172" t="n"/>
      <c r="D19" s="2001" t="n"/>
      <c r="E19" s="2001" t="n"/>
      <c r="F19" s="2001" t="n"/>
      <c r="G19" s="2001" t="n"/>
      <c r="H19" s="2001" t="n"/>
      <c r="I19" s="2001" t="n"/>
      <c r="J19" s="2001" t="n"/>
      <c r="K19" s="2001" t="n"/>
      <c r="L19" s="2001" t="n"/>
      <c r="M19" s="2001" t="n"/>
      <c r="N19" s="2001" t="n"/>
      <c r="O19" s="2001" t="n"/>
      <c r="P19" s="2001" t="n"/>
      <c r="Q19" s="2001" t="n"/>
      <c r="R19" s="2001" t="n"/>
      <c r="S19" s="2001" t="n"/>
      <c r="T19" s="1929" t="n"/>
      <c r="U19" s="1173" t="n"/>
      <c r="V19" s="1172" t="n"/>
      <c r="W19" s="1929" t="n"/>
      <c r="X19" s="2534">
        <f>SUM(Y19+Z19+AA19)</f>
        <v/>
      </c>
      <c r="Y19" s="1172" t="n"/>
      <c r="Z19" s="2001" t="n"/>
      <c r="AA19" s="1100" t="n"/>
      <c r="AB19" s="1486">
        <f>SUM(AC19+AD19+AE19)</f>
        <v/>
      </c>
      <c r="AC19" s="1172" t="n"/>
      <c r="AD19" s="1174" t="n"/>
      <c r="AE19" s="1929" t="n"/>
      <c r="AF19" s="1222" t="n"/>
      <c r="AG19" s="886" t="n"/>
      <c r="AH19">
        <f>CB19&amp;CC19&amp;CD19</f>
        <v/>
      </c>
      <c r="CB19" s="90">
        <f>IF(V19+W19&lt;&gt;B19," *La suma por Sexo (Hombres + Mujeres) NO DEBEN ser diferente al Total","")</f>
        <v/>
      </c>
      <c r="CC19" s="90">
        <f>IF(AND(B19&gt;0,U19="")," *No olvide digitar la variable Beneficiarios. Digite CERO si no tiene",IF(U19&gt;B19," *La variable Beneficiarios No puede ser mayor al Total.",""))</f>
        <v/>
      </c>
      <c r="CD19" s="90">
        <f>IF((X19+AB19)&gt;B19," *La suma del Total de Consultas Nuevas según Origen NO DEBE ser MAYOR que el total de Consultas y Controles médicos.","")</f>
        <v/>
      </c>
      <c r="CM19" s="52">
        <f>IF(V19+W19&lt;&gt;B19,1,0)</f>
        <v/>
      </c>
      <c r="CN19" s="52">
        <f>IF(AND(B19&gt;0,U19=""),1,IF(U19&gt;B19,1,0))</f>
        <v/>
      </c>
      <c r="CO19" s="52">
        <f>IF((X19+AB19)&gt;B19,1,0)</f>
        <v/>
      </c>
    </row>
    <row r="20">
      <c r="A20" s="1170" t="inlineStr">
        <is>
          <t>Endocrinología Adulto</t>
        </is>
      </c>
      <c r="B20" s="1946">
        <f>SUM(C20:T20)</f>
        <v/>
      </c>
      <c r="C20" s="1172" t="n"/>
      <c r="D20" s="2001" t="n"/>
      <c r="E20" s="2001" t="n"/>
      <c r="F20" s="2001" t="n"/>
      <c r="G20" s="2001" t="n"/>
      <c r="H20" s="2001" t="n"/>
      <c r="I20" s="2001" t="n"/>
      <c r="J20" s="2001" t="n"/>
      <c r="K20" s="2001" t="n"/>
      <c r="L20" s="2001" t="n"/>
      <c r="M20" s="2001" t="n"/>
      <c r="N20" s="2001" t="n"/>
      <c r="O20" s="2001" t="n"/>
      <c r="P20" s="2001" t="n"/>
      <c r="Q20" s="2001" t="n"/>
      <c r="R20" s="2001" t="n"/>
      <c r="S20" s="2001" t="n"/>
      <c r="T20" s="1929" t="n"/>
      <c r="U20" s="1173" t="n"/>
      <c r="V20" s="1172" t="n"/>
      <c r="W20" s="1929" t="n"/>
      <c r="X20" s="2534">
        <f>SUM(Y20+Z20+AA20)</f>
        <v/>
      </c>
      <c r="Y20" s="1172" t="n"/>
      <c r="Z20" s="2001" t="n"/>
      <c r="AA20" s="1100" t="n"/>
      <c r="AB20" s="1486">
        <f>SUM(AC20+AD20+AE20)</f>
        <v/>
      </c>
      <c r="AC20" s="1172" t="n"/>
      <c r="AD20" s="1174" t="n"/>
      <c r="AE20" s="1929" t="n"/>
      <c r="AF20" s="1222" t="n"/>
      <c r="AG20" s="886" t="n"/>
      <c r="AH20">
        <f>CB20&amp;CC20&amp;CD20</f>
        <v/>
      </c>
      <c r="CB20" s="90">
        <f>IF(V20+W20&lt;&gt;B20," *La suma por Sexo (Hombres + Mujeres) NO DEBEN ser diferente al Total","")</f>
        <v/>
      </c>
      <c r="CC20" s="90">
        <f>IF(AND(B20&gt;0,U20="")," *No olvide digitar la variable Beneficiarios. Digite CERO si no tiene",IF(U20&gt;B20," *La variable Beneficiarios No puede ser mayor al Total.",""))</f>
        <v/>
      </c>
      <c r="CD20" s="90">
        <f>IF((X20+AB20)&gt;B20," *La suma del Total de Consultas Nuevas según Origen NO DEBE ser MAYOR que el total de Consultas y Controles médicos.","")</f>
        <v/>
      </c>
      <c r="CM20" s="52">
        <f>IF(V20+W20&lt;&gt;B20,1,0)</f>
        <v/>
      </c>
      <c r="CN20" s="52">
        <f>IF(AND(B20&gt;0,U20=""),1,IF(U20&gt;B20,1,0))</f>
        <v/>
      </c>
      <c r="CO20" s="52">
        <f>IF((X20+AB20)&gt;B20,1,0)</f>
        <v/>
      </c>
    </row>
    <row r="21">
      <c r="A21" s="1170" t="inlineStr">
        <is>
          <t>Gastroenterología Pediátrica</t>
        </is>
      </c>
      <c r="B21" s="1946">
        <f>SUM(C21:T21)</f>
        <v/>
      </c>
      <c r="C21" s="1172" t="n"/>
      <c r="D21" s="2001" t="n"/>
      <c r="E21" s="2001" t="n"/>
      <c r="F21" s="2001" t="n"/>
      <c r="G21" s="2001" t="n"/>
      <c r="H21" s="2001" t="n"/>
      <c r="I21" s="2001" t="n"/>
      <c r="J21" s="2001" t="n"/>
      <c r="K21" s="2001" t="n"/>
      <c r="L21" s="2001" t="n"/>
      <c r="M21" s="2001" t="n"/>
      <c r="N21" s="2001" t="n"/>
      <c r="O21" s="2001" t="n"/>
      <c r="P21" s="2001" t="n"/>
      <c r="Q21" s="2001" t="n"/>
      <c r="R21" s="2001" t="n"/>
      <c r="S21" s="2001" t="n"/>
      <c r="T21" s="1929" t="n"/>
      <c r="U21" s="1173" t="n"/>
      <c r="V21" s="1172" t="n"/>
      <c r="W21" s="1929" t="n"/>
      <c r="X21" s="2534">
        <f>SUM(Y21+Z21+AA21)</f>
        <v/>
      </c>
      <c r="Y21" s="1172" t="n"/>
      <c r="Z21" s="2001" t="n"/>
      <c r="AA21" s="1100" t="n"/>
      <c r="AB21" s="1486">
        <f>SUM(AC21+AD21+AE21)</f>
        <v/>
      </c>
      <c r="AC21" s="1172" t="n"/>
      <c r="AD21" s="1174" t="n"/>
      <c r="AE21" s="1929" t="n"/>
      <c r="AF21" s="1222" t="n"/>
      <c r="AG21" s="886" t="n"/>
      <c r="AH21">
        <f>CB21&amp;CC21&amp;CD21</f>
        <v/>
      </c>
      <c r="CB21" s="90">
        <f>IF(V21+W21&lt;&gt;B21," *La suma por Sexo (Hombres + Mujeres) NO DEBEN ser diferente al Total","")</f>
        <v/>
      </c>
      <c r="CC21" s="90">
        <f>IF(AND(B21&gt;0,U21="")," *No olvide digitar la variable Beneficiarios. Digite CERO si no tiene",IF(U21&gt;B21," *La variable Beneficiarios No puede ser mayor al Total.",""))</f>
        <v/>
      </c>
      <c r="CD21" s="90">
        <f>IF((X21+AB21)&gt;B21," *La suma del Total de Consultas Nuevas según Origen NO DEBE ser MAYOR que el total de Consultas y Controles médicos.","")</f>
        <v/>
      </c>
      <c r="CM21" s="52">
        <f>IF(V21+W21&lt;&gt;B21,1,0)</f>
        <v/>
      </c>
      <c r="CN21" s="52">
        <f>IF(AND(B21&gt;0,U21=""),1,IF(U21&gt;B21,1,0))</f>
        <v/>
      </c>
      <c r="CO21" s="52">
        <f>IF((X21+AB21)&gt;B21,1,0)</f>
        <v/>
      </c>
    </row>
    <row r="22">
      <c r="A22" s="1170" t="inlineStr">
        <is>
          <t>Gastroenterología Adulto</t>
        </is>
      </c>
      <c r="B22" s="1946">
        <f>SUM(C22:T22)</f>
        <v/>
      </c>
      <c r="C22" s="1172" t="n"/>
      <c r="D22" s="2001" t="n"/>
      <c r="E22" s="2001" t="n"/>
      <c r="F22" s="2001" t="n"/>
      <c r="G22" s="2001" t="n"/>
      <c r="H22" s="2001" t="n"/>
      <c r="I22" s="2001" t="n"/>
      <c r="J22" s="2001" t="n"/>
      <c r="K22" s="2001" t="n"/>
      <c r="L22" s="2001" t="n"/>
      <c r="M22" s="2001" t="n"/>
      <c r="N22" s="2001" t="n"/>
      <c r="O22" s="2001" t="n"/>
      <c r="P22" s="2001" t="n"/>
      <c r="Q22" s="2001" t="n"/>
      <c r="R22" s="2001" t="n"/>
      <c r="S22" s="2001" t="n"/>
      <c r="T22" s="1929" t="n"/>
      <c r="U22" s="1173" t="n"/>
      <c r="V22" s="1172" t="n"/>
      <c r="W22" s="1929" t="n"/>
      <c r="X22" s="2534">
        <f>SUM(Y22+Z22+AA22)</f>
        <v/>
      </c>
      <c r="Y22" s="1172" t="n"/>
      <c r="Z22" s="2001" t="n"/>
      <c r="AA22" s="1100" t="n"/>
      <c r="AB22" s="1486">
        <f>SUM(AC22+AD22+AE22)</f>
        <v/>
      </c>
      <c r="AC22" s="1172" t="n"/>
      <c r="AD22" s="1174" t="n"/>
      <c r="AE22" s="1929" t="n"/>
      <c r="AF22" s="1222" t="n"/>
      <c r="AG22" s="886" t="n"/>
      <c r="AH22">
        <f>CB22&amp;CC22&amp;CD22</f>
        <v/>
      </c>
      <c r="CB22" s="90">
        <f>IF(V22+W22&lt;&gt;B22," *La suma por Sexo (Hombres + Mujeres) NO DEBEN ser diferente al Total","")</f>
        <v/>
      </c>
      <c r="CC22" s="90">
        <f>IF(AND(B22&gt;0,U22="")," *No olvide digitar la variable Beneficiarios. Digite CERO si no tiene",IF(U22&gt;B22," *La variable Beneficiarios No puede ser mayor al Total.",""))</f>
        <v/>
      </c>
      <c r="CD22" s="90">
        <f>IF((X22+AB22)&gt;B22," *La suma del Total de Consultas Nuevas según Origen NO DEBE ser MAYOR que el total de Consultas y Controles médicos.","")</f>
        <v/>
      </c>
      <c r="CM22" s="52">
        <f>IF(V22+W22&lt;&gt;B22,1,0)</f>
        <v/>
      </c>
      <c r="CN22" s="52">
        <f>IF(AND(B22&gt;0,U22=""),1,IF(U22&gt;B22,1,0))</f>
        <v/>
      </c>
      <c r="CO22" s="52">
        <f>IF((X22+AB22)&gt;B22,1,0)</f>
        <v/>
      </c>
    </row>
    <row r="23">
      <c r="A23" s="1170" t="inlineStr">
        <is>
          <t>Genética Clínica</t>
        </is>
      </c>
      <c r="B23" s="1946">
        <f>SUM(C23:T23)</f>
        <v/>
      </c>
      <c r="C23" s="1172" t="n"/>
      <c r="D23" s="2001" t="n"/>
      <c r="E23" s="2001" t="n"/>
      <c r="F23" s="2001" t="n"/>
      <c r="G23" s="2001" t="n"/>
      <c r="H23" s="2001" t="n"/>
      <c r="I23" s="2001" t="n"/>
      <c r="J23" s="2001" t="n"/>
      <c r="K23" s="2001" t="n"/>
      <c r="L23" s="2001" t="n"/>
      <c r="M23" s="2001" t="n"/>
      <c r="N23" s="2001" t="n"/>
      <c r="O23" s="2001" t="n"/>
      <c r="P23" s="2001" t="n"/>
      <c r="Q23" s="2001" t="n"/>
      <c r="R23" s="2001" t="n"/>
      <c r="S23" s="2001" t="n"/>
      <c r="T23" s="1929" t="n"/>
      <c r="U23" s="1173" t="n"/>
      <c r="V23" s="1172" t="n"/>
      <c r="W23" s="1929" t="n"/>
      <c r="X23" s="2534">
        <f>SUM(Y23+Z23+AA23)</f>
        <v/>
      </c>
      <c r="Y23" s="1172" t="n"/>
      <c r="Z23" s="2001" t="n"/>
      <c r="AA23" s="1100" t="n"/>
      <c r="AB23" s="1486">
        <f>SUM(AC23+AD23+AE23)</f>
        <v/>
      </c>
      <c r="AC23" s="1172" t="n"/>
      <c r="AD23" s="1174" t="n"/>
      <c r="AE23" s="1929" t="n"/>
      <c r="AF23" s="1222" t="n"/>
      <c r="AG23" s="886" t="n"/>
      <c r="AH23">
        <f>CB23&amp;CC23&amp;CD23</f>
        <v/>
      </c>
      <c r="CB23" s="90">
        <f>IF(V23+W23&lt;&gt;B23," *La suma por Sexo (Hombres + Mujeres) NO DEBEN ser diferente al Total","")</f>
        <v/>
      </c>
      <c r="CC23" s="90">
        <f>IF(AND(B23&gt;0,U23="")," *No olvide digitar la variable Beneficiarios. Digite CERO si no tiene",IF(U23&gt;B23," *La variable Beneficiarios No puede ser mayor al Total.",""))</f>
        <v/>
      </c>
      <c r="CD23" s="90">
        <f>IF((X23+AB23)&gt;B23," *La suma del Total de Consultas Nuevas según Origen NO DEBE ser MAYOR que el total de Consultas y Controles médicos.","")</f>
        <v/>
      </c>
      <c r="CM23" s="52">
        <f>IF(V23+W23&lt;&gt;B23,1,0)</f>
        <v/>
      </c>
      <c r="CN23" s="52">
        <f>IF(AND(B23&gt;0,U23=""),1,IF(U23&gt;B23,1,0))</f>
        <v/>
      </c>
      <c r="CO23" s="52">
        <f>IF((X23+AB23)&gt;B23,1,0)</f>
        <v/>
      </c>
    </row>
    <row r="24">
      <c r="A24" s="1170" t="inlineStr">
        <is>
          <t>Hematología</t>
        </is>
      </c>
      <c r="B24" s="1946">
        <f>SUM(C24:T24)</f>
        <v/>
      </c>
      <c r="C24" s="1172" t="n"/>
      <c r="D24" s="2001" t="n"/>
      <c r="E24" s="2001" t="n"/>
      <c r="F24" s="2001" t="n"/>
      <c r="G24" s="2001" t="n"/>
      <c r="H24" s="2001" t="n"/>
      <c r="I24" s="2001" t="n"/>
      <c r="J24" s="2001" t="n"/>
      <c r="K24" s="2001" t="n"/>
      <c r="L24" s="2001" t="n"/>
      <c r="M24" s="2001" t="n"/>
      <c r="N24" s="2001" t="n"/>
      <c r="O24" s="2001" t="n"/>
      <c r="P24" s="2001" t="n"/>
      <c r="Q24" s="2001" t="n"/>
      <c r="R24" s="2001" t="n"/>
      <c r="S24" s="2001" t="n"/>
      <c r="T24" s="1929" t="n"/>
      <c r="U24" s="1173" t="n"/>
      <c r="V24" s="1172" t="n"/>
      <c r="W24" s="1929" t="n"/>
      <c r="X24" s="2534">
        <f>SUM(Y24+Z24+AA24)</f>
        <v/>
      </c>
      <c r="Y24" s="1172" t="n"/>
      <c r="Z24" s="2001" t="n"/>
      <c r="AA24" s="1100" t="n"/>
      <c r="AB24" s="1486">
        <f>SUM(AC24+AD24+AE24)</f>
        <v/>
      </c>
      <c r="AC24" s="1172" t="n"/>
      <c r="AD24" s="1174" t="n"/>
      <c r="AE24" s="1929" t="n"/>
      <c r="AF24" s="1222" t="n"/>
      <c r="AG24" s="886" t="n"/>
      <c r="AH24">
        <f>CB24&amp;CC24&amp;CD24</f>
        <v/>
      </c>
      <c r="CB24" s="90">
        <f>IF(V24+W24&lt;&gt;B24," *La suma por Sexo (Hombres + Mujeres) NO DEBEN ser diferente al Total","")</f>
        <v/>
      </c>
      <c r="CC24" s="90">
        <f>IF(AND(B24&gt;0,U24="")," *No olvide digitar la variable Beneficiarios. Digite CERO si no tiene",IF(U24&gt;B24," *La variable Beneficiarios No puede ser mayor al Total.",""))</f>
        <v/>
      </c>
      <c r="CD24" s="90">
        <f>IF((X24+AB24)&gt;B24," *La suma del Total de Consultas Nuevas según Origen NO DEBE ser MAYOR que el total de Consultas y Controles médicos.","")</f>
        <v/>
      </c>
      <c r="CM24" s="52">
        <f>IF(V24+W24&lt;&gt;B24,1,0)</f>
        <v/>
      </c>
      <c r="CN24" s="52">
        <f>IF(AND(B24&gt;0,U24=""),1,IF(U24&gt;B24,1,0))</f>
        <v/>
      </c>
      <c r="CO24" s="52">
        <f>IF((X24+AB24)&gt;B24,1,0)</f>
        <v/>
      </c>
    </row>
    <row r="25">
      <c r="A25" s="8346" t="inlineStr">
        <is>
          <t>Medicina del adolescente</t>
        </is>
      </c>
      <c r="B25" s="1946">
        <f>SUM(C25:T25)</f>
        <v/>
      </c>
      <c r="C25" s="1172" t="n"/>
      <c r="D25" s="2001" t="n"/>
      <c r="E25" s="2001" t="n"/>
      <c r="F25" s="2001" t="n"/>
      <c r="G25" s="2001" t="n"/>
      <c r="H25" s="2001" t="n"/>
      <c r="I25" s="2001" t="n"/>
      <c r="J25" s="2001" t="n"/>
      <c r="K25" s="2001" t="n"/>
      <c r="L25" s="2001" t="n"/>
      <c r="M25" s="2001" t="n"/>
      <c r="N25" s="2001" t="n"/>
      <c r="O25" s="2001" t="n"/>
      <c r="P25" s="2001" t="n"/>
      <c r="Q25" s="2001" t="n"/>
      <c r="R25" s="2001" t="n"/>
      <c r="S25" s="2001" t="n"/>
      <c r="T25" s="1929" t="n"/>
      <c r="U25" s="1173" t="n"/>
      <c r="V25" s="1172" t="n"/>
      <c r="W25" s="1929" t="n"/>
      <c r="X25" s="2534">
        <f>SUM(Y25+Z25+AA25)</f>
        <v/>
      </c>
      <c r="Y25" s="1172" t="n"/>
      <c r="Z25" s="2001" t="n"/>
      <c r="AA25" s="1100" t="n"/>
      <c r="AB25" s="1486">
        <f>SUM(AC25+AD25+AE25)</f>
        <v/>
      </c>
      <c r="AC25" s="1172" t="n"/>
      <c r="AD25" s="1174" t="n"/>
      <c r="AE25" s="1929" t="n"/>
      <c r="AF25" s="1222" t="n"/>
      <c r="AG25" s="886" t="n"/>
      <c r="AH25">
        <f>CB25&amp;CC25&amp;CD25</f>
        <v/>
      </c>
      <c r="CB25" s="90">
        <f>IF(V25+W25&lt;&gt;B25," *La suma por Sexo (Hombres + Mujeres) NO DEBEN ser diferente al Total","")</f>
        <v/>
      </c>
      <c r="CC25" s="90">
        <f>IF(AND(B25&gt;0,U25="")," *No olvide digitar la variable Beneficiarios. Digite CERO si no tiene",IF(U25&gt;B25," *La variable Beneficiarios No puede ser mayor al Total.",""))</f>
        <v/>
      </c>
      <c r="CD25" s="90">
        <f>IF((X25+AB25)&gt;B25," *La suma del Total de Consultas Nuevas según Origen NO DEBE ser MAYOR que el total de Consultas y Controles médicos.","")</f>
        <v/>
      </c>
      <c r="CM25" s="52">
        <f>IF(V25+W25&lt;&gt;B25,1,0)</f>
        <v/>
      </c>
      <c r="CN25" s="52">
        <f>IF(AND(B25&gt;0,U25=""),1,IF(U25&gt;B25,1,0))</f>
        <v/>
      </c>
      <c r="CO25" s="52">
        <f>IF((X25+AB25)&gt;B25,1,0)</f>
        <v/>
      </c>
    </row>
    <row r="26">
      <c r="A26" s="1170" t="inlineStr">
        <is>
          <t>Nefrología Pediátrica</t>
        </is>
      </c>
      <c r="B26" s="1946">
        <f>SUM(C26:T26)</f>
        <v/>
      </c>
      <c r="C26" s="1172" t="n"/>
      <c r="D26" s="2001" t="n"/>
      <c r="E26" s="2001" t="n"/>
      <c r="F26" s="2001" t="n"/>
      <c r="G26" s="2001" t="n"/>
      <c r="H26" s="2001" t="n"/>
      <c r="I26" s="2001" t="n"/>
      <c r="J26" s="2001" t="n"/>
      <c r="K26" s="2001" t="n"/>
      <c r="L26" s="2001" t="n"/>
      <c r="M26" s="2001" t="n"/>
      <c r="N26" s="2001" t="n"/>
      <c r="O26" s="2001" t="n"/>
      <c r="P26" s="2001" t="n"/>
      <c r="Q26" s="2001" t="n"/>
      <c r="R26" s="2001" t="n"/>
      <c r="S26" s="2001" t="n"/>
      <c r="T26" s="1929" t="n"/>
      <c r="U26" s="1173" t="n"/>
      <c r="V26" s="1172" t="n"/>
      <c r="W26" s="1929" t="n"/>
      <c r="X26" s="2534">
        <f>SUM(Y26+Z26+AA26)</f>
        <v/>
      </c>
      <c r="Y26" s="1172" t="n"/>
      <c r="Z26" s="2001" t="n"/>
      <c r="AA26" s="1100" t="n"/>
      <c r="AB26" s="1486">
        <f>SUM(AC26+AD26+AE26)</f>
        <v/>
      </c>
      <c r="AC26" s="1172" t="n"/>
      <c r="AD26" s="1174" t="n"/>
      <c r="AE26" s="1929" t="n"/>
      <c r="AF26" s="1222" t="n"/>
      <c r="AG26" s="886" t="n"/>
      <c r="AH26">
        <f>CB26&amp;CC26&amp;CD26</f>
        <v/>
      </c>
      <c r="CB26" s="90">
        <f>IF(V26+W26&lt;&gt;B26," *La suma por Sexo (Hombres + Mujeres) NO DEBEN ser diferente al Total","")</f>
        <v/>
      </c>
      <c r="CC26" s="90">
        <f>IF(AND(B26&gt;0,U26="")," *No olvide digitar la variable Beneficiarios. Digite CERO si no tiene",IF(U26&gt;B26," *La variable Beneficiarios No puede ser mayor al Total.",""))</f>
        <v/>
      </c>
      <c r="CD26" s="90">
        <f>IF((X26+AB26)&gt;B26," *La suma del Total de Consultas Nuevas según Origen NO DEBE ser MAYOR que el total de Consultas y Controles médicos.","")</f>
        <v/>
      </c>
      <c r="CM26" s="52">
        <f>IF(V26+W26&lt;&gt;B26,1,0)</f>
        <v/>
      </c>
      <c r="CN26" s="52">
        <f>IF(AND(B26&gt;0,U26=""),1,IF(U26&gt;B26,1,0))</f>
        <v/>
      </c>
      <c r="CO26" s="52">
        <f>IF((X26+AB26)&gt;B26,1,0)</f>
        <v/>
      </c>
    </row>
    <row r="27">
      <c r="A27" s="1170" t="inlineStr">
        <is>
          <t>Nefrología Adulto</t>
        </is>
      </c>
      <c r="B27" s="1946">
        <f>SUM(C27:T27)</f>
        <v/>
      </c>
      <c r="C27" s="1172" t="n"/>
      <c r="D27" s="2001" t="n"/>
      <c r="E27" s="2001" t="n"/>
      <c r="F27" s="2001" t="n"/>
      <c r="G27" s="2001" t="n"/>
      <c r="H27" s="2001" t="n"/>
      <c r="I27" s="2001" t="n"/>
      <c r="J27" s="2001" t="n"/>
      <c r="K27" s="2001" t="n"/>
      <c r="L27" s="2001" t="n"/>
      <c r="M27" s="2001" t="n"/>
      <c r="N27" s="2001" t="n"/>
      <c r="O27" s="2001" t="n"/>
      <c r="P27" s="2001" t="n"/>
      <c r="Q27" s="2001" t="n"/>
      <c r="R27" s="2001" t="n"/>
      <c r="S27" s="2001" t="n"/>
      <c r="T27" s="1929" t="n"/>
      <c r="U27" s="1173" t="n"/>
      <c r="V27" s="1172" t="n"/>
      <c r="W27" s="1929" t="n"/>
      <c r="X27" s="2534">
        <f>SUM(Y27+Z27+AA27)</f>
        <v/>
      </c>
      <c r="Y27" s="1172" t="n"/>
      <c r="Z27" s="2001" t="n"/>
      <c r="AA27" s="1100" t="n"/>
      <c r="AB27" s="1486">
        <f>SUM(AC27+AD27+AE27)</f>
        <v/>
      </c>
      <c r="AC27" s="1172" t="n"/>
      <c r="AD27" s="1174" t="n"/>
      <c r="AE27" s="1929" t="n"/>
      <c r="AF27" s="1222" t="n"/>
      <c r="AG27" s="886" t="n"/>
      <c r="AH27">
        <f>CB27&amp;CC27&amp;CD27</f>
        <v/>
      </c>
      <c r="CB27" s="90">
        <f>IF(V27+W27&lt;&gt;B27," *La suma por Sexo (Hombres + Mujeres) NO DEBEN ser diferente al Total","")</f>
        <v/>
      </c>
      <c r="CC27" s="90">
        <f>IF(AND(B27&gt;0,U27="")," *No olvide digitar la variable Beneficiarios. Digite CERO si no tiene",IF(U27&gt;B27," *La variable Beneficiarios No puede ser mayor al Total.",""))</f>
        <v/>
      </c>
      <c r="CD27" s="90">
        <f>IF((X27+AB27)&gt;B27," *La suma del Total de Consultas Nuevas según Origen NO DEBE ser MAYOR que el total de Consultas y Controles médicos.","")</f>
        <v/>
      </c>
      <c r="CM27" s="52">
        <f>IF(V27+W27&lt;&gt;B27,1,0)</f>
        <v/>
      </c>
      <c r="CN27" s="52">
        <f>IF(AND(B27&gt;0,U27=""),1,IF(U27&gt;B27,1,0))</f>
        <v/>
      </c>
      <c r="CO27" s="52">
        <f>IF((X27+AB27)&gt;B27,1,0)</f>
        <v/>
      </c>
    </row>
    <row r="28">
      <c r="A28" s="1170" t="inlineStr">
        <is>
          <t>Nutrición clínica</t>
        </is>
      </c>
      <c r="B28" s="1946">
        <f>SUM(C28:T28)</f>
        <v/>
      </c>
      <c r="C28" s="1172" t="n"/>
      <c r="D28" s="2001" t="n"/>
      <c r="E28" s="2001" t="n"/>
      <c r="F28" s="2001" t="n"/>
      <c r="G28" s="2001" t="n"/>
      <c r="H28" s="2001" t="n"/>
      <c r="I28" s="2001" t="n"/>
      <c r="J28" s="2001" t="n"/>
      <c r="K28" s="2001" t="n"/>
      <c r="L28" s="2001" t="n"/>
      <c r="M28" s="2001" t="n"/>
      <c r="N28" s="2001" t="n"/>
      <c r="O28" s="2001" t="n"/>
      <c r="P28" s="2001" t="n"/>
      <c r="Q28" s="2001" t="n"/>
      <c r="R28" s="2001" t="n"/>
      <c r="S28" s="2001" t="n"/>
      <c r="T28" s="1929" t="n"/>
      <c r="U28" s="1173" t="n"/>
      <c r="V28" s="1172" t="n"/>
      <c r="W28" s="1929" t="n"/>
      <c r="X28" s="2534">
        <f>SUM(Y28+Z28+AA28)</f>
        <v/>
      </c>
      <c r="Y28" s="1172" t="n"/>
      <c r="Z28" s="2001" t="n"/>
      <c r="AA28" s="1100" t="n"/>
      <c r="AB28" s="1486">
        <f>SUM(AC28+AD28+AE28)</f>
        <v/>
      </c>
      <c r="AC28" s="1172" t="n"/>
      <c r="AD28" s="1174" t="n"/>
      <c r="AE28" s="1929" t="n"/>
      <c r="AF28" s="1222" t="n"/>
      <c r="AG28" s="886" t="n"/>
      <c r="AH28">
        <f>CB28&amp;CC28&amp;CD28</f>
        <v/>
      </c>
      <c r="CB28" s="90">
        <f>IF(V28+W28&lt;&gt;B28," *La suma por Sexo (Hombres + Mujeres) NO DEBEN ser diferente al Total","")</f>
        <v/>
      </c>
      <c r="CC28" s="90">
        <f>IF(AND(B28&gt;0,U28="")," *No olvide digitar la variable Beneficiarios. Digite CERO si no tiene",IF(U28&gt;B28," *La variable Beneficiarios No puede ser mayor al Total.",""))</f>
        <v/>
      </c>
      <c r="CD28" s="90">
        <f>IF((X28+AB28)&gt;B28," *La suma del Total de Consultas Nuevas según Origen NO DEBE ser MAYOR que el total de Consultas y Controles médicos.","")</f>
        <v/>
      </c>
      <c r="CM28" s="52">
        <f>IF(V28+W28&lt;&gt;B28,1,0)</f>
        <v/>
      </c>
      <c r="CN28" s="52">
        <f>IF(AND(B28&gt;0,U28=""),1,IF(U28&gt;B28,1,0))</f>
        <v/>
      </c>
      <c r="CO28" s="52">
        <f>IF((X28+AB28)&gt;B28,1,0)</f>
        <v/>
      </c>
    </row>
    <row r="29">
      <c r="A29" s="1170" t="inlineStr">
        <is>
          <t>Medicina Materno fetal</t>
        </is>
      </c>
      <c r="B29" s="1946">
        <f>SUM(C29:T29)</f>
        <v/>
      </c>
      <c r="C29" s="1172" t="n"/>
      <c r="D29" s="2001" t="n"/>
      <c r="E29" s="2001" t="n"/>
      <c r="F29" s="2001" t="n"/>
      <c r="G29" s="2001" t="n"/>
      <c r="H29" s="2001" t="n"/>
      <c r="I29" s="2001" t="n"/>
      <c r="J29" s="2001" t="n"/>
      <c r="K29" s="2001" t="n"/>
      <c r="L29" s="2001" t="n"/>
      <c r="M29" s="2001" t="n"/>
      <c r="N29" s="2001" t="n"/>
      <c r="O29" s="2001" t="n"/>
      <c r="P29" s="2001" t="n"/>
      <c r="Q29" s="2001" t="n"/>
      <c r="R29" s="2001" t="n"/>
      <c r="S29" s="2001" t="n"/>
      <c r="T29" s="1929" t="n"/>
      <c r="U29" s="1173" t="n"/>
      <c r="V29" s="1172" t="n"/>
      <c r="W29" s="1929" t="n"/>
      <c r="X29" s="2534">
        <f>SUM(Y29+Z29+AA29)</f>
        <v/>
      </c>
      <c r="Y29" s="1172" t="n"/>
      <c r="Z29" s="2001" t="n"/>
      <c r="AA29" s="1100" t="n"/>
      <c r="AB29" s="1486">
        <f>SUM(AC29+AD29+AE29)</f>
        <v/>
      </c>
      <c r="AC29" s="1172" t="n"/>
      <c r="AD29" s="1174" t="n"/>
      <c r="AE29" s="1929" t="n"/>
      <c r="AF29" s="1222" t="n"/>
      <c r="AG29" s="886" t="n"/>
      <c r="AH29">
        <f>CB29&amp;CC29&amp;CD29</f>
        <v/>
      </c>
      <c r="CB29" s="90">
        <f>IF(V29+W29&lt;&gt;B29," *La suma por Sexo (Hombres + Mujeres) NO DEBEN ser diferente al Total","")</f>
        <v/>
      </c>
      <c r="CC29" s="90">
        <f>IF(AND(B29&gt;0,U29="")," *No olvide digitar la variable Beneficiarios. Digite CERO si no tiene",IF(U29&gt;B29," *La variable Beneficiarios No puede ser mayor al Total.",""))</f>
        <v/>
      </c>
      <c r="CD29" s="90">
        <f>IF((X29+AB29)&gt;B29," *La suma del Total de Consultas Nuevas según Origen NO DEBE ser MAYOR que el total de Consultas y Controles médicos.","")</f>
        <v/>
      </c>
      <c r="CM29" s="52">
        <f>IF(V29+W29&lt;&gt;B29,1,0)</f>
        <v/>
      </c>
      <c r="CN29" s="52">
        <f>IF(AND(B29&gt;0,U29=""),1,IF(U29&gt;B29,1,0))</f>
        <v/>
      </c>
      <c r="CO29" s="52">
        <f>IF((X29+AB29)&gt;B29,1,0)</f>
        <v/>
      </c>
    </row>
    <row r="30">
      <c r="A30" s="1170" t="inlineStr">
        <is>
          <t>Reumatología</t>
        </is>
      </c>
      <c r="B30" s="1946">
        <f>SUM(C30:T30)</f>
        <v/>
      </c>
      <c r="C30" s="1172" t="n"/>
      <c r="D30" s="2001" t="n"/>
      <c r="E30" s="2001" t="n"/>
      <c r="F30" s="2001" t="n"/>
      <c r="G30" s="2001" t="n"/>
      <c r="H30" s="2001" t="n"/>
      <c r="I30" s="2001" t="n"/>
      <c r="J30" s="2001" t="n"/>
      <c r="K30" s="2001" t="n"/>
      <c r="L30" s="2001" t="n"/>
      <c r="M30" s="2001" t="n"/>
      <c r="N30" s="2001" t="n"/>
      <c r="O30" s="2001" t="n"/>
      <c r="P30" s="2001" t="n"/>
      <c r="Q30" s="2001" t="n"/>
      <c r="R30" s="2001" t="n"/>
      <c r="S30" s="2001" t="n"/>
      <c r="T30" s="1929" t="n"/>
      <c r="U30" s="1173" t="n"/>
      <c r="V30" s="1172" t="n"/>
      <c r="W30" s="1929" t="n"/>
      <c r="X30" s="2534">
        <f>SUM(Y30+Z30+AA30)</f>
        <v/>
      </c>
      <c r="Y30" s="1172" t="n"/>
      <c r="Z30" s="2001" t="n"/>
      <c r="AA30" s="1100" t="n"/>
      <c r="AB30" s="1486">
        <f>SUM(AC30+AD30+AE30)</f>
        <v/>
      </c>
      <c r="AC30" s="1172" t="n"/>
      <c r="AD30" s="1174" t="n"/>
      <c r="AE30" s="1929" t="n"/>
      <c r="AF30" s="1222" t="n"/>
      <c r="AG30" s="886" t="n"/>
      <c r="AH30">
        <f>CB30&amp;CC30&amp;CD30</f>
        <v/>
      </c>
      <c r="CB30" s="90">
        <f>IF(V30+W30&lt;&gt;B30," *La suma por Sexo (Hombres + Mujeres) NO DEBEN ser diferente al Total","")</f>
        <v/>
      </c>
      <c r="CC30" s="90">
        <f>IF(AND(B30&gt;0,U30="")," *No olvide digitar la variable Beneficiarios. Digite CERO si no tiene",IF(U30&gt;B30," *La variable Beneficiarios No puede ser mayor al Total.",""))</f>
        <v/>
      </c>
      <c r="CD30" s="90">
        <f>IF((X30+AB30)&gt;B30," *La suma del Total de Consultas Nuevas según Origen NO DEBE ser MAYOR que el total de Consultas y Controles médicos.","")</f>
        <v/>
      </c>
      <c r="CM30" s="52">
        <f>IF(V30+W30&lt;&gt;B30,1,0)</f>
        <v/>
      </c>
      <c r="CN30" s="52">
        <f>IF(AND(B30&gt;0,U30=""),1,IF(U30&gt;B30,1,0))</f>
        <v/>
      </c>
      <c r="CO30" s="52">
        <f>IF((X30+AB30)&gt;B30,1,0)</f>
        <v/>
      </c>
    </row>
    <row r="31">
      <c r="A31" s="288" t="inlineStr">
        <is>
          <t>Medicina Paliativa y Manejo del Dolor</t>
        </is>
      </c>
      <c r="B31" s="1946">
        <f>SUM(C31:T31)</f>
        <v/>
      </c>
      <c r="C31" s="1172" t="n"/>
      <c r="D31" s="2001" t="n"/>
      <c r="E31" s="2001" t="n"/>
      <c r="F31" s="2001" t="n"/>
      <c r="G31" s="2001" t="n"/>
      <c r="H31" s="2001" t="n"/>
      <c r="I31" s="2001" t="n"/>
      <c r="J31" s="2001" t="n"/>
      <c r="K31" s="2001" t="n"/>
      <c r="L31" s="2001" t="n"/>
      <c r="M31" s="2001" t="n"/>
      <c r="N31" s="2001" t="n"/>
      <c r="O31" s="2001" t="n"/>
      <c r="P31" s="2001" t="n"/>
      <c r="Q31" s="2001" t="n"/>
      <c r="R31" s="2001" t="n"/>
      <c r="S31" s="2001" t="n"/>
      <c r="T31" s="1929" t="n"/>
      <c r="U31" s="1173" t="n"/>
      <c r="V31" s="1172" t="n"/>
      <c r="W31" s="1929" t="n"/>
      <c r="X31" s="2534">
        <f>SUM(Y31+Z31+AA31)</f>
        <v/>
      </c>
      <c r="Y31" s="1172" t="n"/>
      <c r="Z31" s="2001" t="n"/>
      <c r="AA31" s="1100" t="n"/>
      <c r="AB31" s="1486">
        <f>SUM(AC31+AD31+AE31)</f>
        <v/>
      </c>
      <c r="AC31" s="1172" t="n"/>
      <c r="AD31" s="1174" t="n"/>
      <c r="AE31" s="1929" t="n"/>
      <c r="AF31" s="1222" t="n"/>
      <c r="AG31" s="886" t="n"/>
      <c r="AH31">
        <f>CB31&amp;CC31&amp;CD31</f>
        <v/>
      </c>
      <c r="CB31" s="90">
        <f>IF(V31+W31&lt;&gt;B31," *La suma por Sexo (Hombres + Mujeres) NO DEBEN ser diferente al Total","")</f>
        <v/>
      </c>
      <c r="CC31" s="90">
        <f>IF(AND(B31&gt;0,U31="")," *No olvide digitar la variable Beneficiarios. Digite CERO si no tiene",IF(U31&gt;B31," *La variable Beneficiarios No puede ser mayor al Total.",""))</f>
        <v/>
      </c>
      <c r="CD31" s="90">
        <f>IF((X31+AB31)&gt;B31," *La suma del Total de Consultas Nuevas según Origen NO DEBE ser MAYOR que el total de Consultas y Controles médicos.","")</f>
        <v/>
      </c>
      <c r="CM31" s="52">
        <f>IF(V31+W31&lt;&gt;B31,1,0)</f>
        <v/>
      </c>
      <c r="CN31" s="52">
        <f>IF(AND(B31&gt;0,U31=""),1,IF(U31&gt;B31,1,0))</f>
        <v/>
      </c>
      <c r="CO31" s="52">
        <f>IF((X31+AB31)&gt;B31,1,0)</f>
        <v/>
      </c>
    </row>
    <row r="32">
      <c r="A32" s="1170" t="inlineStr">
        <is>
          <t>Dermatología</t>
        </is>
      </c>
      <c r="B32" s="1946">
        <f>SUM(C32:T32)</f>
        <v/>
      </c>
      <c r="C32" s="1172" t="n"/>
      <c r="D32" s="2001" t="n"/>
      <c r="E32" s="2001" t="n"/>
      <c r="F32" s="2001" t="n"/>
      <c r="G32" s="2001" t="n"/>
      <c r="H32" s="2001" t="n"/>
      <c r="I32" s="2001" t="n"/>
      <c r="J32" s="2001" t="n"/>
      <c r="K32" s="2001" t="n"/>
      <c r="L32" s="2001" t="n"/>
      <c r="M32" s="2001" t="n"/>
      <c r="N32" s="2001" t="n"/>
      <c r="O32" s="2001" t="n"/>
      <c r="P32" s="2001" t="n"/>
      <c r="Q32" s="2001" t="n"/>
      <c r="R32" s="2001" t="n"/>
      <c r="S32" s="2001" t="n"/>
      <c r="T32" s="1929" t="n"/>
      <c r="U32" s="1173" t="n"/>
      <c r="V32" s="1172" t="n"/>
      <c r="W32" s="1929" t="n"/>
      <c r="X32" s="2534">
        <f>SUM(Y32+Z32+AA32)</f>
        <v/>
      </c>
      <c r="Y32" s="1172" t="n"/>
      <c r="Z32" s="2001" t="n"/>
      <c r="AA32" s="1100" t="n"/>
      <c r="AB32" s="1486">
        <f>SUM(AC32+AD32+AE32)</f>
        <v/>
      </c>
      <c r="AC32" s="1172" t="n"/>
      <c r="AD32" s="1174" t="n"/>
      <c r="AE32" s="1929" t="n"/>
      <c r="AF32" s="1222" t="n"/>
      <c r="AG32" s="886" t="n"/>
      <c r="AH32">
        <f>CB32&amp;CC32&amp;CD32</f>
        <v/>
      </c>
      <c r="CB32" s="90">
        <f>IF(V32+W32&lt;&gt;B32," *La suma por Sexo (Hombres + Mujeres) NO DEBEN ser diferente al Total","")</f>
        <v/>
      </c>
      <c r="CC32" s="90">
        <f>IF(AND(B32&gt;0,U32="")," *No olvide digitar la variable Beneficiarios. Digite CERO si no tiene",IF(U32&gt;B32," *La variable Beneficiarios No puede ser mayor al Total.",""))</f>
        <v/>
      </c>
      <c r="CD32" s="90">
        <f>IF((X32+AB32)&gt;B32," *La suma del Total de Consultas Nuevas según Origen NO DEBE ser MAYOR que el total de Consultas y Controles médicos.","")</f>
        <v/>
      </c>
      <c r="CM32" s="52">
        <f>IF(V32+W32&lt;&gt;B32,1,0)</f>
        <v/>
      </c>
      <c r="CN32" s="52">
        <f>IF(AND(B32&gt;0,U32=""),1,IF(U32&gt;B32,1,0))</f>
        <v/>
      </c>
      <c r="CO32" s="52">
        <f>IF((X32+AB32)&gt;B32,1,0)</f>
        <v/>
      </c>
    </row>
    <row r="33">
      <c r="A33" s="1170" t="inlineStr">
        <is>
          <t>Infectología</t>
        </is>
      </c>
      <c r="B33" s="1946">
        <f>SUM(C33:T33)</f>
        <v/>
      </c>
      <c r="C33" s="1172" t="n"/>
      <c r="D33" s="2001" t="n"/>
      <c r="E33" s="2001" t="n"/>
      <c r="F33" s="2001" t="n"/>
      <c r="G33" s="2001" t="n"/>
      <c r="H33" s="2001" t="n"/>
      <c r="I33" s="2001" t="n"/>
      <c r="J33" s="2001" t="n"/>
      <c r="K33" s="2001" t="n"/>
      <c r="L33" s="2001" t="n"/>
      <c r="M33" s="2001" t="n"/>
      <c r="N33" s="2001" t="n"/>
      <c r="O33" s="2001" t="n"/>
      <c r="P33" s="2001" t="n"/>
      <c r="Q33" s="2001" t="n"/>
      <c r="R33" s="2001" t="n"/>
      <c r="S33" s="2001" t="n"/>
      <c r="T33" s="1929" t="n"/>
      <c r="U33" s="1173" t="n"/>
      <c r="V33" s="1172" t="n"/>
      <c r="W33" s="1929" t="n"/>
      <c r="X33" s="2534">
        <f>SUM(Y33+Z33+AA33)</f>
        <v/>
      </c>
      <c r="Y33" s="1172" t="n"/>
      <c r="Z33" s="2001" t="n"/>
      <c r="AA33" s="1100" t="n"/>
      <c r="AB33" s="1486">
        <f>SUM(AC33+AD33+AE33)</f>
        <v/>
      </c>
      <c r="AC33" s="1172" t="n"/>
      <c r="AD33" s="1174" t="n"/>
      <c r="AE33" s="1929" t="n"/>
      <c r="AF33" s="1222" t="n"/>
      <c r="AG33" s="886" t="n"/>
      <c r="AH33">
        <f>CB33&amp;CC33&amp;CD33</f>
        <v/>
      </c>
      <c r="CB33" s="90">
        <f>IF(V33+W33&lt;&gt;B33," *La suma por Sexo (Hombres + Mujeres) NO DEBEN ser diferente al Total","")</f>
        <v/>
      </c>
      <c r="CC33" s="90">
        <f>IF(AND(B33&gt;0,U33="")," *No olvide digitar la variable Beneficiarios. Digite CERO si no tiene",IF(U33&gt;B33," *La variable Beneficiarios No puede ser mayor al Total.",""))</f>
        <v/>
      </c>
      <c r="CD33" s="90">
        <f>IF((X33+AB33)&gt;B33," *La suma del Total de Consultas Nuevas según Origen NO DEBE ser MAYOR que el total de Consultas y Controles médicos.","")</f>
        <v/>
      </c>
      <c r="CM33" s="52">
        <f>IF(V33+W33&lt;&gt;B33,1,0)</f>
        <v/>
      </c>
      <c r="CN33" s="52">
        <f>IF(AND(B33&gt;0,U33=""),1,IF(U33&gt;B33,1,0))</f>
        <v/>
      </c>
      <c r="CO33" s="52">
        <f>IF((X33+AB33)&gt;B33,1,0)</f>
        <v/>
      </c>
    </row>
    <row r="34">
      <c r="A34" s="1170" t="inlineStr">
        <is>
          <t>Inmunología</t>
        </is>
      </c>
      <c r="B34" s="1946">
        <f>SUM(C34:T34)</f>
        <v/>
      </c>
      <c r="C34" s="1172" t="n"/>
      <c r="D34" s="2001" t="n"/>
      <c r="E34" s="2001" t="n"/>
      <c r="F34" s="2001" t="n"/>
      <c r="G34" s="2001" t="n"/>
      <c r="H34" s="2001" t="n"/>
      <c r="I34" s="2001" t="n"/>
      <c r="J34" s="2001" t="n"/>
      <c r="K34" s="2001" t="n"/>
      <c r="L34" s="2001" t="n"/>
      <c r="M34" s="2001" t="n"/>
      <c r="N34" s="2001" t="n"/>
      <c r="O34" s="2001" t="n"/>
      <c r="P34" s="2001" t="n"/>
      <c r="Q34" s="2001" t="n"/>
      <c r="R34" s="2001" t="n"/>
      <c r="S34" s="2001" t="n"/>
      <c r="T34" s="1929" t="n"/>
      <c r="U34" s="1173" t="n"/>
      <c r="V34" s="1172" t="n"/>
      <c r="W34" s="1929" t="n"/>
      <c r="X34" s="2534">
        <f>SUM(Y34+Z34+AA34)</f>
        <v/>
      </c>
      <c r="Y34" s="1172" t="n"/>
      <c r="Z34" s="2001" t="n"/>
      <c r="AA34" s="1100" t="n"/>
      <c r="AB34" s="1486">
        <f>SUM(AC34+AD34+AE34)</f>
        <v/>
      </c>
      <c r="AC34" s="1172" t="n"/>
      <c r="AD34" s="1174" t="n"/>
      <c r="AE34" s="1929" t="n"/>
      <c r="AF34" s="1222" t="n"/>
      <c r="AG34" s="886" t="n"/>
      <c r="AH34">
        <f>CB34&amp;CC34&amp;CD34</f>
        <v/>
      </c>
      <c r="CB34" s="90">
        <f>IF(V34+W34&lt;&gt;B34," *La suma por Sexo (Hombres + Mujeres) NO DEBEN ser diferente al Total","")</f>
        <v/>
      </c>
      <c r="CC34" s="90">
        <f>IF(AND(B34&gt;0,U34="")," *No olvide digitar la variable Beneficiarios. Digite CERO si no tiene",IF(U34&gt;B34," *La variable Beneficiarios No puede ser mayor al Total.",""))</f>
        <v/>
      </c>
      <c r="CD34" s="90">
        <f>IF((X34+AB34)&gt;B34," *La suma del Total de Consultas Nuevas según Origen NO DEBE ser MAYOR que el total de Consultas y Controles médicos.","")</f>
        <v/>
      </c>
      <c r="CM34" s="52">
        <f>IF(V34+W34&lt;&gt;B34,1,0)</f>
        <v/>
      </c>
      <c r="CN34" s="52">
        <f>IF(AND(B34&gt;0,U34=""),1,IF(U34&gt;B34,1,0))</f>
        <v/>
      </c>
      <c r="CO34" s="52">
        <f>IF((X34+AB34)&gt;B34,1,0)</f>
        <v/>
      </c>
    </row>
    <row r="35">
      <c r="A35" s="1170" t="inlineStr">
        <is>
          <t>Geriatría</t>
        </is>
      </c>
      <c r="B35" s="1946">
        <f>SUM(P35:T35)</f>
        <v/>
      </c>
      <c r="C35" s="1325" t="n"/>
      <c r="D35" s="2233" t="n"/>
      <c r="E35" s="2233" t="n"/>
      <c r="F35" s="2233" t="n"/>
      <c r="G35" s="2233" t="n"/>
      <c r="H35" s="2233" t="n"/>
      <c r="I35" s="2233" t="n"/>
      <c r="J35" s="2233" t="n"/>
      <c r="K35" s="2233" t="n"/>
      <c r="L35" s="2233" t="n"/>
      <c r="M35" s="2233" t="n"/>
      <c r="N35" s="2233" t="n"/>
      <c r="O35" s="2233" t="n"/>
      <c r="P35" s="2001" t="n"/>
      <c r="Q35" s="2001" t="n"/>
      <c r="R35" s="2001" t="n"/>
      <c r="S35" s="2001" t="n"/>
      <c r="T35" s="1929" t="n"/>
      <c r="U35" s="1173" t="n"/>
      <c r="V35" s="1172" t="n"/>
      <c r="W35" s="1929" t="n"/>
      <c r="X35" s="2534">
        <f>SUM(Y35+Z35+AA35)</f>
        <v/>
      </c>
      <c r="Y35" s="1172" t="n"/>
      <c r="Z35" s="2001" t="n"/>
      <c r="AA35" s="1100" t="n"/>
      <c r="AB35" s="1486">
        <f>SUM(AC35+AD35+AE35)</f>
        <v/>
      </c>
      <c r="AC35" s="1172" t="n"/>
      <c r="AD35" s="1174" t="n"/>
      <c r="AE35" s="1929" t="n"/>
      <c r="AF35" s="1222" t="n"/>
      <c r="AG35" s="886" t="n"/>
      <c r="AH35">
        <f>CB35&amp;CC35&amp;CD35</f>
        <v/>
      </c>
      <c r="CB35" s="90">
        <f>IF(V35+W35&lt;&gt;B35," *La suma por Sexo (Hombres + Mujeres) NO DEBEN ser diferente al Total","")</f>
        <v/>
      </c>
      <c r="CC35" s="90">
        <f>IF(AND(B35&gt;0,U35="")," *No olvide digitar la variable Beneficiarios. Digite CERO si no tiene",IF(U35&gt;B35," *La variable Beneficiarios No puede ser mayor al Total.",""))</f>
        <v/>
      </c>
      <c r="CD35" s="90">
        <f>IF((X35+AB35)&gt;B35," *La suma del Total de Consultas Nuevas según Origen NO DEBE ser MAYOR que el total de Consultas y Controles médicos.","")</f>
        <v/>
      </c>
      <c r="CM35" s="52">
        <f>IF(V35+W35&lt;&gt;B35,1,0)</f>
        <v/>
      </c>
      <c r="CN35" s="52">
        <f>IF(AND(B35&gt;0,U35=""),1,IF(U35&gt;B35,1,0))</f>
        <v/>
      </c>
      <c r="CO35" s="52">
        <f>IF((X35+AB35)&gt;B35,1,0)</f>
        <v/>
      </c>
    </row>
    <row r="36">
      <c r="A36" s="1170" t="inlineStr">
        <is>
          <t>Medicina Física y Rehabilitación</t>
        </is>
      </c>
      <c r="B36" s="1946">
        <f>SUM(C36:T36)</f>
        <v/>
      </c>
      <c r="C36" s="1172" t="n"/>
      <c r="D36" s="2001" t="n"/>
      <c r="E36" s="2001" t="n"/>
      <c r="F36" s="2001" t="n"/>
      <c r="G36" s="2535" t="n"/>
      <c r="H36" s="2535" t="n"/>
      <c r="I36" s="2535" t="n"/>
      <c r="J36" s="2535" t="n"/>
      <c r="K36" s="2535" t="n"/>
      <c r="L36" s="2535" t="n"/>
      <c r="M36" s="2001" t="n"/>
      <c r="N36" s="2001" t="n"/>
      <c r="O36" s="2001" t="n"/>
      <c r="P36" s="2001" t="n"/>
      <c r="Q36" s="2001" t="n"/>
      <c r="R36" s="2001" t="n"/>
      <c r="S36" s="2001" t="n"/>
      <c r="T36" s="1929" t="n"/>
      <c r="U36" s="1173" t="n"/>
      <c r="V36" s="1172" t="n"/>
      <c r="W36" s="1929" t="n"/>
      <c r="X36" s="2534">
        <f>SUM(Y36+Z36+AA36)</f>
        <v/>
      </c>
      <c r="Y36" s="1172" t="n"/>
      <c r="Z36" s="2001" t="n"/>
      <c r="AA36" s="1100" t="n"/>
      <c r="AB36" s="1486">
        <f>SUM(AC36+AD36+AE36)</f>
        <v/>
      </c>
      <c r="AC36" s="1172" t="n"/>
      <c r="AD36" s="1174" t="n"/>
      <c r="AE36" s="1929" t="n"/>
      <c r="AF36" s="1222" t="n"/>
      <c r="AG36" s="886" t="n"/>
      <c r="AH36">
        <f>CB36&amp;CC36&amp;CD36</f>
        <v/>
      </c>
      <c r="CB36" s="90">
        <f>IF(V36+W36&lt;&gt;B36," *La suma por Sexo (Hombres + Mujeres) NO DEBEN ser diferente al Total","")</f>
        <v/>
      </c>
      <c r="CC36" s="90">
        <f>IF(AND(B36&gt;0,U36="")," *No olvide digitar la variable Beneficiarios. Digite CERO si no tiene",IF(U36&gt;B36," *La variable Beneficiarios No puede ser mayor al Total.",""))</f>
        <v/>
      </c>
      <c r="CD36" s="90">
        <f>IF((X36+AB36)&gt;B36," *La suma del Total de Consultas Nuevas según Origen NO DEBE ser MAYOR que el total de Consultas y Controles médicos.","")</f>
        <v/>
      </c>
      <c r="CM36" s="52">
        <f>IF(V36+W36&lt;&gt;B36,1,0)</f>
        <v/>
      </c>
      <c r="CN36" s="52">
        <f>IF(AND(B36&gt;0,U36=""),1,IF(U36&gt;B36,1,0))</f>
        <v/>
      </c>
      <c r="CO36" s="52">
        <f>IF((X36+AB36)&gt;B36,1,0)</f>
        <v/>
      </c>
    </row>
    <row r="37">
      <c r="A37" s="288" t="inlineStr">
        <is>
          <t>Medicina Reproductiva e Infertilidad</t>
        </is>
      </c>
      <c r="B37" s="1946">
        <f>SUM(C37:T37)</f>
        <v/>
      </c>
      <c r="C37" s="2536" t="n"/>
      <c r="D37" s="2535" t="n"/>
      <c r="E37" s="2535" t="n"/>
      <c r="F37" s="2535" t="n"/>
      <c r="G37" s="2535" t="n"/>
      <c r="H37" s="2001" t="n"/>
      <c r="I37" s="2001" t="n"/>
      <c r="J37" s="2001" t="n"/>
      <c r="K37" s="2001" t="n"/>
      <c r="L37" s="2001" t="n"/>
      <c r="M37" s="2001" t="n"/>
      <c r="N37" s="2001" t="n"/>
      <c r="O37" s="2001" t="n"/>
      <c r="P37" s="2001" t="n"/>
      <c r="Q37" s="2001" t="n"/>
      <c r="R37" s="2001" t="n"/>
      <c r="S37" s="2001" t="n"/>
      <c r="T37" s="1929" t="n"/>
      <c r="U37" s="1173" t="n"/>
      <c r="V37" s="1172" t="n"/>
      <c r="W37" s="1929" t="n"/>
      <c r="X37" s="2534">
        <f>SUM(Y37+Z37+AA37)</f>
        <v/>
      </c>
      <c r="Y37" s="1172" t="n"/>
      <c r="Z37" s="2001" t="n"/>
      <c r="AA37" s="1100" t="n"/>
      <c r="AB37" s="1486">
        <f>SUM(AC37+AD37+AE37)</f>
        <v/>
      </c>
      <c r="AC37" s="1172" t="n"/>
      <c r="AD37" s="1174" t="n"/>
      <c r="AE37" s="1929" t="n"/>
      <c r="AF37" s="1222" t="n"/>
      <c r="AG37" s="886" t="n"/>
      <c r="AH37">
        <f>CB37&amp;CC37&amp;CD37</f>
        <v/>
      </c>
      <c r="CB37" s="90">
        <f>IF(V37+W37&lt;&gt;B37," *La suma por Sexo (Hombres + Mujeres) NO DEBEN ser diferente al Total","")</f>
        <v/>
      </c>
      <c r="CC37" s="90">
        <f>IF(AND(B37&gt;0,U37="")," *No olvide digitar la variable Beneficiarios. Digite CERO si no tiene",IF(U37&gt;B37," *La variable Beneficiarios No puede ser mayor al Total.",""))</f>
        <v/>
      </c>
      <c r="CD37" s="90">
        <f>IF((X37+AB37)&gt;B37," *La suma del Total de Consultas Nuevas según Origen NO DEBE ser MAYOR que el total de Consultas y Controles médicos.","")</f>
        <v/>
      </c>
      <c r="CM37" s="52">
        <f>IF(V37+W37&lt;&gt;B37,1,0)</f>
        <v/>
      </c>
      <c r="CN37" s="52">
        <f>IF(AND(B37&gt;0,U37=""),1,IF(U37&gt;B37,1,0))</f>
        <v/>
      </c>
      <c r="CO37" s="52">
        <f>IF((X37+AB37)&gt;B37,1,0)</f>
        <v/>
      </c>
    </row>
    <row r="38">
      <c r="A38" s="1170" t="inlineStr">
        <is>
          <t>Neurología Pediátrica</t>
        </is>
      </c>
      <c r="B38" s="1946">
        <f>SUM(C38:T38)</f>
        <v/>
      </c>
      <c r="C38" s="2536" t="n"/>
      <c r="D38" s="2535" t="n"/>
      <c r="E38" s="2535" t="n"/>
      <c r="F38" s="2535" t="n"/>
      <c r="G38" s="2535" t="n"/>
      <c r="H38" s="2535" t="n"/>
      <c r="I38" s="2535" t="n"/>
      <c r="J38" s="2535" t="n"/>
      <c r="K38" s="2535" t="n"/>
      <c r="L38" s="2535" t="n"/>
      <c r="M38" s="2001" t="n"/>
      <c r="N38" s="2001" t="n"/>
      <c r="O38" s="2001" t="n"/>
      <c r="P38" s="2001" t="n"/>
      <c r="Q38" s="2001" t="n"/>
      <c r="R38" s="2001" t="n"/>
      <c r="S38" s="2001" t="n"/>
      <c r="T38" s="1929" t="n"/>
      <c r="U38" s="1173" t="n"/>
      <c r="V38" s="1172" t="n"/>
      <c r="W38" s="1929" t="n"/>
      <c r="X38" s="2534">
        <f>SUM(Y38+Z38+AA38)</f>
        <v/>
      </c>
      <c r="Y38" s="1172" t="n"/>
      <c r="Z38" s="2001" t="n"/>
      <c r="AA38" s="1100" t="n"/>
      <c r="AB38" s="1486">
        <f>SUM(AC38+AD38+AE38)</f>
        <v/>
      </c>
      <c r="AC38" s="1172" t="n"/>
      <c r="AD38" s="1174" t="n"/>
      <c r="AE38" s="1929" t="n"/>
      <c r="AF38" s="1222" t="n"/>
      <c r="AG38" s="886" t="n"/>
      <c r="AH38">
        <f>CB38&amp;CC38&amp;CD38</f>
        <v/>
      </c>
      <c r="CB38" s="90">
        <f>IF(V38+W38&lt;&gt;B38," *La suma por Sexo (Hombres + Mujeres) NO DEBEN ser diferente al Total","")</f>
        <v/>
      </c>
      <c r="CC38" s="90">
        <f>IF(AND(B38&gt;0,U38="")," *No olvide digitar la variable Beneficiarios. Digite CERO si no tiene",IF(U38&gt;B38," *La variable Beneficiarios No puede ser mayor al Total.",""))</f>
        <v/>
      </c>
      <c r="CD38" s="90">
        <f>IF((X38+AB38)&gt;B38," *La suma del Total de Consultas Nuevas según Origen NO DEBE ser MAYOR que el total de Consultas y Controles médicos.","")</f>
        <v/>
      </c>
      <c r="CM38" s="52">
        <f>IF(V38+W38&lt;&gt;B38,1,0)</f>
        <v/>
      </c>
      <c r="CN38" s="52">
        <f>IF(AND(B38&gt;0,U38=""),1,IF(U38&gt;B38,1,0))</f>
        <v/>
      </c>
      <c r="CO38" s="52">
        <f>IF((X38+AB38)&gt;B38,1,0)</f>
        <v/>
      </c>
    </row>
    <row r="39">
      <c r="A39" s="1170" t="inlineStr">
        <is>
          <t>Neurología Adulto</t>
        </is>
      </c>
      <c r="B39" s="1946">
        <f>SUM(C39:T39)</f>
        <v/>
      </c>
      <c r="C39" s="2536" t="n"/>
      <c r="D39" s="2535" t="n"/>
      <c r="E39" s="2535" t="n"/>
      <c r="F39" s="2535" t="n"/>
      <c r="G39" s="2001" t="n"/>
      <c r="H39" s="2001" t="n"/>
      <c r="I39" s="2001" t="n"/>
      <c r="J39" s="2001" t="n"/>
      <c r="K39" s="2001" t="n"/>
      <c r="L39" s="2001" t="n"/>
      <c r="M39" s="2001" t="n"/>
      <c r="N39" s="2001" t="n"/>
      <c r="O39" s="2001" t="n"/>
      <c r="P39" s="2001" t="n"/>
      <c r="Q39" s="2001" t="n"/>
      <c r="R39" s="2001" t="n"/>
      <c r="S39" s="2001" t="n"/>
      <c r="T39" s="1929" t="n"/>
      <c r="U39" s="1173" t="n"/>
      <c r="V39" s="1172" t="n"/>
      <c r="W39" s="1929" t="n"/>
      <c r="X39" s="2534">
        <f>SUM(Y39+Z39+AA39)</f>
        <v/>
      </c>
      <c r="Y39" s="1172" t="n"/>
      <c r="Z39" s="2001" t="n"/>
      <c r="AA39" s="1100" t="n"/>
      <c r="AB39" s="1486">
        <f>SUM(AC39+AD39+AE39)</f>
        <v/>
      </c>
      <c r="AC39" s="1172" t="n"/>
      <c r="AD39" s="1174" t="n"/>
      <c r="AE39" s="1929" t="n"/>
      <c r="AF39" s="1222" t="n"/>
      <c r="AG39" s="886" t="n"/>
      <c r="AH39">
        <f>CB39&amp;CC39&amp;CD39</f>
        <v/>
      </c>
      <c r="CB39" s="90">
        <f>IF(V39+W39&lt;&gt;B39," *La suma por Sexo (Hombres + Mujeres) NO DEBEN ser diferente al Total","")</f>
        <v/>
      </c>
      <c r="CC39" s="90">
        <f>IF(AND(B39&gt;0,U39="")," *No olvide digitar la variable Beneficiarios. Digite CERO si no tiene",IF(U39&gt;B39," *La variable Beneficiarios No puede ser mayor al Total.",""))</f>
        <v/>
      </c>
      <c r="CD39" s="90">
        <f>IF((X39+AB39)&gt;B39," *La suma del Total de Consultas Nuevas según Origen NO DEBE ser MAYOR que el total de Consultas y Controles médicos.","")</f>
        <v/>
      </c>
      <c r="CM39" s="52">
        <f>IF(V39+W39&lt;&gt;B39,1,0)</f>
        <v/>
      </c>
      <c r="CN39" s="52">
        <f>IF(AND(B39&gt;0,U39=""),1,IF(U39&gt;B39,1,0))</f>
        <v/>
      </c>
      <c r="CO39" s="52">
        <f>IF((X39+AB39)&gt;B39,1,0)</f>
        <v/>
      </c>
    </row>
    <row r="40">
      <c r="A40" s="1170" t="inlineStr">
        <is>
          <t>Oncología Médica</t>
        </is>
      </c>
      <c r="B40" s="1946">
        <f>SUM(C40:T40)</f>
        <v/>
      </c>
      <c r="C40" s="2536" t="n"/>
      <c r="D40" s="2535" t="n"/>
      <c r="E40" s="2535" t="n"/>
      <c r="F40" s="2535" t="n"/>
      <c r="G40" s="2001" t="n"/>
      <c r="H40" s="2001" t="n"/>
      <c r="I40" s="2001" t="n"/>
      <c r="J40" s="2001" t="n"/>
      <c r="K40" s="2001" t="n"/>
      <c r="L40" s="2001" t="n"/>
      <c r="M40" s="2001" t="n"/>
      <c r="N40" s="2001" t="n"/>
      <c r="O40" s="2001" t="n"/>
      <c r="P40" s="2001" t="n"/>
      <c r="Q40" s="2001" t="n"/>
      <c r="R40" s="2001" t="n"/>
      <c r="S40" s="2001" t="n"/>
      <c r="T40" s="1929" t="n"/>
      <c r="U40" s="1173" t="n"/>
      <c r="V40" s="1172" t="n"/>
      <c r="W40" s="1929" t="n"/>
      <c r="X40" s="2534">
        <f>SUM(Y40+Z40+AA40)</f>
        <v/>
      </c>
      <c r="Y40" s="1172" t="n"/>
      <c r="Z40" s="2001" t="n"/>
      <c r="AA40" s="1100" t="n"/>
      <c r="AB40" s="1486">
        <f>SUM(AC40+AD40+AE40)</f>
        <v/>
      </c>
      <c r="AC40" s="1172" t="n"/>
      <c r="AD40" s="1174" t="n"/>
      <c r="AE40" s="1929" t="n"/>
      <c r="AF40" s="1222" t="n"/>
      <c r="AG40" s="886" t="n"/>
      <c r="AH40">
        <f>CB40&amp;CC40&amp;CD40</f>
        <v/>
      </c>
      <c r="CB40" s="90">
        <f>IF(V40+W40&lt;&gt;B40," *La suma por Sexo (Hombres + Mujeres) NO DEBEN ser diferente al Total","")</f>
        <v/>
      </c>
      <c r="CC40" s="90">
        <f>IF(AND(B40&gt;0,U40="")," *No olvide digitar la variable Beneficiarios. Digite CERO si no tiene",IF(U40&gt;B40," *La variable Beneficiarios No puede ser mayor al Total.",""))</f>
        <v/>
      </c>
      <c r="CD40" s="90">
        <f>IF((X40+AB40)&gt;B40," *La suma del Total de Consultas Nuevas según Origen NO DEBE ser MAYOR que el total de Consultas y Controles médicos.","")</f>
        <v/>
      </c>
      <c r="CM40" s="52">
        <f>IF(V40+W40&lt;&gt;B40,1,0)</f>
        <v/>
      </c>
      <c r="CN40" s="52">
        <f>IF(AND(B40&gt;0,U40=""),1,IF(U40&gt;B40,1,0))</f>
        <v/>
      </c>
      <c r="CO40" s="52">
        <f>IF((X40+AB40)&gt;B40,1,0)</f>
        <v/>
      </c>
    </row>
    <row r="41">
      <c r="A41" s="1170" t="inlineStr">
        <is>
          <t>Psiquiatría Pediátrica y de La Adolescencia</t>
        </is>
      </c>
      <c r="B41" s="1946">
        <f>SUM(C41:T41)</f>
        <v/>
      </c>
      <c r="C41" s="2536" t="n"/>
      <c r="D41" s="2535" t="n"/>
      <c r="E41" s="2535" t="n"/>
      <c r="F41" s="2535" t="n"/>
      <c r="G41" s="2001" t="n"/>
      <c r="H41" s="2001" t="n"/>
      <c r="I41" s="2001" t="n"/>
      <c r="J41" s="2001" t="n"/>
      <c r="K41" s="2001" t="n"/>
      <c r="L41" s="2001" t="n"/>
      <c r="M41" s="2001" t="n"/>
      <c r="N41" s="2001" t="n"/>
      <c r="O41" s="2001" t="n"/>
      <c r="P41" s="2001" t="n"/>
      <c r="Q41" s="2001" t="n"/>
      <c r="R41" s="2001" t="n"/>
      <c r="S41" s="2001" t="n"/>
      <c r="T41" s="1929" t="n"/>
      <c r="U41" s="1173" t="n"/>
      <c r="V41" s="1172" t="n"/>
      <c r="W41" s="1929" t="n"/>
      <c r="X41" s="2534">
        <f>SUM(Y41+Z41+AA41)</f>
        <v/>
      </c>
      <c r="Y41" s="1172" t="n"/>
      <c r="Z41" s="2001" t="n"/>
      <c r="AA41" s="1100" t="n"/>
      <c r="AB41" s="1486">
        <f>SUM(AC41+AD41+AE41)</f>
        <v/>
      </c>
      <c r="AC41" s="1172" t="n"/>
      <c r="AD41" s="1174" t="n"/>
      <c r="AE41" s="1929" t="n"/>
      <c r="AF41" s="1222" t="n"/>
      <c r="AG41" s="886" t="n"/>
      <c r="AH41">
        <f>CB41&amp;CC41&amp;CD41</f>
        <v/>
      </c>
      <c r="CB41" s="90">
        <f>IF(V41+W41&lt;&gt;B41," *La suma por Sexo (Hombres + Mujeres) NO DEBEN ser diferente al Total","")</f>
        <v/>
      </c>
      <c r="CC41" s="90">
        <f>IF(AND(B41&gt;0,U41="")," *No olvide digitar la variable Beneficiarios. Digite CERO si no tiene",IF(U41&gt;B41," *La variable Beneficiarios No puede ser mayor al Total.",""))</f>
        <v/>
      </c>
      <c r="CD41" s="90">
        <f>IF((X41+AB41)&gt;B41," *La suma del Total de Consultas Nuevas según Origen NO DEBE ser MAYOR que el total de Consultas y Controles médicos.","")</f>
        <v/>
      </c>
      <c r="CM41" s="52">
        <f>IF(V41+W41&lt;&gt;B41,1,0)</f>
        <v/>
      </c>
      <c r="CN41" s="52">
        <f>IF(AND(B41&gt;0,U41=""),1,IF(U41&gt;B41,1,0))</f>
        <v/>
      </c>
      <c r="CO41" s="52">
        <f>IF((X41+AB41)&gt;B41,1,0)</f>
        <v/>
      </c>
    </row>
    <row r="42">
      <c r="A42" s="1170" t="inlineStr">
        <is>
          <t>Psiquiatría Adulto</t>
        </is>
      </c>
      <c r="B42" s="1946">
        <f>SUM(C42:T42)</f>
        <v/>
      </c>
      <c r="C42" s="1172" t="n"/>
      <c r="D42" s="2001" t="n"/>
      <c r="E42" s="2001" t="n"/>
      <c r="F42" s="2001" t="n"/>
      <c r="G42" s="2001" t="n"/>
      <c r="H42" s="2001" t="n"/>
      <c r="I42" s="2001" t="n"/>
      <c r="J42" s="2001" t="n"/>
      <c r="K42" s="2001" t="n"/>
      <c r="L42" s="2001" t="n"/>
      <c r="M42" s="2001" t="n"/>
      <c r="N42" s="2001" t="n"/>
      <c r="O42" s="2001" t="n"/>
      <c r="P42" s="2001" t="n"/>
      <c r="Q42" s="2001" t="n"/>
      <c r="R42" s="2001" t="n"/>
      <c r="S42" s="2001" t="n"/>
      <c r="T42" s="1929" t="n"/>
      <c r="U42" s="1173" t="n"/>
      <c r="V42" s="1172" t="n"/>
      <c r="W42" s="1929" t="n"/>
      <c r="X42" s="2534">
        <f>SUM(Y42+Z42+AA42)</f>
        <v/>
      </c>
      <c r="Y42" s="1172" t="n"/>
      <c r="Z42" s="2001" t="n"/>
      <c r="AA42" s="1100" t="n"/>
      <c r="AB42" s="1486">
        <f>SUM(AC42+AD42+AE42)</f>
        <v/>
      </c>
      <c r="AC42" s="1172" t="n"/>
      <c r="AD42" s="1174" t="n"/>
      <c r="AE42" s="1929" t="n"/>
      <c r="AF42" s="1222" t="n"/>
      <c r="AG42" s="886" t="n"/>
      <c r="AH42">
        <f>CB42&amp;CC42&amp;CD42</f>
        <v/>
      </c>
      <c r="CB42" s="90">
        <f>IF(V42+W42&lt;&gt;B42," *La suma por Sexo (Hombres + Mujeres) NO DEBEN ser diferente al Total","")</f>
        <v/>
      </c>
      <c r="CC42" s="90">
        <f>IF(AND(B42&gt;0,U42="")," *No olvide digitar la variable Beneficiarios. Digite CERO si no tiene",IF(U42&gt;B42," *La variable Beneficiarios No puede ser mayor al Total.",""))</f>
        <v/>
      </c>
      <c r="CD42" s="90">
        <f>IF((X42+AB42)&gt;B42," *La suma del Total de Consultas Nuevas según Origen NO DEBE ser MAYOR que el total de Consultas y Controles médicos.","")</f>
        <v/>
      </c>
      <c r="CM42" s="52">
        <f>IF(V42+W42&lt;&gt;B42,1,0)</f>
        <v/>
      </c>
      <c r="CN42" s="52">
        <f>IF(AND(B42&gt;0,U42=""),1,IF(U42&gt;B42,1,0))</f>
        <v/>
      </c>
      <c r="CO42" s="52">
        <f>IF((X42+AB42)&gt;B42,1,0)</f>
        <v/>
      </c>
    </row>
    <row r="43">
      <c r="A43" s="2537" t="inlineStr">
        <is>
          <t>Cirugía Pediátrica</t>
        </is>
      </c>
      <c r="B43" s="1946">
        <f>SUM(C43:T43)</f>
        <v/>
      </c>
      <c r="C43" s="1172" t="n"/>
      <c r="D43" s="2001" t="n"/>
      <c r="E43" s="2001" t="n"/>
      <c r="F43" s="2001" t="n"/>
      <c r="G43" s="2001" t="n"/>
      <c r="H43" s="2001" t="n"/>
      <c r="I43" s="2001" t="n"/>
      <c r="J43" s="2001" t="n"/>
      <c r="K43" s="2001" t="n"/>
      <c r="L43" s="2001" t="n"/>
      <c r="M43" s="2001" t="n"/>
      <c r="N43" s="2001" t="n"/>
      <c r="O43" s="2001" t="n"/>
      <c r="P43" s="2001" t="n"/>
      <c r="Q43" s="2001" t="n"/>
      <c r="R43" s="2001" t="n"/>
      <c r="S43" s="2001" t="n"/>
      <c r="T43" s="1929" t="n"/>
      <c r="U43" s="1173" t="n"/>
      <c r="V43" s="1172" t="n"/>
      <c r="W43" s="1929" t="n"/>
      <c r="X43" s="2534">
        <f>SUM(Y43+Z43+AA43)</f>
        <v/>
      </c>
      <c r="Y43" s="1172" t="n"/>
      <c r="Z43" s="2001" t="n"/>
      <c r="AA43" s="1100" t="n"/>
      <c r="AB43" s="1486">
        <f>SUM(AC43+AD43+AE43)</f>
        <v/>
      </c>
      <c r="AC43" s="1172" t="n"/>
      <c r="AD43" s="1174" t="n"/>
      <c r="AE43" s="1929" t="n"/>
      <c r="AF43" s="1222" t="n"/>
      <c r="AG43" s="886" t="n"/>
      <c r="AH43">
        <f>CB43&amp;CC43&amp;CD43</f>
        <v/>
      </c>
      <c r="CB43" s="90">
        <f>IF(V43+W43&lt;&gt;B43," *La suma por Sexo (Hombres + Mujeres) NO DEBEN ser diferente al Total","")</f>
        <v/>
      </c>
      <c r="CC43" s="90">
        <f>IF(AND(B43&gt;0,U43="")," *No olvide digitar la variable Beneficiarios. Digite CERO si no tiene",IF(U43&gt;B43," *La variable Beneficiarios No puede ser mayor al Total.",""))</f>
        <v/>
      </c>
      <c r="CD43" s="90">
        <f>IF((X43+AB43)&gt;B43," *La suma del Total de Consultas Nuevas según Origen NO DEBE ser MAYOR que el total de Consultas y Controles médicos.","")</f>
        <v/>
      </c>
      <c r="CM43" s="52">
        <f>IF(V43+W43&lt;&gt;B43,1,0)</f>
        <v/>
      </c>
      <c r="CN43" s="52">
        <f>IF(AND(B43&gt;0,U43=""),1,IF(U43&gt;B43,1,0))</f>
        <v/>
      </c>
      <c r="CO43" s="52">
        <f>IF((X43+AB43)&gt;B43,1,0)</f>
        <v/>
      </c>
    </row>
    <row r="44">
      <c r="A44" s="1170" t="inlineStr">
        <is>
          <t xml:space="preserve">Cirugía General </t>
        </is>
      </c>
      <c r="B44" s="1946">
        <f>SUM(C44:T44)</f>
        <v/>
      </c>
      <c r="C44" s="1172" t="n"/>
      <c r="D44" s="2001" t="n"/>
      <c r="E44" s="2001" t="n"/>
      <c r="F44" s="2001" t="n"/>
      <c r="G44" s="2001" t="n"/>
      <c r="H44" s="2001" t="n"/>
      <c r="I44" s="2001" t="n"/>
      <c r="J44" s="2001" t="n"/>
      <c r="K44" s="2001" t="n"/>
      <c r="L44" s="2001" t="n"/>
      <c r="M44" s="2001" t="n"/>
      <c r="N44" s="2001" t="n"/>
      <c r="O44" s="2001" t="n"/>
      <c r="P44" s="2001" t="n"/>
      <c r="Q44" s="2001" t="n"/>
      <c r="R44" s="2001" t="n"/>
      <c r="S44" s="2001" t="n"/>
      <c r="T44" s="1929" t="n"/>
      <c r="U44" s="1173" t="n"/>
      <c r="V44" s="1172" t="n"/>
      <c r="W44" s="1929" t="n"/>
      <c r="X44" s="2534">
        <f>SUM(Y44+Z44+AA44)</f>
        <v/>
      </c>
      <c r="Y44" s="1172" t="n"/>
      <c r="Z44" s="2001" t="n"/>
      <c r="AA44" s="1100" t="n"/>
      <c r="AB44" s="1486">
        <f>SUM(AC44+AD44+AE44)</f>
        <v/>
      </c>
      <c r="AC44" s="1172" t="n"/>
      <c r="AD44" s="1174" t="n"/>
      <c r="AE44" s="1929" t="n"/>
      <c r="AF44" s="1222" t="n"/>
      <c r="AG44" s="886" t="n"/>
      <c r="AH44">
        <f>CB44&amp;CC44&amp;CD44</f>
        <v/>
      </c>
      <c r="CB44" s="90">
        <f>IF(V44+W44&lt;&gt;B44," *La suma por Sexo (Hombres + Mujeres) NO DEBEN ser diferente al Total","")</f>
        <v/>
      </c>
      <c r="CC44" s="90">
        <f>IF(AND(B44&gt;0,U44="")," *No olvide digitar la variable Beneficiarios. Digite CERO si no tiene",IF(U44&gt;B44," *La variable Beneficiarios No puede ser mayor al Total.",""))</f>
        <v/>
      </c>
      <c r="CD44" s="90">
        <f>IF((X44+AB44)&gt;B44," *La suma del Total de Consultas Nuevas según Origen NO DEBE ser MAYOR que el total de Consultas y Controles médicos.","")</f>
        <v/>
      </c>
      <c r="CM44" s="52">
        <f>IF(V44+W44&lt;&gt;B44,1,0)</f>
        <v/>
      </c>
      <c r="CN44" s="52">
        <f>IF(AND(B44&gt;0,U44=""),1,IF(U44&gt;B44,1,0))</f>
        <v/>
      </c>
      <c r="CO44" s="52">
        <f>IF((X44+AB44)&gt;B44,1,0)</f>
        <v/>
      </c>
    </row>
    <row r="45">
      <c r="A45" s="8347" t="inlineStr">
        <is>
          <t>Cirugía Digestiva</t>
        </is>
      </c>
      <c r="B45" s="1946">
        <f>SUM(C45:T45)</f>
        <v/>
      </c>
      <c r="C45" s="2536" t="n"/>
      <c r="D45" s="2535" t="n"/>
      <c r="E45" s="2535" t="n"/>
      <c r="F45" s="2535" t="n"/>
      <c r="G45" s="2535" t="n"/>
      <c r="H45" s="2001" t="n"/>
      <c r="I45" s="2001" t="n"/>
      <c r="J45" s="2001" t="n"/>
      <c r="K45" s="2001" t="n"/>
      <c r="L45" s="2001" t="n"/>
      <c r="M45" s="2001" t="n"/>
      <c r="N45" s="2001" t="n"/>
      <c r="O45" s="2001" t="n"/>
      <c r="P45" s="2001" t="n"/>
      <c r="Q45" s="2001" t="n"/>
      <c r="R45" s="2001" t="n"/>
      <c r="S45" s="2001" t="n"/>
      <c r="T45" s="1929" t="n"/>
      <c r="U45" s="1173" t="n"/>
      <c r="V45" s="1172" t="n"/>
      <c r="W45" s="1929" t="n"/>
      <c r="X45" s="2534">
        <f>SUM(Y45+Z45+AA45)</f>
        <v/>
      </c>
      <c r="Y45" s="1172" t="n"/>
      <c r="Z45" s="2001" t="n"/>
      <c r="AA45" s="1100" t="n"/>
      <c r="AB45" s="1486">
        <f>SUM(AC45+AD45+AE45)</f>
        <v/>
      </c>
      <c r="AC45" s="1172" t="n"/>
      <c r="AD45" s="1174" t="n"/>
      <c r="AE45" s="1929" t="n"/>
      <c r="AF45" s="1222" t="n"/>
      <c r="AG45" s="886" t="n"/>
      <c r="AH45">
        <f>CB45&amp;CC45&amp;CD45</f>
        <v/>
      </c>
      <c r="CB45" s="90">
        <f>IF(V45+W45&lt;&gt;B45," *La suma por Sexo (Hombres + Mujeres) NO DEBEN ser diferente al Total","")</f>
        <v/>
      </c>
      <c r="CC45" s="90">
        <f>IF(AND(B45&gt;0,U45="")," *No olvide digitar la variable Beneficiarios. Digite CERO si no tiene",IF(U45&gt;B45," *La variable Beneficiarios No puede ser mayor al Total.",""))</f>
        <v/>
      </c>
      <c r="CD45" s="90">
        <f>IF((X45+AB45)&gt;B45," *La suma del Total de Consultas Nuevas según Origen NO DEBE ser MAYOR que el total de Consultas y Controles médicos.","")</f>
        <v/>
      </c>
      <c r="CM45" s="52">
        <f>IF(V45+W45&lt;&gt;B45,1,0)</f>
        <v/>
      </c>
      <c r="CN45" s="52">
        <f>IF(AND(B45&gt;0,U45=""),1,IF(U45&gt;B45,1,0))</f>
        <v/>
      </c>
      <c r="CO45" s="52">
        <f>IF((X45+AB45)&gt;B45,1,0)</f>
        <v/>
      </c>
    </row>
    <row r="46">
      <c r="A46" s="7749" t="inlineStr">
        <is>
          <t>Cirugía de Cabeza, Cuello y Maxilofacial</t>
        </is>
      </c>
      <c r="B46" s="1946">
        <f>SUM(C46:T46)</f>
        <v/>
      </c>
      <c r="C46" s="2536" t="n"/>
      <c r="D46" s="2535" t="n"/>
      <c r="E46" s="2535" t="n"/>
      <c r="F46" s="2535" t="n"/>
      <c r="G46" s="2535" t="n"/>
      <c r="H46" s="2001" t="n"/>
      <c r="I46" s="2001" t="n"/>
      <c r="J46" s="2001" t="n"/>
      <c r="K46" s="2001" t="n"/>
      <c r="L46" s="2001" t="n"/>
      <c r="M46" s="2001" t="n"/>
      <c r="N46" s="2001" t="n"/>
      <c r="O46" s="2001" t="n"/>
      <c r="P46" s="2001" t="n"/>
      <c r="Q46" s="2001" t="n"/>
      <c r="R46" s="2001" t="n"/>
      <c r="S46" s="2001" t="n"/>
      <c r="T46" s="1929" t="n"/>
      <c r="U46" s="1173" t="n"/>
      <c r="V46" s="1172" t="n"/>
      <c r="W46" s="1929" t="n"/>
      <c r="X46" s="2534">
        <f>SUM(Y46+Z46+AA46)</f>
        <v/>
      </c>
      <c r="Y46" s="1172" t="n"/>
      <c r="Z46" s="2001" t="n"/>
      <c r="AA46" s="1100" t="n"/>
      <c r="AB46" s="1486">
        <f>SUM(AC46+AD46+AE46)</f>
        <v/>
      </c>
      <c r="AC46" s="1172" t="n"/>
      <c r="AD46" s="1174" t="n"/>
      <c r="AE46" s="1929" t="n"/>
      <c r="AF46" s="1222" t="n"/>
      <c r="AG46" s="886" t="n"/>
      <c r="AH46">
        <f>CB46&amp;CC46&amp;CD46</f>
        <v/>
      </c>
      <c r="CB46" s="90">
        <f>IF(V46+W46&lt;&gt;B46," *La suma por Sexo (Hombres + Mujeres) NO DEBEN ser diferente al Total","")</f>
        <v/>
      </c>
      <c r="CC46" s="90">
        <f>IF(AND(B46&gt;0,U46="")," *No olvide digitar la variable Beneficiarios. Digite CERO si no tiene",IF(U46&gt;B46," *La variable Beneficiarios No puede ser mayor al Total.",""))</f>
        <v/>
      </c>
      <c r="CD46" s="90">
        <f>IF((X46+AB46)&gt;B46," *La suma del Total de Consultas Nuevas según Origen NO DEBE ser MAYOR que el total de Consultas y Controles médicos.","")</f>
        <v/>
      </c>
      <c r="CM46" s="52">
        <f>IF(V46+W46&lt;&gt;B46,1,0)</f>
        <v/>
      </c>
      <c r="CN46" s="52">
        <f>IF(AND(B46&gt;0,U46=""),1,IF(U46&gt;B46,1,0))</f>
        <v/>
      </c>
      <c r="CO46" s="52">
        <f>IF((X46+AB46)&gt;B46,1,0)</f>
        <v/>
      </c>
    </row>
    <row r="47">
      <c r="A47" s="1170" t="inlineStr">
        <is>
          <t xml:space="preserve">Cirugía Plástica y Reparadora </t>
        </is>
      </c>
      <c r="B47" s="1946">
        <f>SUM(C47:T47)</f>
        <v/>
      </c>
      <c r="C47" s="2536" t="n"/>
      <c r="D47" s="2535" t="n"/>
      <c r="E47" s="2535" t="n"/>
      <c r="F47" s="2535" t="n"/>
      <c r="G47" s="2535" t="n"/>
      <c r="H47" s="2535" t="n"/>
      <c r="I47" s="2535" t="n"/>
      <c r="J47" s="2535" t="n"/>
      <c r="K47" s="2535" t="n"/>
      <c r="L47" s="2535" t="n"/>
      <c r="M47" s="2001" t="n"/>
      <c r="N47" s="2001" t="n"/>
      <c r="O47" s="2001" t="n"/>
      <c r="P47" s="2001" t="n"/>
      <c r="Q47" s="2001" t="n"/>
      <c r="R47" s="2001" t="n"/>
      <c r="S47" s="2001" t="n"/>
      <c r="T47" s="1929" t="n"/>
      <c r="U47" s="1173" t="n"/>
      <c r="V47" s="1172" t="n"/>
      <c r="W47" s="1929" t="n"/>
      <c r="X47" s="2534">
        <f>SUM(Y47+Z47+AA47)</f>
        <v/>
      </c>
      <c r="Y47" s="1172" t="n"/>
      <c r="Z47" s="2001" t="n"/>
      <c r="AA47" s="1100" t="n"/>
      <c r="AB47" s="1486">
        <f>SUM(AC47+AD47+AE47)</f>
        <v/>
      </c>
      <c r="AC47" s="1172" t="n"/>
      <c r="AD47" s="1174" t="n"/>
      <c r="AE47" s="1929" t="n"/>
      <c r="AF47" s="1222" t="n"/>
      <c r="AG47" s="886" t="n"/>
      <c r="AH47">
        <f>CB47&amp;CC47&amp;CD47</f>
        <v/>
      </c>
      <c r="CB47" s="90">
        <f>IF(V47+W47&lt;&gt;B47," *La suma por Sexo (Hombres + Mujeres) NO DEBEN ser diferente al Total","")</f>
        <v/>
      </c>
      <c r="CC47" s="90">
        <f>IF(AND(B47&gt;0,U47="")," *No olvide digitar la variable Beneficiarios. Digite CERO si no tiene",IF(U47&gt;B47," *La variable Beneficiarios No puede ser mayor al Total.",""))</f>
        <v/>
      </c>
      <c r="CD47" s="90">
        <f>IF((X47+AB47)&gt;B47," *La suma del Total de Consultas Nuevas según Origen NO DEBE ser MAYOR que el total de Consultas y Controles médicos.","")</f>
        <v/>
      </c>
      <c r="CM47" s="52">
        <f>IF(V47+W47&lt;&gt;B47,1,0)</f>
        <v/>
      </c>
      <c r="CN47" s="52">
        <f>IF(AND(B47&gt;0,U47=""),1,IF(U47&gt;B47,1,0))</f>
        <v/>
      </c>
      <c r="CO47" s="52">
        <f>IF((X47+AB47)&gt;B47,1,0)</f>
        <v/>
      </c>
    </row>
    <row r="48">
      <c r="A48" s="1170" t="inlineStr">
        <is>
          <t>Medicina del Deporte</t>
        </is>
      </c>
      <c r="B48" s="1946">
        <f>SUM(C48:T48)</f>
        <v/>
      </c>
      <c r="C48" s="2536" t="n"/>
      <c r="D48" s="2535" t="n"/>
      <c r="E48" s="2535" t="n"/>
      <c r="F48" s="2535" t="n"/>
      <c r="G48" s="2535" t="n"/>
      <c r="H48" s="2001" t="n"/>
      <c r="I48" s="2001" t="n"/>
      <c r="J48" s="2001" t="n"/>
      <c r="K48" s="2001" t="n"/>
      <c r="L48" s="2001" t="n"/>
      <c r="M48" s="2001" t="n"/>
      <c r="N48" s="2001" t="n"/>
      <c r="O48" s="2001" t="n"/>
      <c r="P48" s="2001" t="n"/>
      <c r="Q48" s="2001" t="n"/>
      <c r="R48" s="2001" t="n"/>
      <c r="S48" s="2001" t="n"/>
      <c r="T48" s="1929" t="n"/>
      <c r="U48" s="1186" t="n"/>
      <c r="V48" s="1935" t="n"/>
      <c r="W48" s="792" t="n"/>
      <c r="X48" s="2533">
        <f>SUM(Y48+Z48+AA48)</f>
        <v/>
      </c>
      <c r="Y48" s="1172" t="n"/>
      <c r="Z48" s="2001" t="n"/>
      <c r="AA48" s="1100" t="n"/>
      <c r="AB48" s="1486">
        <f>SUM(AC48+AD48+AE48)</f>
        <v/>
      </c>
      <c r="AC48" s="1172" t="n"/>
      <c r="AD48" s="1174" t="n"/>
      <c r="AE48" s="1929" t="n"/>
      <c r="AF48" s="1222" t="n"/>
      <c r="AG48" s="886" t="n"/>
      <c r="AH48">
        <f>CB48&amp;CC48&amp;CD48</f>
        <v/>
      </c>
      <c r="CB48" s="90">
        <f>IF(V48+W48&lt;&gt;B48," *La suma por Sexo (Hombres + Mujeres) NO DEBEN ser diferente al Total","")</f>
        <v/>
      </c>
      <c r="CC48" s="90">
        <f>IF(AND(B48&gt;0,U48="")," *No olvide digitar la variable Beneficiarios. Digite CERO si no tiene",IF(U48&gt;B48," *La variable Beneficiarios No puede ser mayor al Total.",""))</f>
        <v/>
      </c>
      <c r="CD48" s="90">
        <f>IF((X48+AB48)&gt;B48," *La suma del Total de Consultas Nuevas según Origen NO DEBE ser MAYOR que el total de Consultas y Controles médicos.","")</f>
        <v/>
      </c>
      <c r="CM48" s="52">
        <f>IF(V48+W48&lt;&gt;B48,1,0)</f>
        <v/>
      </c>
      <c r="CN48" s="52">
        <f>IF(AND(B48&gt;0,U48=""),1,IF(U48&gt;B48,1,0))</f>
        <v/>
      </c>
      <c r="CO48" s="52">
        <f>IF((X48+AB48)&gt;B48,1,0)</f>
        <v/>
      </c>
    </row>
    <row r="49">
      <c r="A49" s="1170" t="inlineStr">
        <is>
          <t>Coloproctología</t>
        </is>
      </c>
      <c r="B49" s="1946">
        <f>SUM(C49:T49)</f>
        <v/>
      </c>
      <c r="C49" s="1172" t="n"/>
      <c r="D49" s="2001" t="n"/>
      <c r="E49" s="2001" t="n"/>
      <c r="F49" s="2001" t="n"/>
      <c r="G49" s="2001" t="n"/>
      <c r="H49" s="2001" t="n"/>
      <c r="I49" s="2001" t="n"/>
      <c r="J49" s="2001" t="n"/>
      <c r="K49" s="2001" t="n"/>
      <c r="L49" s="2001" t="n"/>
      <c r="M49" s="2001" t="n"/>
      <c r="N49" s="2001" t="n"/>
      <c r="O49" s="2001" t="n"/>
      <c r="P49" s="2001" t="n"/>
      <c r="Q49" s="2001" t="n"/>
      <c r="R49" s="2001" t="n"/>
      <c r="S49" s="2001" t="n"/>
      <c r="T49" s="1929" t="n"/>
      <c r="U49" s="1173" t="n"/>
      <c r="V49" s="1172" t="n"/>
      <c r="W49" s="1929" t="n"/>
      <c r="X49" s="2534">
        <f>SUM(Y49+Z49+AA49)</f>
        <v/>
      </c>
      <c r="Y49" s="1172" t="n"/>
      <c r="Z49" s="2001" t="n"/>
      <c r="AA49" s="1100" t="n"/>
      <c r="AB49" s="1486">
        <f>SUM(AC49+AD49+AE49)</f>
        <v/>
      </c>
      <c r="AC49" s="1172" t="n"/>
      <c r="AD49" s="1174" t="n"/>
      <c r="AE49" s="1929" t="n"/>
      <c r="AF49" s="1222" t="n"/>
      <c r="AG49" s="886" t="n"/>
      <c r="AH49">
        <f>CB49&amp;CC49&amp;CD49</f>
        <v/>
      </c>
      <c r="CB49" s="90">
        <f>IF(V49+W49&lt;&gt;B49," *La suma por Sexo (Hombres + Mujeres) NO DEBEN ser diferente al Total","")</f>
        <v/>
      </c>
      <c r="CC49" s="90">
        <f>IF(AND(B49&gt;0,U49="")," *No olvide digitar la variable Beneficiarios. Digite CERO si no tiene",IF(U49&gt;B49," *La variable Beneficiarios No puede ser mayor al Total.",""))</f>
        <v/>
      </c>
      <c r="CD49" s="90">
        <f>IF((X49+AB49)&gt;B49," *La suma del Total de Consultas Nuevas según Origen NO DEBE ser MAYOR que el total de Consultas y Controles médicos.","")</f>
        <v/>
      </c>
      <c r="CM49" s="52">
        <f>IF(V49+W49&lt;&gt;B49,1,0)</f>
        <v/>
      </c>
      <c r="CN49" s="52">
        <f>IF(AND(B49&gt;0,U49=""),1,IF(U49&gt;B49,1,0))</f>
        <v/>
      </c>
      <c r="CO49" s="52">
        <f>IF((X49+AB49)&gt;B49,1,0)</f>
        <v/>
      </c>
    </row>
    <row r="50">
      <c r="A50" s="1170" t="inlineStr">
        <is>
          <t>Cirugía Tórax</t>
        </is>
      </c>
      <c r="B50" s="1946">
        <f>SUM(C50:T50)</f>
        <v/>
      </c>
      <c r="C50" s="1172" t="n"/>
      <c r="D50" s="2001" t="n"/>
      <c r="E50" s="2001" t="n"/>
      <c r="F50" s="2001" t="n"/>
      <c r="G50" s="2001" t="n"/>
      <c r="H50" s="2001" t="n"/>
      <c r="I50" s="2001" t="n"/>
      <c r="J50" s="2001" t="n"/>
      <c r="K50" s="2001" t="n"/>
      <c r="L50" s="2001" t="n"/>
      <c r="M50" s="2001" t="n"/>
      <c r="N50" s="2001" t="n"/>
      <c r="O50" s="2001" t="n"/>
      <c r="P50" s="2001" t="n"/>
      <c r="Q50" s="2001" t="n"/>
      <c r="R50" s="2001" t="n"/>
      <c r="S50" s="2001" t="n"/>
      <c r="T50" s="1929" t="n"/>
      <c r="U50" s="1173" t="n"/>
      <c r="V50" s="1172" t="n"/>
      <c r="W50" s="1929" t="n"/>
      <c r="X50" s="2534">
        <f>SUM(Y50+Z50+AA50)</f>
        <v/>
      </c>
      <c r="Y50" s="1172" t="n"/>
      <c r="Z50" s="2001" t="n"/>
      <c r="AA50" s="1100" t="n"/>
      <c r="AB50" s="1486">
        <f>SUM(AC50+AD50+AE50)</f>
        <v/>
      </c>
      <c r="AC50" s="1172" t="n"/>
      <c r="AD50" s="1174" t="n"/>
      <c r="AE50" s="1929" t="n"/>
      <c r="AF50" s="1222" t="n"/>
      <c r="AG50" s="886" t="n"/>
      <c r="AH50">
        <f>CB50&amp;CC50&amp;CD50</f>
        <v/>
      </c>
      <c r="CB50" s="90">
        <f>IF(V50+W50&lt;&gt;B50," *La suma por Sexo (Hombres + Mujeres) NO DEBEN ser diferente al Total","")</f>
        <v/>
      </c>
      <c r="CC50" s="90">
        <f>IF(AND(B50&gt;0,U50="")," *No olvide digitar la variable Beneficiarios. Digite CERO si no tiene",IF(U50&gt;B50," *La variable Beneficiarios No puede ser mayor al Total.",""))</f>
        <v/>
      </c>
      <c r="CD50" s="90">
        <f>IF((X50+AB50)&gt;B50," *La suma del Total de Consultas Nuevas según Origen NO DEBE ser MAYOR que el total de Consultas y Controles médicos.","")</f>
        <v/>
      </c>
      <c r="CM50" s="52">
        <f>IF(V50+W50&lt;&gt;B50,1,0)</f>
        <v/>
      </c>
      <c r="CN50" s="52">
        <f>IF(AND(B50&gt;0,U50=""),1,IF(U50&gt;B50,1,0))</f>
        <v/>
      </c>
      <c r="CO50" s="52">
        <f>IF((X50+AB50)&gt;B50,1,0)</f>
        <v/>
      </c>
    </row>
    <row r="51">
      <c r="A51" s="1170" t="inlineStr">
        <is>
          <t>Cirugía vascular periférica</t>
        </is>
      </c>
      <c r="B51" s="1946">
        <f>SUM(C51:T51)</f>
        <v/>
      </c>
      <c r="C51" s="1172" t="n"/>
      <c r="D51" s="2001" t="n"/>
      <c r="E51" s="2001" t="n"/>
      <c r="F51" s="2001" t="n"/>
      <c r="G51" s="2001" t="n"/>
      <c r="H51" s="2001" t="n"/>
      <c r="I51" s="2001" t="n"/>
      <c r="J51" s="2001" t="n"/>
      <c r="K51" s="2001" t="n"/>
      <c r="L51" s="2001" t="n"/>
      <c r="M51" s="2001" t="n"/>
      <c r="N51" s="2001" t="n"/>
      <c r="O51" s="2001" t="n"/>
      <c r="P51" s="2001" t="n"/>
      <c r="Q51" s="2001" t="n"/>
      <c r="R51" s="2001" t="n"/>
      <c r="S51" s="2001" t="n"/>
      <c r="T51" s="1929" t="n"/>
      <c r="U51" s="1173" t="n"/>
      <c r="V51" s="1172" t="n"/>
      <c r="W51" s="1929" t="n"/>
      <c r="X51" s="2534">
        <f>SUM(Y51+Z51+AA51)</f>
        <v/>
      </c>
      <c r="Y51" s="1172" t="n"/>
      <c r="Z51" s="2001" t="n"/>
      <c r="AA51" s="1100" t="n"/>
      <c r="AB51" s="1486">
        <f>SUM(AC51+AD51+AE51)</f>
        <v/>
      </c>
      <c r="AC51" s="1172" t="n"/>
      <c r="AD51" s="1174" t="n"/>
      <c r="AE51" s="1929" t="n"/>
      <c r="AF51" s="1222" t="n"/>
      <c r="AG51" s="886" t="n"/>
      <c r="AH51">
        <f>CB51&amp;CC51&amp;CD51</f>
        <v/>
      </c>
      <c r="CB51" s="90">
        <f>IF(V51+W51&lt;&gt;B51," *La suma por Sexo (Hombres + Mujeres) NO DEBEN ser diferente al Total","")</f>
        <v/>
      </c>
      <c r="CC51" s="90">
        <f>IF(AND(B51&gt;0,U51="")," *No olvide digitar la variable Beneficiarios. Digite CERO si no tiene",IF(U51&gt;B51," *La variable Beneficiarios No puede ser mayor al Total.",""))</f>
        <v/>
      </c>
      <c r="CD51" s="90">
        <f>IF((X51+AB51)&gt;B51," *La suma del Total de Consultas Nuevas según Origen NO DEBE ser MAYOR que el total de Consultas y Controles médicos.","")</f>
        <v/>
      </c>
      <c r="CM51" s="52">
        <f>IF(V51+W51&lt;&gt;B51,1,0)</f>
        <v/>
      </c>
      <c r="CN51" s="52">
        <f>IF(AND(B51&gt;0,U51=""),1,IF(U51&gt;B51,1,0))</f>
        <v/>
      </c>
      <c r="CO51" s="52">
        <f>IF((X51+AB51)&gt;B51,1,0)</f>
        <v/>
      </c>
    </row>
    <row r="52">
      <c r="A52" s="1170" t="inlineStr">
        <is>
          <t>Neurocirugía</t>
        </is>
      </c>
      <c r="B52" s="1946">
        <f>SUM(C52:T52)</f>
        <v/>
      </c>
      <c r="C52" s="1172" t="n"/>
      <c r="D52" s="2001" t="n"/>
      <c r="E52" s="2001" t="n"/>
      <c r="F52" s="2001" t="n"/>
      <c r="G52" s="2001" t="n"/>
      <c r="H52" s="2001" t="n"/>
      <c r="I52" s="2001" t="n"/>
      <c r="J52" s="2001" t="n"/>
      <c r="K52" s="2001" t="n"/>
      <c r="L52" s="2001" t="n"/>
      <c r="M52" s="2001" t="n"/>
      <c r="N52" s="2001" t="n"/>
      <c r="O52" s="2001" t="n"/>
      <c r="P52" s="2001" t="n"/>
      <c r="Q52" s="2001" t="n"/>
      <c r="R52" s="2001" t="n"/>
      <c r="S52" s="2001" t="n"/>
      <c r="T52" s="1929" t="n"/>
      <c r="U52" s="1173" t="n"/>
      <c r="V52" s="1172" t="n"/>
      <c r="W52" s="1929" t="n"/>
      <c r="X52" s="2534">
        <f>SUM(Y52+Z52+AA52)</f>
        <v/>
      </c>
      <c r="Y52" s="1172" t="n"/>
      <c r="Z52" s="2001" t="n"/>
      <c r="AA52" s="1100" t="n"/>
      <c r="AB52" s="1486">
        <f>SUM(AC52+AD52+AE52)</f>
        <v/>
      </c>
      <c r="AC52" s="1172" t="n"/>
      <c r="AD52" s="1174" t="n"/>
      <c r="AE52" s="1929" t="n"/>
      <c r="AF52" s="1222" t="n"/>
      <c r="AG52" s="886" t="n"/>
      <c r="AH52">
        <f>CB52&amp;CC52&amp;CD52</f>
        <v/>
      </c>
      <c r="CB52" s="90">
        <f>IF(V52+W52&lt;&gt;B52," *La suma por Sexo (Hombres + Mujeres) NO DEBEN ser diferente al Total","")</f>
        <v/>
      </c>
      <c r="CC52" s="90">
        <f>IF(AND(B52&gt;0,U52="")," *No olvide digitar la variable Beneficiarios. Digite CERO si no tiene",IF(U52&gt;B52," *La variable Beneficiarios No puede ser mayor al Total.",""))</f>
        <v/>
      </c>
      <c r="CD52" s="90">
        <f>IF((X52+AB52)&gt;B52," *La suma del Total de Consultas Nuevas según Origen NO DEBE ser MAYOR que el total de Consultas y Controles médicos.","")</f>
        <v/>
      </c>
      <c r="CM52" s="52">
        <f>IF(V52+W52&lt;&gt;B52,1,0)</f>
        <v/>
      </c>
      <c r="CN52" s="52">
        <f>IF(AND(B52&gt;0,U52=""),1,IF(U52&gt;B52,1,0))</f>
        <v/>
      </c>
      <c r="CO52" s="52">
        <f>IF((X52+AB52)&gt;B52,1,0)</f>
        <v/>
      </c>
    </row>
    <row r="53">
      <c r="A53" s="1170" t="inlineStr">
        <is>
          <t>Cirugía Cardiovascular</t>
        </is>
      </c>
      <c r="B53" s="1946">
        <f>SUM(C53:T53)</f>
        <v/>
      </c>
      <c r="C53" s="1172" t="n"/>
      <c r="D53" s="2001" t="n"/>
      <c r="E53" s="2001" t="n"/>
      <c r="F53" s="2001" t="n"/>
      <c r="G53" s="2001" t="n"/>
      <c r="H53" s="2001" t="n"/>
      <c r="I53" s="2001" t="n"/>
      <c r="J53" s="2001" t="n"/>
      <c r="K53" s="2001" t="n"/>
      <c r="L53" s="2001" t="n"/>
      <c r="M53" s="2001" t="n"/>
      <c r="N53" s="2001" t="n"/>
      <c r="O53" s="2001" t="n"/>
      <c r="P53" s="2001" t="n"/>
      <c r="Q53" s="2001" t="n"/>
      <c r="R53" s="2001" t="n"/>
      <c r="S53" s="2001" t="n"/>
      <c r="T53" s="1929" t="n"/>
      <c r="U53" s="1173" t="n"/>
      <c r="V53" s="1172" t="n"/>
      <c r="W53" s="1929" t="n"/>
      <c r="X53" s="2534">
        <f>SUM(Y53+Z53+AA53)</f>
        <v/>
      </c>
      <c r="Y53" s="1172" t="n"/>
      <c r="Z53" s="2001" t="n"/>
      <c r="AA53" s="1100" t="n"/>
      <c r="AB53" s="1486">
        <f>SUM(AC53+AD53+AE53)</f>
        <v/>
      </c>
      <c r="AC53" s="1172" t="n"/>
      <c r="AD53" s="1174" t="n"/>
      <c r="AE53" s="1929" t="n"/>
      <c r="AF53" s="1222" t="n"/>
      <c r="AG53" s="886" t="n"/>
      <c r="AH53">
        <f>CB53&amp;CC53&amp;CD53</f>
        <v/>
      </c>
      <c r="CB53" s="90">
        <f>IF(V53+W53&lt;&gt;B53," *La suma por Sexo (Hombres + Mujeres) NO DEBEN ser diferente al Total","")</f>
        <v/>
      </c>
      <c r="CC53" s="90">
        <f>IF(AND(B53&gt;0,U53="")," *No olvide digitar la variable Beneficiarios. Digite CERO si no tiene",IF(U53&gt;B53," *La variable Beneficiarios No puede ser mayor al Total.",""))</f>
        <v/>
      </c>
      <c r="CD53" s="90">
        <f>IF((X53+AB53)&gt;B53," *La suma del Total de Consultas Nuevas según Origen NO DEBE ser MAYOR que el total de Consultas y Controles médicos.","")</f>
        <v/>
      </c>
      <c r="CM53" s="52">
        <f>IF(V53+W53&lt;&gt;B53,1,0)</f>
        <v/>
      </c>
      <c r="CN53" s="52">
        <f>IF(AND(B53&gt;0,U53=""),1,IF(U53&gt;B53,1,0))</f>
        <v/>
      </c>
      <c r="CO53" s="52">
        <f>IF((X53+AB53)&gt;B53,1,0)</f>
        <v/>
      </c>
    </row>
    <row r="54">
      <c r="A54" s="8320" t="inlineStr">
        <is>
          <t>Anestesiología</t>
        </is>
      </c>
      <c r="B54" s="1946">
        <f>SUM(C54:T54)</f>
        <v/>
      </c>
      <c r="C54" s="1172" t="n"/>
      <c r="D54" s="2001" t="n"/>
      <c r="E54" s="2001" t="n"/>
      <c r="F54" s="2001" t="n"/>
      <c r="G54" s="2001" t="n"/>
      <c r="H54" s="2001" t="n"/>
      <c r="I54" s="2001" t="n"/>
      <c r="J54" s="2001" t="n"/>
      <c r="K54" s="2001" t="n"/>
      <c r="L54" s="2001" t="n"/>
      <c r="M54" s="2001" t="n"/>
      <c r="N54" s="2001" t="n"/>
      <c r="O54" s="2001" t="n"/>
      <c r="P54" s="2001" t="n"/>
      <c r="Q54" s="2001" t="n"/>
      <c r="R54" s="2001" t="n"/>
      <c r="S54" s="2001" t="n"/>
      <c r="T54" s="1929" t="n"/>
      <c r="U54" s="1173" t="n"/>
      <c r="V54" s="1172" t="n"/>
      <c r="W54" s="1929" t="n"/>
      <c r="X54" s="2534">
        <f>SUM(Y54+Z54+AA54)</f>
        <v/>
      </c>
      <c r="Y54" s="1172" t="n"/>
      <c r="Z54" s="2001" t="n"/>
      <c r="AA54" s="1100" t="n"/>
      <c r="AB54" s="1486">
        <f>SUM(AC54+AD54+AE54)</f>
        <v/>
      </c>
      <c r="AC54" s="1172" t="n"/>
      <c r="AD54" s="1174" t="n"/>
      <c r="AE54" s="1929" t="n"/>
      <c r="AF54" s="1222" t="n"/>
      <c r="AG54" s="886" t="n"/>
      <c r="AH54">
        <f>CB54&amp;CC54&amp;CD54</f>
        <v/>
      </c>
      <c r="CB54" s="90">
        <f>IF(V54+W54&lt;&gt;B54," *La suma por Sexo (Hombres + Mujeres) NO DEBEN ser diferente al Total","")</f>
        <v/>
      </c>
      <c r="CC54" s="90">
        <f>IF(AND(B54&gt;0,U54="")," *No olvide digitar la variable Beneficiarios. Digite CERO si no tiene",IF(U54&gt;B54," *La variable Beneficiarios No puede ser mayor al Total.",""))</f>
        <v/>
      </c>
      <c r="CD54" s="90">
        <f>IF((X54+AB54)&gt;B54," *La suma del Total de Consultas Nuevas según Origen NO DEBE ser MAYOR que el total de Consultas y Controles médicos.","")</f>
        <v/>
      </c>
      <c r="CM54" s="52">
        <f>IF(V54+W54&lt;&gt;B54,1,0)</f>
        <v/>
      </c>
      <c r="CN54" s="52">
        <f>IF(AND(B54&gt;0,U54=""),1,IF(U54&gt;B54,1,0))</f>
        <v/>
      </c>
      <c r="CO54" s="52">
        <f>IF((X54+AB54)&gt;B54,1,0)</f>
        <v/>
      </c>
    </row>
    <row r="55">
      <c r="A55" s="7749" t="inlineStr">
        <is>
          <t>Obstetricia y Ginecología</t>
        </is>
      </c>
      <c r="B55" s="1946">
        <f>SUM(C55:T55)</f>
        <v/>
      </c>
      <c r="C55" s="1172" t="n"/>
      <c r="D55" s="2001" t="n"/>
      <c r="E55" s="2001" t="n"/>
      <c r="F55" s="2001" t="n"/>
      <c r="G55" s="2001" t="n"/>
      <c r="H55" s="2001" t="n"/>
      <c r="I55" s="2001" t="n"/>
      <c r="J55" s="2001" t="n"/>
      <c r="K55" s="2001" t="n"/>
      <c r="L55" s="2001" t="n"/>
      <c r="M55" s="2001" t="n"/>
      <c r="N55" s="2001" t="n"/>
      <c r="O55" s="2001" t="n"/>
      <c r="P55" s="2001" t="n"/>
      <c r="Q55" s="2001" t="n"/>
      <c r="R55" s="2001" t="n"/>
      <c r="S55" s="2001" t="n"/>
      <c r="T55" s="1929" t="n"/>
      <c r="U55" s="1173" t="n"/>
      <c r="V55" s="1172" t="n"/>
      <c r="W55" s="1929" t="n"/>
      <c r="X55" s="2534">
        <f>SUM(Y55+Z55+AA55)</f>
        <v/>
      </c>
      <c r="Y55" s="1172" t="n"/>
      <c r="Z55" s="2001" t="n"/>
      <c r="AA55" s="1100" t="n"/>
      <c r="AB55" s="1486">
        <f>SUM(AC55+AD55+AE55)</f>
        <v/>
      </c>
      <c r="AC55" s="1172" t="n"/>
      <c r="AD55" s="1174" t="n"/>
      <c r="AE55" s="1929" t="n"/>
      <c r="AF55" s="1222" t="n"/>
      <c r="AG55" s="886" t="n"/>
      <c r="AH55">
        <f>CB55&amp;CC55&amp;CD55</f>
        <v/>
      </c>
      <c r="CB55" s="90">
        <f>IF(V55+W55&lt;&gt;B55," *La suma por Sexo (Hombres + Mujeres) NO DEBEN ser diferente al Total","")</f>
        <v/>
      </c>
      <c r="CC55" s="90">
        <f>IF(AND(B55&gt;0,U55="")," *No olvide digitar la variable Beneficiarios. Digite CERO si no tiene",IF(U55&gt;B55," *La variable Beneficiarios No puede ser mayor al Total.",""))</f>
        <v/>
      </c>
      <c r="CD55" s="90">
        <f>IF((X55+AB55)&gt;B55," *La suma del Total de Consultas Nuevas según Origen NO DEBE ser MAYOR que el total de Consultas y Controles médicos.","")</f>
        <v/>
      </c>
      <c r="CM55" s="52">
        <f>IF(V55+W55&lt;&gt;B55,1,0)</f>
        <v/>
      </c>
      <c r="CN55" s="52">
        <f>IF(AND(B55&gt;0,U55=""),1,IF(U55&gt;B55,1,0))</f>
        <v/>
      </c>
      <c r="CO55" s="52">
        <f>IF((X55+AB55)&gt;B55,1,0)</f>
        <v/>
      </c>
    </row>
    <row r="56">
      <c r="A56" s="7749" t="inlineStr">
        <is>
          <t xml:space="preserve">Ginecología oncológica </t>
        </is>
      </c>
      <c r="B56" s="1946">
        <f>SUM(C56:T56)</f>
        <v/>
      </c>
      <c r="C56" s="1172" t="n"/>
      <c r="D56" s="2001" t="n"/>
      <c r="E56" s="2001" t="n"/>
      <c r="F56" s="2001" t="n"/>
      <c r="G56" s="2001" t="n"/>
      <c r="H56" s="2001" t="n"/>
      <c r="I56" s="2001" t="n"/>
      <c r="J56" s="2001" t="n"/>
      <c r="K56" s="2001" t="n"/>
      <c r="L56" s="2001" t="n"/>
      <c r="M56" s="2001" t="n"/>
      <c r="N56" s="2001" t="n"/>
      <c r="O56" s="2001" t="n"/>
      <c r="P56" s="2001" t="n"/>
      <c r="Q56" s="2001" t="n"/>
      <c r="R56" s="2001" t="n"/>
      <c r="S56" s="2001" t="n"/>
      <c r="T56" s="1929" t="n"/>
      <c r="U56" s="1173" t="n"/>
      <c r="V56" s="1172" t="n"/>
      <c r="W56" s="1929" t="n"/>
      <c r="X56" s="2534">
        <f>SUM(Y56+Z56+AA56)</f>
        <v/>
      </c>
      <c r="Y56" s="1172" t="n"/>
      <c r="Z56" s="2001" t="n"/>
      <c r="AA56" s="1100" t="n"/>
      <c r="AB56" s="1486">
        <f>SUM(AC56+AD56+AE56)</f>
        <v/>
      </c>
      <c r="AC56" s="1172" t="n"/>
      <c r="AD56" s="1174" t="n"/>
      <c r="AE56" s="1929" t="n"/>
      <c r="AF56" s="1222" t="n"/>
      <c r="AG56" s="886" t="n"/>
      <c r="AH56">
        <f>CB56&amp;CC56&amp;CD56</f>
        <v/>
      </c>
      <c r="CB56" s="90">
        <f>IF(V56+W56&lt;&gt;B56," *La suma por Sexo (Hombres + Mujeres) NO DEBEN ser diferente al Total","")</f>
        <v/>
      </c>
      <c r="CC56" s="90">
        <f>IF(AND(B56&gt;0,U56="")," *No olvide digitar la variable Beneficiarios. Digite CERO si no tiene",IF(U56&gt;B56," *La variable Beneficiarios No puede ser mayor al Total.",""))</f>
        <v/>
      </c>
      <c r="CD56" s="90">
        <f>IF((X56+AB56)&gt;B56," *La suma del Total de Consultas Nuevas según Origen NO DEBE ser MAYOR que el total de Consultas y Controles médicos.","")</f>
        <v/>
      </c>
      <c r="CM56" s="52">
        <f>IF(V56+W56&lt;&gt;B56,1,0)</f>
        <v/>
      </c>
      <c r="CN56" s="52">
        <f>IF(AND(B56&gt;0,U56=""),1,IF(U56&gt;B56,1,0))</f>
        <v/>
      </c>
      <c r="CO56" s="52">
        <f>IF((X56+AB56)&gt;B56,1,0)</f>
        <v/>
      </c>
    </row>
    <row r="57">
      <c r="A57" s="288" t="inlineStr">
        <is>
          <t>Neurorradiologia</t>
        </is>
      </c>
      <c r="B57" s="1946">
        <f>SUM(C57:T57)</f>
        <v/>
      </c>
      <c r="C57" s="1172" t="n"/>
      <c r="D57" s="2001" t="n"/>
      <c r="E57" s="2001" t="n"/>
      <c r="F57" s="2001" t="n"/>
      <c r="G57" s="2001" t="n"/>
      <c r="H57" s="2001" t="n"/>
      <c r="I57" s="2001" t="n"/>
      <c r="J57" s="2001" t="n"/>
      <c r="K57" s="2001" t="n"/>
      <c r="L57" s="2001" t="n"/>
      <c r="M57" s="2001" t="n"/>
      <c r="N57" s="2001" t="n"/>
      <c r="O57" s="2001" t="n"/>
      <c r="P57" s="2001" t="n"/>
      <c r="Q57" s="2001" t="n"/>
      <c r="R57" s="2001" t="n"/>
      <c r="S57" s="2001" t="n"/>
      <c r="T57" s="1929" t="n"/>
      <c r="U57" s="1173" t="n"/>
      <c r="V57" s="1172" t="n"/>
      <c r="W57" s="1929" t="n"/>
      <c r="X57" s="2534">
        <f>SUM(Y57+Z57+AA57)</f>
        <v/>
      </c>
      <c r="Y57" s="1172" t="n"/>
      <c r="Z57" s="2001" t="n"/>
      <c r="AA57" s="1100" t="n"/>
      <c r="AB57" s="1486">
        <f>SUM(AC57+AD57+AE57)</f>
        <v/>
      </c>
      <c r="AC57" s="1172" t="n"/>
      <c r="AD57" s="1174" t="n"/>
      <c r="AE57" s="1929" t="n"/>
      <c r="AF57" s="1222" t="n"/>
      <c r="AG57" s="886" t="n"/>
      <c r="AH57">
        <f>CB57&amp;CC57&amp;CD57</f>
        <v/>
      </c>
      <c r="CB57" s="90">
        <f>IF(V57+W57&lt;&gt;B57," *La suma por Sexo (Hombres + Mujeres) NO DEBEN ser diferente al Total","")</f>
        <v/>
      </c>
      <c r="CC57" s="90">
        <f>IF(AND(B57&gt;0,U57="")," *No olvide digitar la variable Beneficiarios. Digite CERO si no tiene",IF(U57&gt;B57," *La variable Beneficiarios No puede ser mayor al Total.",""))</f>
        <v/>
      </c>
      <c r="CD57" s="90">
        <f>IF((X57+AB57)&gt;B57," *La suma del Total de Consultas Nuevas según Origen NO DEBE ser MAYOR que el total de Consultas y Controles médicos.","")</f>
        <v/>
      </c>
      <c r="CM57" s="52">
        <f>IF(V57+W57&lt;&gt;B57,1,0)</f>
        <v/>
      </c>
      <c r="CN57" s="52">
        <f>IF(AND(B57&gt;0,U57=""),1,IF(U57&gt;B57,1,0))</f>
        <v/>
      </c>
      <c r="CO57" s="52">
        <f>IF((X57+AB57)&gt;B57,1,0)</f>
        <v/>
      </c>
    </row>
    <row r="58">
      <c r="A58" s="1170" t="inlineStr">
        <is>
          <t>Oftalmología</t>
        </is>
      </c>
      <c r="B58" s="1946">
        <f>SUM(C58:T58)</f>
        <v/>
      </c>
      <c r="C58" s="1172" t="n"/>
      <c r="D58" s="2001" t="n"/>
      <c r="E58" s="2001" t="n"/>
      <c r="F58" s="2001" t="n"/>
      <c r="G58" s="2001" t="n"/>
      <c r="H58" s="2001" t="n"/>
      <c r="I58" s="2001" t="n"/>
      <c r="J58" s="2001" t="n"/>
      <c r="K58" s="2001" t="n"/>
      <c r="L58" s="2001" t="n"/>
      <c r="M58" s="2001" t="n"/>
      <c r="N58" s="2001" t="n"/>
      <c r="O58" s="2001" t="n"/>
      <c r="P58" s="2001" t="n"/>
      <c r="Q58" s="2001" t="n"/>
      <c r="R58" s="2001" t="n"/>
      <c r="S58" s="2001" t="n"/>
      <c r="T58" s="1929" t="n"/>
      <c r="U58" s="1173" t="n"/>
      <c r="V58" s="1172" t="n"/>
      <c r="W58" s="1929" t="n"/>
      <c r="X58" s="2534">
        <f>SUM(Y58+Z58+AA58)</f>
        <v/>
      </c>
      <c r="Y58" s="1172" t="n"/>
      <c r="Z58" s="2001" t="n"/>
      <c r="AA58" s="1100" t="n"/>
      <c r="AB58" s="1486">
        <f>SUM(AC58+AD58+AE58)</f>
        <v/>
      </c>
      <c r="AC58" s="1172" t="n"/>
      <c r="AD58" s="1174" t="n"/>
      <c r="AE58" s="1929" t="n"/>
      <c r="AF58" s="1222" t="n"/>
      <c r="AG58" s="886" t="n"/>
      <c r="AH58">
        <f>CB58&amp;CC58&amp;CD58</f>
        <v/>
      </c>
      <c r="CB58" s="90">
        <f>IF(V58+W58&lt;&gt;B58," *La suma por Sexo (Hombres + Mujeres) NO DEBEN ser diferente al Total","")</f>
        <v/>
      </c>
      <c r="CC58" s="90">
        <f>IF(AND(B58&gt;0,U58="")," *No olvide digitar la variable Beneficiarios. Digite CERO si no tiene",IF(U58&gt;B58," *La variable Beneficiarios No puede ser mayor al Total.",""))</f>
        <v/>
      </c>
      <c r="CD58" s="90">
        <f>IF((X58+AB58)&gt;B58," *La suma del Total de Consultas Nuevas según Origen NO DEBE ser MAYOR que el total de Consultas y Controles médicos.","")</f>
        <v/>
      </c>
      <c r="CM58" s="52">
        <f>IF(V58+W58&lt;&gt;B58,1,0)</f>
        <v/>
      </c>
      <c r="CN58" s="52">
        <f>IF(AND(B58&gt;0,U58=""),1,IF(U58&gt;B58,1,0))</f>
        <v/>
      </c>
      <c r="CO58" s="52">
        <f>IF((X58+AB58)&gt;B58,1,0)</f>
        <v/>
      </c>
    </row>
    <row r="59">
      <c r="A59" s="1170" t="inlineStr">
        <is>
          <t>Otorrinolaringología</t>
        </is>
      </c>
      <c r="B59" s="1946">
        <f>SUM(C59:T59)</f>
        <v/>
      </c>
      <c r="C59" s="1172" t="n"/>
      <c r="D59" s="2001" t="n"/>
      <c r="E59" s="2001" t="n"/>
      <c r="F59" s="2001" t="n"/>
      <c r="G59" s="2001" t="n"/>
      <c r="H59" s="2001" t="n"/>
      <c r="I59" s="2001" t="n"/>
      <c r="J59" s="2001" t="n"/>
      <c r="K59" s="2001" t="n"/>
      <c r="L59" s="2001" t="n"/>
      <c r="M59" s="2001" t="n"/>
      <c r="N59" s="2001" t="n"/>
      <c r="O59" s="2001" t="n"/>
      <c r="P59" s="2001" t="n"/>
      <c r="Q59" s="2001" t="n"/>
      <c r="R59" s="2001" t="n"/>
      <c r="S59" s="2001" t="n"/>
      <c r="T59" s="1929" t="n"/>
      <c r="U59" s="1173" t="n"/>
      <c r="V59" s="1172" t="n"/>
      <c r="W59" s="1929" t="n"/>
      <c r="X59" s="2534">
        <f>SUM(Y59+Z59+AA59)</f>
        <v/>
      </c>
      <c r="Y59" s="1172" t="n"/>
      <c r="Z59" s="2001" t="n"/>
      <c r="AA59" s="1100" t="n"/>
      <c r="AB59" s="1486">
        <f>SUM(AC59+AD59+AE59)</f>
        <v/>
      </c>
      <c r="AC59" s="1172" t="n"/>
      <c r="AD59" s="1174" t="n"/>
      <c r="AE59" s="1929" t="n"/>
      <c r="AF59" s="1222" t="n"/>
      <c r="AG59" s="886" t="n"/>
      <c r="AH59">
        <f>CB59&amp;CC59&amp;CD59</f>
        <v/>
      </c>
      <c r="CB59" s="90">
        <f>IF(V59+W59&lt;&gt;B59," *La suma por Sexo (Hombres + Mujeres) NO DEBEN ser diferente al Total","")</f>
        <v/>
      </c>
      <c r="CC59" s="90">
        <f>IF(AND(B59&gt;0,U59="")," *No olvide digitar la variable Beneficiarios. Digite CERO si no tiene",IF(U59&gt;B59," *La variable Beneficiarios No puede ser mayor al Total.",""))</f>
        <v/>
      </c>
      <c r="CD59" s="90">
        <f>IF((X59+AB59)&gt;B59," *La suma del Total de Consultas Nuevas según Origen NO DEBE ser MAYOR que el total de Consultas y Controles médicos.","")</f>
        <v/>
      </c>
      <c r="CM59" s="52">
        <f>IF(V59+W59&lt;&gt;B59,1,0)</f>
        <v/>
      </c>
      <c r="CN59" s="52">
        <f>IF(AND(B59&gt;0,U59=""),1,IF(U59&gt;B59,1,0))</f>
        <v/>
      </c>
      <c r="CO59" s="52">
        <f>IF((X59+AB59)&gt;B59,1,0)</f>
        <v/>
      </c>
    </row>
    <row r="60">
      <c r="A60" s="1170" t="inlineStr">
        <is>
          <t>Traumatología y Ortopedia</t>
        </is>
      </c>
      <c r="B60" s="1946">
        <f>SUM(C60:T60)</f>
        <v/>
      </c>
      <c r="C60" s="1172" t="n"/>
      <c r="D60" s="2001" t="n"/>
      <c r="E60" s="2001" t="n"/>
      <c r="F60" s="2001" t="n"/>
      <c r="G60" s="2001" t="n"/>
      <c r="H60" s="2001" t="n"/>
      <c r="I60" s="2001" t="n"/>
      <c r="J60" s="2001" t="n"/>
      <c r="K60" s="2001" t="n"/>
      <c r="L60" s="2001" t="n"/>
      <c r="M60" s="2001" t="n"/>
      <c r="N60" s="2001" t="n"/>
      <c r="O60" s="2001" t="n"/>
      <c r="P60" s="2001" t="n"/>
      <c r="Q60" s="2001" t="n"/>
      <c r="R60" s="2001" t="n"/>
      <c r="S60" s="2001" t="n"/>
      <c r="T60" s="1929" t="n"/>
      <c r="U60" s="1173" t="n"/>
      <c r="V60" s="1172" t="n"/>
      <c r="W60" s="1929" t="n"/>
      <c r="X60" s="2534">
        <f>SUM(Y60+Z60+AA60)</f>
        <v/>
      </c>
      <c r="Y60" s="1172" t="n"/>
      <c r="Z60" s="2001" t="n"/>
      <c r="AA60" s="1100" t="n"/>
      <c r="AB60" s="1486">
        <f>SUM(AC60+AD60+AE60)</f>
        <v/>
      </c>
      <c r="AC60" s="1172" t="n"/>
      <c r="AD60" s="1174" t="n"/>
      <c r="AE60" s="1929" t="n"/>
      <c r="AF60" s="1222" t="n"/>
      <c r="AG60" s="886" t="n"/>
      <c r="AH60">
        <f>CB60&amp;CC60&amp;CD60</f>
        <v/>
      </c>
      <c r="CB60" s="90">
        <f>IF(V60+W60&lt;&gt;B60," *La suma por Sexo (Hombres + Mujeres) NO DEBEN ser diferente al Total","")</f>
        <v/>
      </c>
      <c r="CC60" s="90">
        <f>IF(AND(B60&gt;0,U60="")," *No olvide digitar la variable Beneficiarios. Digite CERO si no tiene",IF(U60&gt;B60," *La variable Beneficiarios No puede ser mayor al Total.",""))</f>
        <v/>
      </c>
      <c r="CD60" s="90">
        <f>IF((X60+AB60)&gt;B60," *La suma del Total de Consultas Nuevas según Origen NO DEBE ser MAYOR que el total de Consultas y Controles médicos.","")</f>
        <v/>
      </c>
      <c r="CM60" s="52">
        <f>IF(V60+W60&lt;&gt;B60,1,0)</f>
        <v/>
      </c>
      <c r="CN60" s="52">
        <f>IF(AND(B60&gt;0,U60=""),1,IF(U60&gt;B60,1,0))</f>
        <v/>
      </c>
      <c r="CO60" s="52">
        <f>IF((X60+AB60)&gt;B60,1,0)</f>
        <v/>
      </c>
    </row>
    <row r="61">
      <c r="A61" s="1170" t="inlineStr">
        <is>
          <t>Urología</t>
        </is>
      </c>
      <c r="B61" s="1946">
        <f>SUM(C61:T61)</f>
        <v/>
      </c>
      <c r="C61" s="1172" t="n"/>
      <c r="D61" s="2001" t="n"/>
      <c r="E61" s="2001" t="n"/>
      <c r="F61" s="2001" t="n"/>
      <c r="G61" s="2001" t="n"/>
      <c r="H61" s="2001" t="n"/>
      <c r="I61" s="2001" t="n"/>
      <c r="J61" s="2001" t="n"/>
      <c r="K61" s="2001" t="n"/>
      <c r="L61" s="2001" t="n"/>
      <c r="M61" s="2001" t="n"/>
      <c r="N61" s="2001" t="n"/>
      <c r="O61" s="2001" t="n"/>
      <c r="P61" s="2001" t="n"/>
      <c r="Q61" s="2001" t="n"/>
      <c r="R61" s="2001" t="n"/>
      <c r="S61" s="2001" t="n"/>
      <c r="T61" s="1929" t="n"/>
      <c r="U61" s="1173" t="n"/>
      <c r="V61" s="1172" t="n"/>
      <c r="W61" s="1929" t="n"/>
      <c r="X61" s="2534">
        <f>SUM(Y61+Z61+AA61)</f>
        <v/>
      </c>
      <c r="Y61" s="1172" t="n"/>
      <c r="Z61" s="2001" t="n"/>
      <c r="AA61" s="1100" t="n"/>
      <c r="AB61" s="1486">
        <f>SUM(AC61+AD61+AE61)</f>
        <v/>
      </c>
      <c r="AC61" s="1172" t="n"/>
      <c r="AD61" s="1174" t="n"/>
      <c r="AE61" s="1929" t="n"/>
      <c r="AF61" s="1222" t="n"/>
      <c r="AG61" s="886" t="n"/>
      <c r="AH61">
        <f>CB61&amp;CC61&amp;CD61</f>
        <v/>
      </c>
      <c r="CB61" s="90">
        <f>IF(V61+W61&lt;&gt;B61," *La suma por Sexo (Hombres + Mujeres) NO DEBEN ser diferente al Total","")</f>
        <v/>
      </c>
      <c r="CC61" s="90">
        <f>IF(AND(B61&gt;0,U61="")," *No olvide digitar la variable Beneficiarios. Digite CERO si no tiene",IF(U61&gt;B61," *La variable Beneficiarios No puede ser mayor al Total.",""))</f>
        <v/>
      </c>
      <c r="CD61" s="90">
        <f>IF((X61+AB61)&gt;B61," *La suma del Total de Consultas Nuevas según Origen NO DEBE ser MAYOR que el total de Consultas y Controles médicos.","")</f>
        <v/>
      </c>
      <c r="CM61" s="52">
        <f>IF(V61+W61&lt;&gt;B61,1,0)</f>
        <v/>
      </c>
      <c r="CN61" s="52">
        <f>IF(AND(B61&gt;0,U61=""),1,IF(U61&gt;B61,1,0))</f>
        <v/>
      </c>
      <c r="CO61" s="52">
        <f>IF((X61+AB61)&gt;B61,1,0)</f>
        <v/>
      </c>
    </row>
    <row r="62">
      <c r="A62" s="1170" t="inlineStr">
        <is>
          <t>Medicina Familiar</t>
        </is>
      </c>
      <c r="B62" s="1946">
        <f>SUM(C62:T62)</f>
        <v/>
      </c>
      <c r="C62" s="1172" t="n"/>
      <c r="D62" s="2001" t="n"/>
      <c r="E62" s="2001" t="n"/>
      <c r="F62" s="2001" t="n"/>
      <c r="G62" s="2001" t="n"/>
      <c r="H62" s="2001" t="n"/>
      <c r="I62" s="2001" t="n"/>
      <c r="J62" s="2001" t="n"/>
      <c r="K62" s="2001" t="n"/>
      <c r="L62" s="2001" t="n"/>
      <c r="M62" s="2001" t="n"/>
      <c r="N62" s="2001" t="n"/>
      <c r="O62" s="2001" t="n"/>
      <c r="P62" s="2001" t="n"/>
      <c r="Q62" s="2001" t="n"/>
      <c r="R62" s="2001" t="n"/>
      <c r="S62" s="2001" t="n"/>
      <c r="T62" s="1929" t="n"/>
      <c r="U62" s="1173" t="n"/>
      <c r="V62" s="1172" t="n"/>
      <c r="W62" s="1929" t="n"/>
      <c r="X62" s="2534">
        <f>SUM(Y62+Z62+AA62)</f>
        <v/>
      </c>
      <c r="Y62" s="1172" t="n"/>
      <c r="Z62" s="2001" t="n"/>
      <c r="AA62" s="1100" t="n"/>
      <c r="AB62" s="1486">
        <f>SUM(AC62+AD62+AE62)</f>
        <v/>
      </c>
      <c r="AC62" s="1172" t="n"/>
      <c r="AD62" s="1174" t="n"/>
      <c r="AE62" s="1929" t="n"/>
      <c r="AF62" s="1222" t="n"/>
      <c r="AG62" s="886" t="n"/>
      <c r="AH62">
        <f>CB62&amp;CC62&amp;CD62</f>
        <v/>
      </c>
      <c r="CB62" s="90">
        <f>IF(V62+W62&lt;&gt;B62," *La suma por Sexo (Hombres + Mujeres) NO DEBEN ser diferente al Total","")</f>
        <v/>
      </c>
      <c r="CC62" s="90">
        <f>IF(AND(B62&gt;0,U62="")," *No olvide digitar la variable Beneficiarios. Digite CERO si no tiene",IF(U62&gt;B62," *La variable Beneficiarios No puede ser mayor al Total.",""))</f>
        <v/>
      </c>
      <c r="CD62" s="90">
        <f>IF((X62+AB62)&gt;B62," *La suma del Total de Consultas Nuevas según Origen NO DEBE ser MAYOR que el total de Consultas y Controles médicos.","")</f>
        <v/>
      </c>
      <c r="CM62" s="52">
        <f>IF(V62+W62&lt;&gt;B62,1,0)</f>
        <v/>
      </c>
      <c r="CN62" s="52">
        <f>IF(AND(B62&gt;0,U62=""),1,IF(U62&gt;B62,1,0))</f>
        <v/>
      </c>
      <c r="CO62" s="52">
        <f>IF((X62+AB62)&gt;B62,1,0)</f>
        <v/>
      </c>
    </row>
    <row r="63">
      <c r="A63" s="1170" t="inlineStr">
        <is>
          <t>Diabetología</t>
        </is>
      </c>
      <c r="B63" s="1946">
        <f>SUM(C63:T63)</f>
        <v/>
      </c>
      <c r="C63" s="1172" t="n"/>
      <c r="D63" s="2001" t="n"/>
      <c r="E63" s="2001" t="n"/>
      <c r="F63" s="2001" t="n"/>
      <c r="G63" s="2001" t="n"/>
      <c r="H63" s="2001" t="n"/>
      <c r="I63" s="2001" t="n"/>
      <c r="J63" s="2001" t="n"/>
      <c r="K63" s="2001" t="n"/>
      <c r="L63" s="2001" t="n"/>
      <c r="M63" s="2001" t="n"/>
      <c r="N63" s="2001" t="n"/>
      <c r="O63" s="2001" t="n"/>
      <c r="P63" s="2001" t="n"/>
      <c r="Q63" s="2001" t="n"/>
      <c r="R63" s="2001" t="n"/>
      <c r="S63" s="2001" t="n"/>
      <c r="T63" s="1929" t="n"/>
      <c r="U63" s="1173" t="n"/>
      <c r="V63" s="1172" t="n"/>
      <c r="W63" s="1929" t="n"/>
      <c r="X63" s="2534">
        <f>SUM(Y63+Z63+AA63)</f>
        <v/>
      </c>
      <c r="Y63" s="1172" t="n"/>
      <c r="Z63" s="2001" t="n"/>
      <c r="AA63" s="1100" t="n"/>
      <c r="AB63" s="1486">
        <f>SUM(AC63+AD63+AE63)</f>
        <v/>
      </c>
      <c r="AC63" s="1172" t="n"/>
      <c r="AD63" s="1174" t="n"/>
      <c r="AE63" s="1929" t="n"/>
      <c r="AF63" s="1222" t="n"/>
      <c r="AG63" s="886" t="n"/>
      <c r="AH63">
        <f>CB63&amp;CC63&amp;CD63</f>
        <v/>
      </c>
      <c r="CB63" s="90">
        <f>IF(V63+W63&lt;&gt;B63," *La suma por Sexo (Hombres + Mujeres) NO DEBEN ser diferente al Total","")</f>
        <v/>
      </c>
      <c r="CC63" s="90">
        <f>IF(AND(B63&gt;0,U63="")," *No olvide digitar la variable Beneficiarios. Digite CERO si no tiene",IF(U63&gt;B63," *La variable Beneficiarios No puede ser mayor al Total.",""))</f>
        <v/>
      </c>
      <c r="CD63" s="90">
        <f>IF((X63+AB63)&gt;B63," *La suma del Total de Consultas Nuevas según Origen NO DEBE ser MAYOR que el total de Consultas y Controles médicos.","")</f>
        <v/>
      </c>
      <c r="CM63" s="52">
        <f>IF(V63+W63&lt;&gt;B63,1,0)</f>
        <v/>
      </c>
      <c r="CN63" s="52">
        <f>IF(AND(B63&gt;0,U63=""),1,IF(U63&gt;B63,1,0))</f>
        <v/>
      </c>
      <c r="CO63" s="52">
        <f>IF((X63+AB63)&gt;B63,1,0)</f>
        <v/>
      </c>
    </row>
    <row r="64">
      <c r="A64" s="1170" t="inlineStr">
        <is>
          <t>Medicina Nuclear</t>
        </is>
      </c>
      <c r="B64" s="1946">
        <f>SUM(C64:T64)</f>
        <v/>
      </c>
      <c r="C64" s="1172" t="n"/>
      <c r="D64" s="2001" t="n"/>
      <c r="E64" s="2001" t="n"/>
      <c r="F64" s="2001" t="n"/>
      <c r="G64" s="2001" t="n"/>
      <c r="H64" s="2001" t="n"/>
      <c r="I64" s="2001" t="n"/>
      <c r="J64" s="2001" t="n"/>
      <c r="K64" s="2001" t="n"/>
      <c r="L64" s="2001" t="n"/>
      <c r="M64" s="2001" t="n"/>
      <c r="N64" s="2001" t="n"/>
      <c r="O64" s="2001" t="n"/>
      <c r="P64" s="2001" t="n"/>
      <c r="Q64" s="2001" t="n"/>
      <c r="R64" s="2001" t="n"/>
      <c r="S64" s="2001" t="n"/>
      <c r="T64" s="1929" t="n"/>
      <c r="U64" s="1173" t="n"/>
      <c r="V64" s="1172" t="n"/>
      <c r="W64" s="1929" t="n"/>
      <c r="X64" s="2534">
        <f>SUM(Y64+Z64+AA64)</f>
        <v/>
      </c>
      <c r="Y64" s="1172" t="n"/>
      <c r="Z64" s="2001" t="n"/>
      <c r="AA64" s="1100" t="n"/>
      <c r="AB64" s="1486">
        <f>SUM(AC64+AD64+AE64)</f>
        <v/>
      </c>
      <c r="AC64" s="1172" t="n"/>
      <c r="AD64" s="1174" t="n"/>
      <c r="AE64" s="1929" t="n"/>
      <c r="AF64" s="1222" t="n"/>
      <c r="AG64" s="886" t="n"/>
      <c r="AH64">
        <f>CB64&amp;CC64&amp;CD64</f>
        <v/>
      </c>
      <c r="CB64" s="90">
        <f>IF(V64+W64&lt;&gt;B64," *La suma por Sexo (Hombres + Mujeres) NO DEBEN ser diferente al Total","")</f>
        <v/>
      </c>
      <c r="CC64" s="90">
        <f>IF(AND(B64&gt;0,U64="")," *No olvide digitar la variable Beneficiarios. Digite CERO si no tiene",IF(U64&gt;B64," *La variable Beneficiarios No puede ser mayor al Total.",""))</f>
        <v/>
      </c>
      <c r="CD64" s="90">
        <f>IF((X64+AB64)&gt;B64," *La suma del Total de Consultas Nuevas según Origen NO DEBE ser MAYOR que el total de Consultas y Controles médicos.","")</f>
        <v/>
      </c>
      <c r="CM64" s="52">
        <f>IF(V64+W64&lt;&gt;B64,1,0)</f>
        <v/>
      </c>
      <c r="CN64" s="52">
        <f>IF(AND(B64&gt;0,U64=""),1,IF(U64&gt;B64,1,0))</f>
        <v/>
      </c>
      <c r="CO64" s="52">
        <f>IF((X64+AB64)&gt;B64,1,0)</f>
        <v/>
      </c>
    </row>
    <row r="65">
      <c r="A65" s="8320" t="inlineStr">
        <is>
          <t>Imagenología</t>
        </is>
      </c>
      <c r="B65" s="1946">
        <f>SUM(C65:T65)</f>
        <v/>
      </c>
      <c r="C65" s="1172" t="n"/>
      <c r="D65" s="2001" t="n"/>
      <c r="E65" s="2001" t="n"/>
      <c r="F65" s="2001" t="n"/>
      <c r="G65" s="2001" t="n"/>
      <c r="H65" s="2001" t="n"/>
      <c r="I65" s="2001" t="n"/>
      <c r="J65" s="2001" t="n"/>
      <c r="K65" s="2001" t="n"/>
      <c r="L65" s="2001" t="n"/>
      <c r="M65" s="2001" t="n"/>
      <c r="N65" s="2001" t="n"/>
      <c r="O65" s="2001" t="n"/>
      <c r="P65" s="2001" t="n"/>
      <c r="Q65" s="2001" t="n"/>
      <c r="R65" s="2001" t="n"/>
      <c r="S65" s="2001" t="n"/>
      <c r="T65" s="1929" t="n"/>
      <c r="U65" s="1186" t="n"/>
      <c r="V65" s="2164" t="n"/>
      <c r="W65" s="792" t="n"/>
      <c r="X65" s="2533">
        <f>SUM(Y65+Z65+AA65)</f>
        <v/>
      </c>
      <c r="Y65" s="1172" t="n"/>
      <c r="Z65" s="2001" t="n"/>
      <c r="AA65" s="1100" t="n"/>
      <c r="AB65" s="1997">
        <f>SUM(AC65+AD65+AE65)</f>
        <v/>
      </c>
      <c r="AC65" s="1172" t="n"/>
      <c r="AD65" s="1174" t="n"/>
      <c r="AE65" s="1929" t="n"/>
      <c r="AF65" s="1222" t="n"/>
      <c r="AG65" s="886" t="n"/>
      <c r="AH65">
        <f>CB65&amp;CC65&amp;CD65</f>
        <v/>
      </c>
      <c r="CB65" s="90">
        <f>IF(V65+W65&lt;&gt;B65," *La suma por Sexo (Hombres + Mujeres) NO DEBEN ser diferente al Total","")</f>
        <v/>
      </c>
      <c r="CC65" s="90">
        <f>IF(AND(B65&gt;0,U65="")," *No olvide digitar la variable Beneficiarios. Digite CERO si no tiene",IF(U65&gt;B65," *La variable Beneficiarios No puede ser mayor al Total.",""))</f>
        <v/>
      </c>
      <c r="CD65" s="90">
        <f>IF((X65+AB65)&gt;B65," *La suma del Total de Consultas Nuevas según Origen NO DEBE ser MAYOR que el total de Consultas y Controles médicos.","")</f>
        <v/>
      </c>
      <c r="CM65" s="52">
        <f>IF(V65+W65&lt;&gt;B65,1,0)</f>
        <v/>
      </c>
      <c r="CN65" s="52">
        <f>IF(AND(B65&gt;0,U65=""),1,IF(U65&gt;B65,1,0))</f>
        <v/>
      </c>
      <c r="CO65" s="52">
        <f>IF((X65+AB65)&gt;B65,1,0)</f>
        <v/>
      </c>
    </row>
    <row r="66">
      <c r="A66" s="8346" t="inlineStr">
        <is>
          <t>Radioterapia Oncológica</t>
        </is>
      </c>
      <c r="B66" s="192">
        <f>SUM(C66:T66)</f>
        <v/>
      </c>
      <c r="C66" s="1188" t="n"/>
      <c r="D66" s="1118" t="n"/>
      <c r="E66" s="1118" t="n"/>
      <c r="F66" s="1118" t="n"/>
      <c r="G66" s="1118" t="n"/>
      <c r="H66" s="1118" t="n"/>
      <c r="I66" s="1118" t="n"/>
      <c r="J66" s="1118" t="n"/>
      <c r="K66" s="1118" t="n"/>
      <c r="L66" s="1118" t="n"/>
      <c r="M66" s="1118" t="n"/>
      <c r="N66" s="1118" t="n"/>
      <c r="O66" s="1118" t="n"/>
      <c r="P66" s="1118" t="n"/>
      <c r="Q66" s="1118" t="n"/>
      <c r="R66" s="1118" t="n"/>
      <c r="S66" s="1118" t="n"/>
      <c r="T66" s="1224" t="n"/>
      <c r="U66" s="1192" t="n"/>
      <c r="V66" s="1195" t="n"/>
      <c r="W66" s="1224" t="n"/>
      <c r="X66" s="2538">
        <f>SUM(Y66+Z66+AA66)</f>
        <v/>
      </c>
      <c r="Y66" s="1188" t="n"/>
      <c r="Z66" s="1118" t="n"/>
      <c r="AA66" s="1430" t="n"/>
      <c r="AB66" s="1379">
        <f>SUM(AC66+AD66+AE66)</f>
        <v/>
      </c>
      <c r="AC66" s="1188" t="n"/>
      <c r="AD66" s="1193" t="n"/>
      <c r="AE66" s="1224" t="n"/>
      <c r="AF66" s="1227" t="n"/>
      <c r="AG66" s="1119" t="n"/>
      <c r="AH66">
        <f>CB66&amp;CC66&amp;CD66</f>
        <v/>
      </c>
      <c r="CB66" s="90">
        <f>IF(V66+W66&lt;&gt;B66," *La suma por Sexo (Hombres + Mujeres) NO DEBEN ser diferente al Total","")</f>
        <v/>
      </c>
      <c r="CC66" s="90">
        <f>IF(AND(B66&gt;0,U66="")," *No olvide digitar la variable Beneficiarios. Digite CERO si no tiene",IF(U66&gt;B66," *La variable Beneficiarios No puede ser mayor al Total.",""))</f>
        <v/>
      </c>
      <c r="CD66" s="90">
        <f>IF((X66+AB66)&gt;B66," *La suma del Total de Consultas Nuevas según Origen NO DEBE ser MAYOR que el total de Consultas y Controles médicos.","")</f>
        <v/>
      </c>
      <c r="CM66" s="52">
        <f>IF(V66+W66&lt;&gt;B66,1,0)</f>
        <v/>
      </c>
      <c r="CN66" s="52">
        <f>IF(AND(B66&gt;0,U66=""),1,IF(U66&gt;B66,1,0))</f>
        <v/>
      </c>
      <c r="CO66" s="52">
        <f>IF((X66+AB66)&gt;B66,1,0)</f>
        <v/>
      </c>
    </row>
    <row r="67">
      <c r="A67" s="7713" t="inlineStr">
        <is>
          <t>TOTAL</t>
        </is>
      </c>
      <c r="B67" s="7725">
        <f>SUM(B12:B66)</f>
        <v/>
      </c>
      <c r="C67" s="8543">
        <f>SUM(C12:C66)</f>
        <v/>
      </c>
      <c r="D67" s="177">
        <f>SUM(D12:D66)</f>
        <v/>
      </c>
      <c r="E67" s="177">
        <f>SUM(E12:E66)</f>
        <v/>
      </c>
      <c r="F67" s="177">
        <f>SUM(F12:F66)</f>
        <v/>
      </c>
      <c r="G67" s="177">
        <f>SUM(G12:G66)</f>
        <v/>
      </c>
      <c r="H67" s="177">
        <f>SUM(H12:H66)</f>
        <v/>
      </c>
      <c r="I67" s="177">
        <f>SUM(I12:I66)</f>
        <v/>
      </c>
      <c r="J67" s="177">
        <f>SUM(J12:J66)</f>
        <v/>
      </c>
      <c r="K67" s="177">
        <f>SUM(K12:K66)</f>
        <v/>
      </c>
      <c r="L67" s="177">
        <f>SUM(L12:L66)</f>
        <v/>
      </c>
      <c r="M67" s="177">
        <f>SUM(M12:M66)</f>
        <v/>
      </c>
      <c r="N67" s="177">
        <f>SUM(N12:N66)</f>
        <v/>
      </c>
      <c r="O67" s="177">
        <f>SUM(O12:O66)</f>
        <v/>
      </c>
      <c r="P67" s="177">
        <f>SUM(P12:P66)</f>
        <v/>
      </c>
      <c r="Q67" s="177">
        <f>SUM(Q12:Q66)</f>
        <v/>
      </c>
      <c r="R67" s="177">
        <f>SUM(R12:R66)</f>
        <v/>
      </c>
      <c r="S67" s="177">
        <f>SUM(S12:S66)</f>
        <v/>
      </c>
      <c r="T67" s="181">
        <f>SUM(T12:T66)</f>
        <v/>
      </c>
      <c r="U67" s="2540">
        <f>SUM(U12:U66)</f>
        <v/>
      </c>
      <c r="V67" s="2501">
        <f>SUM(V12:V66)</f>
        <v/>
      </c>
      <c r="W67" s="181">
        <f>SUM(W12:W66)</f>
        <v/>
      </c>
      <c r="X67" s="2541">
        <f>SUM(X12:X66)</f>
        <v/>
      </c>
      <c r="Y67" s="2501">
        <f>SUM(Y12:Y66)</f>
        <v/>
      </c>
      <c r="Z67" s="177">
        <f>SUM(Z12:Z66)</f>
        <v/>
      </c>
      <c r="AA67" s="2542">
        <f>SUM(AA12:AA66)</f>
        <v/>
      </c>
      <c r="AB67" s="2543">
        <f>SUM(AB12:AB66)</f>
        <v/>
      </c>
      <c r="AC67" s="2501">
        <f>SUM(AC12:AC66)</f>
        <v/>
      </c>
      <c r="AD67" s="177">
        <f>SUM(AD12:AD66)</f>
        <v/>
      </c>
      <c r="AE67" s="181">
        <f>SUM(AE12:AE66)</f>
        <v/>
      </c>
      <c r="AF67" s="2544">
        <f>SUM(AF12:AF66)</f>
        <v/>
      </c>
      <c r="AG67" s="2545">
        <f>SUM(AG12:AG66)</f>
        <v/>
      </c>
    </row>
    <row r="68" ht="18" customFormat="1" customHeight="1" s="5">
      <c r="A68" s="289" t="inlineStr">
        <is>
          <t>SECCIÓN A.1: ATRIBUTOS DE LAS ATENCIONES DE ESPECIALIDAD</t>
        </is>
      </c>
      <c r="B68" s="7" t="n"/>
      <c r="C68" s="7" t="n"/>
      <c r="D68" s="7" t="n"/>
      <c r="E68" s="7" t="n"/>
      <c r="F68" s="7" t="n"/>
      <c r="G68" s="7" t="n"/>
      <c r="H68" s="7" t="n"/>
      <c r="I68" s="7" t="n"/>
      <c r="J68" s="7" t="n"/>
      <c r="K68" s="7" t="n"/>
      <c r="L68" s="7" t="n"/>
      <c r="M68" s="7" t="n"/>
      <c r="N68" s="7" t="n"/>
      <c r="O68" s="7" t="n"/>
      <c r="P68" s="7" t="n"/>
      <c r="Q68" s="7" t="n"/>
      <c r="R68" s="7" t="n"/>
      <c r="S68" s="7" t="n"/>
      <c r="T68" s="7" t="n"/>
      <c r="U68" s="7" t="n"/>
      <c r="V68" s="7" t="n"/>
      <c r="W68" s="7" t="n"/>
      <c r="X68" s="4" t="n"/>
      <c r="Y68" s="4" t="n"/>
      <c r="Z68" s="4" t="n"/>
      <c r="AA68" s="4" t="n"/>
      <c r="AB68" s="4" t="n"/>
      <c r="AC68" s="4" t="n"/>
      <c r="AD68" s="4" t="n"/>
      <c r="AE68" s="4" t="n"/>
      <c r="AF68" s="4" t="n"/>
      <c r="AG68" s="4" t="n"/>
      <c r="AH68" s="4" t="n"/>
      <c r="AI68" s="4" t="n"/>
      <c r="CB68" s="17" t="n"/>
      <c r="CC68" s="17" t="n"/>
      <c r="CD68" s="17" t="n"/>
      <c r="CE68" s="17" t="n"/>
      <c r="CF68" s="17" t="n"/>
      <c r="CG68" s="17" t="n"/>
      <c r="CH68" s="17" t="n"/>
      <c r="CI68" s="17" t="n"/>
      <c r="CJ68" s="17" t="n"/>
      <c r="CK68" s="17" t="n"/>
      <c r="CL68" s="17" t="n"/>
      <c r="CM68" s="17" t="n"/>
      <c r="CN68" s="17" t="n"/>
      <c r="CO68" s="17" t="n"/>
      <c r="CP68" s="17" t="n"/>
      <c r="CQ68" s="17" t="n"/>
      <c r="CR68" s="17" t="n"/>
      <c r="CS68" s="17" t="n"/>
      <c r="CT68" s="17" t="n"/>
    </row>
    <row r="69" ht="31.5" customHeight="1" s="8286">
      <c r="A69" s="8400" t="inlineStr">
        <is>
          <t>ESPECIALIDADES Y SUB-ESPECIALIDADES</t>
        </is>
      </c>
      <c r="B69" s="10041" t="inlineStr">
        <is>
          <t>Interconsultas pertinentes según Criterio Clínico</t>
        </is>
      </c>
      <c r="C69" s="9602" t="n"/>
      <c r="D69" s="9602" t="n"/>
      <c r="E69" s="9603" t="n"/>
      <c r="F69" s="10041" t="inlineStr">
        <is>
          <t>Consultas pertinentes según tiempo establecido en Box</t>
        </is>
      </c>
      <c r="G69" s="9602" t="n"/>
      <c r="H69" s="9602" t="n"/>
      <c r="I69" s="9603" t="n"/>
      <c r="J69" s="10104" t="inlineStr">
        <is>
          <t>Consultas  pertinentes según Criterio Clínico en Box</t>
        </is>
      </c>
      <c r="K69" s="9602" t="n"/>
      <c r="L69" s="9602" t="n"/>
      <c r="M69" s="9603" t="n"/>
      <c r="N69" s="10105" t="inlineStr">
        <is>
          <t>Contrarreferencia inicial o retorno</t>
        </is>
      </c>
      <c r="O69" s="9584" t="n"/>
      <c r="P69" s="9647" t="n"/>
      <c r="Q69" s="7674" t="inlineStr">
        <is>
          <t>Contrarreferencia al alta</t>
        </is>
      </c>
      <c r="R69" s="9603" t="n"/>
      <c r="S69" s="7674" t="inlineStr">
        <is>
          <t>Alta de Consulta de Especialidad Ambulatoria</t>
        </is>
      </c>
      <c r="T69" s="9603" t="n"/>
      <c r="U69" s="7674" t="inlineStr">
        <is>
          <t>Inasistente a consulta médica (NSP)</t>
        </is>
      </c>
      <c r="V69" s="9603" t="n"/>
      <c r="W69" s="8400" t="inlineStr">
        <is>
          <t>CONSULTA ABREVIADA (Confección de recetas o lectura de exámenes)</t>
        </is>
      </c>
      <c r="X69" s="7674" t="inlineStr">
        <is>
          <t>Atención Especialista en Sala</t>
        </is>
      </c>
      <c r="Y69" s="9603" t="n"/>
      <c r="Z69" s="7674" t="inlineStr">
        <is>
          <t>Consultas realizadas en APS e informadas (contenidas en sección A)</t>
        </is>
      </c>
      <c r="AA69" s="9603" t="n"/>
      <c r="AB69" s="9240" t="inlineStr">
        <is>
          <t>Compra de Servicios (No incluidas en total de atenciones)</t>
        </is>
      </c>
      <c r="AC69" s="9647" t="n"/>
      <c r="AD69" s="8400" t="inlineStr">
        <is>
          <t>Consultas Médicas por Operativos (no incluidas en produccion)</t>
        </is>
      </c>
      <c r="AE69" s="10106" t="inlineStr">
        <is>
          <t>Total Interconsultas generadas en APS para derivación Especialidad</t>
        </is>
      </c>
      <c r="AF69" s="9603" t="n"/>
      <c r="AG69" s="9240" t="inlineStr">
        <is>
          <t xml:space="preserve">Consultorías de Médicos Especialistas otorgadas </t>
        </is>
      </c>
      <c r="AH69" s="9584" t="n"/>
      <c r="AI69" s="9647" t="n"/>
    </row>
    <row r="70" ht="34.5" customHeight="1" s="8286">
      <c r="A70" s="9610" t="n"/>
      <c r="B70" s="8124" t="inlineStr">
        <is>
          <t>Total</t>
        </is>
      </c>
      <c r="C70" s="1991" t="inlineStr">
        <is>
          <t>APS</t>
        </is>
      </c>
      <c r="D70" s="2546" t="inlineStr">
        <is>
          <t>CDT/CAE/CRS/Hospitalizado</t>
        </is>
      </c>
      <c r="E70" s="1992" t="inlineStr">
        <is>
          <t>Urgencia</t>
        </is>
      </c>
      <c r="F70" s="7792" t="inlineStr">
        <is>
          <t>Total</t>
        </is>
      </c>
      <c r="G70" s="1991" t="inlineStr">
        <is>
          <t>APS</t>
        </is>
      </c>
      <c r="H70" s="2546" t="inlineStr">
        <is>
          <t>CDT/CAE/CRS/Hospitalizado</t>
        </is>
      </c>
      <c r="I70" s="1992" t="inlineStr">
        <is>
          <t>Urgencia</t>
        </is>
      </c>
      <c r="J70" s="8124" t="inlineStr">
        <is>
          <t>Total</t>
        </is>
      </c>
      <c r="K70" s="1991" t="inlineStr">
        <is>
          <t>APS</t>
        </is>
      </c>
      <c r="L70" s="2546" t="inlineStr">
        <is>
          <t>CDT/CAE/CRS/Hospitalizado</t>
        </is>
      </c>
      <c r="M70" s="2546" t="inlineStr">
        <is>
          <t>Urgencia</t>
        </is>
      </c>
      <c r="N70" s="658" t="inlineStr">
        <is>
          <t>Total</t>
        </is>
      </c>
      <c r="O70" s="8377" t="inlineStr">
        <is>
          <t>Menos 18 años</t>
        </is>
      </c>
      <c r="P70" s="8126" t="inlineStr">
        <is>
          <t>18 y más años</t>
        </is>
      </c>
      <c r="Q70" s="7932" t="inlineStr">
        <is>
          <t>Menos 
18 años</t>
        </is>
      </c>
      <c r="R70" s="7933" t="inlineStr">
        <is>
          <t>18 y más 
años</t>
        </is>
      </c>
      <c r="S70" s="7932" t="inlineStr">
        <is>
          <t>Menos 
18 años</t>
        </is>
      </c>
      <c r="T70" s="7933" t="inlineStr">
        <is>
          <t>18 y más 
años</t>
        </is>
      </c>
      <c r="U70" s="7932" t="inlineStr">
        <is>
          <t xml:space="preserve">Nuevas </t>
        </is>
      </c>
      <c r="V70" s="7933" t="inlineStr">
        <is>
          <t>Controles</t>
        </is>
      </c>
      <c r="W70" s="9610" t="n"/>
      <c r="X70" s="7932" t="inlineStr">
        <is>
          <t>Menos 
18 años</t>
        </is>
      </c>
      <c r="Y70" s="7933" t="inlineStr">
        <is>
          <t>18 y más 
años</t>
        </is>
      </c>
      <c r="Z70" s="7776" t="inlineStr">
        <is>
          <t>Contratados por el Establecimiento o Dirección del Servicio</t>
        </is>
      </c>
      <c r="AA70" s="7776" t="inlineStr">
        <is>
          <t>Especialistas de Hospitales</t>
        </is>
      </c>
      <c r="AB70" s="7979" t="inlineStr">
        <is>
          <t>Red Pública</t>
        </is>
      </c>
      <c r="AC70" s="7979" t="inlineStr">
        <is>
          <t>Privados</t>
        </is>
      </c>
      <c r="AD70" s="9610" t="n"/>
      <c r="AE70" s="2548" t="inlineStr">
        <is>
          <t>Menor de 18 años</t>
        </is>
      </c>
      <c r="AF70" s="2549" t="inlineStr">
        <is>
          <t>De 18 y más años</t>
        </is>
      </c>
      <c r="AG70" s="2422" t="inlineStr">
        <is>
          <t>Nº Consultorías</t>
        </is>
      </c>
      <c r="AH70" s="2550" t="inlineStr">
        <is>
          <t>Nº de casos revisados por el equipo</t>
        </is>
      </c>
      <c r="AI70" s="7972" t="inlineStr">
        <is>
          <t>Nº de casos atendidos</t>
        </is>
      </c>
    </row>
    <row r="71">
      <c r="A71" s="8320" t="inlineStr">
        <is>
          <t>Pediatría</t>
        </is>
      </c>
      <c r="B71" s="2551">
        <f>SUM(C71:E71)</f>
        <v/>
      </c>
      <c r="C71" s="2014" t="n"/>
      <c r="D71" s="2361" t="n"/>
      <c r="E71" s="2361" t="n"/>
      <c r="F71" s="2551">
        <f>SUM(G71:I71)</f>
        <v/>
      </c>
      <c r="G71" s="2014" t="n"/>
      <c r="H71" s="2361" t="n"/>
      <c r="I71" s="2361" t="n"/>
      <c r="J71" s="2551">
        <f>SUM(K71:M71)</f>
        <v/>
      </c>
      <c r="K71" s="2014" t="n"/>
      <c r="L71" s="2361" t="n"/>
      <c r="M71" s="2017" t="n"/>
      <c r="N71" s="2552">
        <f>SUM(O71:P71)</f>
        <v/>
      </c>
      <c r="O71" s="204" t="n"/>
      <c r="P71" s="37" t="n"/>
      <c r="Q71" s="1175" t="n"/>
      <c r="R71" s="886" t="n"/>
      <c r="S71" s="2266" t="n"/>
      <c r="T71" s="2337" t="n"/>
      <c r="U71" s="2267" t="n"/>
      <c r="V71" s="2337" t="n"/>
      <c r="W71" s="1222" t="n"/>
      <c r="X71" s="1175" t="n"/>
      <c r="Y71" s="886" t="n"/>
      <c r="Z71" s="755" t="n"/>
      <c r="AA71" s="755" t="n"/>
      <c r="AB71" s="755" t="n"/>
      <c r="AC71" s="755" t="n"/>
      <c r="AD71" s="755" t="n"/>
      <c r="AE71" s="2553" t="n">
        <v>6</v>
      </c>
      <c r="AF71" s="2554" t="n">
        <v>0</v>
      </c>
      <c r="AG71" s="2266" t="n"/>
      <c r="AH71" s="835" t="n"/>
      <c r="AI71" s="1186" t="n"/>
    </row>
    <row r="72">
      <c r="A72" s="1170" t="inlineStr">
        <is>
          <t>Medicina Interna</t>
        </is>
      </c>
      <c r="B72" s="2555">
        <f>SUM(C72:E72)</f>
        <v/>
      </c>
      <c r="C72" s="1179" t="n"/>
      <c r="D72" s="1228" t="n"/>
      <c r="E72" s="1228" t="n"/>
      <c r="F72" s="2555">
        <f>SUM(G72:I72)</f>
        <v/>
      </c>
      <c r="G72" s="1179" t="n"/>
      <c r="H72" s="1228" t="n"/>
      <c r="I72" s="1228" t="n"/>
      <c r="J72" s="2555">
        <f>SUM(K72:M72)</f>
        <v/>
      </c>
      <c r="K72" s="1179" t="n"/>
      <c r="L72" s="1228" t="n"/>
      <c r="M72" s="1182" t="n"/>
      <c r="N72" s="1244">
        <f>SUM(O72:P72)</f>
        <v/>
      </c>
      <c r="O72" s="1181" t="n"/>
      <c r="P72" s="35" t="n"/>
      <c r="Q72" s="1175" t="n"/>
      <c r="R72" s="886" t="n"/>
      <c r="S72" s="1172" t="n"/>
      <c r="T72" s="886" t="n"/>
      <c r="U72" s="1174" t="n"/>
      <c r="V72" s="886" t="n"/>
      <c r="W72" s="1222" t="n"/>
      <c r="X72" s="1175" t="n"/>
      <c r="Y72" s="886" t="n"/>
      <c r="Z72" s="755" t="n"/>
      <c r="AA72" s="755" t="n"/>
      <c r="AB72" s="755" t="n"/>
      <c r="AC72" s="755" t="n"/>
      <c r="AD72" s="755" t="n"/>
      <c r="AE72" s="2553" t="n">
        <v>0</v>
      </c>
      <c r="AF72" s="2554" t="n">
        <v>12</v>
      </c>
      <c r="AG72" s="1935" t="n"/>
      <c r="AH72" s="793" t="n"/>
      <c r="AI72" s="1186" t="n"/>
    </row>
    <row r="73">
      <c r="A73" s="1170" t="inlineStr">
        <is>
          <t>Neonatología</t>
        </is>
      </c>
      <c r="B73" s="1244">
        <f>SUM(C73:E73)</f>
        <v/>
      </c>
      <c r="C73" s="1172" t="n"/>
      <c r="D73" s="2001" t="n"/>
      <c r="E73" s="2001" t="n"/>
      <c r="F73" s="1244">
        <f>SUM(G73:I73)</f>
        <v/>
      </c>
      <c r="G73" s="1172" t="n"/>
      <c r="H73" s="2001" t="n"/>
      <c r="I73" s="2001" t="n"/>
      <c r="J73" s="1244">
        <f>SUM(K73:M73)</f>
        <v/>
      </c>
      <c r="K73" s="1172" t="n"/>
      <c r="L73" s="2001" t="n"/>
      <c r="M73" s="885" t="n"/>
      <c r="N73" s="1244">
        <f>SUM(O73:P73)</f>
        <v/>
      </c>
      <c r="O73" s="1174" t="n"/>
      <c r="P73" s="1222" t="n"/>
      <c r="Q73" s="1175" t="n"/>
      <c r="R73" s="886" t="n"/>
      <c r="S73" s="1172" t="n"/>
      <c r="T73" s="886" t="n"/>
      <c r="U73" s="1174" t="n"/>
      <c r="V73" s="886" t="n"/>
      <c r="W73" s="1222" t="n"/>
      <c r="X73" s="1175" t="n"/>
      <c r="Y73" s="886" t="n"/>
      <c r="Z73" s="755" t="n"/>
      <c r="AA73" s="755" t="n"/>
      <c r="AB73" s="755" t="n"/>
      <c r="AC73" s="755" t="n"/>
      <c r="AD73" s="755" t="n"/>
      <c r="AE73" s="2553" t="n">
        <v>0</v>
      </c>
      <c r="AF73" s="2554" t="n">
        <v>0</v>
      </c>
      <c r="AG73" s="1935" t="n"/>
      <c r="AH73" s="793" t="n"/>
      <c r="AI73" s="1186" t="n"/>
    </row>
    <row r="74">
      <c r="A74" s="1170" t="inlineStr">
        <is>
          <t>Enfermedad Respiratoria Pediátrica</t>
        </is>
      </c>
      <c r="B74" s="1244">
        <f>SUM(C74:E74)</f>
        <v/>
      </c>
      <c r="C74" s="1172" t="n"/>
      <c r="D74" s="2001" t="n"/>
      <c r="E74" s="2001" t="n"/>
      <c r="F74" s="1244">
        <f>SUM(G74:I74)</f>
        <v/>
      </c>
      <c r="G74" s="1172" t="n"/>
      <c r="H74" s="2001" t="n"/>
      <c r="I74" s="2001" t="n"/>
      <c r="J74" s="1244">
        <f>SUM(K74:M74)</f>
        <v/>
      </c>
      <c r="K74" s="1172" t="n"/>
      <c r="L74" s="2001" t="n"/>
      <c r="M74" s="885" t="n"/>
      <c r="N74" s="1244">
        <f>SUM(O74:P74)</f>
        <v/>
      </c>
      <c r="O74" s="1174" t="n"/>
      <c r="P74" s="1222" t="n"/>
      <c r="Q74" s="1175" t="n"/>
      <c r="R74" s="886" t="n"/>
      <c r="S74" s="1172" t="n"/>
      <c r="T74" s="886" t="n"/>
      <c r="U74" s="1174" t="n"/>
      <c r="V74" s="886" t="n"/>
      <c r="W74" s="1222" t="n"/>
      <c r="X74" s="1175" t="n"/>
      <c r="Y74" s="886" t="n"/>
      <c r="Z74" s="755" t="n"/>
      <c r="AA74" s="755" t="n"/>
      <c r="AB74" s="755" t="n"/>
      <c r="AC74" s="755" t="n"/>
      <c r="AD74" s="755" t="n"/>
      <c r="AE74" s="2553" t="n">
        <v>1</v>
      </c>
      <c r="AF74" s="2554" t="n">
        <v>0</v>
      </c>
      <c r="AG74" s="1935" t="n"/>
      <c r="AH74" s="793" t="n"/>
      <c r="AI74" s="1186" t="n"/>
    </row>
    <row r="75">
      <c r="A75" s="1170" t="inlineStr">
        <is>
          <t>Enfermedad Respiratoria de Adulto</t>
        </is>
      </c>
      <c r="B75" s="1244">
        <f>SUM(C75:E75)</f>
        <v/>
      </c>
      <c r="C75" s="1172" t="n"/>
      <c r="D75" s="2001" t="n"/>
      <c r="E75" s="2001" t="n"/>
      <c r="F75" s="1244">
        <f>SUM(G75:I75)</f>
        <v/>
      </c>
      <c r="G75" s="1172" t="n"/>
      <c r="H75" s="2001" t="n"/>
      <c r="I75" s="2001" t="n"/>
      <c r="J75" s="1244">
        <f>SUM(K75:M75)</f>
        <v/>
      </c>
      <c r="K75" s="1172" t="n"/>
      <c r="L75" s="2001" t="n"/>
      <c r="M75" s="885" t="n"/>
      <c r="N75" s="1244">
        <f>SUM(O75:P75)</f>
        <v/>
      </c>
      <c r="O75" s="1174" t="n"/>
      <c r="P75" s="1222" t="n"/>
      <c r="Q75" s="1175" t="n"/>
      <c r="R75" s="886" t="n"/>
      <c r="S75" s="1172" t="n"/>
      <c r="T75" s="886" t="n"/>
      <c r="U75" s="1174" t="n"/>
      <c r="V75" s="886" t="n"/>
      <c r="W75" s="1222" t="n"/>
      <c r="X75" s="1175" t="n"/>
      <c r="Y75" s="886" t="n"/>
      <c r="Z75" s="755" t="n"/>
      <c r="AA75" s="755" t="n"/>
      <c r="AB75" s="755" t="n"/>
      <c r="AC75" s="755" t="n"/>
      <c r="AD75" s="755" t="n"/>
      <c r="AE75" s="2553" t="n">
        <v>0</v>
      </c>
      <c r="AF75" s="2554" t="n">
        <v>4</v>
      </c>
      <c r="AG75" s="1935" t="n"/>
      <c r="AH75" s="793" t="n"/>
      <c r="AI75" s="1186" t="n"/>
    </row>
    <row r="76">
      <c r="A76" s="1170" t="inlineStr">
        <is>
          <t xml:space="preserve">Cardiología </t>
        </is>
      </c>
      <c r="B76" s="1244">
        <f>SUM(C76:E76)</f>
        <v/>
      </c>
      <c r="C76" s="1172" t="n"/>
      <c r="D76" s="2001" t="n"/>
      <c r="E76" s="2001" t="n"/>
      <c r="F76" s="1244">
        <f>SUM(G76:I76)</f>
        <v/>
      </c>
      <c r="G76" s="1172" t="n"/>
      <c r="H76" s="2001" t="n"/>
      <c r="I76" s="2001" t="n"/>
      <c r="J76" s="1244">
        <f>SUM(K76:M76)</f>
        <v/>
      </c>
      <c r="K76" s="1172" t="n"/>
      <c r="L76" s="2001" t="n"/>
      <c r="M76" s="885" t="n"/>
      <c r="N76" s="1244">
        <f>SUM(O76:P76)</f>
        <v/>
      </c>
      <c r="O76" s="1174" t="n"/>
      <c r="P76" s="1222" t="n"/>
      <c r="Q76" s="1175" t="n"/>
      <c r="R76" s="886" t="n"/>
      <c r="S76" s="1172" t="n"/>
      <c r="T76" s="886" t="n"/>
      <c r="U76" s="1174" t="n"/>
      <c r="V76" s="886" t="n"/>
      <c r="W76" s="1222" t="n"/>
      <c r="X76" s="1175" t="n"/>
      <c r="Y76" s="886" t="n"/>
      <c r="Z76" s="755" t="n"/>
      <c r="AA76" s="755" t="n"/>
      <c r="AB76" s="755" t="n"/>
      <c r="AC76" s="755" t="n"/>
      <c r="AD76" s="755" t="n"/>
      <c r="AE76" s="2553" t="n">
        <v>0</v>
      </c>
      <c r="AF76" s="2554" t="n">
        <v>13</v>
      </c>
      <c r="AG76" s="1935" t="n"/>
      <c r="AH76" s="793" t="n"/>
      <c r="AI76" s="1186" t="n"/>
    </row>
    <row r="77">
      <c r="A77" s="288" t="inlineStr">
        <is>
          <t>Mastología</t>
        </is>
      </c>
      <c r="B77" s="1244">
        <f>SUM(C77:E77)</f>
        <v/>
      </c>
      <c r="C77" s="1172" t="n"/>
      <c r="D77" s="2001" t="n"/>
      <c r="E77" s="2001" t="n"/>
      <c r="F77" s="1244">
        <f>SUM(G77:I77)</f>
        <v/>
      </c>
      <c r="G77" s="1172" t="n"/>
      <c r="H77" s="2001" t="n"/>
      <c r="I77" s="2001" t="n"/>
      <c r="J77" s="1244">
        <f>SUM(K77:M77)</f>
        <v/>
      </c>
      <c r="K77" s="1172" t="n"/>
      <c r="L77" s="2001" t="n"/>
      <c r="M77" s="885" t="n"/>
      <c r="N77" s="1244">
        <f>SUM(O77:P77)</f>
        <v/>
      </c>
      <c r="O77" s="1174" t="n"/>
      <c r="P77" s="1222" t="n"/>
      <c r="Q77" s="1175" t="n"/>
      <c r="R77" s="886" t="n"/>
      <c r="S77" s="1172" t="n"/>
      <c r="T77" s="886" t="n"/>
      <c r="U77" s="1174" t="n"/>
      <c r="V77" s="886" t="n"/>
      <c r="W77" s="1222" t="n"/>
      <c r="X77" s="1175" t="n"/>
      <c r="Y77" s="886" t="n"/>
      <c r="Z77" s="755" t="n"/>
      <c r="AA77" s="755" t="n"/>
      <c r="AB77" s="755" t="n"/>
      <c r="AC77" s="755" t="n"/>
      <c r="AD77" s="755" t="n"/>
      <c r="AE77" s="2553" t="n">
        <v>0</v>
      </c>
      <c r="AF77" s="2554" t="n">
        <v>0</v>
      </c>
      <c r="AG77" s="1935" t="n"/>
      <c r="AH77" s="793" t="n"/>
      <c r="AI77" s="1186" t="n"/>
    </row>
    <row r="78">
      <c r="A78" s="1170" t="inlineStr">
        <is>
          <t>Endocrinología Pediátrica</t>
        </is>
      </c>
      <c r="B78" s="1244">
        <f>SUM(C78:E78)</f>
        <v/>
      </c>
      <c r="C78" s="1172" t="n"/>
      <c r="D78" s="2001" t="n"/>
      <c r="E78" s="2001" t="n"/>
      <c r="F78" s="1244">
        <f>SUM(G78:I78)</f>
        <v/>
      </c>
      <c r="G78" s="1172" t="n"/>
      <c r="H78" s="2001" t="n"/>
      <c r="I78" s="2001" t="n"/>
      <c r="J78" s="1244">
        <f>SUM(K78:M78)</f>
        <v/>
      </c>
      <c r="K78" s="1172" t="n"/>
      <c r="L78" s="2001" t="n"/>
      <c r="M78" s="885" t="n"/>
      <c r="N78" s="1244">
        <f>SUM(O78:P78)</f>
        <v/>
      </c>
      <c r="O78" s="1174" t="n"/>
      <c r="P78" s="1222" t="n"/>
      <c r="Q78" s="1175" t="n"/>
      <c r="R78" s="886" t="n"/>
      <c r="S78" s="1172" t="n"/>
      <c r="T78" s="886" t="n"/>
      <c r="U78" s="1174" t="n"/>
      <c r="V78" s="886" t="n"/>
      <c r="W78" s="1222" t="n"/>
      <c r="X78" s="1175" t="n"/>
      <c r="Y78" s="886" t="n"/>
      <c r="Z78" s="755" t="n"/>
      <c r="AA78" s="755" t="n"/>
      <c r="AB78" s="755" t="n"/>
      <c r="AC78" s="755" t="n"/>
      <c r="AD78" s="755" t="n"/>
      <c r="AE78" s="2553" t="n">
        <v>2</v>
      </c>
      <c r="AF78" s="2554" t="n">
        <v>0</v>
      </c>
      <c r="AG78" s="1935" t="n"/>
      <c r="AH78" s="793" t="n"/>
      <c r="AI78" s="1186" t="n"/>
    </row>
    <row r="79">
      <c r="A79" s="1170" t="inlineStr">
        <is>
          <t>Endocrinología Adulto</t>
        </is>
      </c>
      <c r="B79" s="1244">
        <f>SUM(C79:E79)</f>
        <v/>
      </c>
      <c r="C79" s="1172" t="n"/>
      <c r="D79" s="2001" t="n"/>
      <c r="E79" s="2001" t="n"/>
      <c r="F79" s="1244">
        <f>SUM(G79:I79)</f>
        <v/>
      </c>
      <c r="G79" s="1172" t="n"/>
      <c r="H79" s="2001" t="n"/>
      <c r="I79" s="2001" t="n"/>
      <c r="J79" s="1244">
        <f>SUM(K79:M79)</f>
        <v/>
      </c>
      <c r="K79" s="1172" t="n"/>
      <c r="L79" s="2001" t="n"/>
      <c r="M79" s="885" t="n"/>
      <c r="N79" s="1244">
        <f>SUM(O79:P79)</f>
        <v/>
      </c>
      <c r="O79" s="1174" t="n"/>
      <c r="P79" s="1222" t="n"/>
      <c r="Q79" s="1175" t="n"/>
      <c r="R79" s="886" t="n"/>
      <c r="S79" s="1172" t="n"/>
      <c r="T79" s="886" t="n"/>
      <c r="U79" s="1174" t="n"/>
      <c r="V79" s="886" t="n"/>
      <c r="W79" s="1222" t="n"/>
      <c r="X79" s="1175" t="n"/>
      <c r="Y79" s="886" t="n"/>
      <c r="Z79" s="755" t="n"/>
      <c r="AA79" s="755" t="n"/>
      <c r="AB79" s="755" t="n"/>
      <c r="AC79" s="755" t="n"/>
      <c r="AD79" s="755" t="n"/>
      <c r="AE79" s="2553" t="n">
        <v>0</v>
      </c>
      <c r="AF79" s="2554" t="n">
        <v>12</v>
      </c>
      <c r="AG79" s="1935" t="n"/>
      <c r="AH79" s="793" t="n"/>
      <c r="AI79" s="1186" t="n"/>
    </row>
    <row r="80">
      <c r="A80" s="1170" t="inlineStr">
        <is>
          <t>Gastroenterología Pediátrica</t>
        </is>
      </c>
      <c r="B80" s="1244">
        <f>SUM(C80:E80)</f>
        <v/>
      </c>
      <c r="C80" s="1172" t="n"/>
      <c r="D80" s="2001" t="n"/>
      <c r="E80" s="2001" t="n"/>
      <c r="F80" s="1244">
        <f>SUM(G80:I80)</f>
        <v/>
      </c>
      <c r="G80" s="1172" t="n"/>
      <c r="H80" s="2001" t="n"/>
      <c r="I80" s="2001" t="n"/>
      <c r="J80" s="1244">
        <f>SUM(K80:M80)</f>
        <v/>
      </c>
      <c r="K80" s="1172" t="n"/>
      <c r="L80" s="2001" t="n"/>
      <c r="M80" s="885" t="n"/>
      <c r="N80" s="1244">
        <f>SUM(O80:P80)</f>
        <v/>
      </c>
      <c r="O80" s="1174" t="n"/>
      <c r="P80" s="1222" t="n"/>
      <c r="Q80" s="1175" t="n"/>
      <c r="R80" s="886" t="n"/>
      <c r="S80" s="1172" t="n"/>
      <c r="T80" s="886" t="n"/>
      <c r="U80" s="1174" t="n"/>
      <c r="V80" s="886" t="n"/>
      <c r="W80" s="1222" t="n"/>
      <c r="X80" s="1175" t="n"/>
      <c r="Y80" s="886" t="n"/>
      <c r="Z80" s="755" t="n"/>
      <c r="AA80" s="755" t="n"/>
      <c r="AB80" s="755" t="n"/>
      <c r="AC80" s="755" t="n"/>
      <c r="AD80" s="755" t="n"/>
      <c r="AE80" s="2553" t="n">
        <v>3</v>
      </c>
      <c r="AF80" s="2554" t="n">
        <v>0</v>
      </c>
      <c r="AG80" s="1935" t="n"/>
      <c r="AH80" s="793" t="n"/>
      <c r="AI80" s="1186" t="n"/>
    </row>
    <row r="81">
      <c r="A81" s="1170" t="inlineStr">
        <is>
          <t>Gastroenterología Adulto</t>
        </is>
      </c>
      <c r="B81" s="1244">
        <f>SUM(C81:E81)</f>
        <v/>
      </c>
      <c r="C81" s="1172" t="n"/>
      <c r="D81" s="2001" t="n"/>
      <c r="E81" s="2001" t="n"/>
      <c r="F81" s="1244">
        <f>SUM(G81:I81)</f>
        <v/>
      </c>
      <c r="G81" s="1172" t="n"/>
      <c r="H81" s="2001" t="n"/>
      <c r="I81" s="2001" t="n"/>
      <c r="J81" s="1244">
        <f>SUM(K81:M81)</f>
        <v/>
      </c>
      <c r="K81" s="1172" t="n"/>
      <c r="L81" s="2001" t="n"/>
      <c r="M81" s="885" t="n"/>
      <c r="N81" s="1244">
        <f>SUM(O81:P81)</f>
        <v/>
      </c>
      <c r="O81" s="1174" t="n"/>
      <c r="P81" s="1222" t="n"/>
      <c r="Q81" s="1175" t="n"/>
      <c r="R81" s="886" t="n"/>
      <c r="S81" s="1172" t="n"/>
      <c r="T81" s="886" t="n"/>
      <c r="U81" s="1174" t="n"/>
      <c r="V81" s="886" t="n"/>
      <c r="W81" s="1222" t="n"/>
      <c r="X81" s="1175" t="n"/>
      <c r="Y81" s="886" t="n"/>
      <c r="Z81" s="755" t="n"/>
      <c r="AA81" s="755" t="n"/>
      <c r="AB81" s="755" t="n"/>
      <c r="AC81" s="755" t="n"/>
      <c r="AD81" s="755" t="n"/>
      <c r="AE81" s="2553" t="n">
        <v>0</v>
      </c>
      <c r="AF81" s="2554" t="n">
        <v>25</v>
      </c>
      <c r="AG81" s="1935" t="n"/>
      <c r="AH81" s="793" t="n"/>
      <c r="AI81" s="1186" t="n"/>
    </row>
    <row r="82">
      <c r="A82" s="1170" t="inlineStr">
        <is>
          <t>Genética Clínica</t>
        </is>
      </c>
      <c r="B82" s="1244">
        <f>SUM(C82:E82)</f>
        <v/>
      </c>
      <c r="C82" s="1172" t="n"/>
      <c r="D82" s="2001" t="n"/>
      <c r="E82" s="2001" t="n"/>
      <c r="F82" s="1244">
        <f>SUM(G82:I82)</f>
        <v/>
      </c>
      <c r="G82" s="1172" t="n"/>
      <c r="H82" s="2001" t="n"/>
      <c r="I82" s="2001" t="n"/>
      <c r="J82" s="1244">
        <f>SUM(K82:M82)</f>
        <v/>
      </c>
      <c r="K82" s="1172" t="n"/>
      <c r="L82" s="2001" t="n"/>
      <c r="M82" s="885" t="n"/>
      <c r="N82" s="1244">
        <f>SUM(O82:P82)</f>
        <v/>
      </c>
      <c r="O82" s="1174" t="n"/>
      <c r="P82" s="1222" t="n"/>
      <c r="Q82" s="1175" t="n"/>
      <c r="R82" s="886" t="n"/>
      <c r="S82" s="1172" t="n"/>
      <c r="T82" s="886" t="n"/>
      <c r="U82" s="1174" t="n"/>
      <c r="V82" s="886" t="n"/>
      <c r="W82" s="1222" t="n"/>
      <c r="X82" s="1175" t="n"/>
      <c r="Y82" s="886" t="n"/>
      <c r="Z82" s="755" t="n"/>
      <c r="AA82" s="755" t="n"/>
      <c r="AB82" s="755" t="n"/>
      <c r="AC82" s="755" t="n"/>
      <c r="AD82" s="755" t="n"/>
      <c r="AE82" s="2553" t="n">
        <v>0</v>
      </c>
      <c r="AF82" s="2554" t="n">
        <v>0</v>
      </c>
      <c r="AG82" s="1935" t="n"/>
      <c r="AH82" s="793" t="n"/>
      <c r="AI82" s="1186" t="n"/>
    </row>
    <row r="83">
      <c r="A83" s="1170" t="inlineStr">
        <is>
          <t>Hematología</t>
        </is>
      </c>
      <c r="B83" s="1244">
        <f>SUM(C83:E83)</f>
        <v/>
      </c>
      <c r="C83" s="1172" t="n"/>
      <c r="D83" s="2001" t="n"/>
      <c r="E83" s="2001" t="n"/>
      <c r="F83" s="1244">
        <f>SUM(G83:I83)</f>
        <v/>
      </c>
      <c r="G83" s="1172" t="n"/>
      <c r="H83" s="2001" t="n"/>
      <c r="I83" s="2001" t="n"/>
      <c r="J83" s="1244">
        <f>SUM(K83:M83)</f>
        <v/>
      </c>
      <c r="K83" s="1172" t="n"/>
      <c r="L83" s="2001" t="n"/>
      <c r="M83" s="885" t="n"/>
      <c r="N83" s="1244">
        <f>SUM(O83:P83)</f>
        <v/>
      </c>
      <c r="O83" s="1174" t="n"/>
      <c r="P83" s="1222" t="n"/>
      <c r="Q83" s="1175" t="n"/>
      <c r="R83" s="886" t="n"/>
      <c r="S83" s="1172" t="n"/>
      <c r="T83" s="886" t="n"/>
      <c r="U83" s="1174" t="n"/>
      <c r="V83" s="886" t="n"/>
      <c r="W83" s="1222" t="n"/>
      <c r="X83" s="1175" t="n"/>
      <c r="Y83" s="886" t="n"/>
      <c r="Z83" s="755" t="n"/>
      <c r="AA83" s="755" t="n"/>
      <c r="AB83" s="755" t="n"/>
      <c r="AC83" s="755" t="n"/>
      <c r="AD83" s="755" t="n"/>
      <c r="AE83" s="2553" t="n">
        <v>0</v>
      </c>
      <c r="AF83" s="2554" t="n">
        <v>0</v>
      </c>
      <c r="AG83" s="1935" t="n"/>
      <c r="AH83" s="793" t="n"/>
      <c r="AI83" s="1186" t="n"/>
    </row>
    <row r="84">
      <c r="A84" s="8346" t="inlineStr">
        <is>
          <t>Medicina del adolescente</t>
        </is>
      </c>
      <c r="B84" s="1244">
        <f>SUM(C84:E84)</f>
        <v/>
      </c>
      <c r="C84" s="1172" t="n"/>
      <c r="D84" s="2001" t="n"/>
      <c r="E84" s="2001" t="n"/>
      <c r="F84" s="1244">
        <f>SUM(G84:I84)</f>
        <v/>
      </c>
      <c r="G84" s="1172" t="n"/>
      <c r="H84" s="2001" t="n"/>
      <c r="I84" s="2001" t="n"/>
      <c r="J84" s="1244">
        <f>SUM(K84:M84)</f>
        <v/>
      </c>
      <c r="K84" s="1172" t="n"/>
      <c r="L84" s="2001" t="n"/>
      <c r="M84" s="885" t="n"/>
      <c r="N84" s="1244">
        <f>SUM(O84:P84)</f>
        <v/>
      </c>
      <c r="O84" s="1174" t="n"/>
      <c r="P84" s="1222" t="n"/>
      <c r="Q84" s="1175" t="n"/>
      <c r="R84" s="886" t="n"/>
      <c r="S84" s="1172" t="n"/>
      <c r="T84" s="886" t="n"/>
      <c r="U84" s="1174" t="n"/>
      <c r="V84" s="886" t="n"/>
      <c r="W84" s="1222" t="n"/>
      <c r="X84" s="1175" t="n"/>
      <c r="Y84" s="886" t="n"/>
      <c r="Z84" s="755" t="n"/>
      <c r="AA84" s="755" t="n"/>
      <c r="AB84" s="755" t="n"/>
      <c r="AC84" s="755" t="n"/>
      <c r="AD84" s="755" t="n"/>
      <c r="AE84" s="2553" t="n">
        <v>0</v>
      </c>
      <c r="AF84" s="2554" t="n">
        <v>0</v>
      </c>
      <c r="AG84" s="1935" t="n"/>
      <c r="AH84" s="793" t="n"/>
      <c r="AI84" s="1186" t="n"/>
    </row>
    <row r="85">
      <c r="A85" s="1170" t="inlineStr">
        <is>
          <t>Nefrología Pediátrica</t>
        </is>
      </c>
      <c r="B85" s="1244">
        <f>SUM(C85:E85)</f>
        <v/>
      </c>
      <c r="C85" s="1172" t="n"/>
      <c r="D85" s="2001" t="n"/>
      <c r="E85" s="2001" t="n"/>
      <c r="F85" s="1244">
        <f>SUM(G85:I85)</f>
        <v/>
      </c>
      <c r="G85" s="1172" t="n"/>
      <c r="H85" s="2001" t="n"/>
      <c r="I85" s="2001" t="n"/>
      <c r="J85" s="1244">
        <f>SUM(K85:M85)</f>
        <v/>
      </c>
      <c r="K85" s="1172" t="n"/>
      <c r="L85" s="2001" t="n"/>
      <c r="M85" s="885" t="n"/>
      <c r="N85" s="1244">
        <f>SUM(O85:P85)</f>
        <v/>
      </c>
      <c r="O85" s="1174" t="n"/>
      <c r="P85" s="1222" t="n"/>
      <c r="Q85" s="1175" t="n"/>
      <c r="R85" s="886" t="n"/>
      <c r="S85" s="1172" t="n"/>
      <c r="T85" s="886" t="n"/>
      <c r="U85" s="1174" t="n"/>
      <c r="V85" s="886" t="n"/>
      <c r="W85" s="1222" t="n"/>
      <c r="X85" s="1175" t="n"/>
      <c r="Y85" s="886" t="n"/>
      <c r="Z85" s="755" t="n"/>
      <c r="AA85" s="755" t="n"/>
      <c r="AB85" s="755" t="n"/>
      <c r="AC85" s="755" t="n"/>
      <c r="AD85" s="755" t="n"/>
      <c r="AE85" s="2553" t="n">
        <v>1</v>
      </c>
      <c r="AF85" s="2554" t="n">
        <v>0</v>
      </c>
      <c r="AG85" s="1935" t="n"/>
      <c r="AH85" s="793" t="n"/>
      <c r="AI85" s="1186" t="n"/>
    </row>
    <row r="86">
      <c r="A86" s="1170" t="inlineStr">
        <is>
          <t>Nefrología Adulto</t>
        </is>
      </c>
      <c r="B86" s="1244">
        <f>SUM(C86:E86)</f>
        <v/>
      </c>
      <c r="C86" s="1172" t="n"/>
      <c r="D86" s="2001" t="n"/>
      <c r="E86" s="2001" t="n"/>
      <c r="F86" s="1244">
        <f>SUM(G86:I86)</f>
        <v/>
      </c>
      <c r="G86" s="1172" t="n"/>
      <c r="H86" s="2001" t="n"/>
      <c r="I86" s="2001" t="n"/>
      <c r="J86" s="1244">
        <f>SUM(K86:M86)</f>
        <v/>
      </c>
      <c r="K86" s="1172" t="n"/>
      <c r="L86" s="2001" t="n"/>
      <c r="M86" s="885" t="n"/>
      <c r="N86" s="1244">
        <f>SUM(O86:P86)</f>
        <v/>
      </c>
      <c r="O86" s="1174" t="n"/>
      <c r="P86" s="1222" t="n"/>
      <c r="Q86" s="1175" t="n"/>
      <c r="R86" s="886" t="n"/>
      <c r="S86" s="1172" t="n"/>
      <c r="T86" s="886" t="n"/>
      <c r="U86" s="1174" t="n"/>
      <c r="V86" s="886" t="n"/>
      <c r="W86" s="1222" t="n"/>
      <c r="X86" s="1175" t="n"/>
      <c r="Y86" s="886" t="n"/>
      <c r="Z86" s="755" t="n"/>
      <c r="AA86" s="755" t="n"/>
      <c r="AB86" s="755" t="n"/>
      <c r="AC86" s="755" t="n"/>
      <c r="AD86" s="755" t="n"/>
      <c r="AE86" s="2553" t="n">
        <v>0</v>
      </c>
      <c r="AF86" s="2554" t="n">
        <v>2</v>
      </c>
      <c r="AG86" s="1935" t="n"/>
      <c r="AH86" s="793" t="n"/>
      <c r="AI86" s="1186" t="n"/>
    </row>
    <row r="87">
      <c r="A87" s="1170" t="inlineStr">
        <is>
          <t>Nutrición clínica</t>
        </is>
      </c>
      <c r="B87" s="1244">
        <f>SUM(C87:E87)</f>
        <v/>
      </c>
      <c r="C87" s="1172" t="n"/>
      <c r="D87" s="2001" t="n"/>
      <c r="E87" s="2001" t="n"/>
      <c r="F87" s="1244">
        <f>SUM(G87:I87)</f>
        <v/>
      </c>
      <c r="G87" s="1172" t="n"/>
      <c r="H87" s="2001" t="n"/>
      <c r="I87" s="2001" t="n"/>
      <c r="J87" s="1244">
        <f>SUM(K87:M87)</f>
        <v/>
      </c>
      <c r="K87" s="1172" t="n"/>
      <c r="L87" s="2001" t="n"/>
      <c r="M87" s="885" t="n"/>
      <c r="N87" s="1244">
        <f>SUM(O87:P87)</f>
        <v/>
      </c>
      <c r="O87" s="1174" t="n"/>
      <c r="P87" s="1222" t="n"/>
      <c r="Q87" s="1175" t="n"/>
      <c r="R87" s="886" t="n"/>
      <c r="S87" s="1172" t="n"/>
      <c r="T87" s="886" t="n"/>
      <c r="U87" s="1174" t="n"/>
      <c r="V87" s="886" t="n"/>
      <c r="W87" s="1222" t="n"/>
      <c r="X87" s="1175" t="n"/>
      <c r="Y87" s="886" t="n"/>
      <c r="Z87" s="755" t="n"/>
      <c r="AA87" s="755" t="n"/>
      <c r="AB87" s="755" t="n"/>
      <c r="AC87" s="755" t="n"/>
      <c r="AD87" s="755" t="n"/>
      <c r="AE87" s="2553" t="n">
        <v>0</v>
      </c>
      <c r="AF87" s="2554" t="n">
        <v>0</v>
      </c>
      <c r="AG87" s="1935" t="n"/>
      <c r="AH87" s="793" t="n"/>
      <c r="AI87" s="1186" t="n"/>
    </row>
    <row r="88">
      <c r="A88" s="288" t="inlineStr">
        <is>
          <t>Medicina Materno fetal</t>
        </is>
      </c>
      <c r="B88" s="1244">
        <f>SUM(C88:E88)</f>
        <v/>
      </c>
      <c r="C88" s="1172" t="n"/>
      <c r="D88" s="2001" t="n"/>
      <c r="E88" s="2001" t="n"/>
      <c r="F88" s="1244">
        <f>SUM(G88:I88)</f>
        <v/>
      </c>
      <c r="G88" s="1172" t="n"/>
      <c r="H88" s="2001" t="n"/>
      <c r="I88" s="2001" t="n"/>
      <c r="J88" s="1244">
        <f>SUM(K88:M88)</f>
        <v/>
      </c>
      <c r="K88" s="1172" t="n"/>
      <c r="L88" s="2001" t="n"/>
      <c r="M88" s="885" t="n"/>
      <c r="N88" s="1244">
        <f>SUM(O88:P88)</f>
        <v/>
      </c>
      <c r="O88" s="1174" t="n"/>
      <c r="P88" s="1222" t="n"/>
      <c r="Q88" s="1175" t="n"/>
      <c r="R88" s="886" t="n"/>
      <c r="S88" s="1172" t="n"/>
      <c r="T88" s="886" t="n"/>
      <c r="U88" s="1174" t="n"/>
      <c r="V88" s="886" t="n"/>
      <c r="W88" s="1222" t="n"/>
      <c r="X88" s="1175" t="n"/>
      <c r="Y88" s="886" t="n"/>
      <c r="Z88" s="755" t="n"/>
      <c r="AA88" s="755" t="n"/>
      <c r="AB88" s="755" t="n"/>
      <c r="AC88" s="755" t="n"/>
      <c r="AD88" s="755" t="n"/>
      <c r="AE88" s="2553" t="n">
        <v>0</v>
      </c>
      <c r="AF88" s="2554" t="n">
        <v>0</v>
      </c>
      <c r="AG88" s="1935" t="n"/>
      <c r="AH88" s="793" t="n"/>
      <c r="AI88" s="1186" t="n"/>
    </row>
    <row r="89">
      <c r="A89" s="1170" t="inlineStr">
        <is>
          <t xml:space="preserve">Reumatología </t>
        </is>
      </c>
      <c r="B89" s="1244">
        <f>SUM(C89:E89)</f>
        <v/>
      </c>
      <c r="C89" s="1172" t="n"/>
      <c r="D89" s="2001" t="n"/>
      <c r="E89" s="2001" t="n"/>
      <c r="F89" s="1244">
        <f>SUM(G89:I89)</f>
        <v/>
      </c>
      <c r="G89" s="1172" t="n"/>
      <c r="H89" s="2001" t="n"/>
      <c r="I89" s="2001" t="n"/>
      <c r="J89" s="1244">
        <f>SUM(K89:M89)</f>
        <v/>
      </c>
      <c r="K89" s="1172" t="n"/>
      <c r="L89" s="2001" t="n"/>
      <c r="M89" s="885" t="n"/>
      <c r="N89" s="1244">
        <f>SUM(O89:P89)</f>
        <v/>
      </c>
      <c r="O89" s="1174" t="n"/>
      <c r="P89" s="1222" t="n"/>
      <c r="Q89" s="1175" t="n"/>
      <c r="R89" s="886" t="n"/>
      <c r="S89" s="1172" t="n"/>
      <c r="T89" s="886" t="n"/>
      <c r="U89" s="1174" t="n"/>
      <c r="V89" s="886" t="n"/>
      <c r="W89" s="1222" t="n"/>
      <c r="X89" s="1175" t="n"/>
      <c r="Y89" s="886" t="n"/>
      <c r="Z89" s="755" t="n"/>
      <c r="AA89" s="755" t="n"/>
      <c r="AB89" s="755" t="n"/>
      <c r="AC89" s="755" t="n"/>
      <c r="AD89" s="755" t="n"/>
      <c r="AE89" s="2553" t="n">
        <v>0</v>
      </c>
      <c r="AF89" s="2554" t="n">
        <v>3</v>
      </c>
      <c r="AG89" s="1935" t="n"/>
      <c r="AH89" s="793" t="n"/>
      <c r="AI89" s="1186" t="n"/>
    </row>
    <row r="90">
      <c r="A90" s="1170" t="inlineStr">
        <is>
          <t>Medicina Paliativa y Manejo del Dolor</t>
        </is>
      </c>
      <c r="B90" s="1244">
        <f>SUM(C90:E90)</f>
        <v/>
      </c>
      <c r="C90" s="1172" t="n"/>
      <c r="D90" s="2001" t="n"/>
      <c r="E90" s="2001" t="n"/>
      <c r="F90" s="1244">
        <f>SUM(G90:I90)</f>
        <v/>
      </c>
      <c r="G90" s="1172" t="n"/>
      <c r="H90" s="2001" t="n"/>
      <c r="I90" s="2001" t="n"/>
      <c r="J90" s="1244">
        <f>SUM(K90:M90)</f>
        <v/>
      </c>
      <c r="K90" s="1172" t="n"/>
      <c r="L90" s="2001" t="n"/>
      <c r="M90" s="885" t="n"/>
      <c r="N90" s="1244">
        <f>SUM(O90:P90)</f>
        <v/>
      </c>
      <c r="O90" s="1174" t="n"/>
      <c r="P90" s="1222" t="n"/>
      <c r="Q90" s="1175" t="n"/>
      <c r="R90" s="886" t="n"/>
      <c r="S90" s="1172" t="n"/>
      <c r="T90" s="886" t="n"/>
      <c r="U90" s="1174" t="n"/>
      <c r="V90" s="886" t="n"/>
      <c r="W90" s="1222" t="n"/>
      <c r="X90" s="1175" t="n"/>
      <c r="Y90" s="886" t="n"/>
      <c r="Z90" s="755" t="n"/>
      <c r="AA90" s="755" t="n"/>
      <c r="AB90" s="755" t="n"/>
      <c r="AC90" s="755" t="n"/>
      <c r="AD90" s="755" t="n"/>
      <c r="AE90" s="2553" t="n">
        <v>0</v>
      </c>
      <c r="AF90" s="2554" t="n">
        <v>0</v>
      </c>
      <c r="AG90" s="1935" t="n"/>
      <c r="AH90" s="793" t="n"/>
      <c r="AI90" s="1186" t="n"/>
    </row>
    <row r="91">
      <c r="A91" s="1170" t="inlineStr">
        <is>
          <t>Dermatología</t>
        </is>
      </c>
      <c r="B91" s="1244">
        <f>SUM(C91:E91)</f>
        <v/>
      </c>
      <c r="C91" s="1172" t="n"/>
      <c r="D91" s="2001" t="n"/>
      <c r="E91" s="2001" t="n"/>
      <c r="F91" s="1244">
        <f>SUM(G91:I91)</f>
        <v/>
      </c>
      <c r="G91" s="1172" t="n"/>
      <c r="H91" s="2001" t="n"/>
      <c r="I91" s="2001" t="n"/>
      <c r="J91" s="1244">
        <f>SUM(K91:M91)</f>
        <v/>
      </c>
      <c r="K91" s="1172" t="n"/>
      <c r="L91" s="2001" t="n"/>
      <c r="M91" s="885" t="n"/>
      <c r="N91" s="1244">
        <f>SUM(O91:P91)</f>
        <v/>
      </c>
      <c r="O91" s="1174" t="n"/>
      <c r="P91" s="1222" t="n"/>
      <c r="Q91" s="1175" t="n"/>
      <c r="R91" s="886" t="n"/>
      <c r="S91" s="1172" t="n"/>
      <c r="T91" s="886" t="n"/>
      <c r="U91" s="1174" t="n"/>
      <c r="V91" s="886" t="n"/>
      <c r="W91" s="1222" t="n"/>
      <c r="X91" s="1175" t="n"/>
      <c r="Y91" s="886" t="n"/>
      <c r="Z91" s="755" t="n"/>
      <c r="AA91" s="755" t="n"/>
      <c r="AB91" s="755" t="n"/>
      <c r="AC91" s="755" t="n"/>
      <c r="AD91" s="755" t="n"/>
      <c r="AE91" s="2553" t="n">
        <v>0</v>
      </c>
      <c r="AF91" s="2554" t="n">
        <v>8</v>
      </c>
      <c r="AG91" s="1935" t="n"/>
      <c r="AH91" s="793" t="n"/>
      <c r="AI91" s="1186" t="n"/>
    </row>
    <row r="92">
      <c r="A92" s="1170" t="inlineStr">
        <is>
          <t>Infectología</t>
        </is>
      </c>
      <c r="B92" s="1244">
        <f>SUM(C92:E92)</f>
        <v/>
      </c>
      <c r="C92" s="1172" t="n"/>
      <c r="D92" s="2001" t="n"/>
      <c r="E92" s="2001" t="n"/>
      <c r="F92" s="1244">
        <f>SUM(G92:I92)</f>
        <v/>
      </c>
      <c r="G92" s="1172" t="n"/>
      <c r="H92" s="2001" t="n"/>
      <c r="I92" s="2001" t="n"/>
      <c r="J92" s="1244">
        <f>SUM(K92:M92)</f>
        <v/>
      </c>
      <c r="K92" s="1172" t="n"/>
      <c r="L92" s="2001" t="n"/>
      <c r="M92" s="885" t="n"/>
      <c r="N92" s="1244">
        <f>SUM(O92:P92)</f>
        <v/>
      </c>
      <c r="O92" s="1174" t="n"/>
      <c r="P92" s="1222" t="n"/>
      <c r="Q92" s="1175" t="n"/>
      <c r="R92" s="886" t="n"/>
      <c r="S92" s="1172" t="n"/>
      <c r="T92" s="886" t="n"/>
      <c r="U92" s="1174" t="n"/>
      <c r="V92" s="886" t="n"/>
      <c r="W92" s="1222" t="n"/>
      <c r="X92" s="1175" t="n"/>
      <c r="Y92" s="886" t="n"/>
      <c r="Z92" s="755" t="n"/>
      <c r="AA92" s="755" t="n"/>
      <c r="AB92" s="755" t="n"/>
      <c r="AC92" s="755" t="n"/>
      <c r="AD92" s="755" t="n"/>
      <c r="AE92" s="2553" t="n">
        <v>0</v>
      </c>
      <c r="AF92" s="2554" t="n">
        <v>1</v>
      </c>
      <c r="AG92" s="1935" t="n"/>
      <c r="AH92" s="793" t="n"/>
      <c r="AI92" s="1186" t="n"/>
    </row>
    <row r="93">
      <c r="A93" s="1170" t="inlineStr">
        <is>
          <t>Inmunología</t>
        </is>
      </c>
      <c r="B93" s="1244">
        <f>SUM(C93:E93)</f>
        <v/>
      </c>
      <c r="C93" s="1172" t="n"/>
      <c r="D93" s="2001" t="n"/>
      <c r="E93" s="2001" t="n"/>
      <c r="F93" s="1244">
        <f>SUM(G93:I93)</f>
        <v/>
      </c>
      <c r="G93" s="1172" t="n"/>
      <c r="H93" s="2001" t="n"/>
      <c r="I93" s="2001" t="n"/>
      <c r="J93" s="1244">
        <f>SUM(K93:M93)</f>
        <v/>
      </c>
      <c r="K93" s="1172" t="n"/>
      <c r="L93" s="2001" t="n"/>
      <c r="M93" s="885" t="n"/>
      <c r="N93" s="1244">
        <f>SUM(O93:P93)</f>
        <v/>
      </c>
      <c r="O93" s="1174" t="n"/>
      <c r="P93" s="1222" t="n"/>
      <c r="Q93" s="1175" t="n"/>
      <c r="R93" s="886" t="n"/>
      <c r="S93" s="1172" t="n"/>
      <c r="T93" s="886" t="n"/>
      <c r="U93" s="1174" t="n"/>
      <c r="V93" s="886" t="n"/>
      <c r="W93" s="1222" t="n"/>
      <c r="X93" s="1175" t="n"/>
      <c r="Y93" s="886" t="n"/>
      <c r="Z93" s="755" t="n"/>
      <c r="AA93" s="755" t="n"/>
      <c r="AB93" s="755" t="n"/>
      <c r="AC93" s="755" t="n"/>
      <c r="AD93" s="755" t="n"/>
      <c r="AE93" s="2553" t="n">
        <v>0</v>
      </c>
      <c r="AF93" s="2554" t="n">
        <v>0</v>
      </c>
      <c r="AG93" s="1935" t="n"/>
      <c r="AH93" s="793" t="n"/>
      <c r="AI93" s="1186" t="n"/>
    </row>
    <row r="94">
      <c r="A94" s="1170" t="inlineStr">
        <is>
          <t>Geriatría</t>
        </is>
      </c>
      <c r="B94" s="1244">
        <f>SUM(C94:E94)</f>
        <v/>
      </c>
      <c r="C94" s="1172" t="n"/>
      <c r="D94" s="2001" t="n"/>
      <c r="E94" s="2001" t="n"/>
      <c r="F94" s="1244">
        <f>SUM(G94:I94)</f>
        <v/>
      </c>
      <c r="G94" s="1172" t="n"/>
      <c r="H94" s="2001" t="n"/>
      <c r="I94" s="2001" t="n"/>
      <c r="J94" s="1244">
        <f>SUM(K94:M94)</f>
        <v/>
      </c>
      <c r="K94" s="1172" t="n"/>
      <c r="L94" s="2001" t="n"/>
      <c r="M94" s="885" t="n"/>
      <c r="N94" s="1244">
        <f>SUM(O94:P94)</f>
        <v/>
      </c>
      <c r="O94" s="1174" t="n"/>
      <c r="P94" s="1222" t="n"/>
      <c r="Q94" s="1175" t="n"/>
      <c r="R94" s="886" t="n"/>
      <c r="S94" s="1172" t="n"/>
      <c r="T94" s="886" t="n"/>
      <c r="U94" s="1174" t="n"/>
      <c r="V94" s="886" t="n"/>
      <c r="W94" s="1222" t="n"/>
      <c r="X94" s="1175" t="n"/>
      <c r="Y94" s="886" t="n"/>
      <c r="Z94" s="755" t="n"/>
      <c r="AA94" s="755" t="n"/>
      <c r="AB94" s="755" t="n"/>
      <c r="AC94" s="755" t="n"/>
      <c r="AD94" s="755" t="n"/>
      <c r="AE94" s="2553" t="n">
        <v>0</v>
      </c>
      <c r="AF94" s="2554" t="n">
        <v>0</v>
      </c>
      <c r="AG94" s="1935" t="n"/>
      <c r="AH94" s="793" t="n"/>
      <c r="AI94" s="1186" t="n"/>
    </row>
    <row r="95">
      <c r="A95" s="1170" t="inlineStr">
        <is>
          <t>Medicina Física y Rehabilitación</t>
        </is>
      </c>
      <c r="B95" s="1244">
        <f>SUM(C95:E95)</f>
        <v/>
      </c>
      <c r="C95" s="1172" t="n"/>
      <c r="D95" s="2001" t="n"/>
      <c r="E95" s="2001" t="n"/>
      <c r="F95" s="1244">
        <f>SUM(G95:I95)</f>
        <v/>
      </c>
      <c r="G95" s="1172" t="n"/>
      <c r="H95" s="2001" t="n"/>
      <c r="I95" s="2001" t="n"/>
      <c r="J95" s="1244">
        <f>SUM(K95:M95)</f>
        <v/>
      </c>
      <c r="K95" s="1172" t="n"/>
      <c r="L95" s="2001" t="n"/>
      <c r="M95" s="885" t="n"/>
      <c r="N95" s="1244">
        <f>SUM(O95:P95)</f>
        <v/>
      </c>
      <c r="O95" s="1174" t="n"/>
      <c r="P95" s="1222" t="n"/>
      <c r="Q95" s="1175" t="n"/>
      <c r="R95" s="886" t="n"/>
      <c r="S95" s="1172" t="n"/>
      <c r="T95" s="886" t="n"/>
      <c r="U95" s="1174" t="n"/>
      <c r="V95" s="886" t="n"/>
      <c r="W95" s="1222" t="n"/>
      <c r="X95" s="1175" t="n"/>
      <c r="Y95" s="886" t="n"/>
      <c r="Z95" s="755" t="n"/>
      <c r="AA95" s="755" t="n"/>
      <c r="AB95" s="755" t="n"/>
      <c r="AC95" s="755" t="n"/>
      <c r="AD95" s="755" t="n"/>
      <c r="AE95" s="2553" t="n">
        <v>0</v>
      </c>
      <c r="AF95" s="2554" t="n">
        <v>4</v>
      </c>
      <c r="AG95" s="1935" t="n"/>
      <c r="AH95" s="793" t="n"/>
      <c r="AI95" s="1186" t="n"/>
    </row>
    <row r="96">
      <c r="A96" s="288" t="inlineStr">
        <is>
          <t>Medicina Reproductiva e Infertilidad</t>
        </is>
      </c>
      <c r="B96" s="1244">
        <f>SUM(C96:E96)</f>
        <v/>
      </c>
      <c r="C96" s="1172" t="n"/>
      <c r="D96" s="2001" t="n"/>
      <c r="E96" s="2001" t="n"/>
      <c r="F96" s="1244">
        <f>SUM(G96:I96)</f>
        <v/>
      </c>
      <c r="G96" s="1172" t="n"/>
      <c r="H96" s="2001" t="n"/>
      <c r="I96" s="2001" t="n"/>
      <c r="J96" s="1244">
        <f>SUM(K96:M96)</f>
        <v/>
      </c>
      <c r="K96" s="1172" t="n"/>
      <c r="L96" s="2001" t="n"/>
      <c r="M96" s="885" t="n"/>
      <c r="N96" s="1244">
        <f>SUM(O96:P96)</f>
        <v/>
      </c>
      <c r="O96" s="1174" t="n"/>
      <c r="P96" s="1222" t="n"/>
      <c r="Q96" s="1175" t="n"/>
      <c r="R96" s="886" t="n"/>
      <c r="S96" s="1172" t="n"/>
      <c r="T96" s="886" t="n"/>
      <c r="U96" s="1174" t="n"/>
      <c r="V96" s="886" t="n"/>
      <c r="W96" s="1222" t="n"/>
      <c r="X96" s="1175" t="n"/>
      <c r="Y96" s="886" t="n"/>
      <c r="Z96" s="755" t="n"/>
      <c r="AA96" s="755" t="n"/>
      <c r="AB96" s="755" t="n"/>
      <c r="AC96" s="755" t="n"/>
      <c r="AD96" s="755" t="n"/>
      <c r="AE96" s="2553" t="n">
        <v>0</v>
      </c>
      <c r="AF96" s="2554" t="n">
        <v>0</v>
      </c>
      <c r="AG96" s="1935" t="n"/>
      <c r="AH96" s="793" t="n"/>
      <c r="AI96" s="1186" t="n"/>
    </row>
    <row r="97">
      <c r="A97" s="1170" t="inlineStr">
        <is>
          <t>Neurología Pediátrica</t>
        </is>
      </c>
      <c r="B97" s="1244">
        <f>SUM(C97:E97)</f>
        <v/>
      </c>
      <c r="C97" s="1172" t="n"/>
      <c r="D97" s="2001" t="n"/>
      <c r="E97" s="2001" t="n"/>
      <c r="F97" s="1244">
        <f>SUM(G97:I97)</f>
        <v/>
      </c>
      <c r="G97" s="1172" t="n"/>
      <c r="H97" s="2001" t="n"/>
      <c r="I97" s="2001" t="n"/>
      <c r="J97" s="1244">
        <f>SUM(K97:M97)</f>
        <v/>
      </c>
      <c r="K97" s="1172" t="n"/>
      <c r="L97" s="2001" t="n"/>
      <c r="M97" s="885" t="n"/>
      <c r="N97" s="1244">
        <f>SUM(O97:P97)</f>
        <v/>
      </c>
      <c r="O97" s="1174" t="n"/>
      <c r="P97" s="1222" t="n"/>
      <c r="Q97" s="1175" t="n"/>
      <c r="R97" s="886" t="n"/>
      <c r="S97" s="1172" t="n"/>
      <c r="T97" s="886" t="n"/>
      <c r="U97" s="1174" t="n"/>
      <c r="V97" s="886" t="n"/>
      <c r="W97" s="1222" t="n"/>
      <c r="X97" s="1175" t="n"/>
      <c r="Y97" s="886" t="n"/>
      <c r="Z97" s="755" t="n"/>
      <c r="AA97" s="755" t="n"/>
      <c r="AB97" s="755" t="n"/>
      <c r="AC97" s="755" t="n"/>
      <c r="AD97" s="755" t="n"/>
      <c r="AE97" s="2553" t="n">
        <v>17</v>
      </c>
      <c r="AF97" s="2554" t="n">
        <v>0</v>
      </c>
      <c r="AG97" s="1935" t="n"/>
      <c r="AH97" s="793" t="n"/>
      <c r="AI97" s="1186" t="n"/>
    </row>
    <row r="98">
      <c r="A98" s="1170" t="inlineStr">
        <is>
          <t>Neurología Adulto</t>
        </is>
      </c>
      <c r="B98" s="659">
        <f>SUM(C98:E98)</f>
        <v/>
      </c>
      <c r="C98" s="645" t="n"/>
      <c r="D98" s="145" t="n"/>
      <c r="E98" s="145" t="n"/>
      <c r="F98" s="659">
        <f>SUM(G98:I98)</f>
        <v/>
      </c>
      <c r="G98" s="645" t="n"/>
      <c r="H98" s="145" t="n"/>
      <c r="I98" s="145" t="n"/>
      <c r="J98" s="659">
        <f>SUM(K98:M98)</f>
        <v/>
      </c>
      <c r="K98" s="645" t="n"/>
      <c r="L98" s="145" t="n"/>
      <c r="M98" s="2556" t="n"/>
      <c r="N98" s="1244">
        <f>SUM(O98:P98)</f>
        <v/>
      </c>
      <c r="O98" s="204" t="n"/>
      <c r="P98" s="37" t="n"/>
      <c r="Q98" s="1175" t="n"/>
      <c r="R98" s="886" t="n"/>
      <c r="S98" s="1172" t="n"/>
      <c r="T98" s="886" t="n"/>
      <c r="U98" s="1174" t="n"/>
      <c r="V98" s="886" t="n"/>
      <c r="W98" s="1222" t="n"/>
      <c r="X98" s="1175" t="n"/>
      <c r="Y98" s="886" t="n"/>
      <c r="Z98" s="755" t="n"/>
      <c r="AA98" s="755" t="n"/>
      <c r="AB98" s="755" t="n"/>
      <c r="AC98" s="755" t="n"/>
      <c r="AD98" s="755" t="n"/>
      <c r="AE98" s="2553" t="n">
        <v>0</v>
      </c>
      <c r="AF98" s="2554" t="n">
        <v>9</v>
      </c>
      <c r="AG98" s="1935" t="n"/>
      <c r="AH98" s="793" t="n"/>
      <c r="AI98" s="1186" t="n"/>
    </row>
    <row r="99">
      <c r="A99" s="1170" t="inlineStr">
        <is>
          <t>Oncología Médica</t>
        </is>
      </c>
      <c r="B99" s="1244">
        <f>SUM(C99:E99)</f>
        <v/>
      </c>
      <c r="C99" s="1172" t="n"/>
      <c r="D99" s="2001" t="n"/>
      <c r="E99" s="2001" t="n"/>
      <c r="F99" s="1244">
        <f>SUM(G99:I99)</f>
        <v/>
      </c>
      <c r="G99" s="1172" t="n"/>
      <c r="H99" s="2001" t="n"/>
      <c r="I99" s="2001" t="n"/>
      <c r="J99" s="1244">
        <f>SUM(K99:M99)</f>
        <v/>
      </c>
      <c r="K99" s="1172" t="n"/>
      <c r="L99" s="2001" t="n"/>
      <c r="M99" s="885" t="n"/>
      <c r="N99" s="1244">
        <f>SUM(O99:P99)</f>
        <v/>
      </c>
      <c r="O99" s="1174" t="n"/>
      <c r="P99" s="1222" t="n"/>
      <c r="Q99" s="1175" t="n"/>
      <c r="R99" s="886" t="n"/>
      <c r="S99" s="1172" t="n"/>
      <c r="T99" s="886" t="n"/>
      <c r="U99" s="1174" t="n"/>
      <c r="V99" s="886" t="n"/>
      <c r="W99" s="1222" t="n"/>
      <c r="X99" s="1175" t="n"/>
      <c r="Y99" s="886" t="n"/>
      <c r="Z99" s="755" t="n"/>
      <c r="AA99" s="755" t="n"/>
      <c r="AB99" s="755" t="n"/>
      <c r="AC99" s="755" t="n"/>
      <c r="AD99" s="755" t="n"/>
      <c r="AE99" s="2553" t="n">
        <v>0</v>
      </c>
      <c r="AF99" s="2554" t="n">
        <v>2</v>
      </c>
      <c r="AG99" s="1935" t="n"/>
      <c r="AH99" s="793" t="n"/>
      <c r="AI99" s="1186" t="n"/>
    </row>
    <row r="100">
      <c r="A100" s="1170" t="inlineStr">
        <is>
          <t>Psiquiatría Pediátrica y de la Adolescencia</t>
        </is>
      </c>
      <c r="B100" s="1244">
        <f>SUM(C100:E100)</f>
        <v/>
      </c>
      <c r="C100" s="1172" t="n"/>
      <c r="D100" s="2001" t="n"/>
      <c r="E100" s="2001" t="n"/>
      <c r="F100" s="1244">
        <f>SUM(G100:I100)</f>
        <v/>
      </c>
      <c r="G100" s="1172" t="n"/>
      <c r="H100" s="2001" t="n"/>
      <c r="I100" s="2001" t="n"/>
      <c r="J100" s="1244">
        <f>SUM(K100:M100)</f>
        <v/>
      </c>
      <c r="K100" s="1172" t="n"/>
      <c r="L100" s="2001" t="n"/>
      <c r="M100" s="885" t="n"/>
      <c r="N100" s="1244">
        <f>SUM(O100:P100)</f>
        <v/>
      </c>
      <c r="O100" s="1174" t="n"/>
      <c r="P100" s="1222" t="n"/>
      <c r="Q100" s="1175" t="n"/>
      <c r="R100" s="886" t="n"/>
      <c r="S100" s="1172" t="n"/>
      <c r="T100" s="886" t="n"/>
      <c r="U100" s="1174" t="n"/>
      <c r="V100" s="886" t="n"/>
      <c r="W100" s="1222" t="n"/>
      <c r="X100" s="1175" t="n"/>
      <c r="Y100" s="886" t="n"/>
      <c r="Z100" s="755" t="n"/>
      <c r="AA100" s="755" t="n"/>
      <c r="AB100" s="755" t="n"/>
      <c r="AC100" s="755" t="n"/>
      <c r="AD100" s="755" t="n"/>
      <c r="AE100" s="2553" t="n">
        <v>6</v>
      </c>
      <c r="AF100" s="2554" t="n">
        <v>0</v>
      </c>
      <c r="AG100" s="1935" t="n"/>
      <c r="AH100" s="793" t="n"/>
      <c r="AI100" s="1186" t="n"/>
    </row>
    <row r="101">
      <c r="A101" s="1170" t="inlineStr">
        <is>
          <t>Psiquiatría Adulto</t>
        </is>
      </c>
      <c r="B101" s="1244">
        <f>SUM(C101:E101)</f>
        <v/>
      </c>
      <c r="C101" s="1172" t="n"/>
      <c r="D101" s="2001" t="n"/>
      <c r="E101" s="2001" t="n"/>
      <c r="F101" s="1244">
        <f>SUM(G101:I101)</f>
        <v/>
      </c>
      <c r="G101" s="1172" t="n"/>
      <c r="H101" s="2001" t="n"/>
      <c r="I101" s="2001" t="n"/>
      <c r="J101" s="1244">
        <f>SUM(K101:M101)</f>
        <v/>
      </c>
      <c r="K101" s="1172" t="n"/>
      <c r="L101" s="2001" t="n"/>
      <c r="M101" s="885" t="n"/>
      <c r="N101" s="1244">
        <f>SUM(O101:P101)</f>
        <v/>
      </c>
      <c r="O101" s="1174" t="n"/>
      <c r="P101" s="1222" t="n"/>
      <c r="Q101" s="1175" t="n"/>
      <c r="R101" s="886" t="n"/>
      <c r="S101" s="1172" t="n"/>
      <c r="T101" s="886" t="n"/>
      <c r="U101" s="1174" t="n"/>
      <c r="V101" s="886" t="n"/>
      <c r="W101" s="1222" t="n"/>
      <c r="X101" s="1175" t="n"/>
      <c r="Y101" s="886" t="n"/>
      <c r="Z101" s="755" t="n"/>
      <c r="AA101" s="755" t="n"/>
      <c r="AB101" s="755" t="n"/>
      <c r="AC101" s="755" t="n"/>
      <c r="AD101" s="755" t="n"/>
      <c r="AE101" s="2553" t="n">
        <v>0</v>
      </c>
      <c r="AF101" s="2554" t="n">
        <v>4</v>
      </c>
      <c r="AG101" s="1935" t="n"/>
      <c r="AH101" s="793" t="n"/>
      <c r="AI101" s="1186" t="n"/>
    </row>
    <row r="102">
      <c r="A102" s="1170" t="inlineStr">
        <is>
          <t>Cirugía Pediátrica</t>
        </is>
      </c>
      <c r="B102" s="2557">
        <f>SUM(C102:E102)</f>
        <v/>
      </c>
      <c r="C102" s="1935" t="n"/>
      <c r="D102" s="793" t="n"/>
      <c r="E102" s="793" t="n"/>
      <c r="F102" s="2557">
        <f>SUM(G102:I102)</f>
        <v/>
      </c>
      <c r="G102" s="1935" t="n"/>
      <c r="H102" s="793" t="n"/>
      <c r="I102" s="793" t="n"/>
      <c r="J102" s="2557">
        <f>SUM(K102:M102)</f>
        <v/>
      </c>
      <c r="K102" s="1935" t="n"/>
      <c r="L102" s="793" t="n"/>
      <c r="M102" s="2261" t="n"/>
      <c r="N102" s="1244">
        <f>SUM(O102:P102)</f>
        <v/>
      </c>
      <c r="O102" s="1432" t="n"/>
      <c r="P102" s="36" t="n"/>
      <c r="Q102" s="1175" t="n"/>
      <c r="R102" s="886" t="n"/>
      <c r="S102" s="1172" t="n"/>
      <c r="T102" s="886" t="n"/>
      <c r="U102" s="1174" t="n"/>
      <c r="V102" s="886" t="n"/>
      <c r="W102" s="1222" t="n"/>
      <c r="X102" s="1175" t="n"/>
      <c r="Y102" s="886" t="n"/>
      <c r="Z102" s="755" t="n"/>
      <c r="AA102" s="755" t="n"/>
      <c r="AB102" s="755" t="n"/>
      <c r="AC102" s="755" t="n"/>
      <c r="AD102" s="755" t="n"/>
      <c r="AE102" s="2553" t="n">
        <v>13</v>
      </c>
      <c r="AF102" s="2554" t="n">
        <v>0</v>
      </c>
      <c r="AG102" s="1935" t="n"/>
      <c r="AH102" s="793" t="n"/>
      <c r="AI102" s="1186" t="n"/>
    </row>
    <row r="103">
      <c r="A103" s="1170" t="inlineStr">
        <is>
          <t>Cirugía General</t>
        </is>
      </c>
      <c r="B103" s="659">
        <f>SUM(C103:E103)</f>
        <v/>
      </c>
      <c r="C103" s="645" t="n"/>
      <c r="D103" s="145" t="n"/>
      <c r="E103" s="145" t="n"/>
      <c r="F103" s="659">
        <f>SUM(G103:I103)</f>
        <v/>
      </c>
      <c r="G103" s="645" t="n"/>
      <c r="H103" s="145" t="n"/>
      <c r="I103" s="145" t="n"/>
      <c r="J103" s="659">
        <f>SUM(K103:M103)</f>
        <v/>
      </c>
      <c r="K103" s="645" t="n"/>
      <c r="L103" s="145" t="n"/>
      <c r="M103" s="2556" t="n"/>
      <c r="N103" s="1244">
        <f>SUM(O103:P103)</f>
        <v/>
      </c>
      <c r="O103" s="204" t="n"/>
      <c r="P103" s="37" t="n"/>
      <c r="Q103" s="1175" t="n"/>
      <c r="R103" s="886" t="n"/>
      <c r="S103" s="1172" t="n"/>
      <c r="T103" s="886" t="n"/>
      <c r="U103" s="1174" t="n"/>
      <c r="V103" s="886" t="n"/>
      <c r="W103" s="1173" t="n"/>
      <c r="X103" s="1175" t="n"/>
      <c r="Y103" s="886" t="n"/>
      <c r="Z103" s="755" t="n"/>
      <c r="AA103" s="755" t="n"/>
      <c r="AB103" s="755" t="n"/>
      <c r="AC103" s="755" t="n"/>
      <c r="AD103" s="755" t="n"/>
      <c r="AE103" s="2553" t="n">
        <v>0</v>
      </c>
      <c r="AF103" s="2554" t="n">
        <v>11</v>
      </c>
      <c r="AG103" s="1935" t="n"/>
      <c r="AH103" s="793" t="n"/>
      <c r="AI103" s="1186" t="n"/>
    </row>
    <row r="104">
      <c r="A104" s="8347" t="inlineStr">
        <is>
          <t>Cirugía Digestiva</t>
        </is>
      </c>
      <c r="B104" s="1244">
        <f>SUM(C104:E104)</f>
        <v/>
      </c>
      <c r="C104" s="1172" t="n"/>
      <c r="D104" s="2001" t="n"/>
      <c r="E104" s="2001" t="n"/>
      <c r="F104" s="1244">
        <f>SUM(G104:I104)</f>
        <v/>
      </c>
      <c r="G104" s="1172" t="n"/>
      <c r="H104" s="2001" t="n"/>
      <c r="I104" s="2001" t="n"/>
      <c r="J104" s="1244">
        <f>SUM(K104:M104)</f>
        <v/>
      </c>
      <c r="K104" s="1172" t="n"/>
      <c r="L104" s="2001" t="n"/>
      <c r="M104" s="885" t="n"/>
      <c r="N104" s="1244">
        <f>SUM(O104:P104)</f>
        <v/>
      </c>
      <c r="O104" s="1174" t="n"/>
      <c r="P104" s="1222" t="n"/>
      <c r="Q104" s="1175" t="n"/>
      <c r="R104" s="886" t="n"/>
      <c r="S104" s="1172" t="n"/>
      <c r="T104" s="886" t="n"/>
      <c r="U104" s="1174" t="n"/>
      <c r="V104" s="886" t="n"/>
      <c r="W104" s="1222" t="n"/>
      <c r="X104" s="1175" t="n"/>
      <c r="Y104" s="886" t="n"/>
      <c r="Z104" s="755" t="n"/>
      <c r="AA104" s="755" t="n"/>
      <c r="AB104" s="755" t="n"/>
      <c r="AC104" s="755" t="n"/>
      <c r="AD104" s="755" t="n"/>
      <c r="AE104" s="2553" t="n">
        <v>0</v>
      </c>
      <c r="AF104" s="2554" t="n">
        <v>7</v>
      </c>
      <c r="AG104" s="1935" t="n"/>
      <c r="AH104" s="793" t="n"/>
      <c r="AI104" s="1186" t="n"/>
    </row>
    <row r="105">
      <c r="A105" s="7749" t="inlineStr">
        <is>
          <t>Cirugía de Cabeza, Cuello y Maxilofacial</t>
        </is>
      </c>
      <c r="B105" s="659">
        <f>SUM(C105:E105)</f>
        <v/>
      </c>
      <c r="C105" s="645" t="n"/>
      <c r="D105" s="145" t="n"/>
      <c r="E105" s="145" t="n"/>
      <c r="F105" s="659">
        <f>SUM(G105:I105)</f>
        <v/>
      </c>
      <c r="G105" s="645" t="n"/>
      <c r="H105" s="145" t="n"/>
      <c r="I105" s="145" t="n"/>
      <c r="J105" s="659">
        <f>SUM(K105:M105)</f>
        <v/>
      </c>
      <c r="K105" s="645" t="n"/>
      <c r="L105" s="145" t="n"/>
      <c r="M105" s="2556" t="n"/>
      <c r="N105" s="1244">
        <f>SUM(O105:P105)</f>
        <v/>
      </c>
      <c r="O105" s="204" t="n"/>
      <c r="P105" s="37" t="n"/>
      <c r="Q105" s="1175" t="n"/>
      <c r="R105" s="886" t="n"/>
      <c r="S105" s="1172" t="n"/>
      <c r="T105" s="886" t="n"/>
      <c r="U105" s="1174" t="n"/>
      <c r="V105" s="886" t="n"/>
      <c r="W105" s="1222" t="n"/>
      <c r="X105" s="1175" t="n"/>
      <c r="Y105" s="886" t="n"/>
      <c r="Z105" s="755" t="n"/>
      <c r="AA105" s="755" t="n"/>
      <c r="AB105" s="755" t="n"/>
      <c r="AC105" s="755" t="n"/>
      <c r="AD105" s="755" t="n"/>
      <c r="AE105" s="2553" t="n">
        <v>0</v>
      </c>
      <c r="AF105" s="2554" t="n">
        <v>0</v>
      </c>
      <c r="AG105" s="1935" t="n"/>
      <c r="AH105" s="793" t="n"/>
      <c r="AI105" s="1186" t="n"/>
    </row>
    <row r="106">
      <c r="A106" s="1170" t="inlineStr">
        <is>
          <t xml:space="preserve">Cirugía Plástica y Reparadora </t>
        </is>
      </c>
      <c r="B106" s="1244">
        <f>SUM(C106:E106)</f>
        <v/>
      </c>
      <c r="C106" s="1172" t="n"/>
      <c r="D106" s="2001" t="n"/>
      <c r="E106" s="2001" t="n"/>
      <c r="F106" s="1244">
        <f>SUM(G106:I106)</f>
        <v/>
      </c>
      <c r="G106" s="1172" t="n"/>
      <c r="H106" s="2001" t="n"/>
      <c r="I106" s="2001" t="n"/>
      <c r="J106" s="1244">
        <f>SUM(K106:M106)</f>
        <v/>
      </c>
      <c r="K106" s="1172" t="n"/>
      <c r="L106" s="2001" t="n"/>
      <c r="M106" s="885" t="n"/>
      <c r="N106" s="1244">
        <f>SUM(O106:P106)</f>
        <v/>
      </c>
      <c r="O106" s="1174" t="n"/>
      <c r="P106" s="1222" t="n"/>
      <c r="Q106" s="1175" t="n"/>
      <c r="R106" s="886" t="n"/>
      <c r="S106" s="1172" t="n"/>
      <c r="T106" s="886" t="n"/>
      <c r="U106" s="1174" t="n"/>
      <c r="V106" s="886" t="n"/>
      <c r="W106" s="1222" t="n"/>
      <c r="X106" s="1175" t="n"/>
      <c r="Y106" s="886" t="n"/>
      <c r="Z106" s="755" t="n"/>
      <c r="AA106" s="755" t="n"/>
      <c r="AB106" s="755" t="n"/>
      <c r="AC106" s="755" t="n"/>
      <c r="AD106" s="755" t="n"/>
      <c r="AE106" s="2553" t="n">
        <v>0</v>
      </c>
      <c r="AF106" s="2554" t="n">
        <v>0</v>
      </c>
      <c r="AG106" s="1935" t="n"/>
      <c r="AH106" s="793" t="n"/>
      <c r="AI106" s="1186" t="n"/>
    </row>
    <row r="107">
      <c r="A107" s="1170" t="inlineStr">
        <is>
          <t>Medicina del Deporte</t>
        </is>
      </c>
      <c r="B107" s="1244">
        <f>SUM(C107:E107)</f>
        <v/>
      </c>
      <c r="C107" s="1172" t="n"/>
      <c r="D107" s="2001" t="n"/>
      <c r="E107" s="2001" t="n"/>
      <c r="F107" s="1244">
        <f>SUM(G107:I107)</f>
        <v/>
      </c>
      <c r="G107" s="1172" t="n"/>
      <c r="H107" s="2001" t="n"/>
      <c r="I107" s="2001" t="n"/>
      <c r="J107" s="1244">
        <f>SUM(K107:M107)</f>
        <v/>
      </c>
      <c r="K107" s="1172" t="n"/>
      <c r="L107" s="2001" t="n"/>
      <c r="M107" s="885" t="n"/>
      <c r="N107" s="1244">
        <f>SUM(O107:P107)</f>
        <v/>
      </c>
      <c r="O107" s="1174" t="n"/>
      <c r="P107" s="1222" t="n"/>
      <c r="Q107" s="1175" t="n"/>
      <c r="R107" s="886" t="n"/>
      <c r="S107" s="1172" t="n"/>
      <c r="T107" s="886" t="n"/>
      <c r="U107" s="1174" t="n"/>
      <c r="V107" s="886" t="n"/>
      <c r="W107" s="1222" t="n"/>
      <c r="X107" s="1175" t="n"/>
      <c r="Y107" s="886" t="n"/>
      <c r="Z107" s="755" t="n"/>
      <c r="AA107" s="755" t="n"/>
      <c r="AB107" s="755" t="n"/>
      <c r="AC107" s="755" t="n"/>
      <c r="AD107" s="755" t="n"/>
      <c r="AE107" s="2553" t="n">
        <v>0</v>
      </c>
      <c r="AF107" s="2554" t="n">
        <v>0</v>
      </c>
      <c r="AG107" s="1935" t="n"/>
      <c r="AH107" s="793" t="n"/>
      <c r="AI107" s="1186" t="n"/>
    </row>
    <row r="108">
      <c r="A108" s="1170" t="inlineStr">
        <is>
          <t>Coloproctología</t>
        </is>
      </c>
      <c r="B108" s="659">
        <f>SUM(C108:E108)</f>
        <v/>
      </c>
      <c r="C108" s="645" t="n"/>
      <c r="D108" s="145" t="n"/>
      <c r="E108" s="145" t="n"/>
      <c r="F108" s="659">
        <f>SUM(G108:I108)</f>
        <v/>
      </c>
      <c r="G108" s="645" t="n"/>
      <c r="H108" s="145" t="n"/>
      <c r="I108" s="145" t="n"/>
      <c r="J108" s="659">
        <f>SUM(K108:M108)</f>
        <v/>
      </c>
      <c r="K108" s="645" t="n"/>
      <c r="L108" s="145" t="n"/>
      <c r="M108" s="2556" t="n"/>
      <c r="N108" s="1244">
        <f>SUM(O108:P108)</f>
        <v/>
      </c>
      <c r="O108" s="204" t="n"/>
      <c r="P108" s="37" t="n"/>
      <c r="Q108" s="1175" t="n"/>
      <c r="R108" s="886" t="n"/>
      <c r="S108" s="1172" t="n"/>
      <c r="T108" s="886" t="n"/>
      <c r="U108" s="1174" t="n"/>
      <c r="V108" s="886" t="n"/>
      <c r="W108" s="1222" t="n"/>
      <c r="X108" s="1175" t="n"/>
      <c r="Y108" s="886" t="n"/>
      <c r="Z108" s="755" t="n"/>
      <c r="AA108" s="755" t="n"/>
      <c r="AB108" s="755" t="n"/>
      <c r="AC108" s="755" t="n"/>
      <c r="AD108" s="755" t="n"/>
      <c r="AE108" s="2553" t="n">
        <v>0</v>
      </c>
      <c r="AF108" s="2554" t="n">
        <v>5</v>
      </c>
      <c r="AG108" s="1935" t="n"/>
      <c r="AH108" s="793" t="n"/>
      <c r="AI108" s="1186" t="n"/>
    </row>
    <row r="109">
      <c r="A109" s="1170" t="inlineStr">
        <is>
          <t>Cirugía Tórax</t>
        </is>
      </c>
      <c r="B109" s="1244">
        <f>SUM(C109:E109)</f>
        <v/>
      </c>
      <c r="C109" s="1172" t="n"/>
      <c r="D109" s="2001" t="n"/>
      <c r="E109" s="2001" t="n"/>
      <c r="F109" s="1244">
        <f>SUM(G109:I109)</f>
        <v/>
      </c>
      <c r="G109" s="1172" t="n"/>
      <c r="H109" s="2001" t="n"/>
      <c r="I109" s="2001" t="n"/>
      <c r="J109" s="1244">
        <f>SUM(K109:M109)</f>
        <v/>
      </c>
      <c r="K109" s="1172" t="n"/>
      <c r="L109" s="2001" t="n"/>
      <c r="M109" s="885" t="n"/>
      <c r="N109" s="1244">
        <f>SUM(O109:P109)</f>
        <v/>
      </c>
      <c r="O109" s="1174" t="n"/>
      <c r="P109" s="1222" t="n"/>
      <c r="Q109" s="1175" t="n"/>
      <c r="R109" s="886" t="n"/>
      <c r="S109" s="1172" t="n"/>
      <c r="T109" s="886" t="n"/>
      <c r="U109" s="1174" t="n"/>
      <c r="V109" s="886" t="n"/>
      <c r="W109" s="1222" t="n"/>
      <c r="X109" s="1175" t="n"/>
      <c r="Y109" s="886" t="n"/>
      <c r="Z109" s="755" t="n"/>
      <c r="AA109" s="755" t="n"/>
      <c r="AB109" s="755" t="n"/>
      <c r="AC109" s="755" t="n"/>
      <c r="AD109" s="755" t="n"/>
      <c r="AE109" s="2553" t="n">
        <v>0</v>
      </c>
      <c r="AF109" s="2554" t="n">
        <v>0</v>
      </c>
      <c r="AG109" s="1935" t="n"/>
      <c r="AH109" s="793" t="n"/>
      <c r="AI109" s="1186" t="n"/>
    </row>
    <row r="110">
      <c r="A110" s="1170" t="inlineStr">
        <is>
          <t>Cirugía vascular periférica</t>
        </is>
      </c>
      <c r="B110" s="2555">
        <f>SUM(C110:E110)</f>
        <v/>
      </c>
      <c r="C110" s="1179" t="n"/>
      <c r="D110" s="1228" t="n"/>
      <c r="E110" s="1228" t="n"/>
      <c r="F110" s="2555">
        <f>SUM(G110:I110)</f>
        <v/>
      </c>
      <c r="G110" s="1179" t="n"/>
      <c r="H110" s="1228" t="n"/>
      <c r="I110" s="1228" t="n"/>
      <c r="J110" s="2555">
        <f>SUM(K110:M110)</f>
        <v/>
      </c>
      <c r="K110" s="1179" t="n"/>
      <c r="L110" s="1228" t="n"/>
      <c r="M110" s="1182" t="n"/>
      <c r="N110" s="1244">
        <f>SUM(O110:P110)</f>
        <v/>
      </c>
      <c r="O110" s="1181" t="n"/>
      <c r="P110" s="35" t="n"/>
      <c r="Q110" s="1175" t="n"/>
      <c r="R110" s="886" t="n"/>
      <c r="S110" s="1172" t="n"/>
      <c r="T110" s="886" t="n"/>
      <c r="U110" s="1174" t="n"/>
      <c r="V110" s="886" t="n"/>
      <c r="W110" s="1222" t="n"/>
      <c r="X110" s="1175" t="n"/>
      <c r="Y110" s="886" t="n"/>
      <c r="Z110" s="1220" t="n"/>
      <c r="AA110" s="886" t="n"/>
      <c r="AB110" s="755" t="n"/>
      <c r="AC110" s="755" t="n"/>
      <c r="AD110" s="755" t="n"/>
      <c r="AE110" s="2553" t="n">
        <v>0</v>
      </c>
      <c r="AF110" s="2554" t="n">
        <v>7</v>
      </c>
      <c r="AG110" s="1935" t="n"/>
      <c r="AH110" s="793" t="n"/>
      <c r="AI110" s="1186" t="n"/>
    </row>
    <row r="111">
      <c r="A111" s="1170" t="inlineStr">
        <is>
          <t>Neurocirugía</t>
        </is>
      </c>
      <c r="B111" s="2555">
        <f>SUM(C111:E111)</f>
        <v/>
      </c>
      <c r="C111" s="1179" t="n"/>
      <c r="D111" s="1228" t="n"/>
      <c r="E111" s="1228" t="n"/>
      <c r="F111" s="2555">
        <f>SUM(G111:I111)</f>
        <v/>
      </c>
      <c r="G111" s="1179" t="n"/>
      <c r="H111" s="1228" t="n"/>
      <c r="I111" s="1228" t="n"/>
      <c r="J111" s="2555">
        <f>SUM(K111:M111)</f>
        <v/>
      </c>
      <c r="K111" s="1179" t="n"/>
      <c r="L111" s="1228" t="n"/>
      <c r="M111" s="1182" t="n"/>
      <c r="N111" s="1244">
        <f>SUM(O111:P111)</f>
        <v/>
      </c>
      <c r="O111" s="1181" t="n"/>
      <c r="P111" s="35" t="n"/>
      <c r="Q111" s="1175" t="n"/>
      <c r="R111" s="886" t="n"/>
      <c r="S111" s="1172" t="n"/>
      <c r="T111" s="886" t="n"/>
      <c r="U111" s="1174" t="n"/>
      <c r="V111" s="886" t="n"/>
      <c r="W111" s="1222" t="n"/>
      <c r="X111" s="1175" t="n"/>
      <c r="Y111" s="886" t="n"/>
      <c r="Z111" s="1220" t="n"/>
      <c r="AA111" s="886" t="n"/>
      <c r="AB111" s="755" t="n"/>
      <c r="AC111" s="755" t="n"/>
      <c r="AD111" s="755" t="n"/>
      <c r="AE111" s="2553" t="n">
        <v>0</v>
      </c>
      <c r="AF111" s="2554" t="n">
        <v>6</v>
      </c>
      <c r="AG111" s="1935" t="n"/>
      <c r="AH111" s="793" t="n"/>
      <c r="AI111" s="1186" t="n"/>
    </row>
    <row r="112">
      <c r="A112" s="1170" t="inlineStr">
        <is>
          <t>Cirugía Cardiovascular</t>
        </is>
      </c>
      <c r="B112" s="2555">
        <f>SUM(C112:E112)</f>
        <v/>
      </c>
      <c r="C112" s="1179" t="n"/>
      <c r="D112" s="1228" t="n"/>
      <c r="E112" s="1228" t="n"/>
      <c r="F112" s="2555">
        <f>SUM(G112:I112)</f>
        <v/>
      </c>
      <c r="G112" s="1179" t="n"/>
      <c r="H112" s="1228" t="n"/>
      <c r="I112" s="1228" t="n"/>
      <c r="J112" s="2555">
        <f>SUM(K112:M112)</f>
        <v/>
      </c>
      <c r="K112" s="1179" t="n"/>
      <c r="L112" s="1228" t="n"/>
      <c r="M112" s="1182" t="n"/>
      <c r="N112" s="1244">
        <f>SUM(O112:P112)</f>
        <v/>
      </c>
      <c r="O112" s="1181" t="n"/>
      <c r="P112" s="35" t="n"/>
      <c r="Q112" s="1175" t="n"/>
      <c r="R112" s="886" t="n"/>
      <c r="S112" s="1172" t="n"/>
      <c r="T112" s="886" t="n"/>
      <c r="U112" s="1174" t="n"/>
      <c r="V112" s="886" t="n"/>
      <c r="W112" s="1222" t="n"/>
      <c r="X112" s="1175" t="n"/>
      <c r="Y112" s="886" t="n"/>
      <c r="Z112" s="1220" t="n"/>
      <c r="AA112" s="886" t="n"/>
      <c r="AB112" s="755" t="n"/>
      <c r="AC112" s="755" t="n"/>
      <c r="AD112" s="755" t="n"/>
      <c r="AE112" s="2553" t="n">
        <v>0</v>
      </c>
      <c r="AF112" s="2554" t="n">
        <v>0</v>
      </c>
      <c r="AG112" s="1935" t="n"/>
      <c r="AH112" s="793" t="n"/>
      <c r="AI112" s="1186" t="n"/>
    </row>
    <row r="113">
      <c r="A113" s="8320" t="inlineStr">
        <is>
          <t>Anestesiología</t>
        </is>
      </c>
      <c r="B113" s="2555">
        <f>SUM(C113:E113)</f>
        <v/>
      </c>
      <c r="C113" s="1179" t="n"/>
      <c r="D113" s="1228" t="n"/>
      <c r="E113" s="1228" t="n"/>
      <c r="F113" s="2555">
        <f>SUM(G113:I113)</f>
        <v/>
      </c>
      <c r="G113" s="1179" t="n"/>
      <c r="H113" s="1228" t="n"/>
      <c r="I113" s="1228" t="n"/>
      <c r="J113" s="2555">
        <f>SUM(K113:M113)</f>
        <v/>
      </c>
      <c r="K113" s="1179" t="n"/>
      <c r="L113" s="1228" t="n"/>
      <c r="M113" s="1182" t="n"/>
      <c r="N113" s="1244">
        <f>SUM(O113:P113)</f>
        <v/>
      </c>
      <c r="O113" s="1181" t="n"/>
      <c r="P113" s="35" t="n"/>
      <c r="Q113" s="1175" t="n"/>
      <c r="R113" s="886" t="n"/>
      <c r="S113" s="1172" t="n"/>
      <c r="T113" s="886" t="n"/>
      <c r="U113" s="1174" t="n"/>
      <c r="V113" s="886" t="n"/>
      <c r="W113" s="1222" t="n"/>
      <c r="X113" s="1175" t="n"/>
      <c r="Y113" s="886" t="n"/>
      <c r="Z113" s="1220" t="n"/>
      <c r="AA113" s="886" t="n"/>
      <c r="AB113" s="755" t="n"/>
      <c r="AC113" s="755" t="n"/>
      <c r="AD113" s="755" t="n"/>
      <c r="AE113" s="2553" t="n">
        <v>0</v>
      </c>
      <c r="AF113" s="2554" t="n">
        <v>0</v>
      </c>
      <c r="AG113" s="1935" t="n"/>
      <c r="AH113" s="793" t="n"/>
      <c r="AI113" s="1186" t="n"/>
    </row>
    <row r="114">
      <c r="A114" s="7749" t="inlineStr">
        <is>
          <t>Obstetricia y Ginecología</t>
        </is>
      </c>
      <c r="B114" s="2555">
        <f>SUM(C114:E114)</f>
        <v/>
      </c>
      <c r="C114" s="1179" t="n"/>
      <c r="D114" s="1228" t="n"/>
      <c r="E114" s="1228" t="n"/>
      <c r="F114" s="2555">
        <f>SUM(G114:I114)</f>
        <v/>
      </c>
      <c r="G114" s="1179" t="n"/>
      <c r="H114" s="1228" t="n"/>
      <c r="I114" s="1228" t="n"/>
      <c r="J114" s="2555">
        <f>SUM(K114:M114)</f>
        <v/>
      </c>
      <c r="K114" s="1179" t="n"/>
      <c r="L114" s="1228" t="n"/>
      <c r="M114" s="1182" t="n"/>
      <c r="N114" s="1244">
        <f>SUM(O114:P114)</f>
        <v/>
      </c>
      <c r="O114" s="1181" t="n"/>
      <c r="P114" s="35" t="n"/>
      <c r="Q114" s="1175" t="n"/>
      <c r="R114" s="886" t="n"/>
      <c r="S114" s="1172" t="n"/>
      <c r="T114" s="886" t="n"/>
      <c r="U114" s="1174" t="n"/>
      <c r="V114" s="886" t="n"/>
      <c r="W114" s="1222" t="n"/>
      <c r="X114" s="1175" t="n"/>
      <c r="Y114" s="886" t="n"/>
      <c r="Z114" s="1220" t="n"/>
      <c r="AA114" s="886" t="n"/>
      <c r="AB114" s="755" t="n"/>
      <c r="AC114" s="755" t="n"/>
      <c r="AD114" s="755" t="n"/>
      <c r="AE114" s="2553" t="n">
        <v>1</v>
      </c>
      <c r="AF114" s="2554" t="n">
        <v>6</v>
      </c>
      <c r="AG114" s="1935" t="n"/>
      <c r="AH114" s="793" t="n"/>
      <c r="AI114" s="1186" t="n"/>
    </row>
    <row r="115">
      <c r="A115" s="7749" t="inlineStr">
        <is>
          <t xml:space="preserve">Ginecología oncológica </t>
        </is>
      </c>
      <c r="B115" s="2555">
        <f>SUM(C115:E115)</f>
        <v/>
      </c>
      <c r="C115" s="1179" t="n"/>
      <c r="D115" s="1228" t="n"/>
      <c r="E115" s="1228" t="n"/>
      <c r="F115" s="2555">
        <f>SUM(G115:I115)</f>
        <v/>
      </c>
      <c r="G115" s="1179" t="n"/>
      <c r="H115" s="1228" t="n"/>
      <c r="I115" s="1228" t="n"/>
      <c r="J115" s="2555">
        <f>SUM(K115:M115)</f>
        <v/>
      </c>
      <c r="K115" s="1179" t="n"/>
      <c r="L115" s="1228" t="n"/>
      <c r="M115" s="1182" t="n"/>
      <c r="N115" s="1244">
        <f>SUM(O115:P115)</f>
        <v/>
      </c>
      <c r="O115" s="1181" t="n"/>
      <c r="P115" s="35" t="n"/>
      <c r="Q115" s="1175" t="n"/>
      <c r="R115" s="886" t="n"/>
      <c r="S115" s="1172" t="n"/>
      <c r="T115" s="886" t="n"/>
      <c r="U115" s="1174" t="n"/>
      <c r="V115" s="886" t="n"/>
      <c r="W115" s="1222" t="n"/>
      <c r="X115" s="1175" t="n"/>
      <c r="Y115" s="886" t="n"/>
      <c r="Z115" s="1220" t="n"/>
      <c r="AA115" s="886" t="n"/>
      <c r="AB115" s="755" t="n"/>
      <c r="AC115" s="755" t="n"/>
      <c r="AD115" s="755" t="n"/>
      <c r="AE115" s="2553" t="n">
        <v>0</v>
      </c>
      <c r="AF115" s="2554" t="n">
        <v>0</v>
      </c>
      <c r="AG115" s="1935" t="n"/>
      <c r="AH115" s="793" t="n"/>
      <c r="AI115" s="1186" t="n"/>
    </row>
    <row r="116">
      <c r="A116" s="7749" t="inlineStr">
        <is>
          <t>NeuroRadiologia</t>
        </is>
      </c>
      <c r="B116" s="2555">
        <f>SUM(C116:E116)</f>
        <v/>
      </c>
      <c r="C116" s="1179" t="n"/>
      <c r="D116" s="1228" t="n"/>
      <c r="E116" s="1228" t="n"/>
      <c r="F116" s="2555">
        <f>SUM(G116:I116)</f>
        <v/>
      </c>
      <c r="G116" s="1179" t="n"/>
      <c r="H116" s="1228" t="n"/>
      <c r="I116" s="1228" t="n"/>
      <c r="J116" s="2555">
        <f>SUM(K116:M116)</f>
        <v/>
      </c>
      <c r="K116" s="1179" t="n"/>
      <c r="L116" s="1228" t="n"/>
      <c r="M116" s="1182" t="n"/>
      <c r="N116" s="1244">
        <f>SUM(O116:P116)</f>
        <v/>
      </c>
      <c r="O116" s="1181" t="n"/>
      <c r="P116" s="35" t="n"/>
      <c r="Q116" s="1175" t="n"/>
      <c r="R116" s="886" t="n"/>
      <c r="S116" s="1172" t="n"/>
      <c r="T116" s="886" t="n"/>
      <c r="U116" s="1174" t="n"/>
      <c r="V116" s="886" t="n"/>
      <c r="W116" s="1222" t="n"/>
      <c r="X116" s="1175" t="n"/>
      <c r="Y116" s="886" t="n"/>
      <c r="Z116" s="1220" t="n"/>
      <c r="AA116" s="886" t="n"/>
      <c r="AB116" s="755" t="n"/>
      <c r="AC116" s="755" t="n"/>
      <c r="AD116" s="755" t="n"/>
      <c r="AE116" s="2553" t="n">
        <v>0</v>
      </c>
      <c r="AF116" s="2554" t="n">
        <v>0</v>
      </c>
      <c r="AG116" s="1935" t="n"/>
      <c r="AH116" s="793" t="n"/>
      <c r="AI116" s="1186" t="n"/>
    </row>
    <row r="117">
      <c r="A117" s="1170" t="inlineStr">
        <is>
          <t>Oftalmología</t>
        </is>
      </c>
      <c r="B117" s="2555">
        <f>SUM(C117:E117)</f>
        <v/>
      </c>
      <c r="C117" s="1179" t="n"/>
      <c r="D117" s="1228" t="n"/>
      <c r="E117" s="1228" t="n"/>
      <c r="F117" s="2555">
        <f>SUM(G117:I117)</f>
        <v/>
      </c>
      <c r="G117" s="1179" t="n"/>
      <c r="H117" s="1228" t="n"/>
      <c r="I117" s="1228" t="n"/>
      <c r="J117" s="2555">
        <f>SUM(K117:M117)</f>
        <v/>
      </c>
      <c r="K117" s="1179" t="n"/>
      <c r="L117" s="1228" t="n"/>
      <c r="M117" s="1182" t="n"/>
      <c r="N117" s="1244">
        <f>SUM(O117:P117)</f>
        <v/>
      </c>
      <c r="O117" s="1181" t="n"/>
      <c r="P117" s="35" t="n"/>
      <c r="Q117" s="1175" t="n"/>
      <c r="R117" s="886" t="n"/>
      <c r="S117" s="1172" t="n"/>
      <c r="T117" s="886" t="n"/>
      <c r="U117" s="1174" t="n"/>
      <c r="V117" s="886" t="n"/>
      <c r="W117" s="1222" t="n"/>
      <c r="X117" s="1175" t="n"/>
      <c r="Y117" s="886" t="n"/>
      <c r="Z117" s="1220" t="n"/>
      <c r="AA117" s="886" t="n"/>
      <c r="AB117" s="755" t="n"/>
      <c r="AC117" s="755" t="n"/>
      <c r="AD117" s="755" t="n"/>
      <c r="AE117" s="2553" t="n">
        <v>23</v>
      </c>
      <c r="AF117" s="2554" t="n">
        <v>3</v>
      </c>
      <c r="AG117" s="1935" t="n"/>
      <c r="AH117" s="793" t="n"/>
      <c r="AI117" s="1186" t="n"/>
    </row>
    <row r="118">
      <c r="A118" s="1170" t="inlineStr">
        <is>
          <t>Otorrinolaringología</t>
        </is>
      </c>
      <c r="B118" s="1244">
        <f>SUM(C118:E118)</f>
        <v/>
      </c>
      <c r="C118" s="1172" t="n"/>
      <c r="D118" s="2001" t="n"/>
      <c r="E118" s="2001" t="n"/>
      <c r="F118" s="1244">
        <f>SUM(G118:I118)</f>
        <v/>
      </c>
      <c r="G118" s="1172" t="n"/>
      <c r="H118" s="2001" t="n"/>
      <c r="I118" s="2001" t="n"/>
      <c r="J118" s="1244">
        <f>SUM(K118:M118)</f>
        <v/>
      </c>
      <c r="K118" s="1172" t="n"/>
      <c r="L118" s="2001" t="n"/>
      <c r="M118" s="885" t="n"/>
      <c r="N118" s="1244">
        <f>SUM(O118:P118)</f>
        <v/>
      </c>
      <c r="O118" s="1174" t="n"/>
      <c r="P118" s="1222" t="n"/>
      <c r="Q118" s="1175" t="n"/>
      <c r="R118" s="886" t="n"/>
      <c r="S118" s="1172" t="n"/>
      <c r="T118" s="886" t="n"/>
      <c r="U118" s="1174" t="n"/>
      <c r="V118" s="886" t="n"/>
      <c r="W118" s="1222" t="n"/>
      <c r="X118" s="1175" t="n"/>
      <c r="Y118" s="886" t="n"/>
      <c r="Z118" s="1220" t="n"/>
      <c r="AA118" s="886" t="n"/>
      <c r="AB118" s="755" t="n"/>
      <c r="AC118" s="755" t="n"/>
      <c r="AD118" s="755" t="n"/>
      <c r="AE118" s="2553" t="n">
        <v>10</v>
      </c>
      <c r="AF118" s="2554" t="n">
        <v>15</v>
      </c>
      <c r="AG118" s="1935" t="n"/>
      <c r="AH118" s="793" t="n"/>
      <c r="AI118" s="1186" t="n"/>
    </row>
    <row r="119">
      <c r="A119" s="1170" t="inlineStr">
        <is>
          <t xml:space="preserve">Traumatología y Ortopedia </t>
        </is>
      </c>
      <c r="B119" s="1244">
        <f>SUM(C119:E119)</f>
        <v/>
      </c>
      <c r="C119" s="1172" t="n"/>
      <c r="D119" s="2001" t="n"/>
      <c r="E119" s="2001" t="n"/>
      <c r="F119" s="1244">
        <f>SUM(G119:I119)</f>
        <v/>
      </c>
      <c r="G119" s="1172" t="n"/>
      <c r="H119" s="2001" t="n"/>
      <c r="I119" s="2001" t="n"/>
      <c r="J119" s="1244">
        <f>SUM(K119:M119)</f>
        <v/>
      </c>
      <c r="K119" s="1172" t="n"/>
      <c r="L119" s="2001" t="n"/>
      <c r="M119" s="885" t="n"/>
      <c r="N119" s="1244">
        <f>SUM(O119:P119)</f>
        <v/>
      </c>
      <c r="O119" s="1174" t="n"/>
      <c r="P119" s="1222" t="n"/>
      <c r="Q119" s="1175" t="n"/>
      <c r="R119" s="886" t="n"/>
      <c r="S119" s="1172" t="n"/>
      <c r="T119" s="886" t="n"/>
      <c r="U119" s="1174" t="n"/>
      <c r="V119" s="886" t="n"/>
      <c r="W119" s="1222" t="n"/>
      <c r="X119" s="1175" t="n"/>
      <c r="Y119" s="886" t="n"/>
      <c r="Z119" s="1220" t="n"/>
      <c r="AA119" s="886" t="n"/>
      <c r="AB119" s="755" t="n"/>
      <c r="AC119" s="755" t="n"/>
      <c r="AD119" s="755" t="n"/>
      <c r="AE119" s="2553" t="n">
        <v>2</v>
      </c>
      <c r="AF119" s="2554" t="n">
        <v>22</v>
      </c>
      <c r="AG119" s="1935" t="n"/>
      <c r="AH119" s="793" t="n"/>
      <c r="AI119" s="1186" t="n"/>
    </row>
    <row r="120">
      <c r="A120" s="1170" t="inlineStr">
        <is>
          <t xml:space="preserve">Urología </t>
        </is>
      </c>
      <c r="B120" s="2555">
        <f>SUM(C120:E120)</f>
        <v/>
      </c>
      <c r="C120" s="1179" t="n"/>
      <c r="D120" s="1228" t="n"/>
      <c r="E120" s="1228" t="n"/>
      <c r="F120" s="2555">
        <f>SUM(G120:I120)</f>
        <v/>
      </c>
      <c r="G120" s="1179" t="n"/>
      <c r="H120" s="1228" t="n"/>
      <c r="I120" s="1228" t="n"/>
      <c r="J120" s="2555">
        <f>SUM(K120:M120)</f>
        <v/>
      </c>
      <c r="K120" s="1179" t="n"/>
      <c r="L120" s="1228" t="n"/>
      <c r="M120" s="1182" t="n"/>
      <c r="N120" s="1244">
        <f>SUM(O120:P120)</f>
        <v/>
      </c>
      <c r="O120" s="1181" t="n"/>
      <c r="P120" s="35" t="n"/>
      <c r="Q120" s="1175" t="n"/>
      <c r="R120" s="886" t="n"/>
      <c r="S120" s="1172" t="n"/>
      <c r="T120" s="886" t="n"/>
      <c r="U120" s="1174" t="n"/>
      <c r="V120" s="886" t="n"/>
      <c r="W120" s="1222" t="n"/>
      <c r="X120" s="1175" t="n"/>
      <c r="Y120" s="886" t="n"/>
      <c r="Z120" s="1220" t="n"/>
      <c r="AA120" s="886" t="n"/>
      <c r="AB120" s="755" t="n"/>
      <c r="AC120" s="755" t="n"/>
      <c r="AD120" s="755" t="n"/>
      <c r="AE120" s="2553" t="n">
        <v>0</v>
      </c>
      <c r="AF120" s="2554" t="n">
        <v>19</v>
      </c>
      <c r="AG120" s="1935" t="n"/>
      <c r="AH120" s="793" t="n"/>
      <c r="AI120" s="1186" t="n"/>
    </row>
    <row r="121">
      <c r="A121" s="1170" t="inlineStr">
        <is>
          <t>Medicina Familiar</t>
        </is>
      </c>
      <c r="B121" s="1244">
        <f>SUM(C121:E121)</f>
        <v/>
      </c>
      <c r="C121" s="1172" t="n"/>
      <c r="D121" s="2001" t="n"/>
      <c r="E121" s="2001" t="n"/>
      <c r="F121" s="1244">
        <f>SUM(G121:I121)</f>
        <v/>
      </c>
      <c r="G121" s="1172" t="n"/>
      <c r="H121" s="2001" t="n"/>
      <c r="I121" s="2001" t="n"/>
      <c r="J121" s="1244">
        <f>SUM(K121:M121)</f>
        <v/>
      </c>
      <c r="K121" s="1172" t="n"/>
      <c r="L121" s="2001" t="n"/>
      <c r="M121" s="885" t="n"/>
      <c r="N121" s="1244">
        <f>SUM(O121:P121)</f>
        <v/>
      </c>
      <c r="O121" s="1174" t="n"/>
      <c r="P121" s="1222" t="n"/>
      <c r="Q121" s="1175" t="n"/>
      <c r="R121" s="886" t="n"/>
      <c r="S121" s="1172" t="n"/>
      <c r="T121" s="886" t="n"/>
      <c r="U121" s="1174" t="n"/>
      <c r="V121" s="886" t="n"/>
      <c r="W121" s="1222" t="n"/>
      <c r="X121" s="1175" t="n"/>
      <c r="Y121" s="886" t="n"/>
      <c r="Z121" s="1220" t="n"/>
      <c r="AA121" s="886" t="n"/>
      <c r="AB121" s="755" t="n"/>
      <c r="AC121" s="755" t="n"/>
      <c r="AD121" s="755" t="n"/>
      <c r="AE121" s="2553" t="n">
        <v>0</v>
      </c>
      <c r="AF121" s="2554" t="n">
        <v>0</v>
      </c>
      <c r="AG121" s="1935" t="n"/>
      <c r="AH121" s="793" t="n"/>
      <c r="AI121" s="1186" t="n"/>
    </row>
    <row r="122">
      <c r="A122" s="1170" t="inlineStr">
        <is>
          <t>Diabetología</t>
        </is>
      </c>
      <c r="B122" s="1244">
        <f>SUM(C122:E122)</f>
        <v/>
      </c>
      <c r="C122" s="1172" t="n"/>
      <c r="D122" s="2001" t="n"/>
      <c r="E122" s="2001" t="n"/>
      <c r="F122" s="1244">
        <f>SUM(G122:I122)</f>
        <v/>
      </c>
      <c r="G122" s="1172" t="n"/>
      <c r="H122" s="2001" t="n"/>
      <c r="I122" s="2001" t="n"/>
      <c r="J122" s="1244">
        <f>SUM(K122:M122)</f>
        <v/>
      </c>
      <c r="K122" s="1172" t="n"/>
      <c r="L122" s="2001" t="n"/>
      <c r="M122" s="885" t="n"/>
      <c r="N122" s="1244">
        <f>SUM(O122:P122)</f>
        <v/>
      </c>
      <c r="O122" s="1174" t="n"/>
      <c r="P122" s="1222" t="n"/>
      <c r="Q122" s="1175" t="n"/>
      <c r="R122" s="886" t="n"/>
      <c r="S122" s="1172" t="n"/>
      <c r="T122" s="886" t="n"/>
      <c r="U122" s="1174" t="n"/>
      <c r="V122" s="886" t="n"/>
      <c r="W122" s="1222" t="n"/>
      <c r="X122" s="1175" t="n"/>
      <c r="Y122" s="886" t="n"/>
      <c r="Z122" s="1220" t="n"/>
      <c r="AA122" s="886" t="n"/>
      <c r="AB122" s="755" t="n"/>
      <c r="AC122" s="755" t="n"/>
      <c r="AD122" s="755" t="n"/>
      <c r="AE122" s="2558" t="n">
        <v>0</v>
      </c>
      <c r="AF122" s="2554" t="n">
        <v>0</v>
      </c>
      <c r="AG122" s="1935" t="n"/>
      <c r="AH122" s="793" t="n"/>
      <c r="AI122" s="1186" t="n"/>
    </row>
    <row r="123">
      <c r="A123" s="1170" t="inlineStr">
        <is>
          <t>Medicina Nuclear</t>
        </is>
      </c>
      <c r="B123" s="1244">
        <f>SUM(C123:E123)</f>
        <v/>
      </c>
      <c r="C123" s="1172" t="n"/>
      <c r="D123" s="2001" t="n"/>
      <c r="E123" s="2001" t="n"/>
      <c r="F123" s="1244">
        <f>SUM(G123:I123)</f>
        <v/>
      </c>
      <c r="G123" s="1172" t="n"/>
      <c r="H123" s="2001" t="n"/>
      <c r="I123" s="2001" t="n"/>
      <c r="J123" s="1244">
        <f>SUM(K123:M123)</f>
        <v/>
      </c>
      <c r="K123" s="1172" t="n"/>
      <c r="L123" s="2001" t="n"/>
      <c r="M123" s="885" t="n"/>
      <c r="N123" s="1244">
        <f>SUM(O123:P123)</f>
        <v/>
      </c>
      <c r="O123" s="1174" t="n"/>
      <c r="P123" s="1222" t="n"/>
      <c r="Q123" s="1175" t="n"/>
      <c r="R123" s="886" t="n"/>
      <c r="S123" s="1172" t="n"/>
      <c r="T123" s="886" t="n"/>
      <c r="U123" s="1174" t="n"/>
      <c r="V123" s="886" t="n"/>
      <c r="W123" s="1222" t="n"/>
      <c r="X123" s="1175" t="n"/>
      <c r="Y123" s="886" t="n"/>
      <c r="Z123" s="1220" t="n"/>
      <c r="AA123" s="886" t="n"/>
      <c r="AB123" s="1220" t="n"/>
      <c r="AC123" s="1220" t="n"/>
      <c r="AD123" s="886" t="n"/>
      <c r="AE123" s="2558" t="n">
        <v>0</v>
      </c>
      <c r="AF123" s="1103" t="n">
        <v>0</v>
      </c>
      <c r="AG123" s="1172" t="n"/>
      <c r="AH123" s="2001" t="n"/>
      <c r="AI123" s="1173" t="n"/>
    </row>
    <row r="124">
      <c r="A124" s="8320" t="inlineStr">
        <is>
          <t>Imagenología</t>
        </is>
      </c>
      <c r="B124" s="2557">
        <f>SUM(C124:E124)</f>
        <v/>
      </c>
      <c r="C124" s="1935" t="n"/>
      <c r="D124" s="793" t="n"/>
      <c r="E124" s="793" t="n"/>
      <c r="F124" s="2557">
        <f>SUM(G124:I124)</f>
        <v/>
      </c>
      <c r="G124" s="1935" t="n"/>
      <c r="H124" s="793" t="n"/>
      <c r="I124" s="793" t="n"/>
      <c r="J124" s="2557">
        <f>SUM(K124:M124)</f>
        <v/>
      </c>
      <c r="K124" s="1935" t="n"/>
      <c r="L124" s="793" t="n"/>
      <c r="M124" s="2261" t="n"/>
      <c r="N124" s="1244">
        <f>SUM(O124:P124)</f>
        <v/>
      </c>
      <c r="O124" s="1432" t="n"/>
      <c r="P124" s="36" t="n"/>
      <c r="Q124" s="1175" t="n"/>
      <c r="R124" s="886" t="n"/>
      <c r="S124" s="1935" t="n"/>
      <c r="T124" s="755" t="n"/>
      <c r="U124" s="1432" t="n"/>
      <c r="V124" s="755" t="n"/>
      <c r="W124" s="36" t="n"/>
      <c r="X124" s="1175" t="n"/>
      <c r="Y124" s="886" t="n"/>
      <c r="Z124" s="1186" t="n"/>
      <c r="AA124" s="1186" t="n"/>
      <c r="AB124" s="1186" t="n"/>
      <c r="AC124" s="1186" t="n"/>
      <c r="AD124" s="1186" t="n"/>
      <c r="AE124" s="2553" t="n">
        <v>0</v>
      </c>
      <c r="AF124" s="290" t="n">
        <v>0</v>
      </c>
      <c r="AG124" s="1935" t="n"/>
      <c r="AH124" s="793" t="n"/>
      <c r="AI124" s="1186" t="n"/>
    </row>
    <row r="125">
      <c r="A125" s="8346" t="inlineStr">
        <is>
          <t>Radioterapia Oncológica</t>
        </is>
      </c>
      <c r="B125" s="1354">
        <f>SUM(C125:E125)</f>
        <v/>
      </c>
      <c r="C125" s="1188" t="n"/>
      <c r="D125" s="1118" t="n"/>
      <c r="E125" s="1118" t="n"/>
      <c r="F125" s="1354">
        <f>SUM(G125:I125)</f>
        <v/>
      </c>
      <c r="G125" s="1188" t="n"/>
      <c r="H125" s="1118" t="n"/>
      <c r="I125" s="1118" t="n"/>
      <c r="J125" s="1354">
        <f>SUM(K125:M125)</f>
        <v/>
      </c>
      <c r="K125" s="1188" t="n"/>
      <c r="L125" s="1118" t="n"/>
      <c r="M125" s="1194" t="n"/>
      <c r="N125" s="1354">
        <f>SUM(O125:P125)</f>
        <v/>
      </c>
      <c r="O125" s="1193" t="n"/>
      <c r="P125" s="1227" t="n"/>
      <c r="Q125" s="1195" t="n"/>
      <c r="R125" s="1119" t="n"/>
      <c r="S125" s="1188" t="n"/>
      <c r="T125" s="1119" t="n"/>
      <c r="U125" s="1193" t="n"/>
      <c r="V125" s="1119" t="n"/>
      <c r="W125" s="1227" t="n"/>
      <c r="X125" s="1195" t="n"/>
      <c r="Y125" s="1119" t="n"/>
      <c r="Z125" s="1192" t="n"/>
      <c r="AA125" s="1192" t="n"/>
      <c r="AB125" s="1192" t="n"/>
      <c r="AC125" s="1192" t="n"/>
      <c r="AD125" s="1192" t="n"/>
      <c r="AE125" s="2559" t="n">
        <v>0</v>
      </c>
      <c r="AF125" s="2560" t="n">
        <v>0</v>
      </c>
      <c r="AG125" s="1188" t="n"/>
      <c r="AH125" s="1118" t="n"/>
      <c r="AI125" s="1192" t="n"/>
    </row>
    <row r="126">
      <c r="A126" s="7812" t="inlineStr">
        <is>
          <t>TOTAL</t>
        </is>
      </c>
      <c r="B126" s="2561">
        <f>SUM(B71:B125)</f>
        <v/>
      </c>
      <c r="C126" s="8543">
        <f>SUM(C71:C125)</f>
        <v/>
      </c>
      <c r="D126" s="177">
        <f>SUM(D71:D125)</f>
        <v/>
      </c>
      <c r="E126" s="177">
        <f>SUM(E71:E125)</f>
        <v/>
      </c>
      <c r="F126" s="2561">
        <f>SUM(F71:F125)</f>
        <v/>
      </c>
      <c r="G126" s="8543">
        <f>SUM(G71:G125)</f>
        <v/>
      </c>
      <c r="H126" s="177">
        <f>SUM(H71:H125)</f>
        <v/>
      </c>
      <c r="I126" s="177">
        <f>SUM(I71:I125)</f>
        <v/>
      </c>
      <c r="J126" s="2561">
        <f>SUM(J71:J125)</f>
        <v/>
      </c>
      <c r="K126" s="8543">
        <f>SUM(K71:K125)</f>
        <v/>
      </c>
      <c r="L126" s="177">
        <f>SUM(L71:L125)</f>
        <v/>
      </c>
      <c r="M126" s="177">
        <f>SUM(M71:M125)</f>
        <v/>
      </c>
      <c r="N126" s="2561">
        <f>SUM(N71:N125)</f>
        <v/>
      </c>
      <c r="O126" s="2543">
        <f>SUM(O71:O125)</f>
        <v/>
      </c>
      <c r="P126" s="2540">
        <f>SUM(P71:P125)</f>
        <v/>
      </c>
      <c r="Q126" s="8543">
        <f>SUM(Q71:Q125)</f>
        <v/>
      </c>
      <c r="R126" s="2562">
        <f>SUM(R71:R125)</f>
        <v/>
      </c>
      <c r="S126" s="1988">
        <f>SUM(S71:S125)</f>
        <v/>
      </c>
      <c r="T126" s="2133">
        <f>SUM(T71:T125)</f>
        <v/>
      </c>
      <c r="U126" s="2543">
        <f>SUM(U71:U125)</f>
        <v/>
      </c>
      <c r="V126" s="8544">
        <f>SUM(V71:V125)</f>
        <v/>
      </c>
      <c r="W126" s="2562">
        <f>SUM(W71:W125)</f>
        <v/>
      </c>
      <c r="X126" s="2501">
        <f>SUM(X71:X125)</f>
        <v/>
      </c>
      <c r="Y126" s="8544">
        <f>SUM(Y71:Y125)</f>
        <v/>
      </c>
      <c r="Z126" s="2562">
        <f>SUM(Z71:Z125)</f>
        <v/>
      </c>
      <c r="AA126" s="2562">
        <f>SUM(AA71:AA125)</f>
        <v/>
      </c>
      <c r="AB126" s="2562">
        <f>SUM(AB71:AB125)</f>
        <v/>
      </c>
      <c r="AC126" s="2562">
        <f>SUM(AC71:AC125)</f>
        <v/>
      </c>
      <c r="AD126" s="2561">
        <f>SUM(AD71:AD125)</f>
        <v/>
      </c>
      <c r="AE126" s="8543">
        <f>SUM(AE71:AE125)</f>
        <v/>
      </c>
      <c r="AF126" s="2540">
        <f>SUM(AF71:AF125)</f>
        <v/>
      </c>
      <c r="AG126" s="8543">
        <f>SUM(AG71:AG125)</f>
        <v/>
      </c>
      <c r="AH126" s="177">
        <f>SUM(AH71:AH125)</f>
        <v/>
      </c>
      <c r="AI126" s="2562">
        <f>SUM(AI71:AI125)</f>
        <v/>
      </c>
    </row>
    <row r="127" ht="18" customFormat="1" customHeight="1" s="5">
      <c r="A127" s="2563" t="inlineStr">
        <is>
          <t>SECCIÓN B: ATENCIONES MEDICAS POR PROGRAMAS Y POLICLÍNICOS  (INCLUIDAS EN SECCION A)</t>
        </is>
      </c>
      <c r="B127" s="2564" t="n"/>
      <c r="C127" s="3" t="n"/>
      <c r="D127" s="3" t="n"/>
      <c r="E127" s="3" t="n"/>
      <c r="F127" s="3" t="n"/>
      <c r="G127" s="3" t="n"/>
      <c r="H127" s="3" t="n"/>
      <c r="I127" s="3" t="n"/>
      <c r="J127" s="3" t="n"/>
      <c r="K127" s="3" t="n"/>
      <c r="L127" s="3" t="n"/>
      <c r="M127" s="3" t="n"/>
      <c r="N127" s="3" t="n"/>
      <c r="O127" s="3" t="n"/>
      <c r="P127" s="3" t="n"/>
      <c r="Q127" s="3" t="n"/>
      <c r="R127" s="3" t="n"/>
      <c r="S127" s="3" t="n"/>
      <c r="T127" s="3" t="n"/>
      <c r="U127" s="3" t="n"/>
      <c r="CB127" s="17" t="n"/>
      <c r="CC127" s="17" t="n"/>
      <c r="CD127" s="17" t="n"/>
      <c r="CE127" s="17" t="n"/>
      <c r="CF127" s="17" t="n"/>
      <c r="CG127" s="17" t="n"/>
      <c r="CH127" s="17" t="n"/>
      <c r="CI127" s="17" t="n"/>
      <c r="CJ127" s="17" t="n"/>
      <c r="CK127" s="17" t="n"/>
      <c r="CL127" s="17" t="n"/>
      <c r="CM127" s="17" t="n"/>
      <c r="CN127" s="17" t="n"/>
      <c r="CO127" s="17" t="n"/>
      <c r="CP127" s="17" t="n"/>
      <c r="CQ127" s="17" t="n"/>
      <c r="CR127" s="17" t="n"/>
      <c r="CS127" s="17" t="n"/>
      <c r="CT127" s="17" t="n"/>
    </row>
    <row r="128">
      <c r="A128" s="7812" t="inlineStr">
        <is>
          <t>ATENCIONES</t>
        </is>
      </c>
      <c r="B128" s="7772" t="inlineStr">
        <is>
          <t>TOTAL</t>
        </is>
      </c>
      <c r="C128" s="7932" t="inlineStr">
        <is>
          <t>0 - 4 años</t>
        </is>
      </c>
      <c r="D128" s="2011" t="inlineStr">
        <is>
          <t>5 - 9 años</t>
        </is>
      </c>
      <c r="E128" s="2372" t="inlineStr">
        <is>
          <t>10 - 14 años</t>
        </is>
      </c>
      <c r="F128" s="2372" t="inlineStr">
        <is>
          <t>15 - 17 años</t>
        </is>
      </c>
      <c r="G128" s="2372" t="inlineStr">
        <is>
          <t>18- 19 años</t>
        </is>
      </c>
      <c r="H128" s="2372" t="inlineStr">
        <is>
          <t>20 - 24 años</t>
        </is>
      </c>
      <c r="I128" s="2471" t="inlineStr">
        <is>
          <t>25 - 29 años</t>
        </is>
      </c>
      <c r="J128" s="2471" t="inlineStr">
        <is>
          <t>30 - 34 años</t>
        </is>
      </c>
      <c r="K128" s="2471" t="inlineStr">
        <is>
          <t>35 - 39 años</t>
        </is>
      </c>
      <c r="L128" s="2471" t="inlineStr">
        <is>
          <t>40 - 44 años</t>
        </is>
      </c>
      <c r="M128" s="2471" t="inlineStr">
        <is>
          <t>45 - 49 años</t>
        </is>
      </c>
      <c r="N128" s="2471" t="inlineStr">
        <is>
          <t>50 - 54 años</t>
        </is>
      </c>
      <c r="O128" s="2471" t="inlineStr">
        <is>
          <t>55 - 59 años</t>
        </is>
      </c>
      <c r="P128" s="2471" t="inlineStr">
        <is>
          <t>60 - 64 años</t>
        </is>
      </c>
      <c r="Q128" s="2471" t="inlineStr">
        <is>
          <t>65 - 69 años</t>
        </is>
      </c>
      <c r="R128" s="2471" t="inlineStr">
        <is>
          <t>70 - 74 años</t>
        </is>
      </c>
      <c r="S128" s="2471" t="inlineStr">
        <is>
          <t>75 - 79 años</t>
        </is>
      </c>
      <c r="T128" s="1981" t="inlineStr">
        <is>
          <t>80  años y mas</t>
        </is>
      </c>
      <c r="U128" s="7729" t="inlineStr">
        <is>
          <t>Trans Masculino</t>
        </is>
      </c>
      <c r="V128" s="7729" t="inlineStr">
        <is>
          <t>Trans Femenino</t>
        </is>
      </c>
    </row>
    <row r="129" ht="15" customHeight="1" s="8286">
      <c r="A129" s="2565" t="inlineStr">
        <is>
          <t>Arritmias</t>
        </is>
      </c>
      <c r="B129" s="8308">
        <f>SUM(C129:T129)</f>
        <v/>
      </c>
      <c r="C129" s="2266" t="n"/>
      <c r="D129" s="835" t="n"/>
      <c r="E129" s="835" t="n"/>
      <c r="F129" s="835" t="n"/>
      <c r="G129" s="835" t="n"/>
      <c r="H129" s="835" t="n"/>
      <c r="I129" s="835" t="n"/>
      <c r="J129" s="835" t="n"/>
      <c r="K129" s="835" t="n"/>
      <c r="L129" s="835" t="n"/>
      <c r="M129" s="835" t="n"/>
      <c r="N129" s="835" t="n"/>
      <c r="O129" s="835" t="n"/>
      <c r="P129" s="835" t="n"/>
      <c r="Q129" s="835" t="n"/>
      <c r="R129" s="835" t="n"/>
      <c r="S129" s="835" t="n"/>
      <c r="T129" s="1940" t="n"/>
      <c r="U129" s="2336" t="n"/>
      <c r="V129" s="2336" t="n"/>
      <c r="W129">
        <f>CB129&amp;CC129&amp;CD129</f>
        <v/>
      </c>
      <c r="CB129" s="90">
        <f>IF(AND(B129&gt;0,U129="")," * No olvide digitar Trans Masculino. (Digite CERO si no tiene).","")</f>
        <v/>
      </c>
      <c r="CC129" s="90">
        <f>IF(AND(B129&gt;0,V129="")," * No olvide digitar Trans Femenino. (Digite CERO si no tiene).","")</f>
        <v/>
      </c>
      <c r="CD129" s="90">
        <f>IF((U129+V129)&gt;B129," * La suma de Trans Masculino + Trans Femenino No puede ser Mayor al Total.","")</f>
        <v/>
      </c>
      <c r="CM129" s="52">
        <f>IF(AND(B129&gt;0,U129=""),1,0)</f>
        <v/>
      </c>
      <c r="CN129" s="52">
        <f>IF(AND(B129&gt;0,V129=""),1,0)</f>
        <v/>
      </c>
      <c r="CO129" s="52">
        <f>IF((U129+V129)&gt;B129,1,0)</f>
        <v/>
      </c>
    </row>
    <row r="130" ht="15" customHeight="1" s="8286">
      <c r="A130" s="1121" t="inlineStr">
        <is>
          <t>Diabetes</t>
        </is>
      </c>
      <c r="B130" s="8311">
        <f>SUM(C130:T130)</f>
        <v/>
      </c>
      <c r="C130" s="1172" t="n"/>
      <c r="D130" s="2001" t="n"/>
      <c r="E130" s="2001" t="n"/>
      <c r="F130" s="2001" t="n"/>
      <c r="G130" s="2001" t="n"/>
      <c r="H130" s="2001" t="n"/>
      <c r="I130" s="2001" t="n"/>
      <c r="J130" s="2001" t="n"/>
      <c r="K130" s="2001" t="n"/>
      <c r="L130" s="2001" t="n"/>
      <c r="M130" s="2001" t="n"/>
      <c r="N130" s="2001" t="n"/>
      <c r="O130" s="2001" t="n"/>
      <c r="P130" s="2001" t="n"/>
      <c r="Q130" s="2001" t="n"/>
      <c r="R130" s="2001" t="n"/>
      <c r="S130" s="2001" t="n"/>
      <c r="T130" s="1929" t="n"/>
      <c r="U130" s="1173" t="n"/>
      <c r="V130" s="1173" t="n"/>
      <c r="W130">
        <f>CB130&amp;CC130&amp;CD130</f>
        <v/>
      </c>
      <c r="CB130" s="90">
        <f>IF(AND(B130&gt;0,U130="")," * No olvide digitar Trans Masculino. (Digite CERO si no tiene).","")</f>
        <v/>
      </c>
      <c r="CC130" s="90">
        <f>IF(AND(B130&gt;0,V130="")," * No olvide digitar Trans Femenino. (Digite CERO si no tiene).","")</f>
        <v/>
      </c>
      <c r="CD130" s="90">
        <f>IF((U130+V130)&gt;B130," * La suma de Trans Masculino + Trans Femenino No puede ser Mayor al Total.","")</f>
        <v/>
      </c>
      <c r="CM130" s="52">
        <f>IF(AND(B130&gt;0,U130=""),1,0)</f>
        <v/>
      </c>
      <c r="CN130" s="52">
        <f>IF(AND(B130&gt;0,V130=""),1,0)</f>
        <v/>
      </c>
      <c r="CO130" s="52">
        <f>IF((U130+V130)&gt;B130,1,0)</f>
        <v/>
      </c>
    </row>
    <row r="131" ht="15" customHeight="1" s="8286">
      <c r="A131" s="1121" t="inlineStr">
        <is>
          <t>Cirugía de Mamas</t>
        </is>
      </c>
      <c r="B131" s="8311">
        <f>SUM(C131:T131)</f>
        <v/>
      </c>
      <c r="C131" s="1172" t="n"/>
      <c r="D131" s="2001" t="n"/>
      <c r="E131" s="2001" t="n"/>
      <c r="F131" s="2001" t="n"/>
      <c r="G131" s="2001" t="n"/>
      <c r="H131" s="2001" t="n"/>
      <c r="I131" s="2001" t="n"/>
      <c r="J131" s="2001" t="n"/>
      <c r="K131" s="2001" t="n"/>
      <c r="L131" s="2001" t="n"/>
      <c r="M131" s="2001" t="n"/>
      <c r="N131" s="2001" t="n"/>
      <c r="O131" s="2001" t="n"/>
      <c r="P131" s="2001" t="n"/>
      <c r="Q131" s="2001" t="n"/>
      <c r="R131" s="2001" t="n"/>
      <c r="S131" s="2001" t="n"/>
      <c r="T131" s="1929" t="n"/>
      <c r="U131" s="1173" t="n"/>
      <c r="V131" s="1173" t="n"/>
      <c r="W131">
        <f>CB131&amp;CC131&amp;CD131</f>
        <v/>
      </c>
      <c r="CB131" s="90">
        <f>IF(AND(B131&gt;0,U131="")," * No olvide digitar Trans Masculino. (Digite CERO si no tiene).","")</f>
        <v/>
      </c>
      <c r="CC131" s="90">
        <f>IF(AND(B131&gt;0,V131="")," * No olvide digitar Trans Femenino. (Digite CERO si no tiene).","")</f>
        <v/>
      </c>
      <c r="CD131" s="90">
        <f>IF((U131+V131)&gt;B131," * La suma de Trans Masculino + Trans Femenino No puede ser Mayor al Total.","")</f>
        <v/>
      </c>
      <c r="CM131" s="52">
        <f>IF(AND(B131&gt;0,U131=""),1,0)</f>
        <v/>
      </c>
      <c r="CN131" s="52">
        <f>IF(AND(B131&gt;0,V131=""),1,0)</f>
        <v/>
      </c>
      <c r="CO131" s="52">
        <f>IF((U131+V131)&gt;B131,1,0)</f>
        <v/>
      </c>
    </row>
    <row r="132" ht="15" customHeight="1" s="8286">
      <c r="A132" s="1121" t="inlineStr">
        <is>
          <t>Alto Riesgo Obstétrico</t>
        </is>
      </c>
      <c r="B132" s="8311">
        <f>SUM(C132:T132)</f>
        <v/>
      </c>
      <c r="C132" s="1172" t="n"/>
      <c r="D132" s="2001" t="n"/>
      <c r="E132" s="2001" t="n"/>
      <c r="F132" s="2001" t="n"/>
      <c r="G132" s="2001" t="n"/>
      <c r="H132" s="2001" t="n"/>
      <c r="I132" s="2001" t="n"/>
      <c r="J132" s="2001" t="n"/>
      <c r="K132" s="2001" t="n"/>
      <c r="L132" s="2001" t="n"/>
      <c r="M132" s="2001" t="n"/>
      <c r="N132" s="2001" t="n"/>
      <c r="O132" s="2001" t="n"/>
      <c r="P132" s="2001" t="n"/>
      <c r="Q132" s="2001" t="n"/>
      <c r="R132" s="2001" t="n"/>
      <c r="S132" s="2001" t="n"/>
      <c r="T132" s="1929" t="n"/>
      <c r="U132" s="1173" t="n"/>
      <c r="V132" s="1173" t="n"/>
      <c r="W132">
        <f>CB132&amp;CC132&amp;CD132</f>
        <v/>
      </c>
      <c r="CB132" s="90">
        <f>IF(AND(B132&gt;0,U132="")," * No olvide digitar Trans Masculino. (Digite CERO si no tiene).","")</f>
        <v/>
      </c>
      <c r="CC132" s="90">
        <f>IF(AND(B132&gt;0,V132="")," * No olvide digitar Trans Femenino. (Digite CERO si no tiene).","")</f>
        <v/>
      </c>
      <c r="CD132" s="90">
        <f>IF((U132+V132)&gt;B132," * La suma de Trans Masculino + Trans Femenino No puede ser Mayor al Total.","")</f>
        <v/>
      </c>
      <c r="CM132" s="52">
        <f>IF(AND(B132&gt;0,U132=""),1,0)</f>
        <v/>
      </c>
      <c r="CN132" s="52">
        <f>IF(AND(B132&gt;0,V132=""),1,0)</f>
        <v/>
      </c>
      <c r="CO132" s="52">
        <f>IF((U132+V132)&gt;B132,1,0)</f>
        <v/>
      </c>
    </row>
    <row r="133" ht="15" customHeight="1" s="8286">
      <c r="A133" s="1121" t="inlineStr">
        <is>
          <t>Atención Obstétrica por Ley IVE</t>
        </is>
      </c>
      <c r="B133" s="8311">
        <f>SUM(C133:T133)</f>
        <v/>
      </c>
      <c r="C133" s="1172" t="n"/>
      <c r="D133" s="2001" t="n"/>
      <c r="E133" s="2001" t="n"/>
      <c r="F133" s="2001" t="n"/>
      <c r="G133" s="2001" t="n"/>
      <c r="H133" s="2001" t="n"/>
      <c r="I133" s="2001" t="n"/>
      <c r="J133" s="2001" t="n"/>
      <c r="K133" s="2001" t="n"/>
      <c r="L133" s="2001" t="n"/>
      <c r="M133" s="2001" t="n"/>
      <c r="N133" s="2001" t="n"/>
      <c r="O133" s="2001" t="n"/>
      <c r="P133" s="2001" t="n"/>
      <c r="Q133" s="2001" t="n"/>
      <c r="R133" s="2001" t="n"/>
      <c r="S133" s="2001" t="n"/>
      <c r="T133" s="1929" t="n"/>
      <c r="U133" s="1173" t="n"/>
      <c r="V133" s="1173" t="n"/>
      <c r="W133">
        <f>CB133&amp;CC133&amp;CD133</f>
        <v/>
      </c>
      <c r="CB133" s="90">
        <f>IF(AND(B133&gt;0,U133="")," * No olvide digitar Trans Masculino. (Digite CERO si no tiene).","")</f>
        <v/>
      </c>
      <c r="CC133" s="90">
        <f>IF(AND(B133&gt;0,V133="")," * No olvide digitar Trans Femenino. (Digite CERO si no tiene).","")</f>
        <v/>
      </c>
      <c r="CD133" s="90">
        <f>IF((U133+V133)&gt;B133," * La suma de Trans Masculino + Trans Femenino No puede ser Mayor al Total.","")</f>
        <v/>
      </c>
      <c r="CM133" s="52">
        <f>IF(AND(B133&gt;0,U133=""),1,0)</f>
        <v/>
      </c>
      <c r="CN133" s="52">
        <f>IF(AND(B133&gt;0,V133=""),1,0)</f>
        <v/>
      </c>
      <c r="CO133" s="52">
        <f>IF((U133+V133)&gt;B133,1,0)</f>
        <v/>
      </c>
    </row>
    <row r="134" ht="15" customHeight="1" s="8286">
      <c r="A134" s="1121" t="inlineStr">
        <is>
          <t>Tratamiento Anticoagulante</t>
        </is>
      </c>
      <c r="B134" s="8311">
        <f>SUM(C134:T134)</f>
        <v/>
      </c>
      <c r="C134" s="1172" t="n"/>
      <c r="D134" s="2001" t="n"/>
      <c r="E134" s="2001" t="n"/>
      <c r="F134" s="2001" t="n"/>
      <c r="G134" s="2001" t="n"/>
      <c r="H134" s="2001" t="n"/>
      <c r="I134" s="2001" t="n"/>
      <c r="J134" s="2001" t="n"/>
      <c r="K134" s="2001" t="n"/>
      <c r="L134" s="2001" t="n"/>
      <c r="M134" s="2001" t="n"/>
      <c r="N134" s="2001" t="n"/>
      <c r="O134" s="2001" t="n"/>
      <c r="P134" s="2001" t="n"/>
      <c r="Q134" s="2001" t="n"/>
      <c r="R134" s="2001" t="n"/>
      <c r="S134" s="2001" t="n"/>
      <c r="T134" s="1929" t="n"/>
      <c r="U134" s="1173" t="n"/>
      <c r="V134" s="1173" t="n"/>
      <c r="W134">
        <f>CB134&amp;CC134&amp;CD134</f>
        <v/>
      </c>
      <c r="CB134" s="90">
        <f>IF(AND(B134&gt;0,U134="")," * No olvide digitar Trans Masculino. (Digite CERO si no tiene).","")</f>
        <v/>
      </c>
      <c r="CC134" s="90">
        <f>IF(AND(B134&gt;0,V134="")," * No olvide digitar Trans Femenino. (Digite CERO si no tiene).","")</f>
        <v/>
      </c>
      <c r="CD134" s="90">
        <f>IF((U134+V134)&gt;B134," * La suma de Trans Masculino + Trans Femenino No puede ser Mayor al Total.","")</f>
        <v/>
      </c>
      <c r="CM134" s="52">
        <f>IF(AND(B134&gt;0,U134=""),1,0)</f>
        <v/>
      </c>
      <c r="CN134" s="52">
        <f>IF(AND(B134&gt;0,V134=""),1,0)</f>
        <v/>
      </c>
      <c r="CO134" s="52">
        <f>IF((U134+V134)&gt;B134,1,0)</f>
        <v/>
      </c>
    </row>
    <row r="135" ht="15" customHeight="1" s="8286">
      <c r="A135" s="1121" t="inlineStr">
        <is>
          <t>Cuidados Paliativos</t>
        </is>
      </c>
      <c r="B135" s="8311">
        <f>SUM(C135:T135)</f>
        <v/>
      </c>
      <c r="C135" s="1172" t="n"/>
      <c r="D135" s="2001" t="n"/>
      <c r="E135" s="2001" t="n"/>
      <c r="F135" s="2001" t="n"/>
      <c r="G135" s="2001" t="n"/>
      <c r="H135" s="2001" t="n"/>
      <c r="I135" s="2001" t="n"/>
      <c r="J135" s="2001" t="n"/>
      <c r="K135" s="2001" t="n"/>
      <c r="L135" s="2001" t="n"/>
      <c r="M135" s="2001" t="n"/>
      <c r="N135" s="2001" t="n"/>
      <c r="O135" s="2001" t="n"/>
      <c r="P135" s="2001" t="n"/>
      <c r="Q135" s="2001" t="n"/>
      <c r="R135" s="2001" t="n"/>
      <c r="S135" s="2001" t="n"/>
      <c r="T135" s="1929" t="n"/>
      <c r="U135" s="1173" t="n"/>
      <c r="V135" s="1173" t="n"/>
      <c r="W135">
        <f>CB135&amp;CC135&amp;CD135</f>
        <v/>
      </c>
      <c r="CB135" s="90">
        <f>IF(AND(B135&gt;0,U135="")," * No olvide digitar Trans Masculino. (Digite CERO si no tiene).","")</f>
        <v/>
      </c>
      <c r="CC135" s="90">
        <f>IF(AND(B135&gt;0,V135="")," * No olvide digitar Trans Femenino. (Digite CERO si no tiene).","")</f>
        <v/>
      </c>
      <c r="CD135" s="90">
        <f>IF((U135+V135)&gt;B135," * La suma de Trans Masculino + Trans Femenino No puede ser Mayor al Total.","")</f>
        <v/>
      </c>
      <c r="CM135" s="52">
        <f>IF(AND(B135&gt;0,U135=""),1,0)</f>
        <v/>
      </c>
      <c r="CN135" s="52">
        <f>IF(AND(B135&gt;0,V135=""),1,0)</f>
        <v/>
      </c>
      <c r="CO135" s="52">
        <f>IF((U135+V135)&gt;B135,1,0)</f>
        <v/>
      </c>
    </row>
    <row r="136" ht="15" customHeight="1" s="8286">
      <c r="A136" s="1121" t="inlineStr">
        <is>
          <t>Infertilidad</t>
        </is>
      </c>
      <c r="B136" s="8311">
        <f>SUM(C136:T136)</f>
        <v/>
      </c>
      <c r="C136" s="1172" t="n"/>
      <c r="D136" s="2001" t="n"/>
      <c r="E136" s="2001" t="n"/>
      <c r="F136" s="2001" t="n"/>
      <c r="G136" s="2001" t="n"/>
      <c r="H136" s="2001" t="n"/>
      <c r="I136" s="2001" t="n"/>
      <c r="J136" s="2001" t="n"/>
      <c r="K136" s="2001" t="n"/>
      <c r="L136" s="2001" t="n"/>
      <c r="M136" s="2001" t="n"/>
      <c r="N136" s="2001" t="n"/>
      <c r="O136" s="2001" t="n"/>
      <c r="P136" s="2001" t="n"/>
      <c r="Q136" s="2001" t="n"/>
      <c r="R136" s="2001" t="n"/>
      <c r="S136" s="2001" t="n"/>
      <c r="T136" s="1929" t="n"/>
      <c r="U136" s="1173" t="n"/>
      <c r="V136" s="1173" t="n"/>
      <c r="W136">
        <f>CB136&amp;CC136&amp;CD136</f>
        <v/>
      </c>
      <c r="CB136" s="90">
        <f>IF(AND(B136&gt;0,U136="")," * No olvide digitar Trans Masculino. (Digite CERO si no tiene).","")</f>
        <v/>
      </c>
      <c r="CC136" s="90">
        <f>IF(AND(B136&gt;0,V136="")," * No olvide digitar Trans Femenino. (Digite CERO si no tiene).","")</f>
        <v/>
      </c>
      <c r="CD136" s="90">
        <f>IF((U136+V136)&gt;B136," * La suma de Trans Masculino + Trans Femenino No puede ser Mayor al Total.","")</f>
        <v/>
      </c>
      <c r="CM136" s="52">
        <f>IF(AND(B136&gt;0,U136=""),1,0)</f>
        <v/>
      </c>
      <c r="CN136" s="52">
        <f>IF(AND(B136&gt;0,V136=""),1,0)</f>
        <v/>
      </c>
      <c r="CO136" s="52">
        <f>IF((U136+V136)&gt;B136,1,0)</f>
        <v/>
      </c>
    </row>
    <row r="137" ht="15" customHeight="1" s="8286">
      <c r="A137" s="1121" t="inlineStr">
        <is>
          <t>Patología Cervical</t>
        </is>
      </c>
      <c r="B137" s="8311">
        <f>SUM(C137:T137)</f>
        <v/>
      </c>
      <c r="C137" s="1172" t="n"/>
      <c r="D137" s="2001" t="n"/>
      <c r="E137" s="2001" t="n"/>
      <c r="F137" s="2001" t="n"/>
      <c r="G137" s="2001" t="n"/>
      <c r="H137" s="2001" t="n"/>
      <c r="I137" s="2001" t="n"/>
      <c r="J137" s="2001" t="n"/>
      <c r="K137" s="2001" t="n"/>
      <c r="L137" s="2001" t="n"/>
      <c r="M137" s="2001" t="n"/>
      <c r="N137" s="2001" t="n"/>
      <c r="O137" s="2001" t="n"/>
      <c r="P137" s="2001" t="n"/>
      <c r="Q137" s="2001" t="n"/>
      <c r="R137" s="2001" t="n"/>
      <c r="S137" s="2001" t="n"/>
      <c r="T137" s="1929" t="n"/>
      <c r="U137" s="1173" t="n"/>
      <c r="V137" s="1173" t="n"/>
      <c r="W137">
        <f>CB137&amp;CC137&amp;CD137</f>
        <v/>
      </c>
      <c r="CB137" s="90">
        <f>IF(AND(B137&gt;0,U137="")," * No olvide digitar Trans Masculino. (Digite CERO si no tiene).","")</f>
        <v/>
      </c>
      <c r="CC137" s="90">
        <f>IF(AND(B137&gt;0,V137="")," * No olvide digitar Trans Femenino. (Digite CERO si no tiene).","")</f>
        <v/>
      </c>
      <c r="CD137" s="90">
        <f>IF((U137+V137)&gt;B137," * La suma de Trans Masculino + Trans Femenino No puede ser Mayor al Total.","")</f>
        <v/>
      </c>
      <c r="CM137" s="52">
        <f>IF(AND(B137&gt;0,U137=""),1,0)</f>
        <v/>
      </c>
      <c r="CN137" s="52">
        <f>IF(AND(B137&gt;0,V137=""),1,0)</f>
        <v/>
      </c>
      <c r="CO137" s="52">
        <f>IF((U137+V137)&gt;B137,1,0)</f>
        <v/>
      </c>
    </row>
    <row r="138" ht="15" customHeight="1" s="8286">
      <c r="A138" s="1121" t="inlineStr">
        <is>
          <t>Patología de Mamas</t>
        </is>
      </c>
      <c r="B138" s="8311">
        <f>SUM(C138:T138)</f>
        <v/>
      </c>
      <c r="C138" s="1172" t="n"/>
      <c r="D138" s="2001" t="n"/>
      <c r="E138" s="2001" t="n"/>
      <c r="F138" s="2001" t="n"/>
      <c r="G138" s="2001" t="n"/>
      <c r="H138" s="2001" t="n"/>
      <c r="I138" s="2001" t="n"/>
      <c r="J138" s="2001" t="n"/>
      <c r="K138" s="2001" t="n"/>
      <c r="L138" s="2001" t="n"/>
      <c r="M138" s="2001" t="n"/>
      <c r="N138" s="2001" t="n"/>
      <c r="O138" s="2001" t="n"/>
      <c r="P138" s="2001" t="n"/>
      <c r="Q138" s="2001" t="n"/>
      <c r="R138" s="2001" t="n"/>
      <c r="S138" s="2001" t="n"/>
      <c r="T138" s="1929" t="n"/>
      <c r="U138" s="1173" t="n"/>
      <c r="V138" s="1173" t="n"/>
      <c r="W138">
        <f>CB138&amp;CC138&amp;CD138</f>
        <v/>
      </c>
      <c r="CB138" s="90">
        <f>IF(AND(B138&gt;0,U138="")," * No olvide digitar Trans Masculino. (Digite CERO si no tiene).","")</f>
        <v/>
      </c>
      <c r="CC138" s="90">
        <f>IF(AND(B138&gt;0,V138="")," * No olvide digitar Trans Femenino. (Digite CERO si no tiene).","")</f>
        <v/>
      </c>
      <c r="CD138" s="90">
        <f>IF((U138+V138)&gt;B138," * La suma de Trans Masculino + Trans Femenino No puede ser Mayor al Total.","")</f>
        <v/>
      </c>
      <c r="CM138" s="52">
        <f>IF(AND(B138&gt;0,U138=""),1,0)</f>
        <v/>
      </c>
      <c r="CN138" s="52">
        <f>IF(AND(B138&gt;0,V138=""),1,0)</f>
        <v/>
      </c>
      <c r="CO138" s="52">
        <f>IF((U138+V138)&gt;B138,1,0)</f>
        <v/>
      </c>
    </row>
    <row r="139" ht="15" customHeight="1" s="8286">
      <c r="A139" s="1121" t="inlineStr">
        <is>
          <t>Adolescencia</t>
        </is>
      </c>
      <c r="B139" s="8311">
        <f>SUM(C139:T139)</f>
        <v/>
      </c>
      <c r="C139" s="1172" t="n"/>
      <c r="D139" s="2001" t="n"/>
      <c r="E139" s="2001" t="n"/>
      <c r="F139" s="2001" t="n"/>
      <c r="G139" s="2001" t="n"/>
      <c r="H139" s="2001" t="n"/>
      <c r="I139" s="2001" t="n"/>
      <c r="J139" s="2001" t="n"/>
      <c r="K139" s="2001" t="n"/>
      <c r="L139" s="2001" t="n"/>
      <c r="M139" s="2001" t="n"/>
      <c r="N139" s="2001" t="n"/>
      <c r="O139" s="2001" t="n"/>
      <c r="P139" s="2001" t="n"/>
      <c r="Q139" s="2001" t="n"/>
      <c r="R139" s="2001" t="n"/>
      <c r="S139" s="2001" t="n"/>
      <c r="T139" s="1929" t="n"/>
      <c r="U139" s="1173" t="n"/>
      <c r="V139" s="1173" t="n"/>
      <c r="W139">
        <f>CB139&amp;CC139&amp;CD139</f>
        <v/>
      </c>
      <c r="CB139" s="90">
        <f>IF(AND(B139&gt;0,U139="")," * No olvide digitar Trans Masculino. (Digite CERO si no tiene).","")</f>
        <v/>
      </c>
      <c r="CC139" s="90">
        <f>IF(AND(B139&gt;0,V139="")," * No olvide digitar Trans Femenino. (Digite CERO si no tiene).","")</f>
        <v/>
      </c>
      <c r="CD139" s="90">
        <f>IF((U139+V139)&gt;B139," * La suma de Trans Masculino + Trans Femenino No puede ser Mayor al Total.","")</f>
        <v/>
      </c>
      <c r="CM139" s="52">
        <f>IF(AND(B139&gt;0,U139=""),1,0)</f>
        <v/>
      </c>
      <c r="CN139" s="52">
        <f>IF(AND(B139&gt;0,V139=""),1,0)</f>
        <v/>
      </c>
      <c r="CO139" s="52">
        <f>IF((U139+V139)&gt;B139,1,0)</f>
        <v/>
      </c>
    </row>
    <row r="140" ht="15" customHeight="1" s="8286">
      <c r="A140" s="1121" t="inlineStr">
        <is>
          <t>Naneas</t>
        </is>
      </c>
      <c r="B140" s="8311">
        <f>SUM(C140:T140)</f>
        <v/>
      </c>
      <c r="C140" s="1172" t="n"/>
      <c r="D140" s="2001" t="n"/>
      <c r="E140" s="2001" t="n"/>
      <c r="F140" s="2001" t="n"/>
      <c r="G140" s="2001" t="n"/>
      <c r="H140" s="2001" t="n"/>
      <c r="I140" s="2001" t="n"/>
      <c r="J140" s="2001" t="n"/>
      <c r="K140" s="2001" t="n"/>
      <c r="L140" s="2001" t="n"/>
      <c r="M140" s="2001" t="n"/>
      <c r="N140" s="2001" t="n"/>
      <c r="O140" s="2001" t="n"/>
      <c r="P140" s="2001" t="n"/>
      <c r="Q140" s="2001" t="n"/>
      <c r="R140" s="2001" t="n"/>
      <c r="S140" s="2001" t="n"/>
      <c r="T140" s="1929" t="n"/>
      <c r="U140" s="1173" t="n"/>
      <c r="V140" s="1173" t="n"/>
      <c r="W140">
        <f>CB140&amp;CC140&amp;CD140</f>
        <v/>
      </c>
      <c r="CB140" s="90">
        <f>IF(AND(B140&gt;0,U140="")," * No olvide digitar Trans Masculino. (Digite CERO si no tiene).","")</f>
        <v/>
      </c>
      <c r="CC140" s="90">
        <f>IF(AND(B140&gt;0,V140="")," * No olvide digitar Trans Femenino. (Digite CERO si no tiene).","")</f>
        <v/>
      </c>
      <c r="CD140" s="90">
        <f>IF((U140+V140)&gt;B140," * La suma de Trans Masculino + Trans Femenino No puede ser Mayor al Total.","")</f>
        <v/>
      </c>
      <c r="CM140" s="52">
        <f>IF(AND(B140&gt;0,U140=""),1,0)</f>
        <v/>
      </c>
      <c r="CN140" s="52">
        <f>IF(AND(B140&gt;0,V140=""),1,0)</f>
        <v/>
      </c>
      <c r="CO140" s="52">
        <f>IF((U140+V140)&gt;B140,1,0)</f>
        <v/>
      </c>
    </row>
    <row r="141" ht="15" customHeight="1" s="8286">
      <c r="A141" s="1121" t="inlineStr">
        <is>
          <t>ITS</t>
        </is>
      </c>
      <c r="B141" s="8311">
        <f>SUM(C141:T141)</f>
        <v/>
      </c>
      <c r="C141" s="1172" t="n"/>
      <c r="D141" s="2001" t="n"/>
      <c r="E141" s="2001" t="n"/>
      <c r="F141" s="2001" t="n"/>
      <c r="G141" s="2001" t="n"/>
      <c r="H141" s="2001" t="n"/>
      <c r="I141" s="2001" t="n"/>
      <c r="J141" s="2001" t="n"/>
      <c r="K141" s="2001" t="n"/>
      <c r="L141" s="2001" t="n"/>
      <c r="M141" s="2001" t="n"/>
      <c r="N141" s="2001" t="n"/>
      <c r="O141" s="2001" t="n"/>
      <c r="P141" s="2001" t="n"/>
      <c r="Q141" s="2001" t="n"/>
      <c r="R141" s="2001" t="n"/>
      <c r="S141" s="2001" t="n"/>
      <c r="T141" s="1929" t="n"/>
      <c r="U141" s="1173" t="n"/>
      <c r="V141" s="1173" t="n"/>
      <c r="W141">
        <f>CB141&amp;CC141&amp;CD141</f>
        <v/>
      </c>
      <c r="CB141" s="90">
        <f>IF(AND(B141&gt;0,U141="")," * No olvide digitar Trans Masculino. (Digite CERO si no tiene).","")</f>
        <v/>
      </c>
      <c r="CC141" s="90">
        <f>IF(AND(B141&gt;0,V141="")," * No olvide digitar Trans Femenino. (Digite CERO si no tiene).","")</f>
        <v/>
      </c>
      <c r="CD141" s="90">
        <f>IF((U141+V141)&gt;B141," * La suma de Trans Masculino + Trans Femenino No puede ser Mayor al Total.","")</f>
        <v/>
      </c>
      <c r="CM141" s="52">
        <f>IF(AND(B141&gt;0,U141=""),1,0)</f>
        <v/>
      </c>
      <c r="CN141" s="52">
        <f>IF(AND(B141&gt;0,V141=""),1,0)</f>
        <v/>
      </c>
      <c r="CO141" s="52">
        <f>IF((U141+V141)&gt;B141,1,0)</f>
        <v/>
      </c>
    </row>
    <row r="142" ht="15" customHeight="1" s="8286">
      <c r="A142" s="1121" t="inlineStr">
        <is>
          <t>VIH/SIDA</t>
        </is>
      </c>
      <c r="B142" s="8311">
        <f>SUM(C142:T142)</f>
        <v/>
      </c>
      <c r="C142" s="1172" t="n"/>
      <c r="D142" s="2001" t="n"/>
      <c r="E142" s="2001" t="n"/>
      <c r="F142" s="2001" t="n"/>
      <c r="G142" s="2001" t="n"/>
      <c r="H142" s="2001" t="n"/>
      <c r="I142" s="2001" t="n"/>
      <c r="J142" s="2001" t="n"/>
      <c r="K142" s="2001" t="n"/>
      <c r="L142" s="2001" t="n"/>
      <c r="M142" s="2001" t="n"/>
      <c r="N142" s="2001" t="n"/>
      <c r="O142" s="2001" t="n"/>
      <c r="P142" s="2001" t="n"/>
      <c r="Q142" s="2001" t="n"/>
      <c r="R142" s="2001" t="n"/>
      <c r="S142" s="2001" t="n"/>
      <c r="T142" s="1929" t="n"/>
      <c r="U142" s="1173" t="n"/>
      <c r="V142" s="1173" t="n"/>
      <c r="W142">
        <f>CB142&amp;CC142&amp;CD142</f>
        <v/>
      </c>
      <c r="CB142" s="90">
        <f>IF(AND(B142&gt;0,U142="")," * No olvide digitar Trans Masculino. (Digite CERO si no tiene).","")</f>
        <v/>
      </c>
      <c r="CC142" s="90">
        <f>IF(AND(B142&gt;0,V142="")," * No olvide digitar Trans Femenino. (Digite CERO si no tiene).","")</f>
        <v/>
      </c>
      <c r="CD142" s="90">
        <f>IF((U142+V142)&gt;B142," * La suma de Trans Masculino + Trans Femenino No puede ser Mayor al Total.","")</f>
        <v/>
      </c>
      <c r="CM142" s="52">
        <f>IF(AND(B142&gt;0,U142=""),1,0)</f>
        <v/>
      </c>
      <c r="CN142" s="52">
        <f>IF(AND(B142&gt;0,V142=""),1,0)</f>
        <v/>
      </c>
      <c r="CO142" s="52">
        <f>IF((U142+V142)&gt;B142,1,0)</f>
        <v/>
      </c>
    </row>
    <row r="143" ht="15" customHeight="1" s="8286">
      <c r="A143" s="1121" t="inlineStr">
        <is>
          <t>Medicinal Ocupacional (Salud del Personal)</t>
        </is>
      </c>
      <c r="B143" s="8322">
        <f>SUM(C143:T143)</f>
        <v/>
      </c>
      <c r="C143" s="1172" t="n"/>
      <c r="D143" s="2001" t="n"/>
      <c r="E143" s="2001" t="n"/>
      <c r="F143" s="2001" t="n"/>
      <c r="G143" s="2001" t="n"/>
      <c r="H143" s="2001" t="n"/>
      <c r="I143" s="2001" t="n"/>
      <c r="J143" s="2001" t="n"/>
      <c r="K143" s="2001" t="n"/>
      <c r="L143" s="2001" t="n"/>
      <c r="M143" s="2001" t="n"/>
      <c r="N143" s="2001" t="n"/>
      <c r="O143" s="2001" t="n"/>
      <c r="P143" s="2001" t="n"/>
      <c r="Q143" s="2001" t="n"/>
      <c r="R143" s="2001" t="n"/>
      <c r="S143" s="2001" t="n"/>
      <c r="T143" s="1929" t="n"/>
      <c r="U143" s="1173" t="n"/>
      <c r="V143" s="1173" t="n"/>
      <c r="W143">
        <f>CB143&amp;CC143&amp;CD143</f>
        <v/>
      </c>
      <c r="CB143" s="90">
        <f>IF(AND(B143&gt;0,U143="")," * No olvide digitar Trans Masculino. (Digite CERO si no tiene).","")</f>
        <v/>
      </c>
      <c r="CC143" s="90">
        <f>IF(AND(B143&gt;0,V143="")," * No olvide digitar Trans Femenino. (Digite CERO si no tiene).","")</f>
        <v/>
      </c>
      <c r="CD143" s="90">
        <f>IF((U143+V143)&gt;B143," * La suma de Trans Masculino + Trans Femenino No puede ser Mayor al Total.","")</f>
        <v/>
      </c>
      <c r="CM143" s="52">
        <f>IF(AND(B143&gt;0,U143=""),1,0)</f>
        <v/>
      </c>
      <c r="CN143" s="52">
        <f>IF(AND(B143&gt;0,V143=""),1,0)</f>
        <v/>
      </c>
      <c r="CO143" s="52">
        <f>IF((U143+V143)&gt;B143,1,0)</f>
        <v/>
      </c>
    </row>
    <row r="144" ht="15" customHeight="1" s="8286">
      <c r="A144" s="1121" t="inlineStr">
        <is>
          <t>Unidad Trauma Ocular (excluye PACTO)</t>
        </is>
      </c>
      <c r="B144" s="8311">
        <f>SUM(C144:T144)</f>
        <v/>
      </c>
      <c r="C144" s="1172" t="n"/>
      <c r="D144" s="2001" t="n"/>
      <c r="E144" s="2001" t="n"/>
      <c r="F144" s="2001" t="n"/>
      <c r="G144" s="2001" t="n"/>
      <c r="H144" s="2001" t="n"/>
      <c r="I144" s="2001" t="n"/>
      <c r="J144" s="2001" t="n"/>
      <c r="K144" s="2001" t="n"/>
      <c r="L144" s="2001" t="n"/>
      <c r="M144" s="2001" t="n"/>
      <c r="N144" s="2001" t="n"/>
      <c r="O144" s="2001" t="n"/>
      <c r="P144" s="2001" t="n"/>
      <c r="Q144" s="2001" t="n"/>
      <c r="R144" s="2001" t="n"/>
      <c r="S144" s="2001" t="n"/>
      <c r="T144" s="1929" t="n"/>
      <c r="U144" s="1173" t="n"/>
      <c r="V144" s="1173" t="n"/>
      <c r="W144">
        <f>CB144&amp;CC144&amp;CD144</f>
        <v/>
      </c>
      <c r="CB144" s="90">
        <f>IF(AND(B144&gt;0,U144="")," * No olvide digitar Trans Masculino. (Digite CERO si no tiene).","")</f>
        <v/>
      </c>
      <c r="CC144" s="90">
        <f>IF(AND(B144&gt;0,V144="")," * No olvide digitar Trans Femenino. (Digite CERO si no tiene).","")</f>
        <v/>
      </c>
      <c r="CD144" s="90">
        <f>IF((U144+V144)&gt;B144," * La suma de Trans Masculino + Trans Femenino No puede ser Mayor al Total.","")</f>
        <v/>
      </c>
      <c r="CM144" s="52">
        <f>IF(AND(B144&gt;0,U144=""),1,0)</f>
        <v/>
      </c>
      <c r="CN144" s="52">
        <f>IF(AND(B144&gt;0,V144=""),1,0)</f>
        <v/>
      </c>
      <c r="CO144" s="52">
        <f>IF((U144+V144)&gt;B144,1,0)</f>
        <v/>
      </c>
    </row>
    <row r="145" ht="23.25" customHeight="1" s="8286">
      <c r="A145" s="1331" t="inlineStr">
        <is>
          <t>Programa Acompañamiento y Cuidado a Personas Víctimas de Trauma Ocular, lesiones graves y lesionados por perdigones (PACTO)</t>
        </is>
      </c>
      <c r="B145" s="7764">
        <f>SUM(C145:T145)</f>
        <v/>
      </c>
      <c r="C145" s="2566" t="n"/>
      <c r="D145" s="2567" t="n"/>
      <c r="E145" s="2567" t="n"/>
      <c r="F145" s="1118" t="n"/>
      <c r="G145" s="1118" t="n"/>
      <c r="H145" s="1118" t="n"/>
      <c r="I145" s="1118" t="n"/>
      <c r="J145" s="1118" t="n"/>
      <c r="K145" s="1118" t="n"/>
      <c r="L145" s="1118" t="n"/>
      <c r="M145" s="1118" t="n"/>
      <c r="N145" s="1118" t="n"/>
      <c r="O145" s="1118" t="n"/>
      <c r="P145" s="1118" t="n"/>
      <c r="Q145" s="1118" t="n"/>
      <c r="R145" s="1118" t="n"/>
      <c r="S145" s="1118" t="n"/>
      <c r="T145" s="1224" t="n"/>
      <c r="U145" s="1192" t="n"/>
      <c r="V145" s="1192" t="n"/>
      <c r="W145">
        <f>CB145&amp;CC145&amp;CD145</f>
        <v/>
      </c>
      <c r="CB145" s="90">
        <f>IF(AND(B145&gt;0,U145="")," * No olvide digitar Trans Masculino. (Digite CERO si no tiene).","")</f>
        <v/>
      </c>
      <c r="CC145" s="90">
        <f>IF(AND(B145&gt;0,V145="")," * No olvide digitar Trans Femenino. (Digite CERO si no tiene).","")</f>
        <v/>
      </c>
      <c r="CD145" s="90">
        <f>IF((U145+V145)&gt;B145," * La suma de Trans Masculino + Trans Femenino No puede ser Mayor al Total.","")</f>
        <v/>
      </c>
      <c r="CM145" s="52">
        <f>IF(AND(B145&gt;0,U145=""),1,0)</f>
        <v/>
      </c>
      <c r="CN145" s="52">
        <f>IF(AND(B145&gt;0,V145=""),1,0)</f>
        <v/>
      </c>
      <c r="CO145" s="52">
        <f>IF((U145+V145)&gt;B145,1,0)</f>
        <v/>
      </c>
    </row>
    <row r="146" ht="15" customHeight="1" s="8286">
      <c r="A146" s="8470" t="inlineStr">
        <is>
          <t xml:space="preserve">TOTAL </t>
        </is>
      </c>
      <c r="B146" s="2561">
        <f>SUM(B129:B145)</f>
        <v/>
      </c>
      <c r="C146" s="8543">
        <f>SUM(C129:C145)</f>
        <v/>
      </c>
      <c r="D146" s="177">
        <f>SUM(D129:D145)</f>
        <v/>
      </c>
      <c r="E146" s="177">
        <f>SUM(E129:E145)</f>
        <v/>
      </c>
      <c r="F146" s="177">
        <f>SUM(F129:F145)</f>
        <v/>
      </c>
      <c r="G146" s="177">
        <f>SUM(G129:G145)</f>
        <v/>
      </c>
      <c r="H146" s="177">
        <f>SUM(H129:H145)</f>
        <v/>
      </c>
      <c r="I146" s="177">
        <f>SUM(I129:I145)</f>
        <v/>
      </c>
      <c r="J146" s="177">
        <f>SUM(J129:J145)</f>
        <v/>
      </c>
      <c r="K146" s="177">
        <f>SUM(K129:K145)</f>
        <v/>
      </c>
      <c r="L146" s="177">
        <f>SUM(L129:L145)</f>
        <v/>
      </c>
      <c r="M146" s="177">
        <f>SUM(M129:M145)</f>
        <v/>
      </c>
      <c r="N146" s="177">
        <f>SUM(N129:N145)</f>
        <v/>
      </c>
      <c r="O146" s="177">
        <f>SUM(O129:O145)</f>
        <v/>
      </c>
      <c r="P146" s="177">
        <f>SUM(P129:P145)</f>
        <v/>
      </c>
      <c r="Q146" s="177">
        <f>SUM(Q129:Q145)</f>
        <v/>
      </c>
      <c r="R146" s="177">
        <f>SUM(R129:R145)</f>
        <v/>
      </c>
      <c r="S146" s="177">
        <f>SUM(S129:S145)</f>
        <v/>
      </c>
      <c r="T146" s="181">
        <f>SUM(T129:T145)</f>
        <v/>
      </c>
      <c r="U146" s="2562">
        <f>SUM(U129:U145)</f>
        <v/>
      </c>
      <c r="V146" s="2562">
        <f>SUM(V129:V145)</f>
        <v/>
      </c>
    </row>
    <row r="147" ht="18" customFormat="1" customHeight="1" s="5">
      <c r="A147" s="289" t="inlineStr">
        <is>
          <t>SECCIÓN C: CONSULTAS Y CONTROLES POR OTROS PROFESIONALES EN ESPECIALIDAD (NIVEL SECUNDARIO)</t>
        </is>
      </c>
      <c r="B147" s="2498" t="n"/>
      <c r="C147" s="2498" t="n"/>
      <c r="D147" s="2498" t="n"/>
      <c r="E147" s="2498" t="n"/>
      <c r="F147" s="2" t="n"/>
      <c r="G147" s="3" t="n"/>
      <c r="H147" s="3" t="n"/>
      <c r="I147" s="3" t="n"/>
      <c r="J147" s="3" t="n"/>
      <c r="K147" s="3" t="n"/>
      <c r="L147" s="3" t="n"/>
      <c r="M147" s="3" t="n"/>
      <c r="N147" s="3" t="n"/>
      <c r="O147" s="3" t="n"/>
      <c r="P147" s="3" t="n"/>
      <c r="Q147" s="3" t="n"/>
      <c r="R147" s="3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CB147" s="17" t="n"/>
      <c r="CC147" s="17" t="n"/>
      <c r="CD147" s="17" t="n"/>
      <c r="CE147" s="17" t="n"/>
      <c r="CF147" s="17" t="n"/>
      <c r="CG147" s="17" t="n"/>
      <c r="CH147" s="17" t="n"/>
      <c r="CI147" s="17" t="n"/>
      <c r="CJ147" s="17" t="n"/>
      <c r="CK147" s="17" t="n"/>
      <c r="CL147" s="17" t="n"/>
      <c r="CM147" s="17" t="n"/>
      <c r="CN147" s="17" t="n"/>
      <c r="CO147" s="17" t="n"/>
      <c r="CP147" s="17" t="n"/>
      <c r="CQ147" s="17" t="n"/>
      <c r="CR147" s="17" t="n"/>
      <c r="CS147" s="17" t="n"/>
      <c r="CT147" s="17" t="n"/>
    </row>
    <row r="148" ht="15" customHeight="1" s="8286">
      <c r="A148" s="10004" t="inlineStr">
        <is>
          <t>PROFESIONAL</t>
        </is>
      </c>
      <c r="B148" s="9630" t="n"/>
      <c r="C148" s="10004" t="inlineStr">
        <is>
          <t xml:space="preserve">TOTAL </t>
        </is>
      </c>
      <c r="D148" s="9602" t="n"/>
      <c r="E148" s="9630" t="n"/>
      <c r="F148" s="9915" t="inlineStr">
        <is>
          <t>RANGO ETARIO Y SEXO</t>
        </is>
      </c>
      <c r="G148" s="9584" t="n"/>
      <c r="H148" s="9584" t="n"/>
      <c r="I148" s="9584" t="n"/>
      <c r="J148" s="9584" t="n"/>
      <c r="K148" s="9584" t="n"/>
      <c r="L148" s="9584" t="n"/>
      <c r="M148" s="9584" t="n"/>
      <c r="N148" s="9584" t="n"/>
      <c r="O148" s="9584" t="n"/>
      <c r="P148" s="9584" t="n"/>
      <c r="Q148" s="9584" t="n"/>
      <c r="R148" s="9584" t="n"/>
      <c r="S148" s="9584" t="n"/>
      <c r="T148" s="9584" t="n"/>
      <c r="U148" s="9584" t="n"/>
      <c r="V148" s="9584" t="n"/>
      <c r="W148" s="9584" t="n"/>
      <c r="X148" s="9584" t="n"/>
      <c r="Y148" s="9584" t="n"/>
      <c r="Z148" s="9584" t="n"/>
      <c r="AA148" s="9584" t="n"/>
      <c r="AB148" s="9584" t="n"/>
      <c r="AC148" s="9584" t="n"/>
      <c r="AD148" s="9584" t="n"/>
      <c r="AE148" s="9584" t="n"/>
      <c r="AF148" s="9584" t="n"/>
      <c r="AG148" s="9584" t="n"/>
      <c r="AH148" s="9584" t="n"/>
      <c r="AI148" s="9584" t="n"/>
      <c r="AJ148" s="9584" t="n"/>
      <c r="AK148" s="9584" t="n"/>
      <c r="AL148" s="9584" t="n"/>
      <c r="AM148" s="9584" t="n"/>
      <c r="AN148" s="9584" t="n"/>
      <c r="AO148" s="9595" t="n"/>
      <c r="AP148" s="9980" t="inlineStr">
        <is>
          <t>Beneficiarios</t>
        </is>
      </c>
      <c r="AQ148" s="9981" t="inlineStr">
        <is>
          <t>Total Controles (incluidos en grupo de edad)</t>
        </is>
      </c>
      <c r="AR148" s="9981" t="inlineStr">
        <is>
          <t>Pueblos Originarios</t>
        </is>
      </c>
      <c r="AS148" s="9931" t="inlineStr">
        <is>
          <t>Migrantes</t>
        </is>
      </c>
      <c r="AT148" s="10107" t="inlineStr">
        <is>
          <t>Atenciones pacientes oncológicos</t>
        </is>
      </c>
      <c r="AU148" s="9755" t="n"/>
      <c r="AV148" s="10108" t="inlineStr">
        <is>
          <t>Atenciones pacientes PACTO</t>
        </is>
      </c>
      <c r="AW148" s="9603" t="n"/>
    </row>
    <row r="149">
      <c r="A149" s="642" t="n"/>
      <c r="B149" s="9718" t="n"/>
      <c r="C149" s="9638" t="n"/>
      <c r="D149" s="9697" t="n"/>
      <c r="E149" s="9639" t="n"/>
      <c r="F149" s="9240" t="inlineStr">
        <is>
          <t>0 - 4 años</t>
        </is>
      </c>
      <c r="G149" s="9647" t="n"/>
      <c r="H149" s="9240" t="inlineStr">
        <is>
          <t>5 - 9 años</t>
        </is>
      </c>
      <c r="I149" s="9647" t="n"/>
      <c r="J149" s="9240" t="inlineStr">
        <is>
          <t>10 - 14 años</t>
        </is>
      </c>
      <c r="K149" s="9647" t="n"/>
      <c r="L149" s="9240" t="inlineStr">
        <is>
          <t>15 - 17 años</t>
        </is>
      </c>
      <c r="M149" s="9647" t="n"/>
      <c r="N149" s="9240" t="inlineStr">
        <is>
          <t>18-19 años</t>
        </is>
      </c>
      <c r="O149" s="9647" t="n"/>
      <c r="P149" s="9240" t="inlineStr">
        <is>
          <t>20 - 24 años</t>
        </is>
      </c>
      <c r="Q149" s="9647" t="n"/>
      <c r="R149" s="4505" t="inlineStr">
        <is>
          <t>25 - 29 años</t>
        </is>
      </c>
      <c r="S149" s="9647" t="n"/>
      <c r="T149" s="4505" t="inlineStr">
        <is>
          <t>30 - 34 años</t>
        </is>
      </c>
      <c r="U149" s="9647" t="n"/>
      <c r="V149" s="4505" t="inlineStr">
        <is>
          <t>35 - 39 años</t>
        </is>
      </c>
      <c r="W149" s="9647" t="n"/>
      <c r="X149" s="4505" t="inlineStr">
        <is>
          <t>40 - 44 años</t>
        </is>
      </c>
      <c r="Y149" s="9647" t="n"/>
      <c r="Z149" s="4505" t="inlineStr">
        <is>
          <t>45 - 49 años</t>
        </is>
      </c>
      <c r="AA149" s="9647" t="n"/>
      <c r="AB149" s="4505" t="inlineStr">
        <is>
          <t>50 - 54 años</t>
        </is>
      </c>
      <c r="AC149" s="9647" t="n"/>
      <c r="AD149" s="4505" t="inlineStr">
        <is>
          <t>55 - 59 años</t>
        </is>
      </c>
      <c r="AE149" s="9647" t="n"/>
      <c r="AF149" s="4505" t="inlineStr">
        <is>
          <t>60 - 64 años</t>
        </is>
      </c>
      <c r="AG149" s="9647" t="n"/>
      <c r="AH149" s="4505" t="inlineStr">
        <is>
          <t>65 - 69 años</t>
        </is>
      </c>
      <c r="AI149" s="9647" t="n"/>
      <c r="AJ149" s="4505" t="inlineStr">
        <is>
          <t>70 - 74 años</t>
        </is>
      </c>
      <c r="AK149" s="9647" t="n"/>
      <c r="AL149" s="4505" t="inlineStr">
        <is>
          <t>75 - 79 años</t>
        </is>
      </c>
      <c r="AM149" s="9647" t="n"/>
      <c r="AN149" s="9915" t="inlineStr">
        <is>
          <t>80 y más años</t>
        </is>
      </c>
      <c r="AO149" s="9595" t="n"/>
      <c r="AP149" s="9683" t="n"/>
      <c r="AQ149" s="10017" t="n"/>
      <c r="AR149" s="10017" t="n"/>
      <c r="AS149" s="9704" t="n"/>
      <c r="AT149" s="9757" t="n"/>
      <c r="AU149" s="9759" t="n"/>
      <c r="AV149" s="10109" t="n"/>
      <c r="AW149" s="10110" t="n"/>
    </row>
    <row r="150">
      <c r="A150" s="9638" t="n"/>
      <c r="B150" s="9639" t="n"/>
      <c r="C150" s="2167" t="inlineStr">
        <is>
          <t>Ambos Sexos</t>
        </is>
      </c>
      <c r="D150" s="2471" t="inlineStr">
        <is>
          <t>Hombres</t>
        </is>
      </c>
      <c r="E150" s="7936" t="inlineStr">
        <is>
          <t>Mujeres</t>
        </is>
      </c>
      <c r="F150" s="7932" t="inlineStr">
        <is>
          <t>Hombres</t>
        </is>
      </c>
      <c r="G150" s="7694" t="inlineStr">
        <is>
          <t>Mujeres</t>
        </is>
      </c>
      <c r="H150" s="7932" t="inlineStr">
        <is>
          <t>Hombres</t>
        </is>
      </c>
      <c r="I150" s="7694" t="inlineStr">
        <is>
          <t>Mujeres</t>
        </is>
      </c>
      <c r="J150" s="7932" t="inlineStr">
        <is>
          <t>Hombres</t>
        </is>
      </c>
      <c r="K150" s="7694" t="inlineStr">
        <is>
          <t>Mujeres</t>
        </is>
      </c>
      <c r="L150" s="7932" t="inlineStr">
        <is>
          <t>Hombres</t>
        </is>
      </c>
      <c r="M150" s="7694" t="inlineStr">
        <is>
          <t>Mujeres</t>
        </is>
      </c>
      <c r="N150" s="7932" t="inlineStr">
        <is>
          <t>Hombres</t>
        </is>
      </c>
      <c r="O150" s="7694" t="inlineStr">
        <is>
          <t>Mujeres</t>
        </is>
      </c>
      <c r="P150" s="7932" t="inlineStr">
        <is>
          <t>Hombres</t>
        </is>
      </c>
      <c r="Q150" s="7694" t="inlineStr">
        <is>
          <t>Mujeres</t>
        </is>
      </c>
      <c r="R150" s="7932" t="inlineStr">
        <is>
          <t>Hombres</t>
        </is>
      </c>
      <c r="S150" s="7694" t="inlineStr">
        <is>
          <t>Mujeres</t>
        </is>
      </c>
      <c r="T150" s="7932" t="inlineStr">
        <is>
          <t>Hombres</t>
        </is>
      </c>
      <c r="U150" s="7694" t="inlineStr">
        <is>
          <t>Mujeres</t>
        </is>
      </c>
      <c r="V150" s="7932" t="inlineStr">
        <is>
          <t>Hombres</t>
        </is>
      </c>
      <c r="W150" s="7694" t="inlineStr">
        <is>
          <t>Mujeres</t>
        </is>
      </c>
      <c r="X150" s="7932" t="inlineStr">
        <is>
          <t>Hombres</t>
        </is>
      </c>
      <c r="Y150" s="7694" t="inlineStr">
        <is>
          <t>Mujeres</t>
        </is>
      </c>
      <c r="Z150" s="7932" t="inlineStr">
        <is>
          <t>Hombres</t>
        </is>
      </c>
      <c r="AA150" s="7694" t="inlineStr">
        <is>
          <t>Mujeres</t>
        </is>
      </c>
      <c r="AB150" s="7932" t="inlineStr">
        <is>
          <t>Hombres</t>
        </is>
      </c>
      <c r="AC150" s="7694" t="inlineStr">
        <is>
          <t>Mujeres</t>
        </is>
      </c>
      <c r="AD150" s="7932" t="inlineStr">
        <is>
          <t>Hombres</t>
        </is>
      </c>
      <c r="AE150" s="7694" t="inlineStr">
        <is>
          <t>Mujeres</t>
        </is>
      </c>
      <c r="AF150" s="7932" t="inlineStr">
        <is>
          <t>Hombres</t>
        </is>
      </c>
      <c r="AG150" s="7694" t="inlineStr">
        <is>
          <t>Mujeres</t>
        </is>
      </c>
      <c r="AH150" s="7932" t="inlineStr">
        <is>
          <t>Hombres</t>
        </is>
      </c>
      <c r="AI150" s="7694" t="inlineStr">
        <is>
          <t>Mujeres</t>
        </is>
      </c>
      <c r="AJ150" s="7932" t="inlineStr">
        <is>
          <t>Hombres</t>
        </is>
      </c>
      <c r="AK150" s="7694" t="inlineStr">
        <is>
          <t>Mujeres</t>
        </is>
      </c>
      <c r="AL150" s="7932" t="inlineStr">
        <is>
          <t>Hombres</t>
        </is>
      </c>
      <c r="AM150" s="7694" t="inlineStr">
        <is>
          <t>Mujeres</t>
        </is>
      </c>
      <c r="AN150" s="7932" t="inlineStr">
        <is>
          <t>Hombres</t>
        </is>
      </c>
      <c r="AO150" s="7684" t="inlineStr">
        <is>
          <t>Mujeres</t>
        </is>
      </c>
      <c r="AP150" s="9604" t="n"/>
      <c r="AQ150" s="9912" t="n"/>
      <c r="AR150" s="9912" t="n"/>
      <c r="AS150" s="9705" t="n"/>
      <c r="AT150" s="2569" t="inlineStr">
        <is>
          <t>Menor 18 años</t>
        </is>
      </c>
      <c r="AU150" s="1356" t="inlineStr">
        <is>
          <t>18 y más años</t>
        </is>
      </c>
      <c r="AV150" s="7997" t="inlineStr">
        <is>
          <t>18 a 29 años</t>
        </is>
      </c>
      <c r="AW150" s="7659" t="inlineStr">
        <is>
          <t>30 y más años</t>
        </is>
      </c>
    </row>
    <row r="151">
      <c r="A151" s="10111" t="inlineStr">
        <is>
          <t>Enfermera/o</t>
        </is>
      </c>
      <c r="B151" s="9603" t="n"/>
      <c r="C151" s="2155">
        <f>SUM(D151+E151)</f>
        <v/>
      </c>
      <c r="D151" s="2570">
        <f>SUM(F151+H151+J151+L151+N151+P151+R151+T151+V151+X151+Z151+AB151+AD151+AF151+AH151+AJ151+AL151+AN151)</f>
        <v/>
      </c>
      <c r="E151" s="2358">
        <f>SUM(G151+I151+K151+M151+O151+Q151+S151+U151+W151+Y151+AA151+AC151+AE151+AG151+AI151+AK151+AM151+AO151)</f>
        <v/>
      </c>
      <c r="F151" s="2014" t="n"/>
      <c r="G151" s="2019" t="n"/>
      <c r="H151" s="2014" t="n"/>
      <c r="I151" s="2019" t="n"/>
      <c r="J151" s="2014" t="n"/>
      <c r="K151" s="2204" t="n"/>
      <c r="L151" s="2014" t="n"/>
      <c r="M151" s="2204" t="n"/>
      <c r="N151" s="2014" t="n"/>
      <c r="O151" s="2204" t="n"/>
      <c r="P151" s="2014" t="n"/>
      <c r="Q151" s="2204" t="n"/>
      <c r="R151" s="2014" t="n"/>
      <c r="S151" s="2204" t="n"/>
      <c r="T151" s="2014" t="n"/>
      <c r="U151" s="2204" t="n"/>
      <c r="V151" s="2014" t="n"/>
      <c r="W151" s="2204" t="n"/>
      <c r="X151" s="2014" t="n"/>
      <c r="Y151" s="2204" t="n"/>
      <c r="Z151" s="2014" t="n"/>
      <c r="AA151" s="2204" t="n"/>
      <c r="AB151" s="2014" t="n"/>
      <c r="AC151" s="2204" t="n"/>
      <c r="AD151" s="2014" t="n"/>
      <c r="AE151" s="2204" t="n"/>
      <c r="AF151" s="2014" t="n"/>
      <c r="AG151" s="2204" t="n"/>
      <c r="AH151" s="2014" t="n"/>
      <c r="AI151" s="2204" t="n"/>
      <c r="AJ151" s="2014" t="n"/>
      <c r="AK151" s="2204" t="n"/>
      <c r="AL151" s="2014" t="n"/>
      <c r="AM151" s="2204" t="n"/>
      <c r="AN151" s="2359" t="n"/>
      <c r="AO151" s="2018" t="n"/>
      <c r="AP151" s="42" t="n"/>
      <c r="AQ151" s="145" t="n"/>
      <c r="AR151" s="145" t="n"/>
      <c r="AS151" s="2196" t="n"/>
      <c r="AT151" s="2014" t="n"/>
      <c r="AU151" s="2204" t="n"/>
      <c r="AV151" s="2571" t="n"/>
      <c r="AW151" s="2572" t="n"/>
      <c r="AX151">
        <f>CB151&amp;CC151&amp;CD151&amp;CE151&amp;CF151&amp;CG151</f>
        <v/>
      </c>
      <c r="CB151" s="90">
        <f>IF(AND(C151&gt;0,AP151="")," * No olvide digitar la variable Beneficiarios. Digite Cero si no tiene.",IF(AP151&gt;C151," *  La variable Beneficiarios No puede ser mayor al Total Ambos Sexos.",""))</f>
        <v/>
      </c>
      <c r="CC151" s="90">
        <f>IF(AND(C151&gt;0,AQ151="")," * No olvide digitar la variable Total de Controles. Digite Cero si no tiene.",IF(AQ151&gt;C151,"  * La variable Total de Controles No puede ser mayor al Total Ambos Sexos.",""))</f>
        <v/>
      </c>
      <c r="CD151" s="90">
        <f>IF(AND(C151&gt;0,AR151="")," * No olvide digitar la variable Pueblos Originarios. Digite Cero si no tiene.",IF(AR151&gt;C151," * La variable Pueblos Originarios No puede ser mayor al Total Ambos Sexos.",""))</f>
        <v/>
      </c>
      <c r="CE151" s="90">
        <f>IF(AND($C151&gt;0,AS151="")," * No olvide digitar la variable Migrantes. Digite Cero si no tiene.",IF(AS151&gt;$C151," * La variable Migrantes No puede ser mayor al Total Ambos Sexos.",""))</f>
        <v/>
      </c>
      <c r="CF151" s="90">
        <f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 t="n"/>
      <c r="CN151" s="52">
        <f>IF(AND(C151&gt;0,AP151=""),1,IF(AP151&gt;C151,1,0))</f>
        <v/>
      </c>
      <c r="CO151" s="52">
        <f>IF(AND(C151&gt;0,AQ151=""),1,IF(AQ151&gt;C151,1,0))</f>
        <v/>
      </c>
      <c r="CP151" s="52">
        <f>IF(AND(C151&gt;0,AR151=""),1,IF(AR151&gt;C151,1,0))</f>
        <v/>
      </c>
      <c r="CQ151" s="52">
        <f>IF(AND(C151&gt;0,AS151=""),1,IF(AS151&gt;C151,1,0))</f>
        <v/>
      </c>
      <c r="CR151" s="127">
        <f>IF(AND($C151&gt;0,AT151="",AU151=""),1,IF(AT151+AU151&gt;$C151,1,0))</f>
        <v/>
      </c>
      <c r="CS151" s="126" t="n"/>
    </row>
    <row r="152">
      <c r="A152" s="8400" t="inlineStr">
        <is>
          <t>Matrona/ón</t>
        </is>
      </c>
      <c r="B152" s="2565" t="inlineStr">
        <is>
          <t>ARO</t>
        </is>
      </c>
      <c r="C152" s="1931">
        <f>SUM(D152:E152)</f>
        <v/>
      </c>
      <c r="D152" s="839" t="n"/>
      <c r="E152" s="2510">
        <f>SUM(K152+M152+O152+Q152+S152+U152+W152+Y152+AA152+AC152+AE152+AG152+AI152+AK152+AM152+AO152)</f>
        <v/>
      </c>
      <c r="F152" s="2412" t="n"/>
      <c r="G152" s="2413" t="n"/>
      <c r="H152" s="2412" t="n"/>
      <c r="I152" s="2413" t="n"/>
      <c r="J152" s="2412" t="n"/>
      <c r="K152" s="2337" t="n"/>
      <c r="L152" s="2412" t="n"/>
      <c r="M152" s="2337" t="n"/>
      <c r="N152" s="2412" t="n"/>
      <c r="O152" s="2337" t="n"/>
      <c r="P152" s="2412" t="n"/>
      <c r="Q152" s="2337" t="n"/>
      <c r="R152" s="2412" t="n"/>
      <c r="S152" s="2337" t="n"/>
      <c r="T152" s="2412" t="n"/>
      <c r="U152" s="2337" t="n"/>
      <c r="V152" s="2412" t="n"/>
      <c r="W152" s="2337" t="n"/>
      <c r="X152" s="2412" t="n"/>
      <c r="Y152" s="2337" t="n"/>
      <c r="Z152" s="2412" t="n"/>
      <c r="AA152" s="2337" t="n"/>
      <c r="AB152" s="2412" t="n"/>
      <c r="AC152" s="2337" t="n"/>
      <c r="AD152" s="2412" t="n"/>
      <c r="AE152" s="2337" t="n"/>
      <c r="AF152" s="2412" t="n"/>
      <c r="AG152" s="2337" t="n"/>
      <c r="AH152" s="2412" t="n"/>
      <c r="AI152" s="2337" t="n"/>
      <c r="AJ152" s="2412" t="n"/>
      <c r="AK152" s="2337" t="n"/>
      <c r="AL152" s="2412" t="n"/>
      <c r="AM152" s="2337" t="n"/>
      <c r="AN152" s="2412" t="n"/>
      <c r="AO152" s="1940" t="n"/>
      <c r="AP152" s="2376" t="n"/>
      <c r="AQ152" s="835" t="n"/>
      <c r="AR152" s="835" t="n"/>
      <c r="AS152" s="2337" t="n"/>
      <c r="AT152" s="2266" t="n"/>
      <c r="AU152" s="2337" t="n"/>
      <c r="AV152" s="2573" t="n"/>
      <c r="AW152" s="2574" t="n"/>
      <c r="AX152">
        <f>CB152&amp;CC152&amp;CD152&amp;CE152&amp;CF152&amp;CG152</f>
        <v/>
      </c>
      <c r="CB152" s="90">
        <f>IF(AND(C152&gt;0,AP152="")," * No olvide digitar la variable Beneficiarios. Digite Cero si no tiene.",IF(AP152&gt;C152," *  La variable Beneficiarios No puede ser mayor al Total Ambos Sexos.",""))</f>
        <v/>
      </c>
      <c r="CC152" s="90">
        <f>IF(AND(C152&gt;0,AQ152="")," * No olvide digitar la variable Total de Controles. Digite Cero si no tiene.",IF(AQ152&gt;C152,"  * La variable Total de Controles No puede ser mayor al Total Ambos Sexos.",""))</f>
        <v/>
      </c>
      <c r="CD152" s="90">
        <f>IF(AND(C152&gt;0,AR152="")," * No olvide digitar la variable Pueblos Originarios. Digite Cero si no tiene.",IF(AR152&gt;C152," * La variable Pueblos Originarios No puede ser mayor al Total Ambos Sexos.",""))</f>
        <v/>
      </c>
      <c r="CE152" s="90">
        <f>IF(AND($C152&gt;0,AS152="")," * No olvide digitar la variable Migrantes. Digite Cero si no tiene.",IF(AS152&gt;$C152," * La variable Migrantes No puede ser mayor al Total Ambos Sexos.",""))</f>
        <v/>
      </c>
      <c r="CF152" s="90">
        <f>IF(AND($C152&gt;0,AT152="",AU152="")," * No olvide digitar la variable Atenciones pacientes oncológicos. Digite Cero si no tiene.",IF(AT152+AU152&gt;$C152," * La suma de las variables Atenciones pacientes oncológicos No puede ser mayor al Total Ambos Sexos.",""))</f>
        <v/>
      </c>
      <c r="CG152" s="126" t="n"/>
      <c r="CN152" s="52">
        <f>IF(AND(C152&gt;0,AP152=""),1,IF(AP152&gt;C152,1,0))</f>
        <v/>
      </c>
      <c r="CO152" s="52">
        <f>IF(AND(C152&gt;0,AQ152=""),1,IF(AQ152&gt;C152,1,0))</f>
        <v/>
      </c>
      <c r="CP152" s="52">
        <f>IF(AND(C152&gt;0,AR152=""),1,IF(AR152&gt;C152,1,0))</f>
        <v/>
      </c>
      <c r="CQ152" s="52">
        <f>IF(AND(C152&gt;0,AS152=""),1,IF(AS152&gt;C152,1,0))</f>
        <v/>
      </c>
      <c r="CR152" s="127">
        <f>IF(AND($C152&gt;0,AT152="",AU152=""),1,IF(AT152+AU152&gt;$C152,1,0))</f>
        <v/>
      </c>
      <c r="CS152" s="126" t="n"/>
    </row>
    <row r="153">
      <c r="A153" s="9614" t="n"/>
      <c r="B153" s="1121" t="inlineStr">
        <is>
          <t>ARO por Ley IVE</t>
        </is>
      </c>
      <c r="C153" s="1931">
        <f>SUM(D153:E153)</f>
        <v/>
      </c>
      <c r="D153" s="748" t="n"/>
      <c r="E153" s="889">
        <f>SUM(K153+M153+O153+Q153+S153+U153+W153+Y153+AA153+AC153+AE153+AG153+AI153+AK153+AM153+AO153)</f>
        <v/>
      </c>
      <c r="F153" s="1938" t="n"/>
      <c r="G153" s="1250" t="n"/>
      <c r="H153" s="1938" t="n"/>
      <c r="I153" s="1250" t="n"/>
      <c r="J153" s="1938" t="n"/>
      <c r="K153" s="755" t="n"/>
      <c r="L153" s="1938" t="n"/>
      <c r="M153" s="755" t="n"/>
      <c r="N153" s="1938" t="n"/>
      <c r="O153" s="755" t="n"/>
      <c r="P153" s="1938" t="n"/>
      <c r="Q153" s="755" t="n"/>
      <c r="R153" s="1938" t="n"/>
      <c r="S153" s="755" t="n"/>
      <c r="T153" s="1938" t="n"/>
      <c r="U153" s="755" t="n"/>
      <c r="V153" s="1938" t="n"/>
      <c r="W153" s="755" t="n"/>
      <c r="X153" s="1938" t="n"/>
      <c r="Y153" s="755" t="n"/>
      <c r="Z153" s="1938" t="n"/>
      <c r="AA153" s="755" t="n"/>
      <c r="AB153" s="1938" t="n"/>
      <c r="AC153" s="755" t="n"/>
      <c r="AD153" s="1938" t="n"/>
      <c r="AE153" s="755" t="n"/>
      <c r="AF153" s="1938" t="n"/>
      <c r="AG153" s="755" t="n"/>
      <c r="AH153" s="1938" t="n"/>
      <c r="AI153" s="755" t="n"/>
      <c r="AJ153" s="1938" t="n"/>
      <c r="AK153" s="755" t="n"/>
      <c r="AL153" s="1938" t="n"/>
      <c r="AM153" s="755" t="n"/>
      <c r="AN153" s="2575" t="n"/>
      <c r="AO153" s="792" t="n"/>
      <c r="AP153" s="1966" t="n"/>
      <c r="AQ153" s="793" t="n"/>
      <c r="AR153" s="793" t="n"/>
      <c r="AS153" s="755" t="n"/>
      <c r="AT153" s="1935" t="n"/>
      <c r="AU153" s="755" t="n"/>
      <c r="AV153" s="1133" t="n"/>
      <c r="AW153" s="883" t="n"/>
      <c r="AX153">
        <f>CB153&amp;CC153&amp;CD153&amp;CE153&amp;CF153&amp;CG153</f>
        <v/>
      </c>
      <c r="CB153" s="90">
        <f>IF(AND(C153&gt;0,AP153="")," * No olvide digitar la variable Beneficiarios. Digite Cero si no tiene.",IF(AP153&gt;C153," *  La variable Beneficiarios No puede ser mayor al Total Ambos Sexos.",""))</f>
        <v/>
      </c>
      <c r="CC153" s="90">
        <f>IF(AND(C153&gt;0,AQ153="")," * No olvide digitar la variable Total de Controles. Digite Cero si no tiene.",IF(AQ153&gt;C153,"  * La variable Total de Controles No puede ser mayor al Total Ambos Sexos.",""))</f>
        <v/>
      </c>
      <c r="CD153" s="90">
        <f>IF(AND(C153&gt;0,AR153="")," * No olvide digitar la variable Pueblos Originarios. Digite Cero si no tiene.",IF(AR153&gt;C153," * La variable Pueblos Originarios No puede ser mayor al Total Ambos Sexos.",""))</f>
        <v/>
      </c>
      <c r="CE153" s="90">
        <f>IF(AND($C153&gt;0,AS153="")," * No olvide digitar la variable Migrantes. Digite Cero si no tiene.",IF(AS153&gt;$C153," * La variable Migrantes No puede ser mayor al Total Ambos Sexos.",""))</f>
        <v/>
      </c>
      <c r="CF153" s="90">
        <f>IF(AND($C153&gt;0,AT153="",AU153="")," * No olvide digitar la variable Atenciones pacientes oncológicos. Digite Cero si no tiene.",IF(AT153+AU153&gt;$C153," * La suma de las variables Atenciones pacientes oncológicos No puede ser mayor al Total Ambos Sexos.",""))</f>
        <v/>
      </c>
      <c r="CG153" s="126" t="n"/>
      <c r="CN153" s="52">
        <f>IF(AND(C153&gt;0,AP153=""),1,IF(AP153&gt;C153,1,0))</f>
        <v/>
      </c>
      <c r="CO153" s="52">
        <f>IF(AND(C153&gt;0,AQ153=""),1,IF(AQ153&gt;C153,1,0))</f>
        <v/>
      </c>
      <c r="CP153" s="52">
        <f>IF(AND(C153&gt;0,AR153=""),1,IF(AR153&gt;C153,1,0))</f>
        <v/>
      </c>
      <c r="CQ153" s="52">
        <f>IF(AND(C153&gt;0,AS153=""),1,IF(AS153&gt;C153,1,0))</f>
        <v/>
      </c>
      <c r="CR153" s="127">
        <f>IF(AND($C153&gt;0,AT153="",AU153=""),1,IF(AT153+AU153&gt;$C153,1,0))</f>
        <v/>
      </c>
      <c r="CS153" s="126" t="n"/>
    </row>
    <row r="154">
      <c r="A154" s="9614" t="n"/>
      <c r="B154" s="1209" t="inlineStr">
        <is>
          <t xml:space="preserve">Ginecología y otros </t>
        </is>
      </c>
      <c r="C154" s="1254">
        <f>SUM(D154+E154)</f>
        <v/>
      </c>
      <c r="D154" s="2153">
        <f>SUM(F154+H154+J154+L154+N154+P154+R154+T154+V154+X154+Z154+AB154+AD154+AF154+AH154+AJ154+AL154+AN154)</f>
        <v/>
      </c>
      <c r="E154" s="1171">
        <f>SUM(G154+I154+K154+M154+O154+Q154+S154+U154+W154+Y154+AA154+AC154+AE154+AG154+AI154+AK154+AM154+AO154)</f>
        <v/>
      </c>
      <c r="F154" s="1172" t="n"/>
      <c r="G154" s="886" t="n"/>
      <c r="H154" s="1172" t="n"/>
      <c r="I154" s="886" t="n"/>
      <c r="J154" s="1172" t="n"/>
      <c r="K154" s="886" t="n"/>
      <c r="L154" s="1172" t="n"/>
      <c r="M154" s="886" t="n"/>
      <c r="N154" s="1172" t="n"/>
      <c r="O154" s="886" t="n"/>
      <c r="P154" s="1172" t="n"/>
      <c r="Q154" s="886" t="n"/>
      <c r="R154" s="1172" t="n"/>
      <c r="S154" s="886" t="n"/>
      <c r="T154" s="1172" t="n"/>
      <c r="U154" s="886" t="n"/>
      <c r="V154" s="1172" t="n"/>
      <c r="W154" s="886" t="n"/>
      <c r="X154" s="1172" t="n"/>
      <c r="Y154" s="886" t="n"/>
      <c r="Z154" s="1172" t="n"/>
      <c r="AA154" s="886" t="n"/>
      <c r="AB154" s="1172" t="n"/>
      <c r="AC154" s="886" t="n"/>
      <c r="AD154" s="1172" t="n"/>
      <c r="AE154" s="886" t="n"/>
      <c r="AF154" s="1172" t="n"/>
      <c r="AG154" s="886" t="n"/>
      <c r="AH154" s="1172" t="n"/>
      <c r="AI154" s="886" t="n"/>
      <c r="AJ154" s="1172" t="n"/>
      <c r="AK154" s="886" t="n"/>
      <c r="AL154" s="1172" t="n"/>
      <c r="AM154" s="886" t="n"/>
      <c r="AN154" s="1175" t="n"/>
      <c r="AO154" s="1929" t="n"/>
      <c r="AP154" s="887" t="n"/>
      <c r="AQ154" s="2001" t="n"/>
      <c r="AR154" s="2001" t="n"/>
      <c r="AS154" s="886" t="n"/>
      <c r="AT154" s="1172" t="n"/>
      <c r="AU154" s="886" t="n"/>
      <c r="AV154" s="1133" t="n"/>
      <c r="AW154" s="883" t="n"/>
      <c r="AX154">
        <f>CB154&amp;CC154&amp;CD154&amp;CE154&amp;CF154&amp;CG154</f>
        <v/>
      </c>
      <c r="CB154" s="90">
        <f>IF(AND(C154&gt;0,AP154="")," * No olvide digitar la variable Beneficiarios. Digite Cero si no tiene.",IF(AP154&gt;C154," *  La variable Beneficiarios No puede ser mayor al Total Ambos Sexos.",""))</f>
        <v/>
      </c>
      <c r="CC154" s="90">
        <f>IF(AND(C154&gt;0,AQ154="")," * No olvide digitar la variable Total de Controles. Digite Cero si no tiene.",IF(AQ154&gt;C154,"  * La variable Total de Controles No puede ser mayor al Total Ambos Sexos.",""))</f>
        <v/>
      </c>
      <c r="CD154" s="90">
        <f>IF(AND(C154&gt;0,AR154="")," * No olvide digitar la variable Pueblos Originarios. Digite Cero si no tiene.",IF(AR154&gt;C154," * La variable Pueblos Originarios No puede ser mayor al Total Ambos Sexos.",""))</f>
        <v/>
      </c>
      <c r="CE154" s="90">
        <f>IF(AND($C154&gt;0,AS154="")," * No olvide digitar la variable Migrantes. Digite Cero si no tiene.",IF(AS154&gt;$C154," * La variable Migrantes No puede ser mayor al Total Ambos Sexos.",""))</f>
        <v/>
      </c>
      <c r="CF154" s="90">
        <f>IF(AND($C154&gt;0,AT154="",AU154="")," * No olvide digitar la variable Atenciones pacientes oncológicos. Digite Cero si no tiene.",IF(AT154+AU154&gt;$C154," * La suma de las variables Atenciones pacientes oncológicos No puede ser mayor al Total Ambos Sexos.",""))</f>
        <v/>
      </c>
      <c r="CG154" s="126" t="n"/>
      <c r="CN154" s="52">
        <f>IF(AND(C154&gt;0,AP154=""),1,IF(AP154&gt;C154,1,0))</f>
        <v/>
      </c>
      <c r="CO154" s="52">
        <f>IF(AND(C154&gt;0,AQ154=""),1,IF(AQ154&gt;C154,1,0))</f>
        <v/>
      </c>
      <c r="CP154" s="52">
        <f>IF(AND(C154&gt;0,AR154=""),1,IF(AR154&gt;C154,1,0))</f>
        <v/>
      </c>
      <c r="CQ154" s="52">
        <f>IF(AND(C154&gt;0,AS154=""),1,IF(AS154&gt;C154,1,0))</f>
        <v/>
      </c>
      <c r="CR154" s="127">
        <f>IF(AND($C154&gt;0,AT154="",AU154=""),1,IF(AT154+AU154&gt;$C154,1,0))</f>
        <v/>
      </c>
      <c r="CS154" s="126" t="n"/>
    </row>
    <row r="155">
      <c r="A155" s="9610" t="n"/>
      <c r="B155" s="1117" t="inlineStr">
        <is>
          <t xml:space="preserve">Infertilidad </t>
        </is>
      </c>
      <c r="C155" s="2576">
        <f>SUM(D155+E155)</f>
        <v/>
      </c>
      <c r="D155" s="179">
        <f>SUM(P155+R155+T155+V155+X155+Z155+AB155+AD155)</f>
        <v/>
      </c>
      <c r="E155" s="2464">
        <f>SUM(Q155+S155+U155+W155+Y155+AA155+AC155+AE155)</f>
        <v/>
      </c>
      <c r="F155" s="1312" t="n"/>
      <c r="G155" s="1314" t="n"/>
      <c r="H155" s="1312" t="n"/>
      <c r="I155" s="1314" t="n"/>
      <c r="J155" s="1312" t="n"/>
      <c r="K155" s="1314" t="n"/>
      <c r="L155" s="1312" t="n"/>
      <c r="M155" s="1314" t="n"/>
      <c r="N155" s="1312" t="n"/>
      <c r="O155" s="1314" t="n"/>
      <c r="P155" s="1188" t="n"/>
      <c r="Q155" s="1119" t="n"/>
      <c r="R155" s="1188" t="n"/>
      <c r="S155" s="1119" t="n"/>
      <c r="T155" s="1188" t="n"/>
      <c r="U155" s="1119" t="n"/>
      <c r="V155" s="1188" t="n"/>
      <c r="W155" s="1119" t="n"/>
      <c r="X155" s="1188" t="n"/>
      <c r="Y155" s="1119" t="n"/>
      <c r="Z155" s="1188" t="n"/>
      <c r="AA155" s="1119" t="n"/>
      <c r="AB155" s="1188" t="n"/>
      <c r="AC155" s="1192" t="n"/>
      <c r="AD155" s="1188" t="n"/>
      <c r="AE155" s="1119" t="n"/>
      <c r="AF155" s="1312" t="n"/>
      <c r="AG155" s="1314" t="n"/>
      <c r="AH155" s="1312" t="n"/>
      <c r="AI155" s="1314" t="n"/>
      <c r="AJ155" s="1312" t="n"/>
      <c r="AK155" s="1314" t="n"/>
      <c r="AL155" s="1312" t="n"/>
      <c r="AM155" s="1314" t="n"/>
      <c r="AN155" s="1312" t="n"/>
      <c r="AO155" s="1390" t="n"/>
      <c r="AP155" s="1225" t="n"/>
      <c r="AQ155" s="1118" t="n"/>
      <c r="AR155" s="1118" t="n"/>
      <c r="AS155" s="1119" t="n"/>
      <c r="AT155" s="1188" t="n"/>
      <c r="AU155" s="1119" t="n"/>
      <c r="AV155" s="1154" t="n"/>
      <c r="AW155" s="1155" t="n"/>
      <c r="AX155">
        <f>CB155&amp;CC155&amp;CD155&amp;CE155&amp;CF155&amp;CG155</f>
        <v/>
      </c>
      <c r="CB155" s="90">
        <f>IF(AND(C155&gt;0,AP155="")," * No olvide digitar la variable Beneficiarios. Digite Cero si no tiene.",IF(AP155&gt;C155," *  La variable Beneficiarios No puede ser mayor al Total Ambos Sexos.",""))</f>
        <v/>
      </c>
      <c r="CC155" s="90">
        <f>IF(AND(C155&gt;0,AQ155="")," * No olvide digitar la variable Total de Controles. Digite Cero si no tiene.",IF(AQ155&gt;C155,"  * La variable Total de Controles No puede ser mayor al Total Ambos Sexos.",""))</f>
        <v/>
      </c>
      <c r="CD155" s="90">
        <f>IF(AND(C155&gt;0,AR155="")," * No olvide digitar la variable Pueblos Originarios. Digite Cero si no tiene.",IF(AR155&gt;C155," * La variable Pueblos Originarios No puede ser mayor al Total Ambos Sexos.",""))</f>
        <v/>
      </c>
      <c r="CE155" s="90">
        <f>IF(AND($C155&gt;0,AS155="")," * No olvide digitar la variable Migrantes. Digite Cero si no tiene.",IF(AS155&gt;$C155," * La variable Migrantes No puede ser mayor al Total Ambos Sexos.",""))</f>
        <v/>
      </c>
      <c r="CF155" s="90">
        <f>IF(AND($C155&gt;0,AT155="",AU155="")," * No olvide digitar la variable Atenciones pacientes oncológicos. Digite Cero si no tiene.",IF(AT155+AU155&gt;$C155," * La suma de las variables Atenciones pacientes oncológicos No puede ser mayor al Total Ambos Sexos.",""))</f>
        <v/>
      </c>
      <c r="CG155" s="126" t="n"/>
      <c r="CN155" s="52">
        <f>IF(AND(C155&gt;0,AP155=""),1,IF(AP155&gt;C155,1,0))</f>
        <v/>
      </c>
      <c r="CO155" s="52">
        <f>IF(AND(C155&gt;0,AQ155=""),1,IF(AQ155&gt;C155,1,0))</f>
        <v/>
      </c>
      <c r="CP155" s="52">
        <f>IF(AND(C155&gt;0,AR155=""),1,IF(AR155&gt;C155,1,0))</f>
        <v/>
      </c>
      <c r="CQ155" s="52">
        <f>IF(AND(C155&gt;0,AS155=""),1,IF(AS155&gt;C155,1,0))</f>
        <v/>
      </c>
      <c r="CR155" s="127">
        <f>IF(AND($C155&gt;0,AT155="",AU155=""),1,IF(AT155+AU155&gt;$C155,1,0))</f>
        <v/>
      </c>
      <c r="CS155" s="126" t="n"/>
    </row>
    <row r="156">
      <c r="A156" s="10112" t="inlineStr">
        <is>
          <t>Nutricionista</t>
        </is>
      </c>
      <c r="B156" s="9643" t="n"/>
      <c r="C156" s="1926">
        <f>SUM(D156+E156)</f>
        <v/>
      </c>
      <c r="D156" s="791">
        <f>SUM(F156+H156+J156+L156+N156+P156+R156+T156+V156+X156+Z156+AB156+AD156+AF156+AH156+AJ156+AL156+AN156)</f>
        <v/>
      </c>
      <c r="E156" s="1171">
        <f>SUM(G156+I156+K156+M156+O156+Q156+S156+U156+W156+Y156+AA156+AC156+AE156+AG156+AI156+AK156+AM156+AO156)</f>
        <v/>
      </c>
      <c r="F156" s="1935" t="n"/>
      <c r="G156" s="1186" t="n"/>
      <c r="H156" s="1935" t="n"/>
      <c r="I156" s="1186" t="n"/>
      <c r="J156" s="1935" t="n"/>
      <c r="K156" s="755" t="n"/>
      <c r="L156" s="1935" t="n"/>
      <c r="M156" s="755" t="n"/>
      <c r="N156" s="1935" t="n"/>
      <c r="O156" s="755" t="n"/>
      <c r="P156" s="1935" t="n"/>
      <c r="Q156" s="755" t="n"/>
      <c r="R156" s="1935" t="n"/>
      <c r="S156" s="755" t="n"/>
      <c r="T156" s="1935" t="n"/>
      <c r="U156" s="755" t="n"/>
      <c r="V156" s="1935" t="n"/>
      <c r="W156" s="755" t="n"/>
      <c r="X156" s="1935" t="n"/>
      <c r="Y156" s="755" t="n"/>
      <c r="Z156" s="1935" t="n"/>
      <c r="AA156" s="755" t="n"/>
      <c r="AB156" s="1935" t="n"/>
      <c r="AC156" s="755" t="n"/>
      <c r="AD156" s="1935" t="n"/>
      <c r="AE156" s="755" t="n"/>
      <c r="AF156" s="1935" t="n"/>
      <c r="AG156" s="755" t="n"/>
      <c r="AH156" s="1935" t="n"/>
      <c r="AI156" s="755" t="n"/>
      <c r="AJ156" s="1935" t="n"/>
      <c r="AK156" s="1186" t="n"/>
      <c r="AL156" s="1935" t="n"/>
      <c r="AM156" s="1186" t="n"/>
      <c r="AN156" s="2164" t="n"/>
      <c r="AO156" s="792" t="n"/>
      <c r="AP156" s="1966" t="n"/>
      <c r="AQ156" s="793" t="n"/>
      <c r="AR156" s="793" t="n"/>
      <c r="AS156" s="755" t="n"/>
      <c r="AT156" s="1935" t="n"/>
      <c r="AU156" s="755" t="n"/>
      <c r="AV156" s="2573" t="n"/>
      <c r="AW156" s="2574" t="n"/>
      <c r="AX156">
        <f>CB156&amp;CC156&amp;CD156&amp;CE156&amp;CF156&amp;CG156</f>
        <v/>
      </c>
      <c r="CB156" s="90">
        <f>IF(AND(C156&gt;0,AP156="")," * No olvide digitar la variable Beneficiarios. Digite Cero si no tiene.",IF(AP156&gt;C156," *  La variable Beneficiarios No puede ser mayor al Total Ambos Sexos.",""))</f>
        <v/>
      </c>
      <c r="CC156" s="90">
        <f>IF(AND(C156&gt;0,AQ156="")," * No olvide digitar la variable Total de Controles. Digite Cero si no tiene.",IF(AQ156&gt;C156,"  * La variable Total de Controles No puede ser mayor al Total Ambos Sexos.",""))</f>
        <v/>
      </c>
      <c r="CD156" s="90">
        <f>IF(AND(C156&gt;0,AR156="")," * No olvide digitar la variable Pueblos Originarios. Digite Cero si no tiene.",IF(AR156&gt;C156," * La variable Pueblos Originarios No puede ser mayor al Total Ambos Sexos.",""))</f>
        <v/>
      </c>
      <c r="CE156" s="90">
        <f>IF(AND($C156&gt;0,AS156="")," * No olvide digitar la variable Migrantes. Digite Cero si no tiene.",IF(AS156&gt;$C156," * La variable Migrantes No puede ser mayor al Total Ambos Sexos.",""))</f>
        <v/>
      </c>
      <c r="CF156" s="90">
        <f>IF(AND($C156&gt;0,AT156="",AU156="")," * No olvide digitar la variable Atenciones pacientes oncológicos. Digite Cero si no tiene.",IF(AT156+AU156&gt;$C156," * La suma de las variables Atenciones pacientes oncológicos No puede ser mayor al Total Ambos Sexos.",""))</f>
        <v/>
      </c>
      <c r="CG156" s="126" t="n"/>
      <c r="CN156" s="52">
        <f>IF(AND(C156&gt;0,AP156=""),1,IF(AP156&gt;C156,1,0))</f>
        <v/>
      </c>
      <c r="CO156" s="52">
        <f>IF(AND(C156&gt;0,AQ156=""),1,IF(AQ156&gt;C156,1,0))</f>
        <v/>
      </c>
      <c r="CP156" s="52">
        <f>IF(AND(C156&gt;0,AR156=""),1,IF(AR156&gt;C156,1,0))</f>
        <v/>
      </c>
      <c r="CQ156" s="52">
        <f>IF(AND(C156&gt;0,AS156=""),1,IF(AS156&gt;C156,1,0))</f>
        <v/>
      </c>
      <c r="CR156" s="127">
        <f>IF(AND($C156&gt;0,AT156="",AU156=""),1,IF(AT156+AU156&gt;$C156,1,0))</f>
        <v/>
      </c>
      <c r="CS156" s="126" t="n"/>
    </row>
    <row r="157">
      <c r="A157" s="3911" t="inlineStr">
        <is>
          <t>Psicólogo/a (Excluye SM)</t>
        </is>
      </c>
      <c r="B157" s="9644" t="n"/>
      <c r="C157" s="1162">
        <f>SUM(D157+E157)</f>
        <v/>
      </c>
      <c r="D157" s="2153">
        <f>SUM(F157+H157+J157+N157+L157+P157+R157+T157+V157+X157+Z157+AB157+AD157+AF157+AH157+AJ157+AL157+AN157)</f>
        <v/>
      </c>
      <c r="E157" s="1171">
        <f>SUM(G157+I157+K157+M157+O157+Q157+S157+U157+W157+Y157+AA157+AC157+AE157+AG157+AI157+AK157+AM157+AO157)</f>
        <v/>
      </c>
      <c r="F157" s="1172" t="n"/>
      <c r="G157" s="1173" t="n"/>
      <c r="H157" s="1172" t="n"/>
      <c r="I157" s="1173" t="n"/>
      <c r="J157" s="1172" t="n"/>
      <c r="K157" s="886" t="n"/>
      <c r="L157" s="1172" t="n"/>
      <c r="M157" s="886" t="n"/>
      <c r="N157" s="1172" t="n"/>
      <c r="O157" s="886" t="n"/>
      <c r="P157" s="1172" t="n"/>
      <c r="Q157" s="886" t="n"/>
      <c r="R157" s="1172" t="n"/>
      <c r="S157" s="886" t="n"/>
      <c r="T157" s="1172" t="n"/>
      <c r="U157" s="886" t="n"/>
      <c r="V157" s="1172" t="n"/>
      <c r="W157" s="886" t="n"/>
      <c r="X157" s="1172" t="n"/>
      <c r="Y157" s="886" t="n"/>
      <c r="Z157" s="1172" t="n"/>
      <c r="AA157" s="886" t="n"/>
      <c r="AB157" s="1172" t="n"/>
      <c r="AC157" s="886" t="n"/>
      <c r="AD157" s="1172" t="n"/>
      <c r="AE157" s="1173" t="n"/>
      <c r="AF157" s="1172" t="n"/>
      <c r="AG157" s="1173" t="n"/>
      <c r="AH157" s="1172" t="n"/>
      <c r="AI157" s="1173" t="n"/>
      <c r="AJ157" s="1172" t="n"/>
      <c r="AK157" s="1173" t="n"/>
      <c r="AL157" s="1172" t="n"/>
      <c r="AM157" s="1173" t="n"/>
      <c r="AN157" s="1175" t="n"/>
      <c r="AO157" s="1929" t="n"/>
      <c r="AP157" s="887" t="n"/>
      <c r="AQ157" s="2001" t="n"/>
      <c r="AR157" s="2001" t="n"/>
      <c r="AS157" s="886" t="n"/>
      <c r="AT157" s="1172" t="n"/>
      <c r="AU157" s="886" t="n"/>
      <c r="AV157" s="1172" t="n"/>
      <c r="AW157" s="886" t="n"/>
      <c r="AX157">
        <f>CB157&amp;CC157&amp;CD157&amp;CE157&amp;CF157&amp;CG157&amp;CH157</f>
        <v/>
      </c>
      <c r="CB157" s="90">
        <f>IF(AND(C157&gt;0,AP157="")," * No olvide digitar la variable Beneficiarios. Digite Cero si no tiene.",IF(AP157&gt;C157," *  La variable Beneficiarios No puede ser mayor al Total Ambos Sexos.",""))</f>
        <v/>
      </c>
      <c r="CC157" s="90">
        <f>IF(AND(C157&gt;0,AQ157="")," * No olvide digitar la variable Total de Controles. Digite Cero si no tiene.",IF(AQ157&gt;C157,"  * La variable Total de Controles No puede ser mayor al Total Ambos Sexos.",""))</f>
        <v/>
      </c>
      <c r="CD157" s="90">
        <f>IF(AND(C157&gt;0,AR157="")," * No olvide digitar la variable Pueblos Originarios. Digite Cero si no tiene.",IF(AR157&gt;C157," * La variable Pueblos Originarios No puede ser mayor al Total Ambos Sexos.",""))</f>
        <v/>
      </c>
      <c r="CE157" s="90">
        <f>IF(AND($C157&gt;0,AS157="")," * No olvide digitar la variable Migrantes. Digite Cero si no tiene.",IF(AS157&gt;$C157," * La variable Migrantes No puede ser mayor al Total Ambos Sexos.",""))</f>
        <v/>
      </c>
      <c r="CF157" s="90">
        <f>IF(AND($C157&gt;0,AT157="",AU157="")," * No olvide digitar la variable Atenciones pacientes oncológicos. Digite Cero si no tiene.",IF(AT157+AU157&gt;$C157," * La suma de las variables Atenciones pacientes oncológicos No puede ser mayor al Total Ambos Sexos.",""))</f>
        <v/>
      </c>
      <c r="CG157" s="90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>IF(AND(C157&gt;0,AP157=""),1,IF(AP157&gt;C157,1,0))</f>
        <v/>
      </c>
      <c r="CO157" s="52">
        <f>IF(AND(C157&gt;0,AQ157=""),1,IF(AQ157&gt;C157,1,0))</f>
        <v/>
      </c>
      <c r="CP157" s="52">
        <f>IF(AND(C157&gt;0,AR157=""),1,IF(AR157&gt;C157,1,0))</f>
        <v/>
      </c>
      <c r="CQ157" s="52">
        <f>IF(AND(C157&gt;0,AS157=""),1,IF(AS157&gt;C157,1,0))</f>
        <v/>
      </c>
      <c r="CR157" s="127">
        <f>IF(AND($C157&gt;0,AT157="",AU157=""),1,IF(AT157+AU157&gt;$C157,1,0))</f>
        <v/>
      </c>
      <c r="CS157" s="127">
        <f>IF(AND(N157+O157+P157+Q157+R157+S157&gt;0,AV157=""),1,IF(AV157&gt;N157+O157+P157+Q157+R157+S157,1,0))</f>
        <v/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/>
      </c>
    </row>
    <row r="158">
      <c r="A158" s="10113" t="inlineStr">
        <is>
          <t>Fonoaudiólogo/a</t>
        </is>
      </c>
      <c r="B158" s="9644" t="n"/>
      <c r="C158" s="2577">
        <f>SUM(D158+E158)</f>
        <v/>
      </c>
      <c r="D158" s="2153">
        <f>SUM(F158+H158+J158+N158+L158+P158+R158+T158+V158+X158+Z158+AB158+AD158+AF158+AH158+AJ158+AL158+AN158)</f>
        <v/>
      </c>
      <c r="E158" s="1171">
        <f>SUM(G158+I158+K158+M158+O158+Q158+S158+U158+W158+Y158+AA158+AC158+AE158+AG158+AI158+AK158+AM158+AO158)</f>
        <v/>
      </c>
      <c r="F158" s="1172" t="n"/>
      <c r="G158" s="1173" t="n"/>
      <c r="H158" s="1172" t="n"/>
      <c r="I158" s="1173" t="n"/>
      <c r="J158" s="1172" t="n"/>
      <c r="K158" s="886" t="n"/>
      <c r="L158" s="1172" t="n"/>
      <c r="M158" s="886" t="n"/>
      <c r="N158" s="1172" t="n"/>
      <c r="O158" s="886" t="n"/>
      <c r="P158" s="1172" t="n"/>
      <c r="Q158" s="886" t="n"/>
      <c r="R158" s="1172" t="n"/>
      <c r="S158" s="886" t="n"/>
      <c r="T158" s="1172" t="n"/>
      <c r="U158" s="886" t="n"/>
      <c r="V158" s="1172" t="n"/>
      <c r="W158" s="886" t="n"/>
      <c r="X158" s="1172" t="n"/>
      <c r="Y158" s="886" t="n"/>
      <c r="Z158" s="1172" t="n"/>
      <c r="AA158" s="886" t="n"/>
      <c r="AB158" s="1172" t="n"/>
      <c r="AC158" s="886" t="n"/>
      <c r="AD158" s="1172" t="n"/>
      <c r="AE158" s="1173" t="n"/>
      <c r="AF158" s="1172" t="n"/>
      <c r="AG158" s="1173" t="n"/>
      <c r="AH158" s="1172" t="n"/>
      <c r="AI158" s="1173" t="n"/>
      <c r="AJ158" s="1172" t="n"/>
      <c r="AK158" s="1173" t="n"/>
      <c r="AL158" s="1172" t="n"/>
      <c r="AM158" s="1173" t="n"/>
      <c r="AN158" s="1175" t="n"/>
      <c r="AO158" s="1929" t="n"/>
      <c r="AP158" s="887" t="n"/>
      <c r="AQ158" s="2001" t="n"/>
      <c r="AR158" s="2001" t="n"/>
      <c r="AS158" s="886" t="n"/>
      <c r="AT158" s="1172" t="n"/>
      <c r="AU158" s="886" t="n"/>
      <c r="AV158" s="1133" t="n"/>
      <c r="AW158" s="883" t="n"/>
      <c r="AX158">
        <f>CB158&amp;CC158&amp;CD158&amp;CE158&amp;CF158&amp;CG158</f>
        <v/>
      </c>
      <c r="CB158" s="90">
        <f>IF(AND(C158&gt;0,AP158="")," * No olvide digitar la variable Beneficiarios. Digite Cero si no tiene.",IF(AP158&gt;C158," *  La variable Beneficiarios No puede ser mayor al Total Ambos Sexos.",""))</f>
        <v/>
      </c>
      <c r="CC158" s="90">
        <f>IF(AND(C158&gt;0,AQ158="")," * No olvide digitar la variable Total de Controles. Digite Cero si no tiene.",IF(AQ158&gt;C158,"  * La variable Total de Controles No puede ser mayor al Total Ambos Sexos.",""))</f>
        <v/>
      </c>
      <c r="CD158" s="90">
        <f>IF(AND(C158&gt;0,AR158="")," * No olvide digitar la variable Pueblos Originarios. Digite Cero si no tiene.",IF(AR158&gt;C158," * La variable Pueblos Originarios No puede ser mayor al Total Ambos Sexos.",""))</f>
        <v/>
      </c>
      <c r="CE158" s="90">
        <f>IF(AND($C158&gt;0,AS158="")," * No olvide digitar la variable Migrantes. Digite Cero si no tiene.",IF(AS158&gt;$C158," * La variable Migrantes No puede ser mayor al Total Ambos Sexos.",""))</f>
        <v/>
      </c>
      <c r="CF158" s="90">
        <f>IF(AND($C158&gt;0,AT158="",AU158="")," * No olvide digitar la variable Atenciones pacientes oncológicos. Digite Cero si no tiene.",IF(AT158+AU158&gt;$C158," * La suma de las variables Atenciones pacientes oncológicos No puede ser mayor al Total Ambos Sexos.",""))</f>
        <v/>
      </c>
      <c r="CG158" s="126" t="n"/>
      <c r="CN158" s="52">
        <f>IF(AND(C158&gt;0,AP158=""),1,IF(AP158&gt;C158,1,0))</f>
        <v/>
      </c>
      <c r="CO158" s="52">
        <f>IF(AND(C158&gt;0,AQ158=""),1,IF(AQ158&gt;C158,1,0))</f>
        <v/>
      </c>
      <c r="CP158" s="52">
        <f>IF(AND(C158&gt;0,AR158=""),1,IF(AR158&gt;C158,1,0))</f>
        <v/>
      </c>
      <c r="CQ158" s="52">
        <f>IF(AND(C158&gt;0,AS158=""),1,IF(AS158&gt;C158,1,0))</f>
        <v/>
      </c>
      <c r="CR158" s="127">
        <f>IF(AND($C158&gt;0,AT158="",AU158=""),1,IF(AT158+AU158&gt;$C158,1,0))</f>
        <v/>
      </c>
      <c r="CS158" s="126" t="n"/>
    </row>
    <row r="159">
      <c r="A159" s="3911" t="inlineStr">
        <is>
          <t>Tecnólogo/a Médico/a</t>
        </is>
      </c>
      <c r="B159" s="9644" t="n"/>
      <c r="C159" s="1162">
        <f>SUM(D159+E159)</f>
        <v/>
      </c>
      <c r="D159" s="2153">
        <f>SUM(F159+H159+J159+N159+L159+P159+R159+T159+V159+X159+Z159+AB159+AD159+AF159+AH159+AJ159+AL159+AN159)</f>
        <v/>
      </c>
      <c r="E159" s="1171">
        <f>SUM(G159+I159+K159+M159+O159+Q159+S159+U159+W159+Y159+AA159+AC159+AE159+AG159+AI159+AK159+AM159+AO159)</f>
        <v/>
      </c>
      <c r="F159" s="1172" t="n"/>
      <c r="G159" s="1173" t="n"/>
      <c r="H159" s="1172" t="n"/>
      <c r="I159" s="1173" t="n"/>
      <c r="J159" s="1172" t="n"/>
      <c r="K159" s="886" t="n"/>
      <c r="L159" s="1172" t="n"/>
      <c r="M159" s="886" t="n"/>
      <c r="N159" s="1172" t="n"/>
      <c r="O159" s="886" t="n"/>
      <c r="P159" s="1172" t="n"/>
      <c r="Q159" s="886" t="n"/>
      <c r="R159" s="1172" t="n"/>
      <c r="S159" s="886" t="n"/>
      <c r="T159" s="1172" t="n"/>
      <c r="U159" s="886" t="n"/>
      <c r="V159" s="1172" t="n"/>
      <c r="W159" s="886" t="n"/>
      <c r="X159" s="1172" t="n"/>
      <c r="Y159" s="886" t="n"/>
      <c r="Z159" s="1172" t="n"/>
      <c r="AA159" s="886" t="n"/>
      <c r="AB159" s="1172" t="n"/>
      <c r="AC159" s="886" t="n"/>
      <c r="AD159" s="1172" t="n"/>
      <c r="AE159" s="886" t="n"/>
      <c r="AF159" s="1172" t="n"/>
      <c r="AG159" s="886" t="n"/>
      <c r="AH159" s="1172" t="n"/>
      <c r="AI159" s="886" t="n"/>
      <c r="AJ159" s="1172" t="n"/>
      <c r="AK159" s="1173" t="n"/>
      <c r="AL159" s="1172" t="n"/>
      <c r="AM159" s="1173" t="n"/>
      <c r="AN159" s="1175" t="n"/>
      <c r="AO159" s="1929" t="n"/>
      <c r="AP159" s="887" t="n"/>
      <c r="AQ159" s="2001" t="n"/>
      <c r="AR159" s="2001" t="n"/>
      <c r="AS159" s="886" t="n"/>
      <c r="AT159" s="1172" t="n"/>
      <c r="AU159" s="886" t="n"/>
      <c r="AV159" s="1172" t="n"/>
      <c r="AW159" s="886" t="n"/>
      <c r="AX159">
        <f>CB159&amp;CC159&amp;CD159&amp;CE159&amp;CF159&amp;CG159&amp;CH159</f>
        <v/>
      </c>
      <c r="CB159" s="90">
        <f>IF(AND(C159&gt;0,AP159="")," * No olvide digitar la variable Beneficiarios. Digite Cero si no tiene.",IF(AP159&gt;C159," *  La variable Beneficiarios No puede ser mayor al Total Ambos Sexos.",""))</f>
        <v/>
      </c>
      <c r="CC159" s="90">
        <f>IF(AND(C159&gt;0,AQ159="")," * No olvide digitar la variable Total de Controles. Digite Cero si no tiene.",IF(AQ159&gt;C159,"  * La variable Total de Controles No puede ser mayor al Total Ambos Sexos.",""))</f>
        <v/>
      </c>
      <c r="CD159" s="90">
        <f>IF(AND(C159&gt;0,AR159="")," * No olvide digitar la variable Pueblos Originarios. Digite Cero si no tiene.",IF(AR159&gt;C159," * La variable Pueblos Originarios No puede ser mayor al Total Ambos Sexos.",""))</f>
        <v/>
      </c>
      <c r="CE159" s="90">
        <f>IF(AND($C159&gt;0,AS159="")," * No olvide digitar la variable Migrantes. Digite Cero si no tiene.",IF(AS159&gt;$C159," * La variable Migrantes No puede ser mayor al Total Ambos Sexos.",""))</f>
        <v/>
      </c>
      <c r="CF159" s="90">
        <f>IF(AND($C159&gt;0,AT159="",AU159="")," * No olvide digitar la variable Atenciones pacientes oncológicos. Digite Cero si no tiene.",IF(AT159+AU159&gt;$C159," * La suma de las variables Atenciones pacientes oncológicos No puede ser mayor al Total Ambos Sexos.",""))</f>
        <v/>
      </c>
      <c r="CG159" s="90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>IF(AND(C159&gt;0,AP159=""),1,IF(AP159&gt;C159,1,0))</f>
        <v/>
      </c>
      <c r="CO159" s="52">
        <f>IF(AND(C159&gt;0,AQ159=""),1,IF(AQ159&gt;C159,1,0))</f>
        <v/>
      </c>
      <c r="CP159" s="52">
        <f>IF(AND(C159&gt;0,AR159=""),1,IF(AR159&gt;C159,1,0))</f>
        <v/>
      </c>
      <c r="CQ159" s="52">
        <f>IF(AND(C159&gt;0,AS159=""),1,IF(AS159&gt;C159,1,0))</f>
        <v/>
      </c>
      <c r="CR159" s="127">
        <f>IF(AND($C159&gt;0,AT159="",AU159=""),1,IF(AT159+AU159&gt;$C159,1,0))</f>
        <v/>
      </c>
      <c r="CS159" s="127">
        <f>IF(AND(N159+O159+P159+Q159+R159+S159&gt;0,AV159=""),1,IF(AV159&gt;N159+O159+P159+Q159+R159+S159,1,0))</f>
        <v/>
      </c>
      <c r="CT159" s="127">
        <f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/>
      </c>
    </row>
    <row r="160">
      <c r="A160" s="3911" t="inlineStr">
        <is>
          <t>Trabajador/a Social</t>
        </is>
      </c>
      <c r="B160" s="9644" t="n"/>
      <c r="C160" s="1190">
        <f>SUM(D160+E160)</f>
        <v/>
      </c>
      <c r="D160" s="2153">
        <f>SUM(F160+H160+J160+N160+L160+P160+R160+T160+V160+X160+Z160+AB160+AD160+AF160+AH160+AJ160+AL160+AN160)</f>
        <v/>
      </c>
      <c r="E160" s="1171">
        <f>SUM(G160+I160+K160+M160+O160+Q160+S160+U160+W160+Y160+AA160+AC160+AE160+AG160+AI160+AK160+AM160+AO160)</f>
        <v/>
      </c>
      <c r="F160" s="1179" t="n"/>
      <c r="G160" s="1180" t="n"/>
      <c r="H160" s="1179" t="n"/>
      <c r="I160" s="1180" t="n"/>
      <c r="J160" s="1179" t="n"/>
      <c r="K160" s="1183" t="n"/>
      <c r="L160" s="1179" t="n"/>
      <c r="M160" s="1183" t="n"/>
      <c r="N160" s="1179" t="n"/>
      <c r="O160" s="1183" t="n"/>
      <c r="P160" s="1179" t="n"/>
      <c r="Q160" s="1183" t="n"/>
      <c r="R160" s="1179" t="n"/>
      <c r="S160" s="1183" t="n"/>
      <c r="T160" s="1179" t="n"/>
      <c r="U160" s="1183" t="n"/>
      <c r="V160" s="1179" t="n"/>
      <c r="W160" s="1183" t="n"/>
      <c r="X160" s="1179" t="n"/>
      <c r="Y160" s="1183" t="n"/>
      <c r="Z160" s="1179" t="n"/>
      <c r="AA160" s="1183" t="n"/>
      <c r="AB160" s="1179" t="n"/>
      <c r="AC160" s="1183" t="n"/>
      <c r="AD160" s="1179" t="n"/>
      <c r="AE160" s="1183" t="n"/>
      <c r="AF160" s="1179" t="n"/>
      <c r="AG160" s="1183" t="n"/>
      <c r="AH160" s="1179" t="n"/>
      <c r="AI160" s="1183" t="n"/>
      <c r="AJ160" s="1179" t="n"/>
      <c r="AK160" s="1180" t="n"/>
      <c r="AL160" s="1179" t="n"/>
      <c r="AM160" s="1180" t="n"/>
      <c r="AN160" s="1184" t="n"/>
      <c r="AO160" s="1185" t="n"/>
      <c r="AP160" s="1230" t="n"/>
      <c r="AQ160" s="1228" t="n"/>
      <c r="AR160" s="1228" t="n"/>
      <c r="AS160" s="1183" t="n"/>
      <c r="AT160" s="1179" t="n"/>
      <c r="AU160" s="1183" t="n"/>
      <c r="AV160" s="1172" t="n"/>
      <c r="AW160" s="886" t="n"/>
      <c r="AX160">
        <f>CB160&amp;CC160&amp;CD160&amp;CE160&amp;CF160&amp;CG160&amp;CH160</f>
        <v/>
      </c>
      <c r="CB160" s="90">
        <f>IF(AND(C160&gt;0,AP160="")," * No olvide digitar la variable Beneficiarios. Digite Cero si no tiene.",IF(AP160&gt;C160," *  La variable Beneficiarios No puede ser mayor al Total Ambos Sexos.",""))</f>
        <v/>
      </c>
      <c r="CC160" s="90">
        <f>IF(AND(C160&gt;0,AQ160="")," * No olvide digitar la variable Total de Controles. Digite Cero si no tiene.",IF(AQ160&gt;C160,"  * La variable Total de Controles No puede ser mayor al Total Ambos Sexos.",""))</f>
        <v/>
      </c>
      <c r="CD160" s="90">
        <f>IF(AND(C160&gt;0,AR160="")," * No olvide digitar la variable Pueblos Originarios. Digite Cero si no tiene.",IF(AR160&gt;C160," * La variable Pueblos Originarios No puede ser mayor al Total Ambos Sexos.",""))</f>
        <v/>
      </c>
      <c r="CE160" s="90">
        <f>IF(AND($C160&gt;0,AS160="")," * No olvide digitar la variable Migrantes. Digite Cero si no tiene.",IF(AS160&gt;$C160," * La variable Migrantes No puede ser mayor al Total Ambos Sexos.",""))</f>
        <v/>
      </c>
      <c r="CF160" s="90">
        <f>IF(AND($C160&gt;0,AT160="",AU160="")," * No olvide digitar la variable Atenciones pacientes oncológicos. Digite Cero si no tiene.",IF(AT160+AU160&gt;$C160," * La suma de las variables Atenciones pacientes oncológicos No puede ser mayor al Total Ambos Sexos.",""))</f>
        <v/>
      </c>
      <c r="CG160" s="90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>IF(AND(C160&gt;0,AP160=""),1,IF(AP160&gt;C160,1,0))</f>
        <v/>
      </c>
      <c r="CO160" s="52">
        <f>IF(AND(C160&gt;0,AQ160=""),1,IF(AQ160&gt;C160,1,0))</f>
        <v/>
      </c>
      <c r="CP160" s="52">
        <f>IF(AND(C160&gt;0,AR160=""),1,IF(AR160&gt;C160,1,0))</f>
        <v/>
      </c>
      <c r="CQ160" s="52">
        <f>IF(AND(C160&gt;0,AS160=""),1,IF(AS160&gt;C160,1,0))</f>
        <v/>
      </c>
      <c r="CR160" s="127">
        <f>IF(AND($C160&gt;0,AT160="",AU160=""),1,IF(AT160+AU160&gt;$C160,1,0))</f>
        <v/>
      </c>
      <c r="CS160" s="127">
        <f>IF(AND(N160+O160+P160+Q160+R160+S160&gt;0,AV160=""),1,IF(AV160&gt;N160+O160+P160+Q160+R160+S160,1,0))</f>
        <v/>
      </c>
      <c r="CT160" s="127">
        <f>IF(AND(T160+U160+V160+W160+X160+Y160+Z160+AA160+AB160+AC160+AD160+AE160+AF160+AG160+AH160+AI160+AJ160+AK160+AL160+AM160+AN160+AO160&gt;0,AW160=""),1,IF(AW160&gt;T160+U160+V160+W160+X160+Y160+Z160+AA160+AB160+AC160+AD160+AE160+AF160+AG160+AH160+AI160+AJ160+AK160+AL160+AM160+AN160+AO160,1,0))</f>
        <v/>
      </c>
    </row>
    <row r="161">
      <c r="A161" s="10114" t="inlineStr">
        <is>
          <t>Terapeuta Ocupacional</t>
        </is>
      </c>
      <c r="B161" s="9720" t="n"/>
      <c r="C161" s="1176">
        <f>SUM(D161+E161)</f>
        <v/>
      </c>
      <c r="D161" s="2166">
        <f>SUM(F161+H161+J161+L161+N161+P161+R161+T161+V161+X161+Z161+AB161+AD161+AF161+AH161+AJ161+AL161+AN161)</f>
        <v/>
      </c>
      <c r="E161" s="2154">
        <f>SUM(G161+I161+K161+M161+O161+Q161+S161+U161+W161+Y161+AA161+AC161+AE161+AG161+AI161+AK161+AM161+AO161)</f>
        <v/>
      </c>
      <c r="F161" s="1188" t="n"/>
      <c r="G161" s="1192" t="n"/>
      <c r="H161" s="1188" t="n"/>
      <c r="I161" s="1192" t="n"/>
      <c r="J161" s="1188" t="n"/>
      <c r="K161" s="1119" t="n"/>
      <c r="L161" s="1188" t="n"/>
      <c r="M161" s="1119" t="n"/>
      <c r="N161" s="1188" t="n"/>
      <c r="O161" s="1119" t="n"/>
      <c r="P161" s="1188" t="n"/>
      <c r="Q161" s="1119" t="n"/>
      <c r="R161" s="1188" t="n"/>
      <c r="S161" s="1119" t="n"/>
      <c r="T161" s="1188" t="n"/>
      <c r="U161" s="1119" t="n"/>
      <c r="V161" s="1188" t="n"/>
      <c r="W161" s="1119" t="n"/>
      <c r="X161" s="1188" t="n"/>
      <c r="Y161" s="1119" t="n"/>
      <c r="Z161" s="1188" t="n"/>
      <c r="AA161" s="1119" t="n"/>
      <c r="AB161" s="1188" t="n"/>
      <c r="AC161" s="1119" t="n"/>
      <c r="AD161" s="1188" t="n"/>
      <c r="AE161" s="1119" t="n"/>
      <c r="AF161" s="1188" t="n"/>
      <c r="AG161" s="1119" t="n"/>
      <c r="AH161" s="1188" t="n"/>
      <c r="AI161" s="1119" t="n"/>
      <c r="AJ161" s="1188" t="n"/>
      <c r="AK161" s="1119" t="n"/>
      <c r="AL161" s="1188" t="n"/>
      <c r="AM161" s="1119" t="n"/>
      <c r="AN161" s="1195" t="n"/>
      <c r="AO161" s="1224" t="n"/>
      <c r="AP161" s="1225" t="n"/>
      <c r="AQ161" s="1118" t="n"/>
      <c r="AR161" s="1118" t="n"/>
      <c r="AS161" s="1119" t="n"/>
      <c r="AT161" s="1188" t="n"/>
      <c r="AU161" s="1119" t="n"/>
      <c r="AV161" s="1188" t="n"/>
      <c r="AW161" s="1119" t="n"/>
      <c r="AX161">
        <f>CB161&amp;CC161&amp;CD161&amp;CE161&amp;CF161&amp;CG161&amp;CH161</f>
        <v/>
      </c>
      <c r="CB161" s="90">
        <f>IF(AND(C161&gt;0,AP161="")," * No olvide digitar la variable Beneficiarios. Digite Cero si no tiene.",IF(AP161&gt;C161," *  La variable Beneficiarios No puede ser mayor al Total Ambos Sexos.",""))</f>
        <v/>
      </c>
      <c r="CC161" s="90">
        <f>IF(AND(C161&gt;0,AQ161="")," * No olvide digitar la variable Total de Controles. Digite Cero si no tiene.",IF(AQ161&gt;C161,"  * La variable Total de Controles No puede ser mayor al Total Ambos Sexos.",""))</f>
        <v/>
      </c>
      <c r="CD161" s="90">
        <f>IF(AND(C161&gt;0,AR161="")," * No olvide digitar la variable Pueblos Originarios. Digite Cero si no tiene.",IF(AR161&gt;C161," * La variable Pueblos Originarios No puede ser mayor al Total Ambos Sexos.",""))</f>
        <v/>
      </c>
      <c r="CE161" s="90">
        <f>IF(AND($C161&gt;0,AS161="")," * No olvide digitar la variable Migrantes. Digite Cero si no tiene.",IF(AS161&gt;$C161," * La variable Migrantes No puede ser mayor al Total Ambos Sexos.",""))</f>
        <v/>
      </c>
      <c r="CF161" s="90">
        <f>IF(AND($C161&gt;0,AT161="",AU161="")," * No olvide digitar la variable Atenciones pacientes oncológicos. Digite Cero si no tiene.",IF(AT161+AU161&gt;$C161," * La suma de las variables Atenciones pacientes oncológicos No puede ser mayor al Total Ambos Sexos.",""))</f>
        <v/>
      </c>
      <c r="CG161" s="90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>IF(AND(C161&gt;0,AP161=""),1,IF(AP161&gt;C161,1,0))</f>
        <v/>
      </c>
      <c r="CO161" s="52">
        <f>IF(AND(C161&gt;0,AQ161=""),1,IF(AQ161&gt;C161,1,0))</f>
        <v/>
      </c>
      <c r="CP161" s="52">
        <f>IF(AND(C161&gt;0,AR161=""),1,IF(AR161&gt;C161,1,0))</f>
        <v/>
      </c>
      <c r="CQ161" s="52">
        <f>IF(AND(C161&gt;0,AS161=""),1,IF(AS161&gt;C161,1,0))</f>
        <v/>
      </c>
      <c r="CR161" s="127">
        <f>IF(AND($C161&gt;0,AT161="",AU161=""),1,IF(AT161+AU161&gt;$C161,1,0))</f>
        <v/>
      </c>
      <c r="CS161" s="127">
        <f>IF(AND(N161+O161+P161+Q161+R161+S161&gt;0,AV161=""),1,IF(AV161&gt;N161+O161+P161+Q161+R161+S161,1,0))</f>
        <v/>
      </c>
      <c r="CT161" s="127">
        <f>IF(AND(T161+U161+V161+W161+X161+Y161+Z161+AA161+AB161+AC161+AD161+AE161+AF161+AG161+AH161+AI161+AJ161+AK161+AL161+AM161+AN161+AO161&gt;0,AW161=""),1,IF(AW161&gt;T161+U161+V161+W161+X161+Y161+Z161+AA161+AB161+AC161+AD161+AE161+AF161+AG161+AH161+AI161+AJ161+AK161+AL161+AM161+AN161+AO161,1,0))</f>
        <v/>
      </c>
    </row>
    <row r="162">
      <c r="A162" s="9240" t="inlineStr">
        <is>
          <t>TOTAL</t>
        </is>
      </c>
      <c r="B162" s="9647" t="n"/>
      <c r="C162" s="2462">
        <f>SUM(C151:C161)</f>
        <v/>
      </c>
      <c r="D162" s="186">
        <f>SUM(D151:D161)</f>
        <v/>
      </c>
      <c r="E162" s="2514">
        <f>SUM(E151:E161)</f>
        <v/>
      </c>
      <c r="F162" s="8543">
        <f>SUM(F151:F161)</f>
        <v/>
      </c>
      <c r="G162" s="2562">
        <f>SUM(G151:G161)</f>
        <v/>
      </c>
      <c r="H162" s="8543">
        <f>SUM(H151:H161)</f>
        <v/>
      </c>
      <c r="I162" s="2562">
        <f>SUM(I151:I161)</f>
        <v/>
      </c>
      <c r="J162" s="1988">
        <f>SUM(J151:J161)</f>
        <v/>
      </c>
      <c r="K162" s="2133">
        <f>SUM(K151:K161)</f>
        <v/>
      </c>
      <c r="L162" s="1988">
        <f>SUM(L151:L161)</f>
        <v/>
      </c>
      <c r="M162" s="2133">
        <f>SUM(M151:M161)</f>
        <v/>
      </c>
      <c r="N162" s="1988">
        <f>SUM(N151:N161)</f>
        <v/>
      </c>
      <c r="O162" s="2133">
        <f>SUM(O151:O161)</f>
        <v/>
      </c>
      <c r="P162" s="1988">
        <f>SUM(P151:P161)</f>
        <v/>
      </c>
      <c r="Q162" s="2133">
        <f>SUM(Q151:Q161)</f>
        <v/>
      </c>
      <c r="R162" s="1988">
        <f>SUM(R151:R161)</f>
        <v/>
      </c>
      <c r="S162" s="2133">
        <f>SUM(S151:S161)</f>
        <v/>
      </c>
      <c r="T162" s="1988">
        <f>SUM(T151:T161)</f>
        <v/>
      </c>
      <c r="U162" s="2133">
        <f>SUM(U151:U161)</f>
        <v/>
      </c>
      <c r="V162" s="1988">
        <f>SUM(V151:V161)</f>
        <v/>
      </c>
      <c r="W162" s="2133">
        <f>SUM(W151:W161)</f>
        <v/>
      </c>
      <c r="X162" s="1988">
        <f>SUM(X151:X161)</f>
        <v/>
      </c>
      <c r="Y162" s="2133">
        <f>SUM(Y151:Y161)</f>
        <v/>
      </c>
      <c r="Z162" s="1988">
        <f>SUM(Z151:Z161)</f>
        <v/>
      </c>
      <c r="AA162" s="2133">
        <f>SUM(AA151:AA161)</f>
        <v/>
      </c>
      <c r="AB162" s="1988">
        <f>SUM(AB151:AB161)</f>
        <v/>
      </c>
      <c r="AC162" s="2133">
        <f>SUM(AC151:AC161)</f>
        <v/>
      </c>
      <c r="AD162" s="1988">
        <f>SUM(AD151:AD161)</f>
        <v/>
      </c>
      <c r="AE162" s="2133">
        <f>SUM(AE151:AE161)</f>
        <v/>
      </c>
      <c r="AF162" s="1988">
        <f>SUM(AF151:AF161)</f>
        <v/>
      </c>
      <c r="AG162" s="2133">
        <f>SUM(AG151:AG161)</f>
        <v/>
      </c>
      <c r="AH162" s="1988">
        <f>SUM(AH151:AH161)</f>
        <v/>
      </c>
      <c r="AI162" s="2133">
        <f>SUM(AI151:AI161)</f>
        <v/>
      </c>
      <c r="AJ162" s="1988">
        <f>SUM(AJ151:AJ161)</f>
        <v/>
      </c>
      <c r="AK162" s="2133">
        <f>SUM(AK151:AK161)</f>
        <v/>
      </c>
      <c r="AL162" s="1988">
        <f>SUM(AL151:AL161)</f>
        <v/>
      </c>
      <c r="AM162" s="2133">
        <f>SUM(AM151:AM161)</f>
        <v/>
      </c>
      <c r="AN162" s="7768">
        <f>SUM(AN151:AN161)</f>
        <v/>
      </c>
      <c r="AO162" s="2317">
        <f>SUM(AO151:AO161)</f>
        <v/>
      </c>
      <c r="AP162" s="2562">
        <f>SUM(AP151:AP161)</f>
        <v/>
      </c>
      <c r="AQ162" s="2561">
        <f>SUM(AQ151:AQ161)</f>
        <v/>
      </c>
      <c r="AR162" s="2561">
        <f>SUM(AR151:AR161)</f>
        <v/>
      </c>
      <c r="AS162" s="2562">
        <f>SUM(AS151:AS161)</f>
        <v/>
      </c>
      <c r="AT162" s="7725">
        <f>SUM(AT151:AT161)</f>
        <v/>
      </c>
      <c r="AU162" s="7725">
        <f>SUM(AU151:AU161)</f>
        <v/>
      </c>
      <c r="AV162" s="2561">
        <f>SUM(AV159:AV161)+AV157</f>
        <v/>
      </c>
      <c r="AW162" s="2561">
        <f>SUM(AW159:AW161)+AW157</f>
        <v/>
      </c>
    </row>
    <row r="163" ht="18" customFormat="1" customHeight="1" s="5">
      <c r="A163" s="2498" t="inlineStr">
        <is>
          <t>SECCIÓN D: CONSULTAS INFECCIÓN TRANSMISIÓN SEXUAL (ITS) Y CONTROLES DE SALUD SEXUAL EN EL NIVEL SECUNDARIO (Incluidas en Sección C)</t>
        </is>
      </c>
      <c r="B163" s="7818" t="n"/>
      <c r="C163" s="7818" t="n"/>
      <c r="D163" s="7818" t="n"/>
      <c r="E163" s="7818" t="n"/>
      <c r="F163" s="2578" t="n"/>
      <c r="G163" s="2578" t="n"/>
      <c r="H163" s="2578" t="n"/>
      <c r="I163" s="2578" t="n"/>
      <c r="J163" s="3" t="n"/>
      <c r="K163" s="3" t="n"/>
      <c r="L163" s="3" t="n"/>
      <c r="M163" s="3" t="n"/>
      <c r="N163" s="3" t="n"/>
      <c r="O163" s="3" t="n"/>
      <c r="P163" s="3" t="n"/>
      <c r="Q163" s="3" t="n"/>
      <c r="R163" s="3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CB163" s="17" t="n"/>
      <c r="CC163" s="17" t="n"/>
      <c r="CD163" s="17" t="n"/>
      <c r="CE163" s="17" t="n"/>
      <c r="CF163" s="17" t="n"/>
      <c r="CG163" s="17" t="n"/>
      <c r="CH163" s="17" t="n"/>
      <c r="CJ163" s="17" t="n"/>
      <c r="CK163" s="17" t="n"/>
      <c r="CL163" s="17" t="n"/>
      <c r="CM163" s="17" t="n"/>
      <c r="CN163" s="17" t="n"/>
      <c r="CO163" s="17" t="n"/>
      <c r="CP163" s="17" t="n"/>
      <c r="CQ163" s="17" t="n"/>
      <c r="CR163" s="17" t="n"/>
      <c r="CS163" s="17" t="n"/>
      <c r="CT163" s="17" t="n"/>
    </row>
    <row r="164" ht="15" customHeight="1" s="8286">
      <c r="A164" s="9977" t="inlineStr">
        <is>
          <t>ACTIVIDAD</t>
        </is>
      </c>
      <c r="B164" s="8400" t="inlineStr">
        <is>
          <t>PROFESIONAL</t>
        </is>
      </c>
      <c r="C164" s="10004" t="inlineStr">
        <is>
          <t xml:space="preserve">TOTAL </t>
        </is>
      </c>
      <c r="D164" s="9602" t="n"/>
      <c r="E164" s="9630" t="n"/>
      <c r="F164" s="9915" t="inlineStr">
        <is>
          <t>RANGO ETARIO Y SEXO</t>
        </is>
      </c>
      <c r="G164" s="9584" t="n"/>
      <c r="H164" s="9584" t="n"/>
      <c r="I164" s="9584" t="n"/>
      <c r="J164" s="9584" t="n"/>
      <c r="K164" s="9584" t="n"/>
      <c r="L164" s="9584" t="n"/>
      <c r="M164" s="9584" t="n"/>
      <c r="N164" s="9584" t="n"/>
      <c r="O164" s="9584" t="n"/>
      <c r="P164" s="9584" t="n"/>
      <c r="Q164" s="9584" t="n"/>
      <c r="R164" s="9584" t="n"/>
      <c r="S164" s="9584" t="n"/>
      <c r="T164" s="9584" t="n"/>
      <c r="U164" s="9584" t="n"/>
      <c r="V164" s="9584" t="n"/>
      <c r="W164" s="9584" t="n"/>
      <c r="X164" s="9584" t="n"/>
      <c r="Y164" s="9584" t="n"/>
      <c r="Z164" s="9584" t="n"/>
      <c r="AA164" s="9584" t="n"/>
      <c r="AB164" s="9584" t="n"/>
      <c r="AC164" s="9584" t="n"/>
      <c r="AD164" s="9584" t="n"/>
      <c r="AE164" s="9584" t="n"/>
      <c r="AF164" s="9584" t="n"/>
      <c r="AG164" s="9584" t="n"/>
      <c r="AH164" s="9584" t="n"/>
      <c r="AI164" s="9584" t="n"/>
      <c r="AJ164" s="9584" t="n"/>
      <c r="AK164" s="9584" t="n"/>
      <c r="AL164" s="9584" t="n"/>
      <c r="AM164" s="9584" t="n"/>
      <c r="AN164" s="9584" t="n"/>
      <c r="AO164" s="9595" t="n"/>
      <c r="AP164" s="9920" t="inlineStr">
        <is>
          <t>Beneficiarios</t>
        </is>
      </c>
      <c r="AQ164" s="9939" t="inlineStr">
        <is>
          <t>TRANS</t>
        </is>
      </c>
      <c r="AR164" s="9630" t="n"/>
      <c r="AS164" s="10115" t="inlineStr">
        <is>
          <t>Pueblos Originarios</t>
        </is>
      </c>
      <c r="AT164" s="10116" t="inlineStr">
        <is>
          <t>Migrantes</t>
        </is>
      </c>
      <c r="AU164" s="10117" t="inlineStr">
        <is>
          <t xml:space="preserve">SENAME/ Servicio Nacional de Reinserción social Juvenil </t>
        </is>
      </c>
      <c r="AV164" s="10084" t="inlineStr">
        <is>
          <t>Servicio Nacional Protección Especializada a la Niñez y Adolescencia</t>
        </is>
      </c>
    </row>
    <row r="165">
      <c r="A165" s="9614" t="n"/>
      <c r="B165" s="9614" t="n"/>
      <c r="C165" s="9638" t="n"/>
      <c r="D165" s="9697" t="n"/>
      <c r="E165" s="9639" t="n"/>
      <c r="F165" s="9240" t="inlineStr">
        <is>
          <t>0 - 4 años</t>
        </is>
      </c>
      <c r="G165" s="9647" t="n"/>
      <c r="H165" s="9240" t="inlineStr">
        <is>
          <t>5 - 9 años</t>
        </is>
      </c>
      <c r="I165" s="9647" t="n"/>
      <c r="J165" s="9240" t="inlineStr">
        <is>
          <t>10 - 14 años</t>
        </is>
      </c>
      <c r="K165" s="9647" t="n"/>
      <c r="L165" s="9240" t="inlineStr">
        <is>
          <t>15 - 17 años</t>
        </is>
      </c>
      <c r="M165" s="9647" t="n"/>
      <c r="N165" s="9240" t="inlineStr">
        <is>
          <t>18 - 19 años</t>
        </is>
      </c>
      <c r="O165" s="9647" t="n"/>
      <c r="P165" s="9240" t="inlineStr">
        <is>
          <t>20 - 24 años</t>
        </is>
      </c>
      <c r="Q165" s="9647" t="n"/>
      <c r="R165" s="4505" t="inlineStr">
        <is>
          <t>25 - 29 años</t>
        </is>
      </c>
      <c r="S165" s="9647" t="n"/>
      <c r="T165" s="4505" t="inlineStr">
        <is>
          <t>30 - 34 años</t>
        </is>
      </c>
      <c r="U165" s="9647" t="n"/>
      <c r="V165" s="4505" t="inlineStr">
        <is>
          <t>35 - 39 años</t>
        </is>
      </c>
      <c r="W165" s="9647" t="n"/>
      <c r="X165" s="4505" t="inlineStr">
        <is>
          <t>40 - 44 años</t>
        </is>
      </c>
      <c r="Y165" s="9647" t="n"/>
      <c r="Z165" s="4505" t="inlineStr">
        <is>
          <t>45 - 49 años</t>
        </is>
      </c>
      <c r="AA165" s="9647" t="n"/>
      <c r="AB165" s="4505" t="inlineStr">
        <is>
          <t>50 - 54 años</t>
        </is>
      </c>
      <c r="AC165" s="9647" t="n"/>
      <c r="AD165" s="4505" t="inlineStr">
        <is>
          <t>55 - 59 años</t>
        </is>
      </c>
      <c r="AE165" s="9647" t="n"/>
      <c r="AF165" s="4505" t="inlineStr">
        <is>
          <t>60 - 64 años</t>
        </is>
      </c>
      <c r="AG165" s="9647" t="n"/>
      <c r="AH165" s="4505" t="inlineStr">
        <is>
          <t>65 - 69 años</t>
        </is>
      </c>
      <c r="AI165" s="9647" t="n"/>
      <c r="AJ165" s="4505" t="inlineStr">
        <is>
          <t>70 - 74 años</t>
        </is>
      </c>
      <c r="AK165" s="9647" t="n"/>
      <c r="AL165" s="4505" t="inlineStr">
        <is>
          <t>75 - 79 años</t>
        </is>
      </c>
      <c r="AM165" s="9647" t="n"/>
      <c r="AN165" s="9915" t="inlineStr">
        <is>
          <t>80 y más años</t>
        </is>
      </c>
      <c r="AO165" s="9595" t="n"/>
      <c r="AP165" s="9625" t="n"/>
      <c r="AQ165" s="9638" t="n"/>
      <c r="AR165" s="9639" t="n"/>
      <c r="AS165" s="10118" t="n"/>
      <c r="AT165" s="10119" t="n"/>
      <c r="AU165" s="10120" t="n"/>
      <c r="AV165" s="10085" t="n"/>
    </row>
    <row r="166" ht="26.25" customHeight="1" s="8286">
      <c r="A166" s="9610" t="n"/>
      <c r="B166" s="9610" t="n"/>
      <c r="C166" s="7691" t="inlineStr">
        <is>
          <t>Ambos Sexos</t>
        </is>
      </c>
      <c r="D166" s="7937" t="inlineStr">
        <is>
          <t>Hombres</t>
        </is>
      </c>
      <c r="E166" s="8287" t="inlineStr">
        <is>
          <t>Mujeres</t>
        </is>
      </c>
      <c r="F166" s="7711" t="inlineStr">
        <is>
          <t>Hombre</t>
        </is>
      </c>
      <c r="G166" s="7933" t="inlineStr">
        <is>
          <t>Mujer</t>
        </is>
      </c>
      <c r="H166" s="7932" t="inlineStr">
        <is>
          <t>Hombre</t>
        </is>
      </c>
      <c r="I166" s="7694" t="inlineStr">
        <is>
          <t>Mujer</t>
        </is>
      </c>
      <c r="J166" s="7711" t="inlineStr">
        <is>
          <t>Hombre</t>
        </is>
      </c>
      <c r="K166" s="7933" t="inlineStr">
        <is>
          <t>Mujer</t>
        </is>
      </c>
      <c r="L166" s="7711" t="inlineStr">
        <is>
          <t>Hombre</t>
        </is>
      </c>
      <c r="M166" s="7933" t="inlineStr">
        <is>
          <t>Mujer</t>
        </is>
      </c>
      <c r="N166" s="7711" t="inlineStr">
        <is>
          <t>Hombre</t>
        </is>
      </c>
      <c r="O166" s="7933" t="inlineStr">
        <is>
          <t>Mujer</t>
        </is>
      </c>
      <c r="P166" s="7711" t="inlineStr">
        <is>
          <t>Hombre</t>
        </is>
      </c>
      <c r="Q166" s="7933" t="inlineStr">
        <is>
          <t>Mujer</t>
        </is>
      </c>
      <c r="R166" s="7932" t="inlineStr">
        <is>
          <t>Hombre</t>
        </is>
      </c>
      <c r="S166" s="7694" t="inlineStr">
        <is>
          <t>Mujer</t>
        </is>
      </c>
      <c r="T166" s="7932" t="inlineStr">
        <is>
          <t>Hombre</t>
        </is>
      </c>
      <c r="U166" s="7694" t="inlineStr">
        <is>
          <t>Mujer</t>
        </is>
      </c>
      <c r="V166" s="7711" t="inlineStr">
        <is>
          <t>Hombre</t>
        </is>
      </c>
      <c r="W166" s="7933" t="inlineStr">
        <is>
          <t>Mujer</t>
        </is>
      </c>
      <c r="X166" s="7932" t="inlineStr">
        <is>
          <t>Hombre</t>
        </is>
      </c>
      <c r="Y166" s="7694" t="inlineStr">
        <is>
          <t>Mujer</t>
        </is>
      </c>
      <c r="Z166" s="7932" t="inlineStr">
        <is>
          <t>Hombre</t>
        </is>
      </c>
      <c r="AA166" s="7694" t="inlineStr">
        <is>
          <t>Mujer</t>
        </is>
      </c>
      <c r="AB166" s="7711" t="inlineStr">
        <is>
          <t>Hombre</t>
        </is>
      </c>
      <c r="AC166" s="7933" t="inlineStr">
        <is>
          <t>Mujer</t>
        </is>
      </c>
      <c r="AD166" s="7711" t="inlineStr">
        <is>
          <t>Hombre</t>
        </is>
      </c>
      <c r="AE166" s="7933" t="inlineStr">
        <is>
          <t>Mujer</t>
        </is>
      </c>
      <c r="AF166" s="7932" t="inlineStr">
        <is>
          <t>Hombre</t>
        </is>
      </c>
      <c r="AG166" s="7694" t="inlineStr">
        <is>
          <t>Mujer</t>
        </is>
      </c>
      <c r="AH166" s="7932" t="inlineStr">
        <is>
          <t>Hombre</t>
        </is>
      </c>
      <c r="AI166" s="7694" t="inlineStr">
        <is>
          <t>Mujer</t>
        </is>
      </c>
      <c r="AJ166" s="7711" t="inlineStr">
        <is>
          <t>Hombre</t>
        </is>
      </c>
      <c r="AK166" s="7933" t="inlineStr">
        <is>
          <t>Mujer</t>
        </is>
      </c>
      <c r="AL166" s="7932" t="inlineStr">
        <is>
          <t>Hombre</t>
        </is>
      </c>
      <c r="AM166" s="7694" t="inlineStr">
        <is>
          <t>Mujer</t>
        </is>
      </c>
      <c r="AN166" s="7711" t="inlineStr">
        <is>
          <t>Hombre</t>
        </is>
      </c>
      <c r="AO166" s="1981" t="inlineStr">
        <is>
          <t>Mujer</t>
        </is>
      </c>
      <c r="AP166" s="9641" t="n"/>
      <c r="AQ166" s="7670" t="inlineStr">
        <is>
          <t>Masculino</t>
        </is>
      </c>
      <c r="AR166" s="7933" t="inlineStr">
        <is>
          <t>Femenino</t>
        </is>
      </c>
      <c r="AS166" s="10121" t="n"/>
      <c r="AT166" s="10122" t="n"/>
      <c r="AU166" s="10123" t="n"/>
      <c r="AV166" s="10086" t="n"/>
    </row>
    <row r="167">
      <c r="A167" s="4244" t="inlineStr">
        <is>
          <t>Consultas Infección Transmisión Sexual  (ITS) (excluir VIH/SIDA)</t>
        </is>
      </c>
      <c r="B167" s="2579" t="inlineStr">
        <is>
          <t>Enfermera/o</t>
        </is>
      </c>
      <c r="C167" s="2580">
        <f>SUM(D167+E167)</f>
        <v/>
      </c>
      <c r="D167" s="840">
        <f>SUM(F167+H167+J167+L167+N167+P167+R167+T167+V167+X167+Z167+AB167+AD167+AF167+AH167+AJ167+AL167+AN167)</f>
        <v/>
      </c>
      <c r="E167" s="2152">
        <f>SUM(G167+I167+K167+M167+O167+Q167+S167+U167+W167+Y167+AA167+AC167+AE167+AG167+AI167+AK167+AM167+AO167)</f>
        <v/>
      </c>
      <c r="F167" s="2266" t="n"/>
      <c r="G167" s="2336" t="n"/>
      <c r="H167" s="2266" t="n"/>
      <c r="I167" s="2336" t="n"/>
      <c r="J167" s="2266" t="n"/>
      <c r="K167" s="2337" t="n"/>
      <c r="L167" s="2266" t="n"/>
      <c r="M167" s="2337" t="n"/>
      <c r="N167" s="2266" t="n"/>
      <c r="O167" s="2337" t="n"/>
      <c r="P167" s="2266" t="n"/>
      <c r="Q167" s="2337" t="n"/>
      <c r="R167" s="2266" t="n"/>
      <c r="S167" s="2337" t="n"/>
      <c r="T167" s="2266" t="n"/>
      <c r="U167" s="2337" t="n"/>
      <c r="V167" s="2266" t="n"/>
      <c r="W167" s="2337" t="n"/>
      <c r="X167" s="2266" t="n"/>
      <c r="Y167" s="2337" t="n"/>
      <c r="Z167" s="2266" t="n"/>
      <c r="AA167" s="2337" t="n"/>
      <c r="AB167" s="2266" t="n"/>
      <c r="AC167" s="2337" t="n"/>
      <c r="AD167" s="2266" t="n"/>
      <c r="AE167" s="2337" t="n"/>
      <c r="AF167" s="2266" t="n"/>
      <c r="AG167" s="2337" t="n"/>
      <c r="AH167" s="2266" t="n"/>
      <c r="AI167" s="2337" t="n"/>
      <c r="AJ167" s="2266" t="n"/>
      <c r="AK167" s="2337" t="n"/>
      <c r="AL167" s="2266" t="n"/>
      <c r="AM167" s="2337" t="n"/>
      <c r="AN167" s="2276" t="n"/>
      <c r="AO167" s="1940" t="n"/>
      <c r="AP167" s="2336" t="n"/>
      <c r="AQ167" s="2267" t="n"/>
      <c r="AR167" s="2336" t="n"/>
      <c r="AS167" s="2266" t="n"/>
      <c r="AT167" s="2581" t="n"/>
      <c r="AU167" s="2582" t="n"/>
      <c r="AV167" s="2330" t="n"/>
      <c r="AW167">
        <f>CB167&amp;CC167&amp;CD167&amp;CE167&amp;CF167&amp;CG167&amp;CH167</f>
        <v/>
      </c>
      <c r="CB167" s="90">
        <f>IF(AND(C167&gt;0,AP167="")," *No olvide digitar la variable Beneficiarios. Digite Cero si no tiene.",IF(AP167&gt;C167," *La variable Beneficiarios No puede ser mayor al Total Ambos Sexos.",""))</f>
        <v/>
      </c>
      <c r="CC167" s="90">
        <f>IF(AND(E167&gt;0,OR(AQ167=""))," *No olvide digitar la variable Trans (Masculino). Digite Cero si no tiene.",IF((AQ167)&gt;E167," *La variable Trans (Masculino) No puede ser mayor al Total Mujeres.",""))</f>
        <v/>
      </c>
      <c r="CD167" s="90">
        <f>IF(AND(D167&gt;0,OR(AR167=""))," *No olvide digitar la variable Trans (Femenino). Digite Cero si no tiene.",IF((AR167)&gt;D167," *La variable Trans (Femenino) No puede ser mayor al Total Hombres.",""))</f>
        <v/>
      </c>
      <c r="CE167" s="90">
        <f>IF(AND(C167&gt;0,AS167="")," *No olvide digitar la variable Pueblos Originarios. Digite Cero si no tiene.",IF(AS167&gt;C167," *La variable Pueblos Originarios No puede ser mayor al Total Ambos Sexos.",""))</f>
        <v/>
      </c>
      <c r="CF167" s="90">
        <f>IF(AND(C167&gt;0,AT167="")," *No olvide digitar la variable Migrantes. Digite Cero si no tiene.",IF(AT167&gt;C167," *La variable Migrantes No puede ser mayor al Total Ambos Sexos.",""))</f>
        <v/>
      </c>
      <c r="CG167" s="90">
        <f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>
        <f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>IF(AND(C167&gt;0,AP167=""),1,IF(AP167&gt;C167,1,0))</f>
        <v/>
      </c>
      <c r="CO167" s="52">
        <f>IF(AND(E167&gt;0,OR(AQ167="")),1,IF((AQ167)&gt;E167,1,0))</f>
        <v/>
      </c>
      <c r="CP167" s="52">
        <f>IF(AND(D167&gt;0,OR(AR167="")),1,IF((AR167)&gt;D167,1,0))</f>
        <v/>
      </c>
      <c r="CQ167" s="52">
        <f>IF(AND(C167&gt;0,AS167=""),1,IF(AS167&gt;C167,1,0))</f>
        <v/>
      </c>
      <c r="CR167" s="52">
        <f>IF(AND(C167&gt;0,AT167=""),1,IF(AT167&gt;C167,1,0))</f>
        <v/>
      </c>
      <c r="CS167" s="52">
        <f>IF(AND(C167&gt;0,AU167=""),1,IF(AU167&gt;C167,1,0))</f>
        <v/>
      </c>
      <c r="CT167" s="52">
        <f>IF(AND(C167&gt;0,AV167=""),1,IF(AV167&gt;C167,1,0))</f>
        <v/>
      </c>
    </row>
    <row r="168">
      <c r="A168" s="10124" t="n"/>
      <c r="B168" s="1347" t="inlineStr">
        <is>
          <t>Matrona/ón</t>
        </is>
      </c>
      <c r="C168" s="1176">
        <f>SUM(D168+E168)</f>
        <v/>
      </c>
      <c r="D168" s="2166">
        <f>SUM(F168+H168+J168+L168+N168+P168+R168+T168+V168+X168+Z168+AB168+AD168+AF168+AH168+AJ168+AL168+AN168)</f>
        <v/>
      </c>
      <c r="E168" s="1178">
        <f>SUM(G168+I168+K168+M168+O168+Q168+S168+U168+W168+Y168+AA168+AC168+AE168+AG168+AI168+AK168+AM168+AO168)</f>
        <v/>
      </c>
      <c r="F168" s="1188" t="n"/>
      <c r="G168" s="1192" t="n"/>
      <c r="H168" s="1188" t="n"/>
      <c r="I168" s="1192" t="n"/>
      <c r="J168" s="1188" t="n"/>
      <c r="K168" s="1119" t="n"/>
      <c r="L168" s="1188" t="n"/>
      <c r="M168" s="1119" t="n"/>
      <c r="N168" s="1188" t="n"/>
      <c r="O168" s="1119" t="n"/>
      <c r="P168" s="1188" t="n"/>
      <c r="Q168" s="1119" t="n"/>
      <c r="R168" s="1188" t="n"/>
      <c r="S168" s="1119" t="n"/>
      <c r="T168" s="1188" t="n"/>
      <c r="U168" s="1119" t="n"/>
      <c r="V168" s="1188" t="n"/>
      <c r="W168" s="1119" t="n"/>
      <c r="X168" s="1188" t="n"/>
      <c r="Y168" s="1119" t="n"/>
      <c r="Z168" s="1188" t="n"/>
      <c r="AA168" s="1119" t="n"/>
      <c r="AB168" s="1188" t="n"/>
      <c r="AC168" s="1119" t="n"/>
      <c r="AD168" s="1188" t="n"/>
      <c r="AE168" s="1119" t="n"/>
      <c r="AF168" s="1188" t="n"/>
      <c r="AG168" s="1119" t="n"/>
      <c r="AH168" s="1188" t="n"/>
      <c r="AI168" s="1119" t="n"/>
      <c r="AJ168" s="1188" t="n"/>
      <c r="AK168" s="1119" t="n"/>
      <c r="AL168" s="1188" t="n"/>
      <c r="AM168" s="1119" t="n"/>
      <c r="AN168" s="1195" t="n"/>
      <c r="AO168" s="1224" t="n"/>
      <c r="AP168" s="1192" t="n"/>
      <c r="AQ168" s="1193" t="n"/>
      <c r="AR168" s="1192" t="n"/>
      <c r="AS168" s="1188" t="n"/>
      <c r="AT168" s="1194" t="n"/>
      <c r="AU168" s="2583" t="n"/>
      <c r="AV168" s="1294" t="n"/>
      <c r="AW168">
        <f>CB168&amp;CC168&amp;CD168&amp;CE168&amp;CF168&amp;CG168&amp;CH168</f>
        <v/>
      </c>
      <c r="CB168" s="90">
        <f>IF(AND(C168&gt;0,AP168="")," *No olvide digitar la variable Beneficiarios. Digite Cero si no tiene.",IF(AP168&gt;C168," *La variable Beneficiarios No puede ser mayor al Total Ambos Sexos.",""))</f>
        <v/>
      </c>
      <c r="CC168" s="90">
        <f>IF(AND(E168&gt;0,OR(AQ168=""))," *No olvide digitar la variable Trans (Masculino). Digite Cero si no tiene.",IF((AQ168)&gt;E168," *La variable Trans (Masculino) No puede ser mayor al Total Mujeres.",""))</f>
        <v/>
      </c>
      <c r="CD168" s="90">
        <f>IF(AND(D168&gt;0,OR(AR168=""))," *No olvide digitar la variable Trans (Femenino). Digite Cero si no tiene.",IF((AR168)&gt;D168," *La variable Trans (Femenino) No puede ser mayor al Total Hombres.",""))</f>
        <v/>
      </c>
      <c r="CE168" s="90">
        <f>IF(AND(C168&gt;0,AS168="")," *No olvide digitar la variable Pueblos Originarios. Digite Cero si no tiene.",IF(AS168&gt;C168," *La variable Pueblos Originarios No puede ser mayor al Total Ambos Sexos.",""))</f>
        <v/>
      </c>
      <c r="CF168" s="90">
        <f>IF(AND(C168&gt;0,AT168="")," *No olvide digitar la variable Migrantes. Digite Cero si no tiene.",IF(AT168&gt;C168," *La variable Migrantes No puede ser mayor al Total Ambos Sexos.",""))</f>
        <v/>
      </c>
      <c r="CG168" s="90">
        <f>IF(AND(C168&gt;0,AU168="")," *No olvide digitar la variable SENAME/ Servicio Nacional de Reinserción social Juvenil. Digite Cero si no tiene.",IF(AU168&gt;C168," *La variable SENAME/ Servicio Nacional de Reinserción social Juvenil  No puede ser mayor al Total Ambos Sexos.",""))</f>
        <v/>
      </c>
      <c r="CH168" s="90">
        <f>IF(AND(C168&gt;0,AV168="")," *No olvide digitar la variable Servicio Nacional Protección Especializada a la Niñez y Adolescencia. Digite Cero si no tiene.",IF(AV168&gt;C168," *La variable NServicio Nacional Protección Especializada a la Niñez y Adolescencia No puede ser mayor al Total Ambos Sexos.",""))</f>
        <v/>
      </c>
      <c r="CN168" s="52">
        <f>IF(AND(C168&gt;0,AP168=""),1,IF(AP168&gt;C168,1,0))</f>
        <v/>
      </c>
      <c r="CO168" s="52">
        <f>IF(AND(E168&gt;0,OR(AQ168="")),1,IF((AQ168)&gt;E168,1,0))</f>
        <v/>
      </c>
      <c r="CP168" s="52">
        <f>IF(AND(D168&gt;0,OR(AR168="")),1,IF((AR168)&gt;D168,1,0))</f>
        <v/>
      </c>
      <c r="CQ168" s="52">
        <f>IF(AND(C168&gt;0,AS168=""),1,IF(AS168&gt;C168,1,0))</f>
        <v/>
      </c>
      <c r="CR168" s="52">
        <f>IF(AND(C168&gt;0,AT168=""),1,IF(AT168&gt;C168,1,0))</f>
        <v/>
      </c>
      <c r="CS168" s="52">
        <f>IF(AND(C168&gt;0,AU168=""),1,IF(AU168&gt;C168,1,0))</f>
        <v/>
      </c>
      <c r="CT168" s="52">
        <f>IF(AND(C168&gt;0,AV168=""),1,IF(AV168&gt;C168,1,0))</f>
        <v/>
      </c>
    </row>
    <row r="169">
      <c r="A169" s="9232" t="inlineStr">
        <is>
          <t>Consultas VIH/SIDA</t>
        </is>
      </c>
      <c r="B169" s="2579" t="inlineStr">
        <is>
          <t>Enfermera/o</t>
        </is>
      </c>
      <c r="C169" s="2580">
        <f>SUM(D169+E169)</f>
        <v/>
      </c>
      <c r="D169" s="840">
        <f>SUM(F169+H169+J169+L169+N169+P169+R169+T169+V169+X169+Z169+AB169+AD169+AF169+AH169+AJ169+AL169+AN169)</f>
        <v/>
      </c>
      <c r="E169" s="2152">
        <f>SUM(G169+I169+K169+M169+O169+Q169+S169+U169+W169+Y169+AA169+AC169+AE169+AG169+AI169+AK169+AM169+AO169)</f>
        <v/>
      </c>
      <c r="F169" s="2266" t="n"/>
      <c r="G169" s="2336" t="n"/>
      <c r="H169" s="2266" t="n"/>
      <c r="I169" s="2336" t="n"/>
      <c r="J169" s="2266" t="n"/>
      <c r="K169" s="2337" t="n"/>
      <c r="L169" s="2266" t="n"/>
      <c r="M169" s="2337" t="n"/>
      <c r="N169" s="2266" t="n"/>
      <c r="O169" s="2337" t="n"/>
      <c r="P169" s="2266" t="n"/>
      <c r="Q169" s="2337" t="n"/>
      <c r="R169" s="2266" t="n"/>
      <c r="S169" s="2337" t="n"/>
      <c r="T169" s="2266" t="n"/>
      <c r="U169" s="2337" t="n"/>
      <c r="V169" s="2266" t="n"/>
      <c r="W169" s="2337" t="n"/>
      <c r="X169" s="2266" t="n"/>
      <c r="Y169" s="2337" t="n"/>
      <c r="Z169" s="2266" t="n"/>
      <c r="AA169" s="2337" t="n"/>
      <c r="AB169" s="2266" t="n"/>
      <c r="AC169" s="2337" t="n"/>
      <c r="AD169" s="2266" t="n"/>
      <c r="AE169" s="2337" t="n"/>
      <c r="AF169" s="2266" t="n"/>
      <c r="AG169" s="2337" t="n"/>
      <c r="AH169" s="2266" t="n"/>
      <c r="AI169" s="2337" t="n"/>
      <c r="AJ169" s="2266" t="n"/>
      <c r="AK169" s="2337" t="n"/>
      <c r="AL169" s="2266" t="n"/>
      <c r="AM169" s="2337" t="n"/>
      <c r="AN169" s="2276" t="n"/>
      <c r="AO169" s="1940" t="n"/>
      <c r="AP169" s="2336" t="n"/>
      <c r="AQ169" s="2267" t="n"/>
      <c r="AR169" s="2336" t="n"/>
      <c r="AS169" s="2266" t="n"/>
      <c r="AT169" s="2581" t="n"/>
      <c r="AU169" s="2582" t="n"/>
      <c r="AV169" s="2330" t="n"/>
      <c r="AW169">
        <f>CB169&amp;CC169&amp;CD169&amp;CE169&amp;CF169&amp;CG169&amp;CH169</f>
        <v/>
      </c>
      <c r="CB169" s="90">
        <f>IF(AND(C169&gt;0,AP169="")," *No olvide digitar la variable Beneficiarios. Digite Cero si no tiene.",IF(AP169&gt;C169," *La variable Beneficiarios No puede ser mayor al Total Ambos Sexos.",""))</f>
        <v/>
      </c>
      <c r="CC169" s="90">
        <f>IF(AND(E169&gt;0,OR(AQ169=""))," *No olvide digitar la variable Trans (Masculino). Digite Cero si no tiene.",IF((AQ169)&gt;E169," *La variable Trans (Masculino) No puede ser mayor al Total Mujeres.",""))</f>
        <v/>
      </c>
      <c r="CD169" s="90">
        <f>IF(AND(D169&gt;0,OR(AR169=""))," *No olvide digitar la variable Trans (Femenino). Digite Cero si no tiene.",IF((AR169)&gt;D169," *La variable Trans (Femenino) No puede ser mayor al Total Hombres.",""))</f>
        <v/>
      </c>
      <c r="CE169" s="90">
        <f>IF(AND(C169&gt;0,AS169="")," *No olvide digitar la variable Pueblos Originarios. Digite Cero si no tiene.",IF(AS169&gt;C169," *La variable Pueblos Originarios No puede ser mayor al Total Ambos Sexos.",""))</f>
        <v/>
      </c>
      <c r="CF169" s="90">
        <f>IF(AND(C169&gt;0,AT169="")," *No olvide digitar la variable Migrantes. Digite Cero si no tiene.",IF(AT169&gt;C169," *La variable Migrantes No puede ser mayor al Total Ambos Sexos.",""))</f>
        <v/>
      </c>
      <c r="CG169" s="90">
        <f>IF(AND(C169&gt;0,AU169="")," *No olvide digitar la variable SENAME/ Servicio Nacional de Reinserción social Juvenil. Digite Cero si no tiene.",IF(AU169&gt;C169," *La variable SENAME/ Servicio Nacional de Reinserción social Juvenil  No puede ser mayor al Total Ambos Sexos.",""))</f>
        <v/>
      </c>
      <c r="CH169" s="90">
        <f>IF(AND(C169&gt;0,AV169="")," *No olvide digitar la variable Servicio Nacional Protección Especializada a la Niñez y Adolescencia. Digite Cero si no tiene.",IF(AV169&gt;C169," *La variable NServicio Nacional Protección Especializada a la Niñez y Adolescencia No puede ser mayor al Total Ambos Sexos.",""))</f>
        <v/>
      </c>
      <c r="CN169" s="52">
        <f>IF(AND(C169&gt;0,AP169=""),1,IF(AP169&gt;C169,1,0))</f>
        <v/>
      </c>
      <c r="CO169" s="52">
        <f>IF(AND(E169&gt;0,OR(AQ169="")),1,IF((AQ169)&gt;E169,1,0))</f>
        <v/>
      </c>
      <c r="CP169" s="52">
        <f>IF(AND(D169&gt;0,OR(AR169="")),1,IF((AR169)&gt;D169,1,0))</f>
        <v/>
      </c>
      <c r="CQ169" s="52">
        <f>IF(AND(C169&gt;0,AS169=""),1,IF(AS169&gt;C169,1,0))</f>
        <v/>
      </c>
      <c r="CR169" s="52">
        <f>IF(AND(C169&gt;0,AT169=""),1,IF(AT169&gt;C169,1,0))</f>
        <v/>
      </c>
      <c r="CS169" s="52">
        <f>IF(AND(C169&gt;0,AU169=""),1,IF(AU169&gt;C169,1,0))</f>
        <v/>
      </c>
      <c r="CT169" s="52">
        <f>IF(AND(C169&gt;0,AV169=""),1,IF(AV169&gt;C169,1,0))</f>
        <v/>
      </c>
    </row>
    <row r="170">
      <c r="A170" s="10125" t="n"/>
      <c r="B170" s="2585" t="inlineStr">
        <is>
          <t>Matrona/ón</t>
        </is>
      </c>
      <c r="C170" s="1162">
        <f>SUM(D170+E170)</f>
        <v/>
      </c>
      <c r="D170" s="2153">
        <f>SUM(F170+H170+J170+L170+N170+P170+R170+T170+V170+X170+Z170+AB170+AD170+AF170+AH170+AJ170+AL170+AN170)</f>
        <v/>
      </c>
      <c r="E170" s="1171">
        <f>SUM(G170+I170+K170+M170+O170+Q170+S170+U170+W170+Y170+AA170+AC170+AE170+AG170+AI170+AK170+AM170+AO170)</f>
        <v/>
      </c>
      <c r="F170" s="1172" t="n"/>
      <c r="G170" s="1173" t="n"/>
      <c r="H170" s="1172" t="n"/>
      <c r="I170" s="1173" t="n"/>
      <c r="J170" s="1172" t="n"/>
      <c r="K170" s="886" t="n"/>
      <c r="L170" s="1172" t="n"/>
      <c r="M170" s="886" t="n"/>
      <c r="N170" s="1172" t="n"/>
      <c r="O170" s="886" t="n"/>
      <c r="P170" s="1172" t="n"/>
      <c r="Q170" s="886" t="n"/>
      <c r="R170" s="1172" t="n"/>
      <c r="S170" s="886" t="n"/>
      <c r="T170" s="1172" t="n"/>
      <c r="U170" s="886" t="n"/>
      <c r="V170" s="1172" t="n"/>
      <c r="W170" s="886" t="n"/>
      <c r="X170" s="1172" t="n"/>
      <c r="Y170" s="886" t="n"/>
      <c r="Z170" s="1172" t="n"/>
      <c r="AA170" s="886" t="n"/>
      <c r="AB170" s="1172" t="n"/>
      <c r="AC170" s="886" t="n"/>
      <c r="AD170" s="1172" t="n"/>
      <c r="AE170" s="886" t="n"/>
      <c r="AF170" s="1172" t="n"/>
      <c r="AG170" s="886" t="n"/>
      <c r="AH170" s="1172" t="n"/>
      <c r="AI170" s="886" t="n"/>
      <c r="AJ170" s="1172" t="n"/>
      <c r="AK170" s="886" t="n"/>
      <c r="AL170" s="1172" t="n"/>
      <c r="AM170" s="886" t="n"/>
      <c r="AN170" s="1175" t="n"/>
      <c r="AO170" s="1929" t="n"/>
      <c r="AP170" s="1173" t="n"/>
      <c r="AQ170" s="1174" t="n"/>
      <c r="AR170" s="1173" t="n"/>
      <c r="AS170" s="1172" t="n"/>
      <c r="AT170" s="885" t="n"/>
      <c r="AU170" s="2586" t="n"/>
      <c r="AV170" s="2332" t="n"/>
      <c r="AW170">
        <f>CB170&amp;CC170&amp;CD170&amp;CE170&amp;CF170&amp;CG170&amp;CH170</f>
        <v/>
      </c>
      <c r="CB170" s="90">
        <f>IF(AND(C170&gt;0,AP170="")," *No olvide digitar la variable Beneficiarios. Digite Cero si no tiene.",IF(AP170&gt;C170," *La variable Beneficiarios No puede ser mayor al Total Ambos Sexos.",""))</f>
        <v/>
      </c>
      <c r="CC170" s="90">
        <f>IF(AND(E170&gt;0,OR(AQ170=""))," *No olvide digitar la variable Trans (Masculino). Digite Cero si no tiene.",IF((AQ170)&gt;E170," *La variable Trans (Masculino) No puede ser mayor al Total Mujeres.",""))</f>
        <v/>
      </c>
      <c r="CD170" s="90">
        <f>IF(AND(D170&gt;0,OR(AR170=""))," *No olvide digitar la variable Trans (Femenino). Digite Cero si no tiene.",IF((AR170)&gt;D170," *La variable Trans (Femenino) No puede ser mayor al Total Hombres.",""))</f>
        <v/>
      </c>
      <c r="CE170" s="90">
        <f>IF(AND(C170&gt;0,AS170="")," *No olvide digitar la variable Pueblos Originarios. Digite Cero si no tiene.",IF(AS170&gt;C170," *La variable Pueblos Originarios No puede ser mayor al Total Ambos Sexos.",""))</f>
        <v/>
      </c>
      <c r="CF170" s="90">
        <f>IF(AND(C170&gt;0,AT170="")," *No olvide digitar la variable Migrantes. Digite Cero si no tiene.",IF(AT170&gt;C170," *La variable Migrantes No puede ser mayor al Total Ambos Sexos.",""))</f>
        <v/>
      </c>
      <c r="CG170" s="90">
        <f>IF(AND(C170&gt;0,AU170="")," *No olvide digitar la variable SENAME/ Servicio Nacional de Reinserción social Juvenil. Digite Cero si no tiene.",IF(AU170&gt;C170," *La variable SENAME/ Servicio Nacional de Reinserción social Juvenil  No puede ser mayor al Total Ambos Sexos.",""))</f>
        <v/>
      </c>
      <c r="CH170" s="90">
        <f>IF(AND(C170&gt;0,AV170="")," *No olvide digitar la variable Servicio Nacional Protección Especializada a la Niñez y Adolescencia. Digite Cero si no tiene.",IF(AV170&gt;C170," *La variable NServicio Nacional Protección Especializada a la Niñez y Adolescencia No puede ser mayor al Total Ambos Sexos.",""))</f>
        <v/>
      </c>
      <c r="CN170" s="52">
        <f>IF(AND(C170&gt;0,AP170=""),1,IF(AP170&gt;C170,1,0))</f>
        <v/>
      </c>
      <c r="CO170" s="52">
        <f>IF(AND(E170&gt;0,OR(AQ170="")),1,IF((AQ170)&gt;E170,1,0))</f>
        <v/>
      </c>
      <c r="CP170" s="52">
        <f>IF(AND(D170&gt;0,OR(AR170="")),1,IF((AR170)&gt;D170,1,0))</f>
        <v/>
      </c>
      <c r="CQ170" s="52">
        <f>IF(AND(C170&gt;0,AS170=""),1,IF(AS170&gt;C170,1,0))</f>
        <v/>
      </c>
      <c r="CR170" s="52">
        <f>IF(AND(C170&gt;0,AT170=""),1,IF(AT170&gt;C170,1,0))</f>
        <v/>
      </c>
      <c r="CS170" s="52">
        <f>IF(AND(C170&gt;0,AU170=""),1,IF(AU170&gt;C170,1,0))</f>
        <v/>
      </c>
      <c r="CT170" s="52">
        <f>IF(AND(C170&gt;0,AV170=""),1,IF(AV170&gt;C170,1,0))</f>
        <v/>
      </c>
    </row>
    <row r="171">
      <c r="A171" s="10124" t="n"/>
      <c r="B171" s="1347" t="inlineStr">
        <is>
          <t>Psicólogo/a</t>
        </is>
      </c>
      <c r="C171" s="1176">
        <f>SUM(D171+E171)</f>
        <v/>
      </c>
      <c r="D171" s="2166">
        <f>SUM(F171+H171+J171+L171+N171+P171+R171+T171+V171+X171+Z171+AB171+AD171+AF171+AH171+AJ171+AL171+AN171)</f>
        <v/>
      </c>
      <c r="E171" s="1178">
        <f>SUM(G171+I171+K171+M171+O171+Q171+S171+U171+W171+Y171+AA171+AC171+AE171+AG171+AI171+AK171+AM171+AO171)</f>
        <v/>
      </c>
      <c r="F171" s="1188" t="n"/>
      <c r="G171" s="1192" t="n"/>
      <c r="H171" s="1188" t="n"/>
      <c r="I171" s="1192" t="n"/>
      <c r="J171" s="1188" t="n"/>
      <c r="K171" s="1119" t="n"/>
      <c r="L171" s="1188" t="n"/>
      <c r="M171" s="1119" t="n"/>
      <c r="N171" s="1188" t="n"/>
      <c r="O171" s="1119" t="n"/>
      <c r="P171" s="1188" t="n"/>
      <c r="Q171" s="1119" t="n"/>
      <c r="R171" s="1188" t="n"/>
      <c r="S171" s="1119" t="n"/>
      <c r="T171" s="1188" t="n"/>
      <c r="U171" s="1119" t="n"/>
      <c r="V171" s="1188" t="n"/>
      <c r="W171" s="1119" t="n"/>
      <c r="X171" s="1188" t="n"/>
      <c r="Y171" s="1119" t="n"/>
      <c r="Z171" s="1188" t="n"/>
      <c r="AA171" s="1119" t="n"/>
      <c r="AB171" s="1188" t="n"/>
      <c r="AC171" s="1119" t="n"/>
      <c r="AD171" s="1188" t="n"/>
      <c r="AE171" s="1119" t="n"/>
      <c r="AF171" s="1188" t="n"/>
      <c r="AG171" s="1119" t="n"/>
      <c r="AH171" s="1188" t="n"/>
      <c r="AI171" s="1119" t="n"/>
      <c r="AJ171" s="1188" t="n"/>
      <c r="AK171" s="1119" t="n"/>
      <c r="AL171" s="1188" t="n"/>
      <c r="AM171" s="1119" t="n"/>
      <c r="AN171" s="1195" t="n"/>
      <c r="AO171" s="1224" t="n"/>
      <c r="AP171" s="1192" t="n"/>
      <c r="AQ171" s="1193" t="n"/>
      <c r="AR171" s="1192" t="n"/>
      <c r="AS171" s="1188" t="n"/>
      <c r="AT171" s="1194" t="n"/>
      <c r="AU171" s="2583" t="n"/>
      <c r="AV171" s="1294" t="n"/>
      <c r="AW171">
        <f>CB171&amp;CC171&amp;CD171&amp;CE171&amp;CF171&amp;CG171&amp;CH171</f>
        <v/>
      </c>
      <c r="CB171" s="90">
        <f>IF(AND(C171&gt;0,AP171="")," *No olvide digitar la variable Beneficiarios. Digite Cero si no tiene.",IF(AP171&gt;C171," *La variable Beneficiarios No puede ser mayor al Total Ambos Sexos.",""))</f>
        <v/>
      </c>
      <c r="CC171" s="90">
        <f>IF(AND(E171&gt;0,OR(AQ171=""))," *No olvide digitar la variable Trans (Masculino). Digite Cero si no tiene.",IF((AQ171)&gt;E171," *La variable Trans (Masculino) No puede ser mayor al Total Mujeres.",""))</f>
        <v/>
      </c>
      <c r="CD171" s="90">
        <f>IF(AND(D171&gt;0,OR(AR171=""))," *No olvide digitar la variable Trans (Femenino). Digite Cero si no tiene.",IF((AR171)&gt;D171," *La variable Trans (Femenino) No puede ser mayor al Total Hombres.",""))</f>
        <v/>
      </c>
      <c r="CE171" s="90">
        <f>IF(AND(C171&gt;0,AS171="")," *No olvide digitar la variable Pueblos Originarios. Digite Cero si no tiene.",IF(AS171&gt;C171," *La variable Pueblos Originarios No puede ser mayor al Total Ambos Sexos.",""))</f>
        <v/>
      </c>
      <c r="CF171" s="90">
        <f>IF(AND(C171&gt;0,AT171="")," *No olvide digitar la variable Migrantes. Digite Cero si no tiene.",IF(AT171&gt;C171," *La variable Migrantes No puede ser mayor al Total Ambos Sexos.",""))</f>
        <v/>
      </c>
      <c r="CG171" s="90">
        <f>IF(AND(C171&gt;0,AU171="")," *No olvide digitar la variable SENAME/ Servicio Nacional de Reinserción social Juvenil. Digite Cero si no tiene.",IF(AU171&gt;C171," *La variable SENAME/ Servicio Nacional de Reinserción social Juvenil  No puede ser mayor al Total Ambos Sexos.",""))</f>
        <v/>
      </c>
      <c r="CH171" s="90">
        <f>IF(AND(C171&gt;0,AV171="")," *No olvide digitar la variable Servicio Nacional Protección Especializada a la Niñez y Adolescencia. Digite Cero si no tiene.",IF(AV171&gt;C171," *La variable NServicio Nacional Protección Especializada a la Niñez y Adolescencia No puede ser mayor al Total Ambos Sexos.",""))</f>
        <v/>
      </c>
      <c r="CN171" s="52">
        <f>IF(AND(C171&gt;0,AP171=""),1,IF(AP171&gt;C171,1,0))</f>
        <v/>
      </c>
      <c r="CO171" s="52">
        <f>IF(AND(E171&gt;0,OR(AQ171="")),1,IF((AQ171)&gt;E171,1,0))</f>
        <v/>
      </c>
      <c r="CP171" s="52">
        <f>IF(AND(D171&gt;0,OR(AR171="")),1,IF((AR171)&gt;D171,1,0))</f>
        <v/>
      </c>
      <c r="CQ171" s="52">
        <f>IF(AND(C171&gt;0,AS171=""),1,IF(AS171&gt;C171,1,0))</f>
        <v/>
      </c>
      <c r="CR171" s="52">
        <f>IF(AND(C171&gt;0,AT171=""),1,IF(AT171&gt;C171,1,0))</f>
        <v/>
      </c>
      <c r="CS171" s="52">
        <f>IF(AND(C171&gt;0,AU171=""),1,IF(AU171&gt;C171,1,0))</f>
        <v/>
      </c>
      <c r="CT171" s="52">
        <f>IF(AND(C171&gt;0,AV171=""),1,IF(AV171&gt;C171,1,0))</f>
        <v/>
      </c>
    </row>
    <row r="172">
      <c r="A172" s="10126" t="inlineStr">
        <is>
          <t>Control VIH Con TAR</t>
        </is>
      </c>
      <c r="B172" s="2579" t="inlineStr">
        <is>
          <t>Enfermera/o</t>
        </is>
      </c>
      <c r="C172" s="2580">
        <f>SUM(D172+E172)</f>
        <v/>
      </c>
      <c r="D172" s="840">
        <f>SUM(F172+H172+J172+L172+N172+P172+R172+T172+V172+X172+Z172+AB172+AD172+AF172+AH172+AJ172+AL172+AN172)</f>
        <v/>
      </c>
      <c r="E172" s="2152">
        <f>SUM(G172+I172+K172+M172+O172+Q172+S172+U172+W172+Y172+AA172+AC172+AE172+AG172+AI172+AK172+AM172+AO172)</f>
        <v/>
      </c>
      <c r="F172" s="2266" t="n"/>
      <c r="G172" s="2336" t="n"/>
      <c r="H172" s="2266" t="n"/>
      <c r="I172" s="2336" t="n"/>
      <c r="J172" s="2266" t="n"/>
      <c r="K172" s="2337" t="n"/>
      <c r="L172" s="2266" t="n"/>
      <c r="M172" s="2337" t="n"/>
      <c r="N172" s="2266" t="n"/>
      <c r="O172" s="2337" t="n"/>
      <c r="P172" s="2266" t="n"/>
      <c r="Q172" s="2337" t="n"/>
      <c r="R172" s="2266" t="n"/>
      <c r="S172" s="2337" t="n"/>
      <c r="T172" s="2266" t="n"/>
      <c r="U172" s="2337" t="n"/>
      <c r="V172" s="2266" t="n"/>
      <c r="W172" s="2337" t="n"/>
      <c r="X172" s="2266" t="n"/>
      <c r="Y172" s="2336" t="n"/>
      <c r="Z172" s="2266" t="n"/>
      <c r="AA172" s="2337" t="n"/>
      <c r="AB172" s="2266" t="n"/>
      <c r="AC172" s="2337" t="n"/>
      <c r="AD172" s="2266" t="n"/>
      <c r="AE172" s="2337" t="n"/>
      <c r="AF172" s="2266" t="n"/>
      <c r="AG172" s="2337" t="n"/>
      <c r="AH172" s="2266" t="n"/>
      <c r="AI172" s="2337" t="n"/>
      <c r="AJ172" s="2266" t="n"/>
      <c r="AK172" s="2337" t="n"/>
      <c r="AL172" s="2266" t="n"/>
      <c r="AM172" s="2337" t="n"/>
      <c r="AN172" s="2276" t="n"/>
      <c r="AO172" s="1940" t="n"/>
      <c r="AP172" s="2336" t="n"/>
      <c r="AQ172" s="2267" t="n"/>
      <c r="AR172" s="2336" t="n"/>
      <c r="AS172" s="2266" t="n"/>
      <c r="AT172" s="2581" t="n"/>
      <c r="AU172" s="2582" t="n"/>
      <c r="AV172" s="2330" t="n"/>
      <c r="AW172">
        <f>CB172&amp;CC172&amp;CD172&amp;CE172&amp;CF172&amp;CG172&amp;CH172</f>
        <v/>
      </c>
      <c r="CB172" s="90">
        <f>IF(AND(C172&gt;0,AP172="")," *No olvide digitar la variable Beneficiarios. Digite Cero si no tiene.",IF(AP172&gt;C172," *La variable Beneficiarios No puede ser mayor al Total Ambos Sexos.",""))</f>
        <v/>
      </c>
      <c r="CC172" s="90">
        <f>IF(AND(E172&gt;0,OR(AQ172=""))," *No olvide digitar la variable Trans (Masculino). Digite Cero si no tiene.",IF((AQ172)&gt;E172," *La variable Trans (Masculino) No puede ser mayor al Total Mujeres.",""))</f>
        <v/>
      </c>
      <c r="CD172" s="90">
        <f>IF(AND(D172&gt;0,OR(AR172=""))," *No olvide digitar la variable Trans (Femenino). Digite Cero si no tiene.",IF((AR172)&gt;D172," *La variable Trans (Femenino) No puede ser mayor al Total Hombres.",""))</f>
        <v/>
      </c>
      <c r="CE172" s="90">
        <f>IF(AND(C172&gt;0,AS172="")," *No olvide digitar la variable Pueblos Originarios. Digite Cero si no tiene.",IF(AS172&gt;C172," *La variable Pueblos Originarios No puede ser mayor al Total Ambos Sexos.",""))</f>
        <v/>
      </c>
      <c r="CF172" s="90">
        <f>IF(AND(C172&gt;0,AT172="")," *No olvide digitar la variable Migrantes. Digite Cero si no tiene.",IF(AT172&gt;C172," *La variable Migrantes No puede ser mayor al Total Ambos Sexos.",""))</f>
        <v/>
      </c>
      <c r="CG172" s="90">
        <f>IF(AND(C172&gt;0,AU172="")," *No olvide digitar la variable SENAME/ Servicio Nacional de Reinserción social Juvenil. Digite Cero si no tiene.",IF(AU172&gt;C172," *La variable SENAME/ Servicio Nacional de Reinserción social Juvenil  No puede ser mayor al Total Ambos Sexos.",""))</f>
        <v/>
      </c>
      <c r="CH172" s="90">
        <f>IF(AND(C172&gt;0,AV172="")," *No olvide digitar la variable Servicio Nacional Protección Especializada a la Niñez y Adolescencia. Digite Cero si no tiene.",IF(AV172&gt;C172," *La variable NServicio Nacional Protección Especializada a la Niñez y Adolescencia No puede ser mayor al Total Ambos Sexos.",""))</f>
        <v/>
      </c>
      <c r="CN172" s="52">
        <f>IF(AND(C172&gt;0,AP172=""),1,IF(AP172&gt;C172,1,0))</f>
        <v/>
      </c>
      <c r="CO172" s="52">
        <f>IF(AND(E172&gt;0,OR(AQ172="")),1,IF((AQ172)&gt;E172,1,0))</f>
        <v/>
      </c>
      <c r="CP172" s="52">
        <f>IF(AND(D172&gt;0,OR(AR172="")),1,IF((AR172)&gt;D172,1,0))</f>
        <v/>
      </c>
      <c r="CQ172" s="52">
        <f>IF(AND(C172&gt;0,AS172=""),1,IF(AS172&gt;C172,1,0))</f>
        <v/>
      </c>
      <c r="CR172" s="52">
        <f>IF(AND(C172&gt;0,AT172=""),1,IF(AT172&gt;C172,1,0))</f>
        <v/>
      </c>
      <c r="CS172" s="52">
        <f>IF(AND(C172&gt;0,AU172=""),1,IF(AU172&gt;C172,1,0))</f>
        <v/>
      </c>
      <c r="CT172" s="52">
        <f>IF(AND(C172&gt;0,AV172=""),1,IF(AV172&gt;C172,1,0))</f>
        <v/>
      </c>
    </row>
    <row r="173">
      <c r="A173" s="9625" t="n"/>
      <c r="B173" s="1347" t="inlineStr">
        <is>
          <t>Matrona/ón</t>
        </is>
      </c>
      <c r="C173" s="1162">
        <f>SUM(D173+E173)</f>
        <v/>
      </c>
      <c r="D173" s="2166">
        <f>SUM(F173+H173+J173+L173+N173+P173+R173+T173+V173+X173+Z173+AB173+AD173+AF173+AH173+AJ173+AL173+AN173)</f>
        <v/>
      </c>
      <c r="E173" s="1178">
        <f>SUM(G173+I173+K173+M173+O173+Q173+S173+U173+W173+Y173+AA173+AC173+AE173+AG173+AI173+AK173+AM173+AO173)</f>
        <v/>
      </c>
      <c r="F173" s="1188" t="n"/>
      <c r="G173" s="1192" t="n"/>
      <c r="H173" s="1188" t="n"/>
      <c r="I173" s="1192" t="n"/>
      <c r="J173" s="1188" t="n"/>
      <c r="K173" s="1119" t="n"/>
      <c r="L173" s="1188" t="n"/>
      <c r="M173" s="1119" t="n"/>
      <c r="N173" s="1188" t="n"/>
      <c r="O173" s="1119" t="n"/>
      <c r="P173" s="1188" t="n"/>
      <c r="Q173" s="1119" t="n"/>
      <c r="R173" s="1188" t="n"/>
      <c r="S173" s="1119" t="n"/>
      <c r="T173" s="1188" t="n"/>
      <c r="U173" s="1119" t="n"/>
      <c r="V173" s="1188" t="n"/>
      <c r="W173" s="1119" t="n"/>
      <c r="X173" s="1188" t="n"/>
      <c r="Y173" s="1119" t="n"/>
      <c r="Z173" s="1188" t="n"/>
      <c r="AA173" s="1119" t="n"/>
      <c r="AB173" s="1188" t="n"/>
      <c r="AC173" s="1119" t="n"/>
      <c r="AD173" s="1188" t="n"/>
      <c r="AE173" s="1119" t="n"/>
      <c r="AF173" s="1188" t="n"/>
      <c r="AG173" s="1119" t="n"/>
      <c r="AH173" s="1188" t="n"/>
      <c r="AI173" s="1119" t="n"/>
      <c r="AJ173" s="1188" t="n"/>
      <c r="AK173" s="1119" t="n"/>
      <c r="AL173" s="1188" t="n"/>
      <c r="AM173" s="1119" t="n"/>
      <c r="AN173" s="1195" t="n"/>
      <c r="AO173" s="1224" t="n"/>
      <c r="AP173" s="1192" t="n"/>
      <c r="AQ173" s="1193" t="n"/>
      <c r="AR173" s="1192" t="n"/>
      <c r="AS173" s="1188" t="n"/>
      <c r="AT173" s="1194" t="n"/>
      <c r="AU173" s="2583" t="n"/>
      <c r="AV173" s="1294" t="n"/>
      <c r="AW173">
        <f>CB173&amp;CC173&amp;CD173&amp;CE173&amp;CF173&amp;CG173&amp;CH173</f>
        <v/>
      </c>
      <c r="CB173" s="90">
        <f>IF(AND(C173&gt;0,AP173="")," *No olvide digitar la variable Beneficiarios. Digite Cero si no tiene.",IF(AP173&gt;C173," *La variable Beneficiarios No puede ser mayor al Total Ambos Sexos.",""))</f>
        <v/>
      </c>
      <c r="CC173" s="90">
        <f>IF(AND(E173&gt;0,OR(AQ173=""))," *No olvide digitar la variable Trans (Masculino). Digite Cero si no tiene.",IF((AQ173)&gt;E173," *La variable Trans (Masculino) No puede ser mayor al Total Mujeres.",""))</f>
        <v/>
      </c>
      <c r="CD173" s="90">
        <f>IF(AND(D173&gt;0,OR(AR173=""))," *No olvide digitar la variable Trans (Femenino). Digite Cero si no tiene.",IF((AR173)&gt;D173," *La variable Trans (Femenino) No puede ser mayor al Total Hombres.",""))</f>
        <v/>
      </c>
      <c r="CE173" s="90">
        <f>IF(AND(C173&gt;0,AS173="")," *No olvide digitar la variable Pueblos Originarios. Digite Cero si no tiene.",IF(AS173&gt;C173," *La variable Pueblos Originarios No puede ser mayor al Total Ambos Sexos.",""))</f>
        <v/>
      </c>
      <c r="CF173" s="90">
        <f>IF(AND(C173&gt;0,AT173="")," *No olvide digitar la variable Migrantes. Digite Cero si no tiene.",IF(AT173&gt;C173," *La variable Migrantes No puede ser mayor al Total Ambos Sexos.",""))</f>
        <v/>
      </c>
      <c r="CG173" s="90">
        <f>IF(AND(C173&gt;0,AU173="")," *No olvide digitar la variable SENAME/ Servicio Nacional de Reinserción social Juvenil. Digite Cero si no tiene.",IF(AU173&gt;C173," *La variable SENAME/ Servicio Nacional de Reinserción social Juvenil  No puede ser mayor al Total Ambos Sexos.",""))</f>
        <v/>
      </c>
      <c r="CH173" s="90">
        <f>IF(AND(C173&gt;0,AV173="")," *No olvide digitar la variable Servicio Nacional Protección Especializada a la Niñez y Adolescencia. Digite Cero si no tiene.",IF(AV173&gt;C173," *La variable NServicio Nacional Protección Especializada a la Niñez y Adolescencia No puede ser mayor al Total Ambos Sexos.",""))</f>
        <v/>
      </c>
      <c r="CN173" s="52">
        <f>IF(AND(C173&gt;0,AP173=""),1,IF(AP173&gt;C173,1,0))</f>
        <v/>
      </c>
      <c r="CO173" s="52">
        <f>IF(AND(E173&gt;0,OR(AQ173="")),1,IF((AQ173)&gt;E173,1,0))</f>
        <v/>
      </c>
      <c r="CP173" s="52">
        <f>IF(AND(D173&gt;0,OR(AR173="")),1,IF((AR173)&gt;D173,1,0))</f>
        <v/>
      </c>
      <c r="CQ173" s="52">
        <f>IF(AND(C173&gt;0,AS173=""),1,IF(AS173&gt;C173,1,0))</f>
        <v/>
      </c>
      <c r="CR173" s="52">
        <f>IF(AND(C173&gt;0,AT173=""),1,IF(AT173&gt;C173,1,0))</f>
        <v/>
      </c>
      <c r="CS173" s="52">
        <f>IF(AND(C173&gt;0,AU173=""),1,IF(AU173&gt;C173,1,0))</f>
        <v/>
      </c>
      <c r="CT173" s="52">
        <f>IF(AND(C173&gt;0,AV173=""),1,IF(AV173&gt;C173,1,0))</f>
        <v/>
      </c>
    </row>
    <row r="174">
      <c r="A174" s="10126" t="inlineStr">
        <is>
          <t>Control VIH Sin TAR</t>
        </is>
      </c>
      <c r="B174" s="2579" t="inlineStr">
        <is>
          <t>Enfermera/o</t>
        </is>
      </c>
      <c r="C174" s="2580">
        <f>SUM(D174+E174)</f>
        <v/>
      </c>
      <c r="D174" s="840">
        <f>SUM(F174+H174+J174+L174+N174+P174+R174+T174+V174+X174+Z174+AB174+AD174+AF174+AH174+AJ174+AL174+AN174)</f>
        <v/>
      </c>
      <c r="E174" s="2152">
        <f>SUM(G174+I174+K174+M174+O174+Q174+S174+U174+W174+Y174+AA174+AC174+AE174+AG174+AI174+AK174+AM174+AO174)</f>
        <v/>
      </c>
      <c r="F174" s="2266" t="n"/>
      <c r="G174" s="2336" t="n"/>
      <c r="H174" s="2266" t="n"/>
      <c r="I174" s="2336" t="n"/>
      <c r="J174" s="2266" t="n"/>
      <c r="K174" s="2337" t="n"/>
      <c r="L174" s="2266" t="n"/>
      <c r="M174" s="2337" t="n"/>
      <c r="N174" s="2266" t="n"/>
      <c r="O174" s="2337" t="n"/>
      <c r="P174" s="2266" t="n"/>
      <c r="Q174" s="2337" t="n"/>
      <c r="R174" s="2266" t="n"/>
      <c r="S174" s="2337" t="n"/>
      <c r="T174" s="2266" t="n"/>
      <c r="U174" s="2337" t="n"/>
      <c r="V174" s="2266" t="n"/>
      <c r="W174" s="2337" t="n"/>
      <c r="X174" s="1935" t="n"/>
      <c r="Y174" s="755" t="n"/>
      <c r="Z174" s="1935" t="n"/>
      <c r="AA174" s="755" t="n"/>
      <c r="AB174" s="1935" t="n"/>
      <c r="AC174" s="755" t="n"/>
      <c r="AD174" s="1935" t="n"/>
      <c r="AE174" s="755" t="n"/>
      <c r="AF174" s="1935" t="n"/>
      <c r="AG174" s="755" t="n"/>
      <c r="AH174" s="1935" t="n"/>
      <c r="AI174" s="755" t="n"/>
      <c r="AJ174" s="1935" t="n"/>
      <c r="AK174" s="755" t="n"/>
      <c r="AL174" s="1935" t="n"/>
      <c r="AM174" s="755" t="n"/>
      <c r="AN174" s="2164" t="n"/>
      <c r="AO174" s="792" t="n"/>
      <c r="AP174" s="2336" t="n"/>
      <c r="AQ174" s="2267" t="n"/>
      <c r="AR174" s="2336" t="n"/>
      <c r="AS174" s="2266" t="n"/>
      <c r="AT174" s="2581" t="n"/>
      <c r="AU174" s="2582" t="n"/>
      <c r="AV174" s="2330" t="n"/>
      <c r="AW174">
        <f>CB174&amp;CC174&amp;CD174&amp;CE174&amp;CF174&amp;CG174&amp;CH174</f>
        <v/>
      </c>
      <c r="CB174" s="90">
        <f>IF(AND(C174&gt;0,AP174="")," *No olvide digitar la variable Beneficiarios. Digite Cero si no tiene.",IF(AP174&gt;C174," *La variable Beneficiarios No puede ser mayor al Total Ambos Sexos.",""))</f>
        <v/>
      </c>
      <c r="CC174" s="90">
        <f>IF(AND(E174&gt;0,OR(AQ174=""))," *No olvide digitar la variable Trans (Masculino). Digite Cero si no tiene.",IF((AQ174)&gt;E174," *La variable Trans (Masculino) No puede ser mayor al Total Mujeres.",""))</f>
        <v/>
      </c>
      <c r="CD174" s="90">
        <f>IF(AND(D174&gt;0,OR(AR174=""))," *No olvide digitar la variable Trans (Femenino). Digite Cero si no tiene.",IF((AR174)&gt;D174," *La variable Trans (Femenino) No puede ser mayor al Total Hombres.",""))</f>
        <v/>
      </c>
      <c r="CE174" s="90">
        <f>IF(AND(C174&gt;0,AS174="")," *No olvide digitar la variable Pueblos Originarios. Digite Cero si no tiene.",IF(AS174&gt;C174," *La variable Pueblos Originarios No puede ser mayor al Total Ambos Sexos.",""))</f>
        <v/>
      </c>
      <c r="CF174" s="90">
        <f>IF(AND(C174&gt;0,AT174="")," *No olvide digitar la variable Migrantes. Digite Cero si no tiene.",IF(AT174&gt;C174," *La variable Migrantes No puede ser mayor al Total Ambos Sexos.",""))</f>
        <v/>
      </c>
      <c r="CG174" s="90">
        <f>IF(AND(C174&gt;0,AU174="")," *No olvide digitar la variable SENAME/ Servicio Nacional de Reinserción social Juvenil. Digite Cero si no tiene.",IF(AU174&gt;C174," *La variable SENAME/ Servicio Nacional de Reinserción social Juvenil  No puede ser mayor al Total Ambos Sexos.",""))</f>
        <v/>
      </c>
      <c r="CH174" s="90">
        <f>IF(AND(C174&gt;0,AV174="")," *No olvide digitar la variable Servicio Nacional Protección Especializada a la Niñez y Adolescencia. Digite Cero si no tiene.",IF(AV174&gt;C174," *La variable NServicio Nacional Protección Especializada a la Niñez y Adolescencia No puede ser mayor al Total Ambos Sexos.",""))</f>
        <v/>
      </c>
      <c r="CN174" s="52">
        <f>IF(AND(C174&gt;0,AP174=""),1,IF(AP174&gt;C174,1,0))</f>
        <v/>
      </c>
      <c r="CO174" s="52">
        <f>IF(AND(E174&gt;0,OR(AQ174="")),1,IF((AQ174)&gt;E174,1,0))</f>
        <v/>
      </c>
      <c r="CP174" s="52">
        <f>IF(AND(D174&gt;0,OR(AR174="")),1,IF((AR174)&gt;D174,1,0))</f>
        <v/>
      </c>
      <c r="CQ174" s="52">
        <f>IF(AND(C174&gt;0,AS174=""),1,IF(AS174&gt;C174,1,0))</f>
        <v/>
      </c>
      <c r="CR174" s="52">
        <f>IF(AND(C174&gt;0,AT174=""),1,IF(AT174&gt;C174,1,0))</f>
        <v/>
      </c>
      <c r="CS174" s="52">
        <f>IF(AND(C174&gt;0,AU174=""),1,IF(AU174&gt;C174,1,0))</f>
        <v/>
      </c>
      <c r="CT174" s="52">
        <f>IF(AND(C174&gt;0,AV174=""),1,IF(AV174&gt;C174,1,0))</f>
        <v/>
      </c>
    </row>
    <row r="175">
      <c r="A175" s="9625" t="n"/>
      <c r="B175" s="1347" t="inlineStr">
        <is>
          <t>Matrona/ón</t>
        </is>
      </c>
      <c r="C175" s="1162">
        <f>SUM(D175+E175)</f>
        <v/>
      </c>
      <c r="D175" s="2166">
        <f>SUM(F175+H175+J175+L175+N175+P175+R175+T175+V175+X175+Z175+AB175+AD175+AF175+AH175+AJ175+AL175+AN175)</f>
        <v/>
      </c>
      <c r="E175" s="1178">
        <f>SUM(G175+I175+K175+M175+O175+Q175+S175+U175+W175+Y175+AA175+AC175+AE175+AG175+AI175+AK175+AM175+AO175)</f>
        <v/>
      </c>
      <c r="F175" s="1188" t="n"/>
      <c r="G175" s="1192" t="n"/>
      <c r="H175" s="1188" t="n"/>
      <c r="I175" s="1192" t="n"/>
      <c r="J175" s="1188" t="n"/>
      <c r="K175" s="1119" t="n"/>
      <c r="L175" s="1188" t="n"/>
      <c r="M175" s="1119" t="n"/>
      <c r="N175" s="1188" t="n"/>
      <c r="O175" s="1119" t="n"/>
      <c r="P175" s="1188" t="n"/>
      <c r="Q175" s="1119" t="n"/>
      <c r="R175" s="1188" t="n"/>
      <c r="S175" s="1119" t="n"/>
      <c r="T175" s="1188" t="n"/>
      <c r="U175" s="1119" t="n"/>
      <c r="V175" s="1188" t="n"/>
      <c r="W175" s="1119" t="n"/>
      <c r="X175" s="645" t="n"/>
      <c r="Y175" s="1186" t="n"/>
      <c r="Z175" s="1935" t="n"/>
      <c r="AA175" s="755" t="n"/>
      <c r="AB175" s="1935" t="n"/>
      <c r="AC175" s="755" t="n"/>
      <c r="AD175" s="1935" t="n"/>
      <c r="AE175" s="755" t="n"/>
      <c r="AF175" s="1935" t="n"/>
      <c r="AG175" s="755" t="n"/>
      <c r="AH175" s="1935" t="n"/>
      <c r="AI175" s="755" t="n"/>
      <c r="AJ175" s="1935" t="n"/>
      <c r="AK175" s="755" t="n"/>
      <c r="AL175" s="1935" t="n"/>
      <c r="AM175" s="755" t="n"/>
      <c r="AN175" s="2164" t="n"/>
      <c r="AO175" s="792" t="n"/>
      <c r="AP175" s="1186" t="n"/>
      <c r="AQ175" s="1432" t="n"/>
      <c r="AR175" s="1186" t="n"/>
      <c r="AS175" s="1935" t="n"/>
      <c r="AT175" s="2261" t="n"/>
      <c r="AU175" s="2587" t="n"/>
      <c r="AV175" s="2588" t="n"/>
      <c r="AW175">
        <f>CB175&amp;CC175&amp;CD175&amp;CE175&amp;CF175&amp;CG175&amp;CH175</f>
        <v/>
      </c>
      <c r="CB175" s="90">
        <f>IF(AND(C175&gt;0,AP175="")," *No olvide digitar la variable Beneficiarios. Digite Cero si no tiene.",IF(AP175&gt;C175," *La variable Beneficiarios No puede ser mayor al Total Ambos Sexos.",""))</f>
        <v/>
      </c>
      <c r="CC175" s="90">
        <f>IF(AND(E175&gt;0,OR(AQ175=""))," *No olvide digitar la variable Trans (Masculino). Digite Cero si no tiene.",IF((AQ175)&gt;E175," *La variable Trans (Masculino) No puede ser mayor al Total Mujeres.",""))</f>
        <v/>
      </c>
      <c r="CD175" s="90">
        <f>IF(AND(D175&gt;0,OR(AR175=""))," *No olvide digitar la variable Trans (Femenino). Digite Cero si no tiene.",IF((AR175)&gt;D175," *La variable Trans (Femenino) No puede ser mayor al Total Hombres.",""))</f>
        <v/>
      </c>
      <c r="CE175" s="90">
        <f>IF(AND(C175&gt;0,AS175="")," *No olvide digitar la variable Pueblos Originarios. Digite Cero si no tiene.",IF(AS175&gt;C175," *La variable Pueblos Originarios No puede ser mayor al Total Ambos Sexos.",""))</f>
        <v/>
      </c>
      <c r="CF175" s="90">
        <f>IF(AND(C175&gt;0,AT175="")," *No olvide digitar la variable Migrantes. Digite Cero si no tiene.",IF(AT175&gt;C175," *La variable Migrantes No puede ser mayor al Total Ambos Sexos.",""))</f>
        <v/>
      </c>
      <c r="CG175" s="90">
        <f>IF(AND(C175&gt;0,AU175="")," *No olvide digitar la variable SENAME/ Servicio Nacional de Reinserción social Juvenil. Digite Cero si no tiene.",IF(AU175&gt;C175," *La variable SENAME/ Servicio Nacional de Reinserción social Juvenil  No puede ser mayor al Total Ambos Sexos.",""))</f>
        <v/>
      </c>
      <c r="CH175" s="90">
        <f>IF(AND(C175&gt;0,AV175="")," *No olvide digitar la variable Servicio Nacional Protección Especializada a la Niñez y Adolescencia. Digite Cero si no tiene.",IF(AV175&gt;C175," *La variable NServicio Nacional Protección Especializada a la Niñez y Adolescencia No puede ser mayor al Total Ambos Sexos.",""))</f>
        <v/>
      </c>
      <c r="CN175" s="52">
        <f>IF(AND(C175&gt;0,AP175=""),1,IF(AP175&gt;C175,1,0))</f>
        <v/>
      </c>
      <c r="CO175" s="52">
        <f>IF(AND(E175&gt;0,OR(AQ175="")),1,IF((AQ175)&gt;E175,1,0))</f>
        <v/>
      </c>
      <c r="CP175" s="52">
        <f>IF(AND(D175&gt;0,OR(AR175="")),1,IF((AR175)&gt;D175,1,0))</f>
        <v/>
      </c>
      <c r="CQ175" s="52">
        <f>IF(AND(C175&gt;0,AS175=""),1,IF(AS175&gt;C175,1,0))</f>
        <v/>
      </c>
      <c r="CR175" s="52">
        <f>IF(AND(C175&gt;0,AT175=""),1,IF(AT175&gt;C175,1,0))</f>
        <v/>
      </c>
      <c r="CS175" s="52">
        <f>IF(AND(C175&gt;0,AU175=""),1,IF(AU175&gt;C175,1,0))</f>
        <v/>
      </c>
      <c r="CT175" s="52">
        <f>IF(AND(C175&gt;0,AV175=""),1,IF(AV175&gt;C175,1,0))</f>
        <v/>
      </c>
    </row>
    <row r="176">
      <c r="A176" s="9933" t="inlineStr">
        <is>
          <t>Controles de Salud a Personas que Ejercen Comercio Sexual</t>
        </is>
      </c>
      <c r="B176" s="2579" t="inlineStr">
        <is>
          <t>Enfermera/o</t>
        </is>
      </c>
      <c r="C176" s="2589">
        <f>SUM(D176+E176)</f>
        <v/>
      </c>
      <c r="D176" s="840">
        <f>SUM(L176+N176+P176+R176+T176+V176+X176+Z176+AB176+AD176+AF176+AH176+AJ176+AL176+AN176)</f>
        <v/>
      </c>
      <c r="E176" s="2358">
        <f>SUM(M176+O176+Q176+S176+U176+W176+Y176+AA176+AC176+AE176+AG176+AI176+AK176+AM176+AO176)</f>
        <v/>
      </c>
      <c r="F176" s="2590" t="n"/>
      <c r="G176" s="2208" t="n"/>
      <c r="H176" s="2590" t="n"/>
      <c r="I176" s="2208" t="n"/>
      <c r="J176" s="2590" t="n"/>
      <c r="K176" s="2208" t="n"/>
      <c r="L176" s="2591" t="n"/>
      <c r="M176" s="2204" t="n"/>
      <c r="N176" s="2591" t="n"/>
      <c r="O176" s="2204" t="n"/>
      <c r="P176" s="2014" t="n"/>
      <c r="Q176" s="2204" t="n"/>
      <c r="R176" s="2014" t="n"/>
      <c r="S176" s="2204" t="n"/>
      <c r="T176" s="2014" t="n"/>
      <c r="U176" s="2204" t="n"/>
      <c r="V176" s="2014" t="n"/>
      <c r="W176" s="2204" t="n"/>
      <c r="X176" s="2014" t="n"/>
      <c r="Y176" s="2204" t="n"/>
      <c r="Z176" s="2014" t="n"/>
      <c r="AA176" s="2204" t="n"/>
      <c r="AB176" s="2014" t="n"/>
      <c r="AC176" s="2204" t="n"/>
      <c r="AD176" s="2014" t="n"/>
      <c r="AE176" s="2204" t="n"/>
      <c r="AF176" s="2014" t="n"/>
      <c r="AG176" s="2204" t="n"/>
      <c r="AH176" s="2014" t="n"/>
      <c r="AI176" s="2204" t="n"/>
      <c r="AJ176" s="2014" t="n"/>
      <c r="AK176" s="2204" t="n"/>
      <c r="AL176" s="2014" t="n"/>
      <c r="AM176" s="2204" t="n"/>
      <c r="AN176" s="2359" t="n"/>
      <c r="AO176" s="2018" t="n"/>
      <c r="AP176" s="2019" t="n"/>
      <c r="AQ176" s="2592" t="n"/>
      <c r="AR176" s="2019" t="n"/>
      <c r="AS176" s="2014" t="n"/>
      <c r="AT176" s="2017" t="n"/>
      <c r="AU176" s="2593" t="n"/>
      <c r="AV176" s="2594" t="n"/>
      <c r="AW176">
        <f>CB176&amp;CC176&amp;CD176&amp;CE176&amp;CF176&amp;CG176&amp;CH176</f>
        <v/>
      </c>
      <c r="CB176" s="90">
        <f>IF(AND(C176&gt;0,AP176="")," *No olvide digitar la variable Beneficiarios. Digite Cero si no tiene.",IF(AP176&gt;C176," *La variable Beneficiarios No puede ser mayor al Total Ambos Sexos.",""))</f>
        <v/>
      </c>
      <c r="CC176" s="90">
        <f>IF(AND(E176&gt;0,OR(AQ176=""))," *No olvide digitar la variable Trans (Masculino). Digite Cero si no tiene.",IF((AQ176)&gt;E176," *La variable Trans (Masculino) No puede ser mayor al Total Mujeres.",""))</f>
        <v/>
      </c>
      <c r="CD176" s="90">
        <f>IF(AND(D176&gt;0,OR(AR176=""))," *No olvide digitar la variable Trans (Femenino). Digite Cero si no tiene.",IF((AR176)&gt;D176," *La variable Trans (Femenino) No puede ser mayor al Total Hombres.",""))</f>
        <v/>
      </c>
      <c r="CE176" s="90">
        <f>IF(AND(C176&gt;0,AS176="")," *No olvide digitar la variable Pueblos Originarios. Digite Cero si no tiene.",IF(AS176&gt;C176," *La variable Pueblos Originarios No puede ser mayor al Total Ambos Sexos.",""))</f>
        <v/>
      </c>
      <c r="CF176" s="90">
        <f>IF(AND(C176&gt;0,AT176="")," *No olvide digitar la variable Migrantes. Digite Cero si no tiene.",IF(AT176&gt;C176," *La variable Migrantes No puede ser mayor al Total Ambos Sexos.",""))</f>
        <v/>
      </c>
      <c r="CG176" s="90">
        <f>IF(AND(C176&gt;0,AU176="")," *No olvide digitar la variable SENAME/ Servicio Nacional de Reinserción social Juvenil. Digite Cero si no tiene.",IF(AU176&gt;C176," *La variable SENAME/ Servicio Nacional de Reinserción social Juvenil  No puede ser mayor al Total Ambos Sexos.",""))</f>
        <v/>
      </c>
      <c r="CH176" s="90">
        <f>IF(AND(C176&gt;0,AV176="")," *No olvide digitar la variable Servicio Nacional Protección Especializada a la Niñez y Adolescencia. Digite Cero si no tiene.",IF(AV176&gt;C176," *La variable NServicio Nacional Protección Especializada a la Niñez y Adolescencia No puede ser mayor al Total Ambos Sexos.",""))</f>
        <v/>
      </c>
      <c r="CN176" s="52">
        <f>IF(AND(C176&gt;0,AP176=""),1,IF(AP176&gt;C176,1,0))</f>
        <v/>
      </c>
      <c r="CO176" s="52">
        <f>IF(AND(E176&gt;0,OR(AQ176="")),1,IF((AQ176)&gt;E176,1,0))</f>
        <v/>
      </c>
      <c r="CP176" s="52">
        <f>IF(AND(D176&gt;0,OR(AR176="")),1,IF((AR176)&gt;D176,1,0))</f>
        <v/>
      </c>
      <c r="CQ176" s="52">
        <f>IF(AND(C176&gt;0,AS176=""),1,IF(AS176&gt;C176,1,0))</f>
        <v/>
      </c>
      <c r="CR176" s="52">
        <f>IF(AND(C176&gt;0,AT176=""),1,IF(AT176&gt;C176,1,0))</f>
        <v/>
      </c>
      <c r="CS176" s="52">
        <f>IF(AND(C176&gt;0,AU176=""),1,IF(AU176&gt;C176,1,0))</f>
        <v/>
      </c>
      <c r="CT176" s="52">
        <f>IF(AND(C176&gt;0,AV176=""),1,IF(AV176&gt;C176,1,0))</f>
        <v/>
      </c>
    </row>
    <row r="177">
      <c r="A177" s="9610" t="n"/>
      <c r="B177" s="1347" t="inlineStr">
        <is>
          <t>Matrona/ón</t>
        </is>
      </c>
      <c r="C177" s="1176">
        <f>SUM(D177+E177)</f>
        <v/>
      </c>
      <c r="D177" s="2166">
        <f>SUM(L177+N177+P177+R177+T177+V177+X177+Z177+AB177+AD177+AF177+AH177+AJ177+AL177+AN177)</f>
        <v/>
      </c>
      <c r="E177" s="1178">
        <f>SUM(M177+O177+Q177+S177+U177+W177+Y177+AA177+AC177+AE177+AG177+AI177+AK177+AM177+AO177)</f>
        <v/>
      </c>
      <c r="F177" s="1312" t="n"/>
      <c r="G177" s="1314" t="n"/>
      <c r="H177" s="1312" t="n"/>
      <c r="I177" s="1314" t="n"/>
      <c r="J177" s="1312" t="n"/>
      <c r="K177" s="1314" t="n"/>
      <c r="L177" s="2595" t="n"/>
      <c r="M177" s="1119" t="n"/>
      <c r="N177" s="2595" t="n"/>
      <c r="O177" s="1119" t="n"/>
      <c r="P177" s="1188" t="n"/>
      <c r="Q177" s="1119" t="n"/>
      <c r="R177" s="1188" t="n"/>
      <c r="S177" s="1119" t="n"/>
      <c r="T177" s="1188" t="n"/>
      <c r="U177" s="1119" t="n"/>
      <c r="V177" s="1188" t="n"/>
      <c r="W177" s="1119" t="n"/>
      <c r="X177" s="1188" t="n"/>
      <c r="Y177" s="1119" t="n"/>
      <c r="Z177" s="1188" t="n"/>
      <c r="AA177" s="1119" t="n"/>
      <c r="AB177" s="1188" t="n"/>
      <c r="AC177" s="1119" t="n"/>
      <c r="AD177" s="1188" t="n"/>
      <c r="AE177" s="1119" t="n"/>
      <c r="AF177" s="1188" t="n"/>
      <c r="AG177" s="1119" t="n"/>
      <c r="AH177" s="1188" t="n"/>
      <c r="AI177" s="1119" t="n"/>
      <c r="AJ177" s="1188" t="n"/>
      <c r="AK177" s="1119" t="n"/>
      <c r="AL177" s="1188" t="n"/>
      <c r="AM177" s="1119" t="n"/>
      <c r="AN177" s="1195" t="n"/>
      <c r="AO177" s="1224" t="n"/>
      <c r="AP177" s="1192" t="n"/>
      <c r="AQ177" s="1193" t="n"/>
      <c r="AR177" s="1192" t="n"/>
      <c r="AS177" s="1188" t="n"/>
      <c r="AT177" s="1194" t="n"/>
      <c r="AU177" s="2583" t="n"/>
      <c r="AV177" s="1294" t="n"/>
      <c r="AW177">
        <f>CB177&amp;CC177&amp;CD177&amp;CE177&amp;CF177&amp;CG177&amp;CH177</f>
        <v/>
      </c>
      <c r="CB177" s="90">
        <f>IF(AND(C177&gt;0,AP177="")," *No olvide digitar la variable Beneficiarios. Digite Cero si no tiene.",IF(AP177&gt;C177," *La variable Beneficiarios No puede ser mayor al Total Ambos Sexos.",""))</f>
        <v/>
      </c>
      <c r="CC177" s="90">
        <f>IF(AND(E177&gt;0,OR(AQ177=""))," *No olvide digitar la variable Trans (Masculino). Digite Cero si no tiene.",IF((AQ177)&gt;E177," *La variable Trans (Masculino) No puede ser mayor al Total Mujeres.",""))</f>
        <v/>
      </c>
      <c r="CD177" s="90">
        <f>IF(AND(D177&gt;0,OR(AR177=""))," *No olvide digitar la variable Trans (Femenino). Digite Cero si no tiene.",IF((AR177)&gt;D177," *La variable Trans (Femenino) No puede ser mayor al Total Hombres.",""))</f>
        <v/>
      </c>
      <c r="CE177" s="90">
        <f>IF(AND(C177&gt;0,AS177="")," *No olvide digitar la variable Pueblos Originarios. Digite Cero si no tiene.",IF(AS177&gt;C177," *La variable Pueblos Originarios No puede ser mayor al Total Ambos Sexos.",""))</f>
        <v/>
      </c>
      <c r="CF177" s="90">
        <f>IF(AND(C177&gt;0,AT177="")," *No olvide digitar la variable Migrantes. Digite Cero si no tiene.",IF(AT177&gt;C177," *La variable Migrantes No puede ser mayor al Total Ambos Sexos.",""))</f>
        <v/>
      </c>
      <c r="CG177" s="90">
        <f>IF(AND(C177&gt;0,AU177="")," *No olvide digitar la variable SENAME/ Servicio Nacional de Reinserción social Juvenil. Digite Cero si no tiene.",IF(AU177&gt;C177," *La variable SENAME/ Servicio Nacional de Reinserción social Juvenil  No puede ser mayor al Total Ambos Sexos.",""))</f>
        <v/>
      </c>
      <c r="CH177" s="90">
        <f>IF(AND(C177&gt;0,AV177="")," *No olvide digitar la variable Servicio Nacional Protección Especializada a la Niñez y Adolescencia. Digite Cero si no tiene.",IF(AV177&gt;C177," *La variable NServicio Nacional Protección Especializada a la Niñez y Adolescencia No puede ser mayor al Total Ambos Sexos.",""))</f>
        <v/>
      </c>
      <c r="CN177" s="52">
        <f>IF(AND(C177&gt;0,AP177=""),1,IF(AP177&gt;C177,1,0))</f>
        <v/>
      </c>
      <c r="CO177" s="52">
        <f>IF(AND(E177&gt;0,OR(AQ177="")),1,IF((AQ177)&gt;E177,1,0))</f>
        <v/>
      </c>
      <c r="CP177" s="52">
        <f>IF(AND(D177&gt;0,OR(AR177="")),1,IF((AR177)&gt;D177,1,0))</f>
        <v/>
      </c>
      <c r="CQ177" s="52">
        <f>IF(AND(C177&gt;0,AS177=""),1,IF(AS177&gt;C177,1,0))</f>
        <v/>
      </c>
      <c r="CR177" s="52">
        <f>IF(AND(C177&gt;0,AT177=""),1,IF(AT177&gt;C177,1,0))</f>
        <v/>
      </c>
      <c r="CS177" s="52">
        <f>IF(AND(C177&gt;0,AU177=""),1,IF(AU177&gt;C177,1,0))</f>
        <v/>
      </c>
      <c r="CT177" s="52">
        <f>IF(AND(C177&gt;0,AV177=""),1,IF(AV177&gt;C177,1,0))</f>
        <v/>
      </c>
    </row>
    <row r="178" ht="18" customFormat="1" customHeight="1" s="5">
      <c r="A178" s="8067" t="inlineStr">
        <is>
          <t>SECCIÓN E: ACTIVIDADES DE PROFESIONAL DE ENLACE  EN EL NIVEL SECUNDARIO Y TERCIARIO SEGUN RIESGO (ECICEP)</t>
        </is>
      </c>
      <c r="B178" s="10127" t="n"/>
      <c r="C178" s="10127" t="n"/>
      <c r="D178" s="10127" t="n"/>
      <c r="E178" s="10127" t="n"/>
      <c r="F178" s="10127" t="n"/>
      <c r="G178" s="10127" t="n"/>
      <c r="H178" s="10127" t="n"/>
      <c r="I178" s="10127" t="n"/>
      <c r="J178" s="10127" t="n"/>
      <c r="K178" s="10127" t="n"/>
      <c r="L178" s="10127" t="n"/>
      <c r="M178" s="10127" t="n"/>
      <c r="N178" s="10127" t="n"/>
      <c r="O178" s="10127" t="n"/>
      <c r="P178" s="10127" t="n"/>
      <c r="Q178" s="10127" t="n"/>
      <c r="R178" s="10127" t="n"/>
      <c r="S178" s="10127" t="n"/>
      <c r="T178" s="10127" t="n"/>
      <c r="U178" s="10127" t="n"/>
      <c r="V178" s="10127" t="n"/>
      <c r="W178" s="10127" t="n"/>
      <c r="X178" s="10127" t="n"/>
      <c r="Y178" s="10127" t="n"/>
      <c r="Z178" s="10127" t="n"/>
      <c r="AA178" s="10127" t="n"/>
      <c r="AB178" s="10127" t="n"/>
      <c r="AC178" s="10127" t="n"/>
      <c r="AD178" s="10127" t="n"/>
      <c r="AE178" s="10127" t="n"/>
      <c r="AF178" s="10127" t="n"/>
      <c r="AG178" s="10127" t="n"/>
      <c r="AH178" s="3" t="n"/>
      <c r="AI178" s="3" t="n"/>
      <c r="AJ178" s="3" t="n"/>
      <c r="AK178" s="3" t="n"/>
      <c r="AL178" s="3" t="n"/>
      <c r="AM178" s="3" t="n"/>
      <c r="AN178" s="3" t="n"/>
      <c r="AO178" s="3" t="n"/>
      <c r="AP178" s="3" t="n"/>
      <c r="CB178" s="17" t="n"/>
      <c r="CC178" s="17" t="n"/>
      <c r="CD178" s="17" t="n"/>
      <c r="CE178" s="17" t="n"/>
      <c r="CF178" s="17" t="n"/>
      <c r="CG178" s="17" t="n"/>
      <c r="CH178" s="17" t="n"/>
      <c r="CI178" s="17" t="n"/>
      <c r="CJ178" s="17" t="n"/>
      <c r="CK178" s="17" t="n"/>
      <c r="CL178" s="17" t="n"/>
      <c r="CM178" s="17" t="n"/>
      <c r="CN178" s="17" t="n"/>
      <c r="CO178" s="17" t="n"/>
      <c r="CP178" s="17" t="n"/>
      <c r="CQ178" s="17" t="n"/>
      <c r="CR178" s="17" t="n"/>
      <c r="CS178" s="17" t="n"/>
      <c r="CT178" s="17" t="n"/>
    </row>
    <row r="179" ht="15" customHeight="1" s="8286">
      <c r="A179" s="10128" t="inlineStr">
        <is>
          <t>Profesional de Enlace</t>
        </is>
      </c>
      <c r="B179" s="9827" t="n"/>
      <c r="C179" s="10129" t="inlineStr">
        <is>
          <t xml:space="preserve">TOTAL               </t>
        </is>
      </c>
      <c r="D179" s="9724" t="n"/>
      <c r="E179" s="9827" t="n"/>
      <c r="F179" s="9976" t="inlineStr">
        <is>
          <t>RANGO ETARIO Y SEXO</t>
        </is>
      </c>
      <c r="G179" s="9584" t="n"/>
      <c r="H179" s="9584" t="n"/>
      <c r="I179" s="9584" t="n"/>
      <c r="J179" s="9584" t="n"/>
      <c r="K179" s="9584" t="n"/>
      <c r="L179" s="9584" t="n"/>
      <c r="M179" s="9584" t="n"/>
      <c r="N179" s="9584" t="n"/>
      <c r="O179" s="9584" t="n"/>
      <c r="P179" s="9584" t="n"/>
      <c r="Q179" s="9584" t="n"/>
      <c r="R179" s="9584" t="n"/>
      <c r="S179" s="9584" t="n"/>
      <c r="T179" s="9584" t="n"/>
      <c r="U179" s="9584" t="n"/>
      <c r="V179" s="9584" t="n"/>
      <c r="W179" s="9584" t="n"/>
      <c r="X179" s="9584" t="n"/>
      <c r="Y179" s="9584" t="n"/>
      <c r="Z179" s="9584" t="n"/>
      <c r="AA179" s="9584" t="n"/>
      <c r="AB179" s="9584" t="n"/>
      <c r="AC179" s="9584" t="n"/>
      <c r="AD179" s="9584" t="n"/>
      <c r="AE179" s="9584" t="n"/>
      <c r="AF179" s="9584" t="n"/>
      <c r="AG179" s="9584" t="n"/>
      <c r="AH179" s="9584" t="n"/>
      <c r="AI179" s="9595" t="n"/>
      <c r="AJ179" s="8103" t="inlineStr">
        <is>
          <t xml:space="preserve">Procedencia de la Derivación </t>
        </is>
      </c>
      <c r="AK179" s="9725" t="n"/>
      <c r="AL179" s="9725" t="n"/>
      <c r="AM179" s="9726" t="n"/>
      <c r="AN179" s="10129" t="inlineStr">
        <is>
          <t>Egreso de Atención de Enlace</t>
        </is>
      </c>
      <c r="AO179" s="10130" t="inlineStr">
        <is>
          <t xml:space="preserve">Tipo de Atención </t>
        </is>
      </c>
      <c r="AP179" s="9949" t="n"/>
      <c r="AQ179" s="10131" t="inlineStr">
        <is>
          <t>Migrantes</t>
        </is>
      </c>
      <c r="AR179" s="10132" t="inlineStr">
        <is>
          <t>Pueblos Originarios</t>
        </is>
      </c>
    </row>
    <row r="180">
      <c r="A180" s="9727" t="n"/>
      <c r="B180" s="9668" t="n"/>
      <c r="C180" s="9832" t="n"/>
      <c r="D180" s="9833" t="n"/>
      <c r="E180" s="9672" t="n"/>
      <c r="F180" s="8101" t="inlineStr">
        <is>
          <t>15 - 17 años</t>
        </is>
      </c>
      <c r="G180" s="9672" t="n"/>
      <c r="H180" s="8101" t="inlineStr">
        <is>
          <t>18- 19 años</t>
        </is>
      </c>
      <c r="I180" s="9672" t="n"/>
      <c r="J180" s="8101" t="inlineStr">
        <is>
          <t>20 - 24 años</t>
        </is>
      </c>
      <c r="K180" s="9672" t="n"/>
      <c r="L180" s="8101" t="inlineStr">
        <is>
          <t>25 - 29 años</t>
        </is>
      </c>
      <c r="M180" s="9672" t="n"/>
      <c r="N180" s="8101" t="inlineStr">
        <is>
          <t>30 - 34 años</t>
        </is>
      </c>
      <c r="O180" s="9672" t="n"/>
      <c r="P180" s="8101" t="inlineStr">
        <is>
          <t>35 - 39 años</t>
        </is>
      </c>
      <c r="Q180" s="9672" t="n"/>
      <c r="R180" s="8101" t="inlineStr">
        <is>
          <t>40 - 44 años</t>
        </is>
      </c>
      <c r="S180" s="9672" t="n"/>
      <c r="T180" s="8101" t="inlineStr">
        <is>
          <t>45 - 49 años</t>
        </is>
      </c>
      <c r="U180" s="9672" t="n"/>
      <c r="V180" s="8101" t="inlineStr">
        <is>
          <t>50 - 54 años</t>
        </is>
      </c>
      <c r="W180" s="9672" t="n"/>
      <c r="X180" s="8101" t="inlineStr">
        <is>
          <t>55 - 59 años</t>
        </is>
      </c>
      <c r="Y180" s="9672" t="n"/>
      <c r="Z180" s="8101" t="inlineStr">
        <is>
          <t>60 - 64 años</t>
        </is>
      </c>
      <c r="AA180" s="9672" t="n"/>
      <c r="AB180" s="8101" t="inlineStr">
        <is>
          <t>65 - 69 años</t>
        </is>
      </c>
      <c r="AC180" s="9672" t="n"/>
      <c r="AD180" s="8101" t="inlineStr">
        <is>
          <t>70 - 74 años</t>
        </is>
      </c>
      <c r="AE180" s="9672" t="n"/>
      <c r="AF180" s="8101" t="inlineStr">
        <is>
          <t>75 - 79 años</t>
        </is>
      </c>
      <c r="AG180" s="9672" t="n"/>
      <c r="AH180" s="10133" t="inlineStr">
        <is>
          <t>80 y más años</t>
        </is>
      </c>
      <c r="AI180" s="10134" t="n"/>
      <c r="AJ180" s="10135" t="inlineStr">
        <is>
          <t>APS</t>
        </is>
      </c>
      <c r="AK180" s="10136" t="inlineStr">
        <is>
          <t>CAE/CDT/CRS</t>
        </is>
      </c>
      <c r="AL180" s="10136" t="inlineStr">
        <is>
          <t xml:space="preserve">Hospitalización </t>
        </is>
      </c>
      <c r="AM180" s="10137" t="inlineStr">
        <is>
          <t>Urgencia</t>
        </is>
      </c>
      <c r="AN180" s="9842" t="n"/>
      <c r="AO180" s="62" t="inlineStr">
        <is>
          <t xml:space="preserve"> Presencial </t>
        </is>
      </c>
      <c r="AP180" s="10138" t="inlineStr">
        <is>
          <t>Remota</t>
        </is>
      </c>
      <c r="AQ180" s="10139" t="n"/>
      <c r="AR180" s="10140" t="n"/>
    </row>
    <row r="181">
      <c r="A181" s="9832" t="n"/>
      <c r="B181" s="9672" t="n"/>
      <c r="C181" s="61" t="inlineStr">
        <is>
          <t>Ambos Sexos</t>
        </is>
      </c>
      <c r="D181" s="137" t="inlineStr">
        <is>
          <t>Hombres</t>
        </is>
      </c>
      <c r="E181" s="8103" t="inlineStr">
        <is>
          <t>Mujeres</t>
        </is>
      </c>
      <c r="F181" s="62" t="inlineStr">
        <is>
          <t>Hombres</t>
        </is>
      </c>
      <c r="G181" s="8103" t="inlineStr">
        <is>
          <t>Mujeres</t>
        </is>
      </c>
      <c r="H181" s="62" t="inlineStr">
        <is>
          <t>Hombres</t>
        </is>
      </c>
      <c r="I181" s="8103" t="inlineStr">
        <is>
          <t>Mujeres</t>
        </is>
      </c>
      <c r="J181" s="62" t="inlineStr">
        <is>
          <t>Hombres</t>
        </is>
      </c>
      <c r="K181" s="8103" t="inlineStr">
        <is>
          <t>Mujeres</t>
        </is>
      </c>
      <c r="L181" s="62" t="inlineStr">
        <is>
          <t xml:space="preserve">Hombres </t>
        </is>
      </c>
      <c r="M181" s="8103" t="inlineStr">
        <is>
          <t>Mujeres</t>
        </is>
      </c>
      <c r="N181" s="62" t="inlineStr">
        <is>
          <t xml:space="preserve">Hombres </t>
        </is>
      </c>
      <c r="O181" s="8103" t="inlineStr">
        <is>
          <t>Mujeres</t>
        </is>
      </c>
      <c r="P181" s="62" t="inlineStr">
        <is>
          <t xml:space="preserve">Hombres </t>
        </is>
      </c>
      <c r="Q181" s="8103" t="inlineStr">
        <is>
          <t>Mujeres</t>
        </is>
      </c>
      <c r="R181" s="62" t="inlineStr">
        <is>
          <t xml:space="preserve">Hombres </t>
        </is>
      </c>
      <c r="S181" s="8103" t="inlineStr">
        <is>
          <t>Mujeres</t>
        </is>
      </c>
      <c r="T181" s="62" t="inlineStr">
        <is>
          <t xml:space="preserve">Hombres </t>
        </is>
      </c>
      <c r="U181" s="8103" t="inlineStr">
        <is>
          <t>Mujeres</t>
        </is>
      </c>
      <c r="V181" s="62" t="inlineStr">
        <is>
          <t xml:space="preserve">Hombres </t>
        </is>
      </c>
      <c r="W181" s="8103" t="inlineStr">
        <is>
          <t>Mujeres</t>
        </is>
      </c>
      <c r="X181" s="62" t="inlineStr">
        <is>
          <t xml:space="preserve">Hombres </t>
        </is>
      </c>
      <c r="Y181" s="8103" t="inlineStr">
        <is>
          <t>Mujeres</t>
        </is>
      </c>
      <c r="Z181" s="62" t="inlineStr">
        <is>
          <t xml:space="preserve">Hombres </t>
        </is>
      </c>
      <c r="AA181" s="8103" t="inlineStr">
        <is>
          <t>Mujeres</t>
        </is>
      </c>
      <c r="AB181" s="62" t="inlineStr">
        <is>
          <t xml:space="preserve">Hombres </t>
        </is>
      </c>
      <c r="AC181" s="8103" t="inlineStr">
        <is>
          <t>Mujeres</t>
        </is>
      </c>
      <c r="AD181" s="62" t="inlineStr">
        <is>
          <t xml:space="preserve">Hombres </t>
        </is>
      </c>
      <c r="AE181" s="8103" t="inlineStr">
        <is>
          <t>Mujeres</t>
        </is>
      </c>
      <c r="AF181" s="62" t="inlineStr">
        <is>
          <t xml:space="preserve">Hombres </t>
        </is>
      </c>
      <c r="AG181" s="8103" t="inlineStr">
        <is>
          <t>Mujeres</t>
        </is>
      </c>
      <c r="AH181" s="62" t="inlineStr">
        <is>
          <t xml:space="preserve">Hombres </t>
        </is>
      </c>
      <c r="AI181" s="63" t="inlineStr">
        <is>
          <t>Mujeres</t>
        </is>
      </c>
      <c r="AJ181" s="10141" t="n"/>
      <c r="AK181" s="9969" t="n"/>
      <c r="AL181" s="9969" t="n"/>
      <c r="AM181" s="10142" t="n"/>
      <c r="AN181" s="9843" t="n"/>
      <c r="AO181" s="9968" t="n"/>
      <c r="AP181" s="10143" t="n"/>
      <c r="AQ181" s="10144" t="n"/>
      <c r="AR181" s="10142" t="n"/>
    </row>
    <row r="182" ht="15" customHeight="1" s="8286">
      <c r="A182" s="10145" t="inlineStr">
        <is>
          <t>Ingreso a Atención de PDE</t>
        </is>
      </c>
      <c r="B182" s="44" t="inlineStr">
        <is>
          <t>Riesgo Alto (G3)</t>
        </is>
      </c>
      <c r="C182" s="45">
        <f>SUM(D182+E182)</f>
        <v/>
      </c>
      <c r="D182" s="138">
        <f>SUM(F182+H182+J182+L182+N182+P182+R182+T182+V182+X182+Z182+AB182+AD182+AF182+AH182)</f>
        <v/>
      </c>
      <c r="E182" s="136">
        <f>SUM(G182+I182+K182+M182+O182+Q182+S182+U182+W182+Y182+AA182+AC182+AE182+AG182+AI182)</f>
        <v/>
      </c>
      <c r="F182" s="293" t="n"/>
      <c r="G182" s="660" t="n"/>
      <c r="H182" s="293" t="n"/>
      <c r="I182" s="660" t="n"/>
      <c r="J182" s="293" t="n"/>
      <c r="K182" s="660" t="n"/>
      <c r="L182" s="293" t="n"/>
      <c r="M182" s="660" t="n"/>
      <c r="N182" s="293" t="n"/>
      <c r="O182" s="660" t="n"/>
      <c r="P182" s="293" t="n"/>
      <c r="Q182" s="660" t="n"/>
      <c r="R182" s="293" t="n"/>
      <c r="S182" s="660" t="n"/>
      <c r="T182" s="293" t="n"/>
      <c r="U182" s="660" t="n"/>
      <c r="V182" s="293" t="n"/>
      <c r="W182" s="660" t="n"/>
      <c r="X182" s="293" t="n"/>
      <c r="Y182" s="660" t="n"/>
      <c r="Z182" s="293" t="n"/>
      <c r="AA182" s="660" t="n"/>
      <c r="AB182" s="293" t="n"/>
      <c r="AC182" s="660" t="n"/>
      <c r="AD182" s="293" t="n"/>
      <c r="AE182" s="660" t="n"/>
      <c r="AF182" s="293" t="n"/>
      <c r="AG182" s="660" t="n"/>
      <c r="AH182" s="293" t="n"/>
      <c r="AI182" s="661" t="n"/>
      <c r="AJ182" s="294" t="n"/>
      <c r="AK182" s="295" t="n"/>
      <c r="AL182" s="295" t="n"/>
      <c r="AM182" s="296" t="n"/>
      <c r="AN182" s="297" t="n"/>
      <c r="AO182" s="298" t="n"/>
      <c r="AP182" s="299" t="n"/>
      <c r="AQ182" s="294" t="n"/>
      <c r="AR182" s="296" t="n"/>
      <c r="AS182">
        <f>CB182&amp;CC182</f>
        <v/>
      </c>
      <c r="CB182" s="90">
        <f>IF(AND(C182&gt;0,AQ182="")," * No olvide digitar la variable Migrantes. Digite Cero si no tiene.",IF(AQ182&gt;C182," * La variable Migrantes No puede ser mayor al Total Ambos Sexos.",""))</f>
        <v/>
      </c>
      <c r="CC182" s="90">
        <f>IF(AND(C182&gt;0,AR182="")," * No olvide digitar la variable Pueblos Originarios. Digite Cero si no tiene.",IF(AR182&gt;C182," * La variable Pueblos Originarios No puede ser mayor al Total Ambos Sexos.",""))</f>
        <v/>
      </c>
      <c r="CN182" s="52">
        <f>IF(AND(C182&gt;0,AQ182=""),1,IF(AQ182&gt;C182,1,0))</f>
        <v/>
      </c>
      <c r="CO182" s="52">
        <f>IF(AND(C182&gt;0,AR182=""),1,IF(AR182&gt;C182,1,0))</f>
        <v/>
      </c>
    </row>
    <row r="183" ht="15" customHeight="1" s="8286">
      <c r="A183" s="9843" t="n"/>
      <c r="B183" s="46" t="inlineStr">
        <is>
          <t>Riesgo Moderado (G2)</t>
        </is>
      </c>
      <c r="C183" s="2596">
        <f>SUM(D183+E183)</f>
        <v/>
      </c>
      <c r="D183" s="139">
        <f>SUM(F183+H183+J183+L183+N183+P183+R183+T183+V183+X183+Z183+AB183+AD183+AF183+AH183)</f>
        <v/>
      </c>
      <c r="E183" s="2597">
        <f>SUM(G183+I183+K183+M183+O183+Q183+S183+U183+W183+Y183+AA183+AC183+AE183+AG183+AI183)</f>
        <v/>
      </c>
      <c r="F183" s="2598" t="n"/>
      <c r="G183" s="2599" t="n"/>
      <c r="H183" s="2598" t="n"/>
      <c r="I183" s="2599" t="n"/>
      <c r="J183" s="2598" t="n"/>
      <c r="K183" s="2599" t="n"/>
      <c r="L183" s="2598" t="n"/>
      <c r="M183" s="2599" t="n"/>
      <c r="N183" s="2598" t="n"/>
      <c r="O183" s="2599" t="n"/>
      <c r="P183" s="2598" t="n"/>
      <c r="Q183" s="2599" t="n"/>
      <c r="R183" s="2598" t="n"/>
      <c r="S183" s="2599" t="n"/>
      <c r="T183" s="2598" t="n"/>
      <c r="U183" s="2599" t="n"/>
      <c r="V183" s="2598" t="n"/>
      <c r="W183" s="2599" t="n"/>
      <c r="X183" s="2598" t="n"/>
      <c r="Y183" s="2599" t="n"/>
      <c r="Z183" s="2598" t="n"/>
      <c r="AA183" s="2599" t="n"/>
      <c r="AB183" s="2598" t="n"/>
      <c r="AC183" s="2599" t="n"/>
      <c r="AD183" s="2598" t="n"/>
      <c r="AE183" s="2599" t="n"/>
      <c r="AF183" s="2598" t="n"/>
      <c r="AG183" s="2599" t="n"/>
      <c r="AH183" s="2598" t="n"/>
      <c r="AI183" s="2600" t="n"/>
      <c r="AJ183" s="300" t="n"/>
      <c r="AK183" s="301" t="n"/>
      <c r="AL183" s="301" t="n"/>
      <c r="AM183" s="302" t="n"/>
      <c r="AN183" s="303" t="n"/>
      <c r="AO183" s="304" t="n"/>
      <c r="AP183" s="305" t="n"/>
      <c r="AQ183" s="300" t="n"/>
      <c r="AR183" s="302" t="n"/>
      <c r="AS183">
        <f>CB183&amp;CC183</f>
        <v/>
      </c>
      <c r="CB183" s="90">
        <f>IF(AND(C183&gt;0,AQ183="")," * No olvide digitar la variable Migrantes. Digite Cero si no tiene.",IF(AQ183&gt;C183," * La variable Migrantes No puede ser mayor al Total Ambos Sexos.",""))</f>
        <v/>
      </c>
      <c r="CC183" s="90">
        <f>IF(AND(C183&gt;0,AR183="")," * No olvide digitar la variable Pueblos Originarios. Digite Cero si no tiene.",IF(AR183&gt;C183," * La variable Pueblos Originarios No puede ser mayor al Total Ambos Sexos.",""))</f>
        <v/>
      </c>
      <c r="CN183" s="52">
        <f>IF(AND(C183&gt;0,AQ183=""),1,IF(AQ183&gt;C183,1,0))</f>
        <v/>
      </c>
      <c r="CO183" s="52">
        <f>IF(AND(C183&gt;0,AR183=""),1,IF(AR183&gt;C183,1,0))</f>
        <v/>
      </c>
    </row>
    <row r="184" ht="15" customHeight="1" s="8286">
      <c r="A184" s="10146" t="inlineStr">
        <is>
          <t>Seguimiento de PDE</t>
        </is>
      </c>
      <c r="B184" s="47" t="inlineStr">
        <is>
          <t>Riesgo Alto (G3)</t>
        </is>
      </c>
      <c r="C184" s="94">
        <f>SUM(D184+E184)</f>
        <v/>
      </c>
      <c r="D184" s="140">
        <f>SUM(F184+H184+J184+L184+N184+P184+R184+T184+V184+X184+Z184+AB184+AD184+AF184+AH184)</f>
        <v/>
      </c>
      <c r="E184" s="136">
        <f>SUM(G184+I184+K184+M184+O184+Q184+S184+U184+W184+Y184+AA184+AC184+AE184+AG184+AI184)</f>
        <v/>
      </c>
      <c r="F184" s="293" t="n"/>
      <c r="G184" s="660" t="n"/>
      <c r="H184" s="293" t="n"/>
      <c r="I184" s="660" t="n"/>
      <c r="J184" s="293" t="n"/>
      <c r="K184" s="660" t="n"/>
      <c r="L184" s="293" t="n"/>
      <c r="M184" s="660" t="n"/>
      <c r="N184" s="293" t="n"/>
      <c r="O184" s="660" t="n"/>
      <c r="P184" s="293" t="n"/>
      <c r="Q184" s="660" t="n"/>
      <c r="R184" s="293" t="n"/>
      <c r="S184" s="660" t="n"/>
      <c r="T184" s="293" t="n"/>
      <c r="U184" s="660" t="n"/>
      <c r="V184" s="293" t="n"/>
      <c r="W184" s="660" t="n"/>
      <c r="X184" s="293" t="n"/>
      <c r="Y184" s="660" t="n"/>
      <c r="Z184" s="293" t="n"/>
      <c r="AA184" s="660" t="n"/>
      <c r="AB184" s="293" t="n"/>
      <c r="AC184" s="660" t="n"/>
      <c r="AD184" s="293" t="n"/>
      <c r="AE184" s="660" t="n"/>
      <c r="AF184" s="293" t="n"/>
      <c r="AG184" s="660" t="n"/>
      <c r="AH184" s="293" t="n"/>
      <c r="AI184" s="661" t="n"/>
      <c r="AJ184" s="294" t="n"/>
      <c r="AK184" s="295" t="n"/>
      <c r="AL184" s="295" t="n"/>
      <c r="AM184" s="296" t="n"/>
      <c r="AN184" s="306" t="n"/>
      <c r="AO184" s="298" t="n"/>
      <c r="AP184" s="299" t="n"/>
      <c r="AQ184" s="294" t="n"/>
      <c r="AR184" s="296" t="n"/>
      <c r="AS184">
        <f>CB184&amp;CC184</f>
        <v/>
      </c>
      <c r="CB184" s="90">
        <f>IF(AND(C184&gt;0,AQ184="")," * No olvide digitar la variable Migrantes. Digite Cero si no tiene.",IF(AQ184&gt;C184," * La variable Migrantes No puede ser mayor al Total Ambos Sexos.",""))</f>
        <v/>
      </c>
      <c r="CC184" s="90">
        <f>IF(AND(C184&gt;0,AR184="")," * No olvide digitar la variable Pueblos Originarios. Digite Cero si no tiene.",IF(AR184&gt;C184," * La variable Pueblos Originarios No puede ser mayor al Total Ambos Sexos.",""))</f>
        <v/>
      </c>
      <c r="CN184" s="52">
        <f>IF(AND(C184&gt;0,AQ184=""),1,IF(AQ184&gt;C184,1,0))</f>
        <v/>
      </c>
      <c r="CO184" s="52">
        <f>IF(AND(C184&gt;0,AR184=""),1,IF(AR184&gt;C184,1,0))</f>
        <v/>
      </c>
    </row>
    <row r="185" ht="15" customHeight="1" s="8286">
      <c r="A185" s="9670" t="n"/>
      <c r="B185" s="48" t="inlineStr">
        <is>
          <t>Riesgo Moderado (G2)</t>
        </is>
      </c>
      <c r="C185" s="2596">
        <f>SUM(D185+E185)</f>
        <v/>
      </c>
      <c r="D185" s="139">
        <f>SUM(F185+H185+J185+L185+N185+P185+R185+T185+V185+X185+Z185+AB185+AD185+AF185+AH185)</f>
        <v/>
      </c>
      <c r="E185" s="2597">
        <f>SUM(G185+I185+K185+M185+O185+Q185+S185+U185+W185+Y185+AA185+AC185+AE185+AG185+AI185)</f>
        <v/>
      </c>
      <c r="F185" s="2598" t="n"/>
      <c r="G185" s="2599" t="n"/>
      <c r="H185" s="2598" t="n"/>
      <c r="I185" s="2599" t="n"/>
      <c r="J185" s="2598" t="n"/>
      <c r="K185" s="2599" t="n"/>
      <c r="L185" s="2598" t="n"/>
      <c r="M185" s="2599" t="n"/>
      <c r="N185" s="2598" t="n"/>
      <c r="O185" s="2599" t="n"/>
      <c r="P185" s="2598" t="n"/>
      <c r="Q185" s="2599" t="n"/>
      <c r="R185" s="2598" t="n"/>
      <c r="S185" s="2599" t="n"/>
      <c r="T185" s="2598" t="n"/>
      <c r="U185" s="2599" t="n"/>
      <c r="V185" s="2598" t="n"/>
      <c r="W185" s="2599" t="n"/>
      <c r="X185" s="2598" t="n"/>
      <c r="Y185" s="2599" t="n"/>
      <c r="Z185" s="2598" t="n"/>
      <c r="AA185" s="2599" t="n"/>
      <c r="AB185" s="2598" t="n"/>
      <c r="AC185" s="2599" t="n"/>
      <c r="AD185" s="2598" t="n"/>
      <c r="AE185" s="2599" t="n"/>
      <c r="AF185" s="2598" t="n"/>
      <c r="AG185" s="2599" t="n"/>
      <c r="AH185" s="2598" t="n"/>
      <c r="AI185" s="2600" t="n"/>
      <c r="AJ185" s="300" t="n"/>
      <c r="AK185" s="301" t="n"/>
      <c r="AL185" s="301" t="n"/>
      <c r="AM185" s="302" t="n"/>
      <c r="AN185" s="307" t="n"/>
      <c r="AO185" s="304" t="n"/>
      <c r="AP185" s="305" t="n"/>
      <c r="AQ185" s="300" t="n"/>
      <c r="AR185" s="302" t="n"/>
      <c r="AS185">
        <f>CB185&amp;CC185</f>
        <v/>
      </c>
      <c r="CB185" s="90">
        <f>IF(AND(C185&gt;0,AQ185="")," * No olvide digitar la variable Migrantes. Digite Cero si no tiene.",IF(AQ185&gt;C185," * La variable Migrantes No puede ser mayor al Total Ambos Sexos.",""))</f>
        <v/>
      </c>
      <c r="CC185" s="90">
        <f>IF(AND(C185&gt;0,AR185="")," * No olvide digitar la variable Pueblos Originarios. Digite Cero si no tiene.",IF(AR185&gt;C185," * La variable Pueblos Originarios No puede ser mayor al Total Ambos Sexos.",""))</f>
        <v/>
      </c>
      <c r="CN185" s="52">
        <f>IF(AND(C185&gt;0,AQ185=""),1,IF(AQ185&gt;C185,1,0))</f>
        <v/>
      </c>
      <c r="CO185" s="52">
        <f>IF(AND(C185&gt;0,AR185=""),1,IF(AR185&gt;C185,1,0))</f>
        <v/>
      </c>
    </row>
    <row r="186" ht="15" customHeight="1" s="8286">
      <c r="A186" s="10147" t="inlineStr">
        <is>
          <t>Continuidad en la Gestión (PDE-APS)</t>
        </is>
      </c>
      <c r="B186" s="44" t="inlineStr">
        <is>
          <t>Riesgo Alto (G3)</t>
        </is>
      </c>
      <c r="C186" s="94">
        <f>SUM(D186+E186)</f>
        <v/>
      </c>
      <c r="D186" s="140">
        <f>SUM(F186+H186+J186+L186+N186+P186+R186+T186+V186+X186+Z186+AB186+AD186+AF186+AH186)</f>
        <v/>
      </c>
      <c r="E186" s="136">
        <f>SUM(G186+I186+K186+M186+O186+Q186+S186+U186+W186+Y186+AA186+AC186+AE186+AG186+AI186)</f>
        <v/>
      </c>
      <c r="F186" s="293" t="n"/>
      <c r="G186" s="660" t="n"/>
      <c r="H186" s="293" t="n"/>
      <c r="I186" s="660" t="n"/>
      <c r="J186" s="293" t="n"/>
      <c r="K186" s="660" t="n"/>
      <c r="L186" s="293" t="n"/>
      <c r="M186" s="660" t="n"/>
      <c r="N186" s="293" t="n"/>
      <c r="O186" s="660" t="n"/>
      <c r="P186" s="293" t="n"/>
      <c r="Q186" s="660" t="n"/>
      <c r="R186" s="293" t="n"/>
      <c r="S186" s="660" t="n"/>
      <c r="T186" s="293" t="n"/>
      <c r="U186" s="660" t="n"/>
      <c r="V186" s="293" t="n"/>
      <c r="W186" s="660" t="n"/>
      <c r="X186" s="293" t="n"/>
      <c r="Y186" s="660" t="n"/>
      <c r="Z186" s="293" t="n"/>
      <c r="AA186" s="660" t="n"/>
      <c r="AB186" s="293" t="n"/>
      <c r="AC186" s="660" t="n"/>
      <c r="AD186" s="293" t="n"/>
      <c r="AE186" s="660" t="n"/>
      <c r="AF186" s="293" t="n"/>
      <c r="AG186" s="660" t="n"/>
      <c r="AH186" s="293" t="n"/>
      <c r="AI186" s="661" t="n"/>
      <c r="AJ186" s="294" t="n"/>
      <c r="AK186" s="295" t="n"/>
      <c r="AL186" s="295" t="n"/>
      <c r="AM186" s="296" t="n"/>
      <c r="AN186" s="308" t="n"/>
      <c r="AO186" s="309" t="n"/>
      <c r="AP186" s="310" t="n"/>
      <c r="AQ186" s="294" t="n"/>
      <c r="AR186" s="296" t="n"/>
      <c r="AS186">
        <f>CB186&amp;CC186</f>
        <v/>
      </c>
      <c r="CB186" s="90">
        <f>IF(AND(C186&gt;0,AQ186="")," * No olvide digitar la variable Migrantes. Digite Cero si no tiene.",IF(AQ186&gt;C186," * La variable Migrantes No puede ser mayor al Total Ambos Sexos.",""))</f>
        <v/>
      </c>
      <c r="CC186" s="90">
        <f>IF(AND(C186&gt;0,AR186="")," * No olvide digitar la variable Pueblos Originarios. Digite Cero si no tiene.",IF(AR186&gt;C186," * La variable Pueblos Originarios No puede ser mayor al Total Ambos Sexos.",""))</f>
        <v/>
      </c>
      <c r="CN186" s="52">
        <f>IF(AND(C186&gt;0,AQ186=""),1,IF(AQ186&gt;C186,1,0))</f>
        <v/>
      </c>
      <c r="CO186" s="52">
        <f>IF(AND(C186&gt;0,AR186=""),1,IF(AR186&gt;C186,1,0))</f>
        <v/>
      </c>
    </row>
    <row r="187" ht="15" customHeight="1" s="8286">
      <c r="A187" s="9843" t="n"/>
      <c r="B187" s="46" t="inlineStr">
        <is>
          <t>Riesgo Moderado (G2)</t>
        </is>
      </c>
      <c r="C187" s="2596">
        <f>SUM(D187+E187)</f>
        <v/>
      </c>
      <c r="D187" s="139">
        <f>SUM(F187+H187+J187+L187+N187+P187+R187+T187+V187+X187+Z187+AB187+AD187+AF187+AH187)</f>
        <v/>
      </c>
      <c r="E187" s="2597">
        <f>SUM(G187+I187+K187+M187+O187+Q187+S187+U187+W187+Y187+AA187+AC187+AE187+AG187+AI187)</f>
        <v/>
      </c>
      <c r="F187" s="2598" t="n"/>
      <c r="G187" s="2599" t="n"/>
      <c r="H187" s="2598" t="n"/>
      <c r="I187" s="2599" t="n"/>
      <c r="J187" s="2598" t="n"/>
      <c r="K187" s="2599" t="n"/>
      <c r="L187" s="2598" t="n"/>
      <c r="M187" s="2599" t="n"/>
      <c r="N187" s="2598" t="n"/>
      <c r="O187" s="2599" t="n"/>
      <c r="P187" s="2598" t="n"/>
      <c r="Q187" s="2599" t="n"/>
      <c r="R187" s="2598" t="n"/>
      <c r="S187" s="2599" t="n"/>
      <c r="T187" s="2598" t="n"/>
      <c r="U187" s="2599" t="n"/>
      <c r="V187" s="2598" t="n"/>
      <c r="W187" s="2599" t="n"/>
      <c r="X187" s="2598" t="n"/>
      <c r="Y187" s="2599" t="n"/>
      <c r="Z187" s="2598" t="n"/>
      <c r="AA187" s="2599" t="n"/>
      <c r="AB187" s="2598" t="n"/>
      <c r="AC187" s="2599" t="n"/>
      <c r="AD187" s="2598" t="n"/>
      <c r="AE187" s="2599" t="n"/>
      <c r="AF187" s="2598" t="n"/>
      <c r="AG187" s="2599" t="n"/>
      <c r="AH187" s="2598" t="n"/>
      <c r="AI187" s="2600" t="n"/>
      <c r="AJ187" s="300" t="n"/>
      <c r="AK187" s="301" t="n"/>
      <c r="AL187" s="301" t="n"/>
      <c r="AM187" s="302" t="n"/>
      <c r="AN187" s="311" t="n"/>
      <c r="AO187" s="312" t="n"/>
      <c r="AP187" s="313" t="n"/>
      <c r="AQ187" s="300" t="n"/>
      <c r="AR187" s="302" t="n"/>
      <c r="AS187">
        <f>CB187&amp;CC187</f>
        <v/>
      </c>
      <c r="CB187" s="90">
        <f>IF(AND(C187&gt;0,AQ187="")," * No olvide digitar la variable Migrantes. Digite Cero si no tiene.",IF(AQ187&gt;C187," * La variable Migrantes No puede ser mayor al Total Ambos Sexos.",""))</f>
        <v/>
      </c>
      <c r="CC187" s="90">
        <f>IF(AND(C187&gt;0,AR187="")," * No olvide digitar la variable Pueblos Originarios. Digite Cero si no tiene.",IF(AR187&gt;C187," * La variable Pueblos Originarios No puede ser mayor al Total Ambos Sexos.",""))</f>
        <v/>
      </c>
      <c r="CN187" s="52">
        <f>IF(AND(C187&gt;0,AQ187=""),1,IF(AQ187&gt;C187,1,0))</f>
        <v/>
      </c>
      <c r="CO187" s="52">
        <f>IF(AND(C187&gt;0,AR187=""),1,IF(AR187&gt;C187,1,0))</f>
        <v/>
      </c>
    </row>
    <row r="188" ht="15" customHeight="1" s="8286">
      <c r="A188" s="10145" t="inlineStr">
        <is>
          <t>Actividades de Gestión de PDE</t>
        </is>
      </c>
      <c r="B188" s="44" t="inlineStr">
        <is>
          <t>Riesgo Alto (G3)</t>
        </is>
      </c>
      <c r="C188" s="94">
        <f>SUM(D188+E188)</f>
        <v/>
      </c>
      <c r="D188" s="140">
        <f>SUM(F188+H188+J188+L188+N188+P188+R188+T188+V188+X188+Z188+AB188+AD188+AF188+AH188)</f>
        <v/>
      </c>
      <c r="E188" s="136">
        <f>SUM(G188+I188+K188+M188+O188+Q188+S188+U188+W188+Y188+AA188+AC188+AE188+AG188+AI188)</f>
        <v/>
      </c>
      <c r="F188" s="293" t="n"/>
      <c r="G188" s="660" t="n"/>
      <c r="H188" s="293" t="n"/>
      <c r="I188" s="660" t="n"/>
      <c r="J188" s="293" t="n"/>
      <c r="K188" s="660" t="n"/>
      <c r="L188" s="293" t="n"/>
      <c r="M188" s="660" t="n"/>
      <c r="N188" s="293" t="n"/>
      <c r="O188" s="660" t="n"/>
      <c r="P188" s="293" t="n"/>
      <c r="Q188" s="660" t="n"/>
      <c r="R188" s="293" t="n"/>
      <c r="S188" s="660" t="n"/>
      <c r="T188" s="293" t="n"/>
      <c r="U188" s="660" t="n"/>
      <c r="V188" s="293" t="n"/>
      <c r="W188" s="660" t="n"/>
      <c r="X188" s="293" t="n"/>
      <c r="Y188" s="660" t="n"/>
      <c r="Z188" s="293" t="n"/>
      <c r="AA188" s="660" t="n"/>
      <c r="AB188" s="293" t="n"/>
      <c r="AC188" s="660" t="n"/>
      <c r="AD188" s="293" t="n"/>
      <c r="AE188" s="660" t="n"/>
      <c r="AF188" s="293" t="n"/>
      <c r="AG188" s="660" t="n"/>
      <c r="AH188" s="293" t="n"/>
      <c r="AI188" s="661" t="n"/>
      <c r="AJ188" s="294" t="n"/>
      <c r="AK188" s="295" t="n"/>
      <c r="AL188" s="295" t="n"/>
      <c r="AM188" s="296" t="n"/>
      <c r="AN188" s="314" t="n"/>
      <c r="AO188" s="309" t="n"/>
      <c r="AP188" s="310" t="n"/>
      <c r="AQ188" s="294" t="n"/>
      <c r="AR188" s="296" t="n"/>
      <c r="AS188">
        <f>CB188&amp;CC188</f>
        <v/>
      </c>
      <c r="CB188" s="90">
        <f>IF(AND(C188&gt;0,AQ188="")," * No olvide digitar la variable Migrantes. Digite Cero si no tiene.",IF(AQ188&gt;C188," * La variable Migrantes No puede ser mayor al Total Ambos Sexos.",""))</f>
        <v/>
      </c>
      <c r="CC188" s="90">
        <f>IF(AND(C188&gt;0,AR188="")," * No olvide digitar la variable Pueblos Originarios. Digite Cero si no tiene.",IF(AR188&gt;C188," * La variable Pueblos Originarios No puede ser mayor al Total Ambos Sexos.",""))</f>
        <v/>
      </c>
      <c r="CN188" s="52">
        <f>IF(AND(C188&gt;0,AQ188=""),1,IF(AQ188&gt;C188,1,0))</f>
        <v/>
      </c>
      <c r="CO188" s="52">
        <f>IF(AND(C188&gt;0,AR188=""),1,IF(AR188&gt;C188,1,0))</f>
        <v/>
      </c>
    </row>
    <row r="189" ht="15" customHeight="1" s="8286">
      <c r="A189" s="9843" t="n"/>
      <c r="B189" s="46" t="inlineStr">
        <is>
          <t>Riesgo Moderado (G2)</t>
        </is>
      </c>
      <c r="C189" s="2596">
        <f>SUM(D189+E189)</f>
        <v/>
      </c>
      <c r="D189" s="139">
        <f>SUM(F189+H189+J189+L189+N189+P189+R189+T189+V189+X189+Z189+AB189+AD189+AF189+AH189)</f>
        <v/>
      </c>
      <c r="E189" s="2597">
        <f>SUM(G189+I189+K189+M189+O189+Q189+S189+U189+W189+Y189+AA189+AC189+AE189+AG189+AI189)</f>
        <v/>
      </c>
      <c r="F189" s="2598" t="n"/>
      <c r="G189" s="2599" t="n"/>
      <c r="H189" s="2598" t="n"/>
      <c r="I189" s="2599" t="n"/>
      <c r="J189" s="2598" t="n"/>
      <c r="K189" s="2599" t="n"/>
      <c r="L189" s="2598" t="n"/>
      <c r="M189" s="2599" t="n"/>
      <c r="N189" s="2598" t="n"/>
      <c r="O189" s="2599" t="n"/>
      <c r="P189" s="2598" t="n"/>
      <c r="Q189" s="2599" t="n"/>
      <c r="R189" s="2598" t="n"/>
      <c r="S189" s="2599" t="n"/>
      <c r="T189" s="2598" t="n"/>
      <c r="U189" s="2599" t="n"/>
      <c r="V189" s="2598" t="n"/>
      <c r="W189" s="2599" t="n"/>
      <c r="X189" s="2598" t="n"/>
      <c r="Y189" s="2599" t="n"/>
      <c r="Z189" s="2598" t="n"/>
      <c r="AA189" s="2599" t="n"/>
      <c r="AB189" s="2598" t="n"/>
      <c r="AC189" s="2599" t="n"/>
      <c r="AD189" s="2598" t="n"/>
      <c r="AE189" s="2599" t="n"/>
      <c r="AF189" s="2598" t="n"/>
      <c r="AG189" s="2599" t="n"/>
      <c r="AH189" s="2598" t="n"/>
      <c r="AI189" s="2600" t="n"/>
      <c r="AJ189" s="300" t="n"/>
      <c r="AK189" s="301" t="n"/>
      <c r="AL189" s="301" t="n"/>
      <c r="AM189" s="302" t="n"/>
      <c r="AN189" s="315" t="n"/>
      <c r="AO189" s="312" t="n"/>
      <c r="AP189" s="313" t="n"/>
      <c r="AQ189" s="300" t="n"/>
      <c r="AR189" s="302" t="n"/>
      <c r="AS189">
        <f>CB189&amp;CC189</f>
        <v/>
      </c>
      <c r="CB189" s="90">
        <f>IF(AND(C189&gt;0,AQ189="")," * No olvide digitar la variable Migrantes. Digite Cero si no tiene.",IF(AQ189&gt;C189," * La variable Migrantes No puede ser mayor al Total Ambos Sexos.",""))</f>
        <v/>
      </c>
      <c r="CC189" s="90">
        <f>IF(AND(C189&gt;0,AR189="")," * No olvide digitar la variable Pueblos Originarios. Digite Cero si no tiene.",IF(AR189&gt;C189," * La variable Pueblos Originarios No puede ser mayor al Total Ambos Sexos.",""))</f>
        <v/>
      </c>
      <c r="CN189" s="52">
        <f>IF(AND(C189&gt;0,AQ189=""),1,IF(AQ189&gt;C189,1,0))</f>
        <v/>
      </c>
      <c r="CO189" s="52">
        <f>IF(AND(C189&gt;0,AR189=""),1,IF(AR189&gt;C189,1,0))</f>
        <v/>
      </c>
    </row>
    <row r="190" ht="15" customHeight="1" s="8286">
      <c r="A190" s="10148" t="inlineStr">
        <is>
          <t>Inasistente a Atención de PDE (NSP)</t>
        </is>
      </c>
      <c r="B190" s="44" t="inlineStr">
        <is>
          <t>Riesgo Alto (G3)</t>
        </is>
      </c>
      <c r="C190" s="49">
        <f>SUM(D190+E190)</f>
        <v/>
      </c>
      <c r="D190" s="140">
        <f>SUM(F190+H190+J190+L190+N190+P190+R190+T190+V190+X190+Z190+AB190+AD190+AF190+AH190)</f>
        <v/>
      </c>
      <c r="E190" s="136">
        <f>SUM(G190+I190+K190+M190+O190+Q190+S190+U190+W190+Y190+AA190+AC190+AE190+AG190+AI190)</f>
        <v/>
      </c>
      <c r="F190" s="316" t="n"/>
      <c r="G190" s="317" t="n"/>
      <c r="H190" s="316" t="n"/>
      <c r="I190" s="317" t="n"/>
      <c r="J190" s="316" t="n"/>
      <c r="K190" s="317" t="n"/>
      <c r="L190" s="316" t="n"/>
      <c r="M190" s="317" t="n"/>
      <c r="N190" s="316" t="n"/>
      <c r="O190" s="317" t="n"/>
      <c r="P190" s="316" t="n"/>
      <c r="Q190" s="317" t="n"/>
      <c r="R190" s="316" t="n"/>
      <c r="S190" s="317" t="n"/>
      <c r="T190" s="316" t="n"/>
      <c r="U190" s="317" t="n"/>
      <c r="V190" s="316" t="n"/>
      <c r="W190" s="317" t="n"/>
      <c r="X190" s="316" t="n"/>
      <c r="Y190" s="317" t="n"/>
      <c r="Z190" s="316" t="n"/>
      <c r="AA190" s="317" t="n"/>
      <c r="AB190" s="316" t="n"/>
      <c r="AC190" s="317" t="n"/>
      <c r="AD190" s="316" t="n"/>
      <c r="AE190" s="317" t="n"/>
      <c r="AF190" s="316" t="n"/>
      <c r="AG190" s="317" t="n"/>
      <c r="AH190" s="316" t="n"/>
      <c r="AI190" s="318" t="n"/>
      <c r="AJ190" s="319" t="n"/>
      <c r="AK190" s="320" t="n"/>
      <c r="AL190" s="320" t="n"/>
      <c r="AM190" s="321" t="n"/>
      <c r="AN190" s="322" t="n"/>
      <c r="AO190" s="309" t="n"/>
      <c r="AP190" s="310" t="n"/>
      <c r="AQ190" s="294" t="n"/>
      <c r="AR190" s="296" t="n"/>
      <c r="AS190">
        <f>CB190&amp;CC190</f>
        <v/>
      </c>
      <c r="CB190" s="90">
        <f>IF(AND(C190&gt;0,AQ190="")," * No olvide digitar la variable Migrantes. Digite Cero si no tiene.",IF(AQ190&gt;C190," * La variable Migrantes No puede ser mayor al Total Ambos Sexos.",""))</f>
        <v/>
      </c>
      <c r="CC190" s="90">
        <f>IF(AND(C190&gt;0,AR190="")," * No olvide digitar la variable Pueblos Originarios. Digite Cero si no tiene.",IF(AR190&gt;C190," * La variable Pueblos Originarios No puede ser mayor al Total Ambos Sexos.",""))</f>
        <v/>
      </c>
      <c r="CN190" s="52">
        <f>IF(AND(C190&gt;0,AQ190=""),1,IF(AQ190&gt;C190,1,0))</f>
        <v/>
      </c>
      <c r="CO190" s="52">
        <f>IF(AND(C190&gt;0,AR190=""),1,IF(AR190&gt;C190,1,0))</f>
        <v/>
      </c>
    </row>
    <row r="191" ht="15" customHeight="1" s="8286">
      <c r="A191" s="10149" t="n"/>
      <c r="B191" s="50" t="inlineStr">
        <is>
          <t>Riesgo Moderado (G2)</t>
        </is>
      </c>
      <c r="C191" s="2596">
        <f>SUM(D191+E191)</f>
        <v/>
      </c>
      <c r="D191" s="139">
        <f>SUM(F191+H191+J191+L191+N191+P191+R191+T191+V191+X191+Z191+AB191+AD191+AF191+AH191)</f>
        <v/>
      </c>
      <c r="E191" s="2597">
        <f>SUM(G191+I191+K191+M191+O191+Q191+S191+U191+W191+Y191+AA191+AC191+AE191+AG191+AI191)</f>
        <v/>
      </c>
      <c r="F191" s="2598" t="n"/>
      <c r="G191" s="2599" t="n"/>
      <c r="H191" s="2598" t="n"/>
      <c r="I191" s="2599" t="n"/>
      <c r="J191" s="2598" t="n"/>
      <c r="K191" s="2599" t="n"/>
      <c r="L191" s="2598" t="n"/>
      <c r="M191" s="2599" t="n"/>
      <c r="N191" s="2598" t="n"/>
      <c r="O191" s="2599" t="n"/>
      <c r="P191" s="2598" t="n"/>
      <c r="Q191" s="2599" t="n"/>
      <c r="R191" s="2598" t="n"/>
      <c r="S191" s="2599" t="n"/>
      <c r="T191" s="2598" t="n"/>
      <c r="U191" s="2599" t="n"/>
      <c r="V191" s="2598" t="n"/>
      <c r="W191" s="2599" t="n"/>
      <c r="X191" s="2598" t="n"/>
      <c r="Y191" s="2599" t="n"/>
      <c r="Z191" s="2598" t="n"/>
      <c r="AA191" s="2599" t="n"/>
      <c r="AB191" s="2598" t="n"/>
      <c r="AC191" s="2599" t="n"/>
      <c r="AD191" s="2598" t="n"/>
      <c r="AE191" s="2599" t="n"/>
      <c r="AF191" s="2598" t="n"/>
      <c r="AG191" s="2599" t="n"/>
      <c r="AH191" s="2598" t="n"/>
      <c r="AI191" s="2600" t="n"/>
      <c r="AJ191" s="323" t="n"/>
      <c r="AK191" s="324" t="n"/>
      <c r="AL191" s="324" t="n"/>
      <c r="AM191" s="325" t="n"/>
      <c r="AN191" s="326" t="n"/>
      <c r="AO191" s="327" t="n"/>
      <c r="AP191" s="313" t="n"/>
      <c r="AQ191" s="300" t="n"/>
      <c r="AR191" s="302" t="n"/>
      <c r="AS191">
        <f>CB191&amp;CC191</f>
        <v/>
      </c>
      <c r="CB191" s="90">
        <f>IF(AND(C191&gt;0,AQ191="")," * No olvide digitar la variable Migrantes. Digite Cero si no tiene.",IF(AQ191&gt;C191," * La variable Migrantes No puede ser mayor al Total Ambos Sexos.",""))</f>
        <v/>
      </c>
      <c r="CC191" s="90">
        <f>IF(AND(C191&gt;0,AR191="")," * No olvide digitar la variable Pueblos Originarios. Digite Cero si no tiene.",IF(AR191&gt;C191," * La variable Pueblos Originarios No puede ser mayor al Total Ambos Sexos.",""))</f>
        <v/>
      </c>
      <c r="CN191" s="52">
        <f>IF(AND(C191&gt;0,AQ191=""),1,IF(AQ191&gt;C191,1,0))</f>
        <v/>
      </c>
      <c r="CO191" s="52">
        <f>IF(AND(C191&gt;0,AR191=""),1,IF(AR191&gt;C191,1,0))</f>
        <v/>
      </c>
    </row>
    <row r="192" ht="18" customHeight="1" s="8286">
      <c r="A192" s="10150" t="inlineStr">
        <is>
          <t>SECCIÓN F:  ACTIVIDADES COMITÉ DE PROTECCIÓN DE INFANCIA Y ADOLESCENCIA (CPIA)</t>
        </is>
      </c>
      <c r="B192" s="9602" t="n"/>
      <c r="C192" s="9602" t="n"/>
      <c r="D192" s="9602" t="n"/>
      <c r="E192" s="9602" t="n"/>
      <c r="F192" s="9602" t="n"/>
      <c r="G192" s="9602" t="n"/>
      <c r="H192" s="9602" t="n"/>
      <c r="I192" s="9602" t="n"/>
      <c r="J192" s="9602" t="n"/>
      <c r="K192" s="9602" t="n"/>
      <c r="L192" s="9602" t="n"/>
      <c r="M192" s="9602" t="n"/>
      <c r="N192" s="9602" t="n"/>
      <c r="O192" s="9602" t="n"/>
      <c r="P192" s="9602" t="n"/>
      <c r="Q192" s="9602" t="n"/>
    </row>
    <row r="193" ht="15" customHeight="1" s="8286">
      <c r="A193" s="10151" t="inlineStr">
        <is>
          <t>TIPO ACTIVIDAD</t>
        </is>
      </c>
      <c r="B193" s="9722" t="n"/>
      <c r="C193" s="4974" t="inlineStr">
        <is>
          <t>Ambos sexos</t>
        </is>
      </c>
      <c r="D193" s="4470" t="inlineStr">
        <is>
          <t>Hombres</t>
        </is>
      </c>
      <c r="E193" s="10152" t="inlineStr">
        <is>
          <t>Mujeres</t>
        </is>
      </c>
      <c r="F193" s="10153" t="inlineStr">
        <is>
          <t>RANGO ETARIO Y SEXO</t>
        </is>
      </c>
      <c r="G193" s="9584" t="n"/>
      <c r="H193" s="9584" t="n"/>
      <c r="I193" s="9584" t="n"/>
      <c r="J193" s="9584" t="n"/>
      <c r="K193" s="9584" t="n"/>
      <c r="L193" s="9584" t="n"/>
      <c r="M193" s="9584" t="n"/>
      <c r="N193" s="9584" t="n"/>
      <c r="O193" s="9584" t="n"/>
      <c r="P193" s="9584" t="n"/>
      <c r="Q193" s="9584" t="n"/>
      <c r="R193" s="9584" t="n"/>
      <c r="S193" s="9595" t="n"/>
      <c r="T193" s="7744" t="inlineStr">
        <is>
          <t xml:space="preserve">N° sesiones </t>
        </is>
      </c>
      <c r="U193" s="10154" t="inlineStr">
        <is>
          <t>Gestantes</t>
        </is>
      </c>
      <c r="V193" s="10155" t="inlineStr">
        <is>
          <t>Migrantes</t>
        </is>
      </c>
      <c r="W193" s="10156" t="inlineStr">
        <is>
          <t>Pueblos Originarios</t>
        </is>
      </c>
      <c r="X193" s="10090" t="inlineStr">
        <is>
          <t xml:space="preserve">SENAME/ Servicio Nacional de Reinserción social Juvenil </t>
        </is>
      </c>
      <c r="Y193" s="10043" t="inlineStr">
        <is>
          <t>Servicio Nacional Protección Especializada a la Niñez y Adolescencia</t>
        </is>
      </c>
      <c r="Z193" s="10157" t="inlineStr">
        <is>
          <t xml:space="preserve">TRANS </t>
        </is>
      </c>
      <c r="AA193" s="9630" t="n"/>
    </row>
    <row r="194">
      <c r="A194" s="642" t="n"/>
      <c r="B194" s="9718" t="n"/>
      <c r="C194" s="10158" t="n"/>
      <c r="D194" s="10159" t="n"/>
      <c r="E194" s="9718" t="n"/>
      <c r="F194" s="8565" t="inlineStr">
        <is>
          <t>0 a 4 años</t>
        </is>
      </c>
      <c r="G194" s="9776" t="n"/>
      <c r="H194" s="10160" t="inlineStr">
        <is>
          <t>5 a 9 años</t>
        </is>
      </c>
      <c r="I194" s="9776" t="n"/>
      <c r="J194" s="10161" t="inlineStr">
        <is>
          <t>10 a 14 años</t>
        </is>
      </c>
      <c r="K194" s="9776" t="n"/>
      <c r="L194" s="8565" t="inlineStr">
        <is>
          <t>15 a 17 años</t>
        </is>
      </c>
      <c r="M194" s="9776" t="n"/>
      <c r="N194" s="8565" t="inlineStr">
        <is>
          <t>18 a 19 años</t>
        </is>
      </c>
      <c r="O194" s="9776" t="n"/>
      <c r="P194" s="8565" t="inlineStr">
        <is>
          <t>20 a 24 años</t>
        </is>
      </c>
      <c r="Q194" s="9776" t="n"/>
      <c r="R194" s="8144" t="inlineStr">
        <is>
          <t>25 y más años</t>
        </is>
      </c>
      <c r="S194" s="10134" t="n"/>
      <c r="T194" s="9668" t="n"/>
      <c r="U194" s="9668" t="n"/>
      <c r="V194" s="9687" t="n"/>
      <c r="W194" s="10162" t="n"/>
      <c r="X194" s="10091" t="n"/>
      <c r="Y194" s="10048" t="n"/>
      <c r="Z194" s="9697" t="n"/>
      <c r="AA194" s="9639" t="n"/>
    </row>
    <row r="195" ht="36" customHeight="1" s="8286">
      <c r="A195" s="9638" t="n"/>
      <c r="B195" s="9639" t="n"/>
      <c r="C195" s="10055" t="n"/>
      <c r="D195" s="9765" t="n"/>
      <c r="E195" s="9776" t="n"/>
      <c r="F195" s="8028" t="inlineStr">
        <is>
          <t>Hombre</t>
        </is>
      </c>
      <c r="G195" s="8030" t="inlineStr">
        <is>
          <t>Mujer</t>
        </is>
      </c>
      <c r="H195" s="8028" t="inlineStr">
        <is>
          <t>Hombre</t>
        </is>
      </c>
      <c r="I195" s="8030" t="inlineStr">
        <is>
          <t>Mujer</t>
        </is>
      </c>
      <c r="J195" s="8028" t="inlineStr">
        <is>
          <t>Hombre</t>
        </is>
      </c>
      <c r="K195" s="8030" t="inlineStr">
        <is>
          <t>Mujer</t>
        </is>
      </c>
      <c r="L195" s="8028" t="inlineStr">
        <is>
          <t>Hombre</t>
        </is>
      </c>
      <c r="M195" s="8030" t="inlineStr">
        <is>
          <t>Mujer</t>
        </is>
      </c>
      <c r="N195" s="8028" t="inlineStr">
        <is>
          <t>Hombre</t>
        </is>
      </c>
      <c r="O195" s="8030" t="inlineStr">
        <is>
          <t>Mujer</t>
        </is>
      </c>
      <c r="P195" s="8028" t="inlineStr">
        <is>
          <t>Hombre</t>
        </is>
      </c>
      <c r="Q195" s="8030" t="inlineStr">
        <is>
          <t>Mujer</t>
        </is>
      </c>
      <c r="R195" s="8071" t="inlineStr">
        <is>
          <t>Hombre</t>
        </is>
      </c>
      <c r="S195" s="328" t="inlineStr">
        <is>
          <t>Mujer</t>
        </is>
      </c>
      <c r="T195" s="9855" t="n"/>
      <c r="U195" s="9855" t="n"/>
      <c r="V195" s="9688" t="n"/>
      <c r="W195" s="9606" t="n"/>
      <c r="X195" s="10092" t="n"/>
      <c r="Y195" s="10052" t="n"/>
      <c r="Z195" s="2603" t="inlineStr">
        <is>
          <t>Masculino</t>
        </is>
      </c>
      <c r="AA195" s="2604" t="inlineStr">
        <is>
          <t xml:space="preserve">Femenino </t>
        </is>
      </c>
    </row>
    <row r="196">
      <c r="A196" s="10163" t="inlineStr">
        <is>
          <t>Análisis de casos</t>
        </is>
      </c>
      <c r="B196" s="9647" t="n"/>
      <c r="C196" s="2605">
        <f>SUM(D196:E196)</f>
        <v/>
      </c>
      <c r="D196" s="2606">
        <f>SUM(F196,H196,J196,L196,N196,P196,R196)</f>
        <v/>
      </c>
      <c r="E196" s="2607">
        <f>SUM(G196,I196,K196,M196,O196,Q196,S196)</f>
        <v/>
      </c>
      <c r="F196" s="2608" t="n"/>
      <c r="G196" s="2609" t="n"/>
      <c r="H196" s="2608" t="n"/>
      <c r="I196" s="2609" t="n"/>
      <c r="J196" s="2608" t="n"/>
      <c r="K196" s="2609" t="n"/>
      <c r="L196" s="2608" t="n"/>
      <c r="M196" s="2609" t="n"/>
      <c r="N196" s="2608" t="n"/>
      <c r="O196" s="2609" t="n"/>
      <c r="P196" s="2608" t="n"/>
      <c r="Q196" s="2609" t="n"/>
      <c r="R196" s="2610" t="n"/>
      <c r="S196" s="2611" t="n"/>
      <c r="T196" s="2612" t="n"/>
      <c r="U196" s="2613" t="n"/>
      <c r="V196" s="2614" t="n"/>
      <c r="W196" s="2615" t="n"/>
      <c r="X196" s="2616" t="n"/>
      <c r="Y196" s="2617" t="n"/>
      <c r="Z196" s="2618" t="n"/>
      <c r="AA196" s="2619" t="n"/>
      <c r="AB196">
        <f>CB196&amp;CC196&amp;CD196&amp;CE196&amp;CF196&amp;CG196&amp;CH196&amp;CI196</f>
        <v/>
      </c>
      <c r="CB196" s="90">
        <f>IF(AND($C196&gt;0,T196=""), " *No olvide digitar la variable N° sesiones.","")</f>
        <v/>
      </c>
      <c r="CC196" s="90">
        <f>IF(AND($E196&gt;0,U196="")," *No olvide digitar la variable Gestantes. Digite Cero si no tiene.",IF(U196&gt;$E196," *La variable Gestantes No puede ser mayor al Total Mujeres.",""))</f>
        <v/>
      </c>
      <c r="CD196" s="90">
        <f>IF(AND($C196&gt;0,V196="")," *No olvide digitar la variable Migrantes. Digite Cero si no tiene.",IF(V196&gt;$C196," *La variable Migrantes No puede ser mayor al Total Ambos Sexos.",""))</f>
        <v/>
      </c>
      <c r="CE196" s="90">
        <f>IF(AND($C196&gt;0,W196="")," *No olvide digitar la variable Pueblos Originarios. Digite Cero si no tiene.",IF(W196&gt;$C196," *La variable Pueblos Originarios No puede ser mayor al Total Ambos Sexos.",""))</f>
        <v/>
      </c>
      <c r="CF196" s="90">
        <f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>
        <f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>
        <f>IF(AND(E196&gt;0,OR(Z196=""))," *No olvide digitar la variable Trans (Masculino). Digite Cero si no tiene.",IF((Z196)&gt;E196," *La variable Trans (Masculino) No puede ser mayor al Total Mujeres.",""))</f>
        <v/>
      </c>
      <c r="CI196" s="90">
        <f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/>
      </c>
      <c r="CO196" s="52">
        <f>IF(AND($E196&gt;0,U196=""),1,IF(U196&gt;$E196,1,0))</f>
        <v/>
      </c>
      <c r="CP196" s="52">
        <f>IF(AND($C196&gt;0,V196=""),1,IF(V196&gt;$C196,1,0))</f>
        <v/>
      </c>
      <c r="CQ196" s="52">
        <f>IF(AND($C196&gt;0,W196=""),1,IF(W196&gt;$C196,1,0))</f>
        <v/>
      </c>
      <c r="CR196" s="52">
        <f>IF(AND($C196&gt;0,X196=""),1,IF(X196&gt;$C196,1,0))</f>
        <v/>
      </c>
      <c r="CS196" s="52">
        <f>IF(AND($C196&gt;0,Y196=""),1,IF(Y196&gt;$C196,1,0))</f>
        <v/>
      </c>
      <c r="CT196" s="52">
        <f>IF(AND($E196&gt;0,Z196=""),1,IF(Z196&gt;$E196,1,0))</f>
        <v/>
      </c>
      <c r="CU196" s="221">
        <f>IF(AND($D196&gt;0,AA196=""),1,IF(AA196&gt;$D196,1,0))</f>
        <v/>
      </c>
    </row>
    <row r="197" ht="22.5" customHeight="1" s="8286">
      <c r="A197" s="9330" t="inlineStr">
        <is>
          <t>Vulneraciones identificadas</t>
        </is>
      </c>
      <c r="B197" s="2620" t="inlineStr">
        <is>
          <t xml:space="preserve">Sospecha de Maltrato Infantil </t>
        </is>
      </c>
      <c r="C197" s="1931">
        <f>SUM(D197,E197)</f>
        <v/>
      </c>
      <c r="D197" s="751">
        <f>SUM(F197,H197,J197,L197)</f>
        <v/>
      </c>
      <c r="E197" s="2291">
        <f>SUM(G197,I197,K197,M197)</f>
        <v/>
      </c>
      <c r="F197" s="1956" t="n"/>
      <c r="G197" s="754" t="n"/>
      <c r="H197" s="1956" t="n"/>
      <c r="I197" s="754" t="n"/>
      <c r="J197" s="1956" t="n"/>
      <c r="K197" s="754" t="n"/>
      <c r="L197" s="1956" t="n"/>
      <c r="M197" s="754" t="n"/>
      <c r="N197" s="2621" t="n"/>
      <c r="O197" s="759" t="n"/>
      <c r="P197" s="2621" t="n"/>
      <c r="Q197" s="759" t="n"/>
      <c r="R197" s="2622" t="n"/>
      <c r="S197" s="745" t="n"/>
      <c r="T197" s="734" t="n"/>
      <c r="U197" s="731" t="n"/>
      <c r="V197" s="728" t="n"/>
      <c r="W197" s="722" t="n"/>
      <c r="X197" s="719" t="n"/>
      <c r="Y197" s="725" t="n"/>
      <c r="Z197" s="625" t="n"/>
      <c r="AA197" s="626" t="n"/>
      <c r="AB197">
        <f>CC197&amp;CD197&amp;CE197&amp;CF197&amp;CG197&amp;CH197&amp;CI197</f>
        <v/>
      </c>
      <c r="CB197" s="126" t="n"/>
      <c r="CC197" s="90">
        <f>IF(AND($E197&gt;0,U197="")," *No olvide digitar la variable Gestantes. Digite Cero si no tiene.",IF(U197&gt;$E197," *La variable Gestantes No puede ser mayor al Total Mujeres.",""))</f>
        <v/>
      </c>
      <c r="CD197" s="90">
        <f>IF(AND($C197&gt;0,V197="")," *No olvide digitar la variable Migrantes. Digite Cero si no tiene.",IF(V197&gt;$C197," *La variable Migrantes No puede ser mayor al Total Ambos Sexos.",""))</f>
        <v/>
      </c>
      <c r="CE197" s="90">
        <f>IF(AND($C197&gt;0,W197="")," *No olvide digitar la variable Pueblos Originarios. Digite Cero si no tiene.",IF(W197&gt;$C197," *La variable Pueblos Originarios No puede ser mayor al Total Ambos Sexos.",""))</f>
        <v/>
      </c>
      <c r="CF197" s="90">
        <f>IF(AND($C197&gt;0,X197="")," *No olvide digitar la variable SENAME/Servicio Nacional de Reinserción social Juvenil. Digite Cero si no tiene.",IF(X197&gt;$C197," *La variable SENAME/Servicio Nacional de Reinserción social Juvenil, No puede ser mayor al Total Ambos Sexos.",""))</f>
        <v/>
      </c>
      <c r="CG197" s="90">
        <f>IF(AND($C197&gt;0,Y197="")," *No olvide digitar la variable Servicio Nacional Protección Especializada a la Niñez y Adolescencia. Digite Cero si no tiene.",IF(Y197&gt;$C197," *La variable Servicio Nacional Protección Especializada a la Niñez y Adolescencia No puede ser mayor al Total Ambos Sexos.",""))</f>
        <v/>
      </c>
      <c r="CH197" s="90">
        <f>IF(AND(E197&gt;0,OR(Z197=""))," *No olvide digitar la variable Trans (Masculino). Digite Cero si no tiene.",IF((Z197)&gt;E197," *La variable Trans (Masculino) No puede ser mayor al Total Mujeres.",""))</f>
        <v/>
      </c>
      <c r="CI197" s="90">
        <f>IF(AND(D197&gt;0,OR(AA197=""))," *No olvide digitar la variable Trans (Femenino). Digite Cero si no tiene.",IF((AA197)&gt;D197," *La variable Trans (Femenino) No puede ser mayor al Total Hombres.",""))</f>
        <v/>
      </c>
      <c r="CN197" s="126" t="n"/>
      <c r="CO197" s="52">
        <f>IF(AND($E197&gt;0,U197=""),1,IF(U197&gt;$E197,1,0))</f>
        <v/>
      </c>
      <c r="CP197" s="52">
        <f>IF(AND($C197&gt;0,V197=""),1,IF(V197&gt;$C197,1,0))</f>
        <v/>
      </c>
      <c r="CQ197" s="52">
        <f>IF(AND($C197&gt;0,W197=""),1,IF(W197&gt;$C197,1,0))</f>
        <v/>
      </c>
      <c r="CR197" s="52">
        <f>IF(AND($C197&gt;0,X197=""),1,IF(X197&gt;$C197,1,0))</f>
        <v/>
      </c>
      <c r="CS197" s="52">
        <f>IF(AND($C197&gt;0,Y197=""),1,IF(Y197&gt;$C197,1,0))</f>
        <v/>
      </c>
      <c r="CT197" s="52">
        <f>IF(AND($E197&gt;0,Z197=""),1,IF(Z197&gt;$E197,1,0))</f>
        <v/>
      </c>
      <c r="CU197" s="221">
        <f>IF(AND($D197&gt;0,AA197=""),1,IF(AA197&gt;$D197,1,0))</f>
        <v/>
      </c>
    </row>
    <row r="198">
      <c r="A198" s="9718" t="n"/>
      <c r="B198" s="2623" t="inlineStr">
        <is>
          <t>Maltrato infantil</t>
        </is>
      </c>
      <c r="C198" s="1254">
        <f>SUM(D198,E198)</f>
        <v/>
      </c>
      <c r="D198" s="751">
        <f>SUM(F198,H198,J198,L198)</f>
        <v/>
      </c>
      <c r="E198" s="2291">
        <f>SUM(G198,I198,K198,M198)</f>
        <v/>
      </c>
      <c r="F198" s="2624" t="n"/>
      <c r="G198" s="1104" t="n"/>
      <c r="H198" s="2624" t="n"/>
      <c r="I198" s="1104" t="n"/>
      <c r="J198" s="2624" t="n"/>
      <c r="K198" s="1104" t="n"/>
      <c r="L198" s="2624" t="n"/>
      <c r="M198" s="1104" t="n"/>
      <c r="N198" s="2625" t="n"/>
      <c r="O198" s="1105" t="n"/>
      <c r="P198" s="2625" t="n"/>
      <c r="Q198" s="1105" t="n"/>
      <c r="R198" s="2626" t="n"/>
      <c r="S198" s="829" t="n"/>
      <c r="T198" s="735" t="n"/>
      <c r="U198" s="732" t="n"/>
      <c r="V198" s="729" t="n"/>
      <c r="W198" s="723" t="n"/>
      <c r="X198" s="720" t="n"/>
      <c r="Y198" s="726" t="n"/>
      <c r="Z198" s="627" t="n"/>
      <c r="AA198" s="628" t="n"/>
      <c r="AB198">
        <f>CC198&amp;CD198&amp;CE198&amp;CF198&amp;CG198&amp;CH198&amp;CI198</f>
        <v/>
      </c>
      <c r="CB198" s="126" t="n"/>
      <c r="CC198" s="90">
        <f>IF(AND($E198&gt;0,U198="")," *No olvide digitar la variable Gestantes. Digite Cero si no tiene.",IF(U198&gt;$E198," *La variable Gestantes No puede ser mayor al Total Mujeres.",""))</f>
        <v/>
      </c>
      <c r="CD198" s="90">
        <f>IF(AND($C198&gt;0,V198="")," *No olvide digitar la variable Migrantes. Digite Cero si no tiene.",IF(V198&gt;$C198," *La variable Migrantes No puede ser mayor al Total Ambos Sexos.",""))</f>
        <v/>
      </c>
      <c r="CE198" s="90">
        <f>IF(AND($C198&gt;0,W198="")," *No olvide digitar la variable Pueblos Originarios. Digite Cero si no tiene.",IF(W198&gt;$C198," *La variable Pueblos Originarios No puede ser mayor al Total Ambos Sexos.",""))</f>
        <v/>
      </c>
      <c r="CF198" s="90">
        <f>IF(AND($C198&gt;0,X198="")," *No olvide digitar la variable SENAME/Servicio Nacional de Reinserción social Juvenil. Digite Cero si no tiene.",IF(X198&gt;$C198," *La variable SENAME/Servicio Nacional de Reinserción social Juvenil, No puede ser mayor al Total Ambos Sexos.",""))</f>
        <v/>
      </c>
      <c r="CG198" s="90">
        <f>IF(AND($C198&gt;0,Y198="")," *No olvide digitar la variable Servicio Nacional Protección Especializada a la Niñez y Adolescencia. Digite Cero si no tiene.",IF(Y198&gt;$C198," *La variable Servicio Nacional Protección Especializada a la Niñez y Adolescencia No puede ser mayor al Total Ambos Sexos.",""))</f>
        <v/>
      </c>
      <c r="CH198" s="90">
        <f>IF(AND(E198&gt;0,OR(Z198=""))," *No olvide digitar la variable Trans (Masculino). Digite Cero si no tiene.",IF((Z198)&gt;E198," *La variable Trans (Masculino) No puede ser mayor al Total Mujeres.",""))</f>
        <v/>
      </c>
      <c r="CI198" s="90">
        <f>IF(AND(D198&gt;0,OR(AA198=""))," *No olvide digitar la variable Trans (Femenino). Digite Cero si no tiene.",IF((AA198)&gt;D198," *La variable Trans (Femenino) No puede ser mayor al Total Hombres.",""))</f>
        <v/>
      </c>
      <c r="CN198" s="126" t="n"/>
      <c r="CO198" s="52">
        <f>IF(AND($E198&gt;0,U198=""),1,IF(U198&gt;$E198,1,0))</f>
        <v/>
      </c>
      <c r="CP198" s="52">
        <f>IF(AND($C198&gt;0,V198=""),1,IF(V198&gt;$C198,1,0))</f>
        <v/>
      </c>
      <c r="CQ198" s="52">
        <f>IF(AND($C198&gt;0,W198=""),1,IF(W198&gt;$C198,1,0))</f>
        <v/>
      </c>
      <c r="CR198" s="52">
        <f>IF(AND($C198&gt;0,X198=""),1,IF(X198&gt;$C198,1,0))</f>
        <v/>
      </c>
      <c r="CS198" s="52">
        <f>IF(AND($C198&gt;0,Y198=""),1,IF(Y198&gt;$C198,1,0))</f>
        <v/>
      </c>
      <c r="CT198" s="52">
        <f>IF(AND($E198&gt;0,Z198=""),1,IF(Z198&gt;$E198,1,0))</f>
        <v/>
      </c>
      <c r="CU198" s="221">
        <f>IF(AND($D198&gt;0,AA198=""),1,IF(AA198&gt;$D198,1,0))</f>
        <v/>
      </c>
    </row>
    <row r="199">
      <c r="A199" s="9718" t="n"/>
      <c r="B199" s="2623" t="inlineStr">
        <is>
          <t>Sospecha de Abuso Sexual</t>
        </is>
      </c>
      <c r="C199" s="1254">
        <f>SUM(D199,E199)</f>
        <v/>
      </c>
      <c r="D199" s="2340">
        <f>SUM(F199,H199,J199,L199,N199,P199,R199)</f>
        <v/>
      </c>
      <c r="E199" s="2285">
        <f>SUM(G199,I199,K199,M199,O199,Q199,S199)</f>
        <v/>
      </c>
      <c r="F199" s="2624" t="n"/>
      <c r="G199" s="1104" t="n"/>
      <c r="H199" s="2624" t="n"/>
      <c r="I199" s="1104" t="n"/>
      <c r="J199" s="2624" t="n"/>
      <c r="K199" s="1104" t="n"/>
      <c r="L199" s="2624" t="n"/>
      <c r="M199" s="1104" t="n"/>
      <c r="N199" s="2624" t="n"/>
      <c r="O199" s="1104" t="n"/>
      <c r="P199" s="2624" t="n"/>
      <c r="Q199" s="1104" t="n"/>
      <c r="R199" s="2627" t="n"/>
      <c r="S199" s="830" t="n"/>
      <c r="T199" s="735" t="n"/>
      <c r="U199" s="732" t="n"/>
      <c r="V199" s="729" t="n"/>
      <c r="W199" s="723" t="n"/>
      <c r="X199" s="720" t="n"/>
      <c r="Y199" s="726" t="n"/>
      <c r="Z199" s="627" t="n"/>
      <c r="AA199" s="628" t="n"/>
      <c r="AB199">
        <f>CC199&amp;CD199&amp;CE199&amp;CF199&amp;CG199&amp;CH199&amp;CI199</f>
        <v/>
      </c>
      <c r="CB199" s="126" t="n"/>
      <c r="CC199" s="90">
        <f>IF(AND($E199&gt;0,U199="")," *No olvide digitar la variable Gestantes. Digite Cero si no tiene.",IF(U199&gt;$E199," *La variable Gestantes No puede ser mayor al Total Mujeres.",""))</f>
        <v/>
      </c>
      <c r="CD199" s="90">
        <f>IF(AND($C199&gt;0,V199="")," *No olvide digitar la variable Migrantes. Digite Cero si no tiene.",IF(V199&gt;$C199," *La variable Migrantes No puede ser mayor al Total Ambos Sexos.",""))</f>
        <v/>
      </c>
      <c r="CE199" s="90">
        <f>IF(AND($C199&gt;0,W199="")," *No olvide digitar la variable Pueblos Originarios. Digite Cero si no tiene.",IF(W199&gt;$C199," *La variable Pueblos Originarios No puede ser mayor al Total Ambos Sexos.",""))</f>
        <v/>
      </c>
      <c r="CF199" s="90">
        <f>IF(AND($C199&gt;0,X199="")," *No olvide digitar la variable SENAME/Servicio Nacional de Reinserción social Juvenil. Digite Cero si no tiene.",IF(X199&gt;$C199," *La variable SENAME/Servicio Nacional de Reinserción social Juvenil, No puede ser mayor al Total Ambos Sexos.",""))</f>
        <v/>
      </c>
      <c r="CG199" s="90">
        <f>IF(AND($C199&gt;0,Y199="")," *No olvide digitar la variable Servicio Nacional Protección Especializada a la Niñez y Adolescencia. Digite Cero si no tiene.",IF(Y199&gt;$C199," *La variable Servicio Nacional Protección Especializada a la Niñez y Adolescencia No puede ser mayor al Total Ambos Sexos.",""))</f>
        <v/>
      </c>
      <c r="CH199" s="90">
        <f>IF(AND(E199&gt;0,OR(Z199=""))," *No olvide digitar la variable Trans (Masculino). Digite Cero si no tiene.",IF((Z199)&gt;E199," *La variable Trans (Masculino) No puede ser mayor al Total Mujeres.",""))</f>
        <v/>
      </c>
      <c r="CI199" s="90">
        <f>IF(AND(D199&gt;0,OR(AA199=""))," *No olvide digitar la variable Trans (Femenino). Digite Cero si no tiene.",IF((AA199)&gt;D199," *La variable Trans (Femenino) No puede ser mayor al Total Hombres.",""))</f>
        <v/>
      </c>
      <c r="CN199" s="126" t="n"/>
      <c r="CO199" s="52">
        <f>IF(AND($E199&gt;0,U199=""),1,IF(U199&gt;$E199,1,0))</f>
        <v/>
      </c>
      <c r="CP199" s="52">
        <f>IF(AND($C199&gt;0,V199=""),1,IF(V199&gt;$C199,1,0))</f>
        <v/>
      </c>
      <c r="CQ199" s="52">
        <f>IF(AND($C199&gt;0,W199=""),1,IF(W199&gt;$C199,1,0))</f>
        <v/>
      </c>
      <c r="CR199" s="52">
        <f>IF(AND($C199&gt;0,X199=""),1,IF(X199&gt;$C199,1,0))</f>
        <v/>
      </c>
      <c r="CS199" s="52">
        <f>IF(AND($C199&gt;0,Y199=""),1,IF(Y199&gt;$C199,1,0))</f>
        <v/>
      </c>
      <c r="CT199" s="52">
        <f>IF(AND($E199&gt;0,Z199=""),1,IF(Z199&gt;$E199,1,0))</f>
        <v/>
      </c>
      <c r="CU199" s="221">
        <f>IF(AND($D199&gt;0,AA199=""),1,IF(AA199&gt;$D199,1,0))</f>
        <v/>
      </c>
    </row>
    <row r="200">
      <c r="A200" s="9718" t="n"/>
      <c r="B200" s="2623" t="inlineStr">
        <is>
          <t>Abuso sexual infantil</t>
        </is>
      </c>
      <c r="C200" s="1254">
        <f>SUM(D200,E200)</f>
        <v/>
      </c>
      <c r="D200" s="2340">
        <f>SUM(F200,H200,J200,L200)</f>
        <v/>
      </c>
      <c r="E200" s="2285">
        <f>SUM(G200,I200,K200,M200)</f>
        <v/>
      </c>
      <c r="F200" s="2624" t="n"/>
      <c r="G200" s="1104" t="n"/>
      <c r="H200" s="2624" t="n"/>
      <c r="I200" s="1104" t="n"/>
      <c r="J200" s="2624" t="n"/>
      <c r="K200" s="1104" t="n"/>
      <c r="L200" s="2624" t="n"/>
      <c r="M200" s="1104" t="n"/>
      <c r="N200" s="2625" t="n"/>
      <c r="O200" s="1105" t="n"/>
      <c r="P200" s="2625" t="n"/>
      <c r="Q200" s="1105" t="n"/>
      <c r="R200" s="2626" t="n"/>
      <c r="S200" s="829" t="n"/>
      <c r="T200" s="735" t="n"/>
      <c r="U200" s="732" t="n"/>
      <c r="V200" s="729" t="n"/>
      <c r="W200" s="723" t="n"/>
      <c r="X200" s="720" t="n"/>
      <c r="Y200" s="726" t="n"/>
      <c r="Z200" s="627" t="n"/>
      <c r="AA200" s="628" t="n"/>
      <c r="AB200">
        <f>CC200&amp;CD200&amp;CE200&amp;CF200&amp;CG200&amp;CH200&amp;CI200</f>
        <v/>
      </c>
      <c r="CB200" s="126" t="n"/>
      <c r="CC200" s="90">
        <f>IF(AND($E200&gt;0,U200="")," *No olvide digitar la variable Gestantes. Digite Cero si no tiene.",IF(U200&gt;$E200," *La variable Gestantes No puede ser mayor al Total Mujeres.",""))</f>
        <v/>
      </c>
      <c r="CD200" s="90">
        <f>IF(AND($C200&gt;0,V200="")," *No olvide digitar la variable Migrantes. Digite Cero si no tiene.",IF(V200&gt;$C200," *La variable Migrantes No puede ser mayor al Total Ambos Sexos.",""))</f>
        <v/>
      </c>
      <c r="CE200" s="90">
        <f>IF(AND($C200&gt;0,W200="")," *No olvide digitar la variable Pueblos Originarios. Digite Cero si no tiene.",IF(W200&gt;$C200," *La variable Pueblos Originarios No puede ser mayor al Total Ambos Sexos.",""))</f>
        <v/>
      </c>
      <c r="CF200" s="90">
        <f>IF(AND($C200&gt;0,X200="")," *No olvide digitar la variable SENAME/Servicio Nacional de Reinserción social Juvenil. Digite Cero si no tiene.",IF(X200&gt;$C200," *La variable SENAME/Servicio Nacional de Reinserción social Juvenil, No puede ser mayor al Total Ambos Sexos.",""))</f>
        <v/>
      </c>
      <c r="CG200" s="90">
        <f>IF(AND($C200&gt;0,Y200="")," *No olvide digitar la variable Servicio Nacional Protección Especializada a la Niñez y Adolescencia. Digite Cero si no tiene.",IF(Y200&gt;$C200," *La variable Servicio Nacional Protección Especializada a la Niñez y Adolescencia No puede ser mayor al Total Ambos Sexos.",""))</f>
        <v/>
      </c>
      <c r="CH200" s="90">
        <f>IF(AND(E200&gt;0,OR(Z200=""))," *No olvide digitar la variable Trans (Masculino). Digite Cero si no tiene.",IF((Z200)&gt;E200," *La variable Trans (Masculino) No puede ser mayor al Total Mujeres.",""))</f>
        <v/>
      </c>
      <c r="CI200" s="90">
        <f>IF(AND(D200&gt;0,OR(AA200=""))," *No olvide digitar la variable Trans (Femenino). Digite Cero si no tiene.",IF((AA200)&gt;D200," *La variable Trans (Femenino) No puede ser mayor al Total Hombres.",""))</f>
        <v/>
      </c>
      <c r="CN200" s="126" t="n"/>
      <c r="CO200" s="52">
        <f>IF(AND($E200&gt;0,U200=""),1,IF(U200&gt;$E200,1,0))</f>
        <v/>
      </c>
      <c r="CP200" s="52">
        <f>IF(AND($C200&gt;0,V200=""),1,IF(V200&gt;$C200,1,0))</f>
        <v/>
      </c>
      <c r="CQ200" s="52">
        <f>IF(AND($C200&gt;0,W200=""),1,IF(W200&gt;$C200,1,0))</f>
        <v/>
      </c>
      <c r="CR200" s="52">
        <f>IF(AND($C200&gt;0,X200=""),1,IF(X200&gt;$C200,1,0))</f>
        <v/>
      </c>
      <c r="CS200" s="52">
        <f>IF(AND($C200&gt;0,Y200=""),1,IF(Y200&gt;$C200,1,0))</f>
        <v/>
      </c>
      <c r="CT200" s="52">
        <f>IF(AND($E200&gt;0,Z200=""),1,IF(Z200&gt;$E200,1,0))</f>
        <v/>
      </c>
      <c r="CU200" s="221">
        <f>IF(AND($D200&gt;0,AA200=""),1,IF(AA200&gt;$D200,1,0))</f>
        <v/>
      </c>
    </row>
    <row r="201">
      <c r="A201" s="9718" t="n"/>
      <c r="B201" s="2623" t="inlineStr">
        <is>
          <t xml:space="preserve">Negligencia </t>
        </is>
      </c>
      <c r="C201" s="1254">
        <f>SUM(D201,E201)</f>
        <v/>
      </c>
      <c r="D201" s="2340">
        <f>SUM(F201,H201,J201,L201,N201,P201,R201)</f>
        <v/>
      </c>
      <c r="E201" s="2285">
        <f>SUM(G201,I201,K201,M201,O201,Q201,S201)</f>
        <v/>
      </c>
      <c r="F201" s="2624" t="n"/>
      <c r="G201" s="1104" t="n"/>
      <c r="H201" s="2624" t="n"/>
      <c r="I201" s="1104" t="n"/>
      <c r="J201" s="2624" t="n"/>
      <c r="K201" s="1104" t="n"/>
      <c r="L201" s="2624" t="n"/>
      <c r="M201" s="1104" t="n"/>
      <c r="N201" s="2624" t="n"/>
      <c r="O201" s="1104" t="n"/>
      <c r="P201" s="2624" t="n"/>
      <c r="Q201" s="1104" t="n"/>
      <c r="R201" s="2627" t="n"/>
      <c r="S201" s="830" t="n"/>
      <c r="T201" s="735" t="n"/>
      <c r="U201" s="732" t="n"/>
      <c r="V201" s="729" t="n"/>
      <c r="W201" s="723" t="n"/>
      <c r="X201" s="720" t="n"/>
      <c r="Y201" s="726" t="n"/>
      <c r="Z201" s="627" t="n"/>
      <c r="AA201" s="628" t="n"/>
      <c r="AB201">
        <f>CC201&amp;CD201&amp;CE201&amp;CF201&amp;CG201&amp;CH201&amp;CI201</f>
        <v/>
      </c>
      <c r="CB201" s="126" t="n"/>
      <c r="CC201" s="90">
        <f>IF(AND($E201&gt;0,U201="")," *No olvide digitar la variable Gestantes. Digite Cero si no tiene.",IF(U201&gt;$E201," *La variable Gestantes No puede ser mayor al Total Mujeres.",""))</f>
        <v/>
      </c>
      <c r="CD201" s="90">
        <f>IF(AND($C201&gt;0,V201="")," *No olvide digitar la variable Migrantes. Digite Cero si no tiene.",IF(V201&gt;$C201," *La variable Migrantes No puede ser mayor al Total Ambos Sexos.",""))</f>
        <v/>
      </c>
      <c r="CE201" s="90">
        <f>IF(AND($C201&gt;0,W201="")," *No olvide digitar la variable Pueblos Originarios. Digite Cero si no tiene.",IF(W201&gt;$C201," *La variable Pueblos Originarios No puede ser mayor al Total Ambos Sexos.",""))</f>
        <v/>
      </c>
      <c r="CF201" s="90">
        <f>IF(AND($C201&gt;0,X201="")," *No olvide digitar la variable SENAME/Servicio Nacional de Reinserción social Juvenil. Digite Cero si no tiene.",IF(X201&gt;$C201," *La variable SENAME/Servicio Nacional de Reinserción social Juvenil, No puede ser mayor al Total Ambos Sexos.",""))</f>
        <v/>
      </c>
      <c r="CG201" s="90">
        <f>IF(AND($C201&gt;0,Y201="")," *No olvide digitar la variable Servicio Nacional Protección Especializada a la Niñez y Adolescencia. Digite Cero si no tiene.",IF(Y201&gt;$C201," *La variable Servicio Nacional Protección Especializada a la Niñez y Adolescencia No puede ser mayor al Total Ambos Sexos.",""))</f>
        <v/>
      </c>
      <c r="CH201" s="90">
        <f>IF(AND(E201&gt;0,OR(Z201=""))," *No olvide digitar la variable Trans (Masculino). Digite Cero si no tiene.",IF((Z201)&gt;E201," *La variable Trans (Masculino) No puede ser mayor al Total Mujeres.",""))</f>
        <v/>
      </c>
      <c r="CI201" s="90">
        <f>IF(AND(D201&gt;0,OR(AA201=""))," *No olvide digitar la variable Trans (Femenino). Digite Cero si no tiene.",IF((AA201)&gt;D201," *La variable Trans (Femenino) No puede ser mayor al Total Hombres.",""))</f>
        <v/>
      </c>
      <c r="CN201" s="126" t="n"/>
      <c r="CO201" s="52">
        <f>IF(AND($E201&gt;0,U201=""),1,IF(U201&gt;$E201,1,0))</f>
        <v/>
      </c>
      <c r="CP201" s="52">
        <f>IF(AND($C201&gt;0,V201=""),1,IF(V201&gt;$C201,1,0))</f>
        <v/>
      </c>
      <c r="CQ201" s="52">
        <f>IF(AND($C201&gt;0,W201=""),1,IF(W201&gt;$C201,1,0))</f>
        <v/>
      </c>
      <c r="CR201" s="52">
        <f>IF(AND($C201&gt;0,X201=""),1,IF(X201&gt;$C201,1,0))</f>
        <v/>
      </c>
      <c r="CS201" s="52">
        <f>IF(AND($C201&gt;0,Y201=""),1,IF(Y201&gt;$C201,1,0))</f>
        <v/>
      </c>
      <c r="CT201" s="52">
        <f>IF(AND($E201&gt;0,Z201=""),1,IF(Z201&gt;$E201,1,0))</f>
        <v/>
      </c>
      <c r="CU201" s="221">
        <f>IF(AND($D201&gt;0,AA201=""),1,IF(AA201&gt;$D201,1,0))</f>
        <v/>
      </c>
    </row>
    <row r="202">
      <c r="A202" s="9639" t="n"/>
      <c r="B202" s="1958" t="inlineStr">
        <is>
          <t>Otras</t>
        </is>
      </c>
      <c r="C202" s="1252">
        <f>SUM(D202,E202)</f>
        <v/>
      </c>
      <c r="D202" s="1253">
        <f>SUM(F202,H202,J202,L202,N202,P202,R202)</f>
        <v/>
      </c>
      <c r="E202" s="2290">
        <f>SUM(G202,I202,K202,M202,O202,Q202,S202)</f>
        <v/>
      </c>
      <c r="F202" s="1960" t="n"/>
      <c r="G202" s="1962" t="n"/>
      <c r="H202" s="1960" t="n"/>
      <c r="I202" s="1962" t="n"/>
      <c r="J202" s="1960" t="n"/>
      <c r="K202" s="1962" t="n"/>
      <c r="L202" s="1960" t="n"/>
      <c r="M202" s="1962" t="n"/>
      <c r="N202" s="1960" t="n"/>
      <c r="O202" s="1962" t="n"/>
      <c r="P202" s="1960" t="n"/>
      <c r="Q202" s="1962" t="n"/>
      <c r="R202" s="1961" t="n"/>
      <c r="S202" s="2628" t="n"/>
      <c r="T202" s="736" t="n"/>
      <c r="U202" s="733" t="n"/>
      <c r="V202" s="730" t="n"/>
      <c r="W202" s="724" t="n"/>
      <c r="X202" s="721" t="n"/>
      <c r="Y202" s="727" t="n"/>
      <c r="Z202" s="629" t="n"/>
      <c r="AA202" s="630" t="n"/>
      <c r="AB202">
        <f>CC202&amp;CD202&amp;CE202&amp;CF202&amp;CG202&amp;CH202&amp;CI202</f>
        <v/>
      </c>
      <c r="CB202" s="126" t="n"/>
      <c r="CC202" s="90">
        <f>IF(AND($E202&gt;0,U202="")," *No olvide digitar la variable Gestantes. Digite Cero si no tiene.",IF(U202&gt;$E202," *La variable Gestantes No puede ser mayor al Total Mujeres.",""))</f>
        <v/>
      </c>
      <c r="CD202" s="90">
        <f>IF(AND($C202&gt;0,V202="")," *No olvide digitar la variable Migrantes. Digite Cero si no tiene.",IF(V202&gt;$C202," *La variable Migrantes No puede ser mayor al Total Ambos Sexos.",""))</f>
        <v/>
      </c>
      <c r="CE202" s="90">
        <f>IF(AND($C202&gt;0,W202="")," *No olvide digitar la variable Pueblos Originarios. Digite Cero si no tiene.",IF(W202&gt;$C202," *La variable Pueblos Originarios No puede ser mayor al Total Ambos Sexos.",""))</f>
        <v/>
      </c>
      <c r="CF202" s="90">
        <f>IF(AND($C202&gt;0,X202="")," *No olvide digitar la variable SENAME/Servicio Nacional de Reinserción social Juvenil. Digite Cero si no tiene.",IF(X202&gt;$C202," *La variable SENAME/Servicio Nacional de Reinserción social Juvenil, No puede ser mayor al Total Ambos Sexos.",""))</f>
        <v/>
      </c>
      <c r="CG202" s="90">
        <f>IF(AND($C202&gt;0,Y202="")," *No olvide digitar la variable Servicio Nacional Protección Especializada a la Niñez y Adolescencia. Digite Cero si no tiene.",IF(Y202&gt;$C202," *La variable Servicio Nacional Protección Especializada a la Niñez y Adolescencia No puede ser mayor al Total Ambos Sexos.",""))</f>
        <v/>
      </c>
      <c r="CH202" s="90">
        <f>IF(AND(E202&gt;0,OR(Z202=""))," *No olvide digitar la variable Trans (Masculino). Digite Cero si no tiene.",IF((Z202)&gt;E202," *La variable Trans (Masculino) No puede ser mayor al Total Mujeres.",""))</f>
        <v/>
      </c>
      <c r="CI202" s="90">
        <f>IF(AND(D202&gt;0,OR(AA202=""))," *No olvide digitar la variable Trans (Femenino). Digite Cero si no tiene.",IF((AA202)&gt;D202," *La variable Trans (Femenino) No puede ser mayor al Total Hombres.",""))</f>
        <v/>
      </c>
      <c r="CN202" s="126" t="n"/>
      <c r="CO202" s="52">
        <f>IF(AND($E202&gt;0,U202=""),1,IF(U202&gt;$E202,1,0))</f>
        <v/>
      </c>
      <c r="CP202" s="52">
        <f>IF(AND($C202&gt;0,V202=""),1,IF(V202&gt;$C202,1,0))</f>
        <v/>
      </c>
      <c r="CQ202" s="52">
        <f>IF(AND($C202&gt;0,W202=""),1,IF(W202&gt;$C202,1,0))</f>
        <v/>
      </c>
      <c r="CR202" s="52">
        <f>IF(AND($C202&gt;0,X202=""),1,IF(X202&gt;$C202,1,0))</f>
        <v/>
      </c>
      <c r="CS202" s="52">
        <f>IF(AND($C202&gt;0,Y202=""),1,IF(Y202&gt;$C202,1,0))</f>
        <v/>
      </c>
      <c r="CT202" s="52">
        <f>IF(AND($E202&gt;0,Z202=""),1,IF(Z202&gt;$E202,1,0))</f>
        <v/>
      </c>
      <c r="CU202" s="221">
        <f>IF(AND($D202&gt;0,AA202=""),1,IF(AA202&gt;$D202,1,0))</f>
        <v/>
      </c>
    </row>
    <row r="203" ht="18" customHeight="1" s="8286">
      <c r="A203" s="10150" t="inlineStr">
        <is>
          <t>SECCIÓN G:  ACTIVIDADES COMITÉ ONCOLÓGICO</t>
        </is>
      </c>
      <c r="B203" s="9602" t="n"/>
      <c r="C203" s="9602" t="n"/>
      <c r="D203" s="9602" t="n"/>
      <c r="E203" s="9602" t="n"/>
    </row>
    <row r="204">
      <c r="A204" s="10151" t="inlineStr">
        <is>
          <t>TIPO ACTIVIDAD</t>
        </is>
      </c>
      <c r="B204" s="9722" t="n"/>
      <c r="C204" s="10164" t="inlineStr">
        <is>
          <t>Total</t>
        </is>
      </c>
      <c r="D204" s="4974" t="inlineStr">
        <is>
          <t>Hombres</t>
        </is>
      </c>
      <c r="E204" s="10152" t="inlineStr">
        <is>
          <t>Mujeres</t>
        </is>
      </c>
      <c r="F204" s="4568" t="inlineStr">
        <is>
          <t>Menor de 18 años</t>
        </is>
      </c>
      <c r="G204" s="9647" t="n"/>
      <c r="H204" s="4568" t="inlineStr">
        <is>
          <t>18 años y más</t>
        </is>
      </c>
      <c r="I204" s="9647" t="n"/>
      <c r="CU204" s="17" t="n"/>
      <c r="CV204" s="17" t="n"/>
      <c r="CW204" s="17" t="n"/>
      <c r="CX204" s="17" t="n"/>
    </row>
    <row r="205">
      <c r="A205" s="642" t="n"/>
      <c r="B205" s="9718" t="n"/>
      <c r="C205" s="9627" t="n"/>
      <c r="D205" s="10158" t="n"/>
      <c r="E205" s="9718" t="n"/>
      <c r="F205" s="4650" t="inlineStr">
        <is>
          <t>Hombres</t>
        </is>
      </c>
      <c r="G205" s="4671" t="inlineStr">
        <is>
          <t>Mujeres</t>
        </is>
      </c>
      <c r="H205" s="4946" t="inlineStr">
        <is>
          <t>Hombres</t>
        </is>
      </c>
      <c r="I205" s="10165" t="inlineStr">
        <is>
          <t>Mujeres</t>
        </is>
      </c>
      <c r="CU205" s="17" t="n"/>
      <c r="CV205" s="17" t="n"/>
      <c r="CW205" s="17" t="n"/>
      <c r="CX205" s="17" t="n"/>
    </row>
    <row r="206">
      <c r="A206" s="9638" t="n"/>
      <c r="B206" s="9639" t="n"/>
      <c r="C206" s="9621" t="n"/>
      <c r="D206" s="10055" t="n"/>
      <c r="E206" s="9776" t="n"/>
      <c r="F206" s="10055" t="n"/>
      <c r="G206" s="10056" t="n"/>
      <c r="H206" s="9688" t="n"/>
      <c r="I206" s="9639" t="n"/>
      <c r="CU206" s="17" t="n"/>
      <c r="CV206" s="17" t="n"/>
      <c r="CW206" s="17" t="n"/>
      <c r="CX206" s="17" t="n"/>
    </row>
    <row r="207" ht="22.5" customHeight="1" s="8286">
      <c r="A207" s="5105" t="inlineStr">
        <is>
          <t>Casos con confirmación diagnóstica presentados a comité oncológico multidisciplinario antes del primer tratamiento.</t>
        </is>
      </c>
      <c r="B207" s="9643" t="n"/>
      <c r="C207" s="2629">
        <f>SUM(F207:I207)</f>
        <v/>
      </c>
      <c r="D207" s="2630">
        <f>SUM(F207+H207)</f>
        <v/>
      </c>
      <c r="E207" s="2631">
        <f>SUM(G207+I207)</f>
        <v/>
      </c>
      <c r="F207" s="2632" t="n"/>
      <c r="G207" s="2633" t="n"/>
      <c r="H207" s="2634" t="n"/>
      <c r="I207" s="2635" t="n"/>
      <c r="CU207" s="17" t="n"/>
      <c r="CV207" s="17" t="n"/>
      <c r="CW207" s="17" t="n"/>
      <c r="CX207" s="17" t="n"/>
    </row>
    <row r="208" ht="15" customHeight="1" s="8286">
      <c r="A208" s="3197" t="inlineStr">
        <is>
          <t>Casos totales presentados a Comité Oncológico multidisciplinario</t>
        </is>
      </c>
      <c r="B208" s="9776" t="n"/>
      <c r="C208" s="2629">
        <f>SUM(F208:I208)</f>
        <v/>
      </c>
      <c r="D208" s="2605">
        <f>SUM(F208+H208)</f>
        <v/>
      </c>
      <c r="E208" s="2631">
        <f>SUM(G208+I208)</f>
        <v/>
      </c>
      <c r="F208" s="2636" t="n"/>
      <c r="G208" s="631" t="n"/>
      <c r="H208" s="2637" t="n"/>
      <c r="I208" s="2638" t="n"/>
      <c r="CU208" s="17" t="n"/>
      <c r="CV208" s="17" t="n"/>
      <c r="CW208" s="17" t="n"/>
      <c r="CX208" s="17" t="n"/>
    </row>
    <row r="209">
      <c r="A209" s="10150" t="inlineStr">
        <is>
          <t>SECCIÓN H: TERAPIA HORMONAL GENERO AFIRMATIVA (THGA) EN MAYORES DE 18 AÑOS</t>
        </is>
      </c>
      <c r="B209" s="9602" t="n"/>
      <c r="C209" s="9602" t="n"/>
      <c r="D209" s="9602" t="n"/>
      <c r="E209" s="9602" t="n"/>
      <c r="F209" s="171" t="n"/>
      <c r="G209" s="171" t="n"/>
      <c r="H209" s="171" t="n"/>
      <c r="I209" s="329" t="n"/>
      <c r="J209" s="329" t="n"/>
      <c r="K209" s="329" t="n"/>
      <c r="L209" s="329" t="n"/>
      <c r="M209" s="329" t="n"/>
    </row>
    <row r="210" ht="30" customHeight="1" s="8286">
      <c r="A210" s="8400" t="inlineStr">
        <is>
          <t>ACTIVIDAD</t>
        </is>
      </c>
      <c r="B210" s="8400" t="inlineStr">
        <is>
          <t>TOTAL</t>
        </is>
      </c>
      <c r="C210" s="9976" t="inlineStr">
        <is>
          <t>RANGO ETARIO Y SEXO</t>
        </is>
      </c>
      <c r="D210" s="9584" t="n"/>
      <c r="E210" s="9584" t="n"/>
      <c r="F210" s="9584" t="n"/>
      <c r="G210" s="9584" t="n"/>
      <c r="H210" s="9584" t="n"/>
      <c r="I210" s="9584" t="n"/>
      <c r="J210" s="9595" t="n"/>
      <c r="K210" s="10166" t="inlineStr">
        <is>
          <t>IDENTIDAD DE GÉNERO</t>
        </is>
      </c>
      <c r="L210" s="9602" t="n"/>
      <c r="M210" s="9630" t="n"/>
    </row>
    <row r="211">
      <c r="A211" s="9614" t="n"/>
      <c r="B211" s="9614" t="n"/>
      <c r="C211" s="4568" t="inlineStr">
        <is>
          <t>18 -19 años</t>
        </is>
      </c>
      <c r="D211" s="9647" t="n"/>
      <c r="E211" s="4505" t="inlineStr">
        <is>
          <t>20 - 24 años</t>
        </is>
      </c>
      <c r="F211" s="9647" t="n"/>
      <c r="G211" s="4505" t="inlineStr">
        <is>
          <t>25 - 29 años</t>
        </is>
      </c>
      <c r="H211" s="9647" t="n"/>
      <c r="I211" s="9915" t="inlineStr">
        <is>
          <t>30 años o mas</t>
        </is>
      </c>
      <c r="J211" s="9595" t="n"/>
      <c r="K211" s="9650" t="n"/>
      <c r="L211" s="9697" t="n"/>
      <c r="M211" s="9639" t="n"/>
    </row>
    <row r="212">
      <c r="A212" s="9610" t="n"/>
      <c r="B212" s="9610" t="n"/>
      <c r="C212" s="7932" t="inlineStr">
        <is>
          <t xml:space="preserve">Hombre </t>
        </is>
      </c>
      <c r="D212" s="7807" t="inlineStr">
        <is>
          <t xml:space="preserve">Mujer </t>
        </is>
      </c>
      <c r="E212" s="2639" t="inlineStr">
        <is>
          <t xml:space="preserve">Hombre </t>
        </is>
      </c>
      <c r="F212" s="7883" t="inlineStr">
        <is>
          <t xml:space="preserve">Mujer </t>
        </is>
      </c>
      <c r="G212" s="2639" t="inlineStr">
        <is>
          <t xml:space="preserve">Hombre </t>
        </is>
      </c>
      <c r="H212" s="7807" t="inlineStr">
        <is>
          <t xml:space="preserve">Mujer </t>
        </is>
      </c>
      <c r="I212" s="2639" t="inlineStr">
        <is>
          <t xml:space="preserve">Hombre </t>
        </is>
      </c>
      <c r="J212" s="2640" t="inlineStr">
        <is>
          <t xml:space="preserve">Mujer </t>
        </is>
      </c>
      <c r="K212" s="2641" t="inlineStr">
        <is>
          <t>Trans Masculino</t>
        </is>
      </c>
      <c r="L212" s="2642" t="inlineStr">
        <is>
          <t>Trans Femenina</t>
        </is>
      </c>
      <c r="M212" s="2643" t="inlineStr">
        <is>
          <t>No Binarie</t>
        </is>
      </c>
    </row>
    <row r="213">
      <c r="A213" s="2315" t="inlineStr">
        <is>
          <t xml:space="preserve">N° de personas en atención </t>
        </is>
      </c>
      <c r="B213" s="2315">
        <f>SUM(C213:J213)</f>
        <v/>
      </c>
      <c r="C213" s="2266" t="n"/>
      <c r="D213" s="2336" t="n"/>
      <c r="E213" s="2266" t="n"/>
      <c r="F213" s="2399" t="n"/>
      <c r="G213" s="2266" t="n"/>
      <c r="H213" s="2336" t="n"/>
      <c r="I213" s="2266" t="n"/>
      <c r="J213" s="2511" t="n"/>
      <c r="K213" s="2376" t="n"/>
      <c r="L213" s="835" t="n"/>
      <c r="M213" s="2336" t="n"/>
      <c r="N213">
        <f>CB213&amp;CC213&amp;CD213&amp;CE213</f>
        <v/>
      </c>
      <c r="CB213" s="90">
        <f>IF(AND(B213&gt;0,OR(K213=""))," *No olvide digitar la variable IDENTIDAD DE GÉNERO/Trans Masculino. Digite Cero si no tiene.","")</f>
        <v/>
      </c>
      <c r="CC213" s="90">
        <f>IF(AND($B213&gt;0,OR(L213=""))," *No olvide digitar la variable IDENTIDAD DE GÉNERO/Trans Femenino. Digite Cero si no tiene.","")</f>
        <v/>
      </c>
      <c r="CD213" s="90">
        <f>IF(AND(B213&gt;0,OR(M213=""))," *No olvide digitar la variable IDENTIDAD DE GÉNERO/Binarie. Digite Cero si no tiene.","")</f>
        <v/>
      </c>
      <c r="CE213" s="90">
        <f>IF((K213+L213+M213)&lt;&gt;B213," *La variable IDENTIDAD DE GÉNERO debe ser igual al total.","")</f>
        <v/>
      </c>
      <c r="CN213" s="127">
        <f>IF(AND($B213&gt;0,(K213="")),1,0)</f>
        <v/>
      </c>
      <c r="CO213" s="127">
        <f>IF(AND($B213&gt;0,(L213="")),1,0)</f>
        <v/>
      </c>
      <c r="CP213" s="127">
        <f>IF(AND($B213&gt;0,(M213="")),1,0)</f>
        <v/>
      </c>
      <c r="CQ213" s="127">
        <f>IF((K213+L213+M213)&lt;&gt;B213,1,0)</f>
        <v/>
      </c>
    </row>
    <row r="214">
      <c r="A214" s="1144" t="inlineStr">
        <is>
          <t>Primera consulta</t>
        </is>
      </c>
      <c r="B214" s="1144">
        <f>SUM(C214:J214)</f>
        <v/>
      </c>
      <c r="C214" s="2266" t="n"/>
      <c r="D214" s="2336" t="n"/>
      <c r="E214" s="2266" t="n"/>
      <c r="F214" s="2399" t="n"/>
      <c r="G214" s="2266" t="n"/>
      <c r="H214" s="2336" t="n"/>
      <c r="I214" s="2266" t="n"/>
      <c r="J214" s="2511" t="n"/>
      <c r="K214" s="2376" t="n"/>
      <c r="L214" s="835" t="n"/>
      <c r="M214" s="2336" t="n"/>
      <c r="N214">
        <f>CB214&amp;CC214&amp;CD214&amp;CE214</f>
        <v/>
      </c>
      <c r="CB214" s="90">
        <f>IF(AND(B214&gt;0,OR(K214=""))," *No olvide digitar la variable IDENTIDAD DE GÉNERO/Trans Masculino. Digite Cero si no tiene.","")</f>
        <v/>
      </c>
      <c r="CC214" s="90">
        <f>IF(AND($B214&gt;0,OR(L214=""))," *No olvide digitar la variable IDENTIDAD DE GÉNERO/Trans Femenino. Digite Cero si no tiene.","")</f>
        <v/>
      </c>
      <c r="CD214" s="90">
        <f>IF(AND(B214&gt;0,OR(M214=""))," *No olvide digitar la variable IDENTIDAD DE GÉNERO/Binarie. Digite Cero si no tiene.","")</f>
        <v/>
      </c>
      <c r="CE214" s="90">
        <f>IF((K214+L214+M214)&lt;&gt;B214," *La variable IDENTIDAD DE GÉNERO debe ser igual al total.","")</f>
        <v/>
      </c>
      <c r="CN214" s="127">
        <f>IF(AND($B214&gt;0,(K214="")),1,0)</f>
        <v/>
      </c>
      <c r="CO214" s="127">
        <f>IF(AND($B214&gt;0,(L214="")),1,0)</f>
        <v/>
      </c>
      <c r="CP214" s="127">
        <f>IF(AND($B214&gt;0,(M214="")),1,0)</f>
        <v/>
      </c>
      <c r="CQ214" s="127">
        <f>IF((K214+L214+M214)&lt;&gt;B214,1,0)</f>
        <v/>
      </c>
    </row>
    <row r="215">
      <c r="A215" s="2513" t="inlineStr">
        <is>
          <t>Control Integral</t>
        </is>
      </c>
      <c r="B215" s="2513">
        <f>SUM(C215:J215)</f>
        <v/>
      </c>
      <c r="C215" s="5195" t="n"/>
      <c r="D215" s="5196" t="n"/>
      <c r="E215" s="5195" t="n"/>
      <c r="F215" s="5197" t="n"/>
      <c r="G215" s="5195" t="n"/>
      <c r="H215" s="5196" t="n"/>
      <c r="I215" s="5195" t="n"/>
      <c r="J215" s="5198" t="n"/>
      <c r="K215" s="5199" t="n"/>
      <c r="L215" s="5200" t="n"/>
      <c r="M215" s="5196" t="n"/>
      <c r="N215">
        <f>CB215&amp;CC215&amp;CD215&amp;CE215</f>
        <v/>
      </c>
      <c r="CB215" s="90">
        <f>IF(AND(B215&gt;0,OR(K215=""))," *No olvide digitar la variable IDENTIDAD DE GÉNERO/Trans Masculino. Digite Cero si no tiene.","")</f>
        <v/>
      </c>
      <c r="CC215" s="90">
        <f>IF(AND($B215&gt;0,OR(L215=""))," *No olvide digitar la variable IDENTIDAD DE GÉNERO/Trans Femenino. Digite Cero si no tiene.","")</f>
        <v/>
      </c>
      <c r="CD215" s="90">
        <f>IF(AND(B215&gt;0,OR(M215=""))," *No olvide digitar la variable IDENTIDAD DE GÉNERO/Binarie. Digite Cero si no tiene.","")</f>
        <v/>
      </c>
      <c r="CE215" s="90">
        <f>IF((K215+L215+M215)&lt;&gt;B215," *La variable IDENTIDAD DE GÉNERO debe ser igual al total.","")</f>
        <v/>
      </c>
      <c r="CN215" s="127">
        <f>IF(AND($B215&gt;0,(K215="")),1,0)</f>
        <v/>
      </c>
      <c r="CO215" s="127">
        <f>IF(AND($B215&gt;0,(L215="")),1,0)</f>
        <v/>
      </c>
      <c r="CP215" s="127">
        <f>IF(AND($B215&gt;0,(M215="")),1,0)</f>
        <v/>
      </c>
      <c r="CQ215" s="127">
        <f>IF((K215+L215+M215)&lt;&gt;B215,1,0)</f>
        <v/>
      </c>
    </row>
    <row r="216">
      <c r="A216" s="906" t="n"/>
    </row>
    <row r="239" hidden="1" ht="24" customHeight="1" s="8286">
      <c r="A239" s="282">
        <f>SUM(B12:B66,X12:X66,AB12:AB66,AF12:AG66,B71:B125,F71:F125,J71:J125,N71:N125,Q71:AI125,B129:B145,C151:C161,C167:C177,C182:C191,C196:C202,C207:C208,B213:B215)</f>
        <v/>
      </c>
      <c r="B239" s="283">
        <f>SUM(CM12:CU215)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cXEMRDJmOn2+WTgxQMEF2g==" formatRows="1" sort="1" spinCount="100000" hashValue="bJUUQoSLWK0Sx068TWg5zIddUYxT+F/UTTCkMCKufRrkLPzwbfQdxXzq64rnI1h4XMQBv1H5fBlk3fqJ2qLSaQ=="/>
  <mergeCells count="174">
    <mergeCell ref="AH149:AI149"/>
    <mergeCell ref="AF9:AG10"/>
    <mergeCell ref="J180:K180"/>
    <mergeCell ref="A210:A212"/>
    <mergeCell ref="C10:T10"/>
    <mergeCell ref="AD69:AD70"/>
    <mergeCell ref="X10:AA10"/>
    <mergeCell ref="AB10:AE10"/>
    <mergeCell ref="A162:B162"/>
    <mergeCell ref="H180:I180"/>
    <mergeCell ref="P149:Q149"/>
    <mergeCell ref="T165:U165"/>
    <mergeCell ref="AN179:AN181"/>
    <mergeCell ref="R149:S149"/>
    <mergeCell ref="L180:M180"/>
    <mergeCell ref="N69:P69"/>
    <mergeCell ref="N180:O180"/>
    <mergeCell ref="AF180:AG180"/>
    <mergeCell ref="AH180:AI180"/>
    <mergeCell ref="Z165:AA165"/>
    <mergeCell ref="Z180:AA180"/>
    <mergeCell ref="A188:A189"/>
    <mergeCell ref="AL165:AM165"/>
    <mergeCell ref="AN165:AO165"/>
    <mergeCell ref="A179:B181"/>
    <mergeCell ref="J69:M69"/>
    <mergeCell ref="A190:A191"/>
    <mergeCell ref="A203:E203"/>
    <mergeCell ref="C164:E165"/>
    <mergeCell ref="T193:T195"/>
    <mergeCell ref="C193:C195"/>
    <mergeCell ref="A204:B206"/>
    <mergeCell ref="F148:AO148"/>
    <mergeCell ref="A167:A168"/>
    <mergeCell ref="B210:B212"/>
    <mergeCell ref="B69:E69"/>
    <mergeCell ref="W69:W70"/>
    <mergeCell ref="A182:A183"/>
    <mergeCell ref="J194:K194"/>
    <mergeCell ref="L194:M194"/>
    <mergeCell ref="X9:AE9"/>
    <mergeCell ref="U69:V69"/>
    <mergeCell ref="C210:J210"/>
    <mergeCell ref="H165:I165"/>
    <mergeCell ref="J165:K165"/>
    <mergeCell ref="B9:T9"/>
    <mergeCell ref="P194:Q194"/>
    <mergeCell ref="V165:W165"/>
    <mergeCell ref="B164:B166"/>
    <mergeCell ref="AT164:AT166"/>
    <mergeCell ref="X165:Y165"/>
    <mergeCell ref="E193:E195"/>
    <mergeCell ref="V180:W180"/>
    <mergeCell ref="X149:Y149"/>
    <mergeCell ref="AH165:AI165"/>
    <mergeCell ref="AJ165:AK165"/>
    <mergeCell ref="G205:G206"/>
    <mergeCell ref="AB165:AC165"/>
    <mergeCell ref="AJ180:AJ181"/>
    <mergeCell ref="F204:G204"/>
    <mergeCell ref="A208:B208"/>
    <mergeCell ref="C211:D211"/>
    <mergeCell ref="A193:B195"/>
    <mergeCell ref="T180:U180"/>
    <mergeCell ref="E211:F211"/>
    <mergeCell ref="AB149:AC149"/>
    <mergeCell ref="AD149:AE149"/>
    <mergeCell ref="W193:W195"/>
    <mergeCell ref="AL180:AL181"/>
    <mergeCell ref="AN149:AO149"/>
    <mergeCell ref="AP148:AP150"/>
    <mergeCell ref="I211:J211"/>
    <mergeCell ref="AR148:AR150"/>
    <mergeCell ref="AR179:AR181"/>
    <mergeCell ref="C148:E149"/>
    <mergeCell ref="L149:M149"/>
    <mergeCell ref="Z193:AA194"/>
    <mergeCell ref="AS164:AS166"/>
    <mergeCell ref="P165:Q165"/>
    <mergeCell ref="X69:Y69"/>
    <mergeCell ref="Z69:AA69"/>
    <mergeCell ref="N149:O149"/>
    <mergeCell ref="A209:E209"/>
    <mergeCell ref="AB69:AC69"/>
    <mergeCell ref="AP180:AP181"/>
    <mergeCell ref="AS148:AS150"/>
    <mergeCell ref="AJ179:AM179"/>
    <mergeCell ref="AQ164:AR165"/>
    <mergeCell ref="AU164:AU166"/>
    <mergeCell ref="AB180:AC180"/>
    <mergeCell ref="K210:M211"/>
    <mergeCell ref="AD180:AE180"/>
    <mergeCell ref="A178:AG178"/>
    <mergeCell ref="A157:B157"/>
    <mergeCell ref="AK180:AK181"/>
    <mergeCell ref="AM180:AM181"/>
    <mergeCell ref="A207:B207"/>
    <mergeCell ref="D193:D195"/>
    <mergeCell ref="C179:E180"/>
    <mergeCell ref="A197:A202"/>
    <mergeCell ref="F193:S193"/>
    <mergeCell ref="A174:A175"/>
    <mergeCell ref="AT148:AU149"/>
    <mergeCell ref="AV148:AW149"/>
    <mergeCell ref="F194:G194"/>
    <mergeCell ref="Q69:R69"/>
    <mergeCell ref="AJ149:AK149"/>
    <mergeCell ref="S69:T69"/>
    <mergeCell ref="V9:W10"/>
    <mergeCell ref="AV164:AV166"/>
    <mergeCell ref="F165:G165"/>
    <mergeCell ref="F180:G180"/>
    <mergeCell ref="A184:A185"/>
    <mergeCell ref="A169:A171"/>
    <mergeCell ref="R165:S165"/>
    <mergeCell ref="F149:G149"/>
    <mergeCell ref="Y193:Y195"/>
    <mergeCell ref="H149:I149"/>
    <mergeCell ref="AG69:AI69"/>
    <mergeCell ref="J149:K149"/>
    <mergeCell ref="F179:AI179"/>
    <mergeCell ref="T149:U149"/>
    <mergeCell ref="V149:W149"/>
    <mergeCell ref="A156:B156"/>
    <mergeCell ref="D204:D206"/>
    <mergeCell ref="X180:Y180"/>
    <mergeCell ref="A164:A166"/>
    <mergeCell ref="P180:Q180"/>
    <mergeCell ref="H205:H206"/>
    <mergeCell ref="R180:S180"/>
    <mergeCell ref="Z149:AA149"/>
    <mergeCell ref="AD165:AE165"/>
    <mergeCell ref="A172:A173"/>
    <mergeCell ref="AL149:AM149"/>
    <mergeCell ref="F205:F206"/>
    <mergeCell ref="A69:A70"/>
    <mergeCell ref="F164:AO164"/>
    <mergeCell ref="A148:B150"/>
    <mergeCell ref="L165:M165"/>
    <mergeCell ref="V193:V195"/>
    <mergeCell ref="N165:O165"/>
    <mergeCell ref="X193:X195"/>
    <mergeCell ref="A6:T6"/>
    <mergeCell ref="A196:B196"/>
    <mergeCell ref="F69:I69"/>
    <mergeCell ref="AQ148:AQ150"/>
    <mergeCell ref="U193:U195"/>
    <mergeCell ref="AQ179:AQ181"/>
    <mergeCell ref="I205:I206"/>
    <mergeCell ref="C204:C206"/>
    <mergeCell ref="B10:B11"/>
    <mergeCell ref="N194:O194"/>
    <mergeCell ref="A158:B158"/>
    <mergeCell ref="E204:E206"/>
    <mergeCell ref="A9:A11"/>
    <mergeCell ref="AO179:AP179"/>
    <mergeCell ref="U9:U11"/>
    <mergeCell ref="A192:Q192"/>
    <mergeCell ref="H194:I194"/>
    <mergeCell ref="AO180:AO181"/>
    <mergeCell ref="A151:B151"/>
    <mergeCell ref="A160:B160"/>
    <mergeCell ref="R194:S194"/>
    <mergeCell ref="A159:B159"/>
    <mergeCell ref="AE69:AF69"/>
    <mergeCell ref="A152:A155"/>
    <mergeCell ref="A161:B161"/>
    <mergeCell ref="A186:A187"/>
    <mergeCell ref="H204:I204"/>
    <mergeCell ref="AF165:AG165"/>
    <mergeCell ref="G211:H211"/>
    <mergeCell ref="A176:A177"/>
    <mergeCell ref="AF149:AG149"/>
    <mergeCell ref="AP164:AP166"/>
  </mergeCells>
  <dataValidations count="8">
    <dataValidation sqref="C71:E125 C213:M215 D14 F196:M202 F207:I208 G71:I125 K71:M125 N196:AA196 N199:S199 N201:S202 O71:AI125 U197:AA202" showDropDown="0" showInputMessage="1" showErrorMessage="1" allowBlank="0" type="whole" operator="greaterThanOrEqual">
      <formula1>0</formula1>
    </dataValidation>
    <dataValidation sqref="F167:AV177 X12:AB66 AT162:AW162" showDropDown="0" showInputMessage="1" showErrorMessage="1" allowBlank="0" errorTitle="Error" error="Favor Ingrese sólo Números." type="whole" operator="greaterThanOrEqual">
      <formula1>0</formula1>
    </dataValidation>
    <dataValidation sqref="C35:O35 C145:E145 D152:D153 E14:T14 F152:J153 F155:O155 L152:L153 N152:N153 N197:T198 N200:S200 P152:P153 R152:R153 T152:T153 T199:T202 V152:V153 X152:X153 Z152:Z153 AB152:AB153 AD152:AD153 AF152:AF153 AF155:AO155 AH152:AH153 AJ152:AJ153 AL152:AL153 AN152:AN153" showDropDown="0" showInputMessage="1" showErrorMessage="1" allowBlank="0" type="whole" operator="equal">
      <formula1>0</formula1>
    </dataValidation>
    <dataValidation sqref="F182:AR191" showDropDown="0" showInputMessage="1" showErrorMessage="1" allowBlank="0" type="whole">
      <formula1>0</formula1>
      <formula2>9.99999999999999E+36</formula2>
    </dataValidation>
    <dataValidation sqref="F151:J151 F154:J154 F156:O161 K151:K154 L151 L154 M151:M154 N151 N154 O151:O154 P151 P154:P161 Q151:Q161 R151 R154:R161 S151:S161 T151 T154:T161 U151:U161 V151 V154:V161 W151:W161 X151 X154:X161 Y151:Y161 Z151 Z154:Z161 AA151:AA161 AB151 AB154:AB161 AC151:AC161 AD151 AD154:AD161 AE151:AE161 AF151 AF154 AF156:AO161 AG151:AG154 AH151 AH154 AI151:AI154 AJ151 AJ154 AK151:AK154 AL151 AL154 AM151:AM154 AN151 AN154 AO151:AO154 AP151:AW161" showDropDown="0" showInputMessage="1" showErrorMessage="1" allowBlank="0" type="whole">
      <formula1>0</formula1>
      <formula2>9.99999999999999E+40</formula2>
    </dataValidation>
    <dataValidation sqref="C129:E144 F129:V145" showDropDown="0" showInputMessage="1" showErrorMessage="1" allowBlank="0" type="whole">
      <formula1>0</formula1>
      <formula2>9.99999999999999E+41</formula2>
    </dataValidation>
    <dataValidation sqref="C12:C34 C36:O66 D12:T13 D15:O34 P15:T66 U12:W66" showDropDown="0" showInputMessage="1" showErrorMessage="1" allowBlank="0" type="whole">
      <formula1>0</formula1>
      <formula2>9.99999999999999E+38</formula2>
    </dataValidation>
    <dataValidation sqref="AC12:AG66" showDropDown="0" showInputMessage="1" showErrorMessage="1" allowBlank="0" type="whole">
      <formula1>0</formula1>
      <formula2>9.99999999999999E+37</formula2>
    </dataValidation>
  </dataValidation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Hoja9">
    <outlinePr summaryBelow="1" summaryRight="1"/>
    <pageSetUpPr/>
  </sheetPr>
  <dimension ref="A1:CW248"/>
  <sheetViews>
    <sheetView showGridLines="0" topLeftCell="A13" zoomScaleNormal="100" workbookViewId="0">
      <selection activeCell="A1" sqref="A1"/>
    </sheetView>
  </sheetViews>
  <sheetFormatPr baseColWidth="10" defaultColWidth="11.42578125" defaultRowHeight="14.25"/>
  <cols>
    <col width="44.7109375" customWidth="1" style="5554" min="1" max="1"/>
    <col width="32.5703125" customWidth="1" style="5554" min="2" max="2"/>
    <col width="14.140625" customWidth="1" style="5554" min="3" max="3"/>
    <col width="13.140625" customWidth="1" style="5554" min="4" max="5"/>
    <col width="11.42578125" customWidth="1" style="5554" min="6" max="6"/>
    <col width="11.85546875" customWidth="1" style="5554" min="7" max="7"/>
    <col width="14.42578125" customWidth="1" style="5554" min="8" max="9"/>
    <col width="12.5703125" customWidth="1" style="5554" min="10" max="10"/>
    <col width="11.42578125" customWidth="1" style="5554" min="11" max="13"/>
    <col width="12.42578125" customWidth="1" style="5554" min="14" max="14"/>
    <col width="16.140625" customWidth="1" style="5554" min="15" max="15"/>
    <col width="11.42578125" customWidth="1" style="5554" min="16" max="22"/>
    <col width="13.5703125" customWidth="1" style="5554" min="23" max="25"/>
    <col width="15.140625" customWidth="1" style="5554" min="26" max="26"/>
    <col width="12.85546875" customWidth="1" style="5554" min="27" max="27"/>
    <col width="13.140625" customWidth="1" style="5554" min="28" max="28"/>
    <col width="11.42578125" customWidth="1" style="5554" min="29" max="30"/>
    <col width="13.28515625" customWidth="1" style="5554" min="31" max="31"/>
    <col width="15.140625" customWidth="1" style="5554" min="32" max="33"/>
    <col width="11.42578125" customWidth="1" style="5554" min="34" max="37"/>
    <col width="12.5703125" customWidth="1" style="5554" min="38" max="38"/>
    <col width="13" customWidth="1" style="5554" min="39" max="40"/>
    <col width="13.140625" customWidth="1" style="5554" min="41" max="41"/>
    <col width="13.28515625" customWidth="1" style="5554" min="42" max="42"/>
    <col width="14.42578125" customWidth="1" style="5554" min="43" max="43"/>
    <col width="15.28515625" customWidth="1" style="5554" min="44" max="44"/>
    <col width="15.5703125" customWidth="1" style="5554" min="45" max="45"/>
    <col width="11.42578125" customWidth="1" style="5554" min="46" max="72"/>
    <col width="15.42578125" customWidth="1" style="5554" min="73" max="73"/>
    <col width="15.42578125" customWidth="1" style="5555" min="74" max="74"/>
    <col width="15.7109375" customWidth="1" style="5555" min="75" max="75"/>
    <col width="15.7109375" customWidth="1" style="6245" min="76" max="77"/>
    <col hidden="1" width="11" customWidth="1" style="5554" min="78" max="78"/>
    <col hidden="1" width="11.42578125" customWidth="1" style="6246" min="79" max="95"/>
    <col hidden="1" width="11.42578125" customWidth="1" style="5554" min="96" max="99"/>
    <col width="11.42578125" customWidth="1" style="5554" min="100" max="104"/>
    <col width="11.42578125" customWidth="1" style="5554" min="105" max="16384"/>
  </cols>
  <sheetData>
    <row r="1" ht="16.35" customHeight="1" s="8286">
      <c r="A1" s="5551" t="inlineStr">
        <is>
          <t>SERVICIO DE SALUD</t>
        </is>
      </c>
    </row>
    <row r="2" ht="16.35" customHeight="1" s="8286">
      <c r="A2" s="5551">
        <f>CONCATENATE("COMUNA: ",NOMBRE!B2, " (",NOMBRE!C2,NOMBRE!D2,NOMBRE!E2,NOMBRE!F2,NOMBRE!G2,")")</f>
        <v/>
      </c>
    </row>
    <row r="3" ht="16.35" customHeight="1" s="8286">
      <c r="A3" s="5551">
        <f>CONCATENATE("ESTABLECIMIENTO/ESTRATEGIA: ", NOMBRE!B3, " (",NOMBRE!C3,NOMBRE!D3,NOMBRE!E3,NOMBRE!F3,NOMBRE!G3,NOMBRE!H3,")")</f>
        <v/>
      </c>
    </row>
    <row r="4" ht="16.35" customHeight="1" s="8286">
      <c r="A4" s="5551">
        <f>CONCATENATE("MES: ",NOMBRE!B6, " (",NOMBRE!C6,NOMBRE!D6,")")</f>
        <v/>
      </c>
    </row>
    <row r="5" ht="16.35" customHeight="1" s="8286">
      <c r="A5" s="6247">
        <f>CONCATENATE("AÑO: ",NOMBRE!B7)</f>
        <v/>
      </c>
      <c r="AP5" s="6248" t="n"/>
    </row>
    <row r="6" ht="15" customHeight="1" s="8286">
      <c r="A6" s="8162" t="inlineStr">
        <is>
          <t>REM-A08.  ATENCIÓN DE URGENCIA</t>
        </is>
      </c>
      <c r="P6" s="6249" t="n"/>
      <c r="Q6" s="6249" t="n"/>
      <c r="R6" s="6249" t="n"/>
      <c r="S6" s="6249" t="n"/>
      <c r="T6" s="6250" t="n"/>
      <c r="U6" s="6250" t="n"/>
      <c r="V6" s="6250" t="n"/>
      <c r="W6" s="6250" t="n"/>
      <c r="X6" s="6250" t="n"/>
      <c r="Y6" s="6250" t="n"/>
      <c r="Z6" s="6089" t="n"/>
      <c r="AA6" s="6089" t="n"/>
      <c r="AB6" s="6089" t="n"/>
      <c r="AC6" s="6089" t="n"/>
      <c r="AD6" s="6089" t="n"/>
      <c r="AE6" s="6089" t="n"/>
      <c r="AF6" s="6089" t="n"/>
      <c r="AG6" s="6089" t="n"/>
      <c r="AH6" s="6089" t="n"/>
      <c r="AI6" s="6089" t="n"/>
      <c r="AJ6" s="6089" t="n"/>
      <c r="AK6" s="6089" t="n"/>
      <c r="AL6" s="6089" t="n"/>
      <c r="AM6" s="6089" t="n"/>
      <c r="AN6" s="6089" t="n"/>
      <c r="AO6" s="6089" t="n"/>
      <c r="AP6" s="6089" t="n"/>
      <c r="AQ6" s="6089" t="n"/>
      <c r="AR6" s="6089" t="n"/>
    </row>
    <row r="7" ht="32.1" customFormat="1" customHeight="1" s="6246">
      <c r="A7" s="927" t="inlineStr">
        <is>
          <t>SECCIÓN A: ATENCIONES REALIZADAS EN UNIDADES DE URGENCIA DE LA RED</t>
        </is>
      </c>
      <c r="B7" s="927" t="n"/>
      <c r="C7" s="927" t="n"/>
      <c r="D7" s="927" t="n"/>
      <c r="E7" s="927" t="n"/>
      <c r="F7" s="927" t="n"/>
      <c r="G7" s="927" t="n"/>
      <c r="H7" s="927" t="n"/>
      <c r="I7" s="927" t="n"/>
      <c r="J7" s="927" t="n"/>
      <c r="K7" s="927" t="n"/>
      <c r="L7" s="927" t="n"/>
      <c r="M7" s="927" t="n"/>
      <c r="N7" s="927" t="n"/>
      <c r="O7" s="927" t="n"/>
      <c r="BV7" s="6251" t="n"/>
      <c r="BW7" s="6251" t="n"/>
      <c r="BX7" s="6251" t="n"/>
      <c r="BY7" s="6251" t="n"/>
    </row>
    <row r="8" ht="18" customFormat="1" customHeight="1" s="6246">
      <c r="A8" s="6252" t="inlineStr">
        <is>
          <t>SECCIÓN A.1: ATENCIONES REALIZADAS EN UNIDADES DE EMERGENCIA HOSPITALARIA (Establecimientos de alta y mediana complejidad)</t>
        </is>
      </c>
      <c r="B8" s="6252" t="n"/>
      <c r="C8" s="6252" t="n"/>
      <c r="D8" s="6252" t="n"/>
      <c r="E8" s="6252" t="n"/>
      <c r="F8" s="6252" t="n"/>
      <c r="G8" s="6252" t="n"/>
      <c r="H8" s="6252" t="n"/>
      <c r="I8" s="6252" t="n"/>
      <c r="J8" s="6252" t="n"/>
      <c r="K8" s="6252" t="n"/>
      <c r="L8" s="6252" t="n"/>
      <c r="M8" s="6252" t="n"/>
      <c r="N8" s="927" t="n"/>
      <c r="O8" s="927" t="n"/>
      <c r="AS8" s="6251" t="n"/>
      <c r="AT8" s="6251" t="n"/>
      <c r="AU8" s="6251" t="n"/>
      <c r="AV8" s="6251" t="n"/>
      <c r="AW8" s="6251" t="n"/>
      <c r="AX8" s="6251" t="n"/>
      <c r="AY8" s="6251" t="n"/>
      <c r="AZ8" s="6251" t="n"/>
      <c r="BA8" s="6251" t="n"/>
      <c r="BB8" s="6251" t="n"/>
      <c r="BC8" s="6251" t="n"/>
      <c r="BD8" s="6251" t="n"/>
      <c r="BE8" s="6251" t="n"/>
      <c r="BF8" s="6251" t="n"/>
      <c r="BG8" s="6251" t="n"/>
      <c r="BV8" s="6251" t="n"/>
      <c r="BW8" s="6251" t="n"/>
      <c r="BX8" s="6251" t="n"/>
      <c r="BY8" s="6251" t="n"/>
    </row>
    <row r="9" ht="32.1" customHeight="1" s="8286">
      <c r="A9" s="9618" t="inlineStr">
        <is>
          <t>TIPO DE ATENCIÓN</t>
        </is>
      </c>
      <c r="B9" s="9629" t="inlineStr">
        <is>
          <t xml:space="preserve">TOTAL        </t>
        </is>
      </c>
      <c r="C9" s="9602" t="n"/>
      <c r="D9" s="9630" t="n"/>
      <c r="E9" s="9624" t="inlineStr">
        <is>
          <t>RANGO ETARIO  Y SEXO</t>
        </is>
      </c>
      <c r="F9" s="9584" t="n"/>
      <c r="G9" s="9584" t="n"/>
      <c r="H9" s="9584" t="n"/>
      <c r="I9" s="9584" t="n"/>
      <c r="J9" s="9584" t="n"/>
      <c r="K9" s="9584" t="n"/>
      <c r="L9" s="9584" t="n"/>
      <c r="M9" s="9584" t="n"/>
      <c r="N9" s="9584" t="n"/>
      <c r="O9" s="9584" t="n"/>
      <c r="P9" s="9584" t="n"/>
      <c r="Q9" s="9584" t="n"/>
      <c r="R9" s="9584" t="n"/>
      <c r="S9" s="9584" t="n"/>
      <c r="T9" s="9584" t="n"/>
      <c r="U9" s="9584" t="n"/>
      <c r="V9" s="9584" t="n"/>
      <c r="W9" s="9584" t="n"/>
      <c r="X9" s="9584" t="n"/>
      <c r="Y9" s="9584" t="n"/>
      <c r="Z9" s="9584" t="n"/>
      <c r="AA9" s="9584" t="n"/>
      <c r="AB9" s="9584" t="n"/>
      <c r="AC9" s="9584" t="n"/>
      <c r="AD9" s="9584" t="n"/>
      <c r="AE9" s="9584" t="n"/>
      <c r="AF9" s="9584" t="n"/>
      <c r="AG9" s="9584" t="n"/>
      <c r="AH9" s="9584" t="n"/>
      <c r="AI9" s="9584" t="n"/>
      <c r="AJ9" s="9584" t="n"/>
      <c r="AK9" s="9584" t="n"/>
      <c r="AL9" s="9647" t="n"/>
      <c r="AM9" s="9712" t="inlineStr">
        <is>
          <t>Beneficiarios</t>
        </is>
      </c>
      <c r="AN9" s="9624" t="inlineStr">
        <is>
          <t>ORIGEN DE LA PROCEDENCIA (Sólo pacientes derivados de establecimientos de la Red)</t>
        </is>
      </c>
      <c r="AO9" s="9584" t="n"/>
      <c r="AP9" s="9584" t="n"/>
      <c r="AQ9" s="9647" t="n"/>
      <c r="AR9" s="7632" t="inlineStr">
        <is>
          <t>Establecimientos de otra Red</t>
        </is>
      </c>
      <c r="AS9" s="7632" t="inlineStr">
        <is>
          <t>Demanda de Urgencia</t>
        </is>
      </c>
      <c r="AT9" s="5555" t="n"/>
      <c r="AU9" s="5555" t="n"/>
      <c r="AV9" s="5555" t="n"/>
      <c r="AW9" s="5555" t="n"/>
      <c r="AX9" s="5555" t="n"/>
      <c r="AY9" s="5555" t="n"/>
      <c r="AZ9" s="5555" t="n"/>
      <c r="BA9" s="5555" t="n"/>
      <c r="BB9" s="5555" t="n"/>
      <c r="BC9" s="5555" t="n"/>
      <c r="BD9" s="5555" t="n"/>
      <c r="BE9" s="5555" t="n"/>
      <c r="BF9" s="5555" t="n"/>
      <c r="BG9" s="5555" t="n"/>
    </row>
    <row r="10" ht="16.35" customHeight="1" s="8286">
      <c r="A10" s="9614" t="n"/>
      <c r="B10" s="9638" t="n"/>
      <c r="C10" s="9697" t="n"/>
      <c r="D10" s="9639" t="n"/>
      <c r="E10" s="9624" t="inlineStr">
        <is>
          <t>0 - 4 años</t>
        </is>
      </c>
      <c r="F10" s="9647" t="n"/>
      <c r="G10" s="9624" t="inlineStr">
        <is>
          <t>5 - 9 años</t>
        </is>
      </c>
      <c r="H10" s="9647" t="n"/>
      <c r="I10" s="9624" t="inlineStr">
        <is>
          <t>10 - 14 años</t>
        </is>
      </c>
      <c r="J10" s="9647" t="n"/>
      <c r="K10" s="9624" t="inlineStr">
        <is>
          <t>15 - 19 años</t>
        </is>
      </c>
      <c r="L10" s="9647" t="n"/>
      <c r="M10" s="9624" t="inlineStr">
        <is>
          <t>20 - 24 años</t>
        </is>
      </c>
      <c r="N10" s="9647" t="n"/>
      <c r="O10" s="9874" t="inlineStr">
        <is>
          <t>25 - 29 años</t>
        </is>
      </c>
      <c r="P10" s="9647" t="n"/>
      <c r="Q10" s="9874" t="inlineStr">
        <is>
          <t>30 - 34 años</t>
        </is>
      </c>
      <c r="R10" s="9647" t="n"/>
      <c r="S10" s="9874" t="inlineStr">
        <is>
          <t>35 - 39 años</t>
        </is>
      </c>
      <c r="T10" s="9647" t="n"/>
      <c r="U10" s="9874" t="inlineStr">
        <is>
          <t>40 - 44 años</t>
        </is>
      </c>
      <c r="V10" s="9647" t="n"/>
      <c r="W10" s="9874" t="inlineStr">
        <is>
          <t>45 - 49 años</t>
        </is>
      </c>
      <c r="X10" s="9647" t="n"/>
      <c r="Y10" s="9874" t="inlineStr">
        <is>
          <t>50 - 54 años</t>
        </is>
      </c>
      <c r="Z10" s="9647" t="n"/>
      <c r="AA10" s="9874" t="inlineStr">
        <is>
          <t>55 - 59 años</t>
        </is>
      </c>
      <c r="AB10" s="9647" t="n"/>
      <c r="AC10" s="9874" t="inlineStr">
        <is>
          <t>60 - 64 años</t>
        </is>
      </c>
      <c r="AD10" s="9647" t="n"/>
      <c r="AE10" s="9874" t="inlineStr">
        <is>
          <t>65 - 69 años</t>
        </is>
      </c>
      <c r="AF10" s="9647" t="n"/>
      <c r="AG10" s="9874" t="inlineStr">
        <is>
          <t>70 - 74 años</t>
        </is>
      </c>
      <c r="AH10" s="9647" t="n"/>
      <c r="AI10" s="9874" t="inlineStr">
        <is>
          <t>75 - 79 años</t>
        </is>
      </c>
      <c r="AJ10" s="9647" t="n"/>
      <c r="AK10" s="9874" t="inlineStr">
        <is>
          <t>80 y más años</t>
        </is>
      </c>
      <c r="AL10" s="9647" t="n"/>
      <c r="AM10" s="9625" t="n"/>
      <c r="AN10" s="9867" t="inlineStr">
        <is>
          <t>SAPU/ SAR / SUR</t>
        </is>
      </c>
      <c r="AO10" s="9911" t="inlineStr">
        <is>
          <t>Hospital Baja Complejidad</t>
        </is>
      </c>
      <c r="AP10" s="9911" t="inlineStr">
        <is>
          <t>Hospital Mediana/Alta Complejidad</t>
        </is>
      </c>
      <c r="AQ10" s="9703" t="inlineStr">
        <is>
          <t>Otros Establecimientos de la Red</t>
        </is>
      </c>
      <c r="AR10" s="9614" t="n"/>
      <c r="AS10" s="9614" t="n"/>
      <c r="AT10" s="5555" t="n"/>
      <c r="AU10" s="5555" t="n"/>
      <c r="AV10" s="5555" t="n"/>
      <c r="AW10" s="5555" t="n"/>
      <c r="AX10" s="5555" t="n"/>
      <c r="AY10" s="5555" t="n"/>
      <c r="AZ10" s="5555" t="n"/>
      <c r="BA10" s="5555" t="n"/>
      <c r="BB10" s="5555" t="n"/>
      <c r="BC10" s="5555" t="n"/>
      <c r="BD10" s="5555" t="n"/>
      <c r="BE10" s="5555" t="n"/>
      <c r="BF10" s="5555" t="n"/>
      <c r="BG10" s="5555" t="n"/>
    </row>
    <row r="11" ht="23.25" customHeight="1" s="8286">
      <c r="A11" s="9610" t="n"/>
      <c r="B11" s="6262" t="inlineStr">
        <is>
          <t>Ambos Sexos</t>
        </is>
      </c>
      <c r="C11" s="6263" t="inlineStr">
        <is>
          <t>Hombres</t>
        </is>
      </c>
      <c r="D11" s="7369" t="inlineStr">
        <is>
          <t>Mujeres</t>
        </is>
      </c>
      <c r="E11" s="8178" t="inlineStr">
        <is>
          <t>Hombres</t>
        </is>
      </c>
      <c r="F11" s="8155" t="inlineStr">
        <is>
          <t>Mujeres</t>
        </is>
      </c>
      <c r="G11" s="8178" t="inlineStr">
        <is>
          <t>Hombres</t>
        </is>
      </c>
      <c r="H11" s="8155" t="inlineStr">
        <is>
          <t>Mujeres</t>
        </is>
      </c>
      <c r="I11" s="8178" t="inlineStr">
        <is>
          <t>Hombres</t>
        </is>
      </c>
      <c r="J11" s="8155" t="inlineStr">
        <is>
          <t>Mujeres</t>
        </is>
      </c>
      <c r="K11" s="8178" t="inlineStr">
        <is>
          <t>Hombres</t>
        </is>
      </c>
      <c r="L11" s="8155" t="inlineStr">
        <is>
          <t>Mujeres</t>
        </is>
      </c>
      <c r="M11" s="8178" t="inlineStr">
        <is>
          <t>Hombres</t>
        </is>
      </c>
      <c r="N11" s="8155" t="inlineStr">
        <is>
          <t>Mujeres</t>
        </is>
      </c>
      <c r="O11" s="8178" t="inlineStr">
        <is>
          <t>Hombres</t>
        </is>
      </c>
      <c r="P11" s="8155" t="inlineStr">
        <is>
          <t>Mujeres</t>
        </is>
      </c>
      <c r="Q11" s="8178" t="inlineStr">
        <is>
          <t>Hombres</t>
        </is>
      </c>
      <c r="R11" s="8155" t="inlineStr">
        <is>
          <t>Mujeres</t>
        </is>
      </c>
      <c r="S11" s="8178" t="inlineStr">
        <is>
          <t>Hombres</t>
        </is>
      </c>
      <c r="T11" s="8155" t="inlineStr">
        <is>
          <t>Mujeres</t>
        </is>
      </c>
      <c r="U11" s="8178" t="inlineStr">
        <is>
          <t>Hombres</t>
        </is>
      </c>
      <c r="V11" s="8155" t="inlineStr">
        <is>
          <t>Mujeres</t>
        </is>
      </c>
      <c r="W11" s="8178" t="inlineStr">
        <is>
          <t>Hombres</t>
        </is>
      </c>
      <c r="X11" s="8155" t="inlineStr">
        <is>
          <t>Mujeres</t>
        </is>
      </c>
      <c r="Y11" s="8178" t="inlineStr">
        <is>
          <t>Hombres</t>
        </is>
      </c>
      <c r="Z11" s="8155" t="inlineStr">
        <is>
          <t>Mujeres</t>
        </is>
      </c>
      <c r="AA11" s="8178" t="inlineStr">
        <is>
          <t>Hombres</t>
        </is>
      </c>
      <c r="AB11" s="8155" t="inlineStr">
        <is>
          <t>Mujeres</t>
        </is>
      </c>
      <c r="AC11" s="8178" t="inlineStr">
        <is>
          <t>Hombres</t>
        </is>
      </c>
      <c r="AD11" s="8155" t="inlineStr">
        <is>
          <t>Mujeres</t>
        </is>
      </c>
      <c r="AE11" s="8178" t="inlineStr">
        <is>
          <t>Hombres</t>
        </is>
      </c>
      <c r="AF11" s="8155" t="inlineStr">
        <is>
          <t>Mujeres</t>
        </is>
      </c>
      <c r="AG11" s="6264" t="inlineStr">
        <is>
          <t>Hombres</t>
        </is>
      </c>
      <c r="AH11" s="8167" t="inlineStr">
        <is>
          <t>Mujeres</t>
        </is>
      </c>
      <c r="AI11" s="8178" t="inlineStr">
        <is>
          <t>Hombres</t>
        </is>
      </c>
      <c r="AJ11" s="8155" t="inlineStr">
        <is>
          <t>Mujeres</t>
        </is>
      </c>
      <c r="AK11" s="6264" t="inlineStr">
        <is>
          <t>Hombres</t>
        </is>
      </c>
      <c r="AL11" s="6265" t="inlineStr">
        <is>
          <t>Mujeres</t>
        </is>
      </c>
      <c r="AM11" s="9641" t="n"/>
      <c r="AN11" s="9800" t="n"/>
      <c r="AO11" s="9912" t="n"/>
      <c r="AP11" s="9912" t="n"/>
      <c r="AQ11" s="9705" t="n"/>
      <c r="AR11" s="9610" t="n"/>
      <c r="AS11" s="9610" t="n"/>
      <c r="AT11" s="5555" t="n"/>
      <c r="AU11" s="5555" t="n"/>
      <c r="AV11" s="5555" t="n"/>
      <c r="AW11" s="5555" t="n"/>
      <c r="AX11" s="5555" t="n"/>
      <c r="AY11" s="5555" t="n"/>
      <c r="AZ11" s="5555" t="n"/>
      <c r="BA11" s="5555" t="n"/>
      <c r="BB11" s="5555" t="n"/>
      <c r="BC11" s="5555" t="n"/>
      <c r="BD11" s="5555" t="n"/>
      <c r="BE11" s="5555" t="n"/>
      <c r="BF11" s="5555" t="n"/>
      <c r="BG11" s="5555" t="n"/>
    </row>
    <row r="12" ht="15" customHeight="1" s="8286">
      <c r="A12" s="6267" t="inlineStr">
        <is>
          <t>Atención Médica Niño y Adulto</t>
        </is>
      </c>
      <c r="B12" s="6268">
        <f>SUM(C12+D12)</f>
        <v/>
      </c>
      <c r="C12" s="935">
        <f>SUM(E12+G12+I12+K12+M12+O12+Q12+S12+U12+W12+Y12+AA12+AC12+AE12+AG12+AI12+AK12)</f>
        <v/>
      </c>
      <c r="D12" s="6269">
        <f>SUM(F12+H12+J12+L12+N12+P12+R12+T12+V12+X12+Z12+AB12+AD12+AF12+AH12+AJ12+AL12)</f>
        <v/>
      </c>
      <c r="E12" s="6270" t="n"/>
      <c r="F12" s="5818" t="n"/>
      <c r="G12" s="6270" t="n"/>
      <c r="H12" s="5818" t="n"/>
      <c r="I12" s="6270" t="n"/>
      <c r="J12" s="5818" t="n"/>
      <c r="K12" s="6271" t="n"/>
      <c r="L12" s="5818" t="n"/>
      <c r="M12" s="6270" t="n"/>
      <c r="N12" s="5818" t="n"/>
      <c r="O12" s="6271" t="n"/>
      <c r="P12" s="5818" t="n"/>
      <c r="Q12" s="6270" t="n"/>
      <c r="R12" s="5818" t="n"/>
      <c r="S12" s="6271" t="n"/>
      <c r="T12" s="6272" t="n"/>
      <c r="U12" s="6271" t="n"/>
      <c r="V12" s="6272" t="n"/>
      <c r="W12" s="6271" t="n"/>
      <c r="X12" s="6272" t="n"/>
      <c r="Y12" s="6271" t="n"/>
      <c r="Z12" s="6272" t="n"/>
      <c r="AA12" s="6271" t="n"/>
      <c r="AB12" s="5818" t="n"/>
      <c r="AC12" s="6271" t="n"/>
      <c r="AD12" s="5818" t="n"/>
      <c r="AE12" s="6271" t="n"/>
      <c r="AF12" s="5818" t="n"/>
      <c r="AG12" s="6271" t="n"/>
      <c r="AH12" s="6272" t="n"/>
      <c r="AI12" s="6271" t="n"/>
      <c r="AJ12" s="6272" t="n"/>
      <c r="AK12" s="6271" t="n"/>
      <c r="AL12" s="6273" t="n"/>
      <c r="AM12" s="6272" t="n"/>
      <c r="AN12" s="6271" t="n"/>
      <c r="AO12" s="6270" t="n"/>
      <c r="AP12" s="6270" t="n"/>
      <c r="AQ12" s="6272" t="n"/>
      <c r="AR12" s="6159" t="n"/>
      <c r="AS12" s="6159" t="n"/>
      <c r="AT12" s="6274">
        <f>CA12&amp;CB12&amp;CC12&amp;CD12&amp;CE12&amp;CF12&amp;CG12</f>
        <v/>
      </c>
      <c r="AU12" s="6275" t="n"/>
      <c r="AV12" s="6275" t="n"/>
      <c r="AW12" s="6275" t="n"/>
      <c r="AX12" s="6275" t="n"/>
      <c r="AY12" s="6275" t="n"/>
      <c r="AZ12" s="6275" t="n"/>
      <c r="BA12" s="6275" t="n"/>
      <c r="BB12" s="6275" t="n"/>
      <c r="BC12" s="6275" t="n"/>
      <c r="BD12" s="6275" t="n"/>
      <c r="BE12" s="5555" t="n"/>
      <c r="BF12" s="5555" t="n"/>
      <c r="BG12" s="5555" t="n"/>
      <c r="CA12" s="6276">
        <f>IF(AND($B12&gt;0,AM12="")," *No olvide digitar la variable "&amp;AM$9&amp;""&amp;". Digite CERO si no tiene",IF(AM12&gt;$B12," *La variable "&amp;AM$9&amp;""&amp;" No puede ser mayor al Total Ambos Sexos.",""))</f>
        <v/>
      </c>
      <c r="CB12" s="6276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>
        <f>IF(AND($B12&gt;0,AR12="")," *No olvide digitar la variable "&amp;AR$9&amp;""&amp;". Digite CERO si no tiene",IF(AR12&gt;$B12," *La variable "&amp;AR$9&amp;""&amp;" No puede ser mayor al Total Ambos Sexos.",""))</f>
        <v/>
      </c>
      <c r="CG12" s="6276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>IF(AND($B12&gt;0,AM12=""),1,IF(AM12&gt;$B12,1,0))</f>
        <v/>
      </c>
      <c r="CN12" s="6277">
        <f>IF(AND($B12&gt;0,AN12=""),1,IF(AN12&gt;$B12,1,0))</f>
        <v/>
      </c>
      <c r="CO12" s="6277">
        <f>IF(AND($B12&gt;0,AO12=""),1,IF(AO12&gt;$B12,1,0))</f>
        <v/>
      </c>
      <c r="CP12" s="6277">
        <f>IF(AND($B12&gt;0,AP12=""),1,IF(AP12&gt;$B12,1,0))</f>
        <v/>
      </c>
      <c r="CQ12" s="6277">
        <f>IF(AND($B12&gt;0,AQ12=""),1,IF(AQ12&gt;$B12,1,0))</f>
        <v/>
      </c>
      <c r="CR12" s="6278">
        <f>IF(AND($B12&gt;0,AR12=""),1,IF(AR12&gt;$B12,1,0))</f>
        <v/>
      </c>
      <c r="CS12" s="6277">
        <f>IF(AND($B12&gt;0,AS12=""),1,IF($B12&gt;AS12,1,0))</f>
        <v/>
      </c>
    </row>
    <row r="13" ht="15" customHeight="1" s="8286">
      <c r="A13" s="7199" t="inlineStr">
        <is>
          <t>Atención Médica Gineco-Obstetra</t>
        </is>
      </c>
      <c r="B13" s="946">
        <f>SUM(C13+D13)</f>
        <v/>
      </c>
      <c r="C13" s="947">
        <f>SUM(E13+G13+I13+K13+M13+O13+Q13+S13+U13+W13+Y13+AA13+AC13+AE13+AG13+AI13+AK13)</f>
        <v/>
      </c>
      <c r="D13" s="6279">
        <f>SUM(F13+H13+J13+L13+N13+P13+R13+T13+V13+X13+Z13+AB13+AD13+AF13+AH13+AJ13+AL13)</f>
        <v/>
      </c>
      <c r="E13" s="5890" t="n"/>
      <c r="F13" s="5828" t="n"/>
      <c r="G13" s="5890" t="n"/>
      <c r="H13" s="5828" t="n"/>
      <c r="I13" s="5890" t="n"/>
      <c r="J13" s="5828" t="n"/>
      <c r="K13" s="5890" t="n"/>
      <c r="L13" s="5828" t="n"/>
      <c r="M13" s="5826" t="n"/>
      <c r="N13" s="5827" t="n"/>
      <c r="O13" s="5826" t="n"/>
      <c r="P13" s="5827" t="n"/>
      <c r="Q13" s="5826" t="n"/>
      <c r="R13" s="5827" t="n"/>
      <c r="S13" s="5826" t="n"/>
      <c r="T13" s="5827" t="n"/>
      <c r="U13" s="5826" t="n"/>
      <c r="V13" s="5827" t="n"/>
      <c r="W13" s="5826" t="n"/>
      <c r="X13" s="5827" t="n"/>
      <c r="Y13" s="5826" t="n"/>
      <c r="Z13" s="5827" t="n"/>
      <c r="AA13" s="5826" t="n"/>
      <c r="AB13" s="5827" t="n"/>
      <c r="AC13" s="5826" t="n"/>
      <c r="AD13" s="5827" t="n"/>
      <c r="AE13" s="5826" t="n"/>
      <c r="AF13" s="5827" t="n"/>
      <c r="AG13" s="5826" t="n"/>
      <c r="AH13" s="5827" t="n"/>
      <c r="AI13" s="5826" t="n"/>
      <c r="AJ13" s="5827" t="n"/>
      <c r="AK13" s="5826" t="n"/>
      <c r="AL13" s="6161" t="n"/>
      <c r="AM13" s="5827" t="n"/>
      <c r="AN13" s="5826" t="n"/>
      <c r="AO13" s="5890" t="n"/>
      <c r="AP13" s="5890" t="n"/>
      <c r="AQ13" s="5827" t="n"/>
      <c r="AR13" s="6163" t="n"/>
      <c r="AS13" s="6163" t="n"/>
      <c r="AT13" s="6274">
        <f>CA13&amp;CB13&amp;CC13&amp;CD13&amp;CE13&amp;CF13&amp;CG13</f>
        <v/>
      </c>
      <c r="AU13" s="6275" t="n"/>
      <c r="AV13" s="6275" t="n"/>
      <c r="AW13" s="6275" t="n"/>
      <c r="AX13" s="6275" t="n"/>
      <c r="AY13" s="6275" t="n"/>
      <c r="AZ13" s="6275" t="n"/>
      <c r="BA13" s="6275" t="n"/>
      <c r="BB13" s="6275" t="n"/>
      <c r="BC13" s="6275" t="n"/>
      <c r="BD13" s="6275" t="n"/>
      <c r="BE13" s="5555" t="n"/>
      <c r="BF13" s="5555" t="n"/>
      <c r="BG13" s="5555" t="n"/>
      <c r="CA13" s="6276">
        <f>IF(AND($B13&gt;0,AM13="")," *No olvide digitar la variable "&amp;AM$9&amp;""&amp;". Digite CERO si no tiene",IF(AM13&gt;$B13," *La variable "&amp;AM$9&amp;""&amp;" No puede ser mayor al Total Ambos Sexos.",""))</f>
        <v/>
      </c>
      <c r="CB13" s="6276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>
        <f>IF(AND($B13&gt;0,AR13="")," *No olvide digitar la variable "&amp;AR$9&amp;""&amp;". Digite CERO si no tiene",IF(AR13&gt;$B13," *La variable "&amp;AR$9&amp;""&amp;" No puede ser mayor al Total Ambos Sexos.",""))</f>
        <v/>
      </c>
      <c r="CG13" s="6276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>IF(AND($B13&gt;0,AM13=""),1,IF(AM13&gt;$B13,1,0))</f>
        <v/>
      </c>
      <c r="CN13" s="6277">
        <f>IF(AND($B13&gt;0,AN13=""),1,IF(AN13&gt;$B13,1,0))</f>
        <v/>
      </c>
      <c r="CO13" s="6277">
        <f>IF(AND($B13&gt;0,AO13=""),1,IF(AO13&gt;$B13,1,0))</f>
        <v/>
      </c>
      <c r="CP13" s="6277">
        <f>IF(AND($B13&gt;0,AP13=""),1,IF(AP13&gt;$B13,1,0))</f>
        <v/>
      </c>
      <c r="CQ13" s="6277">
        <f>IF(AND($B13&gt;0,AQ13=""),1,IF(AQ13&gt;$B13,1,0))</f>
        <v/>
      </c>
      <c r="CR13" s="6277">
        <f>IF(AND($B13&gt;0,AR13=""),1,IF(AR13&gt;$B13,1,0))</f>
        <v/>
      </c>
      <c r="CS13" s="6277">
        <f>IF(AND($B13&gt;0,AS13=""),1,IF($B13&gt;AS13,1,0))</f>
        <v/>
      </c>
    </row>
    <row r="14" ht="15" customHeight="1" s="8286">
      <c r="A14" s="7474" t="inlineStr">
        <is>
          <t>Atención por Matrona/ón</t>
        </is>
      </c>
      <c r="B14" s="5824">
        <f>SUM(C14+D14)</f>
        <v/>
      </c>
      <c r="C14" s="6280">
        <f>SUM(E14+G14+I14+K14+M14+O14+Q14+S14+U14+W14+Y14+AA14+AC14+AE14+AG14+AI14+AK14)</f>
        <v/>
      </c>
      <c r="D14" s="6281">
        <f>SUM(F14+H14+J14+L14+N14+P14+R14+T14+V14+X14+Z14+AB14+AD14+AF14+AH14+AJ14+AL14)</f>
        <v/>
      </c>
      <c r="E14" s="5826" t="n"/>
      <c r="F14" s="5827" t="n"/>
      <c r="G14" s="5826" t="n"/>
      <c r="H14" s="5827" t="n"/>
      <c r="I14" s="5826" t="n"/>
      <c r="J14" s="5827" t="n"/>
      <c r="K14" s="5826" t="n"/>
      <c r="L14" s="5827" t="n"/>
      <c r="M14" s="5826" t="n"/>
      <c r="N14" s="5827" t="n"/>
      <c r="O14" s="5826" t="n"/>
      <c r="P14" s="5827" t="n"/>
      <c r="Q14" s="5826" t="n"/>
      <c r="R14" s="5827" t="n"/>
      <c r="S14" s="5826" t="n"/>
      <c r="T14" s="5827" t="n"/>
      <c r="U14" s="5826" t="n"/>
      <c r="V14" s="5827" t="n"/>
      <c r="W14" s="5826" t="n"/>
      <c r="X14" s="5827" t="n"/>
      <c r="Y14" s="5826" t="n"/>
      <c r="Z14" s="5827" t="n"/>
      <c r="AA14" s="5826" t="n"/>
      <c r="AB14" s="5827" t="n"/>
      <c r="AC14" s="5826" t="n"/>
      <c r="AD14" s="5827" t="n"/>
      <c r="AE14" s="5826" t="n"/>
      <c r="AF14" s="5827" t="n"/>
      <c r="AG14" s="5826" t="n"/>
      <c r="AH14" s="5827" t="n"/>
      <c r="AI14" s="5826" t="n"/>
      <c r="AJ14" s="5827" t="n"/>
      <c r="AK14" s="5826" t="n"/>
      <c r="AL14" s="6161" t="n"/>
      <c r="AM14" s="5827" t="n"/>
      <c r="AN14" s="5829" t="n"/>
      <c r="AO14" s="6282" t="n"/>
      <c r="AP14" s="6282" t="n"/>
      <c r="AQ14" s="5842" t="n"/>
      <c r="AR14" s="6283" t="n"/>
      <c r="AS14" s="6163" t="n"/>
      <c r="AT14" s="6274">
        <f>CA14&amp;CB14&amp;CC14&amp;CD14&amp;CE14&amp;CF14&amp;CG14</f>
        <v/>
      </c>
      <c r="AU14" s="6275" t="n"/>
      <c r="AV14" s="6275" t="n"/>
      <c r="AW14" s="6275" t="n"/>
      <c r="AX14" s="6275" t="n"/>
      <c r="AY14" s="6275" t="n"/>
      <c r="AZ14" s="6275" t="n"/>
      <c r="BA14" s="6275" t="n"/>
      <c r="BB14" s="6275" t="n"/>
      <c r="BC14" s="6275" t="n"/>
      <c r="BD14" s="6275" t="n"/>
      <c r="BE14" s="5555" t="n"/>
      <c r="BF14" s="5555" t="n"/>
      <c r="BG14" s="5555" t="n"/>
      <c r="CA14" s="6276">
        <f>IF(AND($B14&gt;0,AM14="")," *No olvide digitar la variable "&amp;AM$9&amp;""&amp;". Digite CERO si no tiene",IF(AM14&gt;$B14," *La variable "&amp;AM$9&amp;""&amp;" No puede ser mayor al Total Ambos Sexos.",""))</f>
        <v/>
      </c>
      <c r="CB14" s="6284" t="n"/>
      <c r="CC14" s="6284" t="n"/>
      <c r="CD14" s="6284" t="n"/>
      <c r="CE14" s="6284" t="n"/>
      <c r="CF14" s="6284" t="n"/>
      <c r="CG14" s="6284" t="n"/>
      <c r="CM14" s="6277">
        <f>IF(AND($B14&gt;0,AM14=""),1,IF(AM14&gt;$B14,1,0))</f>
        <v/>
      </c>
      <c r="CN14" s="6284" t="n"/>
      <c r="CO14" s="6284" t="n"/>
      <c r="CP14" s="6284" t="n"/>
      <c r="CQ14" s="6284" t="n"/>
      <c r="CR14" s="6285" t="n"/>
      <c r="CS14" s="6285" t="n"/>
    </row>
    <row r="15" ht="15" customHeight="1" s="8286">
      <c r="A15" s="6286" t="inlineStr">
        <is>
          <t>Atención por Odontólogo/a</t>
        </is>
      </c>
      <c r="B15" s="5951">
        <f>SUM(C15+D15)</f>
        <v/>
      </c>
      <c r="C15" s="6287">
        <f>SUM(E15+G15+I15+K15+M15+O15+Q15+S15+U15+W15+Y15+AA15+AC15+AE15+AG15+AI15+AK15)</f>
        <v/>
      </c>
      <c r="D15" s="6288">
        <f>SUM(F15+H15+J15+L15+N15+P15+R15+T15+V15+X15+Z15+AB15+AD15+AF15+AH15+AJ15+AL15)</f>
        <v/>
      </c>
      <c r="E15" s="5866" t="n"/>
      <c r="F15" s="5867" t="n"/>
      <c r="G15" s="5866" t="n"/>
      <c r="H15" s="5867" t="n"/>
      <c r="I15" s="5866" t="n"/>
      <c r="J15" s="5867" t="n"/>
      <c r="K15" s="5866" t="n"/>
      <c r="L15" s="5867" t="n"/>
      <c r="M15" s="5866" t="n"/>
      <c r="N15" s="5867" t="n"/>
      <c r="O15" s="5866" t="n"/>
      <c r="P15" s="5867" t="n"/>
      <c r="Q15" s="5866" t="n"/>
      <c r="R15" s="5867" t="n"/>
      <c r="S15" s="5866" t="n"/>
      <c r="T15" s="5867" t="n"/>
      <c r="U15" s="5866" t="n"/>
      <c r="V15" s="5867" t="n"/>
      <c r="W15" s="5866" t="n"/>
      <c r="X15" s="5867" t="n"/>
      <c r="Y15" s="5866" t="n"/>
      <c r="Z15" s="5867" t="n"/>
      <c r="AA15" s="5866" t="n"/>
      <c r="AB15" s="5867" t="n"/>
      <c r="AC15" s="5866" t="n"/>
      <c r="AD15" s="5867" t="n"/>
      <c r="AE15" s="5866" t="n"/>
      <c r="AF15" s="5867" t="n"/>
      <c r="AG15" s="5866" t="n"/>
      <c r="AH15" s="5867" t="n"/>
      <c r="AI15" s="5866" t="n"/>
      <c r="AJ15" s="5867" t="n"/>
      <c r="AK15" s="5866" t="n"/>
      <c r="AL15" s="6167" t="n"/>
      <c r="AM15" s="5867" t="n"/>
      <c r="AN15" s="5866" t="n"/>
      <c r="AO15" s="6107" t="n"/>
      <c r="AP15" s="6107" t="n"/>
      <c r="AQ15" s="5867" t="n"/>
      <c r="AR15" s="5954" t="n"/>
      <c r="AS15" s="5954" t="n"/>
      <c r="AT15" s="6274">
        <f>CA15&amp;CB15&amp;CC15&amp;CD15&amp;CE15&amp;CF15&amp;CG15</f>
        <v/>
      </c>
      <c r="AU15" s="6275" t="n"/>
      <c r="AV15" s="6275" t="n"/>
      <c r="AW15" s="6275" t="n"/>
      <c r="AX15" s="6275" t="n"/>
      <c r="AY15" s="6275" t="n"/>
      <c r="AZ15" s="6275" t="n"/>
      <c r="BA15" s="6275" t="n"/>
      <c r="BB15" s="6275" t="n"/>
      <c r="BC15" s="6275" t="n"/>
      <c r="BD15" s="6275" t="n"/>
      <c r="BE15" s="5555" t="n"/>
      <c r="BF15" s="5555" t="n"/>
      <c r="BG15" s="5555" t="n"/>
      <c r="CA15" s="6276">
        <f>IF(AND($B15&gt;0,AM15="")," *No olvide digitar la variable "&amp;AM$9&amp;""&amp;". Digite CERO si no tiene",IF(AM15&gt;$B15," *La variable "&amp;AM$9&amp;""&amp;" No puede ser mayor al Total Ambos Sexos.",""))</f>
        <v/>
      </c>
      <c r="CB15" s="6276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>IF(AND($B15&gt;0,AM15=""),1,IF(AM15&gt;$B15,1,0))</f>
        <v/>
      </c>
      <c r="CN15" s="6277">
        <f>IF(AND($B15&gt;0,AN15=""),1,IF(AN15&gt;$B15,1,0))</f>
        <v/>
      </c>
      <c r="CO15" s="6277">
        <f>IF(AND($B15&gt;0,AO15=""),1,IF(AO15&gt;$B15,1,0))</f>
        <v/>
      </c>
      <c r="CP15" s="6277">
        <f>IF(AND($B15&gt;0,AP15=""),1,IF(AP15&gt;$B15,1,0))</f>
        <v/>
      </c>
      <c r="CQ15" s="6277">
        <f>IF(AND($B15&gt;0,AQ15=""),1,IF(AQ15&gt;$B15,1,0))</f>
        <v/>
      </c>
      <c r="CR15" s="6277">
        <f>IF(AND($B15&gt;0,AR15=""),1,IF(AR15&gt;$B15,1,0))</f>
        <v/>
      </c>
      <c r="CS15" s="6277">
        <f>IF(AND($B15&gt;0,AS15=""),1,IF($B15&gt;AS15,1,0))</f>
        <v/>
      </c>
    </row>
    <row r="16" ht="18" customFormat="1" customHeight="1" s="6246">
      <c r="A16" s="964" t="inlineStr">
        <is>
          <t>SECCIÓN A.2: ATENCIONES Y ACTIVIDADES DE URGENCIA REALIZADAS EN SAPU Y SAR</t>
        </is>
      </c>
      <c r="B16" s="6251" t="n"/>
      <c r="C16" s="6251" t="n"/>
      <c r="D16" s="6251" t="n"/>
      <c r="E16" s="6251" t="n"/>
      <c r="F16" s="6251" t="n"/>
      <c r="G16" s="6251" t="n"/>
      <c r="H16" s="6251" t="n"/>
      <c r="I16" s="6251" t="n"/>
      <c r="J16" s="6251" t="n"/>
      <c r="K16" s="6251" t="n"/>
      <c r="L16" s="6251" t="n"/>
      <c r="M16" s="6251" t="n"/>
      <c r="N16" s="6251" t="n"/>
      <c r="O16" s="6251" t="n"/>
      <c r="P16" s="6251" t="n"/>
      <c r="Q16" s="6251" t="n"/>
      <c r="R16" s="6251" t="n"/>
      <c r="S16" s="6251" t="n"/>
      <c r="T16" s="6251" t="n"/>
      <c r="U16" s="6251" t="n"/>
      <c r="V16" s="6251" t="n"/>
      <c r="W16" s="6251" t="n"/>
      <c r="X16" s="6251" t="n"/>
      <c r="Y16" s="6251" t="n"/>
      <c r="Z16" s="6251" t="n"/>
      <c r="AA16" s="6251" t="n"/>
      <c r="AB16" s="6251" t="n"/>
      <c r="AC16" s="6251" t="n"/>
      <c r="AD16" s="6251" t="n"/>
      <c r="AE16" s="6251" t="n"/>
      <c r="AF16" s="6251" t="n"/>
      <c r="AG16" s="6251" t="n"/>
      <c r="AH16" s="6251" t="n"/>
      <c r="AI16" s="6251" t="n"/>
      <c r="AJ16" s="6251" t="n"/>
      <c r="AK16" s="6251" t="n"/>
      <c r="AL16" s="6251" t="n"/>
      <c r="AM16" s="6251" t="n"/>
      <c r="AN16" s="6251" t="n"/>
      <c r="AO16" s="6251" t="n"/>
      <c r="AP16" s="6251" t="n"/>
      <c r="AQ16" s="6251" t="n"/>
      <c r="AR16" s="6251" t="n"/>
      <c r="AS16" s="6251" t="n"/>
      <c r="AT16" s="6251" t="n"/>
      <c r="AU16" s="6251" t="n"/>
      <c r="AV16" s="6251" t="n"/>
      <c r="AW16" s="6251" t="n"/>
      <c r="AX16" s="6251" t="n"/>
      <c r="AY16" s="6251" t="n"/>
      <c r="AZ16" s="6251" t="n"/>
      <c r="BA16" s="6251" t="n"/>
      <c r="BB16" s="6251" t="n"/>
      <c r="BC16" s="6251" t="n"/>
      <c r="BD16" s="6251" t="n"/>
      <c r="BE16" s="6251" t="n"/>
      <c r="BF16" s="6251" t="n"/>
      <c r="BG16" s="6251" t="n"/>
      <c r="BH16" s="6251" t="n"/>
      <c r="BI16" s="6251" t="n"/>
      <c r="BV16" s="6251" t="n"/>
      <c r="BW16" s="6251" t="n"/>
      <c r="BX16" s="6251" t="n"/>
      <c r="BY16" s="6251" t="n"/>
    </row>
    <row r="17" ht="19.5" customHeight="1" s="8286">
      <c r="A17" s="9618" t="inlineStr">
        <is>
          <t>ATENCIÓN</t>
        </is>
      </c>
      <c r="B17" s="9629" t="inlineStr">
        <is>
          <t xml:space="preserve">TOTAL        </t>
        </is>
      </c>
      <c r="C17" s="9602" t="n"/>
      <c r="D17" s="9630" t="n"/>
      <c r="E17" s="9594" t="inlineStr">
        <is>
          <t>RANGO ETARIO  Y SEXO</t>
        </is>
      </c>
      <c r="F17" s="9584" t="n"/>
      <c r="G17" s="9584" t="n"/>
      <c r="H17" s="9584" t="n"/>
      <c r="I17" s="9584" t="n"/>
      <c r="J17" s="9584" t="n"/>
      <c r="K17" s="9584" t="n"/>
      <c r="L17" s="9584" t="n"/>
      <c r="M17" s="9584" t="n"/>
      <c r="N17" s="9584" t="n"/>
      <c r="O17" s="9584" t="n"/>
      <c r="P17" s="9584" t="n"/>
      <c r="Q17" s="9584" t="n"/>
      <c r="R17" s="9584" t="n"/>
      <c r="S17" s="9584" t="n"/>
      <c r="T17" s="9584" t="n"/>
      <c r="U17" s="9584" t="n"/>
      <c r="V17" s="9584" t="n"/>
      <c r="W17" s="9584" t="n"/>
      <c r="X17" s="9584" t="n"/>
      <c r="Y17" s="9584" t="n"/>
      <c r="Z17" s="9584" t="n"/>
      <c r="AA17" s="9584" t="n"/>
      <c r="AB17" s="9584" t="n"/>
      <c r="AC17" s="9584" t="n"/>
      <c r="AD17" s="9584" t="n"/>
      <c r="AE17" s="9584" t="n"/>
      <c r="AF17" s="9584" t="n"/>
      <c r="AG17" s="9584" t="n"/>
      <c r="AH17" s="9584" t="n"/>
      <c r="AI17" s="9584" t="n"/>
      <c r="AJ17" s="9584" t="n"/>
      <c r="AK17" s="9584" t="n"/>
      <c r="AL17" s="9595" t="n"/>
      <c r="AM17" s="8158" t="inlineStr">
        <is>
          <t>Beneficiarios</t>
        </is>
      </c>
      <c r="AN17" s="9846" t="inlineStr">
        <is>
          <t>Atenciones por profesionales  a Honorarios</t>
        </is>
      </c>
      <c r="AO17" s="7632" t="inlineStr">
        <is>
          <t>Demanda de Urgencia</t>
        </is>
      </c>
      <c r="AP17" s="9901" t="inlineStr">
        <is>
          <t>Por Campaña de Invierno</t>
        </is>
      </c>
      <c r="AQ17" s="9600" t="inlineStr">
        <is>
          <t xml:space="preserve">SENAME/Servicio Nacional de Reinserción social Juvenil </t>
        </is>
      </c>
      <c r="AR17" s="7632" t="inlineStr">
        <is>
          <t>Servicio Nacional Protección Especializada a la Niñez y Adolescencia</t>
        </is>
      </c>
      <c r="AS17" s="10167" t="inlineStr">
        <is>
          <t xml:space="preserve"> Atención por Telemedicina</t>
        </is>
      </c>
      <c r="AT17" s="9584" t="n"/>
      <c r="AU17" s="9584" t="n"/>
      <c r="AV17" s="9584" t="n"/>
      <c r="AW17" s="9961" t="n"/>
      <c r="AX17" s="9712" t="inlineStr">
        <is>
          <t>Demanda atención por telemedicina</t>
        </is>
      </c>
      <c r="AY17" s="5555" t="n"/>
      <c r="AZ17" s="5555" t="n"/>
      <c r="BA17" s="5555" t="n"/>
      <c r="BB17" s="5555" t="n"/>
      <c r="BC17" s="5555" t="n"/>
      <c r="BD17" s="5555" t="n"/>
      <c r="BE17" s="5555" t="n"/>
      <c r="BF17" s="5555" t="n"/>
      <c r="BG17" s="5555" t="n"/>
      <c r="BH17" s="5555" t="n"/>
      <c r="BI17" s="5555" t="n"/>
      <c r="BJ17" s="5555" t="n"/>
      <c r="BK17" s="5555" t="n"/>
      <c r="BV17" s="5554" t="n"/>
      <c r="BW17" s="5554" t="n"/>
      <c r="BX17" s="5555" t="n"/>
      <c r="BY17" s="5555" t="n"/>
      <c r="BZ17" s="6245" t="n"/>
      <c r="CA17" s="6245" t="n"/>
      <c r="CB17" s="5554" t="n"/>
      <c r="CR17" s="6246" t="n"/>
      <c r="CS17" s="6246" t="n"/>
    </row>
    <row r="18" ht="15.75" customHeight="1" s="8286">
      <c r="A18" s="9614" t="n"/>
      <c r="B18" s="9638" t="n"/>
      <c r="C18" s="9697" t="n"/>
      <c r="D18" s="9639" t="n"/>
      <c r="E18" s="9624" t="inlineStr">
        <is>
          <t>0 - 4 años</t>
        </is>
      </c>
      <c r="F18" s="9647" t="n"/>
      <c r="G18" s="9624" t="inlineStr">
        <is>
          <t>5 - 9 años</t>
        </is>
      </c>
      <c r="H18" s="9647" t="n"/>
      <c r="I18" s="9624" t="inlineStr">
        <is>
          <t>10 - 14 años</t>
        </is>
      </c>
      <c r="J18" s="9647" t="n"/>
      <c r="K18" s="9624" t="inlineStr">
        <is>
          <t>15 - 19 años</t>
        </is>
      </c>
      <c r="L18" s="9647" t="n"/>
      <c r="M18" s="9624" t="inlineStr">
        <is>
          <t>20 - 24 años</t>
        </is>
      </c>
      <c r="N18" s="9647" t="n"/>
      <c r="O18" s="9874" t="inlineStr">
        <is>
          <t>25 - 29 años</t>
        </is>
      </c>
      <c r="P18" s="9647" t="n"/>
      <c r="Q18" s="9874" t="inlineStr">
        <is>
          <t>30 - 34 años</t>
        </is>
      </c>
      <c r="R18" s="9647" t="n"/>
      <c r="S18" s="9874" t="inlineStr">
        <is>
          <t>35 - 39 años</t>
        </is>
      </c>
      <c r="T18" s="9647" t="n"/>
      <c r="U18" s="9874" t="inlineStr">
        <is>
          <t>40 - 44 años</t>
        </is>
      </c>
      <c r="V18" s="9647" t="n"/>
      <c r="W18" s="9874" t="inlineStr">
        <is>
          <t>45 - 49 años</t>
        </is>
      </c>
      <c r="X18" s="9647" t="n"/>
      <c r="Y18" s="9874" t="inlineStr">
        <is>
          <t>50 - 54 años</t>
        </is>
      </c>
      <c r="Z18" s="9647" t="n"/>
      <c r="AA18" s="9874" t="inlineStr">
        <is>
          <t>55 - 59 años</t>
        </is>
      </c>
      <c r="AB18" s="9647" t="n"/>
      <c r="AC18" s="9874" t="inlineStr">
        <is>
          <t>60 - 64 años</t>
        </is>
      </c>
      <c r="AD18" s="9647" t="n"/>
      <c r="AE18" s="9874" t="inlineStr">
        <is>
          <t>65 - 69 años</t>
        </is>
      </c>
      <c r="AF18" s="9647" t="n"/>
      <c r="AG18" s="9874" t="inlineStr">
        <is>
          <t>70 - 74 años</t>
        </is>
      </c>
      <c r="AH18" s="9647" t="n"/>
      <c r="AI18" s="9874" t="inlineStr">
        <is>
          <t>75 - 79 años</t>
        </is>
      </c>
      <c r="AJ18" s="9647" t="n"/>
      <c r="AK18" s="9894" t="inlineStr">
        <is>
          <t>80 y más años</t>
        </is>
      </c>
      <c r="AL18" s="9595" t="n"/>
      <c r="AM18" s="9668" t="n"/>
      <c r="AO18" s="9614" t="n"/>
      <c r="AP18" s="9687" t="n"/>
      <c r="AQ18" s="9727" t="n"/>
      <c r="AR18" s="9614" t="n"/>
      <c r="AS18" s="8251" t="inlineStr">
        <is>
          <t>TOTAL ATENCIONES TELEMEDICINA</t>
        </is>
      </c>
      <c r="AT18" s="7503" t="inlineStr">
        <is>
          <t xml:space="preserve">Menor de 18 años </t>
        </is>
      </c>
      <c r="AU18" s="9776" t="n"/>
      <c r="AV18" s="10167" t="inlineStr">
        <is>
          <t>mayor  o igual a 18 años</t>
        </is>
      </c>
      <c r="AW18" s="9961" t="n"/>
      <c r="AX18" s="9625" t="n"/>
      <c r="AY18" s="5555" t="n"/>
      <c r="AZ18" s="5555" t="n"/>
      <c r="BA18" s="5555" t="n"/>
      <c r="BB18" s="5555" t="n"/>
      <c r="BC18" s="5555" t="n"/>
      <c r="BD18" s="5555" t="n"/>
      <c r="BE18" s="5555" t="n"/>
      <c r="BF18" s="5555" t="n"/>
      <c r="BG18" s="5555" t="n"/>
      <c r="BH18" s="5555" t="n"/>
      <c r="BI18" s="5555" t="n"/>
      <c r="BJ18" s="5555" t="n"/>
      <c r="BK18" s="5555" t="n"/>
      <c r="BL18" s="5555" t="n"/>
      <c r="BV18" s="5554" t="n"/>
      <c r="BW18" s="5554" t="n"/>
      <c r="BX18" s="5554" t="n"/>
      <c r="BY18" s="5555" t="n"/>
      <c r="BZ18" s="5555" t="n"/>
      <c r="CA18" s="6245" t="n"/>
      <c r="CB18" s="6245" t="n"/>
      <c r="CC18" s="5554" t="n"/>
      <c r="CR18" s="6246" t="n"/>
      <c r="CS18" s="6246" t="n"/>
      <c r="CT18" s="6246" t="n"/>
    </row>
    <row r="19" ht="22.5" customHeight="1" s="8286">
      <c r="A19" s="9610" t="n"/>
      <c r="B19" s="6290" t="inlineStr">
        <is>
          <t>Ambos Sexos</t>
        </is>
      </c>
      <c r="C19" s="6291" t="inlineStr">
        <is>
          <t xml:space="preserve">Hombres </t>
        </is>
      </c>
      <c r="D19" s="8176" t="inlineStr">
        <is>
          <t>Mujeres</t>
        </is>
      </c>
      <c r="E19" s="6292" t="inlineStr">
        <is>
          <t xml:space="preserve">Hombres </t>
        </is>
      </c>
      <c r="F19" s="8176" t="inlineStr">
        <is>
          <t>Mujeres</t>
        </is>
      </c>
      <c r="G19" s="6292" t="inlineStr">
        <is>
          <t xml:space="preserve">Hombres </t>
        </is>
      </c>
      <c r="H19" s="8176" t="inlineStr">
        <is>
          <t>Mujeres</t>
        </is>
      </c>
      <c r="I19" s="6292" t="inlineStr">
        <is>
          <t xml:space="preserve">Hombres </t>
        </is>
      </c>
      <c r="J19" s="8176" t="inlineStr">
        <is>
          <t>Mujeres</t>
        </is>
      </c>
      <c r="K19" s="6292" t="inlineStr">
        <is>
          <t xml:space="preserve">Hombres </t>
        </is>
      </c>
      <c r="L19" s="8176" t="inlineStr">
        <is>
          <t>Mujeres</t>
        </is>
      </c>
      <c r="M19" s="6292" t="inlineStr">
        <is>
          <t xml:space="preserve">Hombres </t>
        </is>
      </c>
      <c r="N19" s="8176" t="inlineStr">
        <is>
          <t>Mujeres</t>
        </is>
      </c>
      <c r="O19" s="6292" t="inlineStr">
        <is>
          <t xml:space="preserve">Hombres </t>
        </is>
      </c>
      <c r="P19" s="8176" t="inlineStr">
        <is>
          <t>Mujeres</t>
        </is>
      </c>
      <c r="Q19" s="6292" t="inlineStr">
        <is>
          <t xml:space="preserve">Hombres </t>
        </is>
      </c>
      <c r="R19" s="8176" t="inlineStr">
        <is>
          <t>Mujeres</t>
        </is>
      </c>
      <c r="S19" s="6292" t="inlineStr">
        <is>
          <t xml:space="preserve">Hombres </t>
        </is>
      </c>
      <c r="T19" s="8176" t="inlineStr">
        <is>
          <t>Mujeres</t>
        </is>
      </c>
      <c r="U19" s="6292" t="inlineStr">
        <is>
          <t xml:space="preserve">Hombres </t>
        </is>
      </c>
      <c r="V19" s="8176" t="inlineStr">
        <is>
          <t>Mujeres</t>
        </is>
      </c>
      <c r="W19" s="6292" t="inlineStr">
        <is>
          <t xml:space="preserve">Hombres </t>
        </is>
      </c>
      <c r="X19" s="8176" t="inlineStr">
        <is>
          <t>Mujeres</t>
        </is>
      </c>
      <c r="Y19" s="6292" t="inlineStr">
        <is>
          <t xml:space="preserve">Hombres </t>
        </is>
      </c>
      <c r="Z19" s="8176" t="inlineStr">
        <is>
          <t>Mujeres</t>
        </is>
      </c>
      <c r="AA19" s="6292" t="inlineStr">
        <is>
          <t xml:space="preserve">Hombres </t>
        </is>
      </c>
      <c r="AB19" s="8176" t="inlineStr">
        <is>
          <t>Mujeres</t>
        </is>
      </c>
      <c r="AC19" s="6292" t="inlineStr">
        <is>
          <t xml:space="preserve">Hombres </t>
        </is>
      </c>
      <c r="AD19" s="8176" t="inlineStr">
        <is>
          <t>Mujeres</t>
        </is>
      </c>
      <c r="AE19" s="6292" t="inlineStr">
        <is>
          <t xml:space="preserve">Hombres </t>
        </is>
      </c>
      <c r="AF19" s="8176" t="inlineStr">
        <is>
          <t>Mujeres</t>
        </is>
      </c>
      <c r="AG19" s="6292" t="inlineStr">
        <is>
          <t xml:space="preserve">Hombres </t>
        </is>
      </c>
      <c r="AH19" s="8176" t="inlineStr">
        <is>
          <t>Mujeres</t>
        </is>
      </c>
      <c r="AI19" s="6292" t="inlineStr">
        <is>
          <t xml:space="preserve">Hombres </t>
        </is>
      </c>
      <c r="AJ19" s="8176" t="inlineStr">
        <is>
          <t>Mujeres</t>
        </is>
      </c>
      <c r="AK19" s="6292" t="inlineStr">
        <is>
          <t xml:space="preserve">Hombres </t>
        </is>
      </c>
      <c r="AL19" s="7616" t="inlineStr">
        <is>
          <t>Mujeres</t>
        </is>
      </c>
      <c r="AM19" s="9855" t="n"/>
      <c r="AN19" s="9591" t="n"/>
      <c r="AO19" s="9610" t="n"/>
      <c r="AP19" s="9688" t="n"/>
      <c r="AQ19" s="9609" t="n"/>
      <c r="AR19" s="9610" t="n"/>
      <c r="AS19" s="9611" t="n"/>
      <c r="AT19" s="6294" t="inlineStr">
        <is>
          <t>Hombres</t>
        </is>
      </c>
      <c r="AU19" s="6295" t="inlineStr">
        <is>
          <t>Mujeres</t>
        </is>
      </c>
      <c r="AV19" s="6296" t="inlineStr">
        <is>
          <t>Hombres</t>
        </is>
      </c>
      <c r="AW19" s="6297" t="inlineStr">
        <is>
          <t xml:space="preserve">Mujeres </t>
        </is>
      </c>
      <c r="AX19" s="9641" t="n"/>
      <c r="AY19" s="5555" t="n"/>
      <c r="AZ19" s="5555" t="n"/>
      <c r="BA19" s="5555" t="n"/>
      <c r="BB19" s="5555" t="n"/>
      <c r="BC19" s="5555" t="n"/>
      <c r="BD19" s="5555" t="n"/>
      <c r="BE19" s="5555" t="n"/>
      <c r="BF19" s="5555" t="n"/>
      <c r="BG19" s="5555" t="n"/>
      <c r="BH19" s="5555" t="n"/>
      <c r="BI19" s="5555" t="n"/>
      <c r="BJ19" s="5555" t="n"/>
      <c r="BK19" s="5555" t="n"/>
      <c r="BL19" s="5555" t="n"/>
      <c r="BM19" s="5555" t="n"/>
      <c r="BN19" s="5555" t="n"/>
      <c r="BO19" s="5555" t="n"/>
      <c r="BV19" s="5554" t="n"/>
      <c r="BW19" s="5554" t="n"/>
      <c r="BX19" s="5554" t="n"/>
      <c r="BY19" s="5554" t="n"/>
      <c r="CA19" s="5554" t="n"/>
      <c r="CB19" s="5555" t="n"/>
      <c r="CC19" s="5555" t="n"/>
      <c r="CD19" s="6245" t="n"/>
      <c r="CE19" s="6245" t="n"/>
      <c r="CF19" s="5554" t="n"/>
      <c r="CR19" s="6246" t="n"/>
      <c r="CS19" s="6246" t="n"/>
      <c r="CT19" s="6246" t="n"/>
      <c r="CU19" s="6246" t="n"/>
      <c r="CV19" s="6246" t="n"/>
      <c r="CW19" s="6246" t="n"/>
    </row>
    <row r="20" ht="15" customHeight="1" s="8286">
      <c r="A20" s="8279" t="inlineStr">
        <is>
          <t>Atención Medica</t>
        </is>
      </c>
      <c r="B20" s="1546">
        <f>SUM(C20+D20)</f>
        <v/>
      </c>
      <c r="C20" s="6299">
        <f>SUM(E20+G20+I20+K20+M20+O20+Q20+S20+U20+W20+Y20+AA20+AC20+AE20+AG20+AI20+AK20)</f>
        <v/>
      </c>
      <c r="D20" s="1538">
        <f>SUM(F20+H20+J20+L20+N20+P20+R20+T20+V20+X20+Z20+AB20+AD20+AF20+AH20+AJ20+AL20)</f>
        <v/>
      </c>
      <c r="E20" s="5843" t="n"/>
      <c r="F20" s="6014" t="n"/>
      <c r="G20" s="5843" t="n"/>
      <c r="H20" s="6014" t="n"/>
      <c r="I20" s="5843" t="n"/>
      <c r="J20" s="6103" t="n"/>
      <c r="K20" s="5843" t="n"/>
      <c r="L20" s="6103" t="n"/>
      <c r="M20" s="5843" t="n"/>
      <c r="N20" s="6103" t="n"/>
      <c r="O20" s="6300" t="n"/>
      <c r="P20" s="6103" t="n"/>
      <c r="Q20" s="6300" t="n"/>
      <c r="R20" s="6103" t="n"/>
      <c r="S20" s="6300" t="n"/>
      <c r="T20" s="6103" t="n"/>
      <c r="U20" s="6300" t="n"/>
      <c r="V20" s="6103" t="n"/>
      <c r="W20" s="6300" t="n"/>
      <c r="X20" s="6103" t="n"/>
      <c r="Y20" s="6300" t="n"/>
      <c r="Z20" s="6103" t="n"/>
      <c r="AA20" s="6300" t="n"/>
      <c r="AB20" s="6103" t="n"/>
      <c r="AC20" s="6300" t="n"/>
      <c r="AD20" s="6103" t="n"/>
      <c r="AE20" s="6300" t="n"/>
      <c r="AF20" s="6103" t="n"/>
      <c r="AG20" s="6300" t="n"/>
      <c r="AH20" s="6103" t="n"/>
      <c r="AI20" s="6300" t="n"/>
      <c r="AJ20" s="6103" t="n"/>
      <c r="AK20" s="6300" t="n"/>
      <c r="AL20" s="6105" t="n"/>
      <c r="AM20" s="6301" t="n"/>
      <c r="AN20" s="5946" t="n"/>
      <c r="AO20" s="5945" t="n"/>
      <c r="AP20" s="6302" t="n"/>
      <c r="AQ20" s="6303" t="n"/>
      <c r="AR20" s="5295" t="n"/>
      <c r="AS20" s="6304">
        <f>SUM(AT20:AW20)</f>
        <v/>
      </c>
      <c r="AT20" s="6305" t="n"/>
      <c r="AU20" s="6306" t="n"/>
      <c r="AV20" s="6305" t="n"/>
      <c r="AW20" s="6307" t="n"/>
      <c r="AX20" s="6308" t="n"/>
      <c r="AY20" s="6274">
        <f>$CA20&amp;$CB20&amp;$CC20&amp;$CD20&amp;$CE20&amp;$CF20&amp;CG20</f>
        <v/>
      </c>
      <c r="AZ20" s="6275" t="n"/>
      <c r="BA20" s="6275" t="n"/>
      <c r="BB20" s="6275" t="n"/>
      <c r="BC20" s="6275" t="n"/>
      <c r="BD20" s="6275" t="n"/>
      <c r="BE20" s="6275" t="n"/>
      <c r="BF20" s="5555" t="n"/>
      <c r="BG20" s="5555" t="n"/>
      <c r="BH20" s="5555" t="n"/>
      <c r="BI20" s="5555" t="n"/>
      <c r="BJ20" s="5555" t="n"/>
      <c r="BK20" s="5555" t="n"/>
      <c r="BL20" s="5555" t="n"/>
      <c r="BM20" s="5555" t="n"/>
      <c r="BN20" s="5555" t="n"/>
      <c r="BO20" s="5555" t="n"/>
      <c r="BV20" s="5554" t="n"/>
      <c r="BW20" s="5554" t="n"/>
      <c r="BX20" s="5554" t="n"/>
      <c r="BY20" s="5554" t="n"/>
      <c r="CA20" s="6276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>
        <f>IF(AND($B20&gt;0,AP20="")," *No olvide digitar la variable "&amp;AP$17&amp;""&amp;". Digite CERO si no tiene",IF(AP20&gt;$B20," *La variable "&amp;AP$17&amp;""&amp;" No puede ser mayor al Total Ambos Sexos.",""))</f>
        <v/>
      </c>
      <c r="CE20" s="6276">
        <f>IF(AND($B20&gt;0,AQ20="")," *No olvide digitar la variable "&amp;AQ$17&amp;""&amp;". Digite CERO si no tiene",IF(AQ20&gt;$B20," *La variable "&amp;AQ$17&amp;""&amp;" No puede ser mayor al Total Ambos Sexos.",""))</f>
        <v/>
      </c>
      <c r="CF20" s="6276">
        <f>IF(AND($B20&gt;0,AR20="")," *No olvide digitar la variable "&amp;AR$17&amp;""&amp;". Digite CERO si no tiene",IF(AR20&gt;$B20," *La variable "&amp;AR$17&amp;""&amp;" No puede ser mayor al Total Ambos Sexos.",""))</f>
        <v/>
      </c>
      <c r="CG20" s="6276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/>
      </c>
      <c r="CN20" s="6277">
        <f>IF(AND($B20&gt;0,AN20=""),1,IF(AN20&gt;$B20,1,0))</f>
        <v/>
      </c>
      <c r="CO20" s="6277">
        <f>IF(AND($B20&gt;0,AO20=""),1,IF(B20&gt;$AO20,1,0))</f>
        <v/>
      </c>
      <c r="CP20" s="6277">
        <f>IF(AND($B20&gt;0,AP20=""),1,IF(AP20&gt;$B20,1,0))</f>
        <v/>
      </c>
      <c r="CQ20" s="6277">
        <f>IF(AND($B20&gt;0,AQ20=""),1,IF(AQ20&gt;$B20,1,0))</f>
        <v/>
      </c>
      <c r="CR20" s="6278">
        <f>IF(AND($B20&gt;0,AR20=""),1,IF(AR20&gt;$B20,1,0))</f>
        <v/>
      </c>
      <c r="CS20" s="6277">
        <f>IF(AND($AS20&gt;0,AX20=""),1,IF(AX20&gt;AS20,1,0))</f>
        <v/>
      </c>
    </row>
    <row r="21" ht="15" customHeight="1" s="8286">
      <c r="A21" s="7468" t="inlineStr">
        <is>
          <t>Enfermería</t>
        </is>
      </c>
      <c r="B21" s="1546">
        <f>SUM(C21+D21)</f>
        <v/>
      </c>
      <c r="C21" s="6299">
        <f>SUM(E21+G21+I21+K21+M21+O21+Q21+S21+U21+W21+Y21+AA21+AC21+AE21+AG21+AI21+AK21)</f>
        <v/>
      </c>
      <c r="D21" s="1538">
        <f>SUM(F21+H21+J21+L21+N21+P21+R21+T21+V21+X21+Z21+AB21+AD21+AF21+AH21+AJ21+AL21)</f>
        <v/>
      </c>
      <c r="E21" s="5843" t="n"/>
      <c r="F21" s="6014" t="n"/>
      <c r="G21" s="5843" t="n"/>
      <c r="H21" s="6014" t="n"/>
      <c r="I21" s="5843" t="n"/>
      <c r="J21" s="6103" t="n"/>
      <c r="K21" s="5843" t="n"/>
      <c r="L21" s="6103" t="n"/>
      <c r="M21" s="5843" t="n"/>
      <c r="N21" s="6103" t="n"/>
      <c r="O21" s="6300" t="n"/>
      <c r="P21" s="6103" t="n"/>
      <c r="Q21" s="6300" t="n"/>
      <c r="R21" s="6103" t="n"/>
      <c r="S21" s="6300" t="n"/>
      <c r="T21" s="6103" t="n"/>
      <c r="U21" s="6300" t="n"/>
      <c r="V21" s="6103" t="n"/>
      <c r="W21" s="6300" t="n"/>
      <c r="X21" s="6103" t="n"/>
      <c r="Y21" s="6300" t="n"/>
      <c r="Z21" s="6103" t="n"/>
      <c r="AA21" s="6300" t="n"/>
      <c r="AB21" s="6103" t="n"/>
      <c r="AC21" s="6300" t="n"/>
      <c r="AD21" s="6103" t="n"/>
      <c r="AE21" s="6300" t="n"/>
      <c r="AF21" s="6103" t="n"/>
      <c r="AG21" s="6300" t="n"/>
      <c r="AH21" s="6103" t="n"/>
      <c r="AI21" s="6300" t="n"/>
      <c r="AJ21" s="6103" t="n"/>
      <c r="AK21" s="6300" t="n"/>
      <c r="AL21" s="6105" t="n"/>
      <c r="AM21" s="6301" t="n"/>
      <c r="AN21" s="5946" t="n"/>
      <c r="AO21" s="5945" t="n"/>
      <c r="AP21" s="6302" t="n"/>
      <c r="AQ21" s="6309" t="n"/>
      <c r="AR21" s="5294" t="n"/>
      <c r="AS21" s="6310" t="n"/>
      <c r="AT21" s="6311" t="n"/>
      <c r="AU21" s="6312" t="n"/>
      <c r="AV21" s="6311" t="n"/>
      <c r="AW21" s="6313" t="n"/>
      <c r="AX21" s="5895" t="n"/>
      <c r="AY21" s="6274">
        <f>$CA21&amp;$CB21&amp;$CC21&amp;$CD21&amp;$CE21&amp;$CF21</f>
        <v/>
      </c>
      <c r="AZ21" s="6275" t="n"/>
      <c r="BA21" s="6275" t="n"/>
      <c r="BB21" s="6275" t="n"/>
      <c r="BC21" s="6275" t="n"/>
      <c r="BD21" s="6275" t="n"/>
      <c r="BE21" s="6275" t="n"/>
      <c r="BF21" s="5555" t="n"/>
      <c r="BG21" s="5555" t="n"/>
      <c r="BH21" s="5555" t="n"/>
      <c r="BI21" s="5555" t="n"/>
      <c r="BJ21" s="5555" t="n"/>
      <c r="BK21" s="5555" t="n"/>
      <c r="BL21" s="5555" t="n"/>
      <c r="BM21" s="5555" t="n"/>
      <c r="BN21" s="5555" t="n"/>
      <c r="BO21" s="5555" t="n"/>
      <c r="BV21" s="5554" t="n"/>
      <c r="BW21" s="5554" t="n"/>
      <c r="BX21" s="5554" t="n"/>
      <c r="BY21" s="5554" t="n"/>
      <c r="CA21" s="6276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>
        <f>IF(AND($B21&gt;0,AP21="")," *No olvide digitar la variable "&amp;AP$17&amp;""&amp;". Digite CERO si no tiene",IF(AP21&gt;$B21," *La variable "&amp;AP$17&amp;""&amp;" No puede ser mayor al Total Ambos Sexos.",""))</f>
        <v/>
      </c>
      <c r="CE21" s="6276">
        <f>IF(AND($B21&gt;0,AQ21="")," *No olvide digitar la variable "&amp;AQ$17&amp;""&amp;". Digite CERO si no tiene",IF(AQ21&gt;$B21," *La variable "&amp;AQ$17&amp;""&amp;" No puede ser mayor al Total Ambos Sexos.",""))</f>
        <v/>
      </c>
      <c r="CF21" s="6276">
        <f>IF(AND($B21&gt;0,AR21="")," *No olvide digitar la variable "&amp;AR$17&amp;""&amp;". Digite CERO si no tiene",IF(AR21&gt;$B21," *La variable "&amp;AR$17&amp;""&amp;" No puede ser mayor al Total Ambos Sexos.",""))</f>
        <v/>
      </c>
      <c r="CM21" s="6277">
        <f>IF(AND($B21&gt;0,AM21=""),1,IF(AM21&gt;$B21,1,0))</f>
        <v/>
      </c>
      <c r="CN21" s="6277">
        <f>IF(AND($B21&gt;0,AN21=""),1,IF(AN21&gt;$B21,1,0))</f>
        <v/>
      </c>
      <c r="CO21" s="6277">
        <f>IF(AND($B21&gt;0,AO21=""),1,IF(B21&gt;$AO21,1,0))</f>
        <v/>
      </c>
      <c r="CP21" s="6277">
        <f>IF(AND($B21&gt;0,AP21=""),1,IF(AP21&gt;$B21,1,0))</f>
        <v/>
      </c>
      <c r="CQ21" s="6277">
        <f>IF(AND($B21&gt;0,AQ21=""),1,IF(AQ21&gt;$B21,1,0))</f>
        <v/>
      </c>
      <c r="CR21" s="6278">
        <f>IF(AND($B21&gt;0,AR21=""),1,IF(AR21&gt;$B21,1,0))</f>
        <v/>
      </c>
    </row>
    <row r="22" ht="15" customHeight="1" s="8286">
      <c r="A22" s="1752" t="inlineStr">
        <is>
          <t>Matronería</t>
        </is>
      </c>
      <c r="B22" s="6314">
        <f>SUM(C22+D22)</f>
        <v/>
      </c>
      <c r="C22" s="6315">
        <f>SUM(E22+G22+I22+K22+M22+O22+Q22+S22+U22+W22+Y22+AA22+AC22+AE22+AG22+AI22+AK22)</f>
        <v/>
      </c>
      <c r="D22" s="1687">
        <f>SUM(F22+H22+J22+L22+N22+P22+R22+T22+V22+X22+Z22+AB22+AD22+AF22+AH22+AJ22+AL22)</f>
        <v/>
      </c>
      <c r="E22" s="5883" t="n"/>
      <c r="F22" s="5895" t="n"/>
      <c r="G22" s="5883" t="n"/>
      <c r="H22" s="5895" t="n"/>
      <c r="I22" s="5883" t="n"/>
      <c r="J22" s="5896" t="n"/>
      <c r="K22" s="5883" t="n"/>
      <c r="L22" s="5896" t="n"/>
      <c r="M22" s="5883" t="n"/>
      <c r="N22" s="5896" t="n"/>
      <c r="O22" s="6310" t="n"/>
      <c r="P22" s="5896" t="n"/>
      <c r="Q22" s="6310" t="n"/>
      <c r="R22" s="5896" t="n"/>
      <c r="S22" s="6310" t="n"/>
      <c r="T22" s="5896" t="n"/>
      <c r="U22" s="6310" t="n"/>
      <c r="V22" s="5896" t="n"/>
      <c r="W22" s="6310" t="n"/>
      <c r="X22" s="5896" t="n"/>
      <c r="Y22" s="6310" t="n"/>
      <c r="Z22" s="5896" t="n"/>
      <c r="AA22" s="6310" t="n"/>
      <c r="AB22" s="5896" t="n"/>
      <c r="AC22" s="6310" t="n"/>
      <c r="AD22" s="5896" t="n"/>
      <c r="AE22" s="6310" t="n"/>
      <c r="AF22" s="5896" t="n"/>
      <c r="AG22" s="6310" t="n"/>
      <c r="AH22" s="5896" t="n"/>
      <c r="AI22" s="6310" t="n"/>
      <c r="AJ22" s="5896" t="n"/>
      <c r="AK22" s="6310" t="n"/>
      <c r="AL22" s="6316" t="n"/>
      <c r="AM22" s="6317" t="n"/>
      <c r="AN22" s="6318" t="n"/>
      <c r="AO22" s="6319" t="n"/>
      <c r="AP22" s="6320" t="n"/>
      <c r="AQ22" s="6321" t="n"/>
      <c r="AR22" s="5307" t="n"/>
      <c r="AS22" s="6310" t="n"/>
      <c r="AT22" s="6311" t="n"/>
      <c r="AU22" s="6312" t="n"/>
      <c r="AV22" s="6311" t="n"/>
      <c r="AW22" s="6313" t="n"/>
      <c r="AX22" s="5895" t="n"/>
      <c r="AY22" s="6274">
        <f>$CA22&amp;$CB22&amp;$CC22&amp;$CD22&amp;$CE22&amp;$CF22</f>
        <v/>
      </c>
      <c r="AZ22" s="6275" t="n"/>
      <c r="BA22" s="6275" t="n"/>
      <c r="BB22" s="6275" t="n"/>
      <c r="BC22" s="6275" t="n"/>
      <c r="BD22" s="6275" t="n"/>
      <c r="BE22" s="6275" t="n"/>
      <c r="BF22" s="5555" t="n"/>
      <c r="BG22" s="5555" t="n"/>
      <c r="BH22" s="5555" t="n"/>
      <c r="BI22" s="5555" t="n"/>
      <c r="BJ22" s="5555" t="n"/>
      <c r="BK22" s="5555" t="n"/>
      <c r="BL22" s="5555" t="n"/>
      <c r="BM22" s="5555" t="n"/>
      <c r="BN22" s="5555" t="n"/>
      <c r="BO22" s="5555" t="n"/>
      <c r="BV22" s="5554" t="n"/>
      <c r="BW22" s="5554" t="n"/>
      <c r="BX22" s="5554" t="n"/>
      <c r="BY22" s="5554" t="n"/>
      <c r="CA22" s="6322" t="n"/>
      <c r="CB22" s="6322" t="n"/>
      <c r="CC22" s="6322" t="n"/>
      <c r="CD22" s="6322" t="n"/>
      <c r="CE22" s="6322" t="n"/>
      <c r="CF22" s="6322" t="n"/>
      <c r="CM22" s="6322" t="n"/>
      <c r="CN22" s="6322" t="n"/>
      <c r="CO22" s="6322" t="n"/>
      <c r="CP22" s="6322" t="n"/>
      <c r="CQ22" s="6322" t="n"/>
      <c r="CR22" s="6323" t="n"/>
    </row>
    <row r="23" ht="15" customHeight="1" s="8286" thickBot="1">
      <c r="A23" s="6324" t="inlineStr">
        <is>
          <t>Kinesiología</t>
        </is>
      </c>
      <c r="B23" s="1696">
        <f>SUM(C23+D23)</f>
        <v/>
      </c>
      <c r="C23" s="1570">
        <f>SUM(E23+G23+I23+K23+M23+O23+Q23+S23+U23+W23+Y23+AA23+AC23+AE23+AG23+AI23+AK23)</f>
        <v/>
      </c>
      <c r="D23" s="1571">
        <f>SUM(F23+H23+J23+L23+N23+P23+R23+T23+V23+X23+Z23+AB23+AD23+AF23+AH23+AJ23+AL23)</f>
        <v/>
      </c>
      <c r="E23" s="5858" t="n"/>
      <c r="F23" s="5859" t="n"/>
      <c r="G23" s="5858" t="n"/>
      <c r="H23" s="5859" t="n"/>
      <c r="I23" s="5858" t="n"/>
      <c r="J23" s="5847" t="n"/>
      <c r="K23" s="5900" t="n"/>
      <c r="L23" s="5859" t="n"/>
      <c r="M23" s="5858" t="n"/>
      <c r="N23" s="5859" t="n"/>
      <c r="O23" s="5858" t="n"/>
      <c r="P23" s="5859" t="n"/>
      <c r="Q23" s="5858" t="n"/>
      <c r="R23" s="5859" t="n"/>
      <c r="S23" s="5858" t="n"/>
      <c r="T23" s="5859" t="n"/>
      <c r="U23" s="5858" t="n"/>
      <c r="V23" s="5859" t="n"/>
      <c r="W23" s="5858" t="n"/>
      <c r="X23" s="5859" t="n"/>
      <c r="Y23" s="5858" t="n"/>
      <c r="Z23" s="5859" t="n"/>
      <c r="AA23" s="5858" t="n"/>
      <c r="AB23" s="5859" t="n"/>
      <c r="AC23" s="5858" t="n"/>
      <c r="AD23" s="5859" t="n"/>
      <c r="AE23" s="5858" t="n"/>
      <c r="AF23" s="5859" t="n"/>
      <c r="AG23" s="5858" t="n"/>
      <c r="AH23" s="5859" t="n"/>
      <c r="AI23" s="5858" t="n"/>
      <c r="AJ23" s="5859" t="n"/>
      <c r="AK23" s="5858" t="n"/>
      <c r="AL23" s="6164" t="n"/>
      <c r="AM23" s="6325" t="n"/>
      <c r="AN23" s="6165" t="n"/>
      <c r="AO23" s="6166" t="n"/>
      <c r="AP23" s="5900" t="n"/>
      <c r="AQ23" s="6326" t="n"/>
      <c r="AR23" s="6327" t="n"/>
      <c r="AS23" s="6310" t="n"/>
      <c r="AT23" s="6311" t="n"/>
      <c r="AU23" s="6312" t="n"/>
      <c r="AV23" s="6311" t="n"/>
      <c r="AW23" s="6313" t="n"/>
      <c r="AX23" s="5895" t="n"/>
      <c r="AY23" s="6274">
        <f>$CA23&amp;$CB23&amp;$CC23&amp;$CD23&amp;$CE23&amp;$CF23</f>
        <v/>
      </c>
      <c r="AZ23" s="6275" t="n"/>
      <c r="BA23" s="6275" t="n"/>
      <c r="BB23" s="6275" t="n"/>
      <c r="BC23" s="6275" t="n"/>
      <c r="BD23" s="6275" t="n"/>
      <c r="BE23" s="6275" t="n"/>
      <c r="BF23" s="5555" t="n"/>
      <c r="BG23" s="5555" t="n"/>
      <c r="BH23" s="5555" t="n"/>
      <c r="BI23" s="5555" t="n"/>
      <c r="BJ23" s="5555" t="n"/>
      <c r="BK23" s="5555" t="n"/>
      <c r="BL23" s="5555" t="n"/>
      <c r="BM23" s="5555" t="n"/>
      <c r="BN23" s="5555" t="n"/>
      <c r="BO23" s="5555" t="n"/>
      <c r="BV23" s="5554" t="n"/>
      <c r="BW23" s="5554" t="n"/>
      <c r="BX23" s="5554" t="n"/>
      <c r="BY23" s="5554" t="n"/>
      <c r="CA23" s="6276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>IF(AND($B23&gt;0,AM23=""),1,IF(AM23&gt;$B23,1,0))</f>
        <v/>
      </c>
      <c r="CN23" s="6277">
        <f>IF(AND($B23&gt;0,AN23=""),1,IF(AN23&gt;$B23,1,0))</f>
        <v/>
      </c>
      <c r="CO23" s="6277">
        <f>IF(AND($B23&gt;0,AO23=""),1,IF(B23&gt;$AO23,1,0))</f>
        <v/>
      </c>
      <c r="CP23" s="6277">
        <f>IF(AND($B23&gt;0,AP23=""),1,IF(AP23&gt;$B23,1,0))</f>
        <v/>
      </c>
      <c r="CQ23" s="6277">
        <f>IF(AND($B23&gt;0,AQ23=""),1,IF(AQ23&gt;$B23,1,0))</f>
        <v/>
      </c>
      <c r="CR23" s="6278">
        <f>IF(AND($B23&gt;0,AR23=""),1,IF(AR23&gt;$B23,1,0))</f>
        <v/>
      </c>
    </row>
    <row r="24" ht="15" customHeight="1" s="8286" thickTop="1">
      <c r="A24" s="7468" t="inlineStr">
        <is>
          <t>Psicología</t>
        </is>
      </c>
      <c r="B24" s="6328">
        <f>SUM(C24+D24)</f>
        <v/>
      </c>
      <c r="C24" s="6329">
        <f>SUM(E24+G24+I24+K24+M24+O24+Q24+S24+U24+W24+Y24+AA24+AC24+AE24+AG24+AI24+AK24)</f>
        <v/>
      </c>
      <c r="D24" s="6330">
        <f>SUM(F24+H24+J24+L24+N24+P24+R24+T24+V24+X24+Z24+AB24+AD24+AF24+AH24+AJ24+AL24)</f>
        <v/>
      </c>
      <c r="E24" s="6331" t="n"/>
      <c r="F24" s="6332" t="n"/>
      <c r="G24" s="6331" t="n"/>
      <c r="H24" s="6332" t="n"/>
      <c r="I24" s="6331" t="n"/>
      <c r="J24" s="6333" t="n"/>
      <c r="K24" s="6334" t="n"/>
      <c r="L24" s="6332" t="n"/>
      <c r="M24" s="6331" t="n"/>
      <c r="N24" s="6332" t="n"/>
      <c r="O24" s="6331" t="n"/>
      <c r="P24" s="6332" t="n"/>
      <c r="Q24" s="6331" t="n"/>
      <c r="R24" s="6332" t="n"/>
      <c r="S24" s="6331" t="n"/>
      <c r="T24" s="6332" t="n"/>
      <c r="U24" s="6331" t="n"/>
      <c r="V24" s="6332" t="n"/>
      <c r="W24" s="6331" t="n"/>
      <c r="X24" s="6332" t="n"/>
      <c r="Y24" s="6331" t="n"/>
      <c r="Z24" s="6332" t="n"/>
      <c r="AA24" s="6331" t="n"/>
      <c r="AB24" s="6332" t="n"/>
      <c r="AC24" s="6331" t="n"/>
      <c r="AD24" s="6332" t="n"/>
      <c r="AE24" s="6331" t="n"/>
      <c r="AF24" s="6332" t="n"/>
      <c r="AG24" s="6331" t="n"/>
      <c r="AH24" s="6332" t="n"/>
      <c r="AI24" s="6331" t="n"/>
      <c r="AJ24" s="6332" t="n"/>
      <c r="AK24" s="6331" t="n"/>
      <c r="AL24" s="6335" t="n"/>
      <c r="AM24" s="6336" t="n"/>
      <c r="AN24" s="6337" t="n"/>
      <c r="AO24" s="6338" t="n"/>
      <c r="AP24" s="6339" t="n"/>
      <c r="AQ24" s="6340" t="n"/>
      <c r="AR24" s="6341" t="n"/>
      <c r="AS24" s="6342" t="n"/>
      <c r="AT24" s="6343" t="n"/>
      <c r="AU24" s="6344" t="n"/>
      <c r="AV24" s="6343" t="n"/>
      <c r="AW24" s="6345" t="n"/>
      <c r="AX24" s="6344" t="n"/>
      <c r="AY24" s="6274">
        <f>$CA24&amp;$CB24&amp;$CC24&amp;$CD24&amp;$CE24&amp;$CF24</f>
        <v/>
      </c>
      <c r="AZ24" s="6275" t="n"/>
      <c r="BA24" s="6275" t="n"/>
      <c r="BB24" s="6275" t="n"/>
      <c r="BC24" s="6275" t="n"/>
      <c r="BD24" s="6275" t="n"/>
      <c r="BE24" s="6275" t="n"/>
      <c r="BF24" s="5555" t="n"/>
      <c r="BG24" s="5555" t="n"/>
      <c r="BH24" s="5555" t="n"/>
      <c r="BI24" s="5555" t="n"/>
      <c r="BJ24" s="5555" t="n"/>
      <c r="BK24" s="5555" t="n"/>
      <c r="BL24" s="5555" t="n"/>
      <c r="BM24" s="5555" t="n"/>
      <c r="BN24" s="5555" t="n"/>
      <c r="BO24" s="5555" t="n"/>
      <c r="BV24" s="5554" t="n"/>
      <c r="BW24" s="5554" t="n"/>
      <c r="BX24" s="5554" t="n"/>
      <c r="BY24" s="5554" t="n"/>
      <c r="CA24" s="6276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 t="n"/>
      <c r="CD24" s="6346" t="n"/>
      <c r="CE24" s="6276">
        <f>IF(AND($B24&gt;0,AQ24="")," *No olvide digitar la variable "&amp;AQ$17&amp;""&amp;". Digite CERO si no tiene",IF(AQ24&gt;$B24," *La variable "&amp;AQ$17&amp;""&amp;" No puede ser mayor al Total Ambos Sexos.",""))</f>
        <v/>
      </c>
      <c r="CF24" s="6276">
        <f>IF(AND($B24&gt;0,AR24="")," *No olvide digitar la variable "&amp;AR$17&amp;""&amp;". Digite CERO si no tiene",IF(AR24&gt;$B24," *La variable "&amp;AR$17&amp;""&amp;" No puede ser mayor al Total Ambos Sexos.",""))</f>
        <v/>
      </c>
      <c r="CM24" s="6277">
        <f>IF(AND($B24&gt;0,AM24=""),1,IF(AM24&gt;$B24,1,0))</f>
        <v/>
      </c>
      <c r="CN24" s="6277">
        <f>IF(AND($B24&gt;0,AN24=""),1,IF(AN24&gt;$B24,1,0))</f>
        <v/>
      </c>
      <c r="CO24" s="6346" t="n"/>
      <c r="CP24" s="6346" t="n"/>
      <c r="CQ24" s="6277">
        <f>IF(AND($B24&gt;0,AQ24=""),1,IF(AQ24&gt;$B24,1,0))</f>
        <v/>
      </c>
      <c r="CR24" s="6278">
        <f>IF(AND($B24&gt;0,AR24=""),1,IF(AR24&gt;$B24,1,0))</f>
        <v/>
      </c>
    </row>
    <row r="25" ht="15" customHeight="1" s="8286">
      <c r="A25" s="7199" t="inlineStr">
        <is>
          <t>Trabajo Social</t>
        </is>
      </c>
      <c r="B25" s="1546">
        <f>SUM(C25+D25)</f>
        <v/>
      </c>
      <c r="C25" s="6299">
        <f>SUM(E25+G25+I25+K25+M25+O25+Q25+S25+U25+W25+Y25+AA25+AC25+AE25+AG25+AI25+AK25)</f>
        <v/>
      </c>
      <c r="D25" s="1548">
        <f>SUM(F25+H25+J25+L25+N25+P25+R25+T25+V25+X25+Z25+AB25+AD25+AF25+AH25+AJ25+AL25)</f>
        <v/>
      </c>
      <c r="E25" s="5826" t="n"/>
      <c r="F25" s="5827" t="n"/>
      <c r="G25" s="5826" t="n"/>
      <c r="H25" s="5827" t="n"/>
      <c r="I25" s="5826" t="n"/>
      <c r="J25" s="5828" t="n"/>
      <c r="K25" s="5890" t="n"/>
      <c r="L25" s="5827" t="n"/>
      <c r="M25" s="5826" t="n"/>
      <c r="N25" s="5827" t="n"/>
      <c r="O25" s="5826" t="n"/>
      <c r="P25" s="5827" t="n"/>
      <c r="Q25" s="5826" t="n"/>
      <c r="R25" s="5827" t="n"/>
      <c r="S25" s="5826" t="n"/>
      <c r="T25" s="5827" t="n"/>
      <c r="U25" s="5826" t="n"/>
      <c r="V25" s="5827" t="n"/>
      <c r="W25" s="5826" t="n"/>
      <c r="X25" s="5827" t="n"/>
      <c r="Y25" s="5826" t="n"/>
      <c r="Z25" s="5827" t="n"/>
      <c r="AA25" s="5826" t="n"/>
      <c r="AB25" s="5827" t="n"/>
      <c r="AC25" s="5826" t="n"/>
      <c r="AD25" s="5827" t="n"/>
      <c r="AE25" s="5826" t="n"/>
      <c r="AF25" s="5827" t="n"/>
      <c r="AG25" s="5826" t="n"/>
      <c r="AH25" s="5827" t="n"/>
      <c r="AI25" s="5826" t="n"/>
      <c r="AJ25" s="5827" t="n"/>
      <c r="AK25" s="5826" t="n"/>
      <c r="AL25" s="6161" t="n"/>
      <c r="AM25" s="6347" t="n"/>
      <c r="AN25" s="6162" t="n"/>
      <c r="AO25" s="6319" t="n"/>
      <c r="AP25" s="6320" t="n"/>
      <c r="AQ25" s="6309" t="n"/>
      <c r="AR25" s="5294" t="n"/>
      <c r="AS25" s="6310" t="n"/>
      <c r="AT25" s="6311" t="n"/>
      <c r="AU25" s="6312" t="n"/>
      <c r="AV25" s="6311" t="n"/>
      <c r="AW25" s="6313" t="n"/>
      <c r="AX25" s="5895" t="n"/>
      <c r="AY25" s="6274">
        <f>$CA25&amp;$CB25&amp;$CC25&amp;$CD25&amp;$CE25&amp;$CF25</f>
        <v/>
      </c>
      <c r="AZ25" s="6275" t="n"/>
      <c r="BA25" s="6275" t="n"/>
      <c r="BB25" s="6275" t="n"/>
      <c r="BC25" s="6275" t="n"/>
      <c r="BD25" s="6275" t="n"/>
      <c r="BE25" s="6275" t="n"/>
      <c r="BF25" s="5555" t="n"/>
      <c r="BG25" s="5555" t="n"/>
      <c r="BH25" s="5555" t="n"/>
      <c r="BI25" s="5555" t="n"/>
      <c r="BJ25" s="5555" t="n"/>
      <c r="BK25" s="5555" t="n"/>
      <c r="BL25" s="5555" t="n"/>
      <c r="BM25" s="5555" t="n"/>
      <c r="BN25" s="5555" t="n"/>
      <c r="BO25" s="5555" t="n"/>
      <c r="BV25" s="5554" t="n"/>
      <c r="BW25" s="5554" t="n"/>
      <c r="BX25" s="5554" t="n"/>
      <c r="BY25" s="5554" t="n"/>
      <c r="CA25" s="6276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 t="n"/>
      <c r="CD25" s="6346" t="n"/>
      <c r="CE25" s="6276">
        <f>IF(AND($B25&gt;0,AQ25="")," *No olvide digitar la variable "&amp;AQ$17&amp;""&amp;". Digite CERO si no tiene",IF(AQ25&gt;$B25," *La variable "&amp;AQ$17&amp;""&amp;" No puede ser mayor al Total Ambos Sexos.",""))</f>
        <v/>
      </c>
      <c r="CF25" s="6276">
        <f>IF(AND($B25&gt;0,AR25="")," *No olvide digitar la variable "&amp;AR$17&amp;""&amp;". Digite CERO si no tiene",IF(AR25&gt;$B25," *La variable "&amp;AR$17&amp;""&amp;" No puede ser mayor al Total Ambos Sexos.",""))</f>
        <v/>
      </c>
      <c r="CM25" s="6277">
        <f>IF(AND($B25&gt;0,AM25=""),1,IF(AM25&gt;$B25,1,0))</f>
        <v/>
      </c>
      <c r="CN25" s="6277">
        <f>IF(AND($B25&gt;0,AN25=""),1,IF(AN25&gt;$B25,1,0))</f>
        <v/>
      </c>
      <c r="CO25" s="6346" t="n"/>
      <c r="CP25" s="6346" t="n"/>
      <c r="CQ25" s="6277">
        <f>IF(AND($B25&gt;0,AQ25=""),1,IF(AQ25&gt;$B25,1,0))</f>
        <v/>
      </c>
      <c r="CR25" s="6278">
        <f>IF(AND($B25&gt;0,AR25=""),1,IF(AR25&gt;$B25,1,0))</f>
        <v/>
      </c>
    </row>
    <row r="26" ht="15" customHeight="1" s="8286">
      <c r="A26" s="6348" t="inlineStr">
        <is>
          <t>Dupla Psicosocial</t>
        </is>
      </c>
      <c r="B26" s="1537">
        <f>SUM(C26+D26)</f>
        <v/>
      </c>
      <c r="C26" s="944">
        <f>SUM(E26+G26+I26+K26+M26+O26+Q26+S26+U26+W26+Y26+AA26+AC26+AE26+AG26+AI26+AK26)</f>
        <v/>
      </c>
      <c r="D26" s="6349">
        <f>SUM(F26+H26+J26+L26+N26+P26+R26+T26+V26+X26+Z26+AB26+AD26+AF26+AH26+AJ26+AL26)</f>
        <v/>
      </c>
      <c r="E26" s="6350" t="n"/>
      <c r="F26" s="6351" t="n"/>
      <c r="G26" s="6350" t="n"/>
      <c r="H26" s="6351" t="n"/>
      <c r="I26" s="6350" t="n"/>
      <c r="J26" s="6242" t="n"/>
      <c r="K26" s="6352" t="n"/>
      <c r="L26" s="6351" t="n"/>
      <c r="M26" s="6350" t="n"/>
      <c r="N26" s="6351" t="n"/>
      <c r="O26" s="6350" t="n"/>
      <c r="P26" s="6351" t="n"/>
      <c r="Q26" s="6350" t="n"/>
      <c r="R26" s="6351" t="n"/>
      <c r="S26" s="6350" t="n"/>
      <c r="T26" s="6351" t="n"/>
      <c r="U26" s="6350" t="n"/>
      <c r="V26" s="6351" t="n"/>
      <c r="W26" s="6350" t="n"/>
      <c r="X26" s="6351" t="n"/>
      <c r="Y26" s="6350" t="n"/>
      <c r="Z26" s="6351" t="n"/>
      <c r="AA26" s="6350" t="n"/>
      <c r="AB26" s="6351" t="n"/>
      <c r="AC26" s="6350" t="n"/>
      <c r="AD26" s="6351" t="n"/>
      <c r="AE26" s="6350" t="n"/>
      <c r="AF26" s="6351" t="n"/>
      <c r="AG26" s="6350" t="n"/>
      <c r="AH26" s="6351" t="n"/>
      <c r="AI26" s="6350" t="n"/>
      <c r="AJ26" s="6351" t="n"/>
      <c r="AK26" s="6350" t="n"/>
      <c r="AL26" s="6353" t="n"/>
      <c r="AM26" s="6354" t="n"/>
      <c r="AN26" s="6355" t="n"/>
      <c r="AO26" s="6356" t="n"/>
      <c r="AP26" s="6357" t="n"/>
      <c r="AQ26" s="6326" t="n"/>
      <c r="AR26" s="6327" t="n"/>
      <c r="AS26" s="6358" t="n"/>
      <c r="AT26" s="6359" t="n"/>
      <c r="AU26" s="6360" t="n"/>
      <c r="AV26" s="6359" t="n"/>
      <c r="AW26" s="6361" t="n"/>
      <c r="AX26" s="6360" t="n"/>
      <c r="AY26" s="6274">
        <f>$CA26&amp;$CB26&amp;$CC26&amp;$CD26&amp;$CE26&amp;$CF26</f>
        <v/>
      </c>
      <c r="AZ26" s="6275" t="n"/>
      <c r="BA26" s="6275" t="n"/>
      <c r="BB26" s="6275" t="n"/>
      <c r="BC26" s="6275" t="n"/>
      <c r="BD26" s="6275" t="n"/>
      <c r="BE26" s="6275" t="n"/>
      <c r="BF26" s="5555" t="n"/>
      <c r="BG26" s="5555" t="n"/>
      <c r="BH26" s="5555" t="n"/>
      <c r="BI26" s="5555" t="n"/>
      <c r="BJ26" s="5555" t="n"/>
      <c r="BK26" s="5555" t="n"/>
      <c r="BL26" s="5555" t="n"/>
      <c r="BM26" s="5555" t="n"/>
      <c r="BN26" s="5555" t="n"/>
      <c r="BO26" s="5555" t="n"/>
      <c r="BV26" s="5554" t="n"/>
      <c r="BW26" s="5554" t="n"/>
      <c r="BX26" s="5554" t="n"/>
      <c r="BY26" s="5554" t="n"/>
      <c r="CA26" s="6276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 t="n"/>
      <c r="CD26" s="6346" t="n"/>
      <c r="CE26" s="6276">
        <f>IF(AND($B26&gt;0,AQ26="")," *No olvide digitar la variable "&amp;AQ$17&amp;""&amp;". Digite CERO si no tiene",IF(AQ26&gt;$B26," *La variable "&amp;AQ$17&amp;""&amp;" No puede ser mayor al Total Ambos Sexos.",""))</f>
        <v/>
      </c>
      <c r="CF26" s="6276">
        <f>IF(AND($B26&gt;0,AR26="")," *No olvide digitar la variable "&amp;AR$17&amp;""&amp;". Digite CERO si no tiene",IF(AR26&gt;$B26," *La variable "&amp;AR$17&amp;""&amp;" No puede ser mayor al Total Ambos Sexos.",""))</f>
        <v/>
      </c>
      <c r="CM26" s="6277">
        <f>IF(AND($B26&gt;0,AM26=""),1,IF(AM26&gt;$B26,1,0))</f>
        <v/>
      </c>
      <c r="CN26" s="6277">
        <f>IF(AND($B26&gt;0,AN26=""),1,IF(AN26&gt;$B26,1,0))</f>
        <v/>
      </c>
      <c r="CO26" s="6346" t="n"/>
      <c r="CP26" s="6346" t="n"/>
      <c r="CQ26" s="6277">
        <f>IF(AND($B26&gt;0,AQ26=""),1,IF(AQ26&gt;$B26,1,0))</f>
        <v/>
      </c>
      <c r="CR26" s="6278">
        <f>IF(AND($B26&gt;0,AR26=""),1,IF(AR26&gt;$B26,1,0))</f>
        <v/>
      </c>
    </row>
    <row r="27" ht="18" customFormat="1" customHeight="1" s="6246">
      <c r="A27" s="9871" t="inlineStr">
        <is>
          <t>SECCIÓN A.3: ATENCIONES DE URGENCIA REALIZADAS EN ESTABLECIMIENTOS DE BAJA COMPLEJIDAD</t>
        </is>
      </c>
      <c r="B27" s="9584" t="n"/>
      <c r="C27" s="9584" t="n"/>
      <c r="D27" s="9584" t="n"/>
      <c r="E27" s="9584" t="n"/>
      <c r="F27" s="9584" t="n"/>
      <c r="G27" s="9584" t="n"/>
      <c r="H27" s="9584" t="n"/>
      <c r="I27" s="927" t="n"/>
      <c r="J27" s="927" t="n"/>
      <c r="K27" s="927" t="n"/>
      <c r="L27" s="927" t="n"/>
      <c r="M27" s="927" t="n"/>
      <c r="N27" s="927" t="n"/>
      <c r="X27" s="1076" t="n"/>
      <c r="Y27" s="1076" t="n"/>
      <c r="Z27" s="1076" t="n"/>
      <c r="AA27" s="1076" t="n"/>
      <c r="AB27" s="1076" t="n"/>
      <c r="AC27" s="1076" t="n"/>
      <c r="AD27" s="1076" t="n"/>
      <c r="AE27" s="1076" t="n"/>
      <c r="AF27" s="1076" t="n"/>
      <c r="AG27" s="1076" t="n"/>
      <c r="AH27" s="1076" t="n"/>
      <c r="AI27" s="1076" t="n"/>
      <c r="AJ27" s="1076" t="n"/>
      <c r="AK27" s="1076" t="n"/>
      <c r="AL27" s="1076" t="n"/>
      <c r="AM27" s="6362" t="n"/>
      <c r="AN27" s="6251" t="n"/>
      <c r="AO27" s="6363" t="n"/>
      <c r="AP27" s="6363" t="n"/>
      <c r="AQ27" s="6364" t="n"/>
      <c r="AR27" s="6365" t="n"/>
      <c r="AS27" s="6365" t="n"/>
      <c r="AT27" s="6365" t="n"/>
      <c r="AU27" s="6365" t="n"/>
      <c r="AV27" s="6365" t="n"/>
      <c r="AW27" s="6365" t="n"/>
      <c r="AX27" s="6365" t="n"/>
      <c r="AY27" s="6365" t="n"/>
      <c r="AZ27" s="6251" t="n"/>
      <c r="BA27" s="6251" t="n"/>
      <c r="BB27" s="6251" t="n"/>
      <c r="BC27" s="6251" t="n"/>
      <c r="BD27" s="6251" t="n"/>
      <c r="BE27" s="6251" t="n"/>
      <c r="BF27" s="6251" t="n"/>
      <c r="BG27" s="6251" t="n"/>
      <c r="BH27" s="6251" t="n"/>
      <c r="BI27" s="6251" t="n"/>
      <c r="BV27" s="6251" t="n"/>
      <c r="BW27" s="6251" t="n"/>
      <c r="BX27" s="6366" t="n"/>
      <c r="BY27" s="6366" t="n"/>
    </row>
    <row r="28" ht="16.35" customHeight="1" s="8286">
      <c r="A28" s="9626" t="inlineStr">
        <is>
          <t>PROFESIONAL</t>
        </is>
      </c>
      <c r="B28" s="9629" t="inlineStr">
        <is>
          <t xml:space="preserve">TOTAL        </t>
        </is>
      </c>
      <c r="C28" s="9602" t="n"/>
      <c r="D28" s="9630" t="n"/>
      <c r="E28" s="9594" t="inlineStr">
        <is>
          <t>RANGO ETARIO Y SEXO</t>
        </is>
      </c>
      <c r="F28" s="9584" t="n"/>
      <c r="G28" s="9584" t="n"/>
      <c r="H28" s="9584" t="n"/>
      <c r="I28" s="9584" t="n"/>
      <c r="J28" s="9584" t="n"/>
      <c r="K28" s="9584" t="n"/>
      <c r="L28" s="9584" t="n"/>
      <c r="M28" s="9584" t="n"/>
      <c r="N28" s="9584" t="n"/>
      <c r="O28" s="9584" t="n"/>
      <c r="P28" s="9584" t="n"/>
      <c r="Q28" s="9584" t="n"/>
      <c r="R28" s="9584" t="n"/>
      <c r="S28" s="9584" t="n"/>
      <c r="T28" s="9584" t="n"/>
      <c r="U28" s="9584" t="n"/>
      <c r="V28" s="9584" t="n"/>
      <c r="W28" s="9584" t="n"/>
      <c r="X28" s="9584" t="n"/>
      <c r="Y28" s="9584" t="n"/>
      <c r="Z28" s="9584" t="n"/>
      <c r="AA28" s="9584" t="n"/>
      <c r="AB28" s="9584" t="n"/>
      <c r="AC28" s="9584" t="n"/>
      <c r="AD28" s="9584" t="n"/>
      <c r="AE28" s="9584" t="n"/>
      <c r="AF28" s="9584" t="n"/>
      <c r="AG28" s="9584" t="n"/>
      <c r="AH28" s="9584" t="n"/>
      <c r="AI28" s="9584" t="n"/>
      <c r="AJ28" s="9584" t="n"/>
      <c r="AK28" s="9584" t="n"/>
      <c r="AL28" s="9595" t="n"/>
      <c r="AM28" s="10168" t="inlineStr">
        <is>
          <t>Beneficiarios</t>
        </is>
      </c>
      <c r="AN28" s="9712" t="inlineStr">
        <is>
          <t>Demanda de Urgencia</t>
        </is>
      </c>
      <c r="AO28" s="6367" t="n"/>
      <c r="AP28" s="6367" t="n"/>
      <c r="AQ28" s="6274" t="n"/>
      <c r="AR28" s="6275" t="n"/>
      <c r="AS28" s="6275" t="n"/>
      <c r="AT28" s="6275" t="n"/>
      <c r="AU28" s="6275" t="n"/>
      <c r="AV28" s="6275" t="n"/>
      <c r="AW28" s="6275" t="n"/>
      <c r="AX28" s="6275" t="n"/>
      <c r="AY28" s="6275" t="n"/>
      <c r="AZ28" s="5555" t="n"/>
      <c r="BA28" s="5555" t="n"/>
      <c r="BB28" s="5555" t="n"/>
      <c r="BC28" s="5555" t="n"/>
      <c r="BD28" s="5555" t="n"/>
      <c r="BE28" s="5555" t="n"/>
      <c r="BF28" s="5555" t="n"/>
      <c r="BG28" s="5555" t="n"/>
      <c r="BH28" s="5555" t="n"/>
      <c r="BI28" s="5555" t="n"/>
    </row>
    <row r="29" ht="16.35" customHeight="1" s="8286">
      <c r="A29" s="642" t="n"/>
      <c r="B29" s="9638" t="n"/>
      <c r="C29" s="9697" t="n"/>
      <c r="D29" s="9639" t="n"/>
      <c r="E29" s="9624" t="inlineStr">
        <is>
          <t>0 - 4</t>
        </is>
      </c>
      <c r="F29" s="9647" t="n"/>
      <c r="G29" s="9624" t="inlineStr">
        <is>
          <t>5 - 9</t>
        </is>
      </c>
      <c r="H29" s="9647" t="n"/>
      <c r="I29" s="9624" t="inlineStr">
        <is>
          <t>10 - 14</t>
        </is>
      </c>
      <c r="J29" s="9647" t="n"/>
      <c r="K29" s="9624" t="inlineStr">
        <is>
          <t>15 - 19</t>
        </is>
      </c>
      <c r="L29" s="9647" t="n"/>
      <c r="M29" s="9624" t="inlineStr">
        <is>
          <t>20 - 24</t>
        </is>
      </c>
      <c r="N29" s="9647" t="n"/>
      <c r="O29" s="9874" t="inlineStr">
        <is>
          <t>25 - 29</t>
        </is>
      </c>
      <c r="P29" s="9647" t="n"/>
      <c r="Q29" s="9874" t="inlineStr">
        <is>
          <t>30 - 34</t>
        </is>
      </c>
      <c r="R29" s="9647" t="n"/>
      <c r="S29" s="9874" t="inlineStr">
        <is>
          <t>35 - 39</t>
        </is>
      </c>
      <c r="T29" s="9647" t="n"/>
      <c r="U29" s="9874" t="inlineStr">
        <is>
          <t>40 - 44</t>
        </is>
      </c>
      <c r="V29" s="9647" t="n"/>
      <c r="W29" s="9874" t="inlineStr">
        <is>
          <t>45 - 49</t>
        </is>
      </c>
      <c r="X29" s="9647" t="n"/>
      <c r="Y29" s="9874" t="inlineStr">
        <is>
          <t>50 - 54</t>
        </is>
      </c>
      <c r="Z29" s="9647" t="n"/>
      <c r="AA29" s="9874" t="inlineStr">
        <is>
          <t>55 - 59</t>
        </is>
      </c>
      <c r="AB29" s="9647" t="n"/>
      <c r="AC29" s="9874" t="inlineStr">
        <is>
          <t>60 - 64</t>
        </is>
      </c>
      <c r="AD29" s="9647" t="n"/>
      <c r="AE29" s="9874" t="inlineStr">
        <is>
          <t>65 - 69</t>
        </is>
      </c>
      <c r="AF29" s="9647" t="n"/>
      <c r="AG29" s="9874" t="inlineStr">
        <is>
          <t>70 - 74</t>
        </is>
      </c>
      <c r="AH29" s="9647" t="n"/>
      <c r="AI29" s="9874" t="inlineStr">
        <is>
          <t>75 - 79</t>
        </is>
      </c>
      <c r="AJ29" s="9647" t="n"/>
      <c r="AK29" s="9894" t="inlineStr">
        <is>
          <t>80 y mas</t>
        </is>
      </c>
      <c r="AL29" s="9595" t="n"/>
      <c r="AM29" s="10169" t="n"/>
      <c r="AN29" s="9625" t="n"/>
      <c r="AO29" s="6367" t="n"/>
      <c r="AP29" s="6367" t="n"/>
      <c r="AQ29" s="6274" t="n"/>
      <c r="AR29" s="6275" t="n"/>
      <c r="AS29" s="6275" t="n"/>
      <c r="AT29" s="6275" t="n"/>
      <c r="AU29" s="6275" t="n"/>
      <c r="AV29" s="6275" t="n"/>
      <c r="AW29" s="6275" t="n"/>
      <c r="AX29" s="6275" t="n"/>
      <c r="AY29" s="6275" t="n"/>
      <c r="AZ29" s="5555" t="n"/>
      <c r="BA29" s="5555" t="n"/>
      <c r="BB29" s="5555" t="n"/>
      <c r="BC29" s="5555" t="n"/>
      <c r="BD29" s="5555" t="n"/>
      <c r="BE29" s="5555" t="n"/>
      <c r="BF29" s="5555" t="n"/>
      <c r="BG29" s="5555" t="n"/>
      <c r="BH29" s="5555" t="n"/>
      <c r="BI29" s="5555" t="n"/>
    </row>
    <row r="30" ht="16.35" customHeight="1" s="8286">
      <c r="A30" s="9698" t="n"/>
      <c r="B30" s="6290" t="inlineStr">
        <is>
          <t>Ambos Sexos</t>
        </is>
      </c>
      <c r="C30" s="6263" t="inlineStr">
        <is>
          <t xml:space="preserve">Hombres </t>
        </is>
      </c>
      <c r="D30" s="7369" t="inlineStr">
        <is>
          <t>Mujeres</t>
        </is>
      </c>
      <c r="E30" s="8157" t="inlineStr">
        <is>
          <t xml:space="preserve">Hombres </t>
        </is>
      </c>
      <c r="F30" s="8176" t="inlineStr">
        <is>
          <t>Mujeres</t>
        </is>
      </c>
      <c r="G30" s="8157" t="inlineStr">
        <is>
          <t xml:space="preserve">Hombres </t>
        </is>
      </c>
      <c r="H30" s="8176" t="inlineStr">
        <is>
          <t>Mujeres</t>
        </is>
      </c>
      <c r="I30" s="8157" t="inlineStr">
        <is>
          <t xml:space="preserve">Hombres </t>
        </is>
      </c>
      <c r="J30" s="8176" t="inlineStr">
        <is>
          <t>Mujeres</t>
        </is>
      </c>
      <c r="K30" s="8157" t="inlineStr">
        <is>
          <t xml:space="preserve">Hombres </t>
        </is>
      </c>
      <c r="L30" s="8176" t="inlineStr">
        <is>
          <t>Mujeres</t>
        </is>
      </c>
      <c r="M30" s="8157" t="inlineStr">
        <is>
          <t xml:space="preserve">Hombres </t>
        </is>
      </c>
      <c r="N30" s="8176" t="inlineStr">
        <is>
          <t>Mujeres</t>
        </is>
      </c>
      <c r="O30" s="8157" t="inlineStr">
        <is>
          <t xml:space="preserve">Hombres </t>
        </is>
      </c>
      <c r="P30" s="8176" t="inlineStr">
        <is>
          <t>Mujeres</t>
        </is>
      </c>
      <c r="Q30" s="8157" t="inlineStr">
        <is>
          <t xml:space="preserve">Hombres </t>
        </is>
      </c>
      <c r="R30" s="8176" t="inlineStr">
        <is>
          <t>Mujeres</t>
        </is>
      </c>
      <c r="S30" s="8157" t="inlineStr">
        <is>
          <t xml:space="preserve">Hombres </t>
        </is>
      </c>
      <c r="T30" s="8176" t="inlineStr">
        <is>
          <t>Mujeres</t>
        </is>
      </c>
      <c r="U30" s="8157" t="inlineStr">
        <is>
          <t xml:space="preserve">Hombres </t>
        </is>
      </c>
      <c r="V30" s="8176" t="inlineStr">
        <is>
          <t>Mujeres</t>
        </is>
      </c>
      <c r="W30" s="8157" t="inlineStr">
        <is>
          <t xml:space="preserve">Hombres </t>
        </is>
      </c>
      <c r="X30" s="8176" t="inlineStr">
        <is>
          <t>Mujeres</t>
        </is>
      </c>
      <c r="Y30" s="8157" t="inlineStr">
        <is>
          <t xml:space="preserve">Hombres </t>
        </is>
      </c>
      <c r="Z30" s="8176" t="inlineStr">
        <is>
          <t>Mujeres</t>
        </is>
      </c>
      <c r="AA30" s="8157" t="inlineStr">
        <is>
          <t xml:space="preserve">Hombres </t>
        </is>
      </c>
      <c r="AB30" s="8176" t="inlineStr">
        <is>
          <t>Mujeres</t>
        </is>
      </c>
      <c r="AC30" s="8157" t="inlineStr">
        <is>
          <t xml:space="preserve">Hombres </t>
        </is>
      </c>
      <c r="AD30" s="8176" t="inlineStr">
        <is>
          <t>Mujeres</t>
        </is>
      </c>
      <c r="AE30" s="8157" t="inlineStr">
        <is>
          <t xml:space="preserve">Hombres </t>
        </is>
      </c>
      <c r="AF30" s="8176" t="inlineStr">
        <is>
          <t>Mujeres</t>
        </is>
      </c>
      <c r="AG30" s="8157" t="inlineStr">
        <is>
          <t xml:space="preserve">Hombres </t>
        </is>
      </c>
      <c r="AH30" s="8176" t="inlineStr">
        <is>
          <t>Mujeres</t>
        </is>
      </c>
      <c r="AI30" s="8157" t="inlineStr">
        <is>
          <t xml:space="preserve">Hombres </t>
        </is>
      </c>
      <c r="AJ30" s="8176" t="inlineStr">
        <is>
          <t>Mujeres</t>
        </is>
      </c>
      <c r="AK30" s="8157" t="inlineStr">
        <is>
          <t xml:space="preserve">Hombres </t>
        </is>
      </c>
      <c r="AL30" s="7616" t="inlineStr">
        <is>
          <t>Mujeres</t>
        </is>
      </c>
      <c r="AM30" s="10170" t="n"/>
      <c r="AN30" s="9641" t="n"/>
      <c r="AO30" s="6367" t="n"/>
      <c r="AP30" s="6367" t="n"/>
      <c r="AQ30" s="6274" t="n"/>
      <c r="AR30" s="6275" t="n"/>
      <c r="AS30" s="6275" t="n"/>
      <c r="AT30" s="6275" t="n"/>
      <c r="AU30" s="6275" t="n"/>
      <c r="AV30" s="6275" t="n"/>
      <c r="AW30" s="6275" t="n"/>
      <c r="AX30" s="6275" t="n"/>
      <c r="AY30" s="6275" t="n"/>
      <c r="AZ30" s="5555" t="n"/>
      <c r="BA30" s="5555" t="n"/>
      <c r="BB30" s="5555" t="n"/>
      <c r="BC30" s="5555" t="n"/>
      <c r="BD30" s="5555" t="n"/>
      <c r="BE30" s="5555" t="n"/>
      <c r="BF30" s="5555" t="n"/>
      <c r="BG30" s="5555" t="n"/>
      <c r="BH30" s="5555" t="n"/>
      <c r="BI30" s="5555" t="n"/>
    </row>
    <row r="31" ht="15" customHeight="1" s="8286">
      <c r="A31" s="8279" t="inlineStr">
        <is>
          <t>Médico</t>
        </is>
      </c>
      <c r="B31" s="6368">
        <f>SUM(C31+D31)</f>
        <v/>
      </c>
      <c r="C31" s="941">
        <f>SUM(E31+G31+I31+K31+M31+O31+Q31+S31+U31+W31+Y31+AA31+AC31+AE31+AG31+AI31+AK31)</f>
        <v/>
      </c>
      <c r="D31" s="6369">
        <f>SUM(F31+H31+J31+L31+N31+P31+R31+T31+V31+X31+Z31+AB31+AD31+AF31+AH31+AJ31+AL31)</f>
        <v/>
      </c>
      <c r="E31" s="5843" t="n"/>
      <c r="F31" s="6014" t="n"/>
      <c r="G31" s="5843" t="n"/>
      <c r="H31" s="6014" t="n"/>
      <c r="I31" s="5843" t="n">
        <v>0</v>
      </c>
      <c r="J31" s="6103" t="n">
        <v>2</v>
      </c>
      <c r="K31" s="5843" t="n">
        <v>1</v>
      </c>
      <c r="L31" s="6103" t="n">
        <v>0</v>
      </c>
      <c r="M31" s="5843" t="n">
        <v>0</v>
      </c>
      <c r="N31" s="6103" t="n">
        <v>2</v>
      </c>
      <c r="O31" s="6300" t="n">
        <v>0</v>
      </c>
      <c r="P31" s="6103" t="n">
        <v>0</v>
      </c>
      <c r="Q31" s="6300" t="n">
        <v>0</v>
      </c>
      <c r="R31" s="6103" t="n">
        <v>1</v>
      </c>
      <c r="S31" s="6300" t="n">
        <v>0</v>
      </c>
      <c r="T31" s="6103" t="n">
        <v>0</v>
      </c>
      <c r="U31" s="6300" t="n">
        <v>2</v>
      </c>
      <c r="V31" s="6103" t="n">
        <v>3</v>
      </c>
      <c r="W31" s="6300" t="n">
        <v>1</v>
      </c>
      <c r="X31" s="6103" t="n">
        <v>1</v>
      </c>
      <c r="Y31" s="6300" t="n">
        <v>0</v>
      </c>
      <c r="Z31" s="6103" t="n">
        <v>0</v>
      </c>
      <c r="AA31" s="6300" t="n">
        <v>1</v>
      </c>
      <c r="AB31" s="6103" t="n">
        <v>0</v>
      </c>
      <c r="AC31" s="6300" t="n">
        <v>2</v>
      </c>
      <c r="AD31" s="6103" t="n">
        <v>5</v>
      </c>
      <c r="AE31" s="6300" t="n">
        <v>4</v>
      </c>
      <c r="AF31" s="6103" t="n">
        <v>2</v>
      </c>
      <c r="AG31" s="6300" t="n">
        <v>0</v>
      </c>
      <c r="AH31" s="6103" t="n">
        <v>2</v>
      </c>
      <c r="AI31" s="6300" t="n">
        <v>1</v>
      </c>
      <c r="AJ31" s="6103" t="n">
        <v>2</v>
      </c>
      <c r="AK31" s="6300" t="n">
        <v>1</v>
      </c>
      <c r="AL31" s="6105" t="n">
        <v>0</v>
      </c>
      <c r="AM31" s="6370" t="n">
        <v>33</v>
      </c>
      <c r="AN31" s="6371" t="n">
        <v>33</v>
      </c>
      <c r="AO31" s="6367">
        <f>CA31&amp;CB31</f>
        <v/>
      </c>
      <c r="AP31" s="6367" t="n"/>
      <c r="AQ31" s="6274" t="n"/>
      <c r="AR31" s="6275" t="n"/>
      <c r="AS31" s="6275" t="n"/>
      <c r="AT31" s="6275" t="n"/>
      <c r="AU31" s="6275" t="n"/>
      <c r="AV31" s="6275" t="n"/>
      <c r="AW31" s="6275" t="n"/>
      <c r="AX31" s="6275" t="n"/>
      <c r="AY31" s="6275" t="n"/>
      <c r="AZ31" s="5555" t="n"/>
      <c r="BA31" s="5555" t="n"/>
      <c r="BB31" s="5555" t="n"/>
      <c r="BC31" s="5555" t="n"/>
      <c r="BD31" s="5555" t="n"/>
      <c r="BE31" s="5555" t="n"/>
      <c r="BF31" s="5555" t="n"/>
      <c r="BG31" s="5555" t="n"/>
      <c r="BH31" s="5555" t="n"/>
      <c r="BI31" s="5555" t="n"/>
      <c r="CA31" s="6276">
        <f>IF(AND($B31&gt;0,AM31="")," *No olvide digitar la variable "&amp;AM$28&amp;""&amp;". Digite CERO si no tiene",IF(AM31&gt;$B31," *La variable "&amp;AM$28&amp;""&amp;" No puede ser mayor al Total Ambos Sexos.",""))</f>
        <v/>
      </c>
      <c r="CB31" s="6276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/>
      </c>
      <c r="CN31" s="6277">
        <f>IF(AND($B31&gt;0,AN31=""),1,IF(B31&gt;$AN31,1,0))</f>
        <v/>
      </c>
    </row>
    <row r="32" ht="15" customHeight="1" s="8286">
      <c r="A32" s="7199" t="inlineStr">
        <is>
          <t>Enfermera /o</t>
        </is>
      </c>
      <c r="B32" s="1546">
        <f>SUM(C32+D32)</f>
        <v/>
      </c>
      <c r="C32" s="6299">
        <f>SUM(E32+G32+I32+K32+M32+O32+Q32+S32+U32+W32+Y32+AA32+AC32+AE32+AG32+AI32+AK32)</f>
        <v/>
      </c>
      <c r="D32" s="1548">
        <f>SUM(F32+H32+J32+L32+N32+P32+R32+T32+V32+X32+Z32+AB32+AD32+AF32+AH32+AJ32+AL32)</f>
        <v/>
      </c>
      <c r="E32" s="5843" t="n"/>
      <c r="F32" s="6014" t="n"/>
      <c r="G32" s="5843" t="n"/>
      <c r="H32" s="6014" t="n"/>
      <c r="I32" s="5843" t="n"/>
      <c r="J32" s="6103" t="n"/>
      <c r="K32" s="5843" t="n"/>
      <c r="L32" s="6103" t="n"/>
      <c r="M32" s="5843" t="n"/>
      <c r="N32" s="6103" t="n"/>
      <c r="O32" s="6300" t="n"/>
      <c r="P32" s="6103" t="n"/>
      <c r="Q32" s="6300" t="n"/>
      <c r="R32" s="6103" t="n"/>
      <c r="S32" s="6300" t="n"/>
      <c r="T32" s="6103" t="n"/>
      <c r="U32" s="6300" t="n"/>
      <c r="V32" s="6103" t="n"/>
      <c r="W32" s="6300" t="n"/>
      <c r="X32" s="6103" t="n"/>
      <c r="Y32" s="6300" t="n"/>
      <c r="Z32" s="6103" t="n"/>
      <c r="AA32" s="6300" t="n"/>
      <c r="AB32" s="6103" t="n"/>
      <c r="AC32" s="6300" t="n"/>
      <c r="AD32" s="6103" t="n"/>
      <c r="AE32" s="6300" t="n"/>
      <c r="AF32" s="6103" t="n"/>
      <c r="AG32" s="6300" t="n"/>
      <c r="AH32" s="6103" t="n"/>
      <c r="AI32" s="6300" t="n"/>
      <c r="AJ32" s="6103" t="n"/>
      <c r="AK32" s="6300" t="n"/>
      <c r="AL32" s="6105" t="n"/>
      <c r="AM32" s="6372" t="n"/>
      <c r="AN32" s="6373" t="n"/>
      <c r="AO32" s="6367">
        <f>CA32</f>
        <v/>
      </c>
      <c r="AP32" s="6367" t="n"/>
      <c r="AQ32" s="6274" t="n"/>
      <c r="AR32" s="6275" t="n"/>
      <c r="AS32" s="6275" t="n"/>
      <c r="AT32" s="6275" t="n"/>
      <c r="AU32" s="6275" t="n"/>
      <c r="AV32" s="6275" t="n"/>
      <c r="AW32" s="6275" t="n"/>
      <c r="AX32" s="6275" t="n"/>
      <c r="AY32" s="6275" t="n"/>
      <c r="AZ32" s="5555" t="n"/>
      <c r="BA32" s="5555" t="n"/>
      <c r="BB32" s="5555" t="n"/>
      <c r="BC32" s="5555" t="n"/>
      <c r="BD32" s="5555" t="n"/>
      <c r="BE32" s="5555" t="n"/>
      <c r="BF32" s="5555" t="n"/>
      <c r="BG32" s="5555" t="n"/>
      <c r="BH32" s="5555" t="n"/>
      <c r="BI32" s="5555" t="n"/>
      <c r="CA32" s="6276">
        <f>IF(AND($B32&gt;0,AM32="")," *No olvide digitar la variable "&amp;AM$28&amp;""&amp;". Digite CERO si no tiene",IF(AM32&gt;$B32," *La variable "&amp;AM$28&amp;""&amp;" No puede ser mayor al Total Ambos Sexos.",""))</f>
        <v/>
      </c>
      <c r="CM32" s="6277">
        <f>IF(AND($B32&gt;0,AM32=""),1,IF(AM32&gt;$B32,1,0))</f>
        <v/>
      </c>
    </row>
    <row r="33" ht="15" customHeight="1" s="8286">
      <c r="A33" s="7199" t="inlineStr">
        <is>
          <t>Matrona /ón</t>
        </is>
      </c>
      <c r="B33" s="1546">
        <f>SUM(C33+D33)</f>
        <v/>
      </c>
      <c r="C33" s="6299">
        <f>SUM(E33+G33+I33+K33+M33+O33+Q33+S33+U33+W33+Y33+AA33+AC33+AE33+AG33+AI33+AK33)</f>
        <v/>
      </c>
      <c r="D33" s="1548">
        <f>SUM(F33+H33+J33+L33+N33+P33+R33+T33+V33+X33+Z33+AB33+AD33+AF33+AH33+AJ33+AL33)</f>
        <v/>
      </c>
      <c r="E33" s="5826" t="n"/>
      <c r="F33" s="5827" t="n"/>
      <c r="G33" s="5826" t="n"/>
      <c r="H33" s="5827" t="n"/>
      <c r="I33" s="5826" t="n"/>
      <c r="J33" s="5828" t="n"/>
      <c r="K33" s="5826" t="n"/>
      <c r="L33" s="5828" t="n"/>
      <c r="M33" s="5826" t="n"/>
      <c r="N33" s="5828" t="n"/>
      <c r="O33" s="5836" t="n"/>
      <c r="P33" s="5828" t="n"/>
      <c r="Q33" s="5836" t="n"/>
      <c r="R33" s="5828" t="n"/>
      <c r="S33" s="5836" t="n"/>
      <c r="T33" s="5828" t="n"/>
      <c r="U33" s="5836" t="n"/>
      <c r="V33" s="5828" t="n"/>
      <c r="W33" s="5836" t="n"/>
      <c r="X33" s="5828" t="n"/>
      <c r="Y33" s="5836" t="n"/>
      <c r="Z33" s="5828" t="n"/>
      <c r="AA33" s="5836" t="n"/>
      <c r="AB33" s="5828" t="n"/>
      <c r="AC33" s="5836" t="n"/>
      <c r="AD33" s="5828" t="n"/>
      <c r="AE33" s="5836" t="n"/>
      <c r="AF33" s="5828" t="n"/>
      <c r="AG33" s="5836" t="n"/>
      <c r="AH33" s="5828" t="n"/>
      <c r="AI33" s="5836" t="n"/>
      <c r="AJ33" s="5828" t="n"/>
      <c r="AK33" s="5836" t="n"/>
      <c r="AL33" s="5837" t="n"/>
      <c r="AM33" s="6374" t="n"/>
      <c r="AN33" s="6373" t="n"/>
      <c r="AO33" s="6367">
        <f>CA33</f>
        <v/>
      </c>
      <c r="AP33" s="6367" t="n"/>
      <c r="AQ33" s="6274" t="n"/>
      <c r="AR33" s="6275" t="n"/>
      <c r="AS33" s="6275" t="n"/>
      <c r="AT33" s="6275" t="n"/>
      <c r="AU33" s="6275" t="n"/>
      <c r="AV33" s="6275" t="n"/>
      <c r="AW33" s="6275" t="n"/>
      <c r="AX33" s="6275" t="n"/>
      <c r="AY33" s="6275" t="n"/>
      <c r="AZ33" s="5555" t="n"/>
      <c r="BA33" s="5555" t="n"/>
      <c r="BB33" s="5555" t="n"/>
      <c r="BC33" s="5555" t="n"/>
      <c r="BD33" s="5555" t="n"/>
      <c r="BE33" s="5555" t="n"/>
      <c r="BF33" s="5555" t="n"/>
      <c r="BG33" s="5555" t="n"/>
      <c r="BH33" s="5555" t="n"/>
      <c r="BI33" s="5555" t="n"/>
      <c r="CA33" s="6276">
        <f>IF(AND($B33&gt;0,AM33="")," *No olvide digitar la variable "&amp;AM$28&amp;""&amp;". Digite CERO si no tiene",IF(AM33&gt;$B33," *La variable "&amp;AM$28&amp;""&amp;" No puede ser mayor al Total Ambos Sexos.",""))</f>
        <v/>
      </c>
      <c r="CM33" s="6277">
        <f>IF(AND($B33&gt;0,AM33=""),1,IF(AM33&gt;$B33,1,0))</f>
        <v/>
      </c>
    </row>
    <row r="34" ht="15" customHeight="1" s="8286">
      <c r="A34" s="7199" t="inlineStr">
        <is>
          <t>Kinesiólogo/a</t>
        </is>
      </c>
      <c r="B34" s="1546">
        <f>SUM(C34+D34)</f>
        <v/>
      </c>
      <c r="C34" s="6299">
        <f>SUM(E34+G34+I34+K34+M34+O34+Q34+S34+U34+W34+Y34+AA34+AC34+AE34+AG34+AI34+AK34)</f>
        <v/>
      </c>
      <c r="D34" s="1548">
        <f>SUM(F34+H34+J34+L34+N34+P34+R34+T34+V34+X34+Z34+AB34+AD34+AF34+AH34+AJ34+AL34)</f>
        <v/>
      </c>
      <c r="E34" s="5826" t="n"/>
      <c r="F34" s="5827" t="n"/>
      <c r="G34" s="5826" t="n"/>
      <c r="H34" s="5827" t="n"/>
      <c r="I34" s="5826" t="n"/>
      <c r="J34" s="5828" t="n"/>
      <c r="K34" s="5826" t="n"/>
      <c r="L34" s="5828" t="n"/>
      <c r="M34" s="5826" t="n"/>
      <c r="N34" s="5828" t="n"/>
      <c r="O34" s="5836" t="n"/>
      <c r="P34" s="5828" t="n"/>
      <c r="Q34" s="5836" t="n"/>
      <c r="R34" s="5828" t="n"/>
      <c r="S34" s="5836" t="n"/>
      <c r="T34" s="5828" t="n"/>
      <c r="U34" s="5836" t="n"/>
      <c r="V34" s="5828" t="n"/>
      <c r="W34" s="5836" t="n"/>
      <c r="X34" s="5828" t="n"/>
      <c r="Y34" s="5836" t="n"/>
      <c r="Z34" s="5828" t="n"/>
      <c r="AA34" s="5836" t="n"/>
      <c r="AB34" s="5828" t="n"/>
      <c r="AC34" s="5836" t="n"/>
      <c r="AD34" s="5828" t="n"/>
      <c r="AE34" s="5836" t="n"/>
      <c r="AF34" s="5828" t="n"/>
      <c r="AG34" s="5836" t="n"/>
      <c r="AH34" s="5828" t="n"/>
      <c r="AI34" s="5836" t="n"/>
      <c r="AJ34" s="5828" t="n"/>
      <c r="AK34" s="5836" t="n"/>
      <c r="AL34" s="5837" t="n"/>
      <c r="AM34" s="6374" t="n"/>
      <c r="AN34" s="6373" t="n"/>
      <c r="AO34" s="6367">
        <f>CA34</f>
        <v/>
      </c>
      <c r="AP34" s="6367" t="n"/>
      <c r="AQ34" s="6274" t="n"/>
      <c r="AR34" s="6275" t="n"/>
      <c r="AS34" s="6275" t="n"/>
      <c r="AT34" s="6275" t="n"/>
      <c r="AU34" s="6275" t="n"/>
      <c r="AV34" s="6275" t="n"/>
      <c r="AW34" s="6275" t="n"/>
      <c r="AX34" s="6275" t="n"/>
      <c r="AY34" s="6275" t="n"/>
      <c r="AZ34" s="5555" t="n"/>
      <c r="BA34" s="5555" t="n"/>
      <c r="BB34" s="5555" t="n"/>
      <c r="BC34" s="5555" t="n"/>
      <c r="BD34" s="5555" t="n"/>
      <c r="BE34" s="5555" t="n"/>
      <c r="BF34" s="5555" t="n"/>
      <c r="BG34" s="5555" t="n"/>
      <c r="BH34" s="5555" t="n"/>
      <c r="BI34" s="5555" t="n"/>
      <c r="CA34" s="6276">
        <f>IF(AND($B34&gt;0,AM34="")," *No olvide digitar la variable "&amp;AM$28&amp;""&amp;". Digite CERO si no tiene",IF(AM34&gt;$B34," *La variable "&amp;AM$28&amp;""&amp;" No puede ser mayor al Total Ambos Sexos.",""))</f>
        <v/>
      </c>
      <c r="CM34" s="6277">
        <f>IF(AND($B34&gt;0,AM34=""),1,IF(AM34&gt;$B34,1,0))</f>
        <v/>
      </c>
    </row>
    <row r="35" ht="15" customHeight="1" s="8286">
      <c r="A35" s="7199" t="inlineStr">
        <is>
          <t>Técnico en Enfermería</t>
        </is>
      </c>
      <c r="B35" s="1546">
        <f>SUM(C35+D35)</f>
        <v/>
      </c>
      <c r="C35" s="6299">
        <f>SUM(E35+G35+I35+K35+M35+O35+Q35+S35+U35+W35+Y35+AA35+AC35+AE35+AG35+AI35+AK35)</f>
        <v/>
      </c>
      <c r="D35" s="1548">
        <f>SUM(F35+H35+J35+L35+N35+P35+R35+T35+V35+X35+Z35+AB35+AD35+AF35+AH35+AJ35+AL35)</f>
        <v/>
      </c>
      <c r="E35" s="5826" t="n"/>
      <c r="F35" s="5827" t="n"/>
      <c r="G35" s="5826" t="n"/>
      <c r="H35" s="5827" t="n"/>
      <c r="I35" s="5826" t="n"/>
      <c r="J35" s="5828" t="n"/>
      <c r="K35" s="5826" t="n"/>
      <c r="L35" s="5828" t="n"/>
      <c r="M35" s="5826" t="n"/>
      <c r="N35" s="5828" t="n"/>
      <c r="O35" s="5836" t="n"/>
      <c r="P35" s="5828" t="n"/>
      <c r="Q35" s="5836" t="n"/>
      <c r="R35" s="5828" t="n"/>
      <c r="S35" s="5836" t="n"/>
      <c r="T35" s="5828" t="n"/>
      <c r="U35" s="5836" t="n"/>
      <c r="V35" s="5828" t="n"/>
      <c r="W35" s="5836" t="n"/>
      <c r="X35" s="5828" t="n"/>
      <c r="Y35" s="5836" t="n"/>
      <c r="Z35" s="5828" t="n"/>
      <c r="AA35" s="5836" t="n"/>
      <c r="AB35" s="5828" t="n"/>
      <c r="AC35" s="5836" t="n"/>
      <c r="AD35" s="5828" t="n"/>
      <c r="AE35" s="5836" t="n"/>
      <c r="AF35" s="5828" t="n"/>
      <c r="AG35" s="5836" t="n"/>
      <c r="AH35" s="5828" t="n"/>
      <c r="AI35" s="5836" t="n"/>
      <c r="AJ35" s="5828" t="n"/>
      <c r="AK35" s="5836" t="n"/>
      <c r="AL35" s="5837" t="n"/>
      <c r="AM35" s="6374" t="n"/>
      <c r="AN35" s="6373" t="n"/>
      <c r="AO35" s="6367">
        <f>CA35</f>
        <v/>
      </c>
      <c r="AP35" s="6367" t="n"/>
      <c r="AQ35" s="6274" t="n"/>
      <c r="AR35" s="6275" t="n"/>
      <c r="AS35" s="6275" t="n"/>
      <c r="AT35" s="6275" t="n"/>
      <c r="AU35" s="6275" t="n"/>
      <c r="AV35" s="6275" t="n"/>
      <c r="AW35" s="6275" t="n"/>
      <c r="AX35" s="6275" t="n"/>
      <c r="AY35" s="6275" t="n"/>
      <c r="AZ35" s="5555" t="n"/>
      <c r="BA35" s="5555" t="n"/>
      <c r="BB35" s="5555" t="n"/>
      <c r="BC35" s="5555" t="n"/>
      <c r="BD35" s="5555" t="n"/>
      <c r="BE35" s="5555" t="n"/>
      <c r="BF35" s="5555" t="n"/>
      <c r="BG35" s="5555" t="n"/>
      <c r="BH35" s="5555" t="n"/>
      <c r="BI35" s="5555" t="n"/>
      <c r="CA35" s="6276">
        <f>IF(AND($B35&gt;0,AM35="")," *No olvide digitar la variable "&amp;AM$28&amp;""&amp;". Digite CERO si no tiene",IF(AM35&gt;$B35," *La variable "&amp;AM$28&amp;""&amp;" No puede ser mayor al Total Ambos Sexos.",""))</f>
        <v/>
      </c>
      <c r="CM35" s="6277">
        <f>IF(AND($B35&gt;0,AM35=""),1,IF(AM35&gt;$B35,1,0))</f>
        <v/>
      </c>
    </row>
    <row r="36" ht="15" customHeight="1" s="8286">
      <c r="A36" s="7469" t="inlineStr">
        <is>
          <t>Otros Profesionales</t>
        </is>
      </c>
      <c r="B36" s="1514">
        <f>SUM(C36+D36)</f>
        <v/>
      </c>
      <c r="C36" s="1549">
        <f>SUM(E36+G36+I36+K36+M36+O36+Q36+S36+U36+W36+Y36+AA36+AC36+AE36+AG36+AI36+AK36)</f>
        <v/>
      </c>
      <c r="D36" s="1516">
        <f>SUM(F36+H36+J36+L36+N36+P36+R36+T36+V36+X36+Z36+AB36+AD36+AF36+AH36+AJ36+AL36)</f>
        <v/>
      </c>
      <c r="E36" s="5866" t="n"/>
      <c r="F36" s="5867" t="n"/>
      <c r="G36" s="5866" t="n"/>
      <c r="H36" s="5867" t="n"/>
      <c r="I36" s="5866" t="n"/>
      <c r="J36" s="5865" t="n"/>
      <c r="K36" s="5866" t="n"/>
      <c r="L36" s="5865" t="n"/>
      <c r="M36" s="5866" t="n"/>
      <c r="N36" s="5865" t="n"/>
      <c r="O36" s="5869" t="n"/>
      <c r="P36" s="5865" t="n"/>
      <c r="Q36" s="5869" t="n"/>
      <c r="R36" s="5865" t="n"/>
      <c r="S36" s="5869" t="n"/>
      <c r="T36" s="5865" t="n"/>
      <c r="U36" s="5869" t="n"/>
      <c r="V36" s="5865" t="n"/>
      <c r="W36" s="5869" t="n"/>
      <c r="X36" s="5865" t="n"/>
      <c r="Y36" s="5869" t="n"/>
      <c r="Z36" s="5865" t="n"/>
      <c r="AA36" s="5869" t="n"/>
      <c r="AB36" s="5865" t="n"/>
      <c r="AC36" s="5869" t="n"/>
      <c r="AD36" s="5865" t="n"/>
      <c r="AE36" s="5869" t="n"/>
      <c r="AF36" s="5865" t="n"/>
      <c r="AG36" s="5869" t="n"/>
      <c r="AH36" s="5865" t="n"/>
      <c r="AI36" s="5869" t="n"/>
      <c r="AJ36" s="5865" t="n"/>
      <c r="AK36" s="5869" t="n"/>
      <c r="AL36" s="5870" t="n"/>
      <c r="AM36" s="6375" t="n"/>
      <c r="AN36" s="6376" t="n"/>
      <c r="AO36" s="6367">
        <f>CA36</f>
        <v/>
      </c>
      <c r="AP36" s="6367" t="n"/>
      <c r="AQ36" s="6274" t="n"/>
      <c r="AR36" s="6275" t="n"/>
      <c r="AS36" s="6275" t="n"/>
      <c r="AT36" s="6275" t="n"/>
      <c r="AU36" s="6275" t="n"/>
      <c r="AV36" s="6275" t="n"/>
      <c r="AW36" s="6275" t="n"/>
      <c r="AX36" s="6275" t="n"/>
      <c r="AY36" s="6275" t="n"/>
      <c r="AZ36" s="5555" t="n"/>
      <c r="BA36" s="5555" t="n"/>
      <c r="BB36" s="5555" t="n"/>
      <c r="BC36" s="5555" t="n"/>
      <c r="BD36" s="5555" t="n"/>
      <c r="BE36" s="5555" t="n"/>
      <c r="BF36" s="5555" t="n"/>
      <c r="BG36" s="5555" t="n"/>
      <c r="BH36" s="5555" t="n"/>
      <c r="BI36" s="5555" t="n"/>
      <c r="CA36" s="6276">
        <f>IF(AND($B36&gt;0,AM36="")," *No olvide digitar la variable "&amp;AM$28&amp;""&amp;". Digite CERO si no tiene",IF(AM36&gt;$B36," *La variable "&amp;AM$28&amp;""&amp;" No puede ser mayor al Total Ambos Sexos.",""))</f>
        <v/>
      </c>
      <c r="CM36" s="6277">
        <f>IF(AND($B36&gt;0,AM36=""),1,IF(AM36&gt;$B36,1,0))</f>
        <v/>
      </c>
    </row>
    <row r="37" ht="18" customFormat="1" customHeight="1" s="6246">
      <c r="A37" s="1001" t="inlineStr">
        <is>
          <t>SECCIÓN A.4: ATENCIONES DE URGENCIA REALIZADAS EN ESTABLECIMIENTOS  ATENCIÓN PRIMARIA NO SAPU</t>
        </is>
      </c>
      <c r="B37" s="1001" t="n"/>
      <c r="C37" s="1001" t="n"/>
      <c r="D37" s="1001" t="n"/>
      <c r="E37" s="1001" t="n"/>
      <c r="F37" s="1001" t="n"/>
      <c r="G37" s="927" t="n"/>
      <c r="H37" s="927" t="n"/>
      <c r="I37" s="927" t="n"/>
      <c r="J37" s="927" t="n"/>
      <c r="K37" s="1001" t="n"/>
      <c r="L37" s="927" t="n"/>
      <c r="M37" s="927" t="n"/>
      <c r="N37" s="927" t="n"/>
      <c r="AP37" s="6251" t="n"/>
      <c r="AQ37" s="6251" t="n"/>
      <c r="AR37" s="6251" t="n"/>
      <c r="AS37" s="6251" t="n"/>
      <c r="AT37" s="6251" t="n"/>
      <c r="AU37" s="6251" t="n"/>
      <c r="AV37" s="6251" t="n"/>
      <c r="AW37" s="6251" t="n"/>
      <c r="AX37" s="6251" t="n"/>
      <c r="AY37" s="6251" t="n"/>
      <c r="AZ37" s="6251" t="n"/>
      <c r="BA37" s="6251" t="n"/>
      <c r="BB37" s="6251" t="n"/>
      <c r="BC37" s="6251" t="n"/>
      <c r="BD37" s="6251" t="n"/>
      <c r="BE37" s="6251" t="n"/>
      <c r="BF37" s="6251" t="n"/>
      <c r="BG37" s="6251" t="n"/>
      <c r="BH37" s="6251" t="n"/>
      <c r="BI37" s="6251" t="n"/>
      <c r="BV37" s="6251" t="n"/>
      <c r="BW37" s="6251" t="n"/>
      <c r="BX37" s="6251" t="n"/>
      <c r="BY37" s="6251" t="n"/>
    </row>
    <row r="38" ht="16.35" customHeight="1" s="8286">
      <c r="A38" s="9626" t="inlineStr">
        <is>
          <t>PROFESIONAL</t>
        </is>
      </c>
      <c r="B38" s="9629" t="inlineStr">
        <is>
          <t xml:space="preserve">TOTAL        </t>
        </is>
      </c>
      <c r="C38" s="9602" t="n"/>
      <c r="D38" s="9630" t="n"/>
      <c r="E38" s="9624" t="inlineStr">
        <is>
          <t>RANGO ETARIO Y SEXO</t>
        </is>
      </c>
      <c r="F38" s="9584" t="n"/>
      <c r="G38" s="9584" t="n"/>
      <c r="H38" s="9584" t="n"/>
      <c r="I38" s="9584" t="n"/>
      <c r="J38" s="9584" t="n"/>
      <c r="K38" s="9584" t="n"/>
      <c r="L38" s="9584" t="n"/>
      <c r="M38" s="9584" t="n"/>
      <c r="N38" s="9584" t="n"/>
      <c r="O38" s="9584" t="n"/>
      <c r="P38" s="9584" t="n"/>
      <c r="Q38" s="9584" t="n"/>
      <c r="R38" s="9584" t="n"/>
      <c r="S38" s="9584" t="n"/>
      <c r="T38" s="9584" t="n"/>
      <c r="U38" s="9584" t="n"/>
      <c r="V38" s="9584" t="n"/>
      <c r="W38" s="9584" t="n"/>
      <c r="X38" s="9584" t="n"/>
      <c r="Y38" s="9584" t="n"/>
      <c r="Z38" s="9584" t="n"/>
      <c r="AA38" s="9584" t="n"/>
      <c r="AB38" s="9584" t="n"/>
      <c r="AC38" s="9584" t="n"/>
      <c r="AD38" s="9584" t="n"/>
      <c r="AE38" s="9584" t="n"/>
      <c r="AF38" s="9584" t="n"/>
      <c r="AG38" s="9584" t="n"/>
      <c r="AH38" s="9584" t="n"/>
      <c r="AI38" s="9584" t="n"/>
      <c r="AJ38" s="9584" t="n"/>
      <c r="AK38" s="9584" t="n"/>
      <c r="AL38" s="9647" t="n"/>
      <c r="AM38" s="10168" t="inlineStr">
        <is>
          <t>Beneficiarios</t>
        </is>
      </c>
      <c r="AN38" s="9712" t="inlineStr">
        <is>
          <t>Demanda de Urgencia</t>
        </is>
      </c>
      <c r="AO38" s="5555" t="n"/>
      <c r="AP38" s="5555" t="n"/>
      <c r="AQ38" s="5555" t="n"/>
      <c r="AR38" s="5555" t="n"/>
      <c r="AS38" s="5555" t="n"/>
      <c r="AT38" s="5555" t="n"/>
      <c r="AU38" s="5555" t="n"/>
      <c r="AV38" s="5555" t="n"/>
      <c r="AW38" s="5555" t="n"/>
      <c r="AX38" s="5555" t="n"/>
      <c r="AY38" s="5555" t="n"/>
      <c r="AZ38" s="5555" t="n"/>
      <c r="BA38" s="5555" t="n"/>
      <c r="BB38" s="5555" t="n"/>
      <c r="BC38" s="5555" t="n"/>
      <c r="BD38" s="5555" t="n"/>
      <c r="BE38" s="5555" t="n"/>
      <c r="BF38" s="5555" t="n"/>
      <c r="BG38" s="5555" t="n"/>
      <c r="BH38" s="5555" t="n"/>
      <c r="BI38" s="5555" t="n"/>
    </row>
    <row r="39" ht="16.35" customHeight="1" s="8286">
      <c r="A39" s="642" t="n"/>
      <c r="B39" s="9638" t="n"/>
      <c r="C39" s="9697" t="n"/>
      <c r="D39" s="9639" t="n"/>
      <c r="E39" s="9624" t="inlineStr">
        <is>
          <t>0 - 4 años</t>
        </is>
      </c>
      <c r="F39" s="9647" t="n"/>
      <c r="G39" s="9624" t="inlineStr">
        <is>
          <t>5 - 9 años</t>
        </is>
      </c>
      <c r="H39" s="9647" t="n"/>
      <c r="I39" s="9624" t="inlineStr">
        <is>
          <t>10 - 14 años</t>
        </is>
      </c>
      <c r="J39" s="9647" t="n"/>
      <c r="K39" s="9624" t="inlineStr">
        <is>
          <t>15 - 19 años</t>
        </is>
      </c>
      <c r="L39" s="9647" t="n"/>
      <c r="M39" s="9624" t="inlineStr">
        <is>
          <t>20 - 24 años</t>
        </is>
      </c>
      <c r="N39" s="9647" t="n"/>
      <c r="O39" s="9874" t="inlineStr">
        <is>
          <t>25 - 29 años</t>
        </is>
      </c>
      <c r="P39" s="9647" t="n"/>
      <c r="Q39" s="9874" t="inlineStr">
        <is>
          <t>30 - 34 años</t>
        </is>
      </c>
      <c r="R39" s="9647" t="n"/>
      <c r="S39" s="9874" t="inlineStr">
        <is>
          <t>35 - 39 años</t>
        </is>
      </c>
      <c r="T39" s="9647" t="n"/>
      <c r="U39" s="9874" t="inlineStr">
        <is>
          <t>40 - 44 años</t>
        </is>
      </c>
      <c r="V39" s="9647" t="n"/>
      <c r="W39" s="9874" t="inlineStr">
        <is>
          <t>45 - 49 años</t>
        </is>
      </c>
      <c r="X39" s="9647" t="n"/>
      <c r="Y39" s="9874" t="inlineStr">
        <is>
          <t>50 - 54 años</t>
        </is>
      </c>
      <c r="Z39" s="9647" t="n"/>
      <c r="AA39" s="9874" t="inlineStr">
        <is>
          <t>55 - 59 años</t>
        </is>
      </c>
      <c r="AB39" s="9647" t="n"/>
      <c r="AC39" s="9874" t="inlineStr">
        <is>
          <t>60 - 64 años</t>
        </is>
      </c>
      <c r="AD39" s="9647" t="n"/>
      <c r="AE39" s="9874" t="inlineStr">
        <is>
          <t>65 - 69 años</t>
        </is>
      </c>
      <c r="AF39" s="9647" t="n"/>
      <c r="AG39" s="9874" t="inlineStr">
        <is>
          <t>70 - 74 años</t>
        </is>
      </c>
      <c r="AH39" s="9647" t="n"/>
      <c r="AI39" s="9874" t="inlineStr">
        <is>
          <t>75 - 79 años</t>
        </is>
      </c>
      <c r="AJ39" s="9647" t="n"/>
      <c r="AK39" s="9874" t="inlineStr">
        <is>
          <t>80 y más años</t>
        </is>
      </c>
      <c r="AL39" s="9647" t="n"/>
      <c r="AM39" s="10169" t="n"/>
      <c r="AN39" s="9625" t="n"/>
      <c r="AO39" s="5555" t="n"/>
      <c r="AP39" s="5555" t="n"/>
      <c r="AQ39" s="5555" t="n"/>
      <c r="AR39" s="5555" t="n"/>
      <c r="AS39" s="5555" t="n"/>
      <c r="AT39" s="5555" t="n"/>
      <c r="AU39" s="5555" t="n"/>
      <c r="AV39" s="5555" t="n"/>
      <c r="AW39" s="5555" t="n"/>
      <c r="AX39" s="5555" t="n"/>
      <c r="AY39" s="5555" t="n"/>
      <c r="AZ39" s="5555" t="n"/>
      <c r="BA39" s="5555" t="n"/>
      <c r="BB39" s="5555" t="n"/>
      <c r="BC39" s="5555" t="n"/>
      <c r="BD39" s="5555" t="n"/>
      <c r="BE39" s="5555" t="n"/>
      <c r="BF39" s="5555" t="n"/>
      <c r="BG39" s="5555" t="n"/>
      <c r="BH39" s="5555" t="n"/>
      <c r="BI39" s="5555" t="n"/>
    </row>
    <row r="40" ht="16.35" customHeight="1" s="8286">
      <c r="A40" s="9698" t="n"/>
      <c r="B40" s="6290" t="inlineStr">
        <is>
          <t>Ambos Sexos</t>
        </is>
      </c>
      <c r="C40" s="6263" t="inlineStr">
        <is>
          <t xml:space="preserve">Hombres </t>
        </is>
      </c>
      <c r="D40" s="7369" t="inlineStr">
        <is>
          <t>Mujeres</t>
        </is>
      </c>
      <c r="E40" s="8157" t="inlineStr">
        <is>
          <t xml:space="preserve">Hombres </t>
        </is>
      </c>
      <c r="F40" s="8176" t="inlineStr">
        <is>
          <t>Mujeres</t>
        </is>
      </c>
      <c r="G40" s="8157" t="inlineStr">
        <is>
          <t xml:space="preserve">Hombres </t>
        </is>
      </c>
      <c r="H40" s="8176" t="inlineStr">
        <is>
          <t>Mujeres</t>
        </is>
      </c>
      <c r="I40" s="8157" t="inlineStr">
        <is>
          <t xml:space="preserve">Hombres </t>
        </is>
      </c>
      <c r="J40" s="8176" t="inlineStr">
        <is>
          <t>Mujeres</t>
        </is>
      </c>
      <c r="K40" s="8157" t="inlineStr">
        <is>
          <t xml:space="preserve">Hombres </t>
        </is>
      </c>
      <c r="L40" s="8176" t="inlineStr">
        <is>
          <t>Mujeres</t>
        </is>
      </c>
      <c r="M40" s="8157" t="inlineStr">
        <is>
          <t xml:space="preserve">Hombres </t>
        </is>
      </c>
      <c r="N40" s="8176" t="inlineStr">
        <is>
          <t>Mujeres</t>
        </is>
      </c>
      <c r="O40" s="8157" t="inlineStr">
        <is>
          <t xml:space="preserve">Hombres </t>
        </is>
      </c>
      <c r="P40" s="8176" t="inlineStr">
        <is>
          <t>Mujeres</t>
        </is>
      </c>
      <c r="Q40" s="8157" t="inlineStr">
        <is>
          <t xml:space="preserve">Hombres </t>
        </is>
      </c>
      <c r="R40" s="8176" t="inlineStr">
        <is>
          <t>Mujeres</t>
        </is>
      </c>
      <c r="S40" s="8157" t="inlineStr">
        <is>
          <t xml:space="preserve">Hombres </t>
        </is>
      </c>
      <c r="T40" s="8176" t="inlineStr">
        <is>
          <t>Mujeres</t>
        </is>
      </c>
      <c r="U40" s="8157" t="inlineStr">
        <is>
          <t xml:space="preserve">Hombres </t>
        </is>
      </c>
      <c r="V40" s="8176" t="inlineStr">
        <is>
          <t>Mujeres</t>
        </is>
      </c>
      <c r="W40" s="8157" t="inlineStr">
        <is>
          <t xml:space="preserve">Hombres </t>
        </is>
      </c>
      <c r="X40" s="8176" t="inlineStr">
        <is>
          <t>Mujeres</t>
        </is>
      </c>
      <c r="Y40" s="8157" t="inlineStr">
        <is>
          <t xml:space="preserve">Hombres </t>
        </is>
      </c>
      <c r="Z40" s="8176" t="inlineStr">
        <is>
          <t>Mujeres</t>
        </is>
      </c>
      <c r="AA40" s="8157" t="inlineStr">
        <is>
          <t xml:space="preserve">Hombres </t>
        </is>
      </c>
      <c r="AB40" s="8176" t="inlineStr">
        <is>
          <t>Mujeres</t>
        </is>
      </c>
      <c r="AC40" s="8157" t="inlineStr">
        <is>
          <t xml:space="preserve">Hombres </t>
        </is>
      </c>
      <c r="AD40" s="8176" t="inlineStr">
        <is>
          <t>Mujeres</t>
        </is>
      </c>
      <c r="AE40" s="8157" t="inlineStr">
        <is>
          <t xml:space="preserve">Hombres </t>
        </is>
      </c>
      <c r="AF40" s="8176" t="inlineStr">
        <is>
          <t>Mujeres</t>
        </is>
      </c>
      <c r="AG40" s="8157" t="inlineStr">
        <is>
          <t xml:space="preserve">Hombres </t>
        </is>
      </c>
      <c r="AH40" s="8176" t="inlineStr">
        <is>
          <t>Mujeres</t>
        </is>
      </c>
      <c r="AI40" s="8157" t="inlineStr">
        <is>
          <t xml:space="preserve">Hombres </t>
        </is>
      </c>
      <c r="AJ40" s="8176" t="inlineStr">
        <is>
          <t>Mujeres</t>
        </is>
      </c>
      <c r="AK40" s="8157" t="inlineStr">
        <is>
          <t xml:space="preserve">Hombres </t>
        </is>
      </c>
      <c r="AL40" s="7616" t="inlineStr">
        <is>
          <t>Mujeres</t>
        </is>
      </c>
      <c r="AM40" s="10170" t="n"/>
      <c r="AN40" s="9641" t="n"/>
      <c r="AO40" s="6245" t="n"/>
      <c r="AP40" s="5555" t="n"/>
      <c r="AQ40" s="5555" t="n"/>
      <c r="AR40" s="5555" t="n"/>
      <c r="AS40" s="5555" t="n"/>
      <c r="AT40" s="5555" t="n"/>
      <c r="AU40" s="5555" t="n"/>
      <c r="AV40" s="5555" t="n"/>
      <c r="AW40" s="5555" t="n"/>
      <c r="AX40" s="5555" t="n"/>
      <c r="AY40" s="5555" t="n"/>
      <c r="AZ40" s="5555" t="n"/>
      <c r="BA40" s="5555" t="n"/>
      <c r="BB40" s="5555" t="n"/>
      <c r="BC40" s="5555" t="n"/>
      <c r="BD40" s="5555" t="n"/>
      <c r="BE40" s="5555" t="n"/>
      <c r="BF40" s="5555" t="n"/>
      <c r="BG40" s="5555" t="n"/>
      <c r="BH40" s="5555" t="n"/>
      <c r="BI40" s="5555" t="n"/>
    </row>
    <row r="41" ht="15" customHeight="1" s="8286">
      <c r="A41" s="8279" t="inlineStr">
        <is>
          <t>Médico</t>
        </is>
      </c>
      <c r="B41" s="6368">
        <f>SUM(C41+D41)</f>
        <v/>
      </c>
      <c r="C41" s="941">
        <f>SUM(E41+G41+I41+K41+M41+O41+Q41+S41+U41+W41+Y41+AA41+AC41+AE41+AG41+AI41+AK41)</f>
        <v/>
      </c>
      <c r="D41" s="6369">
        <f>SUM(F41+H41+J41+L41+N41+P41+R41+T41+V41+X41+Z41+AB41+AD41+AF41+AH41+AJ41+AL41)</f>
        <v/>
      </c>
      <c r="E41" s="5843" t="n"/>
      <c r="F41" s="6014" t="n"/>
      <c r="G41" s="5843" t="n"/>
      <c r="H41" s="6014" t="n"/>
      <c r="I41" s="5843" t="n"/>
      <c r="J41" s="6103" t="n"/>
      <c r="K41" s="5843" t="n"/>
      <c r="L41" s="6103" t="n"/>
      <c r="M41" s="5843" t="n"/>
      <c r="N41" s="6103" t="n"/>
      <c r="O41" s="6300" t="n"/>
      <c r="P41" s="6103" t="n"/>
      <c r="Q41" s="6300" t="n"/>
      <c r="R41" s="6103" t="n"/>
      <c r="S41" s="6300" t="n"/>
      <c r="T41" s="6103" t="n"/>
      <c r="U41" s="6300" t="n"/>
      <c r="V41" s="6103" t="n"/>
      <c r="W41" s="6300" t="n"/>
      <c r="X41" s="6103" t="n"/>
      <c r="Y41" s="6300" t="n"/>
      <c r="Z41" s="6103" t="n"/>
      <c r="AA41" s="6300" t="n"/>
      <c r="AB41" s="6103" t="n"/>
      <c r="AC41" s="6300" t="n"/>
      <c r="AD41" s="6103" t="n"/>
      <c r="AE41" s="6300" t="n"/>
      <c r="AF41" s="6103" t="n"/>
      <c r="AG41" s="6300" t="n"/>
      <c r="AH41" s="6103" t="n"/>
      <c r="AI41" s="6300" t="n"/>
      <c r="AJ41" s="6103" t="n"/>
      <c r="AK41" s="6300" t="n"/>
      <c r="AL41" s="6105" t="n"/>
      <c r="AM41" s="6370" t="n"/>
      <c r="AN41" s="6371" t="n"/>
      <c r="AO41" s="6377">
        <f>CA41&amp;CB41</f>
        <v/>
      </c>
      <c r="AP41" s="6275" t="n"/>
      <c r="AQ41" s="6275" t="n"/>
      <c r="AR41" s="6275" t="n"/>
      <c r="AS41" s="6275" t="n"/>
      <c r="AT41" s="6275" t="n"/>
      <c r="AU41" s="6275" t="n"/>
      <c r="AV41" s="6275" t="n"/>
      <c r="AW41" s="6275" t="n"/>
      <c r="AX41" s="6275" t="n"/>
      <c r="AY41" s="6275" t="n"/>
      <c r="AZ41" s="5555" t="n"/>
      <c r="BA41" s="5555" t="n"/>
      <c r="BB41" s="5555" t="n"/>
      <c r="BC41" s="5555" t="n"/>
      <c r="BD41" s="5555" t="n"/>
      <c r="BE41" s="5555" t="n"/>
      <c r="BF41" s="5555" t="n"/>
      <c r="BG41" s="5555" t="n"/>
      <c r="BH41" s="5555" t="n"/>
      <c r="BI41" s="5555" t="n"/>
      <c r="CA41" s="6276">
        <f>IF(AND($B41&gt;0,AM41="")," *No olvide digitar la variable "&amp;AM$38&amp;""&amp;". Digite CERO si no tiene",IF(AM41&gt;$B41," *La variable "&amp;AM$41&amp;""&amp;" No puede ser mayor al Total Ambos Sexos.",""))</f>
        <v/>
      </c>
      <c r="CB41" s="6276">
        <f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/>
      </c>
      <c r="CN41" s="6277">
        <f>IF(AND($B41&gt;0,AN41=""),1,IF(B41&gt;$AN41,1,0))</f>
        <v/>
      </c>
    </row>
    <row r="42" ht="15" customHeight="1" s="8286">
      <c r="A42" s="7199" t="inlineStr">
        <is>
          <t>Enfermera /o</t>
        </is>
      </c>
      <c r="B42" s="1546">
        <f>SUM(C42+D42)</f>
        <v/>
      </c>
      <c r="C42" s="6299">
        <f>SUM(E42+G42+I42+K42+M42+O42+Q42+S42+U42+W42+Y42+AA42+AC42+AE42+AG42+AI42+AK42)</f>
        <v/>
      </c>
      <c r="D42" s="1548">
        <f>SUM(F42+H42+J42+L42+N42+P42+R42+T42+V42+X42+Z42+AB42+AD42+AF42+AH42+AJ42+AL42)</f>
        <v/>
      </c>
      <c r="E42" s="5843" t="n"/>
      <c r="F42" s="6014" t="n"/>
      <c r="G42" s="5843" t="n"/>
      <c r="H42" s="6014" t="n"/>
      <c r="I42" s="5843" t="n"/>
      <c r="J42" s="6103" t="n"/>
      <c r="K42" s="5843" t="n"/>
      <c r="L42" s="6103" t="n"/>
      <c r="M42" s="5843" t="n"/>
      <c r="N42" s="6103" t="n"/>
      <c r="O42" s="6300" t="n"/>
      <c r="P42" s="6103" t="n"/>
      <c r="Q42" s="6300" t="n"/>
      <c r="R42" s="6103" t="n"/>
      <c r="S42" s="6300" t="n"/>
      <c r="T42" s="6103" t="n"/>
      <c r="U42" s="6300" t="n"/>
      <c r="V42" s="6103" t="n"/>
      <c r="W42" s="6300" t="n"/>
      <c r="X42" s="6103" t="n"/>
      <c r="Y42" s="6300" t="n"/>
      <c r="Z42" s="6103" t="n"/>
      <c r="AA42" s="6300" t="n"/>
      <c r="AB42" s="6103" t="n"/>
      <c r="AC42" s="6300" t="n"/>
      <c r="AD42" s="6103" t="n"/>
      <c r="AE42" s="6300" t="n"/>
      <c r="AF42" s="6103" t="n"/>
      <c r="AG42" s="6300" t="n"/>
      <c r="AH42" s="6103" t="n"/>
      <c r="AI42" s="6300" t="n"/>
      <c r="AJ42" s="6103" t="n"/>
      <c r="AK42" s="6300" t="n"/>
      <c r="AL42" s="6105" t="n"/>
      <c r="AM42" s="6372" t="n"/>
      <c r="AN42" s="5827" t="n"/>
      <c r="AO42" s="6377">
        <f>CA42&amp;CB42</f>
        <v/>
      </c>
      <c r="AP42" s="6275" t="n"/>
      <c r="AQ42" s="6275" t="n"/>
      <c r="AR42" s="6275" t="n"/>
      <c r="AS42" s="6275" t="n"/>
      <c r="AT42" s="6275" t="n"/>
      <c r="AU42" s="6275" t="n"/>
      <c r="AV42" s="6275" t="n"/>
      <c r="AW42" s="6275" t="n"/>
      <c r="AX42" s="6275" t="n"/>
      <c r="AY42" s="6275" t="n"/>
      <c r="AZ42" s="5555" t="n"/>
      <c r="BA42" s="5555" t="n"/>
      <c r="BB42" s="5555" t="n"/>
      <c r="BC42" s="5555" t="n"/>
      <c r="BD42" s="5555" t="n"/>
      <c r="BE42" s="5555" t="n"/>
      <c r="BF42" s="5555" t="n"/>
      <c r="BG42" s="5555" t="n"/>
      <c r="BH42" s="5555" t="n"/>
      <c r="BI42" s="5555" t="n"/>
      <c r="CA42" s="6276">
        <f>IF(AND($B42&gt;0,AM42="")," *No olvide digitar la variable "&amp;AM$38&amp;""&amp;". Digite CERO si no tiene",IF(AM42&gt;$B42," *La variable "&amp;AM$41&amp;""&amp;" No puede ser mayor al Total Ambos Sexos.",""))</f>
        <v/>
      </c>
      <c r="CB42" s="6276">
        <f>IF(AND($B42&gt;0,AN42="")," *No olvide digitar la variable "&amp;AN$38&amp;""&amp;". Digite CERO si no tiene",IF(B42&gt;AN42," *La variable "&amp;AN$38&amp;""&amp;" No puede ser menor al Total Ambos Sexos.",""))</f>
        <v/>
      </c>
      <c r="CM42" s="6277">
        <f>IF(AND($B42&gt;0,AM42=""),1,IF(AM42&gt;$B42,1,0))</f>
        <v/>
      </c>
      <c r="CN42" s="6277">
        <f>IF(AND($B42&gt;0,AN42=""),1,IF(B42&gt;$AN42,1,0))</f>
        <v/>
      </c>
    </row>
    <row r="43" ht="15" customHeight="1" s="8286">
      <c r="A43" s="7199" t="inlineStr">
        <is>
          <t>Matrona /ón</t>
        </is>
      </c>
      <c r="B43" s="1546">
        <f>SUM(C43+D43)</f>
        <v/>
      </c>
      <c r="C43" s="6299">
        <f>SUM(E43+G43+I43+K43+M43+O43+Q43+S43+U43+W43+Y43+AA43+AC43+AE43+AG43+AI43+AK43)</f>
        <v/>
      </c>
      <c r="D43" s="1548">
        <f>SUM(F43+H43+J43+L43+N43+P43+R43+T43+V43+X43+Z43+AB43+AD43+AF43+AH43+AJ43+AL43)</f>
        <v/>
      </c>
      <c r="E43" s="5826" t="n"/>
      <c r="F43" s="5827" t="n"/>
      <c r="G43" s="5826" t="n"/>
      <c r="H43" s="5827" t="n"/>
      <c r="I43" s="5826" t="n"/>
      <c r="J43" s="5828" t="n"/>
      <c r="K43" s="5826" t="n"/>
      <c r="L43" s="5828" t="n"/>
      <c r="M43" s="5826" t="n"/>
      <c r="N43" s="5828" t="n"/>
      <c r="O43" s="5836" t="n"/>
      <c r="P43" s="5828" t="n"/>
      <c r="Q43" s="5836" t="n"/>
      <c r="R43" s="5828" t="n"/>
      <c r="S43" s="5836" t="n"/>
      <c r="T43" s="5828" t="n"/>
      <c r="U43" s="5836" t="n"/>
      <c r="V43" s="5828" t="n"/>
      <c r="W43" s="5836" t="n"/>
      <c r="X43" s="5828" t="n"/>
      <c r="Y43" s="5836" t="n"/>
      <c r="Z43" s="5828" t="n"/>
      <c r="AA43" s="5836" t="n"/>
      <c r="AB43" s="5828" t="n"/>
      <c r="AC43" s="5836" t="n"/>
      <c r="AD43" s="5828" t="n"/>
      <c r="AE43" s="5836" t="n"/>
      <c r="AF43" s="5828" t="n"/>
      <c r="AG43" s="5836" t="n"/>
      <c r="AH43" s="5828" t="n"/>
      <c r="AI43" s="5836" t="n"/>
      <c r="AJ43" s="5828" t="n"/>
      <c r="AK43" s="5836" t="n"/>
      <c r="AL43" s="5837" t="n"/>
      <c r="AM43" s="6374" t="n"/>
      <c r="AN43" s="5827" t="n"/>
      <c r="AO43" s="6377">
        <f>CA43&amp;CB43</f>
        <v/>
      </c>
      <c r="AP43" s="6275" t="n"/>
      <c r="AQ43" s="6275" t="n"/>
      <c r="AR43" s="6275" t="n"/>
      <c r="AS43" s="6275" t="n"/>
      <c r="AT43" s="6275" t="n"/>
      <c r="AU43" s="6275" t="n"/>
      <c r="AV43" s="6275" t="n"/>
      <c r="AW43" s="6275" t="n"/>
      <c r="AX43" s="6275" t="n"/>
      <c r="AY43" s="6275" t="n"/>
      <c r="AZ43" s="5555" t="n"/>
      <c r="BA43" s="5555" t="n"/>
      <c r="BB43" s="5555" t="n"/>
      <c r="BC43" s="5555" t="n"/>
      <c r="BD43" s="5555" t="n"/>
      <c r="BE43" s="5555" t="n"/>
      <c r="BF43" s="5555" t="n"/>
      <c r="BG43" s="5555" t="n"/>
      <c r="BH43" s="5555" t="n"/>
      <c r="BI43" s="5555" t="n"/>
      <c r="CA43" s="6276">
        <f>IF(AND($B43&gt;0,AM43="")," *No olvide digitar la variable "&amp;AM$38&amp;""&amp;". Digite CERO si no tiene",IF(AM43&gt;$B43," *La variable "&amp;AM$41&amp;""&amp;" No puede ser mayor al Total Ambos Sexos.",""))</f>
        <v/>
      </c>
      <c r="CB43" s="6276">
        <f>IF(AND($B43&gt;0,AN43="")," *No olvide digitar la variable "&amp;AN$38&amp;""&amp;". Digite CERO si no tiene",IF(B43&gt;AN43," *La variable "&amp;AN$38&amp;""&amp;" No puede ser menor al Total Ambos Sexos.",""))</f>
        <v/>
      </c>
      <c r="CM43" s="6277">
        <f>IF(AND($B43&gt;0,AM43=""),1,IF(AM43&gt;$B43,1,0))</f>
        <v/>
      </c>
      <c r="CN43" s="6277">
        <f>IF(AND($B43&gt;0,AN43=""),1,IF(B43&gt;$AN43,1,0))</f>
        <v/>
      </c>
    </row>
    <row r="44" ht="15" customHeight="1" s="8286">
      <c r="A44" s="7199" t="inlineStr">
        <is>
          <t>Kinesiólogo/a</t>
        </is>
      </c>
      <c r="B44" s="1546">
        <f>SUM(C44+D44)</f>
        <v/>
      </c>
      <c r="C44" s="6299">
        <f>SUM(E44+G44+I44+K44+M44+O44+Q44+S44+U44+W44+Y44+AA44+AC44+AE44+AG44+AI44+AK44)</f>
        <v/>
      </c>
      <c r="D44" s="1548">
        <f>SUM(F44+H44+J44+L44+N44+P44+R44+T44+V44+X44+Z44+AB44+AD44+AF44+AH44+AJ44+AL44)</f>
        <v/>
      </c>
      <c r="E44" s="5826" t="n"/>
      <c r="F44" s="5827" t="n"/>
      <c r="G44" s="5826" t="n"/>
      <c r="H44" s="5827" t="n"/>
      <c r="I44" s="5826" t="n"/>
      <c r="J44" s="5828" t="n"/>
      <c r="K44" s="5826" t="n"/>
      <c r="L44" s="5828" t="n"/>
      <c r="M44" s="5826" t="n"/>
      <c r="N44" s="5828" t="n"/>
      <c r="O44" s="5836" t="n"/>
      <c r="P44" s="5828" t="n"/>
      <c r="Q44" s="5836" t="n"/>
      <c r="R44" s="5828" t="n"/>
      <c r="S44" s="5836" t="n"/>
      <c r="T44" s="5828" t="n"/>
      <c r="U44" s="5836" t="n"/>
      <c r="V44" s="5828" t="n"/>
      <c r="W44" s="5836" t="n"/>
      <c r="X44" s="5828" t="n"/>
      <c r="Y44" s="5836" t="n"/>
      <c r="Z44" s="5828" t="n"/>
      <c r="AA44" s="5836" t="n"/>
      <c r="AB44" s="5828" t="n"/>
      <c r="AC44" s="5836" t="n"/>
      <c r="AD44" s="5828" t="n"/>
      <c r="AE44" s="5836" t="n"/>
      <c r="AF44" s="5828" t="n"/>
      <c r="AG44" s="5836" t="n"/>
      <c r="AH44" s="5828" t="n"/>
      <c r="AI44" s="5836" t="n"/>
      <c r="AJ44" s="5828" t="n"/>
      <c r="AK44" s="5836" t="n"/>
      <c r="AL44" s="5837" t="n"/>
      <c r="AM44" s="6374" t="n"/>
      <c r="AN44" s="5827" t="n"/>
      <c r="AO44" s="6377">
        <f>CA44&amp;CB44</f>
        <v/>
      </c>
      <c r="AP44" s="6275" t="n"/>
      <c r="AQ44" s="6275" t="n"/>
      <c r="AR44" s="6275" t="n"/>
      <c r="AS44" s="6275" t="n"/>
      <c r="AT44" s="6275" t="n"/>
      <c r="AU44" s="6275" t="n"/>
      <c r="AV44" s="6275" t="n"/>
      <c r="AW44" s="6275" t="n"/>
      <c r="AX44" s="6275" t="n"/>
      <c r="AY44" s="6275" t="n"/>
      <c r="AZ44" s="5555" t="n"/>
      <c r="BA44" s="5555" t="n"/>
      <c r="BB44" s="5555" t="n"/>
      <c r="BC44" s="5555" t="n"/>
      <c r="BD44" s="5555" t="n"/>
      <c r="BE44" s="5555" t="n"/>
      <c r="BF44" s="5555" t="n"/>
      <c r="BG44" s="5555" t="n"/>
      <c r="BH44" s="5555" t="n"/>
      <c r="BI44" s="5555" t="n"/>
      <c r="CA44" s="6276">
        <f>IF(AND($B44&gt;0,AM44="")," *No olvide digitar la variable "&amp;AM$38&amp;""&amp;". Digite CERO si no tiene",IF(AM44&gt;$B44," *La variable "&amp;AM$41&amp;""&amp;" No puede ser mayor al Total Ambos Sexos.",""))</f>
        <v/>
      </c>
      <c r="CB44" s="6276">
        <f>IF(AND($B44&gt;0,AN44="")," *No olvide digitar la variable "&amp;AN$38&amp;""&amp;". Digite CERO si no tiene",IF(B44&gt;AN44," *La variable "&amp;AN$38&amp;""&amp;" No puede ser menor al Total Ambos Sexos.",""))</f>
        <v/>
      </c>
      <c r="CM44" s="6277">
        <f>IF(AND($B44&gt;0,AM44=""),1,IF(AM44&gt;$B44,1,0))</f>
        <v/>
      </c>
      <c r="CN44" s="6277">
        <f>IF(AND($B44&gt;0,AN44=""),1,IF(B44&gt;$AN44,1,0))</f>
        <v/>
      </c>
    </row>
    <row r="45" ht="15" customHeight="1" s="8286">
      <c r="A45" s="7199" t="inlineStr">
        <is>
          <t>Técnico en Enfermería</t>
        </is>
      </c>
      <c r="B45" s="1546">
        <f>SUM(C45+D45)</f>
        <v/>
      </c>
      <c r="C45" s="6299">
        <f>SUM(E45+G45+I45+K45+M45+O45+Q45+S45+U45+W45+Y45+AA45+AC45+AE45+AG45+AI45+AK45)</f>
        <v/>
      </c>
      <c r="D45" s="1548">
        <f>SUM(F45+H45+J45+L45+N45+P45+R45+T45+V45+X45+Z45+AB45+AD45+AF45+AH45+AJ45+AL45)</f>
        <v/>
      </c>
      <c r="E45" s="5826" t="n"/>
      <c r="F45" s="5827" t="n"/>
      <c r="G45" s="5826" t="n"/>
      <c r="H45" s="5827" t="n"/>
      <c r="I45" s="5826" t="n"/>
      <c r="J45" s="5828" t="n"/>
      <c r="K45" s="5826" t="n"/>
      <c r="L45" s="5828" t="n"/>
      <c r="M45" s="5826" t="n"/>
      <c r="N45" s="5828" t="n"/>
      <c r="O45" s="5836" t="n"/>
      <c r="P45" s="5828" t="n"/>
      <c r="Q45" s="5836" t="n"/>
      <c r="R45" s="5828" t="n"/>
      <c r="S45" s="5836" t="n"/>
      <c r="T45" s="5828" t="n"/>
      <c r="U45" s="5836" t="n"/>
      <c r="V45" s="5828" t="n"/>
      <c r="W45" s="5836" t="n"/>
      <c r="X45" s="5828" t="n"/>
      <c r="Y45" s="5836" t="n"/>
      <c r="Z45" s="5828" t="n"/>
      <c r="AA45" s="5836" t="n"/>
      <c r="AB45" s="5828" t="n"/>
      <c r="AC45" s="5836" t="n"/>
      <c r="AD45" s="5828" t="n"/>
      <c r="AE45" s="5836" t="n"/>
      <c r="AF45" s="5828" t="n"/>
      <c r="AG45" s="5836" t="n"/>
      <c r="AH45" s="5828" t="n"/>
      <c r="AI45" s="5836" t="n"/>
      <c r="AJ45" s="5828" t="n"/>
      <c r="AK45" s="5836" t="n"/>
      <c r="AL45" s="5837" t="n"/>
      <c r="AM45" s="6374" t="n"/>
      <c r="AN45" s="5827" t="n"/>
      <c r="AO45" s="6377">
        <f>CA45&amp;CB45</f>
        <v/>
      </c>
      <c r="AP45" s="6275" t="n"/>
      <c r="AQ45" s="6275" t="n"/>
      <c r="AR45" s="6275" t="n"/>
      <c r="AS45" s="6275" t="n"/>
      <c r="AT45" s="6275" t="n"/>
      <c r="AU45" s="6275" t="n"/>
      <c r="AV45" s="6275" t="n"/>
      <c r="AW45" s="6275" t="n"/>
      <c r="AX45" s="6275" t="n"/>
      <c r="AY45" s="6275" t="n"/>
      <c r="AZ45" s="5555" t="n"/>
      <c r="BA45" s="5555" t="n"/>
      <c r="BB45" s="5555" t="n"/>
      <c r="BC45" s="5555" t="n"/>
      <c r="BD45" s="5555" t="n"/>
      <c r="BE45" s="5555" t="n"/>
      <c r="BF45" s="5555" t="n"/>
      <c r="BG45" s="5555" t="n"/>
      <c r="BH45" s="5555" t="n"/>
      <c r="BI45" s="5555" t="n"/>
      <c r="CA45" s="6276">
        <f>IF(AND($B45&gt;0,AM45="")," *No olvide digitar la variable "&amp;AM$38&amp;""&amp;". Digite CERO si no tiene",IF(AM45&gt;$B45," *La variable "&amp;AM$41&amp;""&amp;" No puede ser mayor al Total Ambos Sexos.",""))</f>
        <v/>
      </c>
      <c r="CB45" s="6276">
        <f>IF(AND($B45&gt;0,AN45="")," *No olvide digitar la variable "&amp;AN$38&amp;""&amp;". Digite CERO si no tiene",IF(B45&gt;AN45," *La variable "&amp;AN$38&amp;""&amp;" No puede ser menor al Total Ambos Sexos.",""))</f>
        <v/>
      </c>
      <c r="CM45" s="6277">
        <f>IF(AND($B45&gt;0,AM45=""),1,IF(AM45&gt;$B45,1,0))</f>
        <v/>
      </c>
      <c r="CN45" s="6277">
        <f>IF(AND($B45&gt;0,AN45=""),1,IF(B45&gt;$AN45,1,0))</f>
        <v/>
      </c>
    </row>
    <row r="46" ht="15" customHeight="1" s="8286">
      <c r="A46" s="7469" t="inlineStr">
        <is>
          <t>Otros Profesionales</t>
        </is>
      </c>
      <c r="B46" s="1514">
        <f>SUM(C46+D46)</f>
        <v/>
      </c>
      <c r="C46" s="1549">
        <f>SUM(E46+G46+I46+K46+M46+O46+Q46+S46+U46+W46+Y46+AA46+AC46+AE46+AG46+AI46+AK46)</f>
        <v/>
      </c>
      <c r="D46" s="1516">
        <f>SUM(F46+H46+J46+L46+N46+P46+R46+T46+V46+X46+Z46+AB46+AD46+AF46+AH46+AJ46+AL46)</f>
        <v/>
      </c>
      <c r="E46" s="5866" t="n"/>
      <c r="F46" s="5867" t="n"/>
      <c r="G46" s="5866" t="n"/>
      <c r="H46" s="5867" t="n"/>
      <c r="I46" s="5866" t="n"/>
      <c r="J46" s="5865" t="n"/>
      <c r="K46" s="5866" t="n"/>
      <c r="L46" s="5865" t="n"/>
      <c r="M46" s="5866" t="n"/>
      <c r="N46" s="5865" t="n"/>
      <c r="O46" s="5869" t="n"/>
      <c r="P46" s="5865" t="n"/>
      <c r="Q46" s="5869" t="n"/>
      <c r="R46" s="5865" t="n"/>
      <c r="S46" s="5869" t="n"/>
      <c r="T46" s="5865" t="n"/>
      <c r="U46" s="5869" t="n"/>
      <c r="V46" s="5865" t="n"/>
      <c r="W46" s="5869" t="n"/>
      <c r="X46" s="5865" t="n"/>
      <c r="Y46" s="5869" t="n"/>
      <c r="Z46" s="5865" t="n"/>
      <c r="AA46" s="5869" t="n"/>
      <c r="AB46" s="5865" t="n"/>
      <c r="AC46" s="5869" t="n"/>
      <c r="AD46" s="5865" t="n"/>
      <c r="AE46" s="5869" t="n"/>
      <c r="AF46" s="5865" t="n"/>
      <c r="AG46" s="5869" t="n"/>
      <c r="AH46" s="5865" t="n"/>
      <c r="AI46" s="5869" t="n"/>
      <c r="AJ46" s="5865" t="n"/>
      <c r="AK46" s="5869" t="n"/>
      <c r="AL46" s="5870" t="n"/>
      <c r="AM46" s="6375" t="n"/>
      <c r="AN46" s="5867" t="n"/>
      <c r="AO46" s="6377">
        <f>CA46&amp;CB46</f>
        <v/>
      </c>
      <c r="AP46" s="6275" t="n"/>
      <c r="AQ46" s="6275" t="n"/>
      <c r="AR46" s="6275" t="n"/>
      <c r="AS46" s="6275" t="n"/>
      <c r="AT46" s="6275" t="n"/>
      <c r="AU46" s="6275" t="n"/>
      <c r="AV46" s="6275" t="n"/>
      <c r="AW46" s="6275" t="n"/>
      <c r="AX46" s="6275" t="n"/>
      <c r="AY46" s="6275" t="n"/>
      <c r="AZ46" s="5555" t="n"/>
      <c r="BA46" s="5555" t="n"/>
      <c r="BB46" s="5555" t="n"/>
      <c r="BC46" s="5555" t="n"/>
      <c r="BD46" s="5555" t="n"/>
      <c r="BE46" s="5555" t="n"/>
      <c r="BF46" s="5555" t="n"/>
      <c r="BG46" s="5555" t="n"/>
      <c r="BH46" s="5555" t="n"/>
      <c r="BI46" s="5555" t="n"/>
      <c r="CA46" s="6276">
        <f>IF(AND($B46&gt;0,AM46="")," *No olvide digitar la variable "&amp;AM$38&amp;""&amp;". Digite CERO si no tiene",IF(AM46&gt;$B46," *La variable "&amp;AM$41&amp;""&amp;" No puede ser mayor al Total Ambos Sexos.",""))</f>
        <v/>
      </c>
      <c r="CB46" s="6276">
        <f>IF(AND($B46&gt;0,AN46="")," *No olvide digitar la variable "&amp;AN$38&amp;""&amp;". Digite CERO si no tiene",IF(B46&gt;AN46," *La variable "&amp;AN$38&amp;""&amp;" No puede ser menor al Total Ambos Sexos.",""))</f>
        <v/>
      </c>
      <c r="CM46" s="6277">
        <f>IF(AND($B46&gt;0,AM46=""),1,IF(AM46&gt;$B46,1,0))</f>
        <v/>
      </c>
      <c r="CN46" s="6277">
        <f>IF(AND($B46&gt;0,AN46=""),1,IF(B46&gt;$AN46,1,0))</f>
        <v/>
      </c>
    </row>
    <row r="47" ht="18" customFormat="1" customHeight="1" s="6246">
      <c r="A47" s="1001" t="inlineStr">
        <is>
          <t>SECCIÓN A.5:  CONSULTAS EN SERVICIOS DE ATENCIÓN DE URGENCIA RURAL (SUR) Y POSTAS RURALES</t>
        </is>
      </c>
      <c r="B47" s="1001" t="n"/>
      <c r="C47" s="1001" t="n"/>
      <c r="D47" s="1001" t="n"/>
      <c r="E47" s="1001" t="n"/>
      <c r="F47" s="1001" t="n"/>
      <c r="G47" s="1001" t="n"/>
      <c r="H47" s="927" t="n"/>
      <c r="I47" s="927" t="n"/>
      <c r="J47" s="927" t="n"/>
      <c r="K47" s="927" t="n"/>
      <c r="L47" s="927" t="n"/>
      <c r="M47" s="927" t="n"/>
      <c r="N47" s="927" t="n"/>
      <c r="X47" s="1076" t="n"/>
      <c r="Y47" s="1076" t="n"/>
      <c r="Z47" s="1076" t="n"/>
      <c r="AA47" s="1076" t="n"/>
      <c r="AB47" s="1076" t="n"/>
      <c r="AC47" s="1076" t="n"/>
      <c r="AD47" s="1076" t="n"/>
      <c r="AE47" s="1076" t="n"/>
      <c r="AF47" s="1076" t="n"/>
      <c r="AG47" s="1076" t="n"/>
      <c r="AH47" s="1076" t="n"/>
      <c r="AI47" s="1076" t="n"/>
      <c r="AJ47" s="1076" t="n"/>
      <c r="AK47" s="1076" t="n"/>
      <c r="AL47" s="1076" t="n"/>
      <c r="AM47" s="6362" t="n"/>
      <c r="AN47" s="6251" t="n"/>
      <c r="AO47" s="6364" t="n"/>
      <c r="AP47" s="6365" t="n"/>
      <c r="AQ47" s="6365" t="n"/>
      <c r="AR47" s="6365" t="n"/>
      <c r="AS47" s="6365" t="n"/>
      <c r="AT47" s="6365" t="n"/>
      <c r="AU47" s="6365" t="n"/>
      <c r="AV47" s="6365" t="n"/>
      <c r="AW47" s="6365" t="n"/>
      <c r="AX47" s="6365" t="n"/>
      <c r="AY47" s="6365" t="n"/>
      <c r="AZ47" s="6251" t="n"/>
      <c r="BA47" s="6251" t="n"/>
      <c r="BB47" s="6251" t="n"/>
      <c r="BC47" s="6251" t="n"/>
      <c r="BD47" s="6251" t="n"/>
      <c r="BE47" s="6251" t="n"/>
      <c r="BF47" s="6251" t="n"/>
      <c r="BG47" s="6251" t="n"/>
      <c r="BH47" s="6251" t="n"/>
      <c r="BI47" s="6251" t="n"/>
      <c r="BV47" s="6251" t="n"/>
      <c r="BW47" s="6251" t="n"/>
      <c r="BX47" s="6366" t="n"/>
      <c r="BY47" s="6366" t="n"/>
    </row>
    <row r="48" ht="16.35" customHeight="1" s="8286">
      <c r="A48" s="9626" t="inlineStr">
        <is>
          <t>PROFESIONAL</t>
        </is>
      </c>
      <c r="B48" s="9629" t="inlineStr">
        <is>
          <t xml:space="preserve">TOTAL        </t>
        </is>
      </c>
      <c r="C48" s="9602" t="n"/>
      <c r="D48" s="9630" t="n"/>
      <c r="E48" s="9594" t="inlineStr">
        <is>
          <t>RANGO ETARIO Y SEXO</t>
        </is>
      </c>
      <c r="F48" s="9584" t="n"/>
      <c r="G48" s="9584" t="n"/>
      <c r="H48" s="9584" t="n"/>
      <c r="I48" s="9584" t="n"/>
      <c r="J48" s="9584" t="n"/>
      <c r="K48" s="9584" t="n"/>
      <c r="L48" s="9584" t="n"/>
      <c r="M48" s="9584" t="n"/>
      <c r="N48" s="9584" t="n"/>
      <c r="O48" s="9584" t="n"/>
      <c r="P48" s="9584" t="n"/>
      <c r="Q48" s="9584" t="n"/>
      <c r="R48" s="9584" t="n"/>
      <c r="S48" s="9584" t="n"/>
      <c r="T48" s="9584" t="n"/>
      <c r="U48" s="9584" t="n"/>
      <c r="V48" s="9584" t="n"/>
      <c r="W48" s="9584" t="n"/>
      <c r="X48" s="9584" t="n"/>
      <c r="Y48" s="9584" t="n"/>
      <c r="Z48" s="9584" t="n"/>
      <c r="AA48" s="9584" t="n"/>
      <c r="AB48" s="9584" t="n"/>
      <c r="AC48" s="9584" t="n"/>
      <c r="AD48" s="9584" t="n"/>
      <c r="AE48" s="9584" t="n"/>
      <c r="AF48" s="9584" t="n"/>
      <c r="AG48" s="9584" t="n"/>
      <c r="AH48" s="9584" t="n"/>
      <c r="AI48" s="9584" t="n"/>
      <c r="AJ48" s="9584" t="n"/>
      <c r="AK48" s="9584" t="n"/>
      <c r="AL48" s="9595" t="n"/>
      <c r="AM48" s="10168" t="inlineStr">
        <is>
          <t>Beneficiarios</t>
        </is>
      </c>
      <c r="AN48" s="7632" t="inlineStr">
        <is>
          <t>Demanda de Urgencia</t>
        </is>
      </c>
      <c r="AO48" s="9712" t="inlineStr">
        <is>
          <t>Atención Médica resuelta por  telemedicina SAPU O SAR</t>
        </is>
      </c>
      <c r="AP48" s="6274" t="n"/>
      <c r="AQ48" s="6275" t="n"/>
      <c r="AR48" s="6275" t="n"/>
      <c r="AS48" s="6275" t="n"/>
      <c r="AT48" s="6275" t="n"/>
      <c r="AU48" s="6275" t="n"/>
      <c r="AV48" s="6275" t="n"/>
      <c r="AW48" s="6275" t="n"/>
      <c r="AX48" s="6275" t="n"/>
      <c r="AY48" s="6275" t="n"/>
      <c r="AZ48" s="6275" t="n"/>
      <c r="BA48" s="5555" t="n"/>
      <c r="BB48" s="5555" t="n"/>
      <c r="BC48" s="5555" t="n"/>
      <c r="BD48" s="5555" t="n"/>
      <c r="BE48" s="5555" t="n"/>
      <c r="BF48" s="5555" t="n"/>
      <c r="BG48" s="5555" t="n"/>
      <c r="BH48" s="5555" t="n"/>
      <c r="BI48" s="5555" t="n"/>
      <c r="BJ48" s="5555" t="n"/>
      <c r="BV48" s="5554" t="n"/>
      <c r="BX48" s="5555" t="n"/>
      <c r="BZ48" s="6245" t="n"/>
      <c r="CA48" s="5554" t="n"/>
      <c r="CR48" s="6246" t="n"/>
    </row>
    <row r="49" ht="16.35" customHeight="1" s="8286">
      <c r="A49" s="642" t="n"/>
      <c r="B49" s="9638" t="n"/>
      <c r="C49" s="9697" t="n"/>
      <c r="D49" s="9639" t="n"/>
      <c r="E49" s="9624" t="inlineStr">
        <is>
          <t>0 - 4 años</t>
        </is>
      </c>
      <c r="F49" s="9647" t="n"/>
      <c r="G49" s="9624" t="inlineStr">
        <is>
          <t>5 - 9 años</t>
        </is>
      </c>
      <c r="H49" s="9647" t="n"/>
      <c r="I49" s="9624" t="inlineStr">
        <is>
          <t>10 - 14 años</t>
        </is>
      </c>
      <c r="J49" s="9647" t="n"/>
      <c r="K49" s="9624" t="inlineStr">
        <is>
          <t>15 - 19 años</t>
        </is>
      </c>
      <c r="L49" s="9647" t="n"/>
      <c r="M49" s="9624" t="inlineStr">
        <is>
          <t>20 - 24 años</t>
        </is>
      </c>
      <c r="N49" s="9647" t="n"/>
      <c r="O49" s="9874" t="inlineStr">
        <is>
          <t>25 - 29 años</t>
        </is>
      </c>
      <c r="P49" s="9647" t="n"/>
      <c r="Q49" s="9874" t="inlineStr">
        <is>
          <t>30 - 34 años</t>
        </is>
      </c>
      <c r="R49" s="9647" t="n"/>
      <c r="S49" s="9874" t="inlineStr">
        <is>
          <t>35 - 39 años</t>
        </is>
      </c>
      <c r="T49" s="9647" t="n"/>
      <c r="U49" s="9874" t="inlineStr">
        <is>
          <t>40 - 44 años</t>
        </is>
      </c>
      <c r="V49" s="9647" t="n"/>
      <c r="W49" s="9874" t="inlineStr">
        <is>
          <t>45 - 49 años</t>
        </is>
      </c>
      <c r="X49" s="9647" t="n"/>
      <c r="Y49" s="9874" t="inlineStr">
        <is>
          <t>50 - 54 años</t>
        </is>
      </c>
      <c r="Z49" s="9647" t="n"/>
      <c r="AA49" s="9874" t="inlineStr">
        <is>
          <t>55 - 59 años</t>
        </is>
      </c>
      <c r="AB49" s="9647" t="n"/>
      <c r="AC49" s="9874" t="inlineStr">
        <is>
          <t>60 - 64 años</t>
        </is>
      </c>
      <c r="AD49" s="9647" t="n"/>
      <c r="AE49" s="9874" t="inlineStr">
        <is>
          <t>65 - 69 años</t>
        </is>
      </c>
      <c r="AF49" s="9647" t="n"/>
      <c r="AG49" s="9874" t="inlineStr">
        <is>
          <t>70 - 74 años</t>
        </is>
      </c>
      <c r="AH49" s="9647" t="n"/>
      <c r="AI49" s="9874" t="inlineStr">
        <is>
          <t>75 - 79 años</t>
        </is>
      </c>
      <c r="AJ49" s="9647" t="n"/>
      <c r="AK49" s="9874" t="inlineStr">
        <is>
          <t>80 y más años</t>
        </is>
      </c>
      <c r="AL49" s="9647" t="n"/>
      <c r="AM49" s="10169" t="n"/>
      <c r="AN49" s="9614" t="n"/>
      <c r="AO49" s="9625" t="n"/>
      <c r="AP49" s="6274" t="n"/>
      <c r="AQ49" s="6275" t="n"/>
      <c r="AR49" s="6275" t="n"/>
      <c r="AS49" s="6275" t="n"/>
      <c r="AT49" s="6275" t="n"/>
      <c r="AU49" s="6275" t="n"/>
      <c r="AV49" s="6275" t="n"/>
      <c r="AW49" s="6275" t="n"/>
      <c r="AX49" s="6275" t="n"/>
      <c r="AY49" s="6275" t="n"/>
      <c r="AZ49" s="6275" t="n"/>
      <c r="BA49" s="5555" t="n"/>
      <c r="BB49" s="5555" t="n"/>
      <c r="BC49" s="5555" t="n"/>
      <c r="BD49" s="5555" t="n"/>
      <c r="BE49" s="5555" t="n"/>
      <c r="BF49" s="5555" t="n"/>
      <c r="BG49" s="5555" t="n"/>
      <c r="BH49" s="5555" t="n"/>
      <c r="BI49" s="5555" t="n"/>
      <c r="BJ49" s="5555" t="n"/>
      <c r="BV49" s="5554" t="n"/>
      <c r="BX49" s="5555" t="n"/>
      <c r="BZ49" s="6245" t="n"/>
      <c r="CA49" s="5554" t="n"/>
      <c r="CR49" s="6246" t="n"/>
    </row>
    <row r="50" ht="21" customHeight="1" s="8286">
      <c r="A50" s="9698" t="n"/>
      <c r="B50" s="6290" t="inlineStr">
        <is>
          <t>Ambos Sexos</t>
        </is>
      </c>
      <c r="C50" s="6263" t="inlineStr">
        <is>
          <t xml:space="preserve">Hombres </t>
        </is>
      </c>
      <c r="D50" s="7369" t="inlineStr">
        <is>
          <t>Mujeres</t>
        </is>
      </c>
      <c r="E50" s="6292" t="inlineStr">
        <is>
          <t xml:space="preserve">Hombres </t>
        </is>
      </c>
      <c r="F50" s="8155" t="inlineStr">
        <is>
          <t>Mujeres</t>
        </is>
      </c>
      <c r="G50" s="6292" t="inlineStr">
        <is>
          <t xml:space="preserve">Hombres </t>
        </is>
      </c>
      <c r="H50" s="6378" t="inlineStr">
        <is>
          <t>Mujeres</t>
        </is>
      </c>
      <c r="I50" s="6292" t="inlineStr">
        <is>
          <t xml:space="preserve">Hombres </t>
        </is>
      </c>
      <c r="J50" s="8155" t="inlineStr">
        <is>
          <t>Mujeres</t>
        </is>
      </c>
      <c r="K50" s="6292" t="inlineStr">
        <is>
          <t xml:space="preserve">Hombres </t>
        </is>
      </c>
      <c r="L50" s="8155" t="inlineStr">
        <is>
          <t>Mujeres</t>
        </is>
      </c>
      <c r="M50" s="6292" t="inlineStr">
        <is>
          <t xml:space="preserve">Hombres </t>
        </is>
      </c>
      <c r="N50" s="8155" t="inlineStr">
        <is>
          <t>Mujeres</t>
        </is>
      </c>
      <c r="O50" s="6292" t="inlineStr">
        <is>
          <t xml:space="preserve">Hombres </t>
        </is>
      </c>
      <c r="P50" s="8155" t="inlineStr">
        <is>
          <t>Mujeres</t>
        </is>
      </c>
      <c r="Q50" s="6292" t="inlineStr">
        <is>
          <t xml:space="preserve">Hombres </t>
        </is>
      </c>
      <c r="R50" s="8155" t="inlineStr">
        <is>
          <t>Mujeres</t>
        </is>
      </c>
      <c r="S50" s="6292" t="inlineStr">
        <is>
          <t xml:space="preserve">Hombres </t>
        </is>
      </c>
      <c r="T50" s="6378" t="inlineStr">
        <is>
          <t>Mujeres</t>
        </is>
      </c>
      <c r="U50" s="6292" t="inlineStr">
        <is>
          <t xml:space="preserve">Hombres </t>
        </is>
      </c>
      <c r="V50" s="6378" t="inlineStr">
        <is>
          <t>Mujeres</t>
        </is>
      </c>
      <c r="W50" s="6292" t="inlineStr">
        <is>
          <t xml:space="preserve">Hombres </t>
        </is>
      </c>
      <c r="X50" s="8155" t="inlineStr">
        <is>
          <t>Mujeres</t>
        </is>
      </c>
      <c r="Y50" s="6292" t="inlineStr">
        <is>
          <t xml:space="preserve">Hombres </t>
        </is>
      </c>
      <c r="Z50" s="8155" t="inlineStr">
        <is>
          <t>Mujeres</t>
        </is>
      </c>
      <c r="AA50" s="6292" t="inlineStr">
        <is>
          <t xml:space="preserve">Hombres </t>
        </is>
      </c>
      <c r="AB50" s="8155" t="inlineStr">
        <is>
          <t>Mujeres</t>
        </is>
      </c>
      <c r="AC50" s="6292" t="inlineStr">
        <is>
          <t xml:space="preserve">Hombres </t>
        </is>
      </c>
      <c r="AD50" s="8155" t="inlineStr">
        <is>
          <t>Mujeres</t>
        </is>
      </c>
      <c r="AE50" s="6292" t="inlineStr">
        <is>
          <t xml:space="preserve">Hombres </t>
        </is>
      </c>
      <c r="AF50" s="6378" t="inlineStr">
        <is>
          <t>Mujeres</t>
        </is>
      </c>
      <c r="AG50" s="6292" t="inlineStr">
        <is>
          <t xml:space="preserve">Hombres </t>
        </is>
      </c>
      <c r="AH50" s="8155" t="inlineStr">
        <is>
          <t>Mujeres</t>
        </is>
      </c>
      <c r="AI50" s="6292" t="inlineStr">
        <is>
          <t xml:space="preserve">Hombres </t>
        </is>
      </c>
      <c r="AJ50" s="8155" t="inlineStr">
        <is>
          <t>Mujeres</t>
        </is>
      </c>
      <c r="AK50" s="6292" t="inlineStr">
        <is>
          <t xml:space="preserve">Hombres </t>
        </is>
      </c>
      <c r="AL50" s="6265" t="inlineStr">
        <is>
          <t>Mujeres</t>
        </is>
      </c>
      <c r="AM50" s="10170" t="n"/>
      <c r="AN50" s="9610" t="n"/>
      <c r="AO50" s="9641" t="n"/>
      <c r="AP50" s="6274" t="n"/>
      <c r="AQ50" s="6275" t="n"/>
      <c r="AR50" s="6275" t="n"/>
      <c r="AS50" s="6275" t="n"/>
      <c r="AT50" s="6275" t="n"/>
      <c r="AU50" s="6275" t="n"/>
      <c r="AV50" s="6275" t="n"/>
      <c r="AW50" s="6275" t="n"/>
      <c r="AX50" s="6275" t="n"/>
      <c r="AY50" s="6275" t="n"/>
      <c r="AZ50" s="6275" t="n"/>
      <c r="BA50" s="5555" t="n"/>
      <c r="BB50" s="5555" t="n"/>
      <c r="BC50" s="5555" t="n"/>
      <c r="BD50" s="5555" t="n"/>
      <c r="BE50" s="5555" t="n"/>
      <c r="BF50" s="5555" t="n"/>
      <c r="BG50" s="5555" t="n"/>
      <c r="BH50" s="5555" t="n"/>
      <c r="BI50" s="5555" t="n"/>
      <c r="BJ50" s="5555" t="n"/>
      <c r="BV50" s="5554" t="n"/>
      <c r="BX50" s="5555" t="n"/>
      <c r="BZ50" s="6245" t="n"/>
      <c r="CA50" s="5554" t="n"/>
      <c r="CR50" s="6246" t="n"/>
    </row>
    <row r="51" ht="15" customHeight="1" s="8286">
      <c r="A51" s="8279" t="inlineStr">
        <is>
          <t>Médico</t>
        </is>
      </c>
      <c r="B51" s="6368">
        <f>SUM(C51+D51)</f>
        <v/>
      </c>
      <c r="C51" s="941">
        <f>SUM(E51+G51+I51+K51+M51+O51+Q51+S51+U51+W51+Y51+AA51+AC51+AE51+AG51+AI51+AK51)</f>
        <v/>
      </c>
      <c r="D51" s="6369">
        <f>SUM(F51+H51+J51+L51+N51+P51+R51+T51+V51+X51+Z51+AB51+AD51+AF51+AH51+AJ51+AL51)</f>
        <v/>
      </c>
      <c r="E51" s="5843" t="n"/>
      <c r="F51" s="6379" t="n"/>
      <c r="G51" s="5843" t="n"/>
      <c r="H51" s="6014" t="n"/>
      <c r="I51" s="5843" t="n"/>
      <c r="J51" s="6379" t="n"/>
      <c r="K51" s="5843" t="n"/>
      <c r="L51" s="6379" t="n"/>
      <c r="M51" s="5843" t="n"/>
      <c r="N51" s="6379" t="n"/>
      <c r="O51" s="6300" t="n"/>
      <c r="P51" s="6379" t="n"/>
      <c r="Q51" s="6300" t="n"/>
      <c r="R51" s="6379" t="n"/>
      <c r="S51" s="6300" t="n"/>
      <c r="T51" s="6103" t="n"/>
      <c r="U51" s="6300" t="n"/>
      <c r="V51" s="6103" t="n"/>
      <c r="W51" s="6300" t="n"/>
      <c r="X51" s="6379" t="n"/>
      <c r="Y51" s="6300" t="n"/>
      <c r="Z51" s="6379" t="n"/>
      <c r="AA51" s="6300" t="n"/>
      <c r="AB51" s="6379" t="n"/>
      <c r="AC51" s="6300" t="n"/>
      <c r="AD51" s="6379" t="n"/>
      <c r="AE51" s="6300" t="n"/>
      <c r="AF51" s="6103" t="n"/>
      <c r="AG51" s="6300" t="n"/>
      <c r="AH51" s="6379" t="n"/>
      <c r="AI51" s="6300" t="n"/>
      <c r="AJ51" s="6379" t="n"/>
      <c r="AK51" s="6300" t="n"/>
      <c r="AL51" s="5881" t="n"/>
      <c r="AM51" s="6370" t="n"/>
      <c r="AN51" s="6159" t="n"/>
      <c r="AO51" s="6371" t="n"/>
      <c r="AP51" s="6377">
        <f>CA51&amp;CB51&amp;CC51</f>
        <v/>
      </c>
      <c r="AQ51" s="6275" t="n"/>
      <c r="AR51" s="6275" t="n"/>
      <c r="AS51" s="6275" t="n"/>
      <c r="AT51" s="6275" t="n"/>
      <c r="AU51" s="6275" t="n"/>
      <c r="AV51" s="6275" t="n"/>
      <c r="AW51" s="6275" t="n"/>
      <c r="AX51" s="6275" t="n"/>
      <c r="AY51" s="6275" t="n"/>
      <c r="AZ51" s="6275" t="n"/>
      <c r="BA51" s="5555" t="n"/>
      <c r="BB51" s="5555" t="n"/>
      <c r="BC51" s="5555" t="n"/>
      <c r="BD51" s="5555" t="n"/>
      <c r="BE51" s="5555" t="n"/>
      <c r="BF51" s="5555" t="n"/>
      <c r="BG51" s="5555" t="n"/>
      <c r="BH51" s="5555" t="n"/>
      <c r="BI51" s="5555" t="n"/>
      <c r="BJ51" s="5555" t="n"/>
      <c r="BV51" s="5554" t="n"/>
      <c r="BX51" s="5555" t="n"/>
      <c r="BZ51" s="6245" t="n"/>
      <c r="CA51" s="6276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/>
      </c>
      <c r="CN51" s="6277">
        <f>IF(AND($B51&gt;0,AN51=""),1,IF(B51&gt;$AN51,1,0))</f>
        <v/>
      </c>
      <c r="CO51" s="6277">
        <f>IF(AND($B51&gt;0,AO51=""),1,0)</f>
        <v/>
      </c>
    </row>
    <row r="52" ht="15" customHeight="1" s="8286">
      <c r="A52" s="7199" t="inlineStr">
        <is>
          <t>Enfermera /o</t>
        </is>
      </c>
      <c r="B52" s="1546">
        <f>SUM(C52+D52)</f>
        <v/>
      </c>
      <c r="C52" s="6299">
        <f>SUM(E52+G52+I52+K52+M52+O52+Q52+S52+U52+W52+Y52+AA52+AC52+AE52+AG52+AI52+AK52)</f>
        <v/>
      </c>
      <c r="D52" s="1548">
        <f>SUM(F52+H52+J52+L52+N52+P52+R52+T52+V52+X52+Z52+AB52+AD52+AF52+AH52+AJ52+AL52)</f>
        <v/>
      </c>
      <c r="E52" s="5843" t="n"/>
      <c r="F52" s="6014" t="n"/>
      <c r="G52" s="5843" t="n"/>
      <c r="H52" s="6014" t="n"/>
      <c r="I52" s="5843" t="n"/>
      <c r="J52" s="6103" t="n"/>
      <c r="K52" s="5843" t="n"/>
      <c r="L52" s="6103" t="n"/>
      <c r="M52" s="5843" t="n"/>
      <c r="N52" s="6103" t="n"/>
      <c r="O52" s="6300" t="n"/>
      <c r="P52" s="6103" t="n"/>
      <c r="Q52" s="6300" t="n"/>
      <c r="R52" s="6103" t="n"/>
      <c r="S52" s="6300" t="n"/>
      <c r="T52" s="6103" t="n"/>
      <c r="U52" s="6300" t="n"/>
      <c r="V52" s="6103" t="n"/>
      <c r="W52" s="6300" t="n"/>
      <c r="X52" s="6103" t="n"/>
      <c r="Y52" s="6300" t="n"/>
      <c r="Z52" s="6103" t="n"/>
      <c r="AA52" s="6300" t="n"/>
      <c r="AB52" s="6103" t="n"/>
      <c r="AC52" s="6300" t="n"/>
      <c r="AD52" s="6103" t="n"/>
      <c r="AE52" s="6300" t="n"/>
      <c r="AF52" s="6103" t="n"/>
      <c r="AG52" s="6300" t="n"/>
      <c r="AH52" s="6103" t="n"/>
      <c r="AI52" s="6300" t="n"/>
      <c r="AJ52" s="6103" t="n"/>
      <c r="AK52" s="6300" t="n"/>
      <c r="AL52" s="6105" t="n"/>
      <c r="AM52" s="6372" t="n"/>
      <c r="AN52" s="5945" t="n"/>
      <c r="AO52" s="5895" t="n"/>
      <c r="AP52" s="6377">
        <f>CA52&amp;CB52</f>
        <v/>
      </c>
      <c r="AQ52" s="6275" t="n"/>
      <c r="AR52" s="6275" t="n"/>
      <c r="AS52" s="6275" t="n"/>
      <c r="AT52" s="6275" t="n"/>
      <c r="AU52" s="6275" t="n"/>
      <c r="AV52" s="6275" t="n"/>
      <c r="AW52" s="6275" t="n"/>
      <c r="AX52" s="6275" t="n"/>
      <c r="AY52" s="6275" t="n"/>
      <c r="AZ52" s="6275" t="n"/>
      <c r="BA52" s="5555" t="n"/>
      <c r="BB52" s="5555" t="n"/>
      <c r="BC52" s="5555" t="n"/>
      <c r="BD52" s="5555" t="n"/>
      <c r="BE52" s="5555" t="n"/>
      <c r="BF52" s="5555" t="n"/>
      <c r="BG52" s="5555" t="n"/>
      <c r="BH52" s="5555" t="n"/>
      <c r="BI52" s="5555" t="n"/>
      <c r="BJ52" s="5555" t="n"/>
      <c r="BV52" s="5554" t="n"/>
      <c r="BX52" s="5555" t="n"/>
      <c r="BZ52" s="6245" t="n"/>
      <c r="CA52" s="6276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/>
      </c>
      <c r="CN52" s="6277">
        <f>IF(AND($B52&gt;0,AN52=""),1,IF(B52&gt;$AN52,1,0))</f>
        <v/>
      </c>
    </row>
    <row r="53" ht="15" customHeight="1" s="8286">
      <c r="A53" s="7199" t="inlineStr">
        <is>
          <t>Matrona /ón</t>
        </is>
      </c>
      <c r="B53" s="1546">
        <f>SUM(C53+D53)</f>
        <v/>
      </c>
      <c r="C53" s="6299">
        <f>SUM(E53+G53+I53+K53+M53+O53+Q53+S53+U53+W53+Y53+AA53+AC53+AE53+AG53+AI53+AK53)</f>
        <v/>
      </c>
      <c r="D53" s="1548">
        <f>SUM(F53+H53+J53+L53+N53+P53+R53+T53+V53+X53+Z53+AB53+AD53+AF53+AH53+AJ53+AL53)</f>
        <v/>
      </c>
      <c r="E53" s="5843" t="n"/>
      <c r="F53" s="6014" t="n"/>
      <c r="G53" s="5843" t="n"/>
      <c r="H53" s="6014" t="n"/>
      <c r="I53" s="5843" t="n"/>
      <c r="J53" s="6103" t="n"/>
      <c r="K53" s="5843" t="n"/>
      <c r="L53" s="6103" t="n"/>
      <c r="M53" s="5843" t="n"/>
      <c r="N53" s="6103" t="n"/>
      <c r="O53" s="6300" t="n"/>
      <c r="P53" s="6103" t="n"/>
      <c r="Q53" s="6300" t="n"/>
      <c r="R53" s="6103" t="n"/>
      <c r="S53" s="6300" t="n"/>
      <c r="T53" s="6103" t="n"/>
      <c r="U53" s="6300" t="n"/>
      <c r="V53" s="6103" t="n"/>
      <c r="W53" s="6300" t="n"/>
      <c r="X53" s="6103" t="n"/>
      <c r="Y53" s="6300" t="n"/>
      <c r="Z53" s="6103" t="n"/>
      <c r="AA53" s="6300" t="n"/>
      <c r="AB53" s="6103" t="n"/>
      <c r="AC53" s="6300" t="n"/>
      <c r="AD53" s="6103" t="n"/>
      <c r="AE53" s="6300" t="n"/>
      <c r="AF53" s="6103" t="n"/>
      <c r="AG53" s="6300" t="n"/>
      <c r="AH53" s="6103" t="n"/>
      <c r="AI53" s="6300" t="n"/>
      <c r="AJ53" s="6103" t="n"/>
      <c r="AK53" s="6300" t="n"/>
      <c r="AL53" s="6105" t="n"/>
      <c r="AM53" s="6372" t="n"/>
      <c r="AN53" s="5945" t="n"/>
      <c r="AO53" s="5895" t="n"/>
      <c r="AP53" s="6377">
        <f>CA53&amp;CB53</f>
        <v/>
      </c>
      <c r="AQ53" s="6275" t="n"/>
      <c r="AR53" s="6275" t="n"/>
      <c r="AS53" s="6275" t="n"/>
      <c r="AT53" s="6275" t="n"/>
      <c r="AU53" s="6275" t="n"/>
      <c r="AV53" s="6275" t="n"/>
      <c r="AW53" s="6275" t="n"/>
      <c r="AX53" s="6275" t="n"/>
      <c r="AY53" s="6275" t="n"/>
      <c r="AZ53" s="6275" t="n"/>
      <c r="BA53" s="5555" t="n"/>
      <c r="BB53" s="5555" t="n"/>
      <c r="BC53" s="5555" t="n"/>
      <c r="BD53" s="5555" t="n"/>
      <c r="BE53" s="5555" t="n"/>
      <c r="BF53" s="5555" t="n"/>
      <c r="BG53" s="5555" t="n"/>
      <c r="BH53" s="5555" t="n"/>
      <c r="BI53" s="5555" t="n"/>
      <c r="BJ53" s="5555" t="n"/>
      <c r="BV53" s="5554" t="n"/>
      <c r="BX53" s="5555" t="n"/>
      <c r="BZ53" s="6245" t="n"/>
      <c r="CA53" s="6322" t="n"/>
      <c r="CB53" s="6322" t="n"/>
      <c r="CM53" s="6277" t="n"/>
      <c r="CN53" s="6277" t="n"/>
    </row>
    <row r="54" ht="15" customHeight="1" s="8286">
      <c r="A54" s="7199" t="inlineStr">
        <is>
          <t>Kinesiólogo/a</t>
        </is>
      </c>
      <c r="B54" s="1546">
        <f>SUM(C54+D54)</f>
        <v/>
      </c>
      <c r="C54" s="6299">
        <f>SUM(E54+G54+I54+K54+M54+O54+Q54+S54+U54+W54+Y54+AA54+AC54+AE54+AG54+AI54+AK54)</f>
        <v/>
      </c>
      <c r="D54" s="1548">
        <f>SUM(F54+H54+J54+L54+N54+P54+R54+T54+V54+X54+Z54+AB54+AD54+AF54+AH54+AJ54+AL54)</f>
        <v/>
      </c>
      <c r="E54" s="5826" t="n"/>
      <c r="F54" s="5827" t="n"/>
      <c r="G54" s="5826" t="n"/>
      <c r="H54" s="5827" t="n"/>
      <c r="I54" s="5826" t="n"/>
      <c r="J54" s="5828" t="n"/>
      <c r="K54" s="5826" t="n"/>
      <c r="L54" s="5828" t="n"/>
      <c r="M54" s="5826" t="n"/>
      <c r="N54" s="5828" t="n"/>
      <c r="O54" s="5836" t="n"/>
      <c r="P54" s="5828" t="n"/>
      <c r="Q54" s="5836" t="n"/>
      <c r="R54" s="5828" t="n"/>
      <c r="S54" s="5836" t="n"/>
      <c r="T54" s="5828" t="n"/>
      <c r="U54" s="5836" t="n"/>
      <c r="V54" s="5828" t="n"/>
      <c r="W54" s="5836" t="n"/>
      <c r="X54" s="5828" t="n"/>
      <c r="Y54" s="5836" t="n"/>
      <c r="Z54" s="5828" t="n"/>
      <c r="AA54" s="5836" t="n"/>
      <c r="AB54" s="5828" t="n"/>
      <c r="AC54" s="5836" t="n"/>
      <c r="AD54" s="5828" t="n"/>
      <c r="AE54" s="5836" t="n"/>
      <c r="AF54" s="5828" t="n"/>
      <c r="AG54" s="5836" t="n"/>
      <c r="AH54" s="5828" t="n"/>
      <c r="AI54" s="5836" t="n"/>
      <c r="AJ54" s="5828" t="n"/>
      <c r="AK54" s="5836" t="n"/>
      <c r="AL54" s="5837" t="n"/>
      <c r="AM54" s="6374" t="n"/>
      <c r="AN54" s="6163" t="n"/>
      <c r="AO54" s="5895" t="n"/>
      <c r="AP54" s="6377">
        <f>CA54&amp;CB54</f>
        <v/>
      </c>
      <c r="AQ54" s="6275" t="n"/>
      <c r="AR54" s="6275" t="n"/>
      <c r="AS54" s="6275" t="n"/>
      <c r="AT54" s="6275" t="n"/>
      <c r="AU54" s="6275" t="n"/>
      <c r="AV54" s="6275" t="n"/>
      <c r="AW54" s="6275" t="n"/>
      <c r="AX54" s="6275" t="n"/>
      <c r="AY54" s="6275" t="n"/>
      <c r="AZ54" s="6275" t="n"/>
      <c r="BA54" s="5555" t="n"/>
      <c r="BB54" s="5555" t="n"/>
      <c r="BC54" s="5555" t="n"/>
      <c r="BD54" s="5555" t="n"/>
      <c r="BE54" s="5555" t="n"/>
      <c r="BF54" s="5555" t="n"/>
      <c r="BG54" s="5555" t="n"/>
      <c r="BH54" s="5555" t="n"/>
      <c r="BI54" s="5555" t="n"/>
      <c r="BJ54" s="5555" t="n"/>
      <c r="BV54" s="5554" t="n"/>
      <c r="BX54" s="5555" t="n"/>
      <c r="BZ54" s="6245" t="n"/>
      <c r="CA54" s="6276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/>
      </c>
      <c r="CN54" s="6277">
        <f>IF(AND($B54&gt;0,AN54=""),1,IF(B54&gt;$AN54,1,0))</f>
        <v/>
      </c>
    </row>
    <row r="55" ht="15" customHeight="1" s="8286">
      <c r="A55" s="7199" t="inlineStr">
        <is>
          <t>Técnico en Enfermería</t>
        </is>
      </c>
      <c r="B55" s="1546">
        <f>SUM(C55+D55)</f>
        <v/>
      </c>
      <c r="C55" s="6299">
        <f>SUM(E55+G55+I55+K55+M55+O55+Q55+S55+U55+W55+Y55+AA55+AC55+AE55+AG55+AI55+AK55)</f>
        <v/>
      </c>
      <c r="D55" s="1548">
        <f>SUM(F55+H55+J55+L55+N55+P55+R55+T55+V55+X55+Z55+AB55+AD55+AF55+AH55+AJ55+AL55)</f>
        <v/>
      </c>
      <c r="E55" s="5826" t="n"/>
      <c r="F55" s="5827" t="n"/>
      <c r="G55" s="5826" t="n"/>
      <c r="H55" s="5827" t="n"/>
      <c r="I55" s="5826" t="n"/>
      <c r="J55" s="5828" t="n"/>
      <c r="K55" s="5826" t="n"/>
      <c r="L55" s="5828" t="n"/>
      <c r="M55" s="5826" t="n"/>
      <c r="N55" s="5828" t="n"/>
      <c r="O55" s="5836" t="n"/>
      <c r="P55" s="5828" t="n"/>
      <c r="Q55" s="5836" t="n"/>
      <c r="R55" s="5828" t="n"/>
      <c r="S55" s="5836" t="n"/>
      <c r="T55" s="5828" t="n"/>
      <c r="U55" s="5836" t="n"/>
      <c r="V55" s="5828" t="n"/>
      <c r="W55" s="5836" t="n"/>
      <c r="X55" s="5828" t="n"/>
      <c r="Y55" s="5836" t="n"/>
      <c r="Z55" s="5828" t="n"/>
      <c r="AA55" s="5836" t="n"/>
      <c r="AB55" s="5828" t="n"/>
      <c r="AC55" s="5836" t="n"/>
      <c r="AD55" s="5828" t="n"/>
      <c r="AE55" s="5836" t="n"/>
      <c r="AF55" s="5828" t="n"/>
      <c r="AG55" s="5836" t="n"/>
      <c r="AH55" s="5828" t="n"/>
      <c r="AI55" s="5836" t="n"/>
      <c r="AJ55" s="5828" t="n"/>
      <c r="AK55" s="5836" t="n"/>
      <c r="AL55" s="5837" t="n"/>
      <c r="AM55" s="6374" t="n"/>
      <c r="AN55" s="6163" t="n"/>
      <c r="AO55" s="5895" t="n"/>
      <c r="AP55" s="6377">
        <f>CA55&amp;CB55</f>
        <v/>
      </c>
      <c r="AQ55" s="6275" t="n"/>
      <c r="AR55" s="6275" t="n"/>
      <c r="AS55" s="6275" t="n"/>
      <c r="AT55" s="6275" t="n"/>
      <c r="AU55" s="6275" t="n"/>
      <c r="AV55" s="6275" t="n"/>
      <c r="AW55" s="6275" t="n"/>
      <c r="AX55" s="6275" t="n"/>
      <c r="AY55" s="6275" t="n"/>
      <c r="AZ55" s="6275" t="n"/>
      <c r="BA55" s="5555" t="n"/>
      <c r="BB55" s="5555" t="n"/>
      <c r="BC55" s="5555" t="n"/>
      <c r="BD55" s="5555" t="n"/>
      <c r="BE55" s="5555" t="n"/>
      <c r="BF55" s="5555" t="n"/>
      <c r="BG55" s="5555" t="n"/>
      <c r="BH55" s="5555" t="n"/>
      <c r="BI55" s="5555" t="n"/>
      <c r="BJ55" s="5555" t="n"/>
      <c r="BV55" s="5554" t="n"/>
      <c r="BX55" s="5555" t="n"/>
      <c r="BZ55" s="6245" t="n"/>
      <c r="CA55" s="6276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/>
      </c>
      <c r="CN55" s="6277">
        <f>IF(AND($B55&gt;0,AN55=""),1,IF(B55&gt;$AN55,1,0))</f>
        <v/>
      </c>
    </row>
    <row r="56" ht="15" customHeight="1" s="8286">
      <c r="A56" s="7469" t="inlineStr">
        <is>
          <t>Otros Profesionales</t>
        </is>
      </c>
      <c r="B56" s="1514">
        <f>SUM(C56+D56)</f>
        <v/>
      </c>
      <c r="C56" s="1549">
        <f>SUM(E56+G56+I56+K56+M56+O56+Q56+S56+U56+W56+Y56+AA56+AC56+AE56+AG56+AI56+AK56)</f>
        <v/>
      </c>
      <c r="D56" s="1516">
        <f>SUM(F56+H56+J56+L56+N56+P56+R56+T56+V56+X56+Z56+AB56+AD56+AF56+AH56+AJ56+AL56)</f>
        <v/>
      </c>
      <c r="E56" s="5866" t="n"/>
      <c r="F56" s="5867" t="n"/>
      <c r="G56" s="5866" t="n"/>
      <c r="H56" s="5867" t="n"/>
      <c r="I56" s="5866" t="n"/>
      <c r="J56" s="5865" t="n"/>
      <c r="K56" s="5866" t="n"/>
      <c r="L56" s="5865" t="n"/>
      <c r="M56" s="5866" t="n"/>
      <c r="N56" s="5865" t="n"/>
      <c r="O56" s="5869" t="n"/>
      <c r="P56" s="5865" t="n"/>
      <c r="Q56" s="5869" t="n"/>
      <c r="R56" s="5865" t="n"/>
      <c r="S56" s="5869" t="n"/>
      <c r="T56" s="5865" t="n"/>
      <c r="U56" s="5869" t="n"/>
      <c r="V56" s="5865" t="n"/>
      <c r="W56" s="5869" t="n"/>
      <c r="X56" s="5865" t="n"/>
      <c r="Y56" s="5869" t="n"/>
      <c r="Z56" s="5865" t="n"/>
      <c r="AA56" s="5869" t="n"/>
      <c r="AB56" s="5865" t="n"/>
      <c r="AC56" s="5869" t="n"/>
      <c r="AD56" s="5865" t="n"/>
      <c r="AE56" s="5869" t="n"/>
      <c r="AF56" s="5865" t="n"/>
      <c r="AG56" s="5869" t="n"/>
      <c r="AH56" s="5865" t="n"/>
      <c r="AI56" s="5869" t="n"/>
      <c r="AJ56" s="5865" t="n"/>
      <c r="AK56" s="5869" t="n"/>
      <c r="AL56" s="5870" t="n"/>
      <c r="AM56" s="6375" t="n"/>
      <c r="AN56" s="5954" t="n"/>
      <c r="AO56" s="6360" t="n"/>
      <c r="AP56" s="6377">
        <f>CA56&amp;CB56</f>
        <v/>
      </c>
      <c r="AQ56" s="6275" t="n"/>
      <c r="AR56" s="6275" t="n"/>
      <c r="AS56" s="6275" t="n"/>
      <c r="AT56" s="6275" t="n"/>
      <c r="AU56" s="6275" t="n"/>
      <c r="AV56" s="6275" t="n"/>
      <c r="AW56" s="6275" t="n"/>
      <c r="AX56" s="6275" t="n"/>
      <c r="AY56" s="6275" t="n"/>
      <c r="AZ56" s="6275" t="n"/>
      <c r="BA56" s="5555" t="n"/>
      <c r="BB56" s="5555" t="n"/>
      <c r="BC56" s="5555" t="n"/>
      <c r="BD56" s="5555" t="n"/>
      <c r="BE56" s="5555" t="n"/>
      <c r="BF56" s="5555" t="n"/>
      <c r="BG56" s="5555" t="n"/>
      <c r="BH56" s="5555" t="n"/>
      <c r="BI56" s="5555" t="n"/>
      <c r="BJ56" s="5555" t="n"/>
      <c r="BV56" s="5554" t="n"/>
      <c r="BX56" s="5555" t="n"/>
      <c r="BZ56" s="6245" t="n"/>
      <c r="CA56" s="6276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/>
      </c>
      <c r="CN56" s="6277">
        <f>IF(AND($B56&gt;0,AN56=""),1,IF(B56&gt;$AN56,1,0))</f>
        <v/>
      </c>
    </row>
    <row r="57" ht="18" customFormat="1" customHeight="1" s="1076">
      <c r="A57" s="6380" t="inlineStr">
        <is>
          <t xml:space="preserve">SECCIÓN B: CATEGORIZACIÓN DE PACIENTES, PREVIA A LA ATENCIÓN MÉDICA U ODONTOLÓGICA (Establecimientos Alta, Mediana, Baja Complejidad, SAPU, SAR, SUR) </t>
        </is>
      </c>
      <c r="B57" s="6380" t="n"/>
      <c r="C57" s="6380" t="n"/>
      <c r="D57" s="6380" t="n"/>
      <c r="E57" s="6380" t="n"/>
      <c r="F57" s="6380" t="n"/>
      <c r="G57" s="6380" t="n"/>
      <c r="H57" s="6380" t="n"/>
      <c r="I57" s="6380" t="n"/>
      <c r="J57" s="6381" t="n"/>
      <c r="K57" s="6381" t="n"/>
      <c r="L57" s="6381" t="n"/>
      <c r="M57" s="6381" t="n"/>
      <c r="N57" s="6381" t="n"/>
      <c r="O57" s="6381" t="n"/>
      <c r="P57" s="6381" t="n"/>
      <c r="Q57" s="6381" t="n"/>
      <c r="R57" s="6381" t="n"/>
      <c r="S57" s="6381" t="n"/>
      <c r="T57" s="6381" t="n"/>
      <c r="U57" s="6381" t="n"/>
      <c r="V57" s="6381" t="n"/>
      <c r="W57" s="6381" t="n"/>
      <c r="X57" s="6381" t="n"/>
      <c r="Y57" s="6381" t="n"/>
      <c r="Z57" s="6381" t="n"/>
      <c r="AA57" s="6381" t="n"/>
      <c r="AB57" s="6381" t="n"/>
      <c r="AC57" s="6381" t="n"/>
      <c r="AD57" s="6381" t="n"/>
      <c r="AE57" s="6381" t="n"/>
      <c r="AF57" s="6381" t="n"/>
      <c r="AG57" s="6381" t="n"/>
      <c r="AH57" s="6381" t="n"/>
      <c r="AI57" s="6381" t="n"/>
      <c r="AJ57" s="6381" t="n"/>
      <c r="AK57" s="6381" t="n"/>
      <c r="AL57" s="6381" t="n"/>
      <c r="AM57" s="6381" t="n"/>
      <c r="AN57" s="6381" t="n"/>
      <c r="AO57" s="6246" t="n"/>
      <c r="AP57" s="6246" t="n"/>
      <c r="AQ57" s="6246" t="n"/>
      <c r="AR57" s="6251" t="n"/>
      <c r="AS57" s="6251" t="n"/>
      <c r="AT57" s="6246" t="n"/>
      <c r="AU57" s="6246" t="n"/>
      <c r="AV57" s="6246" t="n"/>
      <c r="AW57" s="6246" t="n"/>
      <c r="AX57" s="6246" t="n"/>
      <c r="AY57" s="6246" t="n"/>
      <c r="AZ57" s="6246" t="n"/>
      <c r="BA57" s="6246" t="n"/>
      <c r="BB57" s="6246" t="n"/>
      <c r="BC57" s="6246" t="n"/>
      <c r="BD57" s="6246" t="n"/>
      <c r="BE57" s="6246" t="n"/>
      <c r="BF57" s="6246" t="n"/>
      <c r="BG57" s="6246" t="n"/>
      <c r="BH57" s="6246" t="n"/>
      <c r="BI57" s="6246" t="n"/>
      <c r="BJ57" s="6246" t="n"/>
      <c r="BK57" s="6246" t="n"/>
      <c r="BL57" s="6246" t="n"/>
      <c r="BM57" s="6246" t="n"/>
      <c r="BN57" s="6246" t="n"/>
      <c r="BO57" s="6246" t="n"/>
      <c r="BP57" s="6246" t="n"/>
      <c r="BQ57" s="6246" t="n"/>
      <c r="BR57" s="6246" t="n"/>
      <c r="BS57" s="6246" t="n"/>
      <c r="BT57" s="6246" t="n"/>
      <c r="BU57" s="6246" t="n"/>
      <c r="BV57" s="6251" t="n"/>
      <c r="BW57" s="6251" t="n"/>
      <c r="BX57" s="6251" t="n"/>
      <c r="BY57" s="6251" t="n"/>
    </row>
    <row r="58" ht="16.35" customHeight="1" s="8286">
      <c r="A58" s="9846" t="inlineStr">
        <is>
          <t>CATEGORÍAS</t>
        </is>
      </c>
      <c r="B58" s="10171" t="inlineStr">
        <is>
          <t>TOTAL</t>
        </is>
      </c>
      <c r="C58" s="9602" t="n"/>
      <c r="D58" s="9630" t="n"/>
      <c r="E58" s="10172" t="inlineStr">
        <is>
          <t>RANGO ETARIO Y SEXO</t>
        </is>
      </c>
      <c r="F58" s="9584" t="n"/>
      <c r="G58" s="9584" t="n"/>
      <c r="H58" s="9584" t="n"/>
      <c r="I58" s="9584" t="n"/>
      <c r="J58" s="9584" t="n"/>
      <c r="K58" s="9584" t="n"/>
      <c r="L58" s="9584" t="n"/>
      <c r="M58" s="9584" t="n"/>
      <c r="N58" s="9584" t="n"/>
      <c r="O58" s="9584" t="n"/>
      <c r="P58" s="9584" t="n"/>
      <c r="Q58" s="9584" t="n"/>
      <c r="R58" s="9584" t="n"/>
      <c r="S58" s="9584" t="n"/>
      <c r="T58" s="9584" t="n"/>
      <c r="U58" s="9584" t="n"/>
      <c r="V58" s="9584" t="n"/>
      <c r="W58" s="9584" t="n"/>
      <c r="X58" s="9584" t="n"/>
      <c r="Y58" s="9584" t="n"/>
      <c r="Z58" s="9584" t="n"/>
      <c r="AA58" s="9584" t="n"/>
      <c r="AB58" s="9584" t="n"/>
      <c r="AC58" s="9584" t="n"/>
      <c r="AD58" s="9584" t="n"/>
      <c r="AE58" s="9584" t="n"/>
      <c r="AF58" s="9584" t="n"/>
      <c r="AG58" s="9584" t="n"/>
      <c r="AH58" s="9584" t="n"/>
      <c r="AI58" s="9584" t="n"/>
      <c r="AJ58" s="9584" t="n"/>
      <c r="AK58" s="9584" t="n"/>
      <c r="AL58" s="9647" t="n"/>
      <c r="AM58" s="10173" t="inlineStr">
        <is>
          <t>Herramientas de Categorización</t>
        </is>
      </c>
      <c r="AN58" s="9630" t="n"/>
      <c r="AO58" s="6250" t="n"/>
      <c r="AP58" s="6250" t="n"/>
      <c r="AQ58" s="6250" t="n"/>
      <c r="AR58" s="6382" t="n"/>
      <c r="AS58" s="6382" t="n"/>
      <c r="AT58" s="6250" t="n"/>
      <c r="BX58" s="5555" t="n"/>
      <c r="BY58" s="5555" t="n"/>
    </row>
    <row r="59" ht="16.35" customHeight="1" s="8286">
      <c r="B59" s="9638" t="n"/>
      <c r="C59" s="9697" t="n"/>
      <c r="D59" s="9639" t="n"/>
      <c r="E59" s="9624" t="inlineStr">
        <is>
          <t>0 - 4 años</t>
        </is>
      </c>
      <c r="F59" s="9647" t="n"/>
      <c r="G59" s="9624" t="inlineStr">
        <is>
          <t>5 - 9 años</t>
        </is>
      </c>
      <c r="H59" s="9647" t="n"/>
      <c r="I59" s="9624" t="inlineStr">
        <is>
          <t>10 - 14 años</t>
        </is>
      </c>
      <c r="J59" s="9647" t="n"/>
      <c r="K59" s="9624" t="inlineStr">
        <is>
          <t>15 - 19 años</t>
        </is>
      </c>
      <c r="L59" s="9647" t="n"/>
      <c r="M59" s="9624" t="inlineStr">
        <is>
          <t>20 - 24 años</t>
        </is>
      </c>
      <c r="N59" s="9647" t="n"/>
      <c r="O59" s="9874" t="inlineStr">
        <is>
          <t>25 - 29 años</t>
        </is>
      </c>
      <c r="P59" s="9647" t="n"/>
      <c r="Q59" s="9874" t="inlineStr">
        <is>
          <t>30 - 34 años</t>
        </is>
      </c>
      <c r="R59" s="9647" t="n"/>
      <c r="S59" s="9874" t="inlineStr">
        <is>
          <t>35 - 39 años</t>
        </is>
      </c>
      <c r="T59" s="9647" t="n"/>
      <c r="U59" s="9874" t="inlineStr">
        <is>
          <t>40 - 44 años</t>
        </is>
      </c>
      <c r="V59" s="9647" t="n"/>
      <c r="W59" s="9874" t="inlineStr">
        <is>
          <t>45 - 49 años</t>
        </is>
      </c>
      <c r="X59" s="9647" t="n"/>
      <c r="Y59" s="9874" t="inlineStr">
        <is>
          <t>50 - 54 años</t>
        </is>
      </c>
      <c r="Z59" s="9647" t="n"/>
      <c r="AA59" s="9874" t="inlineStr">
        <is>
          <t>55 - 59 años</t>
        </is>
      </c>
      <c r="AB59" s="9647" t="n"/>
      <c r="AC59" s="9874" t="inlineStr">
        <is>
          <t>60 - 64 años</t>
        </is>
      </c>
      <c r="AD59" s="9647" t="n"/>
      <c r="AE59" s="9874" t="inlineStr">
        <is>
          <t>65 - 69 años</t>
        </is>
      </c>
      <c r="AF59" s="9647" t="n"/>
      <c r="AG59" s="9874" t="inlineStr">
        <is>
          <t>70 - 74 años</t>
        </is>
      </c>
      <c r="AH59" s="9647" t="n"/>
      <c r="AI59" s="9874" t="inlineStr">
        <is>
          <t>75 - 79 años</t>
        </is>
      </c>
      <c r="AJ59" s="9647" t="n"/>
      <c r="AK59" s="9874" t="inlineStr">
        <is>
          <t>80 y más años</t>
        </is>
      </c>
      <c r="AL59" s="9647" t="n"/>
      <c r="AM59" s="9697" t="n"/>
      <c r="AN59" s="9639" t="n"/>
      <c r="AO59" s="6382" t="n"/>
      <c r="AP59" s="6382" t="n"/>
      <c r="AQ59" s="6382" t="n"/>
      <c r="AR59" s="6382" t="n"/>
      <c r="AS59" s="6382" t="n"/>
      <c r="AT59" s="6382" t="n"/>
      <c r="AU59" s="5555" t="n"/>
      <c r="AV59" s="5555" t="n"/>
      <c r="AW59" s="5555" t="n"/>
      <c r="AX59" s="5555" t="n"/>
      <c r="AY59" s="5555" t="n"/>
      <c r="AZ59" s="5555" t="n"/>
      <c r="BA59" s="5555" t="n"/>
      <c r="BB59" s="5555" t="n"/>
      <c r="BC59" s="5555" t="n"/>
      <c r="BX59" s="5555" t="n"/>
      <c r="BY59" s="5555" t="n"/>
    </row>
    <row r="60" ht="32.1" customHeight="1" s="8286">
      <c r="A60" s="9591" t="n"/>
      <c r="B60" s="8178" t="inlineStr">
        <is>
          <t>Ambos Sexos</t>
        </is>
      </c>
      <c r="C60" s="8171" t="inlineStr">
        <is>
          <t>Hombres</t>
        </is>
      </c>
      <c r="D60" s="8176" t="inlineStr">
        <is>
          <t>Mujeres</t>
        </is>
      </c>
      <c r="E60" s="6292" t="inlineStr">
        <is>
          <t>Hombres</t>
        </is>
      </c>
      <c r="F60" s="8176" t="inlineStr">
        <is>
          <t>Mujeres</t>
        </is>
      </c>
      <c r="G60" s="6292" t="inlineStr">
        <is>
          <t>Hombres</t>
        </is>
      </c>
      <c r="H60" s="8176" t="inlineStr">
        <is>
          <t>Mujeres</t>
        </is>
      </c>
      <c r="I60" s="6292" t="inlineStr">
        <is>
          <t>Hombres</t>
        </is>
      </c>
      <c r="J60" s="8176" t="inlineStr">
        <is>
          <t>Mujeres</t>
        </is>
      </c>
      <c r="K60" s="6292" t="inlineStr">
        <is>
          <t>Hombres</t>
        </is>
      </c>
      <c r="L60" s="8176" t="inlineStr">
        <is>
          <t>Mujeres</t>
        </is>
      </c>
      <c r="M60" s="6292" t="inlineStr">
        <is>
          <t>Hombres</t>
        </is>
      </c>
      <c r="N60" s="8176" t="inlineStr">
        <is>
          <t>Mujeres</t>
        </is>
      </c>
      <c r="O60" s="6292" t="inlineStr">
        <is>
          <t>Hombres</t>
        </is>
      </c>
      <c r="P60" s="8176" t="inlineStr">
        <is>
          <t>Mujeres</t>
        </is>
      </c>
      <c r="Q60" s="6292" t="inlineStr">
        <is>
          <t>Hombres</t>
        </is>
      </c>
      <c r="R60" s="8176" t="inlineStr">
        <is>
          <t>Mujeres</t>
        </is>
      </c>
      <c r="S60" s="6292" t="inlineStr">
        <is>
          <t>Hombres</t>
        </is>
      </c>
      <c r="T60" s="8176" t="inlineStr">
        <is>
          <t>Mujeres</t>
        </is>
      </c>
      <c r="U60" s="6292" t="inlineStr">
        <is>
          <t>Hombres</t>
        </is>
      </c>
      <c r="V60" s="8159" t="inlineStr">
        <is>
          <t>Mujeres</t>
        </is>
      </c>
      <c r="W60" s="6292" t="inlineStr">
        <is>
          <t>Hombres</t>
        </is>
      </c>
      <c r="X60" s="8176" t="inlineStr">
        <is>
          <t>Mujeres</t>
        </is>
      </c>
      <c r="Y60" s="6292" t="inlineStr">
        <is>
          <t>Hombres</t>
        </is>
      </c>
      <c r="Z60" s="8176" t="inlineStr">
        <is>
          <t>Mujeres</t>
        </is>
      </c>
      <c r="AA60" s="6292" t="inlineStr">
        <is>
          <t>Hombres</t>
        </is>
      </c>
      <c r="AB60" s="8176" t="inlineStr">
        <is>
          <t>Mujeres</t>
        </is>
      </c>
      <c r="AC60" s="6292" t="inlineStr">
        <is>
          <t>Hombres</t>
        </is>
      </c>
      <c r="AD60" s="8176" t="inlineStr">
        <is>
          <t>Mujeres</t>
        </is>
      </c>
      <c r="AE60" s="6292" t="inlineStr">
        <is>
          <t>Hombres</t>
        </is>
      </c>
      <c r="AF60" s="8176" t="inlineStr">
        <is>
          <t>Mujeres</t>
        </is>
      </c>
      <c r="AG60" s="6292" t="inlineStr">
        <is>
          <t>Hombres</t>
        </is>
      </c>
      <c r="AH60" s="8176" t="inlineStr">
        <is>
          <t>Mujeres</t>
        </is>
      </c>
      <c r="AI60" s="6292" t="inlineStr">
        <is>
          <t>Hombres</t>
        </is>
      </c>
      <c r="AJ60" s="8176" t="inlineStr">
        <is>
          <t>Mujeres</t>
        </is>
      </c>
      <c r="AK60" s="6292" t="inlineStr">
        <is>
          <t>Hombres</t>
        </is>
      </c>
      <c r="AL60" s="7616" t="inlineStr">
        <is>
          <t>Mujeres</t>
        </is>
      </c>
      <c r="AM60" s="6383" t="inlineStr">
        <is>
          <t>Discrecional</t>
        </is>
      </c>
      <c r="AN60" s="8176" t="inlineStr">
        <is>
          <t>Estructurado (ESI)</t>
        </is>
      </c>
      <c r="AO60" s="6382" t="n"/>
      <c r="AP60" s="6382" t="n"/>
      <c r="AQ60" s="6382" t="n"/>
      <c r="AR60" s="6382" t="n"/>
      <c r="AS60" s="6382" t="n"/>
      <c r="AT60" s="6382" t="n"/>
      <c r="AU60" s="5555" t="n"/>
      <c r="AV60" s="5555" t="n"/>
      <c r="AW60" s="5555" t="n"/>
      <c r="AX60" s="5555" t="n"/>
      <c r="AY60" s="5555" t="n"/>
      <c r="AZ60" s="5555" t="n"/>
      <c r="BA60" s="5555" t="n"/>
      <c r="BB60" s="5555" t="n"/>
      <c r="BC60" s="5555" t="n"/>
      <c r="BX60" s="5555" t="n"/>
      <c r="BY60" s="5555" t="n"/>
    </row>
    <row r="61" ht="15" customHeight="1" s="8286">
      <c r="A61" s="6384" t="inlineStr">
        <is>
          <t>C1</t>
        </is>
      </c>
      <c r="B61" s="6368">
        <f>SUM(C61+D61)</f>
        <v/>
      </c>
      <c r="C61" s="941">
        <f>SUM(E61+G61+I61+K61+M61+O61+Q61+S61+U61+W61+Y61+AA61+AC61+AE61+AG61+AI61+AK61)</f>
        <v/>
      </c>
      <c r="D61" s="6369">
        <f>SUM(F61+H61+J61+L61+N61+P61+R61+T61+V61+X61+Z61+AB61+AD61+AF61+AH61+AJ61+AL61)</f>
        <v/>
      </c>
      <c r="E61" s="6385" t="n"/>
      <c r="F61" s="6371" t="n"/>
      <c r="G61" s="6385" t="n"/>
      <c r="H61" s="6379" t="n"/>
      <c r="I61" s="6385" t="n"/>
      <c r="J61" s="6379" t="n"/>
      <c r="K61" s="6385" t="n"/>
      <c r="L61" s="6379" t="n"/>
      <c r="M61" s="6385" t="n"/>
      <c r="N61" s="6379" t="n"/>
      <c r="O61" s="6385" t="n"/>
      <c r="P61" s="6379" t="n"/>
      <c r="Q61" s="6385" t="n"/>
      <c r="R61" s="6379" t="n"/>
      <c r="S61" s="6385" t="n"/>
      <c r="T61" s="6379" t="n"/>
      <c r="U61" s="6385" t="n"/>
      <c r="V61" s="6386" t="n"/>
      <c r="W61" s="6385" t="n"/>
      <c r="X61" s="6379" t="n"/>
      <c r="Y61" s="6385" t="n"/>
      <c r="Z61" s="6379" t="n"/>
      <c r="AA61" s="6385" t="n"/>
      <c r="AB61" s="6379" t="n"/>
      <c r="AC61" s="6385" t="n"/>
      <c r="AD61" s="6379" t="n"/>
      <c r="AE61" s="6385" t="n"/>
      <c r="AF61" s="6379" t="n"/>
      <c r="AG61" s="6385" t="n"/>
      <c r="AH61" s="6379" t="n"/>
      <c r="AI61" s="6385" t="n"/>
      <c r="AJ61" s="6379" t="n"/>
      <c r="AK61" s="6387" t="n"/>
      <c r="AL61" s="5881" t="n"/>
      <c r="AM61" s="6388" t="n"/>
      <c r="AN61" s="6379" t="n"/>
      <c r="AO61" s="6377">
        <f>CA61&amp;CB61</f>
        <v/>
      </c>
      <c r="AP61" s="6275" t="n"/>
      <c r="AQ61" s="6275" t="n"/>
      <c r="AR61" s="6275" t="n"/>
      <c r="AS61" s="6275" t="n"/>
      <c r="AT61" s="6275" t="n"/>
      <c r="AU61" s="6275" t="n"/>
      <c r="AV61" s="6275" t="n"/>
      <c r="AW61" s="6275" t="n"/>
      <c r="AX61" s="6275" t="n"/>
      <c r="AY61" s="6275" t="n"/>
      <c r="AZ61" s="6275" t="n"/>
      <c r="BA61" s="5555" t="n"/>
      <c r="BB61" s="5555" t="n"/>
      <c r="BC61" s="5555" t="n"/>
      <c r="BX61" s="5555" t="n"/>
      <c r="BY61" s="5555" t="n"/>
      <c r="CA61" s="6276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/>
      </c>
      <c r="CN61" s="6277">
        <f>IF(AND($B61&gt;0,AN61=""),1,IF(AN61&gt;$B61,1,0))</f>
        <v/>
      </c>
    </row>
    <row r="62" ht="15" customHeight="1" s="8286">
      <c r="A62" s="6389" t="inlineStr">
        <is>
          <t>C2</t>
        </is>
      </c>
      <c r="B62" s="1546">
        <f>SUM(C62+D62)</f>
        <v/>
      </c>
      <c r="C62" s="6299">
        <f>SUM(E62+G62+I62+K62+M62+O62+Q62+S62+U62+W62+Y62+AA62+AC62+AE62+AG62+AI62+AK62)</f>
        <v/>
      </c>
      <c r="D62" s="1548">
        <f>SUM(F62+H62+J62+L62+N62+P62+R62+T62+V62+X62+Z62+AB62+AD62+AF62+AH62+AJ62+AL62)</f>
        <v/>
      </c>
      <c r="E62" s="5826" t="n"/>
      <c r="F62" s="5827" t="n"/>
      <c r="G62" s="5826" t="n"/>
      <c r="H62" s="5828" t="n"/>
      <c r="I62" s="5826" t="n"/>
      <c r="J62" s="5828" t="n"/>
      <c r="K62" s="5826" t="n"/>
      <c r="L62" s="5828" t="n"/>
      <c r="M62" s="5826" t="n"/>
      <c r="N62" s="5828" t="n"/>
      <c r="O62" s="5826" t="n"/>
      <c r="P62" s="5828" t="n"/>
      <c r="Q62" s="5826" t="n"/>
      <c r="R62" s="5828" t="n"/>
      <c r="S62" s="5826" t="n"/>
      <c r="T62" s="5828" t="n"/>
      <c r="U62" s="5826" t="n"/>
      <c r="V62" s="6390" t="n"/>
      <c r="W62" s="5826" t="n"/>
      <c r="X62" s="5828" t="n"/>
      <c r="Y62" s="5826" t="n"/>
      <c r="Z62" s="5828" t="n"/>
      <c r="AA62" s="5826" t="n"/>
      <c r="AB62" s="5828" t="n"/>
      <c r="AC62" s="5826" t="n"/>
      <c r="AD62" s="5828" t="n"/>
      <c r="AE62" s="5826" t="n"/>
      <c r="AF62" s="5828" t="n"/>
      <c r="AG62" s="5826" t="n"/>
      <c r="AH62" s="5828" t="n"/>
      <c r="AI62" s="5826" t="n"/>
      <c r="AJ62" s="5828" t="n"/>
      <c r="AK62" s="5836" t="n"/>
      <c r="AL62" s="5837" t="n"/>
      <c r="AM62" s="5891" t="n"/>
      <c r="AN62" s="5828" t="n"/>
      <c r="AO62" s="6377">
        <f>CA62&amp;CB62</f>
        <v/>
      </c>
      <c r="AP62" s="6275" t="n"/>
      <c r="AQ62" s="6275" t="n"/>
      <c r="AR62" s="6275" t="n"/>
      <c r="AS62" s="6275" t="n"/>
      <c r="AT62" s="6275" t="n"/>
      <c r="AU62" s="6275" t="n"/>
      <c r="AV62" s="6275" t="n"/>
      <c r="AW62" s="6275" t="n"/>
      <c r="AX62" s="6275" t="n"/>
      <c r="AY62" s="6275" t="n"/>
      <c r="AZ62" s="6275" t="n"/>
      <c r="BA62" s="5555" t="n"/>
      <c r="BB62" s="5555" t="n"/>
      <c r="BC62" s="5555" t="n"/>
      <c r="BX62" s="5555" t="n"/>
      <c r="BY62" s="5555" t="n"/>
      <c r="CA62" s="6276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>IF(AND($B62&gt;0,AM62=""),1,IF(AM62&gt;$B62,1,0))</f>
        <v/>
      </c>
      <c r="CN62" s="6277">
        <f>IF(AND($B62&gt;0,AN62=""),1,IF(AN62&gt;$B62,1,0))</f>
        <v/>
      </c>
    </row>
    <row r="63" ht="15" customHeight="1" s="8286">
      <c r="A63" s="6389" t="inlineStr">
        <is>
          <t>C3</t>
        </is>
      </c>
      <c r="B63" s="1546">
        <f>SUM(C63+D63)</f>
        <v/>
      </c>
      <c r="C63" s="6299">
        <f>SUM(E63+G63+I63+K63+M63+O63+Q63+S63+U63+W63+Y63+AA63+AC63+AE63+AG63+AI63+AK63)</f>
        <v/>
      </c>
      <c r="D63" s="1548">
        <f>SUM(F63+H63+J63+L63+N63+P63+R63+T63+V63+X63+Z63+AB63+AD63+AF63+AH63+AJ63+AL63)</f>
        <v/>
      </c>
      <c r="E63" s="5826" t="n"/>
      <c r="F63" s="5827" t="n"/>
      <c r="G63" s="5826" t="n"/>
      <c r="H63" s="5828" t="n"/>
      <c r="I63" s="5826" t="n"/>
      <c r="J63" s="5828" t="n"/>
      <c r="K63" s="5826" t="n"/>
      <c r="L63" s="5828" t="n"/>
      <c r="M63" s="5826" t="n"/>
      <c r="N63" s="5828" t="n"/>
      <c r="O63" s="5826" t="n"/>
      <c r="P63" s="5828" t="n"/>
      <c r="Q63" s="5826" t="n"/>
      <c r="R63" s="5828" t="n"/>
      <c r="S63" s="5826" t="n"/>
      <c r="T63" s="5828" t="n"/>
      <c r="U63" s="5826" t="n"/>
      <c r="V63" s="6390" t="n"/>
      <c r="W63" s="5826" t="n"/>
      <c r="X63" s="5828" t="n"/>
      <c r="Y63" s="5826" t="n"/>
      <c r="Z63" s="5828" t="n"/>
      <c r="AA63" s="5826" t="n"/>
      <c r="AB63" s="5828" t="n"/>
      <c r="AC63" s="5826" t="n"/>
      <c r="AD63" s="5828" t="n"/>
      <c r="AE63" s="5826" t="n"/>
      <c r="AF63" s="5828" t="n"/>
      <c r="AG63" s="5826" t="n"/>
      <c r="AH63" s="5828" t="n"/>
      <c r="AI63" s="5826" t="n"/>
      <c r="AJ63" s="5828" t="n"/>
      <c r="AK63" s="5836" t="n"/>
      <c r="AL63" s="5837" t="n"/>
      <c r="AM63" s="5891" t="n"/>
      <c r="AN63" s="5828" t="n"/>
      <c r="AO63" s="6377">
        <f>CA63&amp;CB63</f>
        <v/>
      </c>
      <c r="AP63" s="6275" t="n"/>
      <c r="AQ63" s="6275" t="n"/>
      <c r="AR63" s="6275" t="n"/>
      <c r="AS63" s="6275" t="n"/>
      <c r="AT63" s="6275" t="n"/>
      <c r="AU63" s="6275" t="n"/>
      <c r="AV63" s="6275" t="n"/>
      <c r="AW63" s="6275" t="n"/>
      <c r="AX63" s="6275" t="n"/>
      <c r="AY63" s="6275" t="n"/>
      <c r="AZ63" s="6275" t="n"/>
      <c r="BA63" s="5555" t="n"/>
      <c r="BB63" s="5555" t="n"/>
      <c r="BC63" s="5555" t="n"/>
      <c r="BX63" s="5555" t="n"/>
      <c r="BY63" s="5555" t="n"/>
      <c r="CA63" s="6276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>IF(AND($B63&gt;0,AM63=""),1,IF(AM63&gt;$B63,1,0))</f>
        <v/>
      </c>
      <c r="CN63" s="6277">
        <f>IF(AND($B63&gt;0,AN63=""),1,IF(AN63&gt;$B63,1,0))</f>
        <v/>
      </c>
    </row>
    <row r="64" ht="15" customHeight="1" s="8286">
      <c r="A64" s="6389" t="inlineStr">
        <is>
          <t>C4</t>
        </is>
      </c>
      <c r="B64" s="1546">
        <f>SUM(C64+D64)</f>
        <v/>
      </c>
      <c r="C64" s="6299">
        <f>SUM(E64+G64+I64+K64+M64+O64+Q64+S64+U64+W64+Y64+AA64+AC64+AE64+AG64+AI64+AK64)</f>
        <v/>
      </c>
      <c r="D64" s="1548">
        <f>SUM(F64+H64+J64+L64+N64+P64+R64+T64+V64+X64+Z64+AB64+AD64+AF64+AH64+AJ64+AL64)</f>
        <v/>
      </c>
      <c r="E64" s="5826" t="n"/>
      <c r="F64" s="5827" t="n"/>
      <c r="G64" s="5826" t="n"/>
      <c r="H64" s="5828" t="n"/>
      <c r="I64" s="5826" t="n"/>
      <c r="J64" s="5828" t="n"/>
      <c r="K64" s="5826" t="n"/>
      <c r="L64" s="5828" t="n"/>
      <c r="M64" s="5826" t="n"/>
      <c r="N64" s="5828" t="n"/>
      <c r="O64" s="5826" t="n"/>
      <c r="P64" s="5828" t="n"/>
      <c r="Q64" s="5826" t="n"/>
      <c r="R64" s="5828" t="n"/>
      <c r="S64" s="5826" t="n"/>
      <c r="T64" s="5828" t="n"/>
      <c r="U64" s="5826" t="n"/>
      <c r="V64" s="6390" t="n"/>
      <c r="W64" s="5826" t="n"/>
      <c r="X64" s="5828" t="n"/>
      <c r="Y64" s="5826" t="n"/>
      <c r="Z64" s="5828" t="n"/>
      <c r="AA64" s="5826" t="n"/>
      <c r="AB64" s="5828" t="n"/>
      <c r="AC64" s="5826" t="n"/>
      <c r="AD64" s="5828" t="n"/>
      <c r="AE64" s="5826" t="n"/>
      <c r="AF64" s="5828" t="n"/>
      <c r="AG64" s="5826" t="n"/>
      <c r="AH64" s="5828" t="n"/>
      <c r="AI64" s="5826" t="n"/>
      <c r="AJ64" s="5828" t="n"/>
      <c r="AK64" s="5836" t="n"/>
      <c r="AL64" s="5837" t="n"/>
      <c r="AM64" s="5891" t="n"/>
      <c r="AN64" s="5828" t="n"/>
      <c r="AO64" s="6377">
        <f>CA64&amp;CB64</f>
        <v/>
      </c>
      <c r="AP64" s="6275" t="n"/>
      <c r="AQ64" s="6275" t="n"/>
      <c r="AR64" s="6275" t="n"/>
      <c r="AS64" s="6275" t="n"/>
      <c r="AT64" s="6275" t="n"/>
      <c r="AU64" s="6275" t="n"/>
      <c r="AV64" s="6275" t="n"/>
      <c r="AW64" s="6275" t="n"/>
      <c r="AX64" s="6275" t="n"/>
      <c r="AY64" s="6275" t="n"/>
      <c r="AZ64" s="6275" t="n"/>
      <c r="BA64" s="5555" t="n"/>
      <c r="BB64" s="5555" t="n"/>
      <c r="BC64" s="5555" t="n"/>
      <c r="BX64" s="5555" t="n"/>
      <c r="BY64" s="5555" t="n"/>
      <c r="CA64" s="6276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>IF(AND($B64&gt;0,AM64=""),1,IF(AM64&gt;$B64,1,0))</f>
        <v/>
      </c>
      <c r="CN64" s="6277">
        <f>IF(AND($B64&gt;0,AN64=""),1,IF(AN64&gt;$B64,1,0))</f>
        <v/>
      </c>
    </row>
    <row r="65" ht="15" customHeight="1" s="8286">
      <c r="A65" s="6391" t="inlineStr">
        <is>
          <t>C5</t>
        </is>
      </c>
      <c r="B65" s="1569">
        <f>SUM(C65+D65)</f>
        <v/>
      </c>
      <c r="C65" s="1570">
        <f>SUM(E65+G65+I65+K65+M65+O65+Q65+S65+U65+W65+Y65+AA65+AC65+AE65+AG65+AI65+AK65)</f>
        <v/>
      </c>
      <c r="D65" s="1571">
        <f>SUM(F65+H65+J65+L65+N65+P65+R65+T65+V65+X65+Z65+AB65+AD65+AF65+AH65+AJ65+AL65)</f>
        <v/>
      </c>
      <c r="E65" s="5858" t="n"/>
      <c r="F65" s="5859" t="n"/>
      <c r="G65" s="5858" t="n"/>
      <c r="H65" s="5847" t="n"/>
      <c r="I65" s="5858" t="n"/>
      <c r="J65" s="5847" t="n"/>
      <c r="K65" s="5858" t="n"/>
      <c r="L65" s="5847" t="n"/>
      <c r="M65" s="5858" t="n"/>
      <c r="N65" s="5847" t="n"/>
      <c r="O65" s="5858" t="n"/>
      <c r="P65" s="5847" t="n"/>
      <c r="Q65" s="5858" t="n"/>
      <c r="R65" s="5847" t="n"/>
      <c r="S65" s="5858" t="n"/>
      <c r="T65" s="5847" t="n"/>
      <c r="U65" s="5858" t="n"/>
      <c r="V65" s="6392" t="n"/>
      <c r="W65" s="5858" t="n"/>
      <c r="X65" s="5847" t="n"/>
      <c r="Y65" s="5858" t="n"/>
      <c r="Z65" s="5847" t="n"/>
      <c r="AA65" s="5858" t="n"/>
      <c r="AB65" s="5847" t="n"/>
      <c r="AC65" s="5858" t="n"/>
      <c r="AD65" s="5847" t="n"/>
      <c r="AE65" s="5858" t="n"/>
      <c r="AF65" s="5847" t="n"/>
      <c r="AG65" s="5858" t="n"/>
      <c r="AH65" s="5847" t="n"/>
      <c r="AI65" s="5858" t="n"/>
      <c r="AJ65" s="5847" t="n"/>
      <c r="AK65" s="5860" t="n"/>
      <c r="AL65" s="5855" t="n"/>
      <c r="AM65" s="6165" t="n"/>
      <c r="AN65" s="5847" t="n"/>
      <c r="AO65" s="6377">
        <f>CA65&amp;CB65</f>
        <v/>
      </c>
      <c r="AP65" s="6275" t="n"/>
      <c r="AQ65" s="6275" t="n"/>
      <c r="AR65" s="6275" t="n"/>
      <c r="AS65" s="6275" t="n"/>
      <c r="AT65" s="6275" t="n"/>
      <c r="AU65" s="6275" t="n"/>
      <c r="AV65" s="6275" t="n"/>
      <c r="AW65" s="6275" t="n"/>
      <c r="AX65" s="6275" t="n"/>
      <c r="AY65" s="6275" t="n"/>
      <c r="AZ65" s="6275" t="n"/>
      <c r="BA65" s="5555" t="n"/>
      <c r="BB65" s="5555" t="n"/>
      <c r="BC65" s="5555" t="n"/>
      <c r="BX65" s="5555" t="n"/>
      <c r="BY65" s="5555" t="n"/>
      <c r="CA65" s="6276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>IF(AND($B65&gt;0,AM65=""),1,IF(AM65&gt;$B65,1,0))</f>
        <v/>
      </c>
      <c r="CN65" s="6277">
        <f>IF(AND($B65&gt;0,AN65=""),1,IF(AN65&gt;$B65,1,0))</f>
        <v/>
      </c>
    </row>
    <row r="66" ht="15" customHeight="1" s="8286">
      <c r="A66" s="6393" t="inlineStr">
        <is>
          <t>Sin Categorización</t>
        </is>
      </c>
      <c r="B66" s="1514">
        <f>SUM(C66+D66)</f>
        <v/>
      </c>
      <c r="C66" s="1549">
        <f>SUM(E66+G66+I66+K66+M66+O66+Q66+S66+U66+W66+Y66+AA66+AC66+AE66+AG66+AI66+AK66)</f>
        <v/>
      </c>
      <c r="D66" s="1516">
        <f>SUM(F66+H66+J66+L66+N66+P66+R66+T66+V66+X66+Z66+AB66+AD66+AF66+AH66+AJ66+AL66)</f>
        <v/>
      </c>
      <c r="E66" s="5866" t="n"/>
      <c r="F66" s="5867" t="n"/>
      <c r="G66" s="5866" t="n"/>
      <c r="H66" s="5865" t="n"/>
      <c r="I66" s="5866" t="n"/>
      <c r="J66" s="5865" t="n"/>
      <c r="K66" s="5866" t="n"/>
      <c r="L66" s="5865" t="n"/>
      <c r="M66" s="5866" t="n"/>
      <c r="N66" s="5865" t="n"/>
      <c r="O66" s="5866" t="n"/>
      <c r="P66" s="5865" t="n"/>
      <c r="Q66" s="5866" t="n"/>
      <c r="R66" s="5865" t="n"/>
      <c r="S66" s="5866" t="n"/>
      <c r="T66" s="5865" t="n"/>
      <c r="U66" s="5866" t="n"/>
      <c r="V66" s="6394" t="n"/>
      <c r="W66" s="5866" t="n"/>
      <c r="X66" s="5865" t="n"/>
      <c r="Y66" s="5866" t="n"/>
      <c r="Z66" s="5865" t="n"/>
      <c r="AA66" s="5866" t="n"/>
      <c r="AB66" s="5865" t="n"/>
      <c r="AC66" s="5866" t="n"/>
      <c r="AD66" s="5865" t="n"/>
      <c r="AE66" s="5866" t="n"/>
      <c r="AF66" s="5865" t="n"/>
      <c r="AG66" s="5866" t="n"/>
      <c r="AH66" s="5865" t="n"/>
      <c r="AI66" s="5866" t="n"/>
      <c r="AJ66" s="5865" t="n"/>
      <c r="AK66" s="5869" t="n"/>
      <c r="AL66" s="5870" t="n"/>
      <c r="AM66" s="6395" t="n"/>
      <c r="AN66" s="6396" t="n"/>
      <c r="AO66" s="6397" t="n"/>
      <c r="AP66" s="6275" t="n"/>
      <c r="AQ66" s="6275" t="n"/>
      <c r="AR66" s="6275" t="n"/>
      <c r="AS66" s="6275" t="n"/>
      <c r="AT66" s="6275" t="n"/>
      <c r="AU66" s="6275" t="n"/>
      <c r="AV66" s="6275" t="n"/>
      <c r="AW66" s="6275" t="n"/>
      <c r="AX66" s="6275" t="n"/>
      <c r="AY66" s="6275" t="n"/>
      <c r="AZ66" s="6275" t="n"/>
      <c r="BA66" s="5555" t="n"/>
      <c r="BB66" s="5555" t="n"/>
      <c r="BC66" s="5555" t="n"/>
      <c r="BX66" s="5555" t="n"/>
      <c r="BY66" s="5555" t="n"/>
      <c r="CA66" s="6346" t="n"/>
      <c r="CB66" s="6346" t="n"/>
      <c r="CC66" s="1076" t="n"/>
      <c r="CD66" s="1076" t="n"/>
      <c r="CE66" s="1076" t="n"/>
      <c r="CF66" s="1076" t="n"/>
      <c r="CG66" s="1076" t="n"/>
      <c r="CH66" s="1076" t="n"/>
      <c r="CI66" s="1076" t="n"/>
      <c r="CJ66" s="1076" t="n"/>
      <c r="CK66" s="1076" t="n"/>
      <c r="CL66" s="1076" t="n"/>
      <c r="CM66" s="6346" t="n"/>
      <c r="CN66" s="6346" t="n"/>
    </row>
    <row r="67" ht="15" customHeight="1" s="8286">
      <c r="A67" s="8157" t="inlineStr">
        <is>
          <t>TOTAL</t>
        </is>
      </c>
      <c r="B67" s="6398">
        <f>SUM(B61:B66)</f>
        <v/>
      </c>
      <c r="C67" s="6399">
        <f>SUM(C61:C66)</f>
        <v/>
      </c>
      <c r="D67" s="6400">
        <f>SUM(D61:D66)</f>
        <v/>
      </c>
      <c r="E67" s="6401">
        <f>SUM(E61:E66)</f>
        <v/>
      </c>
      <c r="F67" s="6402">
        <f>SUM(F61:F66)</f>
        <v/>
      </c>
      <c r="G67" s="6401">
        <f>SUM(G61:G66)</f>
        <v/>
      </c>
      <c r="H67" s="6403">
        <f>SUM(H61:H66)</f>
        <v/>
      </c>
      <c r="I67" s="6401">
        <f>SUM(I61:I66)</f>
        <v/>
      </c>
      <c r="J67" s="6403">
        <f>SUM(J61:J66)</f>
        <v/>
      </c>
      <c r="K67" s="6401">
        <f>SUM(K61:K66)</f>
        <v/>
      </c>
      <c r="L67" s="6403">
        <f>SUM(L61:L66)</f>
        <v/>
      </c>
      <c r="M67" s="6401">
        <f>SUM(M61:M66)</f>
        <v/>
      </c>
      <c r="N67" s="6403">
        <f>SUM(N61:N66)</f>
        <v/>
      </c>
      <c r="O67" s="6401">
        <f>SUM(O61:O66)</f>
        <v/>
      </c>
      <c r="P67" s="6403">
        <f>SUM(P61:P66)</f>
        <v/>
      </c>
      <c r="Q67" s="6401">
        <f>SUM(Q61:Q66)</f>
        <v/>
      </c>
      <c r="R67" s="6403">
        <f>SUM(R61:R66)</f>
        <v/>
      </c>
      <c r="S67" s="6401">
        <f>SUM(S61:S66)</f>
        <v/>
      </c>
      <c r="T67" s="6403">
        <f>SUM(T61:T66)</f>
        <v/>
      </c>
      <c r="U67" s="6404">
        <f>SUM(U61:U66)</f>
        <v/>
      </c>
      <c r="V67" s="6405">
        <f>SUM(V61:V66)</f>
        <v/>
      </c>
      <c r="W67" s="6401">
        <f>SUM(W61:W66)</f>
        <v/>
      </c>
      <c r="X67" s="6403">
        <f>SUM(X61:X66)</f>
        <v/>
      </c>
      <c r="Y67" s="6401">
        <f>SUM(Y61:Y66)</f>
        <v/>
      </c>
      <c r="Z67" s="6403">
        <f>SUM(Z61:Z66)</f>
        <v/>
      </c>
      <c r="AA67" s="6401">
        <f>SUM(AA61:AA66)</f>
        <v/>
      </c>
      <c r="AB67" s="6403">
        <f>SUM(AB61:AB66)</f>
        <v/>
      </c>
      <c r="AC67" s="6401">
        <f>SUM(AC61:AC66)</f>
        <v/>
      </c>
      <c r="AD67" s="6403">
        <f>SUM(AD61:AD66)</f>
        <v/>
      </c>
      <c r="AE67" s="6401">
        <f>SUM(AE61:AE66)</f>
        <v/>
      </c>
      <c r="AF67" s="6403">
        <f>SUM(AF61:AF66)</f>
        <v/>
      </c>
      <c r="AG67" s="6401">
        <f>SUM(AG61:AG66)</f>
        <v/>
      </c>
      <c r="AH67" s="6403">
        <f>SUM(AH61:AH66)</f>
        <v/>
      </c>
      <c r="AI67" s="6401">
        <f>SUM(AI61:AI66)</f>
        <v/>
      </c>
      <c r="AJ67" s="6403">
        <f>SUM(AJ61:AJ66)</f>
        <v/>
      </c>
      <c r="AK67" s="6406">
        <f>SUM(AK61:AK66)</f>
        <v/>
      </c>
      <c r="AL67" s="6407">
        <f>SUM(AL61:AL66)</f>
        <v/>
      </c>
      <c r="AM67" s="6408">
        <f>SUM(AM61:AM65)</f>
        <v/>
      </c>
      <c r="AN67" s="6403">
        <f>SUM(AN61:AN65)</f>
        <v/>
      </c>
      <c r="AO67" s="6382" t="n"/>
      <c r="AP67" s="6382" t="n"/>
      <c r="AQ67" s="6382" t="n"/>
      <c r="AR67" s="6382" t="n"/>
      <c r="AS67" s="6382" t="n"/>
      <c r="AT67" s="6382" t="n"/>
      <c r="AU67" s="6382" t="n"/>
      <c r="AV67" s="6382" t="n"/>
      <c r="AW67" s="6382" t="n"/>
      <c r="AX67" s="6382" t="n"/>
      <c r="AY67" s="6382" t="n"/>
      <c r="AZ67" s="6382" t="n"/>
      <c r="BA67" s="6382" t="n"/>
      <c r="BB67" s="6382" t="n"/>
      <c r="BC67" s="6382" t="n"/>
      <c r="BD67" s="6250" t="n"/>
      <c r="BE67" s="6250" t="n"/>
      <c r="BX67" s="5555" t="n"/>
      <c r="BY67" s="5555" t="n"/>
      <c r="CA67" s="939" t="n"/>
      <c r="CB67" s="939" t="n"/>
      <c r="CC67" s="1076" t="n"/>
      <c r="CD67" s="1076" t="n"/>
      <c r="CE67" s="1076" t="n"/>
      <c r="CF67" s="1076" t="n"/>
      <c r="CG67" s="1076" t="n"/>
      <c r="CH67" s="1076" t="n"/>
      <c r="CI67" s="1076" t="n"/>
      <c r="CJ67" s="1076" t="n"/>
      <c r="CK67" s="1076" t="n"/>
      <c r="CL67" s="1076" t="n"/>
      <c r="CM67" s="939" t="n"/>
      <c r="CN67" s="939" t="n"/>
    </row>
    <row r="68" ht="18" customFormat="1" customHeight="1" s="939">
      <c r="A68" s="6380" t="inlineStr">
        <is>
          <t xml:space="preserve">SECCIÓN B.1: CATEGORIZACIÓN DE PACIENTES DE URGENCIA GINECO OBSTÉTRICA PREVIO A LA ATENCIÓN CLÍNICA POR MATRÓN (A) Y/O MÉDICO GINECO-OBSTETRA (Establecimientos alta, mediana y baja complejidad) </t>
        </is>
      </c>
      <c r="B68" s="6380" t="n"/>
      <c r="C68" s="6380" t="n"/>
      <c r="D68" s="6380" t="n"/>
      <c r="E68" s="6380" t="n"/>
      <c r="F68" s="6380" t="n"/>
      <c r="G68" s="6380" t="n"/>
      <c r="H68" s="6380" t="n"/>
      <c r="I68" s="6380" t="n"/>
      <c r="J68" s="1018" t="n"/>
      <c r="K68" s="1018" t="n"/>
      <c r="L68" s="1018" t="n"/>
      <c r="M68" s="1018" t="n"/>
      <c r="N68" s="1018" t="n"/>
      <c r="O68" s="1018" t="n"/>
      <c r="P68" s="1018" t="n"/>
      <c r="Q68" s="1018" t="n"/>
      <c r="R68" s="1018" t="n"/>
      <c r="S68" s="1018" t="n"/>
      <c r="T68" s="1018" t="n"/>
      <c r="U68" s="1018" t="n"/>
      <c r="V68" s="1018" t="n"/>
      <c r="W68" s="1018" t="n"/>
      <c r="X68" s="1018" t="n"/>
      <c r="Y68" s="1018" t="n"/>
      <c r="Z68" s="1018" t="n"/>
      <c r="AA68" s="1018" t="n"/>
      <c r="AB68" s="1018" t="n"/>
      <c r="AC68" s="1018" t="n"/>
      <c r="AD68" s="1018" t="n"/>
      <c r="AE68" s="1018" t="n"/>
      <c r="AF68" s="1018" t="n"/>
      <c r="AG68" s="1018" t="n"/>
      <c r="AH68" s="1018" t="n"/>
      <c r="AI68" s="1018" t="n"/>
      <c r="AJ68" s="1018" t="n"/>
      <c r="AK68" s="1018" t="n"/>
      <c r="AL68" s="1018" t="n"/>
      <c r="AM68" s="1018" t="n"/>
      <c r="AN68" s="1018" t="n"/>
    </row>
    <row r="69" ht="15" customFormat="1" customHeight="1" s="622">
      <c r="A69" s="9846" t="inlineStr">
        <is>
          <t>CATEGORÍAS</t>
        </is>
      </c>
      <c r="B69" s="9866" t="inlineStr">
        <is>
          <t>TOTAL</t>
        </is>
      </c>
      <c r="C69" s="9602" t="n"/>
      <c r="D69" s="9630" t="n"/>
      <c r="E69" s="9874" t="inlineStr">
        <is>
          <t>RANGO ETARIO Y SEXO</t>
        </is>
      </c>
      <c r="F69" s="9584" t="n"/>
      <c r="G69" s="9584" t="n"/>
      <c r="H69" s="9584" t="n"/>
      <c r="I69" s="9584" t="n"/>
      <c r="J69" s="9584" t="n"/>
      <c r="K69" s="9584" t="n"/>
      <c r="L69" s="9584" t="n"/>
      <c r="M69" s="9584" t="n"/>
      <c r="N69" s="9584" t="n"/>
      <c r="O69" s="9584" t="n"/>
      <c r="P69" s="9584" t="n"/>
      <c r="Q69" s="9584" t="n"/>
      <c r="R69" s="9584" t="n"/>
      <c r="S69" s="9584" t="n"/>
      <c r="T69" s="9584" t="n"/>
      <c r="U69" s="9584" t="n"/>
      <c r="V69" s="9584" t="n"/>
      <c r="W69" s="9584" t="n"/>
      <c r="X69" s="9584" t="n"/>
      <c r="Y69" s="9584" t="n"/>
      <c r="Z69" s="9584" t="n"/>
      <c r="AA69" s="9584" t="n"/>
      <c r="AB69" s="9584" t="n"/>
      <c r="AC69" s="9584" t="n"/>
      <c r="AD69" s="9584" t="n"/>
      <c r="AE69" s="9584" t="n"/>
      <c r="AF69" s="9584" t="n"/>
      <c r="AG69" s="9584" t="n"/>
      <c r="AH69" s="9584" t="n"/>
      <c r="AI69" s="9584" t="n"/>
      <c r="AJ69" s="9584" t="n"/>
      <c r="AK69" s="9584" t="n"/>
      <c r="AL69" s="9647" t="n"/>
      <c r="CA69" s="939" t="n"/>
      <c r="CB69" s="939" t="n"/>
      <c r="CC69" s="939" t="n"/>
      <c r="CD69" s="939" t="n"/>
      <c r="CE69" s="939" t="n"/>
      <c r="CF69" s="939" t="n"/>
      <c r="CG69" s="939" t="n"/>
      <c r="CH69" s="939" t="n"/>
      <c r="CI69" s="939" t="n"/>
      <c r="CJ69" s="939" t="n"/>
      <c r="CK69" s="939" t="n"/>
      <c r="CL69" s="939" t="n"/>
      <c r="CM69" s="939" t="n"/>
      <c r="CN69" s="939" t="n"/>
      <c r="CO69" s="939" t="n"/>
      <c r="CP69" s="939" t="n"/>
      <c r="CQ69" s="939" t="n"/>
    </row>
    <row r="70" ht="15" customFormat="1" customHeight="1" s="622">
      <c r="B70" s="9638" t="n"/>
      <c r="C70" s="9697" t="n"/>
      <c r="D70" s="9639" t="n"/>
      <c r="E70" s="9624" t="inlineStr">
        <is>
          <t>0 - 4 años</t>
        </is>
      </c>
      <c r="F70" s="9647" t="n"/>
      <c r="G70" s="9624" t="inlineStr">
        <is>
          <t>5 - 9 años</t>
        </is>
      </c>
      <c r="H70" s="9647" t="n"/>
      <c r="I70" s="9624" t="inlineStr">
        <is>
          <t>10 - 14 años</t>
        </is>
      </c>
      <c r="J70" s="9647" t="n"/>
      <c r="K70" s="9624" t="inlineStr">
        <is>
          <t>15 - 19 años</t>
        </is>
      </c>
      <c r="L70" s="9647" t="n"/>
      <c r="M70" s="9624" t="inlineStr">
        <is>
          <t>20 - 24 años</t>
        </is>
      </c>
      <c r="N70" s="9647" t="n"/>
      <c r="O70" s="9874" t="inlineStr">
        <is>
          <t>25 - 29 años</t>
        </is>
      </c>
      <c r="P70" s="9647" t="n"/>
      <c r="Q70" s="9874" t="inlineStr">
        <is>
          <t>30 - 34 años</t>
        </is>
      </c>
      <c r="R70" s="9647" t="n"/>
      <c r="S70" s="9874" t="inlineStr">
        <is>
          <t>35 - 39 años</t>
        </is>
      </c>
      <c r="T70" s="9647" t="n"/>
      <c r="U70" s="9874" t="inlineStr">
        <is>
          <t>40 - 44 años</t>
        </is>
      </c>
      <c r="V70" s="9647" t="n"/>
      <c r="W70" s="9874" t="inlineStr">
        <is>
          <t>45 - 49 años</t>
        </is>
      </c>
      <c r="X70" s="9647" t="n"/>
      <c r="Y70" s="9874" t="inlineStr">
        <is>
          <t>50 - 54 años</t>
        </is>
      </c>
      <c r="Z70" s="9647" t="n"/>
      <c r="AA70" s="9874" t="inlineStr">
        <is>
          <t>55 - 59 años</t>
        </is>
      </c>
      <c r="AB70" s="9647" t="n"/>
      <c r="AC70" s="9874" t="inlineStr">
        <is>
          <t>60 - 64 años</t>
        </is>
      </c>
      <c r="AD70" s="9647" t="n"/>
      <c r="AE70" s="9874" t="inlineStr">
        <is>
          <t>65 - 69 años</t>
        </is>
      </c>
      <c r="AF70" s="9647" t="n"/>
      <c r="AG70" s="9874" t="inlineStr">
        <is>
          <t>70 - 74 años</t>
        </is>
      </c>
      <c r="AH70" s="9647" t="n"/>
      <c r="AI70" s="9874" t="inlineStr">
        <is>
          <t>75 - 79 años</t>
        </is>
      </c>
      <c r="AJ70" s="9647" t="n"/>
      <c r="AK70" s="9874" t="inlineStr">
        <is>
          <t>80 y más años</t>
        </is>
      </c>
      <c r="AL70" s="9647" t="n"/>
      <c r="CA70" s="939" t="n"/>
      <c r="CB70" s="939" t="n"/>
      <c r="CC70" s="939" t="n"/>
      <c r="CD70" s="939" t="n"/>
      <c r="CE70" s="939" t="n"/>
      <c r="CF70" s="939" t="n"/>
      <c r="CG70" s="939" t="n"/>
      <c r="CH70" s="939" t="n"/>
      <c r="CI70" s="939" t="n"/>
      <c r="CJ70" s="939" t="n"/>
      <c r="CK70" s="939" t="n"/>
      <c r="CL70" s="939" t="n"/>
      <c r="CM70" s="939" t="n"/>
      <c r="CN70" s="939" t="n"/>
      <c r="CO70" s="939" t="n"/>
      <c r="CP70" s="939" t="n"/>
      <c r="CQ70" s="939" t="n"/>
    </row>
    <row r="71" ht="15" customFormat="1" customHeight="1" s="622">
      <c r="A71" s="9591" t="n"/>
      <c r="B71" s="8178" t="inlineStr">
        <is>
          <t>Ambos Sexos</t>
        </is>
      </c>
      <c r="C71" s="8171" t="inlineStr">
        <is>
          <t>Hombres</t>
        </is>
      </c>
      <c r="D71" s="8176" t="inlineStr">
        <is>
          <t>Mujeres</t>
        </is>
      </c>
      <c r="E71" s="6292" t="inlineStr">
        <is>
          <t>Hombres</t>
        </is>
      </c>
      <c r="F71" s="8176" t="inlineStr">
        <is>
          <t>Mujeres</t>
        </is>
      </c>
      <c r="G71" s="6292" t="inlineStr">
        <is>
          <t>Hombres</t>
        </is>
      </c>
      <c r="H71" s="8176" t="inlineStr">
        <is>
          <t>Mujeres</t>
        </is>
      </c>
      <c r="I71" s="6292" t="inlineStr">
        <is>
          <t>Hombres</t>
        </is>
      </c>
      <c r="J71" s="8176" t="inlineStr">
        <is>
          <t>Mujeres</t>
        </is>
      </c>
      <c r="K71" s="6292" t="inlineStr">
        <is>
          <t>Hombres</t>
        </is>
      </c>
      <c r="L71" s="8176" t="inlineStr">
        <is>
          <t>Mujeres</t>
        </is>
      </c>
      <c r="M71" s="6292" t="inlineStr">
        <is>
          <t>Hombres</t>
        </is>
      </c>
      <c r="N71" s="8176" t="inlineStr">
        <is>
          <t>Mujeres</t>
        </is>
      </c>
      <c r="O71" s="6292" t="inlineStr">
        <is>
          <t>Hombres</t>
        </is>
      </c>
      <c r="P71" s="8176" t="inlineStr">
        <is>
          <t>Mujeres</t>
        </is>
      </c>
      <c r="Q71" s="6292" t="inlineStr">
        <is>
          <t>Hombres</t>
        </is>
      </c>
      <c r="R71" s="8176" t="inlineStr">
        <is>
          <t>Mujeres</t>
        </is>
      </c>
      <c r="S71" s="6292" t="inlineStr">
        <is>
          <t>Hombres</t>
        </is>
      </c>
      <c r="T71" s="8176" t="inlineStr">
        <is>
          <t>Mujeres</t>
        </is>
      </c>
      <c r="U71" s="6292" t="inlineStr">
        <is>
          <t>Hombres</t>
        </is>
      </c>
      <c r="V71" s="8159" t="inlineStr">
        <is>
          <t>Mujeres</t>
        </is>
      </c>
      <c r="W71" s="6292" t="inlineStr">
        <is>
          <t>Hombres</t>
        </is>
      </c>
      <c r="X71" s="8176" t="inlineStr">
        <is>
          <t>Mujeres</t>
        </is>
      </c>
      <c r="Y71" s="6292" t="inlineStr">
        <is>
          <t>Hombres</t>
        </is>
      </c>
      <c r="Z71" s="8176" t="inlineStr">
        <is>
          <t>Mujeres</t>
        </is>
      </c>
      <c r="AA71" s="6292" t="inlineStr">
        <is>
          <t>Hombres</t>
        </is>
      </c>
      <c r="AB71" s="8176" t="inlineStr">
        <is>
          <t>Mujeres</t>
        </is>
      </c>
      <c r="AC71" s="6292" t="inlineStr">
        <is>
          <t>Hombres</t>
        </is>
      </c>
      <c r="AD71" s="8176" t="inlineStr">
        <is>
          <t>Mujeres</t>
        </is>
      </c>
      <c r="AE71" s="6292" t="inlineStr">
        <is>
          <t>Hombres</t>
        </is>
      </c>
      <c r="AF71" s="8176" t="inlineStr">
        <is>
          <t>Mujeres</t>
        </is>
      </c>
      <c r="AG71" s="6292" t="inlineStr">
        <is>
          <t>Hombres</t>
        </is>
      </c>
      <c r="AH71" s="8176" t="inlineStr">
        <is>
          <t>Mujeres</t>
        </is>
      </c>
      <c r="AI71" s="6292" t="inlineStr">
        <is>
          <t>Hombres</t>
        </is>
      </c>
      <c r="AJ71" s="8176" t="inlineStr">
        <is>
          <t>Mujeres</t>
        </is>
      </c>
      <c r="AK71" s="6292" t="inlineStr">
        <is>
          <t>Hombres</t>
        </is>
      </c>
      <c r="AL71" s="8176" t="inlineStr">
        <is>
          <t>Mujeres</t>
        </is>
      </c>
      <c r="CA71" s="939" t="n"/>
      <c r="CB71" s="939" t="n"/>
      <c r="CC71" s="939" t="n"/>
      <c r="CD71" s="939" t="n"/>
      <c r="CE71" s="939" t="n"/>
      <c r="CF71" s="939" t="n"/>
      <c r="CG71" s="939" t="n"/>
      <c r="CH71" s="939" t="n"/>
      <c r="CI71" s="939" t="n"/>
      <c r="CJ71" s="939" t="n"/>
      <c r="CK71" s="939" t="n"/>
      <c r="CL71" s="939" t="n"/>
      <c r="CM71" s="939" t="n"/>
      <c r="CN71" s="939" t="n"/>
      <c r="CO71" s="939" t="n"/>
      <c r="CP71" s="939" t="n"/>
      <c r="CQ71" s="939" t="n"/>
    </row>
    <row r="72" ht="15" customFormat="1" customHeight="1" s="622">
      <c r="A72" s="6384" t="inlineStr">
        <is>
          <t>C1</t>
        </is>
      </c>
      <c r="B72" s="6368">
        <f>SUM(C72+D72)</f>
        <v/>
      </c>
      <c r="C72" s="941">
        <f>SUM(E72+G72+I72+K72+M72+O72+Q72+S72+U72+W72+Y72+AA72+AC72+AE72+AG72+AI72+AK72)</f>
        <v/>
      </c>
      <c r="D72" s="6369">
        <f>SUM(F72+H72+J72+L72+N72+P72+R72+T72+V72+X72+Z72+AB72+AD72+AF72+AH72+AJ72+AL72)</f>
        <v/>
      </c>
      <c r="E72" s="6385" t="n"/>
      <c r="F72" s="6371" t="n"/>
      <c r="G72" s="6385" t="n"/>
      <c r="H72" s="6379" t="n"/>
      <c r="I72" s="6385" t="n"/>
      <c r="J72" s="6379" t="n"/>
      <c r="K72" s="6385" t="n"/>
      <c r="L72" s="6379" t="n"/>
      <c r="M72" s="6385" t="n"/>
      <c r="N72" s="6379" t="n"/>
      <c r="O72" s="6385" t="n"/>
      <c r="P72" s="6379" t="n"/>
      <c r="Q72" s="6385" t="n"/>
      <c r="R72" s="6379" t="n"/>
      <c r="S72" s="6385" t="n"/>
      <c r="T72" s="6379" t="n"/>
      <c r="U72" s="6385" t="n"/>
      <c r="V72" s="6386" t="n"/>
      <c r="W72" s="6385" t="n"/>
      <c r="X72" s="6379" t="n"/>
      <c r="Y72" s="6385" t="n"/>
      <c r="Z72" s="6379" t="n"/>
      <c r="AA72" s="6385" t="n"/>
      <c r="AB72" s="6379" t="n"/>
      <c r="AC72" s="6385" t="n"/>
      <c r="AD72" s="6379" t="n"/>
      <c r="AE72" s="6385" t="n"/>
      <c r="AF72" s="6379" t="n"/>
      <c r="AG72" s="6385" t="n"/>
      <c r="AH72" s="6379" t="n"/>
      <c r="AI72" s="6385" t="n"/>
      <c r="AJ72" s="6379" t="n"/>
      <c r="AK72" s="6387" t="n"/>
      <c r="AL72" s="6379" t="n"/>
      <c r="CA72" s="939" t="n"/>
      <c r="CB72" s="939" t="n"/>
      <c r="CC72" s="939" t="n"/>
      <c r="CD72" s="939" t="n"/>
      <c r="CE72" s="939" t="n"/>
      <c r="CF72" s="939" t="n"/>
      <c r="CG72" s="939" t="n"/>
      <c r="CH72" s="939" t="n"/>
      <c r="CI72" s="939" t="n"/>
      <c r="CJ72" s="939" t="n"/>
      <c r="CK72" s="939" t="n"/>
      <c r="CL72" s="939" t="n"/>
      <c r="CM72" s="939" t="n"/>
      <c r="CN72" s="939" t="n"/>
      <c r="CO72" s="939" t="n"/>
      <c r="CP72" s="939" t="n"/>
      <c r="CQ72" s="939" t="n"/>
    </row>
    <row r="73" ht="15" customFormat="1" customHeight="1" s="622">
      <c r="A73" s="6389" t="inlineStr">
        <is>
          <t>C2</t>
        </is>
      </c>
      <c r="B73" s="1546">
        <f>SUM(C73+D73)</f>
        <v/>
      </c>
      <c r="C73" s="6299">
        <f>SUM(E73+G73+I73+K73+M73+O73+Q73+S73+U73+W73+Y73+AA73+AC73+AE73+AG73+AI73+AK73)</f>
        <v/>
      </c>
      <c r="D73" s="1548">
        <f>SUM(F73+H73+J73+L73+N73+P73+R73+T73+V73+X73+Z73+AB73+AD73+AF73+AH73+AJ73+AL73)</f>
        <v/>
      </c>
      <c r="E73" s="5826" t="n"/>
      <c r="F73" s="5827" t="n"/>
      <c r="G73" s="5826" t="n"/>
      <c r="H73" s="5828" t="n"/>
      <c r="I73" s="5826" t="n"/>
      <c r="J73" s="5828" t="n"/>
      <c r="K73" s="5826" t="n"/>
      <c r="L73" s="5828" t="n"/>
      <c r="M73" s="5826" t="n"/>
      <c r="N73" s="5828" t="n"/>
      <c r="O73" s="5826" t="n"/>
      <c r="P73" s="5828" t="n"/>
      <c r="Q73" s="5826" t="n"/>
      <c r="R73" s="5828" t="n"/>
      <c r="S73" s="5826" t="n"/>
      <c r="T73" s="5828" t="n"/>
      <c r="U73" s="5826" t="n"/>
      <c r="V73" s="6390" t="n"/>
      <c r="W73" s="5826" t="n"/>
      <c r="X73" s="5828" t="n"/>
      <c r="Y73" s="5826" t="n"/>
      <c r="Z73" s="5828" t="n"/>
      <c r="AA73" s="5826" t="n"/>
      <c r="AB73" s="5828" t="n"/>
      <c r="AC73" s="5826" t="n"/>
      <c r="AD73" s="5828" t="n"/>
      <c r="AE73" s="5826" t="n"/>
      <c r="AF73" s="5828" t="n"/>
      <c r="AG73" s="5826" t="n"/>
      <c r="AH73" s="5828" t="n"/>
      <c r="AI73" s="5826" t="n"/>
      <c r="AJ73" s="5828" t="n"/>
      <c r="AK73" s="5836" t="n"/>
      <c r="AL73" s="5828" t="n"/>
      <c r="CA73" s="939" t="n"/>
      <c r="CB73" s="939" t="n"/>
      <c r="CC73" s="939" t="n"/>
      <c r="CD73" s="939" t="n"/>
      <c r="CE73" s="939" t="n"/>
      <c r="CF73" s="939" t="n"/>
      <c r="CG73" s="939" t="n"/>
      <c r="CH73" s="939" t="n"/>
      <c r="CI73" s="939" t="n"/>
      <c r="CJ73" s="939" t="n"/>
      <c r="CK73" s="939" t="n"/>
      <c r="CL73" s="939" t="n"/>
      <c r="CM73" s="939" t="n"/>
      <c r="CN73" s="939" t="n"/>
      <c r="CO73" s="939" t="n"/>
      <c r="CP73" s="939" t="n"/>
      <c r="CQ73" s="939" t="n"/>
    </row>
    <row r="74" ht="15" customFormat="1" customHeight="1" s="622">
      <c r="A74" s="6389" t="inlineStr">
        <is>
          <t>C3</t>
        </is>
      </c>
      <c r="B74" s="1546">
        <f>SUM(C74+D74)</f>
        <v/>
      </c>
      <c r="C74" s="6299">
        <f>SUM(E74+G74+I74+K74+M74+O74+Q74+S74+U74+W74+Y74+AA74+AC74+AE74+AG74+AI74+AK74)</f>
        <v/>
      </c>
      <c r="D74" s="1548">
        <f>SUM(F74+H74+J74+L74+N74+P74+R74+T74+V74+X74+Z74+AB74+AD74+AF74+AH74+AJ74+AL74)</f>
        <v/>
      </c>
      <c r="E74" s="5826" t="n"/>
      <c r="F74" s="5827" t="n"/>
      <c r="G74" s="5826" t="n"/>
      <c r="H74" s="5828" t="n"/>
      <c r="I74" s="5826" t="n"/>
      <c r="J74" s="5828" t="n"/>
      <c r="K74" s="5826" t="n"/>
      <c r="L74" s="5828" t="n"/>
      <c r="M74" s="5826" t="n"/>
      <c r="N74" s="5828" t="n"/>
      <c r="O74" s="5826" t="n"/>
      <c r="P74" s="5828" t="n"/>
      <c r="Q74" s="5826" t="n"/>
      <c r="R74" s="5828" t="n"/>
      <c r="S74" s="5826" t="n"/>
      <c r="T74" s="5828" t="n"/>
      <c r="U74" s="5826" t="n"/>
      <c r="V74" s="6390" t="n"/>
      <c r="W74" s="5826" t="n"/>
      <c r="X74" s="5828" t="n"/>
      <c r="Y74" s="5826" t="n"/>
      <c r="Z74" s="5828" t="n"/>
      <c r="AA74" s="5826" t="n"/>
      <c r="AB74" s="5828" t="n"/>
      <c r="AC74" s="5826" t="n"/>
      <c r="AD74" s="5828" t="n"/>
      <c r="AE74" s="5826" t="n"/>
      <c r="AF74" s="5828" t="n"/>
      <c r="AG74" s="5826" t="n"/>
      <c r="AH74" s="5828" t="n"/>
      <c r="AI74" s="5826" t="n"/>
      <c r="AJ74" s="5828" t="n"/>
      <c r="AK74" s="5836" t="n"/>
      <c r="AL74" s="5828" t="n"/>
      <c r="CA74" s="939" t="n"/>
      <c r="CB74" s="939" t="n"/>
      <c r="CC74" s="939" t="n"/>
      <c r="CD74" s="939" t="n"/>
      <c r="CE74" s="939" t="n"/>
      <c r="CF74" s="939" t="n"/>
      <c r="CG74" s="939" t="n"/>
      <c r="CH74" s="939" t="n"/>
      <c r="CI74" s="939" t="n"/>
      <c r="CJ74" s="939" t="n"/>
      <c r="CK74" s="939" t="n"/>
      <c r="CL74" s="939" t="n"/>
      <c r="CM74" s="939" t="n"/>
      <c r="CN74" s="939" t="n"/>
      <c r="CO74" s="939" t="n"/>
      <c r="CP74" s="939" t="n"/>
      <c r="CQ74" s="939" t="n"/>
    </row>
    <row r="75" ht="15" customFormat="1" customHeight="1" s="622">
      <c r="A75" s="6389" t="inlineStr">
        <is>
          <t>C4</t>
        </is>
      </c>
      <c r="B75" s="1546">
        <f>SUM(C75+D75)</f>
        <v/>
      </c>
      <c r="C75" s="6299">
        <f>SUM(E75+G75+I75+K75+M75+O75+Q75+S75+U75+W75+Y75+AA75+AC75+AE75+AG75+AI75+AK75)</f>
        <v/>
      </c>
      <c r="D75" s="1548">
        <f>SUM(F75+H75+J75+L75+N75+P75+R75+T75+V75+X75+Z75+AB75+AD75+AF75+AH75+AJ75+AL75)</f>
        <v/>
      </c>
      <c r="E75" s="5826" t="n"/>
      <c r="F75" s="5827" t="n"/>
      <c r="G75" s="5826" t="n"/>
      <c r="H75" s="5828" t="n"/>
      <c r="I75" s="5826" t="n"/>
      <c r="J75" s="5828" t="n"/>
      <c r="K75" s="5826" t="n"/>
      <c r="L75" s="5828" t="n"/>
      <c r="M75" s="5826" t="n"/>
      <c r="N75" s="5828" t="n"/>
      <c r="O75" s="5826" t="n"/>
      <c r="P75" s="5828" t="n"/>
      <c r="Q75" s="5826" t="n"/>
      <c r="R75" s="5828" t="n"/>
      <c r="S75" s="5826" t="n"/>
      <c r="T75" s="5828" t="n"/>
      <c r="U75" s="5826" t="n"/>
      <c r="V75" s="6390" t="n"/>
      <c r="W75" s="5826" t="n"/>
      <c r="X75" s="5828" t="n"/>
      <c r="Y75" s="5826" t="n"/>
      <c r="Z75" s="5828" t="n"/>
      <c r="AA75" s="5826" t="n"/>
      <c r="AB75" s="5828" t="n"/>
      <c r="AC75" s="5826" t="n"/>
      <c r="AD75" s="5828" t="n"/>
      <c r="AE75" s="5826" t="n"/>
      <c r="AF75" s="5828" t="n"/>
      <c r="AG75" s="5826" t="n"/>
      <c r="AH75" s="5828" t="n"/>
      <c r="AI75" s="5826" t="n"/>
      <c r="AJ75" s="5828" t="n"/>
      <c r="AK75" s="5836" t="n"/>
      <c r="AL75" s="5828" t="n"/>
      <c r="CA75" s="939" t="n"/>
      <c r="CB75" s="939" t="n"/>
      <c r="CC75" s="939" t="n"/>
      <c r="CD75" s="939" t="n"/>
      <c r="CE75" s="939" t="n"/>
      <c r="CF75" s="939" t="n"/>
      <c r="CG75" s="939" t="n"/>
      <c r="CH75" s="939" t="n"/>
      <c r="CI75" s="939" t="n"/>
      <c r="CJ75" s="939" t="n"/>
      <c r="CK75" s="939" t="n"/>
      <c r="CL75" s="939" t="n"/>
      <c r="CM75" s="939" t="n"/>
      <c r="CN75" s="939" t="n"/>
      <c r="CO75" s="939" t="n"/>
      <c r="CP75" s="939" t="n"/>
      <c r="CQ75" s="939" t="n"/>
    </row>
    <row r="76" ht="15" customFormat="1" customHeight="1" s="622">
      <c r="A76" s="6391" t="inlineStr">
        <is>
          <t>C5</t>
        </is>
      </c>
      <c r="B76" s="1569">
        <f>SUM(C76+D76)</f>
        <v/>
      </c>
      <c r="C76" s="1570">
        <f>SUM(E76+G76+I76+K76+M76+O76+Q76+S76+U76+W76+Y76+AA76+AC76+AE76+AG76+AI76+AK76)</f>
        <v/>
      </c>
      <c r="D76" s="1571">
        <f>SUM(F76+H76+J76+L76+N76+P76+R76+T76+V76+X76+Z76+AB76+AD76+AF76+AH76+AJ76+AL76)</f>
        <v/>
      </c>
      <c r="E76" s="5858" t="n"/>
      <c r="F76" s="5859" t="n"/>
      <c r="G76" s="5858" t="n"/>
      <c r="H76" s="5847" t="n"/>
      <c r="I76" s="5858" t="n"/>
      <c r="J76" s="5847" t="n"/>
      <c r="K76" s="5858" t="n"/>
      <c r="L76" s="5847" t="n"/>
      <c r="M76" s="5858" t="n"/>
      <c r="N76" s="5847" t="n"/>
      <c r="O76" s="5858" t="n"/>
      <c r="P76" s="5847" t="n"/>
      <c r="Q76" s="5858" t="n"/>
      <c r="R76" s="5847" t="n"/>
      <c r="S76" s="5858" t="n"/>
      <c r="T76" s="5847" t="n"/>
      <c r="U76" s="5858" t="n"/>
      <c r="V76" s="6392" t="n"/>
      <c r="W76" s="5858" t="n"/>
      <c r="X76" s="5847" t="n"/>
      <c r="Y76" s="5858" t="n"/>
      <c r="Z76" s="5847" t="n"/>
      <c r="AA76" s="5858" t="n"/>
      <c r="AB76" s="5847" t="n"/>
      <c r="AC76" s="5858" t="n"/>
      <c r="AD76" s="5847" t="n"/>
      <c r="AE76" s="5858" t="n"/>
      <c r="AF76" s="5847" t="n"/>
      <c r="AG76" s="5858" t="n"/>
      <c r="AH76" s="5847" t="n"/>
      <c r="AI76" s="5858" t="n"/>
      <c r="AJ76" s="5847" t="n"/>
      <c r="AK76" s="5860" t="n"/>
      <c r="AL76" s="5847" t="n"/>
      <c r="CA76" s="939" t="n"/>
      <c r="CB76" s="939" t="n"/>
      <c r="CC76" s="939" t="n"/>
      <c r="CD76" s="939" t="n"/>
      <c r="CE76" s="939" t="n"/>
      <c r="CF76" s="939" t="n"/>
      <c r="CG76" s="939" t="n"/>
      <c r="CH76" s="939" t="n"/>
      <c r="CI76" s="939" t="n"/>
      <c r="CJ76" s="939" t="n"/>
      <c r="CK76" s="939" t="n"/>
      <c r="CL76" s="939" t="n"/>
      <c r="CM76" s="939" t="n"/>
      <c r="CN76" s="939" t="n"/>
      <c r="CO76" s="939" t="n"/>
      <c r="CP76" s="939" t="n"/>
      <c r="CQ76" s="939" t="n"/>
    </row>
    <row r="77" ht="15" customFormat="1" customHeight="1" s="622">
      <c r="A77" s="6393" t="inlineStr">
        <is>
          <t>Sin Categorización</t>
        </is>
      </c>
      <c r="B77" s="1514">
        <f>SUM(C77+D77)</f>
        <v/>
      </c>
      <c r="C77" s="1549">
        <f>SUM(E77+G77+I77+K77+M77+O77+Q77+S77+U77+W77+Y77+AA77+AC77+AE77+AG77+AI77+AK77)</f>
        <v/>
      </c>
      <c r="D77" s="1516">
        <f>SUM(F77+H77+J77+L77+N77+P77+R77+T77+V77+X77+Z77+AB77+AD77+AF77+AH77+AJ77+AL77)</f>
        <v/>
      </c>
      <c r="E77" s="5866" t="n"/>
      <c r="F77" s="5867" t="n"/>
      <c r="G77" s="5866" t="n"/>
      <c r="H77" s="5865" t="n"/>
      <c r="I77" s="5866" t="n"/>
      <c r="J77" s="5865" t="n"/>
      <c r="K77" s="5866" t="n"/>
      <c r="L77" s="5865" t="n"/>
      <c r="M77" s="5866" t="n"/>
      <c r="N77" s="5865" t="n"/>
      <c r="O77" s="5866" t="n"/>
      <c r="P77" s="5865" t="n"/>
      <c r="Q77" s="5866" t="n"/>
      <c r="R77" s="5865" t="n"/>
      <c r="S77" s="5866" t="n"/>
      <c r="T77" s="5865" t="n"/>
      <c r="U77" s="5866" t="n"/>
      <c r="V77" s="6394" t="n"/>
      <c r="W77" s="5866" t="n"/>
      <c r="X77" s="5865" t="n"/>
      <c r="Y77" s="5866" t="n"/>
      <c r="Z77" s="5865" t="n"/>
      <c r="AA77" s="5866" t="n"/>
      <c r="AB77" s="5865" t="n"/>
      <c r="AC77" s="5866" t="n"/>
      <c r="AD77" s="5865" t="n"/>
      <c r="AE77" s="5866" t="n"/>
      <c r="AF77" s="5865" t="n"/>
      <c r="AG77" s="5866" t="n"/>
      <c r="AH77" s="5865" t="n"/>
      <c r="AI77" s="5866" t="n"/>
      <c r="AJ77" s="5865" t="n"/>
      <c r="AK77" s="5869" t="n"/>
      <c r="AL77" s="5865" t="n"/>
      <c r="CA77" s="939" t="n"/>
      <c r="CB77" s="939" t="n"/>
      <c r="CC77" s="939" t="n"/>
      <c r="CD77" s="939" t="n"/>
      <c r="CE77" s="939" t="n"/>
      <c r="CF77" s="939" t="n"/>
      <c r="CG77" s="939" t="n"/>
      <c r="CH77" s="939" t="n"/>
      <c r="CI77" s="939" t="n"/>
      <c r="CJ77" s="939" t="n"/>
      <c r="CK77" s="939" t="n"/>
      <c r="CL77" s="939" t="n"/>
      <c r="CM77" s="939" t="n"/>
      <c r="CN77" s="939" t="n"/>
      <c r="CO77" s="939" t="n"/>
      <c r="CP77" s="939" t="n"/>
      <c r="CQ77" s="939" t="n"/>
    </row>
    <row r="78" ht="15" customFormat="1" customHeight="1" s="622">
      <c r="A78" s="8157" t="inlineStr">
        <is>
          <t>TOTAL</t>
        </is>
      </c>
      <c r="B78" s="6398">
        <f>SUM(B72:B77)</f>
        <v/>
      </c>
      <c r="C78" s="6399">
        <f>SUM(C72:C77)</f>
        <v/>
      </c>
      <c r="D78" s="6400">
        <f>SUM(D72:D77)</f>
        <v/>
      </c>
      <c r="E78" s="6401">
        <f>SUM(E72:E77)</f>
        <v/>
      </c>
      <c r="F78" s="6402">
        <f>SUM(F72:F77)</f>
        <v/>
      </c>
      <c r="G78" s="6401">
        <f>SUM(G72:G77)</f>
        <v/>
      </c>
      <c r="H78" s="6403">
        <f>SUM(H72:H77)</f>
        <v/>
      </c>
      <c r="I78" s="6401">
        <f>SUM(I72:I77)</f>
        <v/>
      </c>
      <c r="J78" s="6403">
        <f>SUM(J72:J77)</f>
        <v/>
      </c>
      <c r="K78" s="6401">
        <f>SUM(K72:K77)</f>
        <v/>
      </c>
      <c r="L78" s="6403">
        <f>SUM(L72:L77)</f>
        <v/>
      </c>
      <c r="M78" s="6401">
        <f>SUM(M72:M77)</f>
        <v/>
      </c>
      <c r="N78" s="6403">
        <f>SUM(N72:N77)</f>
        <v/>
      </c>
      <c r="O78" s="6401">
        <f>SUM(O72:O77)</f>
        <v/>
      </c>
      <c r="P78" s="6403">
        <f>SUM(P72:P77)</f>
        <v/>
      </c>
      <c r="Q78" s="6401">
        <f>SUM(Q72:Q77)</f>
        <v/>
      </c>
      <c r="R78" s="6403">
        <f>SUM(R72:R77)</f>
        <v/>
      </c>
      <c r="S78" s="6401">
        <f>SUM(S72:S77)</f>
        <v/>
      </c>
      <c r="T78" s="6403">
        <f>SUM(T72:T77)</f>
        <v/>
      </c>
      <c r="U78" s="6404">
        <f>SUM(U72:U77)</f>
        <v/>
      </c>
      <c r="V78" s="6405">
        <f>SUM(V72:V77)</f>
        <v/>
      </c>
      <c r="W78" s="6401">
        <f>SUM(W72:W77)</f>
        <v/>
      </c>
      <c r="X78" s="6403">
        <f>SUM(X72:X77)</f>
        <v/>
      </c>
      <c r="Y78" s="6401">
        <f>SUM(Y72:Y77)</f>
        <v/>
      </c>
      <c r="Z78" s="6403">
        <f>SUM(Z72:Z77)</f>
        <v/>
      </c>
      <c r="AA78" s="6401">
        <f>SUM(AA72:AA77)</f>
        <v/>
      </c>
      <c r="AB78" s="6403">
        <f>SUM(AB72:AB77)</f>
        <v/>
      </c>
      <c r="AC78" s="6401">
        <f>SUM(AC72:AC77)</f>
        <v/>
      </c>
      <c r="AD78" s="6403">
        <f>SUM(AD72:AD77)</f>
        <v/>
      </c>
      <c r="AE78" s="6401">
        <f>SUM(AE72:AE77)</f>
        <v/>
      </c>
      <c r="AF78" s="6403">
        <f>SUM(AF72:AF77)</f>
        <v/>
      </c>
      <c r="AG78" s="6401">
        <f>SUM(AG72:AG77)</f>
        <v/>
      </c>
      <c r="AH78" s="6403">
        <f>SUM(AH72:AH77)</f>
        <v/>
      </c>
      <c r="AI78" s="6401">
        <f>SUM(AI72:AI77)</f>
        <v/>
      </c>
      <c r="AJ78" s="6403">
        <f>SUM(AJ72:AJ77)</f>
        <v/>
      </c>
      <c r="AK78" s="6406">
        <f>SUM(AK72:AK77)</f>
        <v/>
      </c>
      <c r="AL78" s="6403">
        <f>SUM(AL72:AL77)</f>
        <v/>
      </c>
      <c r="CA78" s="939" t="n"/>
      <c r="CB78" s="939" t="n"/>
      <c r="CC78" s="939" t="n"/>
      <c r="CD78" s="939" t="n"/>
      <c r="CE78" s="939" t="n"/>
      <c r="CF78" s="939" t="n"/>
      <c r="CG78" s="939" t="n"/>
      <c r="CH78" s="939" t="n"/>
      <c r="CI78" s="939" t="n"/>
      <c r="CJ78" s="939" t="n"/>
      <c r="CK78" s="939" t="n"/>
      <c r="CL78" s="939" t="n"/>
      <c r="CM78" s="939" t="n"/>
      <c r="CN78" s="939" t="n"/>
      <c r="CO78" s="939" t="n"/>
      <c r="CP78" s="939" t="n"/>
      <c r="CQ78" s="939" t="n"/>
    </row>
    <row r="79" ht="18" customFormat="1" customHeight="1" s="6246">
      <c r="A79" s="6380" t="inlineStr">
        <is>
          <t>SECCIÓN C: ATENCIONES REALIZADAS POR MÉDICOS Y ODONTÓLOGOS ESPECIALISTAS EN LAS UNIDADES DE URGENCIA HOSPITALARIA</t>
        </is>
      </c>
      <c r="B79" s="6410" t="n"/>
      <c r="C79" s="6410" t="n"/>
      <c r="D79" s="6410" t="n"/>
      <c r="E79" s="6410" t="n"/>
      <c r="F79" s="6410" t="n"/>
      <c r="G79" s="6410" t="n"/>
      <c r="H79" s="6410" t="n"/>
      <c r="I79" s="927" t="n"/>
      <c r="J79" s="927" t="n"/>
      <c r="K79" s="927" t="n"/>
      <c r="L79" s="927" t="n"/>
      <c r="M79" s="927" t="n"/>
      <c r="N79" s="927" t="n"/>
      <c r="O79" s="927" t="n"/>
      <c r="AO79" s="6251" t="n"/>
      <c r="AP79" s="6251" t="n"/>
      <c r="AQ79" s="6251" t="n"/>
      <c r="AR79" s="6251" t="n"/>
      <c r="AS79" s="6251" t="n"/>
      <c r="AT79" s="6251" t="n"/>
      <c r="AU79" s="6251" t="n"/>
      <c r="AV79" s="6251" t="n"/>
      <c r="AW79" s="6251" t="n"/>
      <c r="AX79" s="6251" t="n"/>
      <c r="AY79" s="6251" t="n"/>
      <c r="AZ79" s="6251" t="n"/>
      <c r="BA79" s="6251" t="n"/>
      <c r="BB79" s="6251" t="n"/>
      <c r="BC79" s="6251" t="n"/>
      <c r="BV79" s="6251" t="n"/>
      <c r="BW79" s="6251" t="n"/>
      <c r="BX79" s="6251" t="n"/>
      <c r="BY79" s="6251" t="n"/>
    </row>
    <row r="80" ht="21" customHeight="1" s="8286">
      <c r="A80" s="8166" t="inlineStr">
        <is>
          <t>ESPECIALIDADES</t>
        </is>
      </c>
      <c r="B80" s="8168" t="inlineStr">
        <is>
          <t xml:space="preserve">TOTAL        </t>
        </is>
      </c>
      <c r="C80" s="6292" t="inlineStr">
        <is>
          <t>De turno</t>
        </is>
      </c>
      <c r="D80" s="6411" t="inlineStr">
        <is>
          <t>Consultor de llamada</t>
        </is>
      </c>
      <c r="E80" s="8176" t="inlineStr">
        <is>
          <t>Otros</t>
        </is>
      </c>
      <c r="F80" s="5551" t="n"/>
      <c r="G80" s="6089" t="n"/>
      <c r="H80" s="6089" t="n"/>
      <c r="I80" s="6089" t="n"/>
      <c r="J80" s="6089" t="n"/>
      <c r="K80" s="6089" t="n"/>
      <c r="L80" s="6089" t="n"/>
      <c r="M80" s="6089" t="n"/>
      <c r="N80" s="6412" t="inlineStr">
        <is>
          <t xml:space="preserve"> </t>
        </is>
      </c>
      <c r="O80" s="6089" t="n"/>
      <c r="P80" s="6089" t="n"/>
      <c r="Q80" s="6089" t="n"/>
      <c r="R80" s="6250" t="n"/>
      <c r="S80" s="6250" t="n"/>
      <c r="T80" s="6250" t="n"/>
      <c r="U80" s="6250" t="n"/>
      <c r="V80" s="6250" t="n"/>
      <c r="W80" s="6250" t="n"/>
      <c r="X80" s="6089" t="n"/>
      <c r="Y80" s="6089" t="n"/>
      <c r="AO80" s="5555" t="n"/>
      <c r="AP80" s="5555" t="n"/>
      <c r="AQ80" s="5555" t="n"/>
      <c r="AR80" s="5555" t="n"/>
      <c r="AS80" s="5555" t="n"/>
      <c r="AT80" s="5555" t="n"/>
      <c r="AU80" s="5555" t="n"/>
      <c r="AV80" s="5555" t="n"/>
      <c r="AW80" s="5555" t="n"/>
      <c r="AX80" s="5555" t="n"/>
      <c r="AY80" s="5555" t="n"/>
      <c r="AZ80" s="5555" t="n"/>
      <c r="BA80" s="5555" t="n"/>
      <c r="BB80" s="5555" t="n"/>
      <c r="BC80" s="5555" t="n"/>
    </row>
    <row r="81" ht="15" customHeight="1" s="8286">
      <c r="A81" s="6413" t="inlineStr">
        <is>
          <t>Medicina Interna</t>
        </is>
      </c>
      <c r="B81" s="6414">
        <f>SUM(C81:E81)</f>
        <v/>
      </c>
      <c r="C81" s="6385" t="n"/>
      <c r="D81" s="6219" t="n"/>
      <c r="E81" s="6371" t="n"/>
      <c r="F81" s="6415" t="n"/>
      <c r="G81" s="6089" t="n"/>
      <c r="H81" s="6089" t="n"/>
      <c r="I81" s="6089" t="n"/>
      <c r="J81" s="6089" t="n"/>
      <c r="K81" s="6089" t="n"/>
      <c r="L81" s="6089" t="n"/>
      <c r="M81" s="6089" t="n"/>
      <c r="N81" s="6089" t="n"/>
      <c r="O81" s="6089" t="n"/>
      <c r="P81" s="6089" t="n"/>
      <c r="Q81" s="6089" t="n"/>
      <c r="R81" s="6250" t="n"/>
      <c r="S81" s="6250" t="n"/>
      <c r="T81" s="6250" t="n"/>
      <c r="U81" s="6250" t="n"/>
      <c r="V81" s="6250" t="n"/>
      <c r="W81" s="6250" t="n"/>
      <c r="X81" s="6089" t="n"/>
      <c r="Y81" s="6089" t="n"/>
      <c r="AO81" s="5555" t="n"/>
      <c r="AP81" s="5555" t="n"/>
      <c r="AQ81" s="5555" t="n"/>
      <c r="AR81" s="5555" t="n"/>
      <c r="AS81" s="5555" t="n"/>
      <c r="AT81" s="5555" t="n"/>
      <c r="AU81" s="5555" t="n"/>
      <c r="AV81" s="5555" t="n"/>
      <c r="AW81" s="5555" t="n"/>
      <c r="AX81" s="5555" t="n"/>
      <c r="AY81" s="5555" t="n"/>
      <c r="AZ81" s="5555" t="n"/>
      <c r="BA81" s="5555" t="n"/>
      <c r="BB81" s="5555" t="n"/>
      <c r="BC81" s="5555" t="n"/>
    </row>
    <row r="82" ht="15" customHeight="1" s="8286">
      <c r="A82" s="1580" t="inlineStr">
        <is>
          <t>Neurología Adultos</t>
        </is>
      </c>
      <c r="B82" s="5718">
        <f>SUM(C82:E82)</f>
        <v/>
      </c>
      <c r="C82" s="5826" t="n"/>
      <c r="D82" s="6222" t="n"/>
      <c r="E82" s="5827" t="n"/>
      <c r="F82" s="6415" t="n"/>
      <c r="G82" s="6089" t="n"/>
      <c r="H82" s="6089" t="n"/>
      <c r="I82" s="6089" t="n"/>
      <c r="J82" s="6089" t="n"/>
      <c r="K82" s="6089" t="n"/>
      <c r="L82" s="6089" t="n"/>
      <c r="M82" s="6089" t="n"/>
      <c r="N82" s="6089" t="n"/>
      <c r="O82" s="6089" t="n"/>
      <c r="P82" s="6089" t="n"/>
      <c r="Q82" s="6089" t="n"/>
      <c r="R82" s="6250" t="n"/>
      <c r="S82" s="6250" t="n"/>
      <c r="T82" s="6250" t="n"/>
      <c r="U82" s="6250" t="n"/>
      <c r="V82" s="6250" t="n"/>
      <c r="W82" s="6250" t="n"/>
      <c r="X82" s="6089" t="n"/>
      <c r="Y82" s="6089" t="n"/>
      <c r="AO82" s="5555" t="n"/>
      <c r="AP82" s="5555" t="n"/>
      <c r="AQ82" s="5555" t="n"/>
      <c r="AR82" s="5555" t="n"/>
      <c r="AS82" s="5555" t="n"/>
      <c r="AT82" s="5555" t="n"/>
      <c r="AU82" s="5555" t="n"/>
      <c r="AV82" s="5555" t="n"/>
      <c r="AW82" s="5555" t="n"/>
      <c r="AX82" s="5555" t="n"/>
      <c r="AY82" s="5555" t="n"/>
      <c r="AZ82" s="5555" t="n"/>
      <c r="BA82" s="5555" t="n"/>
      <c r="BB82" s="5555" t="n"/>
      <c r="BC82" s="5555" t="n"/>
    </row>
    <row r="83" ht="15" customHeight="1" s="8286">
      <c r="A83" s="1580" t="inlineStr">
        <is>
          <t>Neurología Pediátrica</t>
        </is>
      </c>
      <c r="B83" s="5718">
        <f>SUM(C83:E83)</f>
        <v/>
      </c>
      <c r="C83" s="5826" t="n"/>
      <c r="D83" s="6222" t="n"/>
      <c r="E83" s="5827" t="n"/>
      <c r="F83" s="6415" t="n"/>
      <c r="G83" s="6089" t="n"/>
      <c r="H83" s="6089" t="n"/>
      <c r="I83" s="6089" t="n"/>
      <c r="J83" s="6089" t="n"/>
      <c r="K83" s="6089" t="n"/>
      <c r="L83" s="6089" t="n"/>
      <c r="M83" s="6089" t="n"/>
      <c r="N83" s="6089" t="n"/>
      <c r="O83" s="6089" t="n"/>
      <c r="P83" s="6089" t="n"/>
      <c r="Q83" s="6089" t="n"/>
      <c r="R83" s="6250" t="n"/>
      <c r="S83" s="6250" t="n"/>
      <c r="T83" s="6250" t="n"/>
      <c r="U83" s="6250" t="n"/>
      <c r="V83" s="6250" t="n"/>
      <c r="W83" s="6250" t="n"/>
      <c r="X83" s="6089" t="n"/>
      <c r="Y83" s="6089" t="n"/>
      <c r="AO83" s="5555" t="n"/>
      <c r="AP83" s="5555" t="n"/>
      <c r="AQ83" s="5555" t="n"/>
      <c r="AR83" s="5555" t="n"/>
      <c r="AS83" s="5555" t="n"/>
      <c r="AT83" s="5555" t="n"/>
      <c r="AU83" s="5555" t="n"/>
      <c r="AV83" s="5555" t="n"/>
      <c r="AW83" s="5555" t="n"/>
      <c r="AX83" s="5555" t="n"/>
      <c r="AY83" s="5555" t="n"/>
      <c r="AZ83" s="5555" t="n"/>
      <c r="BA83" s="5555" t="n"/>
      <c r="BB83" s="5555" t="n"/>
      <c r="BC83" s="5555" t="n"/>
    </row>
    <row r="84" ht="15" customHeight="1" s="8286">
      <c r="A84" s="1580" t="inlineStr">
        <is>
          <t>Obstetricia y Ginecología</t>
        </is>
      </c>
      <c r="B84" s="5718">
        <f>SUM(C84:E84)</f>
        <v/>
      </c>
      <c r="C84" s="5826" t="n"/>
      <c r="D84" s="6222" t="n"/>
      <c r="E84" s="5827" t="n"/>
      <c r="F84" s="6415" t="n"/>
      <c r="G84" s="6089" t="n"/>
      <c r="H84" s="6089" t="n"/>
      <c r="I84" s="6089" t="n"/>
      <c r="J84" s="6089" t="n"/>
      <c r="K84" s="6089" t="n"/>
      <c r="L84" s="6089" t="n"/>
      <c r="M84" s="6089" t="n"/>
      <c r="N84" s="6089" t="n"/>
      <c r="O84" s="6089" t="n"/>
      <c r="P84" s="6089" t="n"/>
      <c r="Q84" s="6089" t="n"/>
      <c r="R84" s="6250" t="n"/>
      <c r="S84" s="6250" t="n"/>
      <c r="T84" s="6250" t="n"/>
      <c r="U84" s="6250" t="n"/>
      <c r="V84" s="6250" t="n"/>
      <c r="W84" s="6250" t="n"/>
      <c r="X84" s="6089" t="n"/>
      <c r="Y84" s="6089" t="n"/>
      <c r="AO84" s="5555" t="n"/>
      <c r="AP84" s="5555" t="n"/>
      <c r="AQ84" s="5555" t="n"/>
      <c r="AR84" s="5555" t="n"/>
      <c r="AS84" s="5555" t="n"/>
      <c r="AT84" s="5555" t="n"/>
      <c r="AU84" s="5555" t="n"/>
      <c r="AV84" s="5555" t="n"/>
      <c r="AW84" s="5555" t="n"/>
      <c r="AX84" s="5555" t="n"/>
      <c r="AY84" s="5555" t="n"/>
      <c r="AZ84" s="5555" t="n"/>
      <c r="BA84" s="5555" t="n"/>
      <c r="BB84" s="5555" t="n"/>
      <c r="BC84" s="5555" t="n"/>
    </row>
    <row r="85" ht="15" customHeight="1" s="8286">
      <c r="A85" s="1580" t="inlineStr">
        <is>
          <t>Oftalmología</t>
        </is>
      </c>
      <c r="B85" s="5718">
        <f>SUM(C85:E85)</f>
        <v/>
      </c>
      <c r="C85" s="5826" t="n"/>
      <c r="D85" s="6222" t="n"/>
      <c r="E85" s="5827" t="n"/>
      <c r="F85" s="6415" t="n"/>
      <c r="G85" s="6089" t="n"/>
      <c r="H85" s="6089" t="n"/>
      <c r="I85" s="6089" t="n"/>
      <c r="J85" s="6089" t="n"/>
      <c r="K85" s="6089" t="n"/>
      <c r="L85" s="6089" t="n"/>
      <c r="M85" s="6089" t="n"/>
      <c r="N85" s="6089" t="n"/>
      <c r="O85" s="6089" t="n"/>
      <c r="P85" s="6089" t="n"/>
      <c r="Q85" s="6089" t="n"/>
      <c r="R85" s="6250" t="n"/>
      <c r="S85" s="6250" t="n"/>
      <c r="T85" s="6250" t="n"/>
      <c r="U85" s="6250" t="n"/>
      <c r="V85" s="6250" t="n"/>
      <c r="W85" s="6250" t="n"/>
      <c r="X85" s="6089" t="n"/>
      <c r="Y85" s="6089" t="n"/>
      <c r="AO85" s="5555" t="n"/>
      <c r="AP85" s="5555" t="n"/>
      <c r="AQ85" s="5555" t="n"/>
      <c r="AR85" s="5555" t="n"/>
      <c r="AS85" s="5555" t="n"/>
      <c r="AT85" s="5555" t="n"/>
      <c r="AU85" s="5555" t="n"/>
      <c r="AV85" s="5555" t="n"/>
      <c r="AW85" s="5555" t="n"/>
      <c r="AX85" s="5555" t="n"/>
      <c r="AY85" s="5555" t="n"/>
      <c r="AZ85" s="5555" t="n"/>
      <c r="BA85" s="5555" t="n"/>
      <c r="BB85" s="5555" t="n"/>
      <c r="BC85" s="5555" t="n"/>
    </row>
    <row r="86" ht="15" customHeight="1" s="8286">
      <c r="A86" s="1580" t="inlineStr">
        <is>
          <t>Otorrinolaringología</t>
        </is>
      </c>
      <c r="B86" s="5718">
        <f>SUM(C86:E86)</f>
        <v/>
      </c>
      <c r="C86" s="5826" t="n"/>
      <c r="D86" s="6222" t="n"/>
      <c r="E86" s="5827" t="n"/>
      <c r="F86" s="6415" t="n"/>
      <c r="G86" s="6089" t="n"/>
      <c r="H86" s="6089" t="n"/>
      <c r="I86" s="6089" t="n"/>
      <c r="J86" s="6089" t="n"/>
      <c r="K86" s="6089" t="n"/>
      <c r="L86" s="6089" t="n"/>
      <c r="M86" s="6089" t="n"/>
      <c r="N86" s="6089" t="n"/>
      <c r="O86" s="6089" t="n"/>
      <c r="P86" s="6089" t="n"/>
      <c r="Q86" s="6089" t="n"/>
      <c r="R86" s="6250" t="n"/>
      <c r="S86" s="6250" t="n"/>
      <c r="T86" s="6250" t="n"/>
      <c r="U86" s="6250" t="n"/>
      <c r="V86" s="6250" t="n"/>
      <c r="W86" s="6250" t="n"/>
      <c r="X86" s="6089" t="n"/>
      <c r="Y86" s="6089" t="n"/>
      <c r="AO86" s="5555" t="n"/>
      <c r="AP86" s="5555" t="n"/>
      <c r="AQ86" s="5555" t="n"/>
      <c r="AR86" s="5555" t="n"/>
      <c r="AS86" s="5555" t="n"/>
      <c r="AT86" s="5555" t="n"/>
      <c r="AU86" s="5555" t="n"/>
      <c r="AV86" s="5555" t="n"/>
      <c r="AW86" s="5555" t="n"/>
      <c r="AX86" s="5555" t="n"/>
      <c r="AY86" s="5555" t="n"/>
      <c r="AZ86" s="5555" t="n"/>
      <c r="BA86" s="5555" t="n"/>
      <c r="BB86" s="5555" t="n"/>
      <c r="BC86" s="5555" t="n"/>
    </row>
    <row r="87" ht="15" customHeight="1" s="8286">
      <c r="A87" s="1580" t="inlineStr">
        <is>
          <t>Pediatría</t>
        </is>
      </c>
      <c r="B87" s="5718">
        <f>SUM(C87:E87)</f>
        <v/>
      </c>
      <c r="C87" s="5826" t="n"/>
      <c r="D87" s="6222" t="n"/>
      <c r="E87" s="5827" t="n"/>
      <c r="F87" s="6415" t="n"/>
      <c r="G87" s="6089" t="n"/>
      <c r="H87" s="6089" t="n"/>
      <c r="I87" s="6089" t="n"/>
      <c r="J87" s="6089" t="n"/>
      <c r="K87" s="6089" t="n"/>
      <c r="L87" s="6089" t="n"/>
      <c r="M87" s="6089" t="n"/>
      <c r="N87" s="6089" t="n"/>
      <c r="O87" s="6089" t="n"/>
      <c r="P87" s="6089" t="n"/>
      <c r="Q87" s="6089" t="n"/>
      <c r="R87" s="6250" t="n"/>
      <c r="S87" s="6250" t="n"/>
      <c r="T87" s="6250" t="n"/>
      <c r="U87" s="6250" t="n"/>
      <c r="V87" s="6250" t="n"/>
      <c r="W87" s="6250" t="n"/>
      <c r="X87" s="6089" t="n"/>
      <c r="Y87" s="6089" t="n"/>
      <c r="AO87" s="5555" t="n"/>
      <c r="AP87" s="5555" t="n"/>
      <c r="AQ87" s="5555" t="n"/>
      <c r="AR87" s="5555" t="n"/>
      <c r="AS87" s="5555" t="n"/>
      <c r="AT87" s="5555" t="n"/>
      <c r="AU87" s="5555" t="n"/>
      <c r="AV87" s="5555" t="n"/>
      <c r="AW87" s="5555" t="n"/>
      <c r="AX87" s="5555" t="n"/>
      <c r="AY87" s="5555" t="n"/>
      <c r="AZ87" s="5555" t="n"/>
      <c r="BA87" s="5555" t="n"/>
      <c r="BB87" s="5555" t="n"/>
      <c r="BC87" s="5555" t="n"/>
    </row>
    <row r="88" ht="15" customHeight="1" s="8286">
      <c r="A88" s="1580" t="inlineStr">
        <is>
          <t>Traumatología y Ortopedia</t>
        </is>
      </c>
      <c r="B88" s="5718">
        <f>SUM(C88:E88)</f>
        <v/>
      </c>
      <c r="C88" s="5826" t="n"/>
      <c r="D88" s="6222" t="n"/>
      <c r="E88" s="5827" t="n"/>
      <c r="F88" s="6415" t="n"/>
      <c r="G88" s="6089" t="n"/>
      <c r="H88" s="6089" t="n"/>
      <c r="I88" s="6089" t="n"/>
      <c r="J88" s="6089" t="n"/>
      <c r="K88" s="6089" t="n"/>
      <c r="L88" s="6089" t="n"/>
      <c r="M88" s="6089" t="n"/>
      <c r="N88" s="6089" t="n"/>
      <c r="O88" s="6089" t="n"/>
      <c r="P88" s="6089" t="n"/>
      <c r="Q88" s="6089" t="n"/>
      <c r="R88" s="6250" t="n"/>
      <c r="S88" s="6250" t="n"/>
      <c r="T88" s="6250" t="n"/>
      <c r="U88" s="6250" t="n"/>
      <c r="V88" s="6250" t="n"/>
      <c r="W88" s="6250" t="n"/>
      <c r="X88" s="6089" t="n"/>
      <c r="Y88" s="6089" t="n"/>
      <c r="AO88" s="5555" t="n"/>
      <c r="AP88" s="5555" t="n"/>
      <c r="AQ88" s="5555" t="n"/>
      <c r="AR88" s="5555" t="n"/>
      <c r="AS88" s="5555" t="n"/>
      <c r="AT88" s="5555" t="n"/>
      <c r="AU88" s="5555" t="n"/>
      <c r="AV88" s="5555" t="n"/>
      <c r="AW88" s="5555" t="n"/>
      <c r="AX88" s="5555" t="n"/>
      <c r="AY88" s="5555" t="n"/>
      <c r="AZ88" s="5555" t="n"/>
      <c r="BA88" s="5555" t="n"/>
      <c r="BB88" s="5555" t="n"/>
      <c r="BC88" s="5555" t="n"/>
    </row>
    <row r="89" ht="15" customHeight="1" s="8286">
      <c r="A89" s="1580" t="inlineStr">
        <is>
          <t>Neurocirugía</t>
        </is>
      </c>
      <c r="B89" s="5718">
        <f>SUM(C89:E89)</f>
        <v/>
      </c>
      <c r="C89" s="5826" t="n"/>
      <c r="D89" s="6222" t="n"/>
      <c r="E89" s="5827" t="n"/>
      <c r="F89" s="6415" t="n"/>
      <c r="G89" s="6247" t="n"/>
      <c r="H89" s="6247" t="n"/>
      <c r="I89" s="6089" t="n"/>
      <c r="J89" s="6089" t="n"/>
      <c r="K89" s="6089" t="n"/>
      <c r="L89" s="6089" t="n"/>
      <c r="M89" s="6089" t="n"/>
      <c r="N89" s="6089" t="n"/>
      <c r="O89" s="6089" t="n"/>
      <c r="P89" s="6089" t="n"/>
      <c r="Q89" s="6089" t="n"/>
      <c r="R89" s="6250" t="n"/>
      <c r="S89" s="6250" t="n"/>
      <c r="T89" s="6250" t="n"/>
      <c r="U89" s="6250" t="n"/>
      <c r="V89" s="6250" t="n"/>
      <c r="W89" s="6250" t="n"/>
      <c r="X89" s="6089" t="n"/>
      <c r="Y89" s="6089" t="n"/>
    </row>
    <row r="90" ht="15" customHeight="1" s="8286">
      <c r="A90" s="1580" t="inlineStr">
        <is>
          <t>Psiquiatría Adultos</t>
        </is>
      </c>
      <c r="B90" s="5718">
        <f>SUM(C90:E90)</f>
        <v/>
      </c>
      <c r="C90" s="5826" t="n"/>
      <c r="D90" s="6222" t="n"/>
      <c r="E90" s="5827" t="n"/>
      <c r="F90" s="6415" t="n"/>
      <c r="G90" s="6247" t="n"/>
      <c r="H90" s="6247" t="n"/>
      <c r="I90" s="6089" t="n"/>
      <c r="J90" s="6089" t="n"/>
      <c r="K90" s="6089" t="n"/>
      <c r="L90" s="6089" t="n"/>
      <c r="M90" s="6089" t="n"/>
      <c r="N90" s="6089" t="n"/>
      <c r="O90" s="6089" t="n"/>
      <c r="P90" s="6089" t="n"/>
      <c r="Q90" s="6089" t="n"/>
      <c r="R90" s="6250" t="n"/>
      <c r="S90" s="6250" t="n"/>
      <c r="T90" s="6250" t="n"/>
      <c r="U90" s="6250" t="n"/>
      <c r="V90" s="6250" t="n"/>
      <c r="W90" s="6250" t="n"/>
      <c r="X90" s="6089" t="n"/>
      <c r="Y90" s="6089" t="n"/>
    </row>
    <row r="91" ht="15" customHeight="1" s="8286">
      <c r="A91" s="1580" t="inlineStr">
        <is>
          <t>Psiquiatría Pediátrica y Adolescentes</t>
        </is>
      </c>
      <c r="B91" s="5718">
        <f>SUM(C91:E91)</f>
        <v/>
      </c>
      <c r="C91" s="5826" t="n"/>
      <c r="D91" s="6222" t="n"/>
      <c r="E91" s="5827" t="n"/>
      <c r="F91" s="6415" t="n"/>
      <c r="G91" s="6247" t="n"/>
      <c r="H91" s="6247" t="n"/>
      <c r="I91" s="6089" t="n"/>
      <c r="J91" s="6089" t="n"/>
      <c r="K91" s="6089" t="n"/>
      <c r="L91" s="6089" t="n"/>
      <c r="M91" s="6089" t="n"/>
      <c r="N91" s="6089" t="n"/>
      <c r="O91" s="6089" t="n"/>
      <c r="P91" s="6089" t="n"/>
      <c r="Q91" s="6089" t="n"/>
      <c r="R91" s="6250" t="n"/>
      <c r="S91" s="6250" t="n"/>
      <c r="T91" s="6250" t="n"/>
      <c r="U91" s="6250" t="n"/>
      <c r="V91" s="6250" t="n"/>
      <c r="W91" s="6250" t="n"/>
      <c r="X91" s="6089" t="n"/>
      <c r="Y91" s="6089" t="n"/>
    </row>
    <row r="92" ht="15" customHeight="1" s="8286">
      <c r="A92" s="6416" t="inlineStr">
        <is>
          <t>Urología</t>
        </is>
      </c>
      <c r="B92" s="5718">
        <f>SUM(C92:E92)</f>
        <v/>
      </c>
      <c r="C92" s="5826" t="n"/>
      <c r="D92" s="6222" t="n"/>
      <c r="E92" s="5827" t="n"/>
      <c r="F92" s="6415" t="n"/>
      <c r="G92" s="6247" t="n"/>
      <c r="H92" s="6247" t="n"/>
      <c r="I92" s="6089" t="n"/>
      <c r="J92" s="6089" t="n"/>
      <c r="K92" s="6089" t="n"/>
      <c r="L92" s="6089" t="n"/>
      <c r="M92" s="6089" t="n"/>
      <c r="N92" s="6089" t="n"/>
      <c r="O92" s="6089" t="n"/>
      <c r="P92" s="6089" t="n"/>
      <c r="Q92" s="6089" t="n"/>
      <c r="R92" s="6250" t="n"/>
      <c r="S92" s="6250" t="n"/>
      <c r="T92" s="6250" t="n"/>
      <c r="U92" s="6250" t="n"/>
      <c r="V92" s="6250" t="n"/>
      <c r="W92" s="6250" t="n"/>
      <c r="X92" s="6089" t="n"/>
      <c r="Y92" s="6089" t="n"/>
    </row>
    <row r="93" ht="15" customHeight="1" s="8286">
      <c r="A93" s="1580" t="inlineStr">
        <is>
          <t>Urgenciólogo</t>
        </is>
      </c>
      <c r="B93" s="5718">
        <f>SUM(C93:E93)</f>
        <v/>
      </c>
      <c r="C93" s="5826" t="n"/>
      <c r="D93" s="6222" t="n"/>
      <c r="E93" s="5827" t="n"/>
      <c r="F93" s="6415" t="n"/>
      <c r="G93" s="6247" t="n"/>
      <c r="H93" s="6247" t="n"/>
      <c r="I93" s="6089" t="n"/>
      <c r="J93" s="6089" t="n"/>
      <c r="K93" s="6089" t="n"/>
      <c r="L93" s="6089" t="n"/>
      <c r="M93" s="6089" t="n"/>
      <c r="N93" s="6089" t="n"/>
      <c r="O93" s="6089" t="n"/>
      <c r="P93" s="6089" t="n"/>
      <c r="Q93" s="6089" t="n"/>
      <c r="R93" s="6250" t="n"/>
      <c r="S93" s="6250" t="n"/>
      <c r="T93" s="6250" t="n"/>
      <c r="U93" s="6250" t="n"/>
      <c r="V93" s="6250" t="n"/>
      <c r="W93" s="6250" t="n"/>
      <c r="X93" s="6089" t="n"/>
      <c r="Y93" s="6089" t="n"/>
    </row>
    <row r="94" ht="15" customHeight="1" s="8286">
      <c r="A94" s="1580" t="inlineStr">
        <is>
          <t>Cirugía Vascular Periférica</t>
        </is>
      </c>
      <c r="B94" s="5718">
        <f>SUM(C94:E94)</f>
        <v/>
      </c>
      <c r="C94" s="5826" t="n"/>
      <c r="D94" s="6222" t="n"/>
      <c r="E94" s="5827" t="n"/>
      <c r="F94" s="6415" t="n"/>
      <c r="G94" s="6247" t="n"/>
      <c r="H94" s="6247" t="n"/>
      <c r="I94" s="6089" t="n"/>
      <c r="J94" s="6089" t="n"/>
      <c r="K94" s="6089" t="n"/>
      <c r="L94" s="6089" t="n"/>
      <c r="M94" s="6089" t="n"/>
      <c r="N94" s="6089" t="n"/>
      <c r="O94" s="6089" t="n"/>
      <c r="P94" s="6089" t="n"/>
      <c r="Q94" s="6089" t="n"/>
      <c r="R94" s="6250" t="n"/>
      <c r="S94" s="6250" t="n"/>
      <c r="T94" s="6250" t="n"/>
      <c r="U94" s="6250" t="n"/>
      <c r="V94" s="6250" t="n"/>
      <c r="W94" s="6250" t="n"/>
      <c r="X94" s="6089" t="n"/>
      <c r="Y94" s="6089" t="n"/>
    </row>
    <row r="95" ht="15" customHeight="1" s="8286">
      <c r="A95" s="1580" t="inlineStr">
        <is>
          <t>Cirugía General</t>
        </is>
      </c>
      <c r="B95" s="5718">
        <f>SUM(C95:E95)</f>
        <v/>
      </c>
      <c r="C95" s="5826" t="n"/>
      <c r="D95" s="6222" t="n"/>
      <c r="E95" s="5827" t="n"/>
      <c r="F95" s="6415" t="n"/>
      <c r="G95" s="6247" t="n"/>
      <c r="H95" s="6247" t="n"/>
      <c r="I95" s="6089" t="n"/>
      <c r="J95" s="6089" t="n"/>
      <c r="K95" s="6089" t="n"/>
      <c r="L95" s="6089" t="n"/>
      <c r="M95" s="6089" t="n"/>
      <c r="N95" s="6089" t="n"/>
      <c r="O95" s="6089" t="n"/>
      <c r="P95" s="6089" t="n"/>
      <c r="Q95" s="6089" t="n"/>
      <c r="R95" s="6250" t="n"/>
      <c r="S95" s="6250" t="n"/>
      <c r="T95" s="6250" t="n"/>
      <c r="U95" s="6250" t="n"/>
      <c r="V95" s="6250" t="n"/>
      <c r="W95" s="6250" t="n"/>
      <c r="X95" s="6089" t="n"/>
      <c r="Y95" s="6089" t="n"/>
    </row>
    <row r="96" ht="15" customHeight="1" s="8286">
      <c r="A96" s="1580" t="inlineStr">
        <is>
          <t>Cirugía Pediátrica</t>
        </is>
      </c>
      <c r="B96" s="5718">
        <f>SUM(C96:E96)</f>
        <v/>
      </c>
      <c r="C96" s="5826" t="n"/>
      <c r="D96" s="6222" t="n"/>
      <c r="E96" s="5827" t="n"/>
      <c r="F96" s="6415" t="n"/>
      <c r="G96" s="6247" t="n"/>
      <c r="H96" s="6247" t="n"/>
      <c r="I96" s="6089" t="n"/>
      <c r="J96" s="6089" t="n"/>
      <c r="K96" s="6089" t="n"/>
      <c r="L96" s="6089" t="n"/>
      <c r="M96" s="6089" t="n"/>
      <c r="N96" s="6089" t="n"/>
      <c r="O96" s="6089" t="n"/>
      <c r="P96" s="6089" t="n"/>
      <c r="Q96" s="6089" t="n"/>
      <c r="R96" s="6250" t="n"/>
      <c r="S96" s="6250" t="n"/>
      <c r="T96" s="6250" t="n"/>
      <c r="U96" s="6250" t="n"/>
      <c r="V96" s="6250" t="n"/>
      <c r="W96" s="6250" t="n"/>
      <c r="X96" s="6089" t="n"/>
      <c r="Y96" s="6089" t="n"/>
    </row>
    <row r="97" ht="15" customHeight="1" s="8286">
      <c r="A97" s="1580" t="inlineStr">
        <is>
          <t>Cardiología</t>
        </is>
      </c>
      <c r="B97" s="5718">
        <f>SUM(C97:E97)</f>
        <v/>
      </c>
      <c r="C97" s="5826" t="n"/>
      <c r="D97" s="6222" t="n"/>
      <c r="E97" s="5827" t="n"/>
      <c r="F97" s="6415" t="n"/>
      <c r="G97" s="6247" t="n"/>
      <c r="H97" s="6247" t="n"/>
      <c r="I97" s="6089" t="n"/>
      <c r="J97" s="6089" t="n"/>
      <c r="K97" s="6089" t="n"/>
      <c r="L97" s="6089" t="n"/>
      <c r="M97" s="6089" t="n"/>
      <c r="N97" s="6089" t="n"/>
      <c r="O97" s="6089" t="n"/>
      <c r="P97" s="6089" t="n"/>
      <c r="Q97" s="6089" t="n"/>
      <c r="R97" s="6250" t="n"/>
      <c r="S97" s="6250" t="n"/>
      <c r="T97" s="6250" t="n"/>
      <c r="U97" s="6250" t="n"/>
      <c r="V97" s="6250" t="n"/>
      <c r="W97" s="6250" t="n"/>
      <c r="X97" s="6089" t="n"/>
      <c r="Y97" s="6089" t="n"/>
    </row>
    <row r="98" ht="15" customHeight="1" s="8286">
      <c r="A98" s="1580" t="inlineStr">
        <is>
          <t>Anestesiología</t>
        </is>
      </c>
      <c r="B98" s="5718">
        <f>SUM(C98:E98)</f>
        <v/>
      </c>
      <c r="C98" s="5826" t="n"/>
      <c r="D98" s="6222" t="n"/>
      <c r="E98" s="5827" t="n"/>
      <c r="F98" s="6415" t="n"/>
      <c r="G98" s="6247" t="n"/>
      <c r="H98" s="6247" t="n"/>
      <c r="I98" s="6089" t="n"/>
      <c r="J98" s="6089" t="n"/>
      <c r="K98" s="6089" t="n"/>
      <c r="L98" s="6089" t="n"/>
      <c r="M98" s="6089" t="n"/>
      <c r="N98" s="6089" t="n"/>
      <c r="O98" s="6089" t="n"/>
      <c r="P98" s="6089" t="n"/>
      <c r="Q98" s="6089" t="n"/>
      <c r="R98" s="6250" t="n"/>
      <c r="S98" s="6250" t="n"/>
      <c r="T98" s="6250" t="n"/>
      <c r="U98" s="6250" t="n"/>
      <c r="V98" s="6250" t="n"/>
      <c r="W98" s="6250" t="n"/>
      <c r="X98" s="6089" t="n"/>
      <c r="Y98" s="6089" t="n"/>
    </row>
    <row r="99" ht="15" customHeight="1" s="8286">
      <c r="A99" s="1580" t="inlineStr">
        <is>
          <t>Cirugía de Cabeza, Cuello y Maxilofacial</t>
        </is>
      </c>
      <c r="B99" s="5718">
        <f>SUM(C99:E99)</f>
        <v/>
      </c>
      <c r="C99" s="5826" t="n"/>
      <c r="D99" s="6222" t="n"/>
      <c r="E99" s="5827" t="n"/>
      <c r="F99" s="6415" t="n"/>
      <c r="G99" s="6247" t="n"/>
      <c r="H99" s="6247" t="n"/>
      <c r="I99" s="6089" t="n"/>
      <c r="J99" s="6089" t="n"/>
      <c r="K99" s="6089" t="n"/>
      <c r="L99" s="6089" t="n"/>
      <c r="M99" s="6089" t="n"/>
      <c r="N99" s="6089" t="n"/>
      <c r="O99" s="6089" t="n"/>
      <c r="P99" s="6089" t="n"/>
      <c r="Q99" s="6089" t="n"/>
      <c r="R99" s="6250" t="n"/>
      <c r="S99" s="6250" t="n"/>
      <c r="T99" s="6250" t="n"/>
      <c r="U99" s="6250" t="n"/>
      <c r="V99" s="6250" t="n"/>
      <c r="W99" s="6250" t="n"/>
      <c r="X99" s="6089" t="n"/>
      <c r="Y99" s="6089" t="n"/>
    </row>
    <row r="100" ht="15" customHeight="1" s="8286">
      <c r="A100" s="1580" t="inlineStr">
        <is>
          <t>Odontólogo</t>
        </is>
      </c>
      <c r="B100" s="5718">
        <f>SUM(C100:E100)</f>
        <v/>
      </c>
      <c r="C100" s="5826" t="n"/>
      <c r="D100" s="6222" t="n"/>
      <c r="E100" s="5827" t="n"/>
      <c r="F100" s="6415" t="n"/>
      <c r="G100" s="6247" t="n"/>
      <c r="H100" s="6247" t="n"/>
      <c r="I100" s="6089" t="n"/>
      <c r="J100" s="6089" t="n"/>
      <c r="K100" s="6089" t="n"/>
      <c r="L100" s="6089" t="n"/>
      <c r="M100" s="6089" t="n"/>
      <c r="N100" s="6089" t="n"/>
      <c r="O100" s="6089" t="n"/>
      <c r="P100" s="6089" t="n"/>
      <c r="Q100" s="6089" t="n"/>
      <c r="R100" s="6250" t="n"/>
      <c r="S100" s="6250" t="n"/>
      <c r="T100" s="6250" t="n"/>
      <c r="U100" s="6250" t="n"/>
      <c r="V100" s="6250" t="n"/>
      <c r="W100" s="6250" t="n"/>
      <c r="X100" s="6089" t="n"/>
      <c r="Y100" s="6089" t="n"/>
    </row>
    <row r="101" ht="15" customHeight="1" s="8286">
      <c r="A101" s="8157" t="inlineStr">
        <is>
          <t>TOTAL</t>
        </is>
      </c>
      <c r="B101" s="6417">
        <f>SUM(B81:B100)</f>
        <v/>
      </c>
      <c r="C101" s="6401">
        <f>SUM(C81:C100)</f>
        <v/>
      </c>
      <c r="D101" s="6418">
        <f>SUM(D81:D100)</f>
        <v/>
      </c>
      <c r="E101" s="6402">
        <f>SUM(E81:E100)</f>
        <v/>
      </c>
      <c r="F101" s="6415" t="n"/>
      <c r="G101" s="6247" t="n"/>
      <c r="H101" s="6247" t="n"/>
      <c r="I101" s="6089" t="n"/>
      <c r="J101" s="6089" t="n"/>
      <c r="K101" s="6089" t="n"/>
      <c r="L101" s="6089" t="n"/>
      <c r="M101" s="6089" t="n"/>
      <c r="N101" s="6089" t="n"/>
      <c r="O101" s="6089" t="n"/>
      <c r="P101" s="6089" t="n"/>
      <c r="Q101" s="6089" t="n"/>
      <c r="R101" s="6250" t="n"/>
      <c r="S101" s="6250" t="n"/>
      <c r="T101" s="6250" t="n"/>
      <c r="U101" s="6250" t="n"/>
      <c r="V101" s="6250" t="n"/>
      <c r="W101" s="6250" t="n"/>
      <c r="X101" s="6089" t="n"/>
      <c r="Y101" s="6089" t="n"/>
    </row>
    <row r="102" ht="18" customFormat="1" customHeight="1" s="6246">
      <c r="A102" s="927" t="inlineStr">
        <is>
          <t>SECCIÓN D: PACIENTES CON INDICACIÓN DE HOSPITALIZACIÓN EN ESPERA DE CAMAS EN UEH (establecimientos de alta, mediana y baja complejidad)</t>
        </is>
      </c>
      <c r="BV102" s="6251" t="n"/>
      <c r="BW102" s="6251" t="n"/>
      <c r="BX102" s="6251" t="n"/>
      <c r="BY102" s="6251" t="n"/>
    </row>
    <row r="103" ht="16.35" customHeight="1" s="8286">
      <c r="A103" s="8250" t="inlineStr">
        <is>
          <t>TIPO DE PACIENTES</t>
        </is>
      </c>
      <c r="B103" s="9602" t="n"/>
      <c r="C103" s="9629" t="inlineStr">
        <is>
          <t xml:space="preserve">TOTAL        </t>
        </is>
      </c>
      <c r="D103" s="9602" t="n"/>
      <c r="E103" s="9630" t="n"/>
      <c r="F103" s="9594" t="inlineStr">
        <is>
          <t>RANGO ETARIO (en años)</t>
        </is>
      </c>
      <c r="G103" s="9584" t="n"/>
      <c r="H103" s="9584" t="n"/>
      <c r="I103" s="9584" t="n"/>
      <c r="J103" s="9584" t="n"/>
      <c r="K103" s="9584" t="n"/>
      <c r="L103" s="9584" t="n"/>
      <c r="M103" s="9584" t="n"/>
      <c r="N103" s="9584" t="n"/>
      <c r="O103" s="9584" t="n"/>
      <c r="P103" s="9584" t="n"/>
      <c r="Q103" s="9584" t="n"/>
      <c r="R103" s="9584" t="n"/>
      <c r="S103" s="9584" t="n"/>
      <c r="T103" s="9584" t="n"/>
      <c r="U103" s="9584" t="n"/>
      <c r="V103" s="9584" t="n"/>
      <c r="W103" s="9584" t="n"/>
      <c r="X103" s="9584" t="n"/>
      <c r="Y103" s="9584" t="n"/>
      <c r="Z103" s="9584" t="n"/>
      <c r="AA103" s="9584" t="n"/>
      <c r="AB103" s="9584" t="n"/>
      <c r="AC103" s="9584" t="n"/>
      <c r="AD103" s="9584" t="n"/>
      <c r="AE103" s="9584" t="n"/>
      <c r="AF103" s="9584" t="n"/>
      <c r="AG103" s="9584" t="n"/>
      <c r="AH103" s="9584" t="n"/>
      <c r="AI103" s="9584" t="n"/>
      <c r="AJ103" s="9584" t="n"/>
      <c r="AK103" s="9584" t="n"/>
      <c r="AL103" s="9584" t="n"/>
      <c r="AM103" s="9595" t="n"/>
      <c r="AN103" s="8158" t="inlineStr">
        <is>
          <t>Beneficiarios</t>
        </is>
      </c>
      <c r="AO103" s="9712" t="inlineStr">
        <is>
          <t>Hospitalización Domiciliaria</t>
        </is>
      </c>
      <c r="AP103" s="5555" t="n"/>
      <c r="AQ103" s="5555" t="n"/>
      <c r="AR103" s="5555" t="n"/>
      <c r="AS103" s="5555" t="n"/>
      <c r="AT103" s="5555" t="n"/>
      <c r="AU103" s="5555" t="n"/>
      <c r="AV103" s="5555" t="n"/>
      <c r="AW103" s="5555" t="n"/>
      <c r="AX103" s="5555" t="n"/>
      <c r="AY103" s="5555" t="n"/>
      <c r="AZ103" s="5555" t="n"/>
      <c r="BA103" s="5555" t="n"/>
      <c r="BB103" s="5555" t="n"/>
    </row>
    <row r="104" ht="16.35" customHeight="1" s="8286">
      <c r="A104" s="642" t="n"/>
      <c r="C104" s="9638" t="n"/>
      <c r="D104" s="9697" t="n"/>
      <c r="E104" s="9639" t="n"/>
      <c r="F104" s="9624" t="inlineStr">
        <is>
          <t>0 - 4 años</t>
        </is>
      </c>
      <c r="G104" s="9647" t="n"/>
      <c r="H104" s="9624" t="inlineStr">
        <is>
          <t>5 - 9 años</t>
        </is>
      </c>
      <c r="I104" s="9647" t="n"/>
      <c r="J104" s="9624" t="inlineStr">
        <is>
          <t>10 - 14 años</t>
        </is>
      </c>
      <c r="K104" s="9647" t="n"/>
      <c r="L104" s="9624" t="inlineStr">
        <is>
          <t>15 - 19 años</t>
        </is>
      </c>
      <c r="M104" s="9647" t="n"/>
      <c r="N104" s="9624" t="inlineStr">
        <is>
          <t>20 - 24 años</t>
        </is>
      </c>
      <c r="O104" s="9647" t="n"/>
      <c r="P104" s="9874" t="inlineStr">
        <is>
          <t>25 - 29 años</t>
        </is>
      </c>
      <c r="Q104" s="9647" t="n"/>
      <c r="R104" s="9874" t="inlineStr">
        <is>
          <t>30 - 34 años</t>
        </is>
      </c>
      <c r="S104" s="9647" t="n"/>
      <c r="T104" s="9874" t="inlineStr">
        <is>
          <t>35 - 39 años</t>
        </is>
      </c>
      <c r="U104" s="9647" t="n"/>
      <c r="V104" s="9874" t="inlineStr">
        <is>
          <t>40 - 44 años</t>
        </is>
      </c>
      <c r="W104" s="9647" t="n"/>
      <c r="X104" s="9874" t="inlineStr">
        <is>
          <t>45 - 49 años</t>
        </is>
      </c>
      <c r="Y104" s="9647" t="n"/>
      <c r="Z104" s="9874" t="inlineStr">
        <is>
          <t>50 - 54 años</t>
        </is>
      </c>
      <c r="AA104" s="9647" t="n"/>
      <c r="AB104" s="9874" t="inlineStr">
        <is>
          <t>55 - 59 años</t>
        </is>
      </c>
      <c r="AC104" s="9647" t="n"/>
      <c r="AD104" s="9874" t="inlineStr">
        <is>
          <t>60 - 64 años</t>
        </is>
      </c>
      <c r="AE104" s="9647" t="n"/>
      <c r="AF104" s="9874" t="inlineStr">
        <is>
          <t>65 - 69 años</t>
        </is>
      </c>
      <c r="AG104" s="9647" t="n"/>
      <c r="AH104" s="9874" t="inlineStr">
        <is>
          <t>70 - 74 años</t>
        </is>
      </c>
      <c r="AI104" s="9647" t="n"/>
      <c r="AJ104" s="9874" t="inlineStr">
        <is>
          <t>75 - 79 años</t>
        </is>
      </c>
      <c r="AK104" s="9647" t="n"/>
      <c r="AL104" s="9894" t="inlineStr">
        <is>
          <t>80 y más años</t>
        </is>
      </c>
      <c r="AM104" s="9595" t="n"/>
      <c r="AN104" s="9668" t="n"/>
      <c r="AO104" s="9625" t="n"/>
      <c r="AP104" s="5555" t="n"/>
      <c r="AQ104" s="5555" t="n"/>
      <c r="AR104" s="5555" t="n"/>
      <c r="AS104" s="5555" t="n"/>
      <c r="AT104" s="5555" t="n"/>
      <c r="AU104" s="5555" t="n"/>
      <c r="AV104" s="5555" t="n"/>
      <c r="AW104" s="5555" t="n"/>
      <c r="AX104" s="5555" t="n"/>
      <c r="AY104" s="5555" t="n"/>
      <c r="AZ104" s="5555" t="n"/>
      <c r="BA104" s="5555" t="n"/>
      <c r="BB104" s="5555" t="n"/>
    </row>
    <row r="105" ht="16.35" customHeight="1" s="8286">
      <c r="A105" s="9698" t="n"/>
      <c r="B105" s="9591" t="n"/>
      <c r="C105" s="6292" t="inlineStr">
        <is>
          <t>Ambos Sexos</t>
        </is>
      </c>
      <c r="D105" s="6411" t="inlineStr">
        <is>
          <t xml:space="preserve">Hombres </t>
        </is>
      </c>
      <c r="E105" s="8176" t="inlineStr">
        <is>
          <t>Mujeres</t>
        </is>
      </c>
      <c r="F105" s="6292" t="inlineStr">
        <is>
          <t xml:space="preserve">Hombres </t>
        </is>
      </c>
      <c r="G105" s="8176" t="inlineStr">
        <is>
          <t>Mujeres</t>
        </is>
      </c>
      <c r="H105" s="6292" t="inlineStr">
        <is>
          <t xml:space="preserve">Hombres </t>
        </is>
      </c>
      <c r="I105" s="8159" t="inlineStr">
        <is>
          <t>Mujeres</t>
        </is>
      </c>
      <c r="J105" s="6292" t="inlineStr">
        <is>
          <t xml:space="preserve">Hombres </t>
        </is>
      </c>
      <c r="K105" s="8176" t="inlineStr">
        <is>
          <t>Mujeres</t>
        </is>
      </c>
      <c r="L105" s="6292" t="inlineStr">
        <is>
          <t xml:space="preserve">Hombres </t>
        </is>
      </c>
      <c r="M105" s="8159" t="inlineStr">
        <is>
          <t>Mujeres</t>
        </is>
      </c>
      <c r="N105" s="6292" t="inlineStr">
        <is>
          <t xml:space="preserve">Hombres </t>
        </is>
      </c>
      <c r="O105" s="8176" t="inlineStr">
        <is>
          <t>Mujeres</t>
        </is>
      </c>
      <c r="P105" s="6292" t="inlineStr">
        <is>
          <t xml:space="preserve">Hombres </t>
        </is>
      </c>
      <c r="Q105" s="8159" t="inlineStr">
        <is>
          <t>Mujeres</t>
        </is>
      </c>
      <c r="R105" s="6292" t="inlineStr">
        <is>
          <t xml:space="preserve">Hombres </t>
        </is>
      </c>
      <c r="S105" s="8176" t="inlineStr">
        <is>
          <t>Mujeres</t>
        </is>
      </c>
      <c r="T105" s="6292" t="inlineStr">
        <is>
          <t xml:space="preserve">Hombres </t>
        </is>
      </c>
      <c r="U105" s="8159" t="inlineStr">
        <is>
          <t>Mujeres</t>
        </is>
      </c>
      <c r="V105" s="6292" t="inlineStr">
        <is>
          <t xml:space="preserve">Hombres </t>
        </is>
      </c>
      <c r="W105" s="8176" t="inlineStr">
        <is>
          <t>Mujeres</t>
        </is>
      </c>
      <c r="X105" s="6292" t="inlineStr">
        <is>
          <t xml:space="preserve">Hombres </t>
        </is>
      </c>
      <c r="Y105" s="8176" t="inlineStr">
        <is>
          <t>Mujeres</t>
        </is>
      </c>
      <c r="Z105" s="6292" t="inlineStr">
        <is>
          <t xml:space="preserve">Hombres </t>
        </is>
      </c>
      <c r="AA105" s="8159" t="inlineStr">
        <is>
          <t>Mujeres</t>
        </is>
      </c>
      <c r="AB105" s="6292" t="inlineStr">
        <is>
          <t xml:space="preserve">Hombres </t>
        </is>
      </c>
      <c r="AC105" s="8176" t="inlineStr">
        <is>
          <t>Mujeres</t>
        </is>
      </c>
      <c r="AD105" s="6292" t="inlineStr">
        <is>
          <t xml:space="preserve">Hombres </t>
        </is>
      </c>
      <c r="AE105" s="8159" t="inlineStr">
        <is>
          <t>Mujeres</t>
        </is>
      </c>
      <c r="AF105" s="6292" t="inlineStr">
        <is>
          <t xml:space="preserve">Hombres </t>
        </is>
      </c>
      <c r="AG105" s="8176" t="inlineStr">
        <is>
          <t>Mujeres</t>
        </is>
      </c>
      <c r="AH105" s="6292" t="inlineStr">
        <is>
          <t xml:space="preserve">Hombres </t>
        </is>
      </c>
      <c r="AI105" s="8159" t="inlineStr">
        <is>
          <t>Mujeres</t>
        </is>
      </c>
      <c r="AJ105" s="6292" t="inlineStr">
        <is>
          <t xml:space="preserve">Hombres </t>
        </is>
      </c>
      <c r="AK105" s="8176" t="inlineStr">
        <is>
          <t>Mujeres</t>
        </is>
      </c>
      <c r="AL105" s="6292" t="inlineStr">
        <is>
          <t xml:space="preserve">Hombres </t>
        </is>
      </c>
      <c r="AM105" s="7616" t="inlineStr">
        <is>
          <t>Mujeres</t>
        </is>
      </c>
      <c r="AN105" s="9855" t="n"/>
      <c r="AO105" s="9641" t="n"/>
      <c r="AP105" s="5555" t="n"/>
      <c r="AQ105" s="5555" t="n"/>
      <c r="AR105" s="5555" t="n"/>
      <c r="AS105" s="5555" t="n"/>
      <c r="AT105" s="5555" t="n"/>
      <c r="AU105" s="5555" t="n"/>
      <c r="AV105" s="5555" t="n"/>
      <c r="AW105" s="5555" t="n"/>
      <c r="AX105" s="5555" t="n"/>
      <c r="AY105" s="5555" t="n"/>
      <c r="AZ105" s="5555" t="n"/>
      <c r="BA105" s="5555" t="n"/>
      <c r="BB105" s="5555" t="n"/>
    </row>
    <row r="106" ht="15" customHeight="1" s="8286">
      <c r="A106" s="10174" t="inlineStr">
        <is>
          <t>Total de pacientes con indicación de hospitalización</t>
        </is>
      </c>
      <c r="B106" s="9647" t="n"/>
      <c r="C106" s="6368">
        <f>SUM(C107:C113)</f>
        <v/>
      </c>
      <c r="D106" s="935">
        <f>SUM(D107:D113)</f>
        <v/>
      </c>
      <c r="E106" s="6369">
        <f>SUM(E107:E113)</f>
        <v/>
      </c>
      <c r="F106" s="6398">
        <f>SUM(F107:F113)</f>
        <v/>
      </c>
      <c r="G106" s="6419">
        <f>SUM(G107:G113)</f>
        <v/>
      </c>
      <c r="H106" s="6398">
        <f>SUM(H107:H113)</f>
        <v/>
      </c>
      <c r="I106" s="6419">
        <f>SUM(I107:I113)</f>
        <v/>
      </c>
      <c r="J106" s="6398">
        <f>SUM(J107:J113)</f>
        <v/>
      </c>
      <c r="K106" s="6419">
        <f>SUM(K107:K113)</f>
        <v/>
      </c>
      <c r="L106" s="6398">
        <f>SUM(L107:L113)</f>
        <v/>
      </c>
      <c r="M106" s="6419">
        <f>SUM(M107:M113)</f>
        <v/>
      </c>
      <c r="N106" s="6398">
        <f>SUM(N107:N113)</f>
        <v/>
      </c>
      <c r="O106" s="6419">
        <f>SUM(O107:O113)</f>
        <v/>
      </c>
      <c r="P106" s="6398">
        <f>SUM(P107:P113)</f>
        <v/>
      </c>
      <c r="Q106" s="6419">
        <f>SUM(Q107:Q113)</f>
        <v/>
      </c>
      <c r="R106" s="6398">
        <f>SUM(R107:R113)</f>
        <v/>
      </c>
      <c r="S106" s="6419">
        <f>SUM(S107:S113)</f>
        <v/>
      </c>
      <c r="T106" s="6398">
        <f>SUM(T107:T113)</f>
        <v/>
      </c>
      <c r="U106" s="6419">
        <f>SUM(U107:U113)</f>
        <v/>
      </c>
      <c r="V106" s="6398">
        <f>SUM(V107:V113)</f>
        <v/>
      </c>
      <c r="W106" s="6419">
        <f>SUM(W107:W113)</f>
        <v/>
      </c>
      <c r="X106" s="6398">
        <f>SUM(X107:X113)</f>
        <v/>
      </c>
      <c r="Y106" s="6419">
        <f>SUM(Y107:Y113)</f>
        <v/>
      </c>
      <c r="Z106" s="6398">
        <f>SUM(Z107:Z113)</f>
        <v/>
      </c>
      <c r="AA106" s="6419">
        <f>SUM(AA107:AA113)</f>
        <v/>
      </c>
      <c r="AB106" s="6398">
        <f>SUM(AB107:AB113)</f>
        <v/>
      </c>
      <c r="AC106" s="6419">
        <f>SUM(AC107:AC113)</f>
        <v/>
      </c>
      <c r="AD106" s="6398">
        <f>SUM(AD107:AD113)</f>
        <v/>
      </c>
      <c r="AE106" s="6419">
        <f>SUM(AE107:AE113)</f>
        <v/>
      </c>
      <c r="AF106" s="6398">
        <f>SUM(AF107:AF113)</f>
        <v/>
      </c>
      <c r="AG106" s="6419">
        <f>SUM(AG107:AG113)</f>
        <v/>
      </c>
      <c r="AH106" s="6398">
        <f>SUM(AH107:AH113)</f>
        <v/>
      </c>
      <c r="AI106" s="6419">
        <f>SUM(AI107:AI113)</f>
        <v/>
      </c>
      <c r="AJ106" s="6398">
        <f>SUM(AJ107:AJ113)</f>
        <v/>
      </c>
      <c r="AK106" s="6419">
        <f>SUM(AK107:AK113)</f>
        <v/>
      </c>
      <c r="AL106" s="6398">
        <f>SUM(AL107:AL113)</f>
        <v/>
      </c>
      <c r="AM106" s="6420">
        <f>SUM(AM107:AM113)</f>
        <v/>
      </c>
      <c r="AN106" s="6421">
        <f>SUM(AN107:AN113)</f>
        <v/>
      </c>
      <c r="AO106" s="6422">
        <f>SUM(AO107:AO109)</f>
        <v/>
      </c>
      <c r="AP106" s="5555" t="n"/>
      <c r="AQ106" s="5555" t="n"/>
      <c r="AR106" s="5555" t="n"/>
      <c r="AS106" s="5555" t="n"/>
      <c r="AT106" s="5555" t="n"/>
      <c r="AU106" s="5555" t="n"/>
      <c r="AV106" s="5555" t="n"/>
      <c r="AW106" s="5555" t="n"/>
      <c r="AX106" s="5555" t="n"/>
      <c r="AY106" s="5555" t="n"/>
      <c r="AZ106" s="5555" t="n"/>
      <c r="BA106" s="5555" t="n"/>
      <c r="BB106" s="5555" t="n"/>
    </row>
    <row r="107" ht="15" customHeight="1" s="8286">
      <c r="A107" s="10175" t="inlineStr">
        <is>
          <t xml:space="preserve">Pacientes que ingresan a cama hospitalaria según tiempo de demora al ingreso                                </t>
        </is>
      </c>
      <c r="B107" s="8238" t="inlineStr">
        <is>
          <t>Menos de 12 Horas</t>
        </is>
      </c>
      <c r="C107" s="6368">
        <f>SUM(D107+E107)</f>
        <v/>
      </c>
      <c r="D107" s="935">
        <f>SUM(F107+H107+J107+L107+N107+P107+R107+T107+V107+X107+Z107+AB107+AD107+AF107+AH107+AJ107+AL107)</f>
        <v/>
      </c>
      <c r="E107" s="6369">
        <f>SUM(G107+I107+K107+M107+O107+Q107+S107+U107+W107+Y107+AA107+AC107+AE107+AG107+AI107+AK107+AM107)</f>
        <v/>
      </c>
      <c r="F107" s="6424" t="n"/>
      <c r="G107" s="6425" t="n"/>
      <c r="H107" s="6426" t="n"/>
      <c r="I107" s="6427" t="n"/>
      <c r="J107" s="6426" t="n"/>
      <c r="K107" s="6427" t="n"/>
      <c r="L107" s="6424" t="n"/>
      <c r="M107" s="6425" t="n"/>
      <c r="N107" s="6426" t="n"/>
      <c r="O107" s="6427" t="n"/>
      <c r="P107" s="6426" t="n"/>
      <c r="Q107" s="6427" t="n"/>
      <c r="R107" s="6426" t="n"/>
      <c r="S107" s="6427" t="n"/>
      <c r="T107" s="6426" t="n"/>
      <c r="U107" s="6427" t="n"/>
      <c r="V107" s="6426" t="n"/>
      <c r="W107" s="6427" t="n"/>
      <c r="X107" s="6426" t="n"/>
      <c r="Y107" s="6427" t="n"/>
      <c r="Z107" s="6426" t="n"/>
      <c r="AA107" s="6427" t="n"/>
      <c r="AB107" s="6426" t="n"/>
      <c r="AC107" s="6427" t="n"/>
      <c r="AD107" s="6426" t="n"/>
      <c r="AE107" s="6427" t="n"/>
      <c r="AF107" s="6426" t="n"/>
      <c r="AG107" s="6427" t="n"/>
      <c r="AH107" s="6426" t="n"/>
      <c r="AI107" s="6427" t="n"/>
      <c r="AJ107" s="6426" t="n"/>
      <c r="AK107" s="6427" t="n"/>
      <c r="AL107" s="6426" t="n"/>
      <c r="AM107" s="1654" t="n"/>
      <c r="AN107" s="6428" t="n"/>
      <c r="AO107" s="6308" t="n"/>
      <c r="AP107" s="6377">
        <f>CA107&amp;CB107</f>
        <v/>
      </c>
      <c r="AQ107" s="6275" t="n"/>
      <c r="AR107" s="6275" t="n"/>
      <c r="AS107" s="6275" t="n"/>
      <c r="AT107" s="6275" t="n"/>
      <c r="AU107" s="6275" t="n"/>
      <c r="AV107" s="6275" t="n"/>
      <c r="AW107" s="6275" t="n"/>
      <c r="AX107" s="6275" t="n"/>
      <c r="AY107" s="6275" t="n"/>
      <c r="AZ107" s="6275" t="n"/>
      <c r="BA107" s="5555" t="n"/>
      <c r="BB107" s="5555" t="n"/>
      <c r="CA107" s="6276">
        <f>IF(AND($C107&gt;0,AN107="")," *No olvide digitar la variable "&amp;AN$103&amp;""&amp;". Digite CERO si no tiene",IF(AN107&gt;$C107," *La variable "&amp;AN$103&amp;""&amp;" No puede ser mayor al Total Ambos Sexos.",""))</f>
        <v/>
      </c>
      <c r="CB107" s="6276">
        <f>IF(AND($C107&gt;0,AO107="")," *No olvide digitar la variable "&amp;AO$103&amp;""&amp;". Digite CERO si no tiene",IF(AO107&gt;$C107," *La variable "&amp;AO$103&amp;""&amp;" No puede ser mayor al Total Ambos Sexos.",""))</f>
        <v/>
      </c>
      <c r="CM107" s="6277">
        <f>IF(AND($C107&gt;0,AN107=""),1,IF(AN107&gt;$C107,1,0))</f>
        <v/>
      </c>
      <c r="CN107" s="6277">
        <f>IF(AND($C107&gt;0,AO107=""),1,IF(AO107&gt;$C107,1,0))</f>
        <v/>
      </c>
    </row>
    <row r="108" ht="15" customHeight="1" s="8286">
      <c r="A108" s="9614" t="n"/>
      <c r="B108" s="6429" t="inlineStr">
        <is>
          <t>12 - 24 Horas</t>
        </is>
      </c>
      <c r="C108" s="1569">
        <f>SUM(D108+E108)</f>
        <v/>
      </c>
      <c r="D108" s="947">
        <f>SUM(F108+H108+J108+L108+N108+P108+R108+T108+V108+X108+Z108+AB108+AD108+AF108+AH108+AJ108+AL108)</f>
        <v/>
      </c>
      <c r="E108" s="1003">
        <f>SUM(G108+I108+K108+M108+O108+Q108+S108+U108+W108+Y108+AA108+AC108+AE108+AG108+AI108+AK108+AM108)</f>
        <v/>
      </c>
      <c r="F108" s="6430" t="n"/>
      <c r="G108" s="6431" t="n"/>
      <c r="H108" s="6432" t="n"/>
      <c r="I108" s="6433" t="n"/>
      <c r="J108" s="6430" t="n"/>
      <c r="K108" s="6434" t="n"/>
      <c r="L108" s="6432" t="n"/>
      <c r="M108" s="6435" t="n"/>
      <c r="N108" s="6430" t="n"/>
      <c r="O108" s="6434" t="n"/>
      <c r="P108" s="6433" t="n"/>
      <c r="Q108" s="6435" t="n"/>
      <c r="R108" s="6436" t="n"/>
      <c r="S108" s="6434" t="n"/>
      <c r="T108" s="6433" t="n"/>
      <c r="U108" s="6435" t="n"/>
      <c r="V108" s="6436" t="n"/>
      <c r="W108" s="6434" t="n"/>
      <c r="X108" s="6433" t="n"/>
      <c r="Y108" s="6434" t="n"/>
      <c r="Z108" s="6436" t="n"/>
      <c r="AA108" s="6435" t="n"/>
      <c r="AB108" s="6436" t="n"/>
      <c r="AC108" s="6434" t="n"/>
      <c r="AD108" s="6433" t="n"/>
      <c r="AE108" s="6435" t="n"/>
      <c r="AF108" s="6436" t="n"/>
      <c r="AG108" s="6434" t="n"/>
      <c r="AH108" s="6433" t="n"/>
      <c r="AI108" s="6435" t="n"/>
      <c r="AJ108" s="6436" t="n"/>
      <c r="AK108" s="6434" t="n"/>
      <c r="AL108" s="6433" t="n"/>
      <c r="AM108" s="6437" t="n"/>
      <c r="AN108" s="6438" t="n"/>
      <c r="AO108" s="6431" t="n"/>
      <c r="AP108" s="6377">
        <f>CA108&amp;CB108</f>
        <v/>
      </c>
      <c r="AQ108" s="6275" t="n"/>
      <c r="AR108" s="6275" t="n"/>
      <c r="AS108" s="6275" t="n"/>
      <c r="AT108" s="6275" t="n"/>
      <c r="AU108" s="6275" t="n"/>
      <c r="AV108" s="6275" t="n"/>
      <c r="AW108" s="6275" t="n"/>
      <c r="AX108" s="6275" t="n"/>
      <c r="AY108" s="6275" t="n"/>
      <c r="AZ108" s="6275" t="n"/>
      <c r="BA108" s="5555" t="n"/>
      <c r="BB108" s="5555" t="n"/>
      <c r="CA108" s="6276">
        <f>IF(AND($C108&gt;0,AN108="")," *No olvide digitar la variable "&amp;AN$103&amp;""&amp;". Digite CERO si no tiene",IF(AN108&gt;$C108," *La variable "&amp;AN$103&amp;""&amp;" No puede ser mayor al Total Ambos Sexos.",""))</f>
        <v/>
      </c>
      <c r="CB108" s="6276">
        <f>IF(AND($C108&gt;0,AO108="")," *No olvide digitar la variable "&amp;AO$103&amp;""&amp;". Digite CERO si no tiene",IF(AO108&gt;$C108," *La variable "&amp;AO$103&amp;""&amp;" No puede ser mayor al Total Ambos Sexos.",""))</f>
        <v/>
      </c>
      <c r="CM108" s="6277">
        <f>IF(AND($C108&gt;0,AN108=""),1,IF(AN108&gt;$C108,1,0))</f>
        <v/>
      </c>
      <c r="CN108" s="6277">
        <f>IF(AND($C108&gt;0,AO108=""),1,IF(AO108&gt;$C108,1,0))</f>
        <v/>
      </c>
    </row>
    <row r="109" ht="15" customHeight="1" s="8286" thickBot="1">
      <c r="A109" s="10176" t="n"/>
      <c r="B109" s="8161" t="inlineStr">
        <is>
          <t>Mayor a 24 Horas</t>
        </is>
      </c>
      <c r="C109" s="6439">
        <f>SUM(D109+E109)</f>
        <v/>
      </c>
      <c r="D109" s="6440">
        <f>SUM(F109+H109+J109+L109+N109+P109+R109+T109+V109+X109+Z109+AB109+AD109+AF109+AH109+AJ109+AL109)</f>
        <v/>
      </c>
      <c r="E109" s="6441">
        <f>SUM(G109+I109+K109+M109+O109+Q109+S109+U109+W109+Y109+AA109+AC109+AE109+AG109+AI109+AK109+AM109)</f>
        <v/>
      </c>
      <c r="F109" s="6442" t="n"/>
      <c r="G109" s="6443" t="n"/>
      <c r="H109" s="6444" t="n"/>
      <c r="I109" s="6445" t="n"/>
      <c r="J109" s="6442" t="n"/>
      <c r="K109" s="6446" t="n"/>
      <c r="L109" s="6444" t="n"/>
      <c r="M109" s="6447" t="n"/>
      <c r="N109" s="6442" t="n"/>
      <c r="O109" s="6446" t="n"/>
      <c r="P109" s="6445" t="n"/>
      <c r="Q109" s="6447" t="n"/>
      <c r="R109" s="6448" t="n"/>
      <c r="S109" s="6446" t="n"/>
      <c r="T109" s="6445" t="n"/>
      <c r="U109" s="6447" t="n"/>
      <c r="V109" s="6448" t="n"/>
      <c r="W109" s="6446" t="n"/>
      <c r="X109" s="6445" t="n"/>
      <c r="Y109" s="6446" t="n"/>
      <c r="Z109" s="6448" t="n"/>
      <c r="AA109" s="6447" t="n"/>
      <c r="AB109" s="6448" t="n"/>
      <c r="AC109" s="6446" t="n"/>
      <c r="AD109" s="6445" t="n"/>
      <c r="AE109" s="6447" t="n"/>
      <c r="AF109" s="6448" t="n"/>
      <c r="AG109" s="6446" t="n"/>
      <c r="AH109" s="6445" t="n"/>
      <c r="AI109" s="6447" t="n"/>
      <c r="AJ109" s="6448" t="n"/>
      <c r="AK109" s="6446" t="n"/>
      <c r="AL109" s="6445" t="n"/>
      <c r="AM109" s="6449" t="n"/>
      <c r="AN109" s="6450" t="n"/>
      <c r="AO109" s="6443" t="n"/>
      <c r="AP109" s="6377">
        <f>CA109&amp;CB109</f>
        <v/>
      </c>
      <c r="AQ109" s="6275" t="n"/>
      <c r="AR109" s="6275" t="n"/>
      <c r="AS109" s="6275" t="n"/>
      <c r="AT109" s="6275" t="n"/>
      <c r="AU109" s="6275" t="n"/>
      <c r="AV109" s="6275" t="n"/>
      <c r="AW109" s="6275" t="n"/>
      <c r="AX109" s="6275" t="n"/>
      <c r="AY109" s="6275" t="n"/>
      <c r="AZ109" s="6275" t="n"/>
      <c r="BA109" s="5555" t="n"/>
      <c r="BB109" s="5555" t="n"/>
      <c r="CA109" s="6276">
        <f>IF(AND($C109&gt;0,AN109="")," *No olvide digitar la variable "&amp;AN$103&amp;""&amp;". Digite CERO si no tiene",IF(AN109&gt;$C109," *La variable "&amp;AN$103&amp;""&amp;" No puede ser mayor al Total Ambos Sexos.",""))</f>
        <v/>
      </c>
      <c r="CB109" s="6276">
        <f>IF(AND($C109&gt;0,AO109="")," *No olvide digitar la variable "&amp;AO$103&amp;""&amp;". Digite CERO si no tiene",IF(AO109&gt;$C109," *La variable "&amp;AO$103&amp;""&amp;" No puede ser mayor al Total Ambos Sexos.",""))</f>
        <v/>
      </c>
      <c r="CM109" s="6277">
        <f>IF(AND($C109&gt;0,AN109=""),1,IF(AN109&gt;$C109,1,0))</f>
        <v/>
      </c>
      <c r="CN109" s="6277">
        <f>IF(AND($C109&gt;0,AO109=""),1,IF(AO109&gt;$C109,1,0))</f>
        <v/>
      </c>
    </row>
    <row r="110" ht="15" customHeight="1" s="8286" thickTop="1">
      <c r="A110" s="10177" t="inlineStr">
        <is>
          <t xml:space="preserve">Pacientes que rechazan hospitalización </t>
        </is>
      </c>
      <c r="B110" s="9935" t="n"/>
      <c r="C110" s="1537">
        <f>SUM(D110+E110)</f>
        <v/>
      </c>
      <c r="D110" s="6299">
        <f>SUM(F110+H110+J110+L110+N110+P110+R110+T110+V110+X110+Z110+AB110+AD110+AF110+AH110+AJ110+AL110)</f>
        <v/>
      </c>
      <c r="E110" s="1786">
        <f>SUM(G110+I110+K110+M110+O110+Q110+S110+U110+W110+Y110+AA110+AC110+AE110+AG110+AI110+AK110+AM110)</f>
        <v/>
      </c>
      <c r="F110" s="6451" t="n"/>
      <c r="G110" s="6452" t="n"/>
      <c r="H110" s="6453" t="n"/>
      <c r="I110" s="6454" t="n"/>
      <c r="J110" s="6455" t="n"/>
      <c r="K110" s="6452" t="n"/>
      <c r="L110" s="6453" t="n"/>
      <c r="M110" s="6456" t="n"/>
      <c r="N110" s="6455" t="n"/>
      <c r="O110" s="6452" t="n"/>
      <c r="P110" s="6454" t="n"/>
      <c r="Q110" s="6456" t="n"/>
      <c r="R110" s="6457" t="n"/>
      <c r="S110" s="6452" t="n"/>
      <c r="T110" s="6454" t="n"/>
      <c r="U110" s="6456" t="n"/>
      <c r="V110" s="6457" t="n"/>
      <c r="W110" s="6452" t="n"/>
      <c r="X110" s="6454" t="n"/>
      <c r="Y110" s="6452" t="n"/>
      <c r="Z110" s="6457" t="n"/>
      <c r="AA110" s="6456" t="n"/>
      <c r="AB110" s="6457" t="n"/>
      <c r="AC110" s="6452" t="n"/>
      <c r="AD110" s="6454" t="n"/>
      <c r="AE110" s="6456" t="n"/>
      <c r="AF110" s="6457" t="n"/>
      <c r="AG110" s="6452" t="n"/>
      <c r="AH110" s="6454" t="n"/>
      <c r="AI110" s="6456" t="n"/>
      <c r="AJ110" s="6457" t="n"/>
      <c r="AK110" s="6452" t="n"/>
      <c r="AL110" s="6454" t="n"/>
      <c r="AM110" s="6458" t="n"/>
      <c r="AN110" s="6459" t="n"/>
      <c r="AO110" s="6460" t="n"/>
      <c r="AP110" s="6377">
        <f>CA110</f>
        <v/>
      </c>
      <c r="AQ110" s="6275" t="n"/>
      <c r="AR110" s="6275" t="n"/>
      <c r="AS110" s="6275" t="n"/>
      <c r="AT110" s="6275" t="n"/>
      <c r="AU110" s="6275" t="n"/>
      <c r="AV110" s="6275" t="n"/>
      <c r="AW110" s="6275" t="n"/>
      <c r="AX110" s="6275" t="n"/>
      <c r="AY110" s="6275" t="n"/>
      <c r="AZ110" s="6275" t="n"/>
      <c r="BA110" s="5555" t="n"/>
      <c r="BB110" s="5555" t="n"/>
      <c r="CA110" s="6276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>IF(AND($C110&gt;0,AN110=""),1,IF(AN110&gt;$C110,1,0))</f>
        <v/>
      </c>
    </row>
    <row r="111" ht="15" customHeight="1" s="8286">
      <c r="A111" s="6841" t="inlineStr">
        <is>
          <t>Pacientes derivados a otro establecimiento</t>
        </is>
      </c>
      <c r="B111" s="9644" t="n"/>
      <c r="C111" s="946">
        <f>SUM(D111+E111)</f>
        <v/>
      </c>
      <c r="D111" s="6299">
        <f>SUM(F111+H111+J111+L111+N111+P111+R111+T111+V111+X111+Z111+AB111+AD111+AF111+AH111+AJ111+AL111)</f>
        <v/>
      </c>
      <c r="E111" s="1789">
        <f>SUM(G111+I111+K111+M111+O111+Q111+S111+U111+W111+Y111+AA111+AC111+AE111+AG111+AI111+AK111+AM111)</f>
        <v/>
      </c>
      <c r="F111" s="6461" t="n"/>
      <c r="G111" s="6462" t="n"/>
      <c r="H111" s="6463" t="n"/>
      <c r="I111" s="6464" t="n"/>
      <c r="J111" s="6451" t="n"/>
      <c r="K111" s="6465" t="n"/>
      <c r="L111" s="6463" t="n"/>
      <c r="M111" s="6466" t="n"/>
      <c r="N111" s="6451" t="n"/>
      <c r="O111" s="6465" t="n"/>
      <c r="P111" s="6464" t="n"/>
      <c r="Q111" s="6466" t="n"/>
      <c r="R111" s="6467" t="n"/>
      <c r="S111" s="6465" t="n"/>
      <c r="T111" s="6464" t="n"/>
      <c r="U111" s="6466" t="n"/>
      <c r="V111" s="6467" t="n"/>
      <c r="W111" s="6465" t="n"/>
      <c r="X111" s="6464" t="n"/>
      <c r="Y111" s="6465" t="n"/>
      <c r="Z111" s="6467" t="n"/>
      <c r="AA111" s="6466" t="n"/>
      <c r="AB111" s="6467" t="n"/>
      <c r="AC111" s="6465" t="n"/>
      <c r="AD111" s="6464" t="n"/>
      <c r="AE111" s="6466" t="n"/>
      <c r="AF111" s="6467" t="n"/>
      <c r="AG111" s="6465" t="n"/>
      <c r="AH111" s="6464" t="n"/>
      <c r="AI111" s="6466" t="n"/>
      <c r="AJ111" s="6467" t="n"/>
      <c r="AK111" s="6465" t="n"/>
      <c r="AL111" s="6464" t="n"/>
      <c r="AM111" s="6468" t="n"/>
      <c r="AN111" s="6469" t="n"/>
      <c r="AO111" s="6470" t="n"/>
      <c r="AP111" s="6377">
        <f>CA111</f>
        <v/>
      </c>
      <c r="AQ111" s="6275" t="n"/>
      <c r="AR111" s="6275" t="n"/>
      <c r="AS111" s="6275" t="n"/>
      <c r="AT111" s="6275" t="n"/>
      <c r="AU111" s="6275" t="n"/>
      <c r="AV111" s="6275" t="n"/>
      <c r="AW111" s="6275" t="n"/>
      <c r="AX111" s="6275" t="n"/>
      <c r="AY111" s="6275" t="n"/>
      <c r="AZ111" s="6275" t="n"/>
      <c r="BA111" s="5555" t="n"/>
      <c r="BB111" s="5555" t="n"/>
      <c r="CA111" s="6276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>IF(AND($C111&gt;0,AN111=""),1,IF(AN111&gt;$C111,1,0))</f>
        <v/>
      </c>
    </row>
    <row r="112" ht="15" customHeight="1" s="8286">
      <c r="A112" s="6841" t="inlineStr">
        <is>
          <t>Pacientes que permanecen en UEH</t>
        </is>
      </c>
      <c r="B112" s="9644" t="n"/>
      <c r="C112" s="1569">
        <f>SUM(D112+E112)</f>
        <v/>
      </c>
      <c r="D112" s="947">
        <f>SUM(F112+H112+J112+L112+N112+P112+R112+T112+V112+X112+Z112+AB112+AD112+AF112+AH112+AJ112+AL112)</f>
        <v/>
      </c>
      <c r="E112" s="6471">
        <f>SUM(G112+I112+K112+M112+O112+Q112+S112+U112+W112+Y112+AA112+AC112+AE112+AG112+AI112+AK112+AM112)</f>
        <v/>
      </c>
      <c r="F112" s="6430" t="n"/>
      <c r="G112" s="6431" t="n"/>
      <c r="H112" s="6432" t="n"/>
      <c r="I112" s="6433" t="n"/>
      <c r="J112" s="6430" t="n"/>
      <c r="K112" s="6434" t="n"/>
      <c r="L112" s="6432" t="n"/>
      <c r="M112" s="6435" t="n"/>
      <c r="N112" s="6430" t="n"/>
      <c r="O112" s="6434" t="n"/>
      <c r="P112" s="6433" t="n"/>
      <c r="Q112" s="6435" t="n"/>
      <c r="R112" s="6436" t="n"/>
      <c r="S112" s="6434" t="n"/>
      <c r="T112" s="6433" t="n"/>
      <c r="U112" s="6435" t="n"/>
      <c r="V112" s="6436" t="n"/>
      <c r="W112" s="6434" t="n"/>
      <c r="X112" s="6433" t="n"/>
      <c r="Y112" s="6434" t="n"/>
      <c r="Z112" s="6436" t="n"/>
      <c r="AA112" s="6435" t="n"/>
      <c r="AB112" s="6436" t="n"/>
      <c r="AC112" s="6434" t="n"/>
      <c r="AD112" s="6433" t="n"/>
      <c r="AE112" s="6435" t="n"/>
      <c r="AF112" s="6436" t="n"/>
      <c r="AG112" s="6434" t="n"/>
      <c r="AH112" s="6433" t="n"/>
      <c r="AI112" s="6435" t="n"/>
      <c r="AJ112" s="6436" t="n"/>
      <c r="AK112" s="6434" t="n"/>
      <c r="AL112" s="6433" t="n"/>
      <c r="AM112" s="6437" t="n"/>
      <c r="AN112" s="6438" t="n"/>
      <c r="AO112" s="6472" t="n"/>
      <c r="AP112" s="6377">
        <f>CA112</f>
        <v/>
      </c>
      <c r="AQ112" s="6275" t="n"/>
      <c r="AR112" s="6275" t="n"/>
      <c r="AS112" s="6275" t="n"/>
      <c r="AT112" s="6275" t="n"/>
      <c r="AU112" s="6275" t="n"/>
      <c r="AV112" s="6275" t="n"/>
      <c r="AW112" s="6275" t="n"/>
      <c r="AX112" s="6275" t="n"/>
      <c r="AY112" s="6275" t="n"/>
      <c r="AZ112" s="6275" t="n"/>
      <c r="BA112" s="5555" t="n"/>
      <c r="BB112" s="5555" t="n"/>
      <c r="CA112" s="6276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>IF(AND($C112&gt;0,AN112=""),1,IF(AN112&gt;$C112,1,0))</f>
        <v/>
      </c>
    </row>
    <row r="113" ht="15" customHeight="1" s="8286">
      <c r="A113" s="10178" t="inlineStr">
        <is>
          <t>Pacientes que ingresan directamente a proceso quirúrgico</t>
        </is>
      </c>
      <c r="B113" s="9720" t="n"/>
      <c r="C113" s="1514">
        <f>SUM(D113+E113)</f>
        <v/>
      </c>
      <c r="D113" s="1549">
        <f>SUM(F113+H113+J113+L113+N113+P113+R113+T113+V113+X113+Z113+AB113+AD113+AF113+AH113+AJ113+AL113)</f>
        <v/>
      </c>
      <c r="E113" s="1917">
        <f>SUM(G113+I113+K113+M113+O113+Q113+S113+U113+W113+Y113+AA113+AC113+AE113+AG113+AI113+AK113+AM113)</f>
        <v/>
      </c>
      <c r="F113" s="6473" t="n"/>
      <c r="G113" s="6474" t="n"/>
      <c r="H113" s="6475" t="n"/>
      <c r="I113" s="6476" t="n"/>
      <c r="J113" s="6473" t="n"/>
      <c r="K113" s="6477" t="n"/>
      <c r="L113" s="6475" t="n"/>
      <c r="M113" s="6478" t="n"/>
      <c r="N113" s="6473" t="n"/>
      <c r="O113" s="6477" t="n"/>
      <c r="P113" s="6476" t="n"/>
      <c r="Q113" s="6478" t="n"/>
      <c r="R113" s="6479" t="n"/>
      <c r="S113" s="6477" t="n"/>
      <c r="T113" s="6476" t="n"/>
      <c r="U113" s="6478" t="n"/>
      <c r="V113" s="6479" t="n"/>
      <c r="W113" s="6477" t="n"/>
      <c r="X113" s="6476" t="n"/>
      <c r="Y113" s="6477" t="n"/>
      <c r="Z113" s="6479" t="n"/>
      <c r="AA113" s="6478" t="n"/>
      <c r="AB113" s="6479" t="n"/>
      <c r="AC113" s="6477" t="n"/>
      <c r="AD113" s="6476" t="n"/>
      <c r="AE113" s="6478" t="n"/>
      <c r="AF113" s="6479" t="n"/>
      <c r="AG113" s="6477" t="n"/>
      <c r="AH113" s="6476" t="n"/>
      <c r="AI113" s="6478" t="n"/>
      <c r="AJ113" s="6479" t="n"/>
      <c r="AK113" s="6477" t="n"/>
      <c r="AL113" s="6476" t="n"/>
      <c r="AM113" s="6480" t="n"/>
      <c r="AN113" s="6481" t="n"/>
      <c r="AO113" s="6482" t="n"/>
      <c r="AP113" s="6377">
        <f>CA113</f>
        <v/>
      </c>
      <c r="AQ113" s="6275" t="n"/>
      <c r="AR113" s="6275" t="n"/>
      <c r="AS113" s="6275" t="n"/>
      <c r="AT113" s="6275" t="n"/>
      <c r="AU113" s="6275" t="n"/>
      <c r="AV113" s="6275" t="n"/>
      <c r="AW113" s="6275" t="n"/>
      <c r="AX113" s="6275" t="n"/>
      <c r="AY113" s="6275" t="n"/>
      <c r="AZ113" s="6275" t="n"/>
      <c r="BA113" s="5555" t="n"/>
      <c r="BB113" s="5555" t="n"/>
      <c r="CA113" s="6276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>IF(AND($C113&gt;0,AN113=""),1,IF(AN113&gt;$C113,1,0))</f>
        <v/>
      </c>
    </row>
    <row r="114" ht="18" customFormat="1" customHeight="1" s="6246">
      <c r="A114" s="927" t="inlineStr">
        <is>
          <t>SECCIÓN E:PACIENTES CON INDICACIÓN DE OBSERVACIÓN EN SAR Y SAPU</t>
        </is>
      </c>
      <c r="AO114" s="6251" t="n"/>
      <c r="AP114" s="6251" t="n"/>
      <c r="AQ114" s="6251" t="n"/>
      <c r="AR114" s="6251" t="n"/>
      <c r="AS114" s="6251" t="n"/>
      <c r="AT114" s="6251" t="n"/>
      <c r="AU114" s="6251" t="n"/>
      <c r="AV114" s="6251" t="n"/>
      <c r="AW114" s="6251" t="n"/>
      <c r="AX114" s="6251" t="n"/>
      <c r="AY114" s="6251" t="n"/>
      <c r="AZ114" s="6251" t="n"/>
      <c r="BA114" s="6251" t="n"/>
      <c r="BB114" s="6251" t="n"/>
      <c r="BV114" s="6251" t="n"/>
      <c r="BW114" s="6251" t="n"/>
      <c r="BX114" s="6251" t="n"/>
      <c r="BY114" s="6251" t="n"/>
      <c r="CM114" s="939" t="n"/>
    </row>
    <row r="115" ht="16.35" customHeight="1" s="8286">
      <c r="A115" s="9624" t="inlineStr">
        <is>
          <t>PACIENTES CON INDICACIÓN DE OBSERVACIÓN</t>
        </is>
      </c>
      <c r="B115" s="9584" t="n"/>
      <c r="C115" s="9647" t="n"/>
      <c r="D115" s="8168" t="inlineStr">
        <is>
          <t>TOTAL</t>
        </is>
      </c>
      <c r="AO115" s="5555" t="n"/>
      <c r="AP115" s="5555" t="n"/>
      <c r="AQ115" s="5555" t="n"/>
      <c r="AR115" s="5555" t="n"/>
      <c r="AS115" s="5555" t="n"/>
      <c r="AT115" s="5555" t="n"/>
      <c r="AU115" s="5555" t="n"/>
      <c r="AV115" s="5555" t="n"/>
      <c r="AW115" s="5555" t="n"/>
      <c r="AX115" s="5555" t="n"/>
      <c r="AY115" s="5555" t="n"/>
      <c r="AZ115" s="5555" t="n"/>
      <c r="BA115" s="5555" t="n"/>
      <c r="BB115" s="5555" t="n"/>
    </row>
    <row r="116" ht="24" customHeight="1" s="8286">
      <c r="A116" s="10179" t="inlineStr">
        <is>
          <t xml:space="preserve">Pacientes que permanecen en observación         </t>
        </is>
      </c>
      <c r="B116" s="9630" t="n"/>
      <c r="C116" s="6483" t="inlineStr">
        <is>
          <t>Menos de 2 Horas</t>
        </is>
      </c>
      <c r="D116" s="6484" t="n"/>
      <c r="E116" s="6415" t="n"/>
    </row>
    <row r="117" ht="15" customHeight="1" s="8286">
      <c r="A117" s="642" t="n"/>
      <c r="B117" s="9718" t="n"/>
      <c r="C117" s="6485" t="inlineStr">
        <is>
          <t>2 a 6 Horas</t>
        </is>
      </c>
      <c r="D117" s="6486" t="n"/>
      <c r="E117" s="6415" t="n"/>
    </row>
    <row r="118" ht="15" customHeight="1" s="8286">
      <c r="A118" s="9638" t="n"/>
      <c r="B118" s="9639" t="n"/>
      <c r="C118" s="6488" t="inlineStr">
        <is>
          <t>Mayor a 6 Horas</t>
        </is>
      </c>
      <c r="D118" s="6489" t="n"/>
      <c r="E118" s="6415" t="n"/>
    </row>
    <row r="119" ht="18" customFormat="1" customHeight="1" s="6246">
      <c r="A119" s="10180" t="inlineStr">
        <is>
          <t>SECCIÓN F: PACIENTES FALLECIDOS EN UNIDADES DE EMERGENCIA (Establecimientos Alta, Mediana o Baja Complejidad, SAR, SAPU y SUR)</t>
        </is>
      </c>
      <c r="B119" s="9591" t="n"/>
      <c r="C119" s="9591" t="n"/>
      <c r="D119" s="9591" t="n"/>
      <c r="E119" s="9591" t="n"/>
      <c r="F119" s="9591" t="n"/>
      <c r="G119" s="9591" t="n"/>
      <c r="H119" s="9591" t="n"/>
      <c r="I119" s="9591" t="n"/>
      <c r="J119" s="9591" t="n"/>
      <c r="K119" s="9882" t="n"/>
      <c r="L119" s="6490" t="n"/>
      <c r="M119" s="6491" t="n"/>
      <c r="N119" s="6491" t="n"/>
      <c r="O119" s="6492" t="n"/>
      <c r="P119" s="1076" t="n"/>
      <c r="Q119" s="6491" t="n"/>
      <c r="R119" s="6492" t="n"/>
      <c r="S119" s="1076" t="n"/>
      <c r="T119" s="6491" t="n"/>
      <c r="U119" s="1076" t="n"/>
      <c r="V119" s="1076" t="n"/>
      <c r="W119" s="6492" t="n"/>
      <c r="X119" s="6492" t="n"/>
      <c r="Y119" s="6492" t="n"/>
      <c r="Z119" s="6493" t="n"/>
      <c r="AA119" s="1076" t="n"/>
      <c r="AB119" s="6492" t="n"/>
      <c r="AC119" s="6492" t="n"/>
      <c r="AD119" s="6492" t="n"/>
      <c r="AE119" s="6492" t="n"/>
      <c r="AF119" s="6493" t="n"/>
      <c r="AG119" s="1076" t="n"/>
      <c r="AH119" s="6492" t="n"/>
      <c r="AI119" s="6492" t="n"/>
      <c r="AJ119" s="6492" t="n"/>
      <c r="AK119" s="1076" t="n"/>
      <c r="AL119" s="6491" t="n"/>
      <c r="AM119" s="6492" t="n"/>
      <c r="AN119" s="6491" t="n"/>
      <c r="AO119" s="6494" t="n"/>
      <c r="AP119" s="1076" t="n"/>
      <c r="BV119" s="6251" t="n"/>
      <c r="BW119" s="6251" t="n"/>
      <c r="BX119" s="6251" t="n"/>
      <c r="BY119" s="6251" t="n"/>
    </row>
    <row r="120" ht="16.35" customHeight="1" s="8286">
      <c r="A120" s="9866" t="inlineStr">
        <is>
          <t>TIPO DE PACIENTES</t>
        </is>
      </c>
      <c r="B120" s="9630" t="n"/>
      <c r="C120" s="9629" t="inlineStr">
        <is>
          <t xml:space="preserve">TOTAL        </t>
        </is>
      </c>
      <c r="D120" s="9602" t="n"/>
      <c r="E120" s="9630" t="n"/>
      <c r="F120" s="9594" t="inlineStr">
        <is>
          <t>RANGO ETARIO (en años)</t>
        </is>
      </c>
      <c r="G120" s="9584" t="n"/>
      <c r="H120" s="9584" t="n"/>
      <c r="I120" s="9584" t="n"/>
      <c r="J120" s="9584" t="n"/>
      <c r="K120" s="9584" t="n"/>
      <c r="L120" s="9584" t="n"/>
      <c r="M120" s="9584" t="n"/>
      <c r="N120" s="9584" t="n"/>
      <c r="O120" s="9584" t="n"/>
      <c r="P120" s="9584" t="n"/>
      <c r="Q120" s="9584" t="n"/>
      <c r="R120" s="9584" t="n"/>
      <c r="S120" s="9584" t="n"/>
      <c r="T120" s="9584" t="n"/>
      <c r="U120" s="9584" t="n"/>
      <c r="V120" s="9584" t="n"/>
      <c r="W120" s="9584" t="n"/>
      <c r="X120" s="9584" t="n"/>
      <c r="Y120" s="9584" t="n"/>
      <c r="Z120" s="9584" t="n"/>
      <c r="AA120" s="9584" t="n"/>
      <c r="AB120" s="9584" t="n"/>
      <c r="AC120" s="9584" t="n"/>
      <c r="AD120" s="9584" t="n"/>
      <c r="AE120" s="9584" t="n"/>
      <c r="AF120" s="9584" t="n"/>
      <c r="AG120" s="9584" t="n"/>
      <c r="AH120" s="9584" t="n"/>
      <c r="AI120" s="9584" t="n"/>
      <c r="AJ120" s="9584" t="n"/>
      <c r="AK120" s="9584" t="n"/>
      <c r="AL120" s="9584" t="n"/>
      <c r="AM120" s="9595" t="n"/>
      <c r="AN120" s="8274" t="inlineStr">
        <is>
          <t>Beneficiarios</t>
        </is>
      </c>
      <c r="AO120" s="6495" t="n"/>
    </row>
    <row r="121" ht="16.35" customHeight="1" s="8286">
      <c r="A121" s="642" t="n"/>
      <c r="B121" s="9718" t="n"/>
      <c r="C121" s="9638" t="n"/>
      <c r="D121" s="9697" t="n"/>
      <c r="E121" s="9639" t="n"/>
      <c r="F121" s="9624" t="inlineStr">
        <is>
          <t>0 - 4 años</t>
        </is>
      </c>
      <c r="G121" s="9647" t="n"/>
      <c r="H121" s="9624" t="inlineStr">
        <is>
          <t>5 - 9 años</t>
        </is>
      </c>
      <c r="I121" s="9647" t="n"/>
      <c r="J121" s="9624" t="inlineStr">
        <is>
          <t>10 - 14 años</t>
        </is>
      </c>
      <c r="K121" s="9647" t="n"/>
      <c r="L121" s="9624" t="inlineStr">
        <is>
          <t>15 - 19 años</t>
        </is>
      </c>
      <c r="M121" s="9647" t="n"/>
      <c r="N121" s="9624" t="inlineStr">
        <is>
          <t>20 - 24 años</t>
        </is>
      </c>
      <c r="O121" s="9647" t="n"/>
      <c r="P121" s="9874" t="inlineStr">
        <is>
          <t>25 - 29 años</t>
        </is>
      </c>
      <c r="Q121" s="9647" t="n"/>
      <c r="R121" s="9874" t="inlineStr">
        <is>
          <t>30 - 34 años</t>
        </is>
      </c>
      <c r="S121" s="9647" t="n"/>
      <c r="T121" s="9874" t="inlineStr">
        <is>
          <t>35 - 39 años</t>
        </is>
      </c>
      <c r="U121" s="9647" t="n"/>
      <c r="V121" s="9874" t="inlineStr">
        <is>
          <t>40 - 44 años</t>
        </is>
      </c>
      <c r="W121" s="9647" t="n"/>
      <c r="X121" s="9874" t="inlineStr">
        <is>
          <t>45 - 49 años</t>
        </is>
      </c>
      <c r="Y121" s="9647" t="n"/>
      <c r="Z121" s="9874" t="inlineStr">
        <is>
          <t>50 - 54 años</t>
        </is>
      </c>
      <c r="AA121" s="9647" t="n"/>
      <c r="AB121" s="9874" t="inlineStr">
        <is>
          <t>55 - 59 años</t>
        </is>
      </c>
      <c r="AC121" s="9647" t="n"/>
      <c r="AD121" s="9874" t="inlineStr">
        <is>
          <t>60 - 64 años</t>
        </is>
      </c>
      <c r="AE121" s="9647" t="n"/>
      <c r="AF121" s="9874" t="inlineStr">
        <is>
          <t>65 - 69 años</t>
        </is>
      </c>
      <c r="AG121" s="9647" t="n"/>
      <c r="AH121" s="9874" t="inlineStr">
        <is>
          <t>70 - 74 años</t>
        </is>
      </c>
      <c r="AI121" s="9647" t="n"/>
      <c r="AJ121" s="9874" t="inlineStr">
        <is>
          <t>75 - 79 años</t>
        </is>
      </c>
      <c r="AK121" s="9647" t="n"/>
      <c r="AL121" s="9894" t="inlineStr">
        <is>
          <t>80 y más años</t>
        </is>
      </c>
      <c r="AM121" s="9595" t="n"/>
      <c r="AN121" s="9718" t="n"/>
      <c r="AO121" s="5555" t="n"/>
      <c r="AP121" s="5555" t="n"/>
      <c r="AQ121" s="5555" t="n"/>
      <c r="AR121" s="5555" t="n"/>
      <c r="AS121" s="5555" t="n"/>
      <c r="AT121" s="5555" t="n"/>
      <c r="AU121" s="5555" t="n"/>
      <c r="AV121" s="5555" t="n"/>
      <c r="AW121" s="5555" t="n"/>
      <c r="AX121" s="5555" t="n"/>
      <c r="AY121" s="5555" t="n"/>
      <c r="AZ121" s="5555" t="n"/>
      <c r="BA121" s="5555" t="n"/>
    </row>
    <row r="122" ht="16.35" customHeight="1" s="8286">
      <c r="A122" s="9638" t="n"/>
      <c r="B122" s="9639" t="n"/>
      <c r="C122" s="6290" t="inlineStr">
        <is>
          <t>Ambos Sexos</t>
        </is>
      </c>
      <c r="D122" s="6291" t="inlineStr">
        <is>
          <t xml:space="preserve">Hombres </t>
        </is>
      </c>
      <c r="E122" s="8176" t="inlineStr">
        <is>
          <t>Mujeres</t>
        </is>
      </c>
      <c r="F122" s="6292" t="inlineStr">
        <is>
          <t xml:space="preserve">Hombres </t>
        </is>
      </c>
      <c r="G122" s="8176" t="inlineStr">
        <is>
          <t>Mujeres</t>
        </is>
      </c>
      <c r="H122" s="6292" t="inlineStr">
        <is>
          <t xml:space="preserve">Hombres </t>
        </is>
      </c>
      <c r="I122" s="8176" t="inlineStr">
        <is>
          <t>Mujeres</t>
        </is>
      </c>
      <c r="J122" s="6292" t="inlineStr">
        <is>
          <t xml:space="preserve">Hombres </t>
        </is>
      </c>
      <c r="K122" s="8176" t="inlineStr">
        <is>
          <t>Mujeres</t>
        </is>
      </c>
      <c r="L122" s="6292" t="inlineStr">
        <is>
          <t xml:space="preserve">Hombres </t>
        </is>
      </c>
      <c r="M122" s="8176" t="inlineStr">
        <is>
          <t>Mujeres</t>
        </is>
      </c>
      <c r="N122" s="6292" t="inlineStr">
        <is>
          <t xml:space="preserve">Hombres </t>
        </is>
      </c>
      <c r="O122" s="8176" t="inlineStr">
        <is>
          <t>Mujeres</t>
        </is>
      </c>
      <c r="P122" s="6292" t="inlineStr">
        <is>
          <t xml:space="preserve">Hombres </t>
        </is>
      </c>
      <c r="Q122" s="8176" t="inlineStr">
        <is>
          <t>Mujeres</t>
        </is>
      </c>
      <c r="R122" s="6292" t="inlineStr">
        <is>
          <t xml:space="preserve">Hombres </t>
        </is>
      </c>
      <c r="S122" s="8176" t="inlineStr">
        <is>
          <t>Mujeres</t>
        </is>
      </c>
      <c r="T122" s="6292" t="inlineStr">
        <is>
          <t xml:space="preserve">Hombres </t>
        </is>
      </c>
      <c r="U122" s="8176" t="inlineStr">
        <is>
          <t>Mujeres</t>
        </is>
      </c>
      <c r="V122" s="6292" t="inlineStr">
        <is>
          <t xml:space="preserve">Hombres </t>
        </is>
      </c>
      <c r="W122" s="8176" t="inlineStr">
        <is>
          <t>Mujeres</t>
        </is>
      </c>
      <c r="X122" s="6292" t="inlineStr">
        <is>
          <t xml:space="preserve">Hombres </t>
        </is>
      </c>
      <c r="Y122" s="8176" t="inlineStr">
        <is>
          <t>Mujeres</t>
        </is>
      </c>
      <c r="Z122" s="6292" t="inlineStr">
        <is>
          <t xml:space="preserve">Hombres </t>
        </is>
      </c>
      <c r="AA122" s="8176" t="inlineStr">
        <is>
          <t>Mujeres</t>
        </is>
      </c>
      <c r="AB122" s="6292" t="inlineStr">
        <is>
          <t xml:space="preserve">Hombres </t>
        </is>
      </c>
      <c r="AC122" s="8176" t="inlineStr">
        <is>
          <t>Mujeres</t>
        </is>
      </c>
      <c r="AD122" s="6292" t="inlineStr">
        <is>
          <t xml:space="preserve">Hombres </t>
        </is>
      </c>
      <c r="AE122" s="8159" t="inlineStr">
        <is>
          <t>Mujeres</t>
        </is>
      </c>
      <c r="AF122" s="6292" t="inlineStr">
        <is>
          <t xml:space="preserve">Hombres </t>
        </is>
      </c>
      <c r="AG122" s="8176" t="inlineStr">
        <is>
          <t>Mujeres</t>
        </is>
      </c>
      <c r="AH122" s="6292" t="inlineStr">
        <is>
          <t xml:space="preserve">Hombres </t>
        </is>
      </c>
      <c r="AI122" s="8159" t="inlineStr">
        <is>
          <t>Mujeres</t>
        </is>
      </c>
      <c r="AJ122" s="6292" t="inlineStr">
        <is>
          <t xml:space="preserve">Hombres </t>
        </is>
      </c>
      <c r="AK122" s="8176" t="inlineStr">
        <is>
          <t>Mujeres</t>
        </is>
      </c>
      <c r="AL122" s="6292" t="inlineStr">
        <is>
          <t xml:space="preserve">Hombres </t>
        </is>
      </c>
      <c r="AM122" s="7616" t="inlineStr">
        <is>
          <t>Mujeres</t>
        </is>
      </c>
      <c r="AN122" s="9639" t="n"/>
      <c r="AO122" s="6496" t="n"/>
      <c r="AP122" s="5555" t="n"/>
      <c r="AQ122" s="5555" t="n"/>
      <c r="AR122" s="5555" t="n"/>
      <c r="AS122" s="5555" t="n"/>
      <c r="AT122" s="5555" t="n"/>
      <c r="AU122" s="5555" t="n"/>
      <c r="AV122" s="5555" t="n"/>
      <c r="AW122" s="5555" t="n"/>
      <c r="AX122" s="5555" t="n"/>
      <c r="AY122" s="5555" t="n"/>
      <c r="AZ122" s="5555" t="n"/>
      <c r="BA122" s="5555" t="n"/>
    </row>
    <row r="123" ht="15" customHeight="1" s="8286">
      <c r="A123" s="9642" t="inlineStr">
        <is>
          <t>Pacientes Fallecidos en Espera de Atención Médica</t>
        </is>
      </c>
      <c r="B123" s="9643" t="n"/>
      <c r="C123" s="1537">
        <f>SUM(D123+E123)</f>
        <v/>
      </c>
      <c r="D123" s="944">
        <f>SUM(F123+H123+J123+L123+N123+P123+R123+T123+V123+X123+Z123+AB123+AD123+AF123+AH123+AJ123+AL123)</f>
        <v/>
      </c>
      <c r="E123" s="1538">
        <f>SUM(G123+I123+K123+M123+O123+Q123+S123+U123+W123+Y123+AA123+AC123+AE123+AG123+AI123+AK123+AM123)</f>
        <v/>
      </c>
      <c r="F123" s="5999" t="n"/>
      <c r="G123" s="943" t="n"/>
      <c r="H123" s="5999" t="n"/>
      <c r="I123" s="943" t="n"/>
      <c r="J123" s="5999" t="n"/>
      <c r="K123" s="943" t="n"/>
      <c r="L123" s="5999" t="n"/>
      <c r="M123" s="943" t="n"/>
      <c r="N123" s="5999" t="n"/>
      <c r="O123" s="943" t="n"/>
      <c r="P123" s="5999" t="n"/>
      <c r="Q123" s="943" t="n"/>
      <c r="R123" s="5999" t="n"/>
      <c r="S123" s="943" t="n"/>
      <c r="T123" s="5999" t="n"/>
      <c r="U123" s="943" t="n"/>
      <c r="V123" s="5999" t="n"/>
      <c r="W123" s="943" t="n"/>
      <c r="X123" s="5999" t="n"/>
      <c r="Y123" s="943" t="n"/>
      <c r="Z123" s="5999" t="n"/>
      <c r="AA123" s="943" t="n"/>
      <c r="AB123" s="5999" t="n"/>
      <c r="AC123" s="943" t="n"/>
      <c r="AD123" s="1635" t="n"/>
      <c r="AE123" s="1533" t="n"/>
      <c r="AF123" s="5999" t="n"/>
      <c r="AG123" s="943" t="n"/>
      <c r="AH123" s="1635" t="n"/>
      <c r="AI123" s="1533" t="n"/>
      <c r="AJ123" s="5999" t="n"/>
      <c r="AK123" s="943" t="n"/>
      <c r="AL123" s="1635" t="n"/>
      <c r="AM123" s="1004" t="n"/>
      <c r="AN123" s="1535" t="n"/>
      <c r="AO123" s="6377">
        <f>CA123</f>
        <v/>
      </c>
      <c r="AP123" s="6275" t="n"/>
      <c r="AQ123" s="6275" t="n"/>
      <c r="AR123" s="6275" t="n"/>
      <c r="AS123" s="6275" t="n"/>
      <c r="AT123" s="6275" t="n"/>
      <c r="AU123" s="6275" t="n"/>
      <c r="AV123" s="6275" t="n"/>
      <c r="AW123" s="6275" t="n"/>
      <c r="AX123" s="6275" t="n"/>
      <c r="AY123" s="6275" t="n"/>
      <c r="AZ123" s="6275" t="n"/>
      <c r="BA123" s="5555" t="n"/>
      <c r="CA123" s="6276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/>
      </c>
    </row>
    <row r="124" ht="15" customHeight="1" s="8286">
      <c r="A124" s="6925" t="inlineStr">
        <is>
          <t>Pacientes Fallecidos en Proceso de Atención</t>
        </is>
      </c>
      <c r="B124" s="9644" t="n"/>
      <c r="C124" s="1546">
        <f>SUM(D124+E124)</f>
        <v/>
      </c>
      <c r="D124" s="6299">
        <f>SUM(F124+H124+J124+L124+N124+P124+R124+T124+V124+X124+Z124+AB124+AD124+AF124+AH124+AJ124+AL124)</f>
        <v/>
      </c>
      <c r="E124" s="1548">
        <f>SUM(G124+I124+K124+M124+O124+Q124+S124+U124+W124+Y124+AA124+AC124+AE124+AG124+AI124+AK124+AM124)</f>
        <v/>
      </c>
      <c r="F124" s="1539" t="n"/>
      <c r="G124" s="6497" t="n"/>
      <c r="H124" s="1539" t="n"/>
      <c r="I124" s="6497" t="n"/>
      <c r="J124" s="1539" t="n"/>
      <c r="K124" s="6497" t="n"/>
      <c r="L124" s="1539" t="n"/>
      <c r="M124" s="6497" t="n"/>
      <c r="N124" s="1539" t="n"/>
      <c r="O124" s="6497" t="n"/>
      <c r="P124" s="1539" t="n"/>
      <c r="Q124" s="6497" t="n"/>
      <c r="R124" s="1539" t="n"/>
      <c r="S124" s="6497" t="n"/>
      <c r="T124" s="1539" t="n"/>
      <c r="U124" s="6497" t="n"/>
      <c r="V124" s="1539" t="n"/>
      <c r="W124" s="6497" t="n"/>
      <c r="X124" s="1539" t="n"/>
      <c r="Y124" s="6497" t="n"/>
      <c r="Z124" s="1539" t="n"/>
      <c r="AA124" s="6497" t="n"/>
      <c r="AB124" s="1539" t="n"/>
      <c r="AC124" s="6497" t="n"/>
      <c r="AD124" s="1615" t="n"/>
      <c r="AE124" s="6498" t="n"/>
      <c r="AF124" s="1539" t="n"/>
      <c r="AG124" s="6497" t="n"/>
      <c r="AH124" s="1615" t="n"/>
      <c r="AI124" s="6498" t="n"/>
      <c r="AJ124" s="1539" t="n"/>
      <c r="AK124" s="6497" t="n"/>
      <c r="AL124" s="1615" t="n"/>
      <c r="AM124" s="6499" t="n"/>
      <c r="AN124" s="1544" t="n"/>
      <c r="AO124" s="6377">
        <f>CA124</f>
        <v/>
      </c>
      <c r="AP124" s="6275" t="n"/>
      <c r="AQ124" s="6275" t="n"/>
      <c r="AR124" s="6275" t="n"/>
      <c r="AS124" s="6275" t="n"/>
      <c r="AT124" s="6275" t="n"/>
      <c r="AU124" s="6275" t="n"/>
      <c r="AV124" s="6275" t="n"/>
      <c r="AW124" s="6275" t="n"/>
      <c r="AX124" s="6275" t="n"/>
      <c r="AY124" s="6275" t="n"/>
      <c r="AZ124" s="6275" t="n"/>
      <c r="BA124" s="5555" t="n"/>
      <c r="CA124" s="6276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>IF(AND($C124&gt;0,AN124=""),1,IF(AN124&gt;$C124,1,0))</f>
        <v/>
      </c>
    </row>
    <row r="125" ht="15" customHeight="1" s="8286">
      <c r="A125" s="10181" t="inlineStr">
        <is>
          <t xml:space="preserve">Pacientes Fallecidos en Espera de Cama Hospitalaria </t>
        </is>
      </c>
      <c r="B125" s="9720" t="n"/>
      <c r="C125" s="1514">
        <f>SUM(D125+E125)</f>
        <v/>
      </c>
      <c r="D125" s="1549">
        <f>SUM(F125+H125+J125+L125+N125+P125+R125+T125+V125+X125+Z125+AB125+AD125+AF125+AH125+AJ125+AL125)</f>
        <v/>
      </c>
      <c r="E125" s="1516">
        <f>SUM(G125+I125+K125+M125+O125+Q125+S125+U125+W125+Y125+AA125+AC125+AE125+AG125+AI125+AK125+AM125)</f>
        <v/>
      </c>
      <c r="F125" s="1519" t="n"/>
      <c r="G125" s="1550" t="n"/>
      <c r="H125" s="1519" t="n"/>
      <c r="I125" s="1550" t="n"/>
      <c r="J125" s="1519" t="n"/>
      <c r="K125" s="1550" t="n"/>
      <c r="L125" s="1519" t="n"/>
      <c r="M125" s="1550" t="n"/>
      <c r="N125" s="1519" t="n"/>
      <c r="O125" s="1550" t="n"/>
      <c r="P125" s="1519" t="n"/>
      <c r="Q125" s="1550" t="n"/>
      <c r="R125" s="1519" t="n"/>
      <c r="S125" s="1550" t="n"/>
      <c r="T125" s="1519" t="n"/>
      <c r="U125" s="1550" t="n"/>
      <c r="V125" s="1519" t="n"/>
      <c r="W125" s="1550" t="n"/>
      <c r="X125" s="1519" t="n"/>
      <c r="Y125" s="1550" t="n"/>
      <c r="Z125" s="1519" t="n"/>
      <c r="AA125" s="1550" t="n"/>
      <c r="AB125" s="1519" t="n"/>
      <c r="AC125" s="1550" t="n"/>
      <c r="AD125" s="1627" t="n"/>
      <c r="AE125" s="1552" t="n"/>
      <c r="AF125" s="1519" t="n"/>
      <c r="AG125" s="1550" t="n"/>
      <c r="AH125" s="1627" t="n"/>
      <c r="AI125" s="1552" t="n"/>
      <c r="AJ125" s="1519" t="n"/>
      <c r="AK125" s="1550" t="n"/>
      <c r="AL125" s="1627" t="n"/>
      <c r="AM125" s="1626" t="n"/>
      <c r="AN125" s="1520" t="n"/>
      <c r="AO125" s="6377">
        <f>CA125</f>
        <v/>
      </c>
      <c r="AP125" s="6275" t="n"/>
      <c r="AQ125" s="6275" t="n"/>
      <c r="AR125" s="6275" t="n"/>
      <c r="AS125" s="6275" t="n"/>
      <c r="AT125" s="6275" t="n"/>
      <c r="AU125" s="6275" t="n"/>
      <c r="AV125" s="6275" t="n"/>
      <c r="AW125" s="6275" t="n"/>
      <c r="AX125" s="6275" t="n"/>
      <c r="AY125" s="6275" t="n"/>
      <c r="AZ125" s="6275" t="n"/>
      <c r="BA125" s="5555" t="n"/>
      <c r="CA125" s="6276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>IF(AND($C125&gt;0,AN125=""),1,IF(AN125&gt;$C125,1,0))</f>
        <v/>
      </c>
    </row>
    <row r="126" ht="18" customFormat="1" customHeight="1" s="6246">
      <c r="A126" s="927" t="inlineStr">
        <is>
          <t>SECCIÓN G: ATENCIONES MÉDICAS ASOCIADAS A VIOLENCIA: CARACTERIZACIÓN DE LA VÍCTIMA</t>
        </is>
      </c>
      <c r="X126" s="6251" t="n"/>
      <c r="Y126" s="6251" t="n"/>
      <c r="BV126" s="6251" t="n"/>
      <c r="BW126" s="6251" t="n"/>
      <c r="BX126" s="6366" t="n"/>
      <c r="BY126" s="6366" t="n"/>
    </row>
    <row r="127" ht="26.25" customHeight="1" s="8286">
      <c r="A127" s="9866" t="inlineStr">
        <is>
          <t>CONCEPTO</t>
        </is>
      </c>
      <c r="B127" s="9630" t="n"/>
      <c r="C127" s="7610" t="inlineStr">
        <is>
          <t>TOTAL</t>
        </is>
      </c>
      <c r="D127" s="9602" t="n"/>
      <c r="E127" s="9603" t="n"/>
      <c r="F127" s="9624" t="inlineStr">
        <is>
          <t>0 - 9 años</t>
        </is>
      </c>
      <c r="G127" s="9647" t="n"/>
      <c r="H127" s="10182" t="inlineStr">
        <is>
          <t>10 - 17 años</t>
        </is>
      </c>
      <c r="I127" s="9647" t="n"/>
      <c r="J127" s="9624" t="inlineStr">
        <is>
          <t>18 - 19 años</t>
        </is>
      </c>
      <c r="K127" s="9647" t="n"/>
      <c r="L127" s="9624" t="inlineStr">
        <is>
          <t>20 - 24 años</t>
        </is>
      </c>
      <c r="M127" s="9647" t="n"/>
      <c r="N127" s="9624" t="inlineStr">
        <is>
          <t>25 - 34 años</t>
        </is>
      </c>
      <c r="O127" s="9647" t="n"/>
      <c r="P127" s="9624" t="inlineStr">
        <is>
          <t>35 - 44 años</t>
        </is>
      </c>
      <c r="Q127" s="9647" t="n"/>
      <c r="R127" s="9874" t="inlineStr">
        <is>
          <t>45 - 54 años</t>
        </is>
      </c>
      <c r="S127" s="9647" t="n"/>
      <c r="T127" s="9874" t="inlineStr">
        <is>
          <t>55 - 64 años</t>
        </is>
      </c>
      <c r="U127" s="9647" t="n"/>
      <c r="V127" s="9626" t="inlineStr">
        <is>
          <t>65 - 74 años</t>
        </is>
      </c>
      <c r="W127" s="9584" t="n"/>
      <c r="X127" s="9874" t="inlineStr">
        <is>
          <t>75 años y más</t>
        </is>
      </c>
      <c r="Y127" s="9647" t="n"/>
      <c r="Z127" s="10183" t="inlineStr">
        <is>
          <t>Lesiones de la víctima</t>
        </is>
      </c>
      <c r="AA127" s="9617" t="n"/>
      <c r="AB127" s="9617" t="n"/>
      <c r="AC127" s="9617" t="n"/>
      <c r="AD127" s="9632" t="n"/>
      <c r="AE127" s="9878" t="inlineStr">
        <is>
          <t>Sin lesiones constatables</t>
        </is>
      </c>
      <c r="AF127" s="10168" t="inlineStr">
        <is>
          <t>SENAME/ Servicio Nacional de Reinserción social Juvenil</t>
        </is>
      </c>
      <c r="AG127" s="9712" t="inlineStr">
        <is>
          <t>Servicio Nacional Protección Especializada a la Niñez y Adolescencia</t>
        </is>
      </c>
      <c r="AH127" s="8240" t="inlineStr">
        <is>
          <t>Diversidad de género</t>
        </is>
      </c>
      <c r="AI127" s="8241" t="inlineStr">
        <is>
          <t>Gestantes</t>
        </is>
      </c>
      <c r="AJ127" s="9846" t="inlineStr">
        <is>
          <t>Pueblos Originarios</t>
        </is>
      </c>
      <c r="AK127" s="7632" t="inlineStr">
        <is>
          <t>Migrantes</t>
        </is>
      </c>
      <c r="BV127" s="5554" t="n"/>
      <c r="BW127" s="5554" t="n"/>
      <c r="BX127" s="5554" t="n"/>
      <c r="BY127" s="5554" t="n"/>
    </row>
    <row r="128" ht="33" customHeight="1" s="8286">
      <c r="A128" s="9638" t="n"/>
      <c r="B128" s="9639" t="n"/>
      <c r="C128" s="6290" t="inlineStr">
        <is>
          <t>Ambos Sexos</t>
        </is>
      </c>
      <c r="D128" s="6291" t="inlineStr">
        <is>
          <t>Hombres</t>
        </is>
      </c>
      <c r="E128" s="8195" t="inlineStr">
        <is>
          <t>Mujeres</t>
        </is>
      </c>
      <c r="F128" s="6292" t="inlineStr">
        <is>
          <t xml:space="preserve">Hombres </t>
        </is>
      </c>
      <c r="G128" s="6378" t="inlineStr">
        <is>
          <t>Mujeres</t>
        </is>
      </c>
      <c r="H128" s="6292" t="inlineStr">
        <is>
          <t xml:space="preserve">Hombres </t>
        </is>
      </c>
      <c r="I128" s="6378" t="inlineStr">
        <is>
          <t>Mujeres</t>
        </is>
      </c>
      <c r="J128" s="6292" t="inlineStr">
        <is>
          <t xml:space="preserve">Hombres </t>
        </is>
      </c>
      <c r="K128" s="6378" t="inlineStr">
        <is>
          <t>Mujeres</t>
        </is>
      </c>
      <c r="L128" s="6292" t="inlineStr">
        <is>
          <t xml:space="preserve">Hombres </t>
        </is>
      </c>
      <c r="M128" s="6378" t="inlineStr">
        <is>
          <t>Mujeres</t>
        </is>
      </c>
      <c r="N128" s="6292" t="inlineStr">
        <is>
          <t xml:space="preserve">Hombres </t>
        </is>
      </c>
      <c r="O128" s="6378" t="inlineStr">
        <is>
          <t>Mujeres</t>
        </is>
      </c>
      <c r="P128" s="6292" t="inlineStr">
        <is>
          <t xml:space="preserve">Hombres </t>
        </is>
      </c>
      <c r="Q128" s="6378" t="inlineStr">
        <is>
          <t>Mujeres</t>
        </is>
      </c>
      <c r="R128" s="6292" t="inlineStr">
        <is>
          <t xml:space="preserve">Hombres </t>
        </is>
      </c>
      <c r="S128" s="6378" t="inlineStr">
        <is>
          <t>Mujeres</t>
        </is>
      </c>
      <c r="T128" s="6292" t="inlineStr">
        <is>
          <t xml:space="preserve">Hombres </t>
        </is>
      </c>
      <c r="U128" s="6378" t="inlineStr">
        <is>
          <t>Mujeres</t>
        </is>
      </c>
      <c r="V128" s="6292" t="inlineStr">
        <is>
          <t xml:space="preserve">Hombres </t>
        </is>
      </c>
      <c r="W128" s="6500" t="inlineStr">
        <is>
          <t>Mujeres</t>
        </is>
      </c>
      <c r="X128" s="6292" t="inlineStr">
        <is>
          <t xml:space="preserve">Hombres </t>
        </is>
      </c>
      <c r="Y128" s="6378" t="inlineStr">
        <is>
          <t>Mujeres</t>
        </is>
      </c>
      <c r="Z128" s="6501" t="inlineStr">
        <is>
          <t>Traumatológicas</t>
        </is>
      </c>
      <c r="AA128" s="6411" t="inlineStr">
        <is>
          <t>Odontológicas</t>
        </is>
      </c>
      <c r="AB128" s="6502" t="inlineStr">
        <is>
          <t>Contusionales</t>
        </is>
      </c>
      <c r="AC128" s="6411" t="inlineStr">
        <is>
          <t>Por Arma</t>
        </is>
      </c>
      <c r="AD128" s="8159" t="inlineStr">
        <is>
          <t>Psicológicas</t>
        </is>
      </c>
      <c r="AE128" s="9879" t="n"/>
      <c r="AF128" s="10170" t="n"/>
      <c r="AG128" s="9641" t="n"/>
      <c r="AH128" s="10184" t="n"/>
      <c r="AI128" s="10185" t="n"/>
      <c r="AJ128" s="9591" t="n"/>
      <c r="AK128" s="9610" t="n"/>
      <c r="BV128" s="5554" t="n"/>
      <c r="BW128" s="5554" t="n"/>
      <c r="BX128" s="5554" t="n"/>
      <c r="BY128" s="5554" t="n"/>
    </row>
    <row r="129" ht="15" customHeight="1" s="8286">
      <c r="A129" s="9642" t="inlineStr">
        <is>
          <t>Violencia Intrafamiliar</t>
        </is>
      </c>
      <c r="B129" s="9643" t="n"/>
      <c r="C129" s="6368">
        <f>SUM(D129+E129)</f>
        <v/>
      </c>
      <c r="D129" s="941">
        <f>SUM(F129+H129+J129+L129+N129+P129+R129+T129+V129+X129)</f>
        <v/>
      </c>
      <c r="E129" s="6369">
        <f>SUM(G129+I129+K129+M129+O129+Q129+S129+U129+W129+Y129)</f>
        <v/>
      </c>
      <c r="F129" s="6424" t="n"/>
      <c r="G129" s="6308" t="n"/>
      <c r="H129" s="6424" t="n"/>
      <c r="I129" s="6308" t="n"/>
      <c r="J129" s="6424" t="n"/>
      <c r="K129" s="6308" t="n"/>
      <c r="L129" s="6424" t="n"/>
      <c r="M129" s="6308" t="n"/>
      <c r="N129" s="6424" t="n"/>
      <c r="O129" s="6308" t="n"/>
      <c r="P129" s="6424" t="n"/>
      <c r="Q129" s="6308" t="n"/>
      <c r="R129" s="6424" t="n"/>
      <c r="S129" s="6308" t="n"/>
      <c r="T129" s="6424" t="n"/>
      <c r="U129" s="6308" t="n"/>
      <c r="V129" s="6424" t="n"/>
      <c r="W129" s="6308" t="n"/>
      <c r="X129" s="6424" t="n"/>
      <c r="Y129" s="6503" t="n"/>
      <c r="Z129" s="6504" t="n"/>
      <c r="AA129" s="952" t="n"/>
      <c r="AB129" s="952" t="n"/>
      <c r="AC129" s="952" t="n"/>
      <c r="AD129" s="6308" t="n"/>
      <c r="AE129" s="6505" t="n"/>
      <c r="AF129" s="6506" t="n"/>
      <c r="AG129" s="6308" t="n"/>
      <c r="AH129" s="6507" t="n"/>
      <c r="AI129" s="6508" t="n"/>
      <c r="AJ129" s="5299" t="n"/>
      <c r="AK129" s="5295" t="n"/>
      <c r="AL129" s="5554">
        <f>CA129&amp;CB129&amp;CC129&amp;CD129&amp;CE129&amp;CF129</f>
        <v/>
      </c>
      <c r="BV129" s="5554" t="n"/>
      <c r="BW129" s="5554" t="n"/>
      <c r="BX129" s="5554" t="n"/>
      <c r="BY129" s="5554" t="n"/>
      <c r="CA129" s="6276">
        <f>IF(AND($C129&gt;0,AF129="")," *No olvide digitar la variable "&amp;AF$127&amp;""&amp;". Digite CERO si no tiene",IF(AF129&gt;$C129," *La variable "&amp;AF$127&amp;""&amp;" No puede ser mayor al Total Ambos Sexos.",""))</f>
        <v/>
      </c>
      <c r="CB129" s="6276">
        <f>IF(AND($C129&gt;0,AG129="")," *No olvide digitar la variable "&amp;AG$127&amp;""&amp;". Digite CERO si no tiene",IF(AG129&gt;$C129," *La variable "&amp;AG$127&amp;""&amp;" No puede ser mayor al Total Ambos Sexos.",""))</f>
        <v/>
      </c>
      <c r="CC129" s="6276">
        <f>IF(AND($C129&gt;0,AH129="")," *No olvide digitar la variable "&amp;AH$127&amp;""&amp;". Digite CERO si no tiene",IF(AH129&gt;$C129," *La variable "&amp;AH$127&amp;""&amp;" No puede ser mayor al Total Ambos Sexos.",""))</f>
        <v/>
      </c>
      <c r="CD129" s="6276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>
        <f>IF(AND($C129&gt;0,AJ129="")," *No olvide digitar la variable "&amp;AJ$127&amp;""&amp;". Digite CERO si no tiene",IF(AJ129&gt;$C129," *La variable "&amp;AJ$127&amp;""&amp;" No puede ser mayor al Total Ambos Sexos.",""))</f>
        <v/>
      </c>
      <c r="CF129" s="6276">
        <f>IF(AND($C129&gt;0,AK129="")," *No olvide digitar la variable "&amp;AK$127&amp;""&amp;". Digite CERO si no tiene",IF(AK129&gt;$C129," *La variable "&amp;AK$127&amp;""&amp;" No puede ser mayor al Total Ambos Sexos.",""))</f>
        <v/>
      </c>
      <c r="CM129" s="6277">
        <f>IF(AND($C129&gt;0,AF129=""),1,IF(AF129&gt;$C129,1,0))</f>
        <v/>
      </c>
      <c r="CN129" s="6277">
        <f>IF(AND($C129&gt;0,AG129=""),1,IF(AG129&gt;$C129,1,0))</f>
        <v/>
      </c>
      <c r="CO129" s="6277">
        <f>IF(AND($C129&gt;0,AH129=""),1,IF(AH129&gt;$C129,1,0))</f>
        <v/>
      </c>
      <c r="CP129" s="6277">
        <f>IF(AND($C129&gt;0,AI129=""),1,IF(AI129&gt;$C129,1,0))</f>
        <v/>
      </c>
      <c r="CQ129" s="6277">
        <f>IF(AND($C129&gt;0,AJ129=""),1,IF(AJ129&gt;$C129,1,0))</f>
        <v/>
      </c>
      <c r="CR129" s="6278">
        <f>IF(AND($C129&gt;0,AK129=""),1,IF(AK129&gt;$C129,1,0))</f>
        <v/>
      </c>
    </row>
    <row r="130" ht="15" customHeight="1" s="8286">
      <c r="A130" s="10177" t="inlineStr">
        <is>
          <t>Otras Violencias</t>
        </is>
      </c>
      <c r="B130" s="9935" t="n"/>
      <c r="C130" s="5814">
        <f>SUM(D130+E130)</f>
        <v/>
      </c>
      <c r="D130" s="944">
        <f>SUM(F130+H130+J130+L130+N130+P130+R130+T130+V130+X130)</f>
        <v/>
      </c>
      <c r="E130" s="1538">
        <f>SUM(G130+I130+K130+M130+O130+Q130+S130+U130+W130+Y130)</f>
        <v/>
      </c>
      <c r="F130" s="5999" t="n"/>
      <c r="G130" s="1535" t="n"/>
      <c r="H130" s="5999" t="n"/>
      <c r="I130" s="1535" t="n"/>
      <c r="J130" s="5999" t="n"/>
      <c r="K130" s="1535" t="n"/>
      <c r="L130" s="5999" t="n"/>
      <c r="M130" s="1535" t="n"/>
      <c r="N130" s="5999" t="n"/>
      <c r="O130" s="1535" t="n"/>
      <c r="P130" s="5999" t="n"/>
      <c r="Q130" s="1535" t="n"/>
      <c r="R130" s="5999" t="n"/>
      <c r="S130" s="1535" t="n"/>
      <c r="T130" s="5999" t="n"/>
      <c r="U130" s="1535" t="n"/>
      <c r="V130" s="5999" t="n"/>
      <c r="W130" s="1535" t="n"/>
      <c r="X130" s="5999" t="n"/>
      <c r="Y130" s="1634" t="n"/>
      <c r="Z130" s="1534" t="n"/>
      <c r="AA130" s="954" t="n"/>
      <c r="AB130" s="954" t="n"/>
      <c r="AC130" s="954" t="n"/>
      <c r="AD130" s="1535" t="n"/>
      <c r="AE130" s="6509" t="n"/>
      <c r="AF130" s="6510" t="n"/>
      <c r="AG130" s="1535" t="n"/>
      <c r="AH130" s="6511" t="n"/>
      <c r="AI130" s="6512" t="n"/>
      <c r="AJ130" s="1077" t="n"/>
      <c r="AK130" s="1645" t="n"/>
      <c r="AL130" s="5554">
        <f>CA130&amp;CB130&amp;CC130&amp;CD130&amp;CE130&amp;CF130</f>
        <v/>
      </c>
      <c r="BV130" s="5554" t="n"/>
      <c r="BW130" s="5554" t="n"/>
      <c r="BX130" s="5554" t="n"/>
      <c r="BY130" s="5554" t="n"/>
      <c r="CA130" s="6276">
        <f>IF(AND($C130&gt;0,AF130="")," *No olvide digitar la variable "&amp;AF$127&amp;""&amp;". Digite CERO si no tiene",IF(AF130&gt;$C130," *La variable "&amp;AF$127&amp;""&amp;" No puede ser mayor al Total Ambos Sexos.",""))</f>
        <v/>
      </c>
      <c r="CB130" s="6276">
        <f>IF(AND($C130&gt;0,AG130="")," *No olvide digitar la variable "&amp;AG$127&amp;""&amp;". Digite CERO si no tiene",IF(AG130&gt;$C130," *La variable "&amp;AG$127&amp;""&amp;" No puede ser mayor al Total Ambos Sexos.",""))</f>
        <v/>
      </c>
      <c r="CC130" s="6276">
        <f>IF(AND($C130&gt;0,AH130="")," *No olvide digitar la variable "&amp;AH$127&amp;""&amp;". Digite CERO si no tiene",IF(AH130&gt;$C130," *La variable "&amp;AH$127&amp;""&amp;" No puede ser mayor al Total Ambos Sexos.",""))</f>
        <v/>
      </c>
      <c r="CD130" s="6276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>
        <f>IF(AND($C130&gt;0,AJ130="")," *No olvide digitar la variable "&amp;AJ$127&amp;""&amp;". Digite CERO si no tiene",IF(AJ130&gt;$C130," *La variable "&amp;AJ$127&amp;""&amp;" No puede ser mayor al Total Ambos Sexos.",""))</f>
        <v/>
      </c>
      <c r="CF130" s="6276">
        <f>IF(AND($C130&gt;0,AK130="")," *No olvide digitar la variable "&amp;AK$127&amp;""&amp;". Digite CERO si no tiene",IF(AK130&gt;$C130," *La variable "&amp;AK$127&amp;""&amp;" No puede ser mayor al Total Ambos Sexos.",""))</f>
        <v/>
      </c>
      <c r="CM130" s="6277">
        <f>IF(AND($C130&gt;0,AF130=""),1,IF(AF130&gt;$C130,1,0))</f>
        <v/>
      </c>
      <c r="CN130" s="6277">
        <f>IF(AND($C130&gt;0,AG130=""),1,IF(AG130&gt;$C130,1,0))</f>
        <v/>
      </c>
      <c r="CO130" s="6277">
        <f>IF(AND($C130&gt;0,AH130=""),1,IF(AH130&gt;$C130,1,0))</f>
        <v/>
      </c>
      <c r="CP130" s="6277">
        <f>IF(AND($C130&gt;0,AI130=""),1,IF(AI130&gt;$C130,1,0))</f>
        <v/>
      </c>
      <c r="CQ130" s="6277">
        <f>IF(AND($C130&gt;0,AJ130=""),1,IF(AJ130&gt;$C130,1,0))</f>
        <v/>
      </c>
      <c r="CR130" s="6278">
        <f>IF(AND($C130&gt;0,AK130=""),1,IF(AK130&gt;$C130,1,0))</f>
        <v/>
      </c>
    </row>
    <row r="131" ht="15" customHeight="1" s="8286">
      <c r="A131" s="8862" t="inlineStr">
        <is>
          <t>Violencia de género (Excluye intrafamiliar)</t>
        </is>
      </c>
      <c r="B131" s="9776" t="n"/>
      <c r="C131" s="6514">
        <f>SUM(D131+E131)</f>
        <v/>
      </c>
      <c r="D131" s="6515">
        <f>SUM(F131+H131+J131+L131+N131+P131+R131+T131+V131+X131)</f>
        <v/>
      </c>
      <c r="E131" s="6349">
        <f>SUM(G131+I131+K131+M131+O131+Q131+S131+U131+W131+Y131)</f>
        <v/>
      </c>
      <c r="F131" s="6516" t="n"/>
      <c r="G131" s="6517" t="n"/>
      <c r="H131" s="6516" t="n"/>
      <c r="I131" s="6517" t="n"/>
      <c r="J131" s="6516" t="n"/>
      <c r="K131" s="6517" t="n"/>
      <c r="L131" s="6516" t="n"/>
      <c r="M131" s="6517" t="n"/>
      <c r="N131" s="6516" t="n"/>
      <c r="O131" s="6517" t="n"/>
      <c r="P131" s="6516" t="n"/>
      <c r="Q131" s="6517" t="n"/>
      <c r="R131" s="6516" t="n"/>
      <c r="S131" s="6517" t="n"/>
      <c r="T131" s="6516" t="n"/>
      <c r="U131" s="6517" t="n"/>
      <c r="V131" s="6516" t="n"/>
      <c r="W131" s="6517" t="n"/>
      <c r="X131" s="6516" t="n"/>
      <c r="Y131" s="6518" t="n"/>
      <c r="Z131" s="951" t="n"/>
      <c r="AA131" s="961" t="n"/>
      <c r="AB131" s="961" t="n"/>
      <c r="AC131" s="961" t="n"/>
      <c r="AD131" s="6517" t="n"/>
      <c r="AE131" s="6519" t="n"/>
      <c r="AF131" s="6520" t="n"/>
      <c r="AG131" s="6517" t="n"/>
      <c r="AH131" s="6521" t="n"/>
      <c r="AI131" s="6522" t="n"/>
      <c r="AJ131" s="5301" t="n"/>
      <c r="AK131" s="6327" t="n"/>
      <c r="AL131" s="5554">
        <f>CA131&amp;CB131&amp;CC131&amp;CD131&amp;CE131&amp;CF131</f>
        <v/>
      </c>
      <c r="BV131" s="5554" t="n"/>
      <c r="BW131" s="5554" t="n"/>
      <c r="BX131" s="5554" t="n"/>
      <c r="BY131" s="5554" t="n"/>
      <c r="CA131" s="6276">
        <f>IF(AND($C131&gt;0,AF131="")," *No olvide digitar la variable "&amp;AF$127&amp;""&amp;". Digite CERO si no tiene",IF(AF131&gt;$C131," *La variable "&amp;AF$127&amp;""&amp;" No puede ser mayor al Total Ambos Sexos.",""))</f>
        <v/>
      </c>
      <c r="CB131" s="6276">
        <f>IF(AND($C131&gt;0,AG131="")," *No olvide digitar la variable "&amp;AG$127&amp;""&amp;". Digite CERO si no tiene",IF(AG131&gt;$C131," *La variable "&amp;AG$127&amp;""&amp;" No puede ser mayor al Total Ambos Sexos.",""))</f>
        <v/>
      </c>
      <c r="CC131" s="6276">
        <f>IF(AND($C131&gt;0,AH131="")," *No olvide digitar la variable "&amp;AH$127&amp;""&amp;". Digite CERO si no tiene",IF(AH131&gt;$C131," *La variable "&amp;AH$127&amp;""&amp;" No puede ser mayor al Total Ambos Sexos.",""))</f>
        <v/>
      </c>
      <c r="CD131" s="6276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>
        <f>IF(AND($C131&gt;0,AJ131="")," *No olvide digitar la variable "&amp;AJ$127&amp;""&amp;". Digite CERO si no tiene",IF(AJ131&gt;$C131," *La variable "&amp;AJ$127&amp;""&amp;" No puede ser mayor al Total Ambos Sexos.",""))</f>
        <v/>
      </c>
      <c r="CF131" s="6276">
        <f>IF(AND($C131&gt;0,AK131="")," *No olvide digitar la variable "&amp;AK$127&amp;""&amp;". Digite CERO si no tiene",IF(AK131&gt;$C131," *La variable "&amp;AK$127&amp;""&amp;" No puede ser mayor al Total Ambos Sexos.",""))</f>
        <v/>
      </c>
      <c r="CM131" s="6277">
        <f>IF(AND($C131&gt;0,AF131=""),1,IF(AF131&gt;$C131,1,0))</f>
        <v/>
      </c>
      <c r="CN131" s="6277">
        <f>IF(AND($C131&gt;0,AG131=""),1,IF(AG131&gt;$C131,1,0))</f>
        <v/>
      </c>
      <c r="CO131" s="6277">
        <f>IF(AND($C131&gt;0,AH131=""),1,IF(AH131&gt;$C131,1,0))</f>
        <v/>
      </c>
      <c r="CP131" s="6277">
        <f>IF(AND($C131&gt;0,AI131=""),1,IF(AI131&gt;$C131,1,0))</f>
        <v/>
      </c>
      <c r="CQ131" s="6277">
        <f>IF(AND($C131&gt;0,AJ131=""),1,IF(AJ131&gt;$C131,1,0))</f>
        <v/>
      </c>
      <c r="CR131" s="6278">
        <f>IF(AND($C131&gt;0,AK131=""),1,IF(AK131&gt;$C131,1,0))</f>
        <v/>
      </c>
    </row>
    <row r="132" ht="18" customFormat="1" customHeight="1" s="6246">
      <c r="A132" s="964" t="inlineStr">
        <is>
          <t>SECCIÓN G.1: ATENCIONES MÉDICAS ASOCIADAS A VIOLENCIA: CARACTERIZACIÓN DEL AGRESOR Y SU RELACIÓN CON LA VÍCTIMA REGISTRADA EN SECCIÓN G</t>
        </is>
      </c>
      <c r="B132" s="6251" t="n"/>
      <c r="C132" s="6251" t="n"/>
      <c r="D132" s="6251" t="n"/>
      <c r="E132" s="6251" t="n"/>
      <c r="F132" s="6251" t="n"/>
      <c r="G132" s="6251" t="n"/>
      <c r="H132" s="6251" t="n"/>
      <c r="I132" s="6251" t="n"/>
      <c r="J132" s="6251" t="n"/>
      <c r="K132" s="6251" t="n"/>
      <c r="L132" s="6251" t="n"/>
      <c r="M132" s="6251" t="n"/>
      <c r="N132" s="6251" t="n"/>
      <c r="O132" s="6251" t="n"/>
      <c r="P132" s="6251" t="n"/>
      <c r="Q132" s="6251" t="n"/>
      <c r="R132" s="6251" t="n"/>
      <c r="AL132" s="6251" t="n"/>
      <c r="AM132" s="6251" t="n"/>
      <c r="AN132" s="6251" t="n"/>
      <c r="AO132" s="6251" t="n"/>
      <c r="AP132" s="6251" t="n"/>
      <c r="AQ132" s="6251" t="n"/>
      <c r="AR132" s="6366" t="n"/>
      <c r="AS132" s="6366" t="n"/>
      <c r="AT132" s="6366" t="n"/>
      <c r="AU132" s="6366" t="n"/>
      <c r="AV132" s="6366" t="n"/>
      <c r="AW132" s="6366" t="n"/>
      <c r="AX132" s="6366" t="n"/>
      <c r="AY132" s="6366" t="n"/>
      <c r="AZ132" s="6366" t="n"/>
      <c r="BA132" s="6366" t="n"/>
      <c r="BB132" s="6366" t="n"/>
      <c r="BC132" s="6366" t="n"/>
      <c r="BD132" s="6366" t="n"/>
      <c r="BE132" s="6366" t="n"/>
      <c r="BF132" s="6366" t="n"/>
      <c r="BG132" s="6366" t="n"/>
      <c r="BH132" s="6366" t="n"/>
      <c r="BI132" s="6366" t="n"/>
      <c r="BJ132" s="6366" t="n"/>
      <c r="BK132" s="6366" t="n"/>
      <c r="BL132" s="6366" t="n"/>
      <c r="BM132" s="6366" t="n"/>
      <c r="BN132" s="6366" t="n"/>
      <c r="BO132" s="6366" t="n"/>
      <c r="BP132" s="6366" t="n"/>
      <c r="BQ132" s="6366" t="n"/>
      <c r="BV132" s="6251" t="n"/>
      <c r="BW132" s="6251" t="n"/>
      <c r="BX132" s="6251" t="n"/>
      <c r="BY132" s="6251" t="n"/>
    </row>
    <row r="133" ht="16.35" customHeight="1" s="8286">
      <c r="A133" s="9907" t="inlineStr">
        <is>
          <t>CONCEPTO</t>
        </is>
      </c>
      <c r="B133" s="10186" t="inlineStr">
        <is>
          <t>AGRESOR /A</t>
        </is>
      </c>
      <c r="C133" s="9584" t="n"/>
      <c r="D133" s="9584" t="n"/>
      <c r="E133" s="9647" t="n"/>
      <c r="F133" s="10187" t="inlineStr">
        <is>
          <t>Total</t>
        </is>
      </c>
      <c r="G133" s="9647" t="n"/>
      <c r="AB133" s="6523" t="n"/>
      <c r="AC133" s="6523" t="n"/>
      <c r="AD133" s="6523" t="n"/>
      <c r="AH133" s="6523" t="n"/>
      <c r="AI133" s="6523" t="n"/>
      <c r="AJ133" s="6523" t="n"/>
      <c r="AK133" s="6245" t="n"/>
      <c r="AL133" s="6245" t="n"/>
      <c r="AM133" s="6245" t="n"/>
      <c r="AN133" s="6245" t="n"/>
      <c r="AO133" s="6245" t="n"/>
      <c r="AP133" s="6245" t="n"/>
      <c r="AQ133" s="6245" t="n"/>
      <c r="AR133" s="6245" t="n"/>
      <c r="AS133" s="6245" t="n"/>
      <c r="AT133" s="6245" t="n"/>
      <c r="AU133" s="6245" t="n"/>
      <c r="AV133" s="6245" t="n"/>
      <c r="AW133" s="6245" t="n"/>
      <c r="AX133" s="6245" t="n"/>
      <c r="AY133" s="6245" t="n"/>
      <c r="AZ133" s="6245" t="n"/>
      <c r="BA133" s="6245" t="n"/>
      <c r="BB133" s="6245" t="n"/>
      <c r="BC133" s="6245" t="n"/>
      <c r="BD133" s="6245" t="n"/>
      <c r="BE133" s="6245" t="n"/>
      <c r="BF133" s="6245" t="n"/>
      <c r="BG133" s="6245" t="n"/>
      <c r="BH133" s="6245" t="n"/>
      <c r="BI133" s="6245" t="n"/>
      <c r="BJ133" s="6245" t="n"/>
      <c r="BK133" s="5555" t="n"/>
      <c r="BL133" s="5555" t="n"/>
      <c r="BM133" s="5555" t="n"/>
      <c r="BN133" s="5555" t="n"/>
      <c r="BO133" s="5555" t="n"/>
      <c r="BP133" s="5555" t="n"/>
      <c r="BU133" s="5555" t="n"/>
      <c r="BX133" s="5555" t="n"/>
      <c r="BY133" s="5555" t="n"/>
    </row>
    <row r="134" ht="21" customHeight="1" s="8286">
      <c r="A134" s="9610" t="n"/>
      <c r="B134" s="6524" t="inlineStr">
        <is>
          <t>Pareja/ Ex pareja</t>
        </is>
      </c>
      <c r="C134" s="7371" t="inlineStr">
        <is>
          <t>Familiar</t>
        </is>
      </c>
      <c r="D134" s="6411" t="inlineStr">
        <is>
          <t>Conocido/a</t>
        </is>
      </c>
      <c r="E134" s="8176" t="inlineStr">
        <is>
          <t>Desconocido/a</t>
        </is>
      </c>
      <c r="F134" s="6525" t="inlineStr">
        <is>
          <t>Hombre</t>
        </is>
      </c>
      <c r="G134" s="6526" t="inlineStr">
        <is>
          <t>Mujer</t>
        </is>
      </c>
      <c r="AB134" s="6523" t="n"/>
      <c r="AC134" s="6523" t="n"/>
      <c r="AD134" s="6523" t="n"/>
      <c r="AH134" s="6523" t="n"/>
      <c r="AI134" s="6523" t="n"/>
      <c r="AJ134" s="6523" t="n"/>
      <c r="AK134" s="6245" t="n"/>
      <c r="AL134" s="6245" t="n"/>
      <c r="AM134" s="6245" t="n"/>
      <c r="AN134" s="6245" t="n"/>
      <c r="AO134" s="6245" t="n"/>
      <c r="AP134" s="6245" t="n"/>
      <c r="AQ134" s="6245" t="n"/>
      <c r="AR134" s="6245" t="n"/>
      <c r="AS134" s="6245" t="n"/>
      <c r="AT134" s="6245" t="n"/>
      <c r="AU134" s="6245" t="n"/>
      <c r="AV134" s="6245" t="n"/>
      <c r="AW134" s="6245" t="n"/>
      <c r="AX134" s="6245" t="n"/>
      <c r="AY134" s="6245" t="n"/>
      <c r="AZ134" s="6245" t="n"/>
      <c r="BA134" s="6245" t="n"/>
      <c r="BB134" s="6245" t="n"/>
      <c r="BC134" s="6245" t="n"/>
      <c r="BD134" s="6245" t="n"/>
      <c r="BE134" s="6245" t="n"/>
      <c r="BF134" s="6245" t="n"/>
      <c r="BG134" s="6245" t="n"/>
      <c r="BH134" s="6245" t="n"/>
      <c r="BI134" s="6245" t="n"/>
      <c r="BJ134" s="6245" t="n"/>
      <c r="BK134" s="5555" t="n"/>
      <c r="BL134" s="5555" t="n"/>
      <c r="BM134" s="5555" t="n"/>
      <c r="BN134" s="5555" t="n"/>
      <c r="BO134" s="5555" t="n"/>
      <c r="BP134" s="5555" t="n"/>
      <c r="BU134" s="5555" t="n"/>
      <c r="BX134" s="5555" t="n"/>
      <c r="BY134" s="5555" t="n"/>
    </row>
    <row r="135" ht="15" customHeight="1" s="8286">
      <c r="A135" s="6527" t="inlineStr">
        <is>
          <t>Violencia Intrafamiliar</t>
        </is>
      </c>
      <c r="B135" s="6424" t="n"/>
      <c r="C135" s="952" t="n"/>
      <c r="D135" s="967" t="n"/>
      <c r="E135" s="6528" t="n"/>
      <c r="F135" s="6424" t="n"/>
      <c r="G135" s="6308" t="n"/>
      <c r="P135" s="6523" t="n"/>
      <c r="AB135" s="6523" t="n"/>
      <c r="AC135" s="6523" t="n"/>
      <c r="AD135" s="6523" t="n"/>
      <c r="AF135" s="622" t="n"/>
      <c r="AG135" s="622" t="n"/>
      <c r="AH135" s="6523" t="n"/>
      <c r="AI135" s="6523" t="n"/>
      <c r="AJ135" s="6523" t="n"/>
      <c r="AK135" s="6245" t="n"/>
      <c r="AL135" s="6245" t="n"/>
      <c r="AM135" s="6245" t="n"/>
      <c r="AN135" s="6245" t="n"/>
      <c r="AO135" s="6245" t="n"/>
      <c r="AP135" s="6245" t="n"/>
      <c r="AQ135" s="6245" t="n"/>
      <c r="AR135" s="6245" t="n"/>
      <c r="AS135" s="6245" t="n"/>
      <c r="AT135" s="6245" t="n"/>
      <c r="AU135" s="6245" t="n"/>
      <c r="AV135" s="6245" t="n"/>
      <c r="AW135" s="6245" t="n"/>
      <c r="AX135" s="6245" t="n"/>
      <c r="AY135" s="6245" t="n"/>
      <c r="AZ135" s="6245" t="n"/>
      <c r="BA135" s="6245" t="n"/>
      <c r="BB135" s="6245" t="n"/>
      <c r="BC135" s="6245" t="n"/>
      <c r="BD135" s="6245" t="n"/>
      <c r="BE135" s="6245" t="n"/>
      <c r="BF135" s="6245" t="n"/>
      <c r="BG135" s="6245" t="n"/>
      <c r="BH135" s="6245" t="n"/>
      <c r="BI135" s="6245" t="n"/>
      <c r="BJ135" s="6245" t="n"/>
      <c r="BK135" s="5555" t="n"/>
      <c r="BL135" s="5555" t="n"/>
      <c r="BM135" s="5555" t="n"/>
      <c r="BN135" s="5555" t="n"/>
      <c r="BO135" s="5555" t="n"/>
      <c r="BP135" s="5555" t="n"/>
      <c r="BU135" s="5555" t="n"/>
      <c r="BX135" s="5555" t="n"/>
      <c r="BY135" s="5555" t="n"/>
    </row>
    <row r="136" ht="15" customHeight="1" s="8286">
      <c r="A136" s="6529" t="inlineStr">
        <is>
          <t>Otras Violencias</t>
        </is>
      </c>
      <c r="B136" s="1680" t="n"/>
      <c r="C136" s="6530" t="n"/>
      <c r="D136" s="6531" t="n"/>
      <c r="E136" s="1544" t="n"/>
      <c r="F136" s="1539" t="n"/>
      <c r="G136" s="1544" t="n"/>
      <c r="P136" s="6523" t="n"/>
      <c r="AB136" s="6523" t="n"/>
      <c r="AC136" s="6523" t="n"/>
      <c r="AD136" s="6523" t="n"/>
      <c r="AF136" s="622" t="n"/>
      <c r="AG136" s="622" t="n"/>
      <c r="AH136" s="6523" t="n"/>
      <c r="AI136" s="6523" t="n"/>
      <c r="AJ136" s="6523" t="n"/>
      <c r="AK136" s="6245" t="n"/>
      <c r="AL136" s="6245" t="n"/>
      <c r="AM136" s="6245" t="n"/>
      <c r="AN136" s="6245" t="n"/>
      <c r="AO136" s="6245" t="n"/>
      <c r="AP136" s="6245" t="n"/>
      <c r="AQ136" s="6245" t="n"/>
      <c r="AR136" s="6245" t="n"/>
      <c r="AS136" s="6245" t="n"/>
      <c r="AT136" s="6245" t="n"/>
      <c r="AU136" s="6245" t="n"/>
      <c r="AV136" s="6245" t="n"/>
      <c r="AW136" s="6245" t="n"/>
      <c r="AX136" s="6245" t="n"/>
      <c r="AY136" s="6245" t="n"/>
      <c r="AZ136" s="6245" t="n"/>
      <c r="BA136" s="6245" t="n"/>
      <c r="BB136" s="6245" t="n"/>
      <c r="BC136" s="6245" t="n"/>
      <c r="BD136" s="6245" t="n"/>
      <c r="BE136" s="6245" t="n"/>
      <c r="BF136" s="6245" t="n"/>
      <c r="BG136" s="6245" t="n"/>
      <c r="BH136" s="6245" t="n"/>
      <c r="BI136" s="6245" t="n"/>
      <c r="BJ136" s="6245" t="n"/>
      <c r="BK136" s="5555" t="n"/>
      <c r="BL136" s="5555" t="n"/>
      <c r="BM136" s="5555" t="n"/>
      <c r="BN136" s="5555" t="n"/>
      <c r="BO136" s="5555" t="n"/>
      <c r="BP136" s="5555" t="n"/>
      <c r="BU136" s="5555" t="n"/>
      <c r="BX136" s="5555" t="n"/>
      <c r="BY136" s="5555" t="n"/>
    </row>
    <row r="137" ht="15" customHeight="1" s="8286">
      <c r="A137" s="6532" t="inlineStr">
        <is>
          <t>Violencia de género (Excluye intrafamiliar)</t>
        </is>
      </c>
      <c r="B137" s="6516" t="n"/>
      <c r="C137" s="961" t="n"/>
      <c r="D137" s="961" t="n"/>
      <c r="E137" s="6517" t="n"/>
      <c r="F137" s="6516" t="n"/>
      <c r="G137" s="6517" t="n"/>
      <c r="P137" s="6523" t="n"/>
      <c r="AB137" s="6523" t="n"/>
      <c r="AC137" s="6523" t="n"/>
      <c r="AD137" s="6523" t="n"/>
      <c r="AF137" s="622" t="n"/>
      <c r="AG137" s="622" t="n"/>
      <c r="AH137" s="6523" t="n"/>
      <c r="AI137" s="6523" t="n"/>
      <c r="AJ137" s="6523" t="n"/>
      <c r="AK137" s="6245" t="n"/>
      <c r="AL137" s="6245" t="n"/>
      <c r="AM137" s="6245" t="n"/>
      <c r="AN137" s="6245" t="n"/>
      <c r="AO137" s="6245" t="n"/>
      <c r="AP137" s="6245" t="n"/>
      <c r="AQ137" s="6245" t="n"/>
      <c r="AR137" s="6245" t="n"/>
      <c r="AS137" s="6245" t="n"/>
      <c r="AT137" s="6245" t="n"/>
      <c r="AU137" s="6245" t="n"/>
      <c r="AV137" s="6245" t="n"/>
      <c r="AW137" s="6245" t="n"/>
      <c r="AX137" s="6245" t="n"/>
      <c r="AY137" s="6245" t="n"/>
      <c r="AZ137" s="6245" t="n"/>
      <c r="BA137" s="6245" t="n"/>
      <c r="BB137" s="6245" t="n"/>
      <c r="BC137" s="6245" t="n"/>
      <c r="BD137" s="6245" t="n"/>
      <c r="BE137" s="6245" t="n"/>
      <c r="BF137" s="6245" t="n"/>
      <c r="BG137" s="6245" t="n"/>
      <c r="BH137" s="6245" t="n"/>
      <c r="BI137" s="6245" t="n"/>
      <c r="BJ137" s="6245" t="n"/>
      <c r="BK137" s="5555" t="n"/>
      <c r="BL137" s="5555" t="n"/>
      <c r="BM137" s="5555" t="n"/>
      <c r="BN137" s="5555" t="n"/>
      <c r="BO137" s="5555" t="n"/>
      <c r="BP137" s="5555" t="n"/>
      <c r="BU137" s="5555" t="n"/>
      <c r="BX137" s="5555" t="n"/>
      <c r="BY137" s="5555" t="n"/>
    </row>
    <row r="138" ht="18" customFormat="1" customHeight="1" s="6246">
      <c r="A138" s="927" t="inlineStr">
        <is>
          <t xml:space="preserve">SECCIÓN H: ATENCIONES POR ANTICONCEPCIÓN DE EMERGENCIA </t>
        </is>
      </c>
      <c r="B138" s="927" t="n"/>
      <c r="C138" s="927" t="n"/>
      <c r="D138" s="927" t="n"/>
      <c r="E138" s="927" t="n"/>
      <c r="F138" s="927" t="n"/>
      <c r="G138" s="927" t="n"/>
      <c r="H138" s="927" t="n"/>
      <c r="I138" s="927" t="n"/>
      <c r="J138" s="927" t="n"/>
      <c r="K138" s="927" t="n"/>
      <c r="L138" s="927" t="n"/>
      <c r="M138" s="927" t="n"/>
      <c r="N138" s="927" t="n"/>
      <c r="O138" s="927" t="n"/>
      <c r="P138" s="927" t="n"/>
      <c r="Q138" s="927" t="n"/>
      <c r="R138" s="927" t="n"/>
      <c r="S138" s="927" t="n"/>
      <c r="T138" s="927" t="n"/>
      <c r="AJ138" s="6251" t="n"/>
      <c r="AK138" s="6251" t="n"/>
      <c r="AL138" s="6251" t="n"/>
      <c r="AM138" s="6251" t="n"/>
      <c r="AN138" s="6251" t="n"/>
      <c r="AO138" s="6251" t="n"/>
      <c r="AP138" s="6251" t="n"/>
      <c r="AQ138" s="6251" t="n"/>
      <c r="AR138" s="6251" t="n"/>
      <c r="AS138" s="6251" t="n"/>
      <c r="AT138" s="6251" t="n"/>
      <c r="AU138" s="6251" t="n"/>
      <c r="AV138" s="6251" t="n"/>
      <c r="AW138" s="6251" t="n"/>
      <c r="AX138" s="6251" t="n"/>
      <c r="BV138" s="6251" t="n"/>
      <c r="BW138" s="6251" t="n"/>
      <c r="BX138" s="6251" t="n"/>
      <c r="BY138" s="6251" t="n"/>
    </row>
    <row r="139" ht="16.35" customHeight="1" s="8286">
      <c r="A139" s="9866" t="inlineStr">
        <is>
          <t>CONCEPTO</t>
        </is>
      </c>
      <c r="B139" s="9630" t="n"/>
      <c r="C139" s="9618" t="inlineStr">
        <is>
          <t>TOTAL</t>
        </is>
      </c>
      <c r="D139" s="9594" t="inlineStr">
        <is>
          <t>RANGO ETARIO (en años)</t>
        </is>
      </c>
      <c r="E139" s="9584" t="n"/>
      <c r="F139" s="9584" t="n"/>
      <c r="G139" s="9584" t="n"/>
      <c r="H139" s="9584" t="n"/>
      <c r="I139" s="9595" t="n"/>
      <c r="J139" s="9712" t="inlineStr">
        <is>
          <t>Beneficiarios</t>
        </is>
      </c>
      <c r="K139" s="6089" t="n"/>
      <c r="L139" s="6250" t="n"/>
      <c r="M139" s="6250" t="n"/>
      <c r="N139" s="6250" t="n"/>
      <c r="O139" s="6250" t="n"/>
      <c r="P139" s="6250" t="n"/>
      <c r="Q139" s="6250" t="n"/>
      <c r="AD139" s="5555" t="n"/>
      <c r="AE139" s="5555" t="n"/>
      <c r="AF139" s="5555" t="n"/>
      <c r="AG139" s="5555" t="n"/>
      <c r="AH139" s="5555" t="n"/>
      <c r="AI139" s="5555" t="n"/>
      <c r="AJ139" s="5555" t="n"/>
      <c r="AK139" s="5555" t="n"/>
      <c r="AL139" s="5555" t="n"/>
      <c r="AM139" s="5555" t="n"/>
      <c r="AN139" s="5555" t="n"/>
      <c r="AO139" s="5555" t="n"/>
      <c r="AP139" s="5555" t="n"/>
      <c r="AQ139" s="5555" t="n"/>
      <c r="AR139" s="5555" t="n"/>
    </row>
    <row r="140" ht="16.35" customHeight="1" s="8286">
      <c r="A140" s="9638" t="n"/>
      <c r="B140" s="9639" t="n"/>
      <c r="C140" s="9610" t="n"/>
      <c r="D140" s="6292" t="inlineStr">
        <is>
          <t>10 - 14 años</t>
        </is>
      </c>
      <c r="E140" s="6411" t="inlineStr">
        <is>
          <t>15 - 19 años</t>
        </is>
      </c>
      <c r="F140" s="6411" t="inlineStr">
        <is>
          <t>20 - 24 años</t>
        </is>
      </c>
      <c r="G140" s="6411" t="inlineStr">
        <is>
          <t>25 - 34 años</t>
        </is>
      </c>
      <c r="H140" s="6411" t="inlineStr">
        <is>
          <t>35 - 44 años</t>
        </is>
      </c>
      <c r="I140" s="6154" t="inlineStr">
        <is>
          <t>45 - 54 años</t>
        </is>
      </c>
      <c r="J140" s="9641" t="n"/>
      <c r="K140" s="6089" t="n"/>
      <c r="L140" s="6250" t="n"/>
      <c r="M140" s="6250" t="n"/>
      <c r="N140" s="6250" t="n"/>
      <c r="O140" s="6250" t="n"/>
      <c r="P140" s="6250" t="n"/>
      <c r="Q140" s="6250" t="n"/>
    </row>
    <row r="141" ht="15" customHeight="1" s="8286">
      <c r="A141" s="9699" t="inlineStr">
        <is>
          <t>Atención por Anticoncepción de Emergencia</t>
        </is>
      </c>
      <c r="B141" s="6533" t="inlineStr">
        <is>
          <t>Con entrega de Anticonceptivo</t>
        </is>
      </c>
      <c r="C141" s="6534">
        <f>SUM(D141:I141)</f>
        <v/>
      </c>
      <c r="D141" s="6385" t="n"/>
      <c r="E141" s="6219" t="n"/>
      <c r="F141" s="6219" t="n"/>
      <c r="G141" s="6219" t="n"/>
      <c r="H141" s="6219" t="n"/>
      <c r="I141" s="5881" t="n"/>
      <c r="J141" s="6371" t="n"/>
      <c r="K141" s="6377">
        <f>CA141</f>
        <v/>
      </c>
      <c r="L141" s="6275" t="n"/>
      <c r="M141" s="6275" t="n"/>
      <c r="N141" s="6275" t="n"/>
      <c r="O141" s="6275" t="n"/>
      <c r="P141" s="6275" t="n"/>
      <c r="Q141" s="6275" t="n"/>
      <c r="R141" s="6275" t="n"/>
      <c r="S141" s="6275" t="n"/>
      <c r="T141" s="6275" t="n"/>
      <c r="U141" s="6275" t="n"/>
      <c r="V141" s="6275" t="n"/>
      <c r="W141" s="5555" t="n"/>
      <c r="X141" s="5555" t="n"/>
      <c r="Y141" s="5555" t="n"/>
      <c r="CA141" s="6276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/>
      </c>
    </row>
    <row r="142" ht="15" customHeight="1" s="8286">
      <c r="A142" s="9610" t="n"/>
      <c r="B142" s="7497" t="inlineStr">
        <is>
          <t>Sin entrega de Anticonceptivo</t>
        </is>
      </c>
      <c r="C142" s="1648">
        <f>SUM(D142:I142)</f>
        <v/>
      </c>
      <c r="D142" s="5866" t="n"/>
      <c r="E142" s="6231" t="n"/>
      <c r="F142" s="6231" t="n"/>
      <c r="G142" s="6231" t="n"/>
      <c r="H142" s="6231" t="n"/>
      <c r="I142" s="5870" t="n"/>
      <c r="J142" s="5867" t="n"/>
      <c r="K142" s="6377">
        <f>CA142</f>
        <v/>
      </c>
      <c r="L142" s="6275" t="n"/>
      <c r="M142" s="6275" t="n"/>
      <c r="N142" s="6275" t="n"/>
      <c r="O142" s="6275" t="n"/>
      <c r="P142" s="6275" t="n"/>
      <c r="Q142" s="6275" t="n"/>
      <c r="R142" s="6275" t="n"/>
      <c r="S142" s="6275" t="n"/>
      <c r="T142" s="6275" t="n"/>
      <c r="U142" s="6275" t="n"/>
      <c r="V142" s="6275" t="n"/>
      <c r="W142" s="5555" t="n"/>
      <c r="X142" s="5555" t="n"/>
      <c r="Y142" s="5555" t="n"/>
      <c r="CA142" s="6276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/>
      </c>
    </row>
    <row r="143" ht="18" customFormat="1" customHeight="1" s="6246">
      <c r="A143" s="927" t="inlineStr">
        <is>
          <t>SECCIÓN I: MOTIVOS DE ATENCIÓN POR EMERGENCIA OBSTÉTRICA EN EL SERVICIO DE URGENCIA (Establecimientos alta y mediana Complejidad).</t>
        </is>
      </c>
      <c r="B143" s="927" t="n"/>
      <c r="C143" s="927" t="n"/>
      <c r="D143" s="927" t="n"/>
      <c r="E143" s="927" t="n"/>
      <c r="F143" s="927" t="n"/>
      <c r="G143" s="927" t="n"/>
      <c r="H143" s="927" t="n"/>
      <c r="I143" s="927" t="n"/>
      <c r="J143" s="927" t="n"/>
      <c r="K143" s="927" t="n"/>
      <c r="L143" s="927" t="n"/>
      <c r="M143" s="927" t="n"/>
      <c r="N143" s="927" t="n"/>
      <c r="Q143" s="6251" t="n"/>
      <c r="R143" s="6251" t="n"/>
      <c r="S143" s="6251" t="n"/>
      <c r="T143" s="6251" t="n"/>
      <c r="U143" s="6251" t="n"/>
      <c r="V143" s="6251" t="n"/>
      <c r="W143" s="6251" t="n"/>
      <c r="X143" s="6251" t="n"/>
      <c r="Y143" s="6251" t="n"/>
      <c r="Z143" s="6251" t="n"/>
      <c r="AA143" s="6251" t="n"/>
      <c r="AB143" s="6251" t="n"/>
      <c r="AC143" s="6251" t="n"/>
      <c r="AD143" s="6251" t="n"/>
      <c r="AE143" s="6251" t="n"/>
      <c r="BV143" s="6251" t="n"/>
      <c r="BW143" s="6251" t="n"/>
      <c r="BX143" s="6366" t="n"/>
      <c r="BY143" s="6366" t="n"/>
    </row>
    <row r="144" ht="16.35" customHeight="1" s="8286">
      <c r="A144" s="7632" t="inlineStr">
        <is>
          <t>PATOLOGÍA</t>
        </is>
      </c>
      <c r="B144" s="7632" t="inlineStr">
        <is>
          <t>Cantidad</t>
        </is>
      </c>
      <c r="C144" s="6089" t="n"/>
      <c r="D144" s="992" t="n"/>
      <c r="E144" s="6089" t="n"/>
      <c r="F144" s="6089" t="n"/>
      <c r="G144" s="6089" t="n"/>
      <c r="H144" s="6089" t="n"/>
      <c r="I144" s="6089" t="n"/>
      <c r="J144" s="6089" t="n"/>
      <c r="K144" s="6089" t="n"/>
      <c r="L144" s="6089" t="n"/>
      <c r="M144" s="6089" t="n"/>
      <c r="N144" s="6089" t="n"/>
      <c r="O144" s="6089" t="n"/>
      <c r="P144" s="6089" t="n"/>
      <c r="Q144" s="6089" t="n"/>
      <c r="R144" s="6089" t="n"/>
      <c r="S144" s="6089" t="n"/>
      <c r="T144" s="6089" t="n"/>
      <c r="U144" s="6089" t="n"/>
      <c r="V144" s="6089" t="n"/>
      <c r="W144" s="6089" t="n"/>
    </row>
    <row r="145" ht="16.35" customHeight="1" s="8286">
      <c r="A145" s="9610" t="n"/>
      <c r="B145" s="9610" t="n"/>
      <c r="C145" s="6089" t="n"/>
      <c r="D145" s="992" t="n"/>
      <c r="E145" s="6089" t="n"/>
      <c r="F145" s="6089" t="n"/>
      <c r="G145" s="6089" t="n"/>
      <c r="H145" s="6089" t="n"/>
      <c r="I145" s="6089" t="n"/>
      <c r="J145" s="6089" t="n"/>
      <c r="K145" s="6089" t="n"/>
      <c r="L145" s="6089" t="n"/>
      <c r="M145" s="6089" t="n"/>
      <c r="N145" s="6089" t="n"/>
      <c r="O145" s="6089" t="n"/>
      <c r="P145" s="6089" t="n"/>
      <c r="Q145" s="6089" t="n"/>
      <c r="R145" s="6089" t="n"/>
      <c r="S145" s="6089" t="n"/>
      <c r="T145" s="6089" t="n"/>
      <c r="U145" s="6089" t="n"/>
      <c r="V145" s="6089" t="n"/>
      <c r="W145" s="6089" t="n"/>
    </row>
    <row r="146" ht="15" customHeight="1" s="8286">
      <c r="A146" s="6536" t="inlineStr">
        <is>
          <t>Preeclampsia Severa</t>
        </is>
      </c>
      <c r="B146" s="6537" t="n"/>
      <c r="C146" s="6415" t="n"/>
      <c r="D146" s="6089" t="n"/>
      <c r="E146" s="6089" t="n"/>
      <c r="F146" s="6089" t="n"/>
      <c r="G146" s="6089" t="n"/>
      <c r="H146" s="6089" t="n"/>
      <c r="I146" s="6089" t="n"/>
      <c r="J146" s="6089" t="n"/>
      <c r="K146" s="6089" t="n"/>
      <c r="L146" s="6089" t="n"/>
      <c r="M146" s="6089" t="n"/>
      <c r="N146" s="6089" t="n"/>
      <c r="O146" s="6089" t="n"/>
      <c r="P146" s="6089" t="n"/>
      <c r="Q146" s="6089" t="n"/>
      <c r="R146" s="6089" t="n"/>
      <c r="S146" s="6089" t="n"/>
      <c r="T146" s="6089" t="n"/>
      <c r="U146" s="6089" t="n"/>
      <c r="V146" s="6089" t="n"/>
      <c r="W146" s="6089" t="n"/>
    </row>
    <row r="147" ht="15" customHeight="1" s="8286">
      <c r="A147" s="6538" t="inlineStr">
        <is>
          <t>Eclampsia</t>
        </is>
      </c>
      <c r="B147" s="5945" t="n"/>
      <c r="C147" s="6415" t="n"/>
      <c r="D147" s="6089" t="n"/>
      <c r="E147" s="6089" t="n"/>
      <c r="F147" s="6089" t="n"/>
      <c r="G147" s="6089" t="n"/>
      <c r="H147" s="6089" t="n"/>
      <c r="I147" s="6089" t="n"/>
      <c r="J147" s="6089" t="n"/>
      <c r="K147" s="6089" t="n"/>
      <c r="L147" s="6089" t="n"/>
      <c r="M147" s="6089" t="n"/>
      <c r="N147" s="6089" t="n"/>
      <c r="O147" s="6089" t="n"/>
      <c r="P147" s="6089" t="n"/>
      <c r="Q147" s="6089" t="n"/>
      <c r="R147" s="6089" t="n"/>
      <c r="S147" s="6089" t="n"/>
      <c r="T147" s="6089" t="n"/>
      <c r="U147" s="6089" t="n"/>
      <c r="V147" s="6089" t="n"/>
      <c r="W147" s="6089" t="n"/>
    </row>
    <row r="148" ht="15" customHeight="1" s="8286">
      <c r="A148" s="6538" t="inlineStr">
        <is>
          <t>Síndrome Hipertensivo del Embarazo (SHE)</t>
        </is>
      </c>
      <c r="B148" s="5945" t="n"/>
      <c r="C148" s="6415" t="n"/>
      <c r="D148" s="6089" t="n"/>
      <c r="E148" s="6089" t="n"/>
      <c r="F148" s="6089" t="n"/>
      <c r="G148" s="6089" t="n"/>
      <c r="H148" s="6089" t="n"/>
      <c r="I148" s="6089" t="n"/>
      <c r="J148" s="6089" t="n"/>
      <c r="K148" s="6089" t="n"/>
      <c r="L148" s="6089" t="n"/>
      <c r="M148" s="6089" t="n"/>
      <c r="N148" s="6089" t="n"/>
      <c r="O148" s="6089" t="n"/>
      <c r="P148" s="6089" t="n"/>
      <c r="Q148" s="6089" t="n"/>
      <c r="R148" s="6089" t="n"/>
      <c r="S148" s="6089" t="n"/>
      <c r="T148" s="6089" t="n"/>
      <c r="U148" s="6089" t="n"/>
      <c r="V148" s="6089" t="n"/>
      <c r="W148" s="6089" t="n"/>
    </row>
    <row r="149" ht="15" customHeight="1" s="8286">
      <c r="A149" s="6538" t="inlineStr">
        <is>
          <t>Retardo Crecimiento Intrauterino (RCIU)</t>
        </is>
      </c>
      <c r="B149" s="5945" t="n"/>
      <c r="C149" s="6415" t="n"/>
      <c r="D149" s="6089" t="n"/>
      <c r="E149" s="6089" t="n"/>
      <c r="F149" s="6089" t="n"/>
      <c r="G149" s="6089" t="n"/>
      <c r="H149" s="6089" t="n"/>
      <c r="I149" s="6089" t="n"/>
      <c r="J149" s="6089" t="n"/>
      <c r="K149" s="6089" t="n"/>
      <c r="L149" s="6089" t="n"/>
      <c r="M149" s="6089" t="n"/>
      <c r="N149" s="6089" t="n"/>
      <c r="O149" s="6089" t="n"/>
      <c r="P149" s="6089" t="n"/>
      <c r="Q149" s="6089" t="n"/>
      <c r="R149" s="6089" t="n"/>
      <c r="S149" s="6089" t="n"/>
      <c r="T149" s="6089" t="n"/>
      <c r="U149" s="6089" t="n"/>
      <c r="V149" s="6089" t="n"/>
      <c r="W149" s="6089" t="n"/>
    </row>
    <row r="150" ht="15" customHeight="1" s="8286">
      <c r="A150" s="6538" t="inlineStr">
        <is>
          <t>HELLP</t>
        </is>
      </c>
      <c r="B150" s="5945" t="n"/>
      <c r="C150" s="6415" t="n"/>
      <c r="D150" s="6089" t="n"/>
      <c r="E150" s="6089" t="n"/>
      <c r="F150" s="6089" t="n"/>
      <c r="G150" s="6089" t="n"/>
      <c r="H150" s="6089" t="n"/>
      <c r="I150" s="6089" t="n"/>
      <c r="J150" s="6089" t="n"/>
      <c r="K150" s="6089" t="n"/>
      <c r="L150" s="6089" t="n"/>
      <c r="M150" s="6089" t="n"/>
      <c r="N150" s="6089" t="n"/>
      <c r="O150" s="6089" t="n"/>
      <c r="P150" s="6089" t="n"/>
      <c r="Q150" s="6089" t="n"/>
      <c r="R150" s="6089" t="n"/>
      <c r="S150" s="6089" t="n"/>
      <c r="T150" s="6089" t="n"/>
      <c r="U150" s="6089" t="n"/>
      <c r="V150" s="6089" t="n"/>
      <c r="W150" s="6089" t="n"/>
    </row>
    <row r="151" ht="15" customHeight="1" s="8286">
      <c r="A151" s="6539" t="inlineStr">
        <is>
          <t>Parto Prematuro</t>
        </is>
      </c>
      <c r="B151" s="6010" t="n"/>
      <c r="C151" s="6415" t="n"/>
      <c r="D151" s="6089" t="n"/>
      <c r="E151" s="6089" t="n"/>
      <c r="F151" s="6089" t="n"/>
      <c r="G151" s="6089" t="n"/>
      <c r="H151" s="6089" t="n"/>
      <c r="I151" s="6089" t="n"/>
      <c r="J151" s="6089" t="n"/>
      <c r="K151" s="6089" t="n"/>
      <c r="L151" s="6089" t="n"/>
      <c r="M151" s="6089" t="n"/>
      <c r="N151" s="6089" t="n"/>
      <c r="O151" s="6089" t="n"/>
      <c r="P151" s="6089" t="n"/>
      <c r="Q151" s="6089" t="n"/>
      <c r="R151" s="6089" t="n"/>
      <c r="S151" s="6089" t="n"/>
      <c r="T151" s="6089" t="n"/>
      <c r="U151" s="6089" t="n"/>
      <c r="V151" s="6089" t="n"/>
      <c r="W151" s="6089" t="n"/>
    </row>
    <row r="152" ht="15" customHeight="1" s="8286">
      <c r="A152" s="6539" t="inlineStr">
        <is>
          <t>Hemorragia I Trimestre</t>
        </is>
      </c>
      <c r="B152" s="6010" t="n"/>
      <c r="C152" s="6415" t="n"/>
      <c r="D152" s="6089" t="n"/>
      <c r="E152" s="6089" t="n"/>
      <c r="F152" s="6089" t="n"/>
      <c r="G152" s="6089" t="n"/>
      <c r="H152" s="6089" t="n"/>
      <c r="I152" s="6089" t="n"/>
      <c r="J152" s="6089" t="n"/>
      <c r="K152" s="6089" t="n"/>
      <c r="L152" s="6089" t="n"/>
      <c r="M152" s="6089" t="n"/>
      <c r="N152" s="6089" t="n"/>
      <c r="O152" s="6089" t="n"/>
      <c r="P152" s="6089" t="n"/>
      <c r="Q152" s="6089" t="n"/>
      <c r="R152" s="6089" t="n"/>
      <c r="S152" s="6089" t="n"/>
      <c r="T152" s="6089" t="n"/>
      <c r="U152" s="6089" t="n"/>
      <c r="V152" s="6089" t="n"/>
      <c r="W152" s="6089" t="n"/>
    </row>
    <row r="153" ht="15" customHeight="1" s="8286">
      <c r="A153" s="6539" t="inlineStr">
        <is>
          <t>Hemorragia II Trimestre</t>
        </is>
      </c>
      <c r="B153" s="5945" t="n"/>
      <c r="C153" s="6415" t="n"/>
      <c r="D153" s="6089" t="n"/>
      <c r="E153" s="6089" t="n"/>
      <c r="F153" s="6089" t="n"/>
      <c r="G153" s="6089" t="n"/>
      <c r="H153" s="6089" t="n"/>
      <c r="I153" s="6089" t="n"/>
      <c r="J153" s="6089" t="n"/>
      <c r="K153" s="6089" t="n"/>
      <c r="L153" s="6089" t="n"/>
      <c r="M153" s="6089" t="n"/>
      <c r="N153" s="6089" t="n"/>
      <c r="O153" s="6089" t="n"/>
      <c r="P153" s="6089" t="n"/>
      <c r="Q153" s="6089" t="n"/>
      <c r="R153" s="6089" t="n"/>
      <c r="S153" s="6089" t="n"/>
      <c r="T153" s="6089" t="n"/>
      <c r="U153" s="6089" t="n"/>
      <c r="V153" s="6089" t="n"/>
      <c r="W153" s="6089" t="n"/>
    </row>
    <row r="154" ht="15" customHeight="1" s="8286">
      <c r="A154" s="6539" t="inlineStr">
        <is>
          <t>Hemorragia III Trimestre</t>
        </is>
      </c>
      <c r="B154" s="6010" t="n"/>
      <c r="C154" s="6415" t="n"/>
      <c r="D154" s="6089" t="n"/>
      <c r="E154" s="6089" t="n"/>
      <c r="F154" s="6089" t="n"/>
      <c r="G154" s="6089" t="n"/>
      <c r="H154" s="6089" t="n"/>
      <c r="I154" s="6089" t="n"/>
      <c r="J154" s="6089" t="n"/>
      <c r="K154" s="6089" t="n"/>
      <c r="L154" s="6089" t="n"/>
      <c r="M154" s="6089" t="n"/>
      <c r="N154" s="6089" t="n"/>
      <c r="O154" s="6089" t="n"/>
      <c r="P154" s="6089" t="n"/>
      <c r="Q154" s="6089" t="n"/>
      <c r="R154" s="6089" t="n"/>
      <c r="S154" s="6089" t="n"/>
      <c r="T154" s="6089" t="n"/>
      <c r="U154" s="6089" t="n"/>
      <c r="V154" s="6089" t="n"/>
      <c r="W154" s="6089" t="n"/>
      <c r="BX154" s="5555" t="n"/>
      <c r="BY154" s="5555" t="n"/>
    </row>
    <row r="155" ht="15" customHeight="1" s="8286">
      <c r="A155" s="7496" t="inlineStr">
        <is>
          <t>Rotura Prematura de Membrana</t>
        </is>
      </c>
      <c r="B155" s="6166" t="n"/>
      <c r="C155" s="6415" t="n"/>
      <c r="D155" s="6089" t="n"/>
      <c r="E155" s="6089" t="n"/>
      <c r="F155" s="6089" t="n"/>
      <c r="G155" s="6089" t="n"/>
      <c r="H155" s="6089" t="n"/>
      <c r="I155" s="6089" t="n"/>
      <c r="J155" s="6089" t="n"/>
      <c r="K155" s="6089" t="n"/>
      <c r="L155" s="6089" t="n"/>
      <c r="M155" s="6089" t="n"/>
      <c r="N155" s="6089" t="n"/>
      <c r="O155" s="6089" t="n"/>
      <c r="P155" s="6089" t="n"/>
      <c r="Q155" s="6089" t="n"/>
      <c r="R155" s="6089" t="n"/>
      <c r="S155" s="6089" t="n"/>
      <c r="T155" s="6089" t="n"/>
      <c r="U155" s="6089" t="n"/>
      <c r="V155" s="6089" t="n"/>
      <c r="W155" s="6089" t="n"/>
    </row>
    <row r="156" ht="15" customHeight="1" s="8286">
      <c r="A156" s="1780" t="inlineStr">
        <is>
          <t>Otras Patologías</t>
        </is>
      </c>
      <c r="B156" s="6166" t="n"/>
      <c r="C156" s="6415" t="n"/>
      <c r="D156" s="6089" t="n"/>
      <c r="E156" s="6089" t="n"/>
      <c r="F156" s="6089" t="n"/>
      <c r="G156" s="965" t="n"/>
      <c r="H156" s="965" t="n"/>
      <c r="I156" s="965" t="n"/>
      <c r="J156" s="965" t="n"/>
      <c r="K156" s="965" t="n"/>
      <c r="L156" s="965" t="n"/>
      <c r="M156" s="965" t="n"/>
      <c r="N156" s="965" t="n"/>
      <c r="O156" s="965" t="n"/>
      <c r="P156" s="965" t="n"/>
      <c r="Q156" s="965" t="n"/>
      <c r="R156" s="965" t="n"/>
      <c r="S156" s="965" t="n"/>
      <c r="T156" s="965" t="n"/>
      <c r="U156" s="965" t="n"/>
      <c r="V156" s="965" t="n"/>
      <c r="W156" s="6089" t="n"/>
    </row>
    <row r="157" ht="15" customHeight="1" s="8286">
      <c r="A157" s="1780" t="inlineStr">
        <is>
          <t>Trabajo de Parto sin Patología</t>
        </is>
      </c>
      <c r="B157" s="6166" t="n"/>
      <c r="C157" s="6415" t="n"/>
      <c r="D157" s="6089" t="n"/>
      <c r="E157" s="6089" t="n"/>
      <c r="F157" s="6089" t="n"/>
      <c r="G157" s="965" t="n"/>
      <c r="H157" s="965" t="n"/>
      <c r="I157" s="965" t="n"/>
      <c r="J157" s="965" t="n"/>
      <c r="K157" s="965" t="n"/>
      <c r="L157" s="965" t="n"/>
      <c r="M157" s="965" t="n"/>
      <c r="N157" s="965" t="n"/>
      <c r="O157" s="965" t="n"/>
      <c r="P157" s="965" t="n"/>
      <c r="Q157" s="965" t="n"/>
      <c r="R157" s="965" t="n"/>
      <c r="S157" s="965" t="n"/>
      <c r="T157" s="965" t="n"/>
      <c r="U157" s="965" t="n"/>
      <c r="V157" s="965" t="n"/>
      <c r="W157" s="6089" t="n"/>
    </row>
    <row r="158" ht="26.25" customHeight="1" s="8286">
      <c r="A158" s="6540" t="inlineStr">
        <is>
          <t>TOTAL</t>
        </is>
      </c>
      <c r="B158" s="6417">
        <f>SUM(B146:B157)</f>
        <v/>
      </c>
      <c r="C158" s="6089" t="n"/>
      <c r="D158" s="6089" t="n"/>
      <c r="E158" s="6089" t="n"/>
      <c r="F158" s="6089" t="n"/>
      <c r="G158" s="965" t="n"/>
      <c r="H158" s="965" t="n"/>
      <c r="I158" s="965" t="n"/>
      <c r="J158" s="965" t="n"/>
      <c r="K158" s="965" t="n"/>
      <c r="L158" s="965" t="n"/>
      <c r="M158" s="965" t="n"/>
      <c r="N158" s="965" t="n"/>
      <c r="O158" s="965" t="n"/>
      <c r="P158" s="965" t="n"/>
      <c r="Q158" s="965" t="n"/>
      <c r="R158" s="965" t="n"/>
      <c r="S158" s="965" t="n"/>
      <c r="T158" s="965" t="n"/>
      <c r="U158" s="965" t="n"/>
      <c r="V158" s="965" t="n"/>
      <c r="W158" s="6089" t="n"/>
      <c r="BW158" s="6245" t="n"/>
    </row>
    <row r="159" ht="18" customFormat="1" customHeight="1" s="6246">
      <c r="A159" s="1001" t="inlineStr">
        <is>
          <t>SECCIÓN J: LLAMADOS DE URGENCIA A CENTRO REGULADOR, CENTRO DE DESPACHO O CENTRO COORDINADOR</t>
        </is>
      </c>
      <c r="B159" s="927" t="n"/>
      <c r="C159" s="927" t="n"/>
      <c r="BV159" s="6251" t="n"/>
      <c r="BW159" s="6251" t="n"/>
      <c r="BX159" s="6366" t="n"/>
      <c r="BY159" s="6366" t="n"/>
    </row>
    <row r="160" ht="24" customHeight="1" s="8286">
      <c r="A160" s="9624" t="inlineStr">
        <is>
          <t>TIPO DE ACCIÓN</t>
        </is>
      </c>
      <c r="B160" s="9647" t="n"/>
      <c r="C160" s="8168" t="inlineStr">
        <is>
          <t>Total de Llamadas</t>
        </is>
      </c>
      <c r="D160" s="8168" t="inlineStr">
        <is>
          <t>Llamadas Validas</t>
        </is>
      </c>
      <c r="BV160" s="6245" t="n"/>
      <c r="BW160" s="6245" t="n"/>
    </row>
    <row r="161" ht="21" customHeight="1" s="8286">
      <c r="A161" s="6541" t="inlineStr">
        <is>
          <t xml:space="preserve"> Centro Regulador, Centro de Despacho ó Centro Coordinador</t>
        </is>
      </c>
      <c r="B161" s="8157" t="inlineStr">
        <is>
          <t>Nº  Llamados de Urgencia</t>
        </is>
      </c>
      <c r="C161" s="6542" t="n"/>
      <c r="D161" s="6542" t="n"/>
      <c r="BV161" s="6245" t="n"/>
      <c r="BW161" s="6245" t="n"/>
    </row>
    <row r="162" ht="18" customFormat="1" customHeight="1" s="6246">
      <c r="A162" s="927" t="inlineStr">
        <is>
          <t>SECCIÓN K: INTERVENCIONES PRE HOSPITALARIAS (SAMU)</t>
        </is>
      </c>
      <c r="B162" s="927" t="n"/>
      <c r="C162" s="927" t="n"/>
      <c r="D162" s="927" t="n"/>
      <c r="E162" s="927" t="n"/>
      <c r="F162" s="927" t="n"/>
      <c r="G162" s="964" t="n"/>
      <c r="H162" s="964" t="n"/>
      <c r="I162" s="964" t="n"/>
      <c r="J162" s="964" t="n"/>
      <c r="K162" s="964" t="n"/>
      <c r="L162" s="964" t="n"/>
      <c r="M162" s="6251" t="n"/>
      <c r="BV162" s="6251" t="n"/>
      <c r="BW162" s="6251" t="n"/>
      <c r="BX162" s="6366" t="n"/>
      <c r="BY162" s="6366" t="n"/>
    </row>
    <row r="163" ht="24" customHeight="1" s="8286">
      <c r="A163" s="9866" t="inlineStr">
        <is>
          <t>TIPO DE ACCIÓN</t>
        </is>
      </c>
      <c r="B163" s="9630" t="n"/>
      <c r="C163" s="9874" t="inlineStr">
        <is>
          <t>N° INTERVENCIONES</t>
        </is>
      </c>
      <c r="D163" s="9584" t="n"/>
      <c r="E163" s="9647" t="n"/>
      <c r="F163" s="10188" t="inlineStr">
        <is>
          <t>Beneficiarios</t>
        </is>
      </c>
      <c r="G163" s="10189" t="inlineStr">
        <is>
          <t>Tiempo de Llegada Intervenciones Criticas</t>
        </is>
      </c>
      <c r="H163" s="10190" t="n"/>
      <c r="I163" s="10191" t="n"/>
      <c r="J163" s="9624" t="inlineStr">
        <is>
          <t>Tiempo de Llegada Intervenciones no Criticas</t>
        </is>
      </c>
      <c r="K163" s="9584" t="n"/>
      <c r="L163" s="9647" t="n"/>
      <c r="M163" s="7632" t="inlineStr">
        <is>
          <t>Atributos de Intervención Criticas</t>
        </is>
      </c>
      <c r="N163" s="9584" t="n"/>
      <c r="O163" s="9582" t="n"/>
      <c r="BS163" s="5555" t="n"/>
      <c r="BT163" s="6245" t="n"/>
      <c r="BU163" s="6245" t="n"/>
      <c r="BV163" s="6245" t="n"/>
      <c r="BW163" s="5554" t="n"/>
      <c r="BX163" s="6246" t="n"/>
      <c r="BY163" s="6246" t="n"/>
      <c r="BZ163" s="6246" t="n"/>
      <c r="CO163" s="5554" t="n"/>
      <c r="CP163" s="5554" t="n"/>
      <c r="CQ163" s="5554" t="n"/>
    </row>
    <row r="164" ht="35.25" customHeight="1" s="8286">
      <c r="A164" s="9638" t="n"/>
      <c r="B164" s="9639" t="n"/>
      <c r="C164" s="8163" t="inlineStr">
        <is>
          <t>TOTAL</t>
        </is>
      </c>
      <c r="D164" s="8178" t="inlineStr">
        <is>
          <t>Críticas</t>
        </is>
      </c>
      <c r="E164" s="8155" t="inlineStr">
        <is>
          <t>No Críticas</t>
        </is>
      </c>
      <c r="F164" s="10020" t="n"/>
      <c r="G164" s="7113" t="inlineStr">
        <is>
          <t>0-20 Min</t>
        </is>
      </c>
      <c r="H164" s="6264" t="inlineStr">
        <is>
          <t>Más de 20 minutos y hasta 40 minutos</t>
        </is>
      </c>
      <c r="I164" s="8155" t="inlineStr">
        <is>
          <t>Más de 40 Min</t>
        </is>
      </c>
      <c r="J164" s="8178" t="inlineStr">
        <is>
          <t>0-20 Min</t>
        </is>
      </c>
      <c r="K164" s="6264" t="inlineStr">
        <is>
          <t>Más de 20 Min y hasta 40 Min</t>
        </is>
      </c>
      <c r="L164" s="8155" t="inlineStr">
        <is>
          <t>Más de 40 Min</t>
        </is>
      </c>
      <c r="M164" s="8178" t="inlineStr">
        <is>
          <t>0-8 Min</t>
        </is>
      </c>
      <c r="N164" s="6264" t="inlineStr">
        <is>
          <t>9-20 Min</t>
        </is>
      </c>
      <c r="O164" s="8155" t="inlineStr">
        <is>
          <t>Mas de 20 minutos y hasta 40 minutos</t>
        </is>
      </c>
      <c r="BS164" s="5555" t="n"/>
      <c r="BT164" s="6245" t="n"/>
      <c r="BU164" s="6245" t="n"/>
      <c r="BV164" s="6245" t="n"/>
      <c r="BW164" s="5554" t="n"/>
      <c r="BX164" s="6246" t="n"/>
      <c r="BY164" s="6246" t="n"/>
      <c r="BZ164" s="6246" t="n"/>
      <c r="CO164" s="5554" t="n"/>
      <c r="CP164" s="5554" t="n"/>
      <c r="CQ164" s="5554" t="n"/>
    </row>
    <row r="165" ht="15" customHeight="1" s="8286">
      <c r="A165" s="9699" t="inlineStr">
        <is>
          <t>Intervenciones Clínicas Pre Hospitalarias</t>
        </is>
      </c>
      <c r="B165" s="6544" t="inlineStr">
        <is>
          <t>Intervención de Móvil Básico</t>
        </is>
      </c>
      <c r="C165" s="6534">
        <f>SUM(D165+E165)</f>
        <v/>
      </c>
      <c r="D165" s="6385" t="n"/>
      <c r="E165" s="6371" t="n"/>
      <c r="F165" s="7114" t="n"/>
      <c r="G165" s="5879" t="n"/>
      <c r="H165" s="6545" t="n"/>
      <c r="I165" s="6371" t="n"/>
      <c r="J165" s="6385" t="n"/>
      <c r="K165" s="6545" t="n"/>
      <c r="L165" s="6371" t="n"/>
      <c r="M165" s="6385" t="n"/>
      <c r="N165" s="6545" t="n"/>
      <c r="O165" s="6371" t="n"/>
      <c r="BS165" s="5555" t="n"/>
      <c r="BT165" s="6245" t="n"/>
      <c r="BU165" s="6245" t="n"/>
      <c r="BV165" s="6245" t="n"/>
      <c r="BW165" s="5554" t="n"/>
      <c r="BX165" s="6246" t="n"/>
      <c r="BY165" s="6246" t="n"/>
      <c r="BZ165" s="6246" t="n"/>
      <c r="CO165" s="5554" t="n"/>
      <c r="CP165" s="5554" t="n"/>
      <c r="CQ165" s="5554" t="n"/>
    </row>
    <row r="166" ht="15" customHeight="1" s="8286">
      <c r="A166" s="9610" t="n"/>
      <c r="B166" s="6546" t="inlineStr">
        <is>
          <t>Intervención de Móvil Avanzado</t>
        </is>
      </c>
      <c r="C166" s="6547">
        <f>SUM(D166+E166)</f>
        <v/>
      </c>
      <c r="D166" s="6350" t="n"/>
      <c r="E166" s="6351" t="n"/>
      <c r="F166" s="7115" t="n"/>
      <c r="G166" s="7112" t="n"/>
      <c r="H166" s="6352" t="n"/>
      <c r="I166" s="6351" t="n"/>
      <c r="J166" s="6350" t="n"/>
      <c r="K166" s="6352" t="n"/>
      <c r="L166" s="6351" t="n"/>
      <c r="M166" s="6350" t="n"/>
      <c r="N166" s="6352" t="n"/>
      <c r="O166" s="6351" t="n"/>
      <c r="BS166" s="5555" t="n"/>
      <c r="BT166" s="6245" t="n"/>
      <c r="BU166" s="6245" t="n"/>
      <c r="BV166" s="6245" t="n"/>
      <c r="BW166" s="5554" t="n"/>
      <c r="BX166" s="6246" t="n"/>
      <c r="BY166" s="6246" t="n"/>
      <c r="BZ166" s="6246" t="n"/>
      <c r="CO166" s="5554" t="n"/>
      <c r="CP166" s="5554" t="n"/>
      <c r="CQ166" s="5554" t="n"/>
    </row>
    <row r="167" ht="18" customFormat="1" customHeight="1" s="6246">
      <c r="A167" s="1001" t="inlineStr">
        <is>
          <t>SECCIÓN L: TRASLADOS PRIMARIOS A UNIDADES DE URGENCIA (Desde el lugar del evento a unidad de Emergencia)</t>
        </is>
      </c>
      <c r="BV167" s="6251" t="n"/>
      <c r="BW167" s="6251" t="n"/>
      <c r="BX167" s="6366" t="n"/>
      <c r="BY167" s="6366" t="n"/>
    </row>
    <row r="168" ht="28.15" customHeight="1" s="8286">
      <c r="A168" s="9874" t="inlineStr">
        <is>
          <t>TIPO</t>
        </is>
      </c>
      <c r="B168" s="9647" t="n"/>
      <c r="C168" s="8168" t="inlineStr">
        <is>
          <t>Total</t>
        </is>
      </c>
      <c r="D168" s="8257" t="inlineStr">
        <is>
          <t>Beneficiarios</t>
        </is>
      </c>
      <c r="E168" s="8251" t="inlineStr">
        <is>
          <t>Por compra de servicios</t>
        </is>
      </c>
      <c r="F168" s="8176" t="inlineStr">
        <is>
          <t>Otros</t>
        </is>
      </c>
      <c r="G168" s="965" t="n"/>
    </row>
    <row r="169" ht="15" customHeight="1" s="8286">
      <c r="A169" s="9699" t="inlineStr">
        <is>
          <t>SAMU</t>
        </is>
      </c>
      <c r="B169" s="8227" t="inlineStr">
        <is>
          <t>Básico</t>
        </is>
      </c>
      <c r="C169" s="6537" t="n"/>
      <c r="D169" s="7114" t="n"/>
      <c r="E169" s="6549" t="n"/>
      <c r="F169" s="6550" t="n"/>
      <c r="G169" s="6377" t="n"/>
    </row>
    <row r="170" ht="15" customHeight="1" s="8286">
      <c r="A170" s="9610" t="n"/>
      <c r="B170" s="7469" t="inlineStr">
        <is>
          <t>Avanzado</t>
        </is>
      </c>
      <c r="C170" s="6548" t="n"/>
      <c r="D170" s="7115" t="n"/>
      <c r="E170" s="6551" t="n"/>
      <c r="F170" s="6552" t="n"/>
      <c r="G170" s="6377" t="n"/>
    </row>
    <row r="171" ht="15" customHeight="1" s="8286">
      <c r="A171" s="7209" t="inlineStr">
        <is>
          <t>Enrutado</t>
        </is>
      </c>
      <c r="B171" s="7209" t="inlineStr">
        <is>
          <t>Básico</t>
        </is>
      </c>
      <c r="C171" s="6542" t="n"/>
      <c r="D171" s="7117" t="n"/>
      <c r="E171" s="6554" t="n"/>
      <c r="F171" s="6555" t="n"/>
      <c r="G171" s="6377" t="n"/>
    </row>
    <row r="172" ht="15" customHeight="1" s="8286">
      <c r="A172" s="9699" t="inlineStr">
        <is>
          <t>No SAMU</t>
        </is>
      </c>
      <c r="B172" s="8227" t="inlineStr">
        <is>
          <t>Terrestre</t>
        </is>
      </c>
      <c r="C172" s="6537" t="n"/>
      <c r="D172" s="7114" t="n"/>
      <c r="E172" s="6272" t="n"/>
      <c r="F172" s="6550" t="n"/>
      <c r="G172" s="6377" t="n"/>
    </row>
    <row r="173" ht="15" customHeight="1" s="8286">
      <c r="A173" s="9614" t="n"/>
      <c r="B173" s="7199" t="inlineStr">
        <is>
          <t>Marítimo</t>
        </is>
      </c>
      <c r="C173" s="5945" t="n"/>
      <c r="D173" s="7118" t="n"/>
      <c r="E173" s="6014" t="n"/>
      <c r="F173" s="6014" t="n"/>
      <c r="G173" s="6377" t="n"/>
    </row>
    <row r="174" ht="15" customHeight="1" s="8286">
      <c r="A174" s="9610" t="n"/>
      <c r="B174" s="7469" t="inlineStr">
        <is>
          <t>Aéreo</t>
        </is>
      </c>
      <c r="C174" s="6548" t="n"/>
      <c r="D174" s="7115" t="n"/>
      <c r="E174" s="6556" t="n"/>
      <c r="F174" s="6351" t="n"/>
      <c r="G174" s="6377" t="n"/>
    </row>
    <row r="175" ht="18" customFormat="1" customHeight="1" s="6246">
      <c r="A175" s="6557" t="inlineStr">
        <is>
          <t>SECCIÓN M: TRASLADO SECUNDARIO (Desde un establecimiento a otro)</t>
        </is>
      </c>
      <c r="B175" s="927" t="n"/>
      <c r="C175" s="927" t="n"/>
      <c r="D175" s="927" t="n"/>
      <c r="E175" s="927" t="n"/>
      <c r="F175" s="927" t="n"/>
      <c r="G175" s="927" t="n"/>
      <c r="H175" s="927" t="n"/>
      <c r="I175" s="927" t="n"/>
      <c r="BV175" s="6251" t="n"/>
      <c r="BW175" s="6251" t="n"/>
      <c r="BX175" s="6366" t="n"/>
      <c r="BY175" s="6366" t="n"/>
    </row>
    <row r="176">
      <c r="A176" s="9866" t="inlineStr">
        <is>
          <t>TIPO DE ACCIÓN</t>
        </is>
      </c>
      <c r="B176" s="9630" t="n"/>
      <c r="C176" s="9626" t="inlineStr">
        <is>
          <t>TOTAL DE TRASLADOS</t>
        </is>
      </c>
      <c r="D176" s="9584" t="n"/>
      <c r="E176" s="9584" t="n"/>
      <c r="F176" s="8257" t="inlineStr">
        <is>
          <t>Beneficiarios</t>
        </is>
      </c>
      <c r="G176" s="8251" t="inlineStr">
        <is>
          <t>Por compra de servicios</t>
        </is>
      </c>
      <c r="H176" s="8274" t="inlineStr">
        <is>
          <t>Otros</t>
        </is>
      </c>
      <c r="BW176" s="6245" t="n"/>
    </row>
    <row r="177">
      <c r="A177" s="9638" t="n"/>
      <c r="B177" s="9639" t="n"/>
      <c r="C177" s="8163" t="inlineStr">
        <is>
          <t>Ambos</t>
        </is>
      </c>
      <c r="D177" s="6292" t="inlineStr">
        <is>
          <t>SAMU</t>
        </is>
      </c>
      <c r="E177" s="8176" t="inlineStr">
        <is>
          <t>NO SAMU</t>
        </is>
      </c>
      <c r="F177" s="10192" t="n"/>
      <c r="G177" s="9611" t="n"/>
      <c r="H177" s="9639" t="n"/>
      <c r="BW177" s="6245" t="n"/>
    </row>
    <row r="178" ht="15.6" customHeight="1" s="8286">
      <c r="A178" s="9750" t="inlineStr">
        <is>
          <t>Crítico</t>
        </is>
      </c>
      <c r="B178" s="6558" t="inlineStr">
        <is>
          <t>Aéreo</t>
        </is>
      </c>
      <c r="C178" s="6534">
        <f>SUM(D178:E178)</f>
        <v/>
      </c>
      <c r="D178" s="6385" t="n"/>
      <c r="E178" s="6371" t="n"/>
      <c r="F178" s="7114" t="n"/>
      <c r="G178" s="6272" t="n"/>
      <c r="H178" s="6371" t="n"/>
      <c r="I178" s="6523" t="n"/>
      <c r="BW178" s="6245" t="n"/>
    </row>
    <row r="179" ht="15.6" customHeight="1" s="8286">
      <c r="A179" s="10125" t="n"/>
      <c r="B179" s="1580" t="inlineStr">
        <is>
          <t>Terrestre</t>
        </is>
      </c>
      <c r="C179" s="1646">
        <f>SUM(D179:E179)</f>
        <v/>
      </c>
      <c r="D179" s="5826" t="n"/>
      <c r="E179" s="5827" t="n"/>
      <c r="F179" s="6933" t="n"/>
      <c r="G179" s="6559" t="n"/>
      <c r="H179" s="5827" t="n"/>
      <c r="I179" s="6523" t="n"/>
      <c r="BW179" s="6245" t="n"/>
    </row>
    <row r="180" ht="15.6" customHeight="1" s="8286">
      <c r="A180" s="10124" t="n"/>
      <c r="B180" s="6546" t="inlineStr">
        <is>
          <t>Marítimo</t>
        </is>
      </c>
      <c r="C180" s="1648">
        <f>SUM(D180:E180)</f>
        <v/>
      </c>
      <c r="D180" s="6350" t="n"/>
      <c r="E180" s="6351" t="n"/>
      <c r="F180" s="7115" t="n"/>
      <c r="G180" s="6556" t="n"/>
      <c r="H180" s="6351" t="n"/>
      <c r="I180" s="6523" t="n"/>
      <c r="BW180" s="6245" t="n"/>
    </row>
    <row r="181" ht="18.6" customHeight="1" s="8286">
      <c r="A181" s="9699" t="inlineStr">
        <is>
          <t>No Crítico</t>
        </is>
      </c>
      <c r="B181" s="6558" t="inlineStr">
        <is>
          <t>Aéreo</t>
        </is>
      </c>
      <c r="C181" s="6534">
        <f>SUM(D181:E181)</f>
        <v/>
      </c>
      <c r="D181" s="6385" t="n"/>
      <c r="E181" s="6371" t="n"/>
      <c r="F181" s="7114" t="n"/>
      <c r="G181" s="6272" t="n"/>
      <c r="H181" s="6371" t="n"/>
      <c r="I181" s="6523" t="n"/>
      <c r="BW181" s="6245" t="n"/>
    </row>
    <row r="182" ht="20.45" customHeight="1" s="8286">
      <c r="A182" s="9614" t="n"/>
      <c r="B182" s="1580" t="inlineStr">
        <is>
          <t>Terrestre</t>
        </is>
      </c>
      <c r="C182" s="1646">
        <f>SUM(D182:E182)</f>
        <v/>
      </c>
      <c r="D182" s="5826" t="n"/>
      <c r="E182" s="5827" t="n"/>
      <c r="F182" s="6933" t="n"/>
      <c r="G182" s="6559" t="n"/>
      <c r="H182" s="5827" t="n"/>
      <c r="I182" s="6523" t="n"/>
      <c r="BW182" s="6245" t="n"/>
    </row>
    <row r="183" ht="21" customHeight="1" s="8286">
      <c r="A183" s="9610" t="n"/>
      <c r="B183" s="6546" t="inlineStr">
        <is>
          <t>Marítimo</t>
        </is>
      </c>
      <c r="C183" s="1648">
        <f>SUM(D183:E183)</f>
        <v/>
      </c>
      <c r="D183" s="6350" t="n"/>
      <c r="E183" s="6351" t="n"/>
      <c r="F183" s="7115" t="n"/>
      <c r="G183" s="6556" t="n"/>
      <c r="H183" s="6351" t="n"/>
      <c r="I183" s="6523" t="n"/>
      <c r="BW183" s="6245" t="n"/>
    </row>
    <row r="184" ht="18" customFormat="1" customHeight="1" s="6246">
      <c r="A184" s="6252" t="inlineStr">
        <is>
          <t>SECCIÓN N: CLASIFICACIÓN DE LAS INTERVENCIONES POR GRANDES GRUPOS DE DIAGNÓSTICOS (SAMU)</t>
        </is>
      </c>
      <c r="B184" s="6252" t="n"/>
      <c r="C184" s="6252" t="n"/>
      <c r="D184" s="6252" t="n"/>
      <c r="J184" s="6251" t="n"/>
      <c r="K184" s="6251" t="n"/>
      <c r="L184" s="6251" t="n"/>
      <c r="M184" s="6251" t="n"/>
      <c r="N184" s="6251" t="n"/>
      <c r="O184" s="6251" t="n"/>
      <c r="P184" s="6251" t="n"/>
      <c r="Q184" s="6251" t="n"/>
      <c r="R184" s="6251" t="n"/>
      <c r="S184" s="6251" t="n"/>
      <c r="T184" s="6251" t="n"/>
      <c r="U184" s="6251" t="n"/>
      <c r="V184" s="6251" t="n"/>
      <c r="W184" s="6251" t="n"/>
      <c r="X184" s="6251" t="n"/>
      <c r="Y184" s="6251" t="n"/>
      <c r="Z184" s="6251" t="n"/>
      <c r="AA184" s="6251" t="n"/>
      <c r="BV184" s="6251" t="n"/>
      <c r="BW184" s="6251" t="n"/>
      <c r="BX184" s="6366" t="n"/>
      <c r="BY184" s="6366" t="n"/>
    </row>
    <row r="185">
      <c r="A185" s="9619" t="inlineStr">
        <is>
          <t>CAUSAS DE LA INTERVENCIÓN</t>
        </is>
      </c>
      <c r="B185" s="10171" t="inlineStr">
        <is>
          <t>TOTALES</t>
        </is>
      </c>
      <c r="C185" s="9602" t="n"/>
      <c r="D185" s="9630" t="n"/>
      <c r="E185" s="10187" t="inlineStr">
        <is>
          <t>RANGO ETARIO (en años)</t>
        </is>
      </c>
      <c r="F185" s="9584" t="n"/>
      <c r="G185" s="9584" t="n"/>
      <c r="H185" s="9584" t="n"/>
      <c r="I185" s="9584" t="n"/>
      <c r="J185" s="9584" t="n"/>
      <c r="K185" s="9584" t="n"/>
      <c r="L185" s="9584" t="n"/>
      <c r="M185" s="9584" t="n"/>
      <c r="N185" s="9584" t="n"/>
      <c r="O185" s="9584" t="n"/>
      <c r="P185" s="9584" t="n"/>
      <c r="Q185" s="9584" t="n"/>
      <c r="R185" s="9584" t="n"/>
      <c r="S185" s="9584" t="n"/>
      <c r="T185" s="9584" t="n"/>
      <c r="U185" s="9584" t="n"/>
      <c r="V185" s="9584" t="n"/>
      <c r="W185" s="9584" t="n"/>
      <c r="X185" s="9584" t="n"/>
      <c r="Y185" s="9584" t="n"/>
      <c r="Z185" s="9584" t="n"/>
      <c r="AA185" s="9584" t="n"/>
      <c r="AB185" s="9584" t="n"/>
      <c r="AC185" s="9584" t="n"/>
      <c r="AD185" s="9584" t="n"/>
      <c r="AE185" s="9584" t="n"/>
      <c r="AF185" s="9584" t="n"/>
      <c r="AG185" s="9584" t="n"/>
      <c r="AH185" s="9584" t="n"/>
      <c r="AI185" s="9584" t="n"/>
      <c r="AJ185" s="9584" t="n"/>
      <c r="AK185" s="9584" t="n"/>
      <c r="AL185" s="9647" t="n"/>
      <c r="BW185" s="6245" t="n"/>
    </row>
    <row r="186">
      <c r="A186" s="9614" t="n"/>
      <c r="B186" s="9638" t="n"/>
      <c r="C186" s="9697" t="n"/>
      <c r="D186" s="9639" t="n"/>
      <c r="E186" s="9624" t="inlineStr">
        <is>
          <t>0 - 4 años</t>
        </is>
      </c>
      <c r="F186" s="9647" t="n"/>
      <c r="G186" s="9624" t="inlineStr">
        <is>
          <t>5 - 9 años</t>
        </is>
      </c>
      <c r="H186" s="9647" t="n"/>
      <c r="I186" s="9624" t="inlineStr">
        <is>
          <t>10 - 14 años</t>
        </is>
      </c>
      <c r="J186" s="9647" t="n"/>
      <c r="K186" s="9624" t="inlineStr">
        <is>
          <t>15 - 19 años</t>
        </is>
      </c>
      <c r="L186" s="9647" t="n"/>
      <c r="M186" s="9624" t="inlineStr">
        <is>
          <t>20 - 24 años</t>
        </is>
      </c>
      <c r="N186" s="9647" t="n"/>
      <c r="O186" s="9874" t="inlineStr">
        <is>
          <t>25 - 29 años</t>
        </is>
      </c>
      <c r="P186" s="9647" t="n"/>
      <c r="Q186" s="9874" t="inlineStr">
        <is>
          <t>30 - 34 años</t>
        </is>
      </c>
      <c r="R186" s="9647" t="n"/>
      <c r="S186" s="9874" t="inlineStr">
        <is>
          <t>35 - 39 años</t>
        </is>
      </c>
      <c r="T186" s="9647" t="n"/>
      <c r="U186" s="9874" t="inlineStr">
        <is>
          <t>40 - 44 años</t>
        </is>
      </c>
      <c r="V186" s="9647" t="n"/>
      <c r="W186" s="9874" t="inlineStr">
        <is>
          <t>45 - 49 años</t>
        </is>
      </c>
      <c r="X186" s="9647" t="n"/>
      <c r="Y186" s="9874" t="inlineStr">
        <is>
          <t>50 - 54 años</t>
        </is>
      </c>
      <c r="Z186" s="9647" t="n"/>
      <c r="AA186" s="9874" t="inlineStr">
        <is>
          <t>55 - 59 años</t>
        </is>
      </c>
      <c r="AB186" s="9647" t="n"/>
      <c r="AC186" s="9874" t="inlineStr">
        <is>
          <t>60 - 64 años</t>
        </is>
      </c>
      <c r="AD186" s="9647" t="n"/>
      <c r="AE186" s="9874" t="inlineStr">
        <is>
          <t>65 - 69 años</t>
        </is>
      </c>
      <c r="AF186" s="9647" t="n"/>
      <c r="AG186" s="9874" t="inlineStr">
        <is>
          <t>70 - 74 años</t>
        </is>
      </c>
      <c r="AH186" s="9647" t="n"/>
      <c r="AI186" s="9874" t="inlineStr">
        <is>
          <t>75 - 79 años</t>
        </is>
      </c>
      <c r="AJ186" s="9647" t="n"/>
      <c r="AK186" s="9874" t="inlineStr">
        <is>
          <t>80 y más años</t>
        </is>
      </c>
      <c r="AL186" s="9647" t="n"/>
      <c r="BW186" s="6245" t="n"/>
    </row>
    <row r="187">
      <c r="A187" s="9610" t="n"/>
      <c r="B187" s="6561" t="inlineStr">
        <is>
          <t>Ambos Sexos</t>
        </is>
      </c>
      <c r="C187" s="6562" t="inlineStr">
        <is>
          <t>Hombres</t>
        </is>
      </c>
      <c r="D187" s="8263" t="inlineStr">
        <is>
          <t>Mujeres</t>
        </is>
      </c>
      <c r="E187" s="6292" t="inlineStr">
        <is>
          <t xml:space="preserve">Hombres </t>
        </is>
      </c>
      <c r="F187" s="8176" t="inlineStr">
        <is>
          <t>Mujeres</t>
        </is>
      </c>
      <c r="G187" s="6292" t="inlineStr">
        <is>
          <t xml:space="preserve">Hombres </t>
        </is>
      </c>
      <c r="H187" s="8176" t="inlineStr">
        <is>
          <t>Mujeres</t>
        </is>
      </c>
      <c r="I187" s="6292" t="inlineStr">
        <is>
          <t xml:space="preserve">Hombres </t>
        </is>
      </c>
      <c r="J187" s="8176" t="inlineStr">
        <is>
          <t>Mujeres</t>
        </is>
      </c>
      <c r="K187" s="6292" t="inlineStr">
        <is>
          <t xml:space="preserve">Hombres </t>
        </is>
      </c>
      <c r="L187" s="8159" t="inlineStr">
        <is>
          <t>Mujeres</t>
        </is>
      </c>
      <c r="M187" s="6292" t="inlineStr">
        <is>
          <t xml:space="preserve">Hombres </t>
        </is>
      </c>
      <c r="N187" s="8176" t="inlineStr">
        <is>
          <t>Mujeres</t>
        </is>
      </c>
      <c r="O187" s="6292" t="inlineStr">
        <is>
          <t xml:space="preserve">Hombres </t>
        </is>
      </c>
      <c r="P187" s="8159" t="inlineStr">
        <is>
          <t>Mujeres</t>
        </is>
      </c>
      <c r="Q187" s="6292" t="inlineStr">
        <is>
          <t xml:space="preserve">Hombres </t>
        </is>
      </c>
      <c r="R187" s="8176" t="inlineStr">
        <is>
          <t>Mujeres</t>
        </is>
      </c>
      <c r="S187" s="6292" t="inlineStr">
        <is>
          <t xml:space="preserve">Hombres </t>
        </is>
      </c>
      <c r="T187" s="8159" t="inlineStr">
        <is>
          <t>Mujeres</t>
        </is>
      </c>
      <c r="U187" s="6292" t="inlineStr">
        <is>
          <t xml:space="preserve">Hombres </t>
        </is>
      </c>
      <c r="V187" s="8176" t="inlineStr">
        <is>
          <t>Mujeres</t>
        </is>
      </c>
      <c r="W187" s="6292" t="inlineStr">
        <is>
          <t xml:space="preserve">Hombres </t>
        </is>
      </c>
      <c r="X187" s="8159" t="inlineStr">
        <is>
          <t>Mujeres</t>
        </is>
      </c>
      <c r="Y187" s="6292" t="inlineStr">
        <is>
          <t xml:space="preserve">Hombres </t>
        </is>
      </c>
      <c r="Z187" s="8176" t="inlineStr">
        <is>
          <t>Mujeres</t>
        </is>
      </c>
      <c r="AA187" s="6292" t="inlineStr">
        <is>
          <t xml:space="preserve">Hombres </t>
        </is>
      </c>
      <c r="AB187" s="8176" t="inlineStr">
        <is>
          <t>Mujeres</t>
        </is>
      </c>
      <c r="AC187" s="6292" t="inlineStr">
        <is>
          <t xml:space="preserve">Hombres </t>
        </is>
      </c>
      <c r="AD187" s="8176" t="inlineStr">
        <is>
          <t>Mujeres</t>
        </is>
      </c>
      <c r="AE187" s="6292" t="inlineStr">
        <is>
          <t xml:space="preserve">Hombres </t>
        </is>
      </c>
      <c r="AF187" s="8176" t="inlineStr">
        <is>
          <t>Mujeres</t>
        </is>
      </c>
      <c r="AG187" s="6292" t="inlineStr">
        <is>
          <t xml:space="preserve">Hombres </t>
        </is>
      </c>
      <c r="AH187" s="8176" t="inlineStr">
        <is>
          <t>Mujeres</t>
        </is>
      </c>
      <c r="AI187" s="6292" t="inlineStr">
        <is>
          <t xml:space="preserve">Hombres </t>
        </is>
      </c>
      <c r="AJ187" s="8176" t="inlineStr">
        <is>
          <t>Mujeres</t>
        </is>
      </c>
      <c r="AK187" s="6292" t="inlineStr">
        <is>
          <t xml:space="preserve">Hombres </t>
        </is>
      </c>
      <c r="AL187" s="8176" t="inlineStr">
        <is>
          <t>Mujeres</t>
        </is>
      </c>
      <c r="BW187" s="6245" t="n"/>
    </row>
    <row r="188" ht="15" customHeight="1" s="8286">
      <c r="A188" s="6563" t="inlineStr">
        <is>
          <t>Síndrome Coronario Agudo</t>
        </is>
      </c>
      <c r="B188" s="6564">
        <f>SUM(C188+D188)</f>
        <v/>
      </c>
      <c r="C188" s="6565">
        <f>SUM(O188+Q188+S188+U188+W188+Y188+AA188+AC188+AE188+AG188+AI188+AK188)</f>
        <v/>
      </c>
      <c r="D188" s="6566">
        <f>SUM(P188+R188+T188+V188+X188+Z188+AB188+AD188+AF188+AH188+AJ188+AL188)</f>
        <v/>
      </c>
      <c r="E188" s="6567" t="n"/>
      <c r="F188" s="6568" t="n"/>
      <c r="G188" s="6569" t="n"/>
      <c r="H188" s="6570" t="n"/>
      <c r="I188" s="6567" t="n"/>
      <c r="J188" s="6568" t="n"/>
      <c r="K188" s="6569" t="n"/>
      <c r="L188" s="6570" t="n"/>
      <c r="M188" s="6569" t="n"/>
      <c r="N188" s="6570" t="n"/>
      <c r="O188" s="6571" t="n"/>
      <c r="P188" s="6572" t="n"/>
      <c r="Q188" s="6573" t="n"/>
      <c r="R188" s="6574" t="n"/>
      <c r="S188" s="6571" t="n"/>
      <c r="T188" s="6572" t="n"/>
      <c r="U188" s="6573" t="n"/>
      <c r="V188" s="6574" t="n"/>
      <c r="W188" s="6571" t="n"/>
      <c r="X188" s="6572" t="n"/>
      <c r="Y188" s="6573" t="n"/>
      <c r="Z188" s="6574" t="n"/>
      <c r="AA188" s="6573" t="n"/>
      <c r="AB188" s="6574" t="n"/>
      <c r="AC188" s="6573" t="n"/>
      <c r="AD188" s="6574" t="n"/>
      <c r="AE188" s="6573" t="n"/>
      <c r="AF188" s="6574" t="n"/>
      <c r="AG188" s="6573" t="n"/>
      <c r="AH188" s="6574" t="n"/>
      <c r="AI188" s="6573" t="n"/>
      <c r="AJ188" s="6574" t="n"/>
      <c r="AK188" s="6573" t="n"/>
      <c r="AL188" s="6574" t="n"/>
      <c r="BW188" s="6245" t="n"/>
    </row>
    <row r="189" ht="15" customHeight="1" s="8286">
      <c r="A189" s="6575" t="inlineStr">
        <is>
          <t>Paro Cardiorrespiratorio</t>
        </is>
      </c>
      <c r="B189" s="6576">
        <f>SUM(C189+D189)</f>
        <v/>
      </c>
      <c r="C189" s="6577">
        <f>SUM(E189+G189+I189+K189+M189+O189+Q189+S189+U189+W189+Y189+AA189+AC189+AE189+AG189+AI189+AK189)</f>
        <v/>
      </c>
      <c r="D189" s="5825">
        <f>SUM(F189+H189+J189+L189+N189+P189+R189+T189+V189+X189+Z189+AB189+AD189+AF189+AH189+AJ189+AL189)</f>
        <v/>
      </c>
      <c r="E189" s="6578" t="n"/>
      <c r="F189" s="6579" t="n"/>
      <c r="G189" s="6578" t="n"/>
      <c r="H189" s="6579" t="n"/>
      <c r="I189" s="6578" t="n"/>
      <c r="J189" s="6579" t="n"/>
      <c r="K189" s="6580" t="n"/>
      <c r="L189" s="6581" t="n"/>
      <c r="M189" s="6578" t="n"/>
      <c r="N189" s="6579" t="n"/>
      <c r="O189" s="6580" t="n"/>
      <c r="P189" s="6581" t="n"/>
      <c r="Q189" s="6578" t="n"/>
      <c r="R189" s="6579" t="n"/>
      <c r="S189" s="6580" t="n"/>
      <c r="T189" s="6581" t="n"/>
      <c r="U189" s="6578" t="n"/>
      <c r="V189" s="6579" t="n"/>
      <c r="W189" s="6580" t="n"/>
      <c r="X189" s="6581" t="n"/>
      <c r="Y189" s="6578" t="n"/>
      <c r="Z189" s="6579" t="n"/>
      <c r="AA189" s="6578" t="n"/>
      <c r="AB189" s="6579" t="n"/>
      <c r="AC189" s="6578" t="n"/>
      <c r="AD189" s="6579" t="n"/>
      <c r="AE189" s="6578" t="n"/>
      <c r="AF189" s="6579" t="n"/>
      <c r="AG189" s="6578" t="n"/>
      <c r="AH189" s="6579" t="n"/>
      <c r="AI189" s="6578" t="n"/>
      <c r="AJ189" s="6579" t="n"/>
      <c r="AK189" s="6578" t="n"/>
      <c r="AL189" s="6579" t="n"/>
      <c r="BW189" s="6245" t="n"/>
    </row>
    <row r="190" ht="15" customHeight="1" s="8286">
      <c r="A190" s="6582" t="inlineStr">
        <is>
          <t>Politraumatismo</t>
        </is>
      </c>
      <c r="B190" s="6576">
        <f>SUM(C190+D190)</f>
        <v/>
      </c>
      <c r="C190" s="6577">
        <f>SUM(E190+G190+I190+K190+M190+O190+Q190+S190+U190+W190+Y190+AA190+AC190+AE190+AG190+AI190+AK190)</f>
        <v/>
      </c>
      <c r="D190" s="5825">
        <f>SUM(F190+H190+J190+L190+N190+P190+R190+T190+V190+X190+Z190+AB190+AD190+AF190+AH190+AJ190+AL190)</f>
        <v/>
      </c>
      <c r="E190" s="6578" t="n"/>
      <c r="F190" s="6579" t="n"/>
      <c r="G190" s="6578" t="n"/>
      <c r="H190" s="6579" t="n"/>
      <c r="I190" s="6578" t="n"/>
      <c r="J190" s="6579" t="n"/>
      <c r="K190" s="6580" t="n"/>
      <c r="L190" s="6581" t="n"/>
      <c r="M190" s="6578" t="n"/>
      <c r="N190" s="6579" t="n"/>
      <c r="O190" s="6580" t="n"/>
      <c r="P190" s="6581" t="n"/>
      <c r="Q190" s="6578" t="n"/>
      <c r="R190" s="6579" t="n"/>
      <c r="S190" s="6580" t="n"/>
      <c r="T190" s="6581" t="n"/>
      <c r="U190" s="6578" t="n"/>
      <c r="V190" s="6579" t="n"/>
      <c r="W190" s="6580" t="n"/>
      <c r="X190" s="6581" t="n"/>
      <c r="Y190" s="6578" t="n"/>
      <c r="Z190" s="6579" t="n"/>
      <c r="AA190" s="6578" t="n"/>
      <c r="AB190" s="6579" t="n"/>
      <c r="AC190" s="6578" t="n"/>
      <c r="AD190" s="6579" t="n"/>
      <c r="AE190" s="6578" t="n"/>
      <c r="AF190" s="6579" t="n"/>
      <c r="AG190" s="6578" t="n"/>
      <c r="AH190" s="6579" t="n"/>
      <c r="AI190" s="6578" t="n"/>
      <c r="AJ190" s="6579" t="n"/>
      <c r="AK190" s="6578" t="n"/>
      <c r="AL190" s="6579" t="n"/>
      <c r="BW190" s="6245" t="n"/>
    </row>
    <row r="191" ht="15" customHeight="1" s="8286">
      <c r="A191" s="6583" t="inlineStr">
        <is>
          <t>Otros</t>
        </is>
      </c>
      <c r="B191" s="6584">
        <f>SUM(C191+D191)</f>
        <v/>
      </c>
      <c r="C191" s="6585">
        <f>SUM(E191+G191+I191+K191+M191+O191+Q191+S191+U191+W191+Y191+AA191+AC191+AE191+AG191+AI191+AK191)</f>
        <v/>
      </c>
      <c r="D191" s="6586">
        <f>SUM(F191+H191+J191+L191+N191+P191+R191+T191+V191+X191+Z191+AB191+AD191+AF191+AH191+AJ191+AL191)</f>
        <v/>
      </c>
      <c r="E191" s="6587" t="n"/>
      <c r="F191" s="6588" t="n"/>
      <c r="G191" s="6587" t="n"/>
      <c r="H191" s="6588" t="n"/>
      <c r="I191" s="6587" t="n"/>
      <c r="J191" s="6588" t="n"/>
      <c r="K191" s="6589" t="n"/>
      <c r="L191" s="6590" t="n"/>
      <c r="M191" s="6587" t="n"/>
      <c r="N191" s="6588" t="n"/>
      <c r="O191" s="6589" t="n"/>
      <c r="P191" s="6590" t="n"/>
      <c r="Q191" s="6587" t="n"/>
      <c r="R191" s="6588" t="n"/>
      <c r="S191" s="6589" t="n"/>
      <c r="T191" s="6590" t="n"/>
      <c r="U191" s="6587" t="n"/>
      <c r="V191" s="6588" t="n"/>
      <c r="W191" s="6589" t="n"/>
      <c r="X191" s="6590" t="n"/>
      <c r="Y191" s="6587" t="n"/>
      <c r="Z191" s="6588" t="n"/>
      <c r="AA191" s="6587" t="n"/>
      <c r="AB191" s="6588" t="n"/>
      <c r="AC191" s="6587" t="n"/>
      <c r="AD191" s="6588" t="n"/>
      <c r="AE191" s="6587" t="n"/>
      <c r="AF191" s="6588" t="n"/>
      <c r="AG191" s="6587" t="n"/>
      <c r="AH191" s="6588" t="n"/>
      <c r="AI191" s="6587" t="n"/>
      <c r="AJ191" s="6588" t="n"/>
      <c r="AK191" s="6587" t="n"/>
      <c r="AL191" s="6588" t="n"/>
      <c r="BW191" s="6245" t="n"/>
    </row>
    <row r="192" ht="18" customFormat="1" customHeight="1" s="6246">
      <c r="A192" s="6591" t="inlineStr">
        <is>
          <t xml:space="preserve">SECCIÓN O: ATENCIONES DE URGENCIA POR VIOLENCIA SEXUAL  </t>
        </is>
      </c>
      <c r="B192" s="6592" t="n"/>
      <c r="G192" s="6251" t="n"/>
      <c r="H192" s="6251" t="n"/>
      <c r="I192" s="6251" t="n"/>
      <c r="J192" s="6251" t="n"/>
      <c r="K192" s="6251" t="n"/>
      <c r="L192" s="6251" t="n"/>
      <c r="M192" s="6251" t="n"/>
      <c r="N192" s="6251" t="n"/>
      <c r="O192" s="6251" t="n"/>
      <c r="P192" s="6251" t="n"/>
      <c r="Q192" s="6251" t="n"/>
      <c r="R192" s="6251" t="n"/>
      <c r="S192" s="6251" t="n"/>
      <c r="T192" s="6251" t="n"/>
      <c r="U192" s="6251" t="n"/>
      <c r="V192" s="6251" t="n"/>
      <c r="BV192" s="6251" t="n"/>
      <c r="BW192" s="6366" t="n"/>
      <c r="BX192" s="6366" t="n"/>
      <c r="BY192" s="6366" t="n"/>
    </row>
    <row r="193" ht="24" customHeight="1" s="8286">
      <c r="A193" s="9874" t="inlineStr">
        <is>
          <t>CONCEPTO</t>
        </is>
      </c>
      <c r="B193" s="9630" t="n"/>
      <c r="C193" s="9874" t="inlineStr">
        <is>
          <t>TOTAL</t>
        </is>
      </c>
      <c r="D193" s="9584" t="n"/>
      <c r="E193" s="9647" t="n"/>
      <c r="F193" s="9624" t="inlineStr">
        <is>
          <t>0 - 4 años</t>
        </is>
      </c>
      <c r="G193" s="9647" t="n"/>
      <c r="H193" s="9624" t="inlineStr">
        <is>
          <t>5 - 9 años</t>
        </is>
      </c>
      <c r="I193" s="9647" t="n"/>
      <c r="J193" s="9624" t="inlineStr">
        <is>
          <t>10 - 14 años</t>
        </is>
      </c>
      <c r="K193" s="9647" t="n"/>
      <c r="L193" s="9624" t="inlineStr">
        <is>
          <t>15 - 17 años</t>
        </is>
      </c>
      <c r="M193" s="9647" t="n"/>
      <c r="N193" s="9624" t="inlineStr">
        <is>
          <t>18 - 24 años</t>
        </is>
      </c>
      <c r="O193" s="9647" t="n"/>
      <c r="P193" s="9874" t="inlineStr">
        <is>
          <t>25 - 44 años</t>
        </is>
      </c>
      <c r="Q193" s="9647" t="n"/>
      <c r="R193" s="9874" t="inlineStr">
        <is>
          <t>45-64 años</t>
        </is>
      </c>
      <c r="S193" s="9647" t="n"/>
      <c r="T193" s="9874" t="inlineStr">
        <is>
          <t>65 años y más años</t>
        </is>
      </c>
      <c r="U193" s="9647" t="n"/>
      <c r="V193" s="9712" t="inlineStr">
        <is>
          <t>Gestantes</t>
        </is>
      </c>
      <c r="W193" s="7632" t="inlineStr">
        <is>
          <t>Con entrega de anticoncepción de emergencia</t>
        </is>
      </c>
      <c r="X193" s="7632" t="inlineStr">
        <is>
          <t>Sin entrega de anticoncepción de emergencia</t>
        </is>
      </c>
      <c r="Y193" s="7632" t="inlineStr">
        <is>
          <t xml:space="preserve">Con profilaxis VIH </t>
        </is>
      </c>
      <c r="Z193" s="7632" t="inlineStr">
        <is>
          <t>Con profilaxis ITS</t>
        </is>
      </c>
      <c r="AA193" s="7632" t="inlineStr">
        <is>
          <t>Con profilaxis Hepatitis B</t>
        </is>
      </c>
      <c r="AB193" s="9874" t="inlineStr">
        <is>
          <t>VICTIMARIO/A</t>
        </is>
      </c>
      <c r="AC193" s="9584" t="n"/>
      <c r="AD193" s="9584" t="n"/>
      <c r="AE193" s="9647" t="n"/>
      <c r="AF193" s="10193" t="inlineStr">
        <is>
          <t>Total</t>
        </is>
      </c>
      <c r="AG193" s="9595" t="n"/>
      <c r="AH193" s="10194" t="inlineStr">
        <is>
          <t>Sin lesiones constatables</t>
        </is>
      </c>
      <c r="AI193" s="10194" t="inlineStr">
        <is>
          <t>Diversidad de género</t>
        </is>
      </c>
      <c r="AJ193" s="7632" t="inlineStr">
        <is>
          <t>Pueblos Originarios</t>
        </is>
      </c>
      <c r="AK193" s="8251" t="inlineStr">
        <is>
          <t>Migrantes</t>
        </is>
      </c>
      <c r="AL193" s="9901" t="inlineStr">
        <is>
          <t xml:space="preserve">SENAME/ Servicio Nacional de Reinserción social Juvenil </t>
        </is>
      </c>
      <c r="AM193" s="9712" t="inlineStr">
        <is>
          <t>Servicio Nacional Protección Especializada a la Niñez y Adolescencia</t>
        </is>
      </c>
      <c r="AN193" s="5555" t="n"/>
      <c r="AO193" s="5555" t="n"/>
      <c r="AP193" s="5555" t="n"/>
      <c r="AQ193" s="5555" t="n"/>
      <c r="AR193" s="5555" t="n"/>
      <c r="AS193" s="5555" t="n"/>
      <c r="AT193" s="5555" t="n"/>
      <c r="AU193" s="5555" t="n"/>
      <c r="BX193" s="5555" t="n"/>
    </row>
    <row r="194" ht="40.5" customHeight="1" s="8286">
      <c r="A194" s="9698" t="n"/>
      <c r="B194" s="9776" t="n"/>
      <c r="C194" s="6290" t="inlineStr">
        <is>
          <t>Ambos Sexos</t>
        </is>
      </c>
      <c r="D194" s="6291" t="inlineStr">
        <is>
          <t xml:space="preserve">Hombres </t>
        </is>
      </c>
      <c r="E194" s="8195" t="inlineStr">
        <is>
          <t>Mujeres</t>
        </is>
      </c>
      <c r="F194" s="6292" t="inlineStr">
        <is>
          <t xml:space="preserve">Hombres </t>
        </is>
      </c>
      <c r="G194" s="6378" t="inlineStr">
        <is>
          <t>Mujeres</t>
        </is>
      </c>
      <c r="H194" s="6292" t="inlineStr">
        <is>
          <t xml:space="preserve">Hombres </t>
        </is>
      </c>
      <c r="I194" s="6378" t="inlineStr">
        <is>
          <t>Mujeres</t>
        </is>
      </c>
      <c r="J194" s="6292" t="inlineStr">
        <is>
          <t xml:space="preserve">Hombres </t>
        </is>
      </c>
      <c r="K194" s="6378" t="inlineStr">
        <is>
          <t>Mujeres</t>
        </is>
      </c>
      <c r="L194" s="6292" t="inlineStr">
        <is>
          <t xml:space="preserve">Hombres </t>
        </is>
      </c>
      <c r="M194" s="6378" t="inlineStr">
        <is>
          <t>Mujeres</t>
        </is>
      </c>
      <c r="N194" s="6292" t="inlineStr">
        <is>
          <t xml:space="preserve">Hombres </t>
        </is>
      </c>
      <c r="O194" s="6378" t="inlineStr">
        <is>
          <t>Mujeres</t>
        </is>
      </c>
      <c r="P194" s="6292" t="inlineStr">
        <is>
          <t xml:space="preserve">Hombres </t>
        </is>
      </c>
      <c r="Q194" s="6378" t="inlineStr">
        <is>
          <t>Mujeres</t>
        </is>
      </c>
      <c r="R194" s="6292" t="inlineStr">
        <is>
          <t xml:space="preserve">Hombres </t>
        </is>
      </c>
      <c r="S194" s="6378" t="inlineStr">
        <is>
          <t>Mujeres</t>
        </is>
      </c>
      <c r="T194" s="6292" t="inlineStr">
        <is>
          <t xml:space="preserve">Hombres </t>
        </is>
      </c>
      <c r="U194" s="6154" t="inlineStr">
        <is>
          <t>Mujeres</t>
        </is>
      </c>
      <c r="V194" s="9641" t="n"/>
      <c r="W194" s="9610" t="n"/>
      <c r="X194" s="9610" t="n"/>
      <c r="Y194" s="9610" t="n"/>
      <c r="Z194" s="9610" t="n"/>
      <c r="AA194" s="9610" t="n"/>
      <c r="AB194" s="8168" t="inlineStr">
        <is>
          <t>Pareja/ Ex pareja</t>
        </is>
      </c>
      <c r="AC194" s="8168" t="inlineStr">
        <is>
          <t>Familiar</t>
        </is>
      </c>
      <c r="AD194" s="8168" t="inlineStr">
        <is>
          <t>Conocido/a</t>
        </is>
      </c>
      <c r="AE194" s="8176" t="inlineStr">
        <is>
          <t>Desconocido/a</t>
        </is>
      </c>
      <c r="AF194" s="6593" t="inlineStr">
        <is>
          <t>Hombre</t>
        </is>
      </c>
      <c r="AG194" s="8282" t="inlineStr">
        <is>
          <t>Mujer</t>
        </is>
      </c>
      <c r="AH194" s="10088" t="n"/>
      <c r="AI194" s="10088" t="n"/>
      <c r="AJ194" s="9610" t="n"/>
      <c r="AK194" s="9611" t="n"/>
      <c r="AL194" s="9688" t="n"/>
      <c r="AM194" s="9641" t="n"/>
      <c r="AN194" s="5555" t="n"/>
      <c r="AO194" s="5555" t="n"/>
      <c r="AP194" s="5555" t="n"/>
      <c r="AQ194" s="5555" t="n"/>
      <c r="AR194" s="5555" t="n"/>
      <c r="AS194" s="5555" t="n"/>
      <c r="AT194" s="5555" t="n"/>
      <c r="AU194" s="5555" t="n"/>
      <c r="BX194" s="5555" t="n"/>
    </row>
    <row r="195" ht="15" customHeight="1" s="8286">
      <c r="A195" s="10174" t="inlineStr">
        <is>
          <t>Violencia Sexual</t>
        </is>
      </c>
      <c r="B195" s="8279" t="inlineStr">
        <is>
          <t>72 horas o menos</t>
        </is>
      </c>
      <c r="C195" s="6368">
        <f>SUM(D195:E195)</f>
        <v/>
      </c>
      <c r="D195" s="935">
        <f>SUM(F195+H195+J195+L195+N195+P195+R195+T195)</f>
        <v/>
      </c>
      <c r="E195" s="6596">
        <f>G195+I195+K195+M195+O195+Q195+S195+U195</f>
        <v/>
      </c>
      <c r="F195" s="6424" t="n"/>
      <c r="G195" s="952" t="n"/>
      <c r="H195" s="6424" t="n"/>
      <c r="I195" s="952" t="n"/>
      <c r="J195" s="6424" t="n"/>
      <c r="K195" s="952" t="n"/>
      <c r="L195" s="6424" t="n"/>
      <c r="M195" s="952" t="n"/>
      <c r="N195" s="6424" t="n"/>
      <c r="O195" s="952" t="n"/>
      <c r="P195" s="6424" t="n"/>
      <c r="Q195" s="952" t="n"/>
      <c r="R195" s="6424" t="n"/>
      <c r="S195" s="952" t="n"/>
      <c r="T195" s="6424" t="n"/>
      <c r="U195" s="1654" t="n"/>
      <c r="V195" s="6597" t="n"/>
      <c r="W195" s="6598" t="n"/>
      <c r="X195" s="6598" t="n"/>
      <c r="Y195" s="6598" t="n"/>
      <c r="Z195" s="6598" t="n"/>
      <c r="AA195" s="6425" t="n"/>
      <c r="AB195" s="6598" t="n"/>
      <c r="AC195" s="6598" t="n"/>
      <c r="AD195" s="6598" t="n"/>
      <c r="AE195" s="6308" t="n"/>
      <c r="AF195" s="6598" t="n"/>
      <c r="AG195" s="6503" t="n"/>
      <c r="AH195" s="6599" t="n"/>
      <c r="AI195" s="6308" t="n"/>
      <c r="AJ195" s="5295" t="n"/>
      <c r="AK195" s="6306" t="n"/>
      <c r="AL195" s="6425" t="n"/>
      <c r="AM195" s="6308" t="n"/>
      <c r="AN195" s="6600">
        <f>CA195&amp;CB195&amp;CC195&amp;CD195&amp;CE195</f>
        <v/>
      </c>
      <c r="AO195" s="6275" t="n"/>
      <c r="AP195" s="6275" t="n"/>
      <c r="AQ195" s="6275" t="n"/>
      <c r="AR195" s="6275" t="n"/>
      <c r="AS195" s="5555" t="n"/>
      <c r="AT195" s="5555" t="n"/>
      <c r="BX195" s="5555" t="n"/>
      <c r="CA195" s="6276">
        <f>IF(AND($C195&gt;0,AI195="")," *No olvide digitar la variable "&amp;AI$193&amp;""&amp;". Digite CERO si no tiene",IF(AI195&gt;$C195," *La variable "&amp;AI$193&amp;""&amp;" No puede ser mayor al Total Ambos Sexos.",""))</f>
        <v/>
      </c>
      <c r="CB195" s="6276">
        <f>IF(AND($C195&gt;0,AJ195="")," *No olvide digitar la variable "&amp;AJ$193&amp;""&amp;". Digite CERO si no tiene",IF(AJ195&gt;$C195," *La variable "&amp;AJ$193&amp;""&amp;" No puede ser mayor al Total Ambos Sexos.",""))</f>
        <v/>
      </c>
      <c r="CC195" s="6276">
        <f>IF(AND($C195&gt;0,AK195="")," *No olvide digitar la variable "&amp;AK$193&amp;""&amp;". Digite CERO si no tiene",IF(AK195&gt;$C195," *La variable "&amp;AK$193&amp;""&amp;" No puede ser mayor al Total Ambos Sexos.",""))</f>
        <v/>
      </c>
      <c r="CD195" s="6276">
        <f>IF(AND($C195&gt;0,AL195="")," *No olvide digitar la variable "&amp;AL$193&amp;""&amp;". Digite CERO si no tiene",IF(AL195&gt;$C195," *La variable "&amp;AL$193&amp;""&amp;" No puede ser mayor al Total Ambos Sexos.",""))</f>
        <v/>
      </c>
      <c r="CE195" s="6276">
        <f>IF(AND($C195&gt;0,AM195="")," *No olvide digitar la variable "&amp;AM$193&amp;""&amp;". Digite CERO si no tiene",IF(AM195&gt;$C195," *La variable "&amp;AM$193&amp;""&amp;" No puede ser mayor al Total Ambos Sexos.",""))</f>
        <v/>
      </c>
      <c r="CM195" s="6277">
        <f>IF(AND($C195&gt;0,AI195=""),1,IF(AI195&gt;$C195,1,0))</f>
        <v/>
      </c>
      <c r="CN195" s="6277">
        <f>IF(AND($C195&gt;0,AJ195=""),1,IF(AJ195&gt;$C195,1,0))</f>
        <v/>
      </c>
      <c r="CO195" s="6277">
        <f>IF(AND($C195&gt;0,AK195=""),1,IF(AK195&gt;$C195,1,0))</f>
        <v/>
      </c>
      <c r="CP195" s="6277">
        <f>IF(AND($C195&gt;0,AL195=""),1,IF(AL195&gt;$C195,1,0))</f>
        <v/>
      </c>
      <c r="CQ195" s="6277">
        <f>IF(AND($C195&gt;0,AM195=""),1,IF(AM195&gt;$C195,1,0))</f>
        <v/>
      </c>
    </row>
    <row r="196" ht="15" customHeight="1" s="8286">
      <c r="A196" s="9621" t="n"/>
      <c r="B196" s="7469" t="inlineStr">
        <is>
          <t>Después de 72 horas</t>
        </is>
      </c>
      <c r="C196" s="6601">
        <f>SUM(D196:E196)</f>
        <v/>
      </c>
      <c r="D196" s="6602">
        <f>SUM(F196+H196+J196+L196+N196+P196+R196+T196)</f>
        <v/>
      </c>
      <c r="E196" s="6603">
        <f>G196+I196+K196+M196+O196+Q196+S196+U196</f>
        <v/>
      </c>
      <c r="F196" s="1519" t="n"/>
      <c r="G196" s="1625" t="n"/>
      <c r="H196" s="1519" t="n"/>
      <c r="I196" s="1625" t="n"/>
      <c r="J196" s="1519" t="n"/>
      <c r="K196" s="1625" t="n"/>
      <c r="L196" s="1519" t="n"/>
      <c r="M196" s="1625" t="n"/>
      <c r="N196" s="1519" t="n"/>
      <c r="O196" s="1625" t="n"/>
      <c r="P196" s="1519" t="n"/>
      <c r="Q196" s="1625" t="n"/>
      <c r="R196" s="1519" t="n"/>
      <c r="S196" s="1625" t="n"/>
      <c r="T196" s="1519" t="n"/>
      <c r="U196" s="1626" t="n"/>
      <c r="V196" s="1733" t="n"/>
      <c r="W196" s="1649" t="n"/>
      <c r="X196" s="1649" t="n"/>
      <c r="Y196" s="1649" t="n"/>
      <c r="Z196" s="1649" t="n"/>
      <c r="AA196" s="1627" t="n"/>
      <c r="AB196" s="1649" t="n"/>
      <c r="AC196" s="1649" t="n"/>
      <c r="AD196" s="1649" t="n"/>
      <c r="AE196" s="1520" t="n"/>
      <c r="AF196" s="1649" t="n"/>
      <c r="AG196" s="1642" t="n"/>
      <c r="AH196" s="6604" t="n"/>
      <c r="AI196" s="1520" t="n"/>
      <c r="AJ196" s="1649" t="n"/>
      <c r="AK196" s="1520" t="n"/>
      <c r="AL196" s="6605" t="n"/>
      <c r="AM196" s="6517" t="n"/>
      <c r="AN196" s="6600">
        <f>CA196&amp;CB196&amp;CC196&amp;CD196&amp;CE196</f>
        <v/>
      </c>
      <c r="AO196" s="6275" t="n"/>
      <c r="AP196" s="6275" t="n"/>
      <c r="AQ196" s="6275" t="n"/>
      <c r="AR196" s="6275" t="n"/>
      <c r="AS196" s="5555" t="n"/>
      <c r="AT196" s="5555" t="n"/>
      <c r="BX196" s="5555" t="n"/>
      <c r="CA196" s="6276">
        <f>IF(AND($C196&gt;0,AI196="")," *No olvide digitar la variable "&amp;AI$193&amp;""&amp;". Digite CERO si no tiene",IF(AI196&gt;$C196," *La variable "&amp;AI$193&amp;""&amp;" No puede ser mayor al Total Ambos Sexos.",""))</f>
        <v/>
      </c>
      <c r="CB196" s="6276">
        <f>IF(AND($C196&gt;0,AJ196="")," *No olvide digitar la variable "&amp;AJ$193&amp;""&amp;". Digite CERO si no tiene",IF(AJ196&gt;$C196," *La variable "&amp;AJ$193&amp;""&amp;" No puede ser mayor al Total Ambos Sexos.",""))</f>
        <v/>
      </c>
      <c r="CC196" s="6276">
        <f>IF(AND($C196&gt;0,AK196="")," *No olvide digitar la variable "&amp;AK$193&amp;""&amp;". Digite CERO si no tiene",IF(AK196&gt;$C196," *La variable "&amp;AK$193&amp;""&amp;" No puede ser mayor al Total Ambos Sexos.",""))</f>
        <v/>
      </c>
      <c r="CD196" s="6276">
        <f>IF(AND($C196&gt;0,AL196="")," *No olvide digitar la variable "&amp;AL$193&amp;""&amp;". Digite CERO si no tiene",IF(AL196&gt;$C196," *La variable "&amp;AL$193&amp;""&amp;" No puede ser mayor al Total Ambos Sexos.",""))</f>
        <v/>
      </c>
      <c r="CE196" s="6276">
        <f>IF(AND($C196&gt;0,AM196="")," *No olvide digitar la variable "&amp;AM$193&amp;""&amp;". Digite CERO si no tiene",IF(AM196&gt;$C196," *La variable "&amp;AM$193&amp;""&amp;" No puede ser mayor al Total Ambos Sexos.",""))</f>
        <v/>
      </c>
      <c r="CM196" s="6277">
        <f>IF(AND($C196&gt;0,AI196=""),1,IF(AI196&gt;$C196,1,0))</f>
        <v/>
      </c>
      <c r="CN196" s="6277">
        <f>IF(AND($C196&gt;0,AJ196=""),1,IF(AJ196&gt;$C196,1,0))</f>
        <v/>
      </c>
      <c r="CO196" s="6277">
        <f>IF(AND($C196&gt;0,AK196=""),1,IF(AK196&gt;$C196,1,0))</f>
        <v/>
      </c>
      <c r="CP196" s="6277">
        <f>IF(AND($C196&gt;0,AL196=""),1,IF(AL196&gt;$C196,1,0))</f>
        <v/>
      </c>
      <c r="CQ196" s="6277">
        <f>IF(AND($C196&gt;0,AM196=""),1,IF(AM196&gt;$C196,1,0))</f>
        <v/>
      </c>
    </row>
    <row r="197" ht="18" customFormat="1" customHeight="1" s="6246">
      <c r="A197" s="927" t="inlineStr">
        <is>
          <t xml:space="preserve">SECCIÓN P: ATENCIONES MÉDICAS POR VIOLENCIA SEXUAL CON REALIZACIÓN O INDICACIÓN DE PERITAJE </t>
        </is>
      </c>
      <c r="B197" s="927" t="n"/>
      <c r="AH197" s="6251" t="n"/>
      <c r="AI197" s="6251" t="n"/>
      <c r="AJ197" s="6251" t="n"/>
      <c r="AK197" s="6251" t="n"/>
      <c r="AL197" s="6251" t="n"/>
      <c r="AM197" s="6251" t="n"/>
      <c r="AN197" s="6251" t="n"/>
      <c r="AO197" s="6251" t="n"/>
      <c r="AP197" s="6251" t="n"/>
      <c r="AQ197" s="6251" t="n"/>
      <c r="AR197" s="6251" t="n"/>
      <c r="AS197" s="6251" t="n"/>
      <c r="AT197" s="6251" t="n"/>
      <c r="AU197" s="6251" t="n"/>
      <c r="BV197" s="6251" t="n"/>
      <c r="BW197" s="6251" t="n"/>
      <c r="BX197" s="6251" t="n"/>
      <c r="BY197" s="6251" t="n"/>
    </row>
    <row r="198" ht="16.35" customHeight="1" s="8286">
      <c r="A198" s="8163" t="inlineStr">
        <is>
          <t>TIPO DE ATENCIÓN</t>
        </is>
      </c>
      <c r="B198" s="8163" t="inlineStr">
        <is>
          <t>TOTAL</t>
        </is>
      </c>
      <c r="C198" s="8178" t="inlineStr">
        <is>
          <t>De Turno</t>
        </is>
      </c>
      <c r="D198" s="8155" t="inlineStr">
        <is>
          <t>De llamada</t>
        </is>
      </c>
      <c r="AI198" s="5555" t="n"/>
      <c r="AJ198" s="5555" t="n"/>
      <c r="AK198" s="5555" t="n"/>
      <c r="AL198" s="5555" t="n"/>
      <c r="AM198" s="5555" t="n"/>
      <c r="AN198" s="5555" t="n"/>
      <c r="AO198" s="5555" t="n"/>
      <c r="AP198" s="5555" t="n"/>
      <c r="AQ198" s="5555" t="n"/>
      <c r="AR198" s="5555" t="n"/>
      <c r="AS198" s="5555" t="n"/>
      <c r="AT198" s="5555" t="n"/>
      <c r="AU198" s="5555" t="n"/>
      <c r="AV198" s="5555" t="n"/>
    </row>
    <row r="199" ht="15" customHeight="1" s="8286">
      <c r="A199" s="8279" t="inlineStr">
        <is>
          <t>Atención por médico perito</t>
        </is>
      </c>
      <c r="B199" s="6606">
        <f>SUM(C199:D199)</f>
        <v/>
      </c>
      <c r="C199" s="6424" t="n"/>
      <c r="D199" s="1554" t="n"/>
      <c r="AI199" s="5555" t="n"/>
      <c r="AJ199" s="5555" t="n"/>
      <c r="AK199" s="5555" t="n"/>
      <c r="AL199" s="5555" t="n"/>
      <c r="AM199" s="5555" t="n"/>
      <c r="AN199" s="5555" t="n"/>
      <c r="AO199" s="5555" t="n"/>
      <c r="AP199" s="5555" t="n"/>
      <c r="AQ199" s="5555" t="n"/>
      <c r="AR199" s="5555" t="n"/>
      <c r="AS199" s="5555" t="n"/>
      <c r="AT199" s="5555" t="n"/>
      <c r="AU199" s="5555" t="n"/>
      <c r="AV199" s="5555" t="n"/>
    </row>
    <row r="200" ht="15" customHeight="1" s="8286">
      <c r="A200" s="7469" t="inlineStr">
        <is>
          <t>Atención otros médicos</t>
        </is>
      </c>
      <c r="B200" s="6024">
        <f>SUM(C200)</f>
        <v/>
      </c>
      <c r="C200" s="1519" t="n"/>
      <c r="D200" s="6607" t="n"/>
      <c r="AI200" s="5555" t="n"/>
      <c r="AJ200" s="5555" t="n"/>
      <c r="AK200" s="5555" t="n"/>
      <c r="AL200" s="5555" t="n"/>
      <c r="AM200" s="5555" t="n"/>
      <c r="AN200" s="5555" t="n"/>
      <c r="AO200" s="5555" t="n"/>
      <c r="AP200" s="5555" t="n"/>
      <c r="AQ200" s="5555" t="n"/>
      <c r="AR200" s="5555" t="n"/>
      <c r="AS200" s="5555" t="n"/>
      <c r="AT200" s="5555" t="n"/>
      <c r="AU200" s="5555" t="n"/>
      <c r="AV200" s="5555" t="n"/>
    </row>
    <row r="201" ht="18" customFormat="1" customHeight="1" s="6246">
      <c r="A201" s="6608" t="inlineStr">
        <is>
          <t>SECCIÓN Q: ATENCIONES DE URGENCIA ASOCIADAS A LESIONES AUTOINFLIGIDAS</t>
        </is>
      </c>
      <c r="B201" s="6609" t="n"/>
      <c r="C201" s="6610" t="n"/>
      <c r="D201" s="6252" t="n"/>
      <c r="F201" s="6611" t="n"/>
      <c r="G201" s="6494" t="n"/>
      <c r="H201" s="1076" t="n"/>
      <c r="I201" s="6494" t="n"/>
      <c r="J201" s="6612" t="n"/>
      <c r="K201" s="6612" t="n"/>
      <c r="L201" s="6494" t="n"/>
      <c r="M201" s="1076" t="n"/>
      <c r="N201" s="6494" t="n"/>
      <c r="O201" s="6494" t="n"/>
      <c r="P201" s="1076" t="n"/>
      <c r="Q201" s="6494" t="n"/>
      <c r="R201" s="6494" t="n"/>
      <c r="S201" s="1076" t="n"/>
      <c r="T201" s="6494" t="n"/>
      <c r="U201" s="6494" t="n"/>
      <c r="V201" s="6612" t="n"/>
      <c r="AH201" s="6251" t="n"/>
      <c r="AI201" s="6251" t="n"/>
      <c r="AJ201" s="6251" t="n"/>
      <c r="AK201" s="6251" t="n"/>
      <c r="AL201" s="6251" t="n"/>
      <c r="AM201" s="6251" t="n"/>
      <c r="AN201" s="6251" t="n"/>
      <c r="AO201" s="6251" t="n"/>
      <c r="AP201" s="6251" t="n"/>
      <c r="AQ201" s="6251" t="n"/>
      <c r="AR201" s="6251" t="n"/>
      <c r="AS201" s="6251" t="n"/>
      <c r="AT201" s="6251" t="n"/>
      <c r="AU201" s="6251" t="n"/>
      <c r="BV201" s="6251" t="n"/>
      <c r="BW201" s="6251" t="n"/>
      <c r="BX201" s="6251" t="n"/>
      <c r="BY201" s="6251" t="n"/>
    </row>
    <row r="202" ht="20.25" customHeight="1" s="8286">
      <c r="A202" s="9618" t="inlineStr">
        <is>
          <t>CONCEPTO</t>
        </is>
      </c>
      <c r="B202" s="9866" t="inlineStr">
        <is>
          <t>TOTAL</t>
        </is>
      </c>
      <c r="C202" s="9602" t="n"/>
      <c r="D202" s="9630" t="n"/>
      <c r="E202" s="10195" t="inlineStr">
        <is>
          <t>RANGO ETARIO (en años)</t>
        </is>
      </c>
      <c r="F202" s="9584" t="n"/>
      <c r="G202" s="9584" t="n"/>
      <c r="H202" s="9584" t="n"/>
      <c r="I202" s="9584" t="n"/>
      <c r="J202" s="9584" t="n"/>
      <c r="K202" s="9584" t="n"/>
      <c r="L202" s="9584" t="n"/>
      <c r="M202" s="9584" t="n"/>
      <c r="N202" s="9584" t="n"/>
      <c r="O202" s="9584" t="n"/>
      <c r="P202" s="9584" t="n"/>
      <c r="Q202" s="9584" t="n"/>
      <c r="R202" s="9584" t="n"/>
      <c r="S202" s="9584" t="n"/>
      <c r="T202" s="9584" t="n"/>
      <c r="U202" s="9584" t="n"/>
      <c r="V202" s="9584" t="n"/>
      <c r="W202" s="9584" t="n"/>
      <c r="X202" s="9584" t="n"/>
      <c r="Y202" s="9584" t="n"/>
      <c r="Z202" s="9584" t="n"/>
      <c r="AA202" s="9584" t="n"/>
      <c r="AB202" s="9584" t="n"/>
      <c r="AC202" s="9584" t="n"/>
      <c r="AD202" s="9584" t="n"/>
      <c r="AE202" s="9584" t="n"/>
      <c r="AF202" s="9584" t="n"/>
      <c r="AG202" s="9584" t="n"/>
      <c r="AH202" s="9584" t="n"/>
      <c r="AI202" s="9584" t="n"/>
      <c r="AJ202" s="9595" t="n"/>
      <c r="AK202" s="10196" t="inlineStr">
        <is>
          <t xml:space="preserve">
Trans
</t>
        </is>
      </c>
      <c r="AL202" s="9630" t="n"/>
      <c r="AM202" s="8273" t="inlineStr">
        <is>
          <t xml:space="preserve">SENAME/ Servicio Nacional de Reinserción social Juvenil </t>
        </is>
      </c>
      <c r="AN202" s="8274" t="inlineStr">
        <is>
          <t>Servicio Nacional Protección Especializada a la Niñez y Adolescencia</t>
        </is>
      </c>
      <c r="BT202" s="5555" t="n"/>
      <c r="BU202" s="5555" t="n"/>
      <c r="BX202" s="5555" t="n"/>
      <c r="BY202" s="5556" t="n"/>
    </row>
    <row r="203" ht="20.25" customHeight="1" s="8286">
      <c r="A203" s="9614" t="n"/>
      <c r="B203" s="9638" t="n"/>
      <c r="C203" s="9697" t="n"/>
      <c r="D203" s="9639" t="n"/>
      <c r="E203" s="9624" t="inlineStr">
        <is>
          <t>5 - 9 años</t>
        </is>
      </c>
      <c r="F203" s="9647" t="n"/>
      <c r="G203" s="9624" t="inlineStr">
        <is>
          <t>10 - 14 años</t>
        </is>
      </c>
      <c r="H203" s="9647" t="n"/>
      <c r="I203" s="9624" t="inlineStr">
        <is>
          <t>15 - 19 años</t>
        </is>
      </c>
      <c r="J203" s="9647" t="n"/>
      <c r="K203" s="9624" t="inlineStr">
        <is>
          <t>20 - 24 años</t>
        </is>
      </c>
      <c r="L203" s="9647" t="n"/>
      <c r="M203" s="9874" t="inlineStr">
        <is>
          <t>25 - 29 años</t>
        </is>
      </c>
      <c r="N203" s="9647" t="n"/>
      <c r="O203" s="9874" t="inlineStr">
        <is>
          <t>30 - 34 años</t>
        </is>
      </c>
      <c r="P203" s="9647" t="n"/>
      <c r="Q203" s="9874" t="inlineStr">
        <is>
          <t>35 - 39 años</t>
        </is>
      </c>
      <c r="R203" s="9647" t="n"/>
      <c r="S203" s="9874" t="inlineStr">
        <is>
          <t>40 - 44 años</t>
        </is>
      </c>
      <c r="T203" s="9647" t="n"/>
      <c r="U203" s="9874" t="inlineStr">
        <is>
          <t>45 - 49 años</t>
        </is>
      </c>
      <c r="V203" s="9647" t="n"/>
      <c r="W203" s="9874" t="inlineStr">
        <is>
          <t>50 - 54 años</t>
        </is>
      </c>
      <c r="X203" s="9647" t="n"/>
      <c r="Y203" s="9874" t="inlineStr">
        <is>
          <t>55 - 59 años</t>
        </is>
      </c>
      <c r="Z203" s="9647" t="n"/>
      <c r="AA203" s="9874" t="inlineStr">
        <is>
          <t>60 - 64 años</t>
        </is>
      </c>
      <c r="AB203" s="9647" t="n"/>
      <c r="AC203" s="9874" t="inlineStr">
        <is>
          <t>65 - 69 años</t>
        </is>
      </c>
      <c r="AD203" s="9647" t="n"/>
      <c r="AE203" s="9874" t="inlineStr">
        <is>
          <t>70 - 74 años</t>
        </is>
      </c>
      <c r="AF203" s="9647" t="n"/>
      <c r="AG203" s="9874" t="inlineStr">
        <is>
          <t>75 - 79 años</t>
        </is>
      </c>
      <c r="AH203" s="9647" t="n"/>
      <c r="AI203" s="9894" t="inlineStr">
        <is>
          <t>80 y más años</t>
        </is>
      </c>
      <c r="AJ203" s="9595" t="n"/>
      <c r="AK203" s="9650" t="n"/>
      <c r="AL203" s="9639" t="n"/>
      <c r="AM203" s="9614" t="n"/>
      <c r="AN203" s="9718" t="n"/>
      <c r="BT203" s="5555" t="n"/>
      <c r="BU203" s="5555" t="n"/>
      <c r="BX203" s="5555" t="n"/>
      <c r="BY203" s="5556" t="n"/>
    </row>
    <row r="204" ht="20.25" customHeight="1" s="8286">
      <c r="A204" s="9610" t="n"/>
      <c r="B204" s="6290" t="inlineStr">
        <is>
          <t>Ambos Sexos</t>
        </is>
      </c>
      <c r="C204" s="6263" t="inlineStr">
        <is>
          <t>Hombres</t>
        </is>
      </c>
      <c r="D204" s="8195" t="inlineStr">
        <is>
          <t>Mujeres</t>
        </is>
      </c>
      <c r="E204" s="6292" t="inlineStr">
        <is>
          <t xml:space="preserve">Hombres </t>
        </is>
      </c>
      <c r="F204" s="6378" t="inlineStr">
        <is>
          <t>Mujeres</t>
        </is>
      </c>
      <c r="G204" s="6292" t="inlineStr">
        <is>
          <t xml:space="preserve">Hombres </t>
        </is>
      </c>
      <c r="H204" s="6378" t="inlineStr">
        <is>
          <t>Mujeres</t>
        </is>
      </c>
      <c r="I204" s="6292" t="inlineStr">
        <is>
          <t xml:space="preserve">Hombres </t>
        </is>
      </c>
      <c r="J204" s="6378" t="inlineStr">
        <is>
          <t>Mujeres</t>
        </is>
      </c>
      <c r="K204" s="6292" t="inlineStr">
        <is>
          <t xml:space="preserve">Hombres </t>
        </is>
      </c>
      <c r="L204" s="6378" t="inlineStr">
        <is>
          <t>Mujeres</t>
        </is>
      </c>
      <c r="M204" s="6292" t="inlineStr">
        <is>
          <t xml:space="preserve">Hombres </t>
        </is>
      </c>
      <c r="N204" s="8176" t="inlineStr">
        <is>
          <t>Mujeres</t>
        </is>
      </c>
      <c r="O204" s="6292" t="inlineStr">
        <is>
          <t xml:space="preserve">Hombres </t>
        </is>
      </c>
      <c r="P204" s="8176" t="inlineStr">
        <is>
          <t>Mujeres</t>
        </is>
      </c>
      <c r="Q204" s="6292" t="inlineStr">
        <is>
          <t xml:space="preserve">Hombres </t>
        </is>
      </c>
      <c r="R204" s="8176" t="inlineStr">
        <is>
          <t>Mujeres</t>
        </is>
      </c>
      <c r="S204" s="6292" t="inlineStr">
        <is>
          <t xml:space="preserve">Hombres </t>
        </is>
      </c>
      <c r="T204" s="6378" t="inlineStr">
        <is>
          <t>Mujeres</t>
        </is>
      </c>
      <c r="U204" s="6292" t="inlineStr">
        <is>
          <t xml:space="preserve">Hombres </t>
        </is>
      </c>
      <c r="V204" s="6378" t="inlineStr">
        <is>
          <t>Mujeres</t>
        </is>
      </c>
      <c r="W204" s="6614" t="inlineStr">
        <is>
          <t xml:space="preserve">Hombres </t>
        </is>
      </c>
      <c r="X204" s="6378" t="inlineStr">
        <is>
          <t>Mujeres</t>
        </is>
      </c>
      <c r="Y204" s="6614" t="inlineStr">
        <is>
          <t xml:space="preserve">Hombres </t>
        </is>
      </c>
      <c r="Z204" s="6378" t="inlineStr">
        <is>
          <t>Mujeres</t>
        </is>
      </c>
      <c r="AA204" s="6614" t="inlineStr">
        <is>
          <t xml:space="preserve">Hombres </t>
        </is>
      </c>
      <c r="AB204" s="6378" t="inlineStr">
        <is>
          <t>Mujeres</t>
        </is>
      </c>
      <c r="AC204" s="6614" t="inlineStr">
        <is>
          <t xml:space="preserve">Hombres </t>
        </is>
      </c>
      <c r="AD204" s="6378" t="inlineStr">
        <is>
          <t>Mujeres</t>
        </is>
      </c>
      <c r="AE204" s="6614" t="inlineStr">
        <is>
          <t xml:space="preserve">Hombres </t>
        </is>
      </c>
      <c r="AF204" s="6378" t="inlineStr">
        <is>
          <t>Mujeres</t>
        </is>
      </c>
      <c r="AG204" s="6614" t="inlineStr">
        <is>
          <t xml:space="preserve">Hombres </t>
        </is>
      </c>
      <c r="AH204" s="6378" t="inlineStr">
        <is>
          <t>Mujeres</t>
        </is>
      </c>
      <c r="AI204" s="6614" t="inlineStr">
        <is>
          <t xml:space="preserve">Hombres </t>
        </is>
      </c>
      <c r="AJ204" s="8282" t="inlineStr">
        <is>
          <t>Mujeres</t>
        </is>
      </c>
      <c r="AK204" s="6615" t="inlineStr">
        <is>
          <t>Masculino</t>
        </is>
      </c>
      <c r="AL204" s="6615" t="inlineStr">
        <is>
          <t>Femenina</t>
        </is>
      </c>
      <c r="AM204" s="10176" t="n"/>
      <c r="AN204" s="9639" t="n"/>
      <c r="BT204" s="5555" t="n"/>
      <c r="BU204" s="5555" t="n"/>
      <c r="BX204" s="5555" t="n"/>
      <c r="BY204" s="5556" t="n"/>
    </row>
    <row r="205" ht="15" customHeight="1" s="8286">
      <c r="A205" s="6616" t="inlineStr">
        <is>
          <t>Nº de atenciones</t>
        </is>
      </c>
      <c r="B205" s="6617">
        <f>SUM(C205+D205)</f>
        <v/>
      </c>
      <c r="C205" s="6618">
        <f>E205+G205+I205+K205+M205+O205+Q205+S205+U205+W205+Y205+AA205+AC205+AE205+AG205+AI205</f>
        <v/>
      </c>
      <c r="D205" s="6400">
        <f>F205+H205+J205+L205+N205+P205+R205+T205+V205+X205+Z205+AB205+AD205+AF205+AH205+AJ205</f>
        <v/>
      </c>
      <c r="E205" s="6619" t="n"/>
      <c r="F205" s="6620" t="n"/>
      <c r="G205" s="6619" t="n"/>
      <c r="H205" s="6620" t="n"/>
      <c r="I205" s="6619" t="n"/>
      <c r="J205" s="6620" t="n"/>
      <c r="K205" s="6619" t="n"/>
      <c r="L205" s="6620" t="n"/>
      <c r="M205" s="6619" t="n"/>
      <c r="N205" s="6621" t="n"/>
      <c r="O205" s="6619" t="n"/>
      <c r="P205" s="6621" t="n"/>
      <c r="Q205" s="6619" t="n"/>
      <c r="R205" s="6621" t="n"/>
      <c r="S205" s="6619" t="n"/>
      <c r="T205" s="6620" t="n"/>
      <c r="U205" s="6619" t="n"/>
      <c r="V205" s="6620" t="n"/>
      <c r="W205" s="6619" t="n"/>
      <c r="X205" s="6621" t="n"/>
      <c r="Y205" s="6619" t="n"/>
      <c r="Z205" s="6621" t="n"/>
      <c r="AA205" s="6619" t="n"/>
      <c r="AB205" s="6621" t="n"/>
      <c r="AC205" s="6619" t="n"/>
      <c r="AD205" s="6621" t="n"/>
      <c r="AE205" s="6619" t="n"/>
      <c r="AF205" s="6621" t="n"/>
      <c r="AG205" s="6619" t="n"/>
      <c r="AH205" s="6621" t="n"/>
      <c r="AI205" s="6619" t="n"/>
      <c r="AJ205" s="6622" t="n"/>
      <c r="AK205" s="6621" t="n"/>
      <c r="AL205" s="6621" t="n"/>
      <c r="AM205" s="6623" t="n"/>
      <c r="AN205" s="6621" t="n"/>
      <c r="AO205" s="5554">
        <f>CA205&amp;CB205&amp;CC205&amp;CD205</f>
        <v/>
      </c>
      <c r="BT205" s="5555" t="n"/>
      <c r="BU205" s="5555" t="n"/>
      <c r="BX205" s="5555" t="n"/>
      <c r="BY205" s="5556" t="n"/>
      <c r="CA205" s="6276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/>
      </c>
      <c r="CN205" s="6277">
        <f>IF(AND($C205&gt;0,AL205=""),1,IF(AL205&gt;$C205,1,0))</f>
        <v/>
      </c>
      <c r="CO205" s="6277">
        <f>IF(AND($B205&gt;0,AM205=""),1,IF(AM205&gt;$B205,1,0))</f>
        <v/>
      </c>
      <c r="CP205" s="6277">
        <f>IF(AND($B205&gt;0,AN205=""),1,IF(AN205&gt;$B205,1,0))</f>
        <v/>
      </c>
    </row>
    <row r="206" ht="18" customFormat="1" customHeight="1" s="6246">
      <c r="A206" s="927" t="inlineStr">
        <is>
          <t xml:space="preserve">SECCIÓN R: ATENCIONES EN SERVICIO DE URGENCIA DE LA RED, ASOCIADOS A MORDEDURA </t>
        </is>
      </c>
      <c r="B206" s="927" t="n"/>
      <c r="BV206" s="6251" t="n"/>
      <c r="BW206" s="6251" t="n"/>
      <c r="BX206" s="6251" t="n"/>
      <c r="BY206" s="6251" t="n"/>
    </row>
    <row r="207" ht="16.35" customHeight="1" s="8286">
      <c r="A207" s="9902" t="inlineStr">
        <is>
          <t>IDENTIFICACIÓN DEL ANIMAL MORDEDOR</t>
        </is>
      </c>
      <c r="B207" s="9629" t="inlineStr">
        <is>
          <t>TOTAL</t>
        </is>
      </c>
      <c r="C207" s="9602" t="n"/>
      <c r="D207" s="9630" t="n"/>
      <c r="E207" s="10197" t="inlineStr">
        <is>
          <t>GRUPOS DE EDAD (en años)</t>
        </is>
      </c>
      <c r="F207" s="9584" t="n"/>
      <c r="G207" s="9584" t="n"/>
      <c r="H207" s="9584" t="n"/>
      <c r="I207" s="9584" t="n"/>
      <c r="J207" s="9584" t="n"/>
      <c r="K207" s="9584" t="n"/>
      <c r="L207" s="9595" t="n"/>
      <c r="M207" s="8158" t="inlineStr">
        <is>
          <t>Tipo de Mordedura</t>
        </is>
      </c>
      <c r="N207" s="10198" t="n"/>
      <c r="O207" s="9712" t="inlineStr">
        <is>
          <t>Indicación de Vacuna</t>
        </is>
      </c>
      <c r="BX207" s="5555" t="n"/>
      <c r="BY207" s="5555" t="n"/>
    </row>
    <row r="208" ht="16.35" customHeight="1" s="8286">
      <c r="A208" s="9625" t="n"/>
      <c r="B208" s="9638" t="n"/>
      <c r="C208" s="9697" t="n"/>
      <c r="D208" s="9639" t="n"/>
      <c r="E208" s="9624" t="inlineStr">
        <is>
          <t>0 - 4 años</t>
        </is>
      </c>
      <c r="F208" s="9647" t="n"/>
      <c r="G208" s="9624" t="inlineStr">
        <is>
          <t>5 - 9 años</t>
        </is>
      </c>
      <c r="H208" s="9647" t="n"/>
      <c r="I208" s="9624" t="inlineStr">
        <is>
          <t>10 - 14 años</t>
        </is>
      </c>
      <c r="J208" s="9647" t="n"/>
      <c r="K208" s="9594" t="inlineStr">
        <is>
          <t>Mayor 15 años</t>
        </is>
      </c>
      <c r="L208" s="9595" t="n"/>
      <c r="M208" s="9591" t="n"/>
      <c r="N208" s="9855" t="n"/>
      <c r="O208" s="9625" t="n"/>
    </row>
    <row r="209" ht="16.35" customHeight="1" s="8286">
      <c r="A209" s="9625" t="n"/>
      <c r="B209" s="6290" t="inlineStr">
        <is>
          <t>Ambos Sexos</t>
        </is>
      </c>
      <c r="C209" s="6291" t="inlineStr">
        <is>
          <t>Hombres</t>
        </is>
      </c>
      <c r="D209" s="8195" t="inlineStr">
        <is>
          <t>Mujeres</t>
        </is>
      </c>
      <c r="E209" s="6292" t="inlineStr">
        <is>
          <t xml:space="preserve">Hombres </t>
        </is>
      </c>
      <c r="F209" s="8268" t="inlineStr">
        <is>
          <t>Mujeres</t>
        </is>
      </c>
      <c r="G209" s="6292" t="inlineStr">
        <is>
          <t xml:space="preserve">Hombres </t>
        </is>
      </c>
      <c r="H209" s="8268" t="inlineStr">
        <is>
          <t>Mujeres</t>
        </is>
      </c>
      <c r="I209" s="8179" t="inlineStr">
        <is>
          <t xml:space="preserve">Hombres </t>
        </is>
      </c>
      <c r="J209" s="7380" t="inlineStr">
        <is>
          <t>Mujeres</t>
        </is>
      </c>
      <c r="K209" s="6292" t="inlineStr">
        <is>
          <t xml:space="preserve">Hombres </t>
        </is>
      </c>
      <c r="L209" s="6624" t="inlineStr">
        <is>
          <t>Mujeres</t>
        </is>
      </c>
      <c r="M209" s="6501" t="inlineStr">
        <is>
          <t>Única</t>
        </is>
      </c>
      <c r="N209" s="8181" t="inlineStr">
        <is>
          <t>Múltiple</t>
        </is>
      </c>
      <c r="O209" s="9641" t="n"/>
    </row>
    <row r="210" ht="16.35" customHeight="1" s="8286">
      <c r="A210" s="9641" t="n"/>
      <c r="B210" s="6625">
        <f>+C210+D210</f>
        <v/>
      </c>
      <c r="C210" s="6626">
        <f>+E210+G210+I210+K210</f>
        <v/>
      </c>
      <c r="D210" s="6627">
        <f>+F210+H210+J210+L210</f>
        <v/>
      </c>
      <c r="E210" s="6628">
        <f>SUM(E211:E215)</f>
        <v/>
      </c>
      <c r="F210" s="6629">
        <f>SUM(F211:F215)</f>
        <v/>
      </c>
      <c r="G210" s="6628">
        <f>SUM(G211:G215)</f>
        <v/>
      </c>
      <c r="H210" s="6629">
        <f>SUM(H211:H215)</f>
        <v/>
      </c>
      <c r="I210" s="6628">
        <f>SUM(I211:I215)</f>
        <v/>
      </c>
      <c r="J210" s="6630">
        <f>SUM(J211:J215)</f>
        <v/>
      </c>
      <c r="K210" s="6617">
        <f>SUM(K211:K215)</f>
        <v/>
      </c>
      <c r="L210" s="6631">
        <f>SUM(L211:L215)</f>
        <v/>
      </c>
      <c r="M210" s="6632">
        <f>SUM(M211:M215)</f>
        <v/>
      </c>
      <c r="N210" s="6633">
        <f>SUM(N211:N215)</f>
        <v/>
      </c>
      <c r="O210" s="6634">
        <f>SUM(O211:O215)</f>
        <v/>
      </c>
      <c r="P210" s="5555" t="n"/>
      <c r="Q210" s="5555" t="n"/>
      <c r="R210" s="5555" t="n"/>
      <c r="S210" s="5555" t="n"/>
      <c r="T210" s="5555" t="n"/>
      <c r="U210" s="5555" t="n"/>
      <c r="V210" s="5555" t="n"/>
      <c r="W210" s="5555" t="n"/>
      <c r="X210" s="5555" t="n"/>
      <c r="Y210" s="5555" t="n"/>
      <c r="Z210" s="5555" t="n"/>
      <c r="AA210" s="5555" t="n"/>
      <c r="AB210" s="5555" t="n"/>
      <c r="AC210" s="5555" t="n"/>
      <c r="AD210" s="5555" t="n"/>
      <c r="AE210" s="5555" t="n"/>
    </row>
    <row r="211" ht="15" customHeight="1" s="8286">
      <c r="A211" s="8279" t="inlineStr">
        <is>
          <t>Perro</t>
        </is>
      </c>
      <c r="B211" s="6635">
        <f>+C211+D211</f>
        <v/>
      </c>
      <c r="C211" s="6636">
        <f>+E211+G211+I211+K211</f>
        <v/>
      </c>
      <c r="D211" s="6369">
        <f>+F211+H211+J211+L211</f>
        <v/>
      </c>
      <c r="E211" s="5999" t="n"/>
      <c r="F211" s="1535" t="n"/>
      <c r="G211" s="5999" t="n"/>
      <c r="H211" s="1535" t="n"/>
      <c r="I211" s="5999" t="n"/>
      <c r="J211" s="943" t="n"/>
      <c r="K211" s="5999" t="n"/>
      <c r="L211" s="1634" t="n"/>
      <c r="M211" s="1635" t="n"/>
      <c r="N211" s="1914" t="n"/>
      <c r="O211" s="6510" t="n"/>
      <c r="P211" s="6377">
        <f>CA211&amp;CB211&amp;CC211&amp;CD211</f>
        <v/>
      </c>
      <c r="Q211" s="6275" t="n"/>
      <c r="R211" s="6275" t="n"/>
      <c r="S211" s="6275" t="n"/>
      <c r="T211" s="6275" t="n"/>
      <c r="U211" s="6275" t="n"/>
      <c r="V211" s="6275" t="n"/>
      <c r="W211" s="6275" t="n"/>
      <c r="X211" s="6275" t="n"/>
      <c r="Y211" s="6275" t="n"/>
      <c r="Z211" s="6275" t="n"/>
      <c r="AA211" s="6275" t="n"/>
      <c r="AB211" s="5555" t="n"/>
      <c r="AC211" s="5555" t="n"/>
      <c r="AD211" s="5555" t="n"/>
      <c r="AE211" s="5555" t="n"/>
      <c r="CA211" s="6276">
        <f>IF(AND($B211&gt;0,M211="")," *No olvide digitar la variable "&amp;M$207&amp;""&amp;" Única. Digite CERO si no tiene.","")</f>
        <v/>
      </c>
      <c r="CB211" s="6276">
        <f>IF(AND($B211&gt;0,N211="")," *No olvide digitar la variable "&amp;M$207&amp;""&amp;" Múltiple. Digite CERO si no tiene.","")</f>
        <v/>
      </c>
      <c r="CC211" s="6276">
        <f>IF(AND(M211+N211&gt;$B211)," *La variable "&amp;M$207&amp;""&amp;" No puede ser mayor al Total Ambos Sexos.","")</f>
        <v/>
      </c>
      <c r="CD211" s="6276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/>
      </c>
      <c r="CN211" s="6277">
        <f>IF(AND($B211&gt;0,N211=""),1,0)</f>
        <v/>
      </c>
      <c r="CO211" s="6277">
        <f>IF(AND(M211+N211&gt;$B211),1,0)</f>
        <v/>
      </c>
      <c r="CP211" s="6277">
        <f>IF(AND($B211&gt;0,O211=""),1,0)</f>
        <v/>
      </c>
      <c r="CR211" s="6246" t="n"/>
    </row>
    <row r="212" ht="15" customHeight="1" s="8286">
      <c r="A212" s="7199" t="inlineStr">
        <is>
          <t>Gato</t>
        </is>
      </c>
      <c r="B212" s="6637">
        <f>+C212+D212</f>
        <v/>
      </c>
      <c r="C212" s="6638">
        <f>+E212+G212+I212+K212</f>
        <v/>
      </c>
      <c r="D212" s="1548">
        <f>+F212+H212+J212+L212</f>
        <v/>
      </c>
      <c r="E212" s="1539" t="n"/>
      <c r="F212" s="1544" t="n"/>
      <c r="G212" s="1539" t="n"/>
      <c r="H212" s="1544" t="n"/>
      <c r="I212" s="1539" t="n"/>
      <c r="J212" s="6497" t="n"/>
      <c r="K212" s="1539" t="n"/>
      <c r="L212" s="1639" t="n"/>
      <c r="M212" s="1615" t="n"/>
      <c r="N212" s="1689" t="n"/>
      <c r="O212" s="6639" t="n"/>
      <c r="P212" s="6377">
        <f>CA212&amp;CB212&amp;CC212&amp;CD212</f>
        <v/>
      </c>
      <c r="Q212" s="6275" t="n"/>
      <c r="R212" s="6275" t="n"/>
      <c r="S212" s="6275" t="n"/>
      <c r="T212" s="6275" t="n"/>
      <c r="U212" s="6275" t="n"/>
      <c r="V212" s="6275" t="n"/>
      <c r="W212" s="6275" t="n"/>
      <c r="X212" s="6275" t="n"/>
      <c r="Y212" s="6275" t="n"/>
      <c r="Z212" s="6275" t="n"/>
      <c r="AA212" s="6275" t="n"/>
      <c r="AB212" s="5555" t="n"/>
      <c r="AC212" s="5555" t="n"/>
      <c r="AD212" s="5555" t="n"/>
      <c r="AE212" s="5555" t="n"/>
      <c r="CA212" s="6276">
        <f>IF(AND($B212&gt;0,M212="")," *No olvide digitar la variable "&amp;M$207&amp;""&amp;" Única. Digite CERO si no tiene.","")</f>
        <v/>
      </c>
      <c r="CB212" s="6276">
        <f>IF(AND($B212&gt;0,N212="")," *No olvide digitar la variable "&amp;M$207&amp;""&amp;" Múltiple. Digite CERO si no tiene.","")</f>
        <v/>
      </c>
      <c r="CC212" s="6276">
        <f>IF(AND(M212+N212&gt;$B212)," *La variable "&amp;M$207&amp;""&amp;" No puede ser mayor al Total Ambos Sexos.","")</f>
        <v/>
      </c>
      <c r="CD212" s="6276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>IF(AND($B212&gt;0,M212=""),1,0)</f>
        <v/>
      </c>
      <c r="CN212" s="6277">
        <f>IF(AND($B212&gt;0,N212=""),1,0)</f>
        <v/>
      </c>
      <c r="CO212" s="6277">
        <f>IF(AND(M212+N212&gt;$B212),1,0)</f>
        <v/>
      </c>
      <c r="CP212" s="6277">
        <f>IF(AND($B212&gt;0,O212=""),1,0)</f>
        <v/>
      </c>
    </row>
    <row r="213" ht="15" customHeight="1" s="8286">
      <c r="A213" s="7199" t="inlineStr">
        <is>
          <t>Animal Silvestre</t>
        </is>
      </c>
      <c r="B213" s="6637">
        <f>+C213+D213</f>
        <v/>
      </c>
      <c r="C213" s="6638">
        <f>+E213+G213+I213+K213</f>
        <v/>
      </c>
      <c r="D213" s="1548">
        <f>+F213+H213+J213+L213</f>
        <v/>
      </c>
      <c r="E213" s="1539" t="n"/>
      <c r="F213" s="1544" t="n"/>
      <c r="G213" s="1539" t="n"/>
      <c r="H213" s="1544" t="n"/>
      <c r="I213" s="1539" t="n"/>
      <c r="J213" s="6497" t="n"/>
      <c r="K213" s="1539" t="n"/>
      <c r="L213" s="1639" t="n"/>
      <c r="M213" s="1615" t="n"/>
      <c r="N213" s="1689" t="n"/>
      <c r="O213" s="6639" t="n"/>
      <c r="P213" s="6377">
        <f>CA213&amp;CB213&amp;CC213&amp;CD213</f>
        <v/>
      </c>
      <c r="Q213" s="6275" t="n"/>
      <c r="R213" s="6275" t="n"/>
      <c r="S213" s="6275" t="n"/>
      <c r="T213" s="6275" t="n"/>
      <c r="U213" s="6275" t="n"/>
      <c r="V213" s="6275" t="n"/>
      <c r="W213" s="6275" t="n"/>
      <c r="X213" s="6275" t="n"/>
      <c r="Y213" s="6275" t="n"/>
      <c r="Z213" s="6275" t="n"/>
      <c r="AA213" s="6275" t="n"/>
      <c r="AB213" s="5555" t="n"/>
      <c r="AC213" s="5555" t="n"/>
      <c r="AD213" s="5555" t="n"/>
      <c r="AE213" s="5555" t="n"/>
      <c r="CA213" s="6276">
        <f>IF(AND($B213&gt;0,M213="")," *No olvide digitar la variable "&amp;M$207&amp;""&amp;" Única. Digite CERO si no tiene.","")</f>
        <v/>
      </c>
      <c r="CB213" s="6276">
        <f>IF(AND($B213&gt;0,N213="")," *No olvide digitar la variable "&amp;M$207&amp;""&amp;" Múltiple. Digite CERO si no tiene.","")</f>
        <v/>
      </c>
      <c r="CC213" s="6276">
        <f>IF(AND(M213+N213&gt;$B213)," *La variable "&amp;M$207&amp;""&amp;" No puede ser mayor al Total Ambos Sexos.","")</f>
        <v/>
      </c>
      <c r="CD213" s="6276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>IF(AND($B213&gt;0,M213=""),1,0)</f>
        <v/>
      </c>
      <c r="CN213" s="6277">
        <f>IF(AND($B213&gt;0,N213=""),1,0)</f>
        <v/>
      </c>
      <c r="CO213" s="6277">
        <f>IF(AND(M213+N213&gt;$B213),1,0)</f>
        <v/>
      </c>
      <c r="CP213" s="6277">
        <f>IF(AND($B213&gt;0,O213=""),1,0)</f>
        <v/>
      </c>
    </row>
    <row r="214" ht="15" customHeight="1" s="8286">
      <c r="A214" s="7199" t="inlineStr">
        <is>
          <t>Exposición a Murciélago</t>
        </is>
      </c>
      <c r="B214" s="6637">
        <f>+C214+D214</f>
        <v/>
      </c>
      <c r="C214" s="6638">
        <f>+E214+G214+I214+K214</f>
        <v/>
      </c>
      <c r="D214" s="1548">
        <f>+F214+H214+J214+L214</f>
        <v/>
      </c>
      <c r="E214" s="1561" t="n"/>
      <c r="F214" s="1565" t="n"/>
      <c r="G214" s="1561" t="n"/>
      <c r="H214" s="1565" t="n"/>
      <c r="I214" s="1561" t="n"/>
      <c r="J214" s="1562" t="n"/>
      <c r="K214" s="1561" t="n"/>
      <c r="L214" s="6640" t="n"/>
      <c r="M214" s="1781" t="n"/>
      <c r="N214" s="6641" t="n"/>
      <c r="O214" s="6642" t="n"/>
      <c r="P214" s="6377">
        <f>CA214&amp;CB214&amp;CC214&amp;CD214</f>
        <v/>
      </c>
      <c r="Q214" s="6275" t="n"/>
      <c r="R214" s="6275" t="n"/>
      <c r="S214" s="6275" t="n"/>
      <c r="T214" s="6275" t="n"/>
      <c r="U214" s="6275" t="n"/>
      <c r="V214" s="6275" t="n"/>
      <c r="W214" s="6275" t="n"/>
      <c r="X214" s="6275" t="n"/>
      <c r="Y214" s="6275" t="n"/>
      <c r="Z214" s="6275" t="n"/>
      <c r="AA214" s="6275" t="n"/>
      <c r="AB214" s="5555" t="n"/>
      <c r="AC214" s="5555" t="n"/>
      <c r="AD214" s="5555" t="n"/>
      <c r="AE214" s="5555" t="n"/>
      <c r="CA214" s="6276">
        <f>IF(AND($B214&gt;0,M214="")," *No olvide digitar la variable "&amp;M$207&amp;""&amp;" Única. Digite CERO si no tiene.","")</f>
        <v/>
      </c>
      <c r="CB214" s="6276">
        <f>IF(AND($B214&gt;0,N214="")," *No olvide digitar la variable "&amp;M$207&amp;""&amp;" Múltiple. Digite CERO si no tiene.","")</f>
        <v/>
      </c>
      <c r="CC214" s="6276">
        <f>IF(AND(M214+N214&gt;$B214)," *La variable "&amp;M$207&amp;""&amp;" No puede ser mayor al Total Ambos Sexos.","")</f>
        <v/>
      </c>
      <c r="CD214" s="6276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>IF(AND($B214&gt;0,M214=""),1,0)</f>
        <v/>
      </c>
      <c r="CN214" s="6277">
        <f>IF(AND($B214&gt;0,N214=""),1,0)</f>
        <v/>
      </c>
      <c r="CO214" s="6277">
        <f>IF(AND(M214+N214&gt;$B214),1,0)</f>
        <v/>
      </c>
      <c r="CP214" s="6277">
        <f>IF(AND($B214&gt;0,O214=""),1,0)</f>
        <v/>
      </c>
    </row>
    <row r="215" ht="15" customHeight="1" s="8286">
      <c r="A215" s="8252" t="inlineStr">
        <is>
          <t>Roedor o Animal de Abasto</t>
        </is>
      </c>
      <c r="B215" s="6643">
        <f>+C215+D215</f>
        <v/>
      </c>
      <c r="C215" s="6644">
        <f>+E215+G215+I215+K215</f>
        <v/>
      </c>
      <c r="D215" s="6349">
        <f>+F215+H215+J215+L215</f>
        <v/>
      </c>
      <c r="E215" s="1519" t="n"/>
      <c r="F215" s="1550" t="n"/>
      <c r="G215" s="1519" t="n"/>
      <c r="H215" s="1550" t="n"/>
      <c r="I215" s="1519" t="n"/>
      <c r="J215" s="1550" t="n"/>
      <c r="K215" s="1519" t="n"/>
      <c r="L215" s="1626" t="n"/>
      <c r="M215" s="1627" t="n"/>
      <c r="N215" s="6645" t="n"/>
      <c r="O215" s="1661" t="n"/>
      <c r="P215" s="6377">
        <f>CA215&amp;CB215&amp;CC215&amp;CD215</f>
        <v/>
      </c>
      <c r="Q215" s="6275" t="n"/>
      <c r="R215" s="6275" t="n"/>
      <c r="S215" s="6275" t="n"/>
      <c r="T215" s="6275" t="n"/>
      <c r="U215" s="6275" t="n"/>
      <c r="V215" s="6275" t="n"/>
      <c r="W215" s="6275" t="n"/>
      <c r="X215" s="6275" t="n"/>
      <c r="Y215" s="6275" t="n"/>
      <c r="Z215" s="6275" t="n"/>
      <c r="AA215" s="6275" t="n"/>
      <c r="AB215" s="5555" t="n"/>
      <c r="AC215" s="5555" t="n"/>
      <c r="AD215" s="5555" t="n"/>
      <c r="AE215" s="5555" t="n"/>
      <c r="CA215" s="6276">
        <f>IF(AND($B215&gt;0,M215="")," *No olvide digitar la variable "&amp;M$207&amp;""&amp;" Única. Digite CERO si no tiene.","")</f>
        <v/>
      </c>
      <c r="CB215" s="6276">
        <f>IF(AND($B215&gt;0,N215="")," *No olvide digitar la variable "&amp;M$207&amp;""&amp;" Múltiple. Digite CERO si no tiene.","")</f>
        <v/>
      </c>
      <c r="CC215" s="6276">
        <f>IF(AND(M215+N215&gt;$B215)," *La variable "&amp;M$207&amp;""&amp;" No puede ser mayor al Total Ambos Sexos.","")</f>
        <v/>
      </c>
      <c r="CD215" s="6276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>IF(AND($B215&gt;0,M215=""),1,0)</f>
        <v/>
      </c>
      <c r="CN215" s="6277">
        <f>IF(AND($B215&gt;0,N215=""),1,0)</f>
        <v/>
      </c>
      <c r="CO215" s="6277">
        <f>IF(AND(M215+N215&gt;$B215),1,0)</f>
        <v/>
      </c>
      <c r="CP215" s="6277">
        <f>IF(AND($B215&gt;0,O215=""),1,0)</f>
        <v/>
      </c>
    </row>
    <row r="232" hidden="1" s="8286">
      <c r="A232" s="6646">
        <f>SUM(B12:B15,B20:B25,B41:B46,B67,B101,C106:C113,D116:D118,C123:C125,C129:C130,B135,C135,D136,E136,C141:C142,B158,C161:D161,C165:C166,C169:C174,C178:C183,B188:B191,C195:C196,B199:B200,B205,B210)</f>
        <v/>
      </c>
      <c r="B232" s="6646">
        <f>SUM(#REF!)</f>
        <v/>
      </c>
      <c r="C232" s="6646" t="n"/>
      <c r="D232" s="6646" t="n"/>
      <c r="E232" s="6646" t="n"/>
      <c r="F232" s="6646" t="n"/>
      <c r="G232" s="6646" t="n"/>
      <c r="H232" s="6646" t="n"/>
      <c r="I232" s="6646" t="n"/>
      <c r="J232" s="6646" t="n"/>
      <c r="K232" s="6646" t="n"/>
      <c r="L232" s="6646" t="n"/>
      <c r="M232" s="6646" t="n"/>
    </row>
    <row r="248" hidden="1" ht="15" customHeight="1" s="8286">
      <c r="A248" s="6647">
        <f>SUM(B12:B15,B20:B26,B31:B36,B41:B46,B51:B56,B61:B66,B72:B77,B81:B100,C107:C113,D116:D118,C123:C125,C129:C131,C141:C142,B146:B157,C161:D161,C165:C166,C169:F174,C178:C183,B188:B191,C195:C196,B199:B200,B205,B211:B215)</f>
        <v/>
      </c>
      <c r="B248" s="6648">
        <f>SUM(CM12:CS215)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7iaAwVEG87cGE9X6oFw27Q==" formatRows="1" sort="1" spinCount="100000" hashValue="qQ+9ek1tzEqOpNLuAJACwiP4ko8CcjEt2fzTO7TzXTBC4GrGmkah2OCUhF0O7IWWNcW5p1UtXYsZdT2LU2BXVQ=="/>
  <mergeCells count="351">
    <mergeCell ref="A139:B140"/>
    <mergeCell ref="AJ121:AK121"/>
    <mergeCell ref="M70:N70"/>
    <mergeCell ref="AK18:AL18"/>
    <mergeCell ref="M10:N10"/>
    <mergeCell ref="R193:S193"/>
    <mergeCell ref="T193:U193"/>
    <mergeCell ref="T127:U127"/>
    <mergeCell ref="V127:W127"/>
    <mergeCell ref="AI203:AJ203"/>
    <mergeCell ref="B38:D39"/>
    <mergeCell ref="AD104:AE104"/>
    <mergeCell ref="AF104:AG104"/>
    <mergeCell ref="F121:G121"/>
    <mergeCell ref="Y18:Z18"/>
    <mergeCell ref="AA18:AB18"/>
    <mergeCell ref="B28:D29"/>
    <mergeCell ref="AN202:AN204"/>
    <mergeCell ref="A193:B194"/>
    <mergeCell ref="W193:W194"/>
    <mergeCell ref="G59:H59"/>
    <mergeCell ref="Y193:Y194"/>
    <mergeCell ref="AG29:AH29"/>
    <mergeCell ref="AI29:AJ29"/>
    <mergeCell ref="AN120:AN122"/>
    <mergeCell ref="AT18:AU18"/>
    <mergeCell ref="AV18:AW18"/>
    <mergeCell ref="L121:M121"/>
    <mergeCell ref="AL104:AM104"/>
    <mergeCell ref="N121:O121"/>
    <mergeCell ref="C139:C140"/>
    <mergeCell ref="S203:T203"/>
    <mergeCell ref="A120:B122"/>
    <mergeCell ref="A172:A174"/>
    <mergeCell ref="Q186:R186"/>
    <mergeCell ref="A129:B129"/>
    <mergeCell ref="V193:V194"/>
    <mergeCell ref="X193:X194"/>
    <mergeCell ref="AE127:AE128"/>
    <mergeCell ref="A131:B131"/>
    <mergeCell ref="C120:E121"/>
    <mergeCell ref="H104:I104"/>
    <mergeCell ref="G203:H203"/>
    <mergeCell ref="I59:J59"/>
    <mergeCell ref="U10:V10"/>
    <mergeCell ref="E18:F18"/>
    <mergeCell ref="V121:W121"/>
    <mergeCell ref="K29:L29"/>
    <mergeCell ref="E29:F29"/>
    <mergeCell ref="A103:B105"/>
    <mergeCell ref="AC39:AD39"/>
    <mergeCell ref="AE39:AF39"/>
    <mergeCell ref="S186:T186"/>
    <mergeCell ref="U186:V186"/>
    <mergeCell ref="AM193:AM194"/>
    <mergeCell ref="O59:P59"/>
    <mergeCell ref="Q59:R59"/>
    <mergeCell ref="J163:L163"/>
    <mergeCell ref="AG127:AG128"/>
    <mergeCell ref="AI127:AI128"/>
    <mergeCell ref="A178:A180"/>
    <mergeCell ref="B207:D208"/>
    <mergeCell ref="D139:I139"/>
    <mergeCell ref="G176:G177"/>
    <mergeCell ref="W10:X10"/>
    <mergeCell ref="O10:P10"/>
    <mergeCell ref="N193:O193"/>
    <mergeCell ref="F193:G193"/>
    <mergeCell ref="P193:Q193"/>
    <mergeCell ref="F127:G127"/>
    <mergeCell ref="H193:I193"/>
    <mergeCell ref="A124:B124"/>
    <mergeCell ref="H127:I127"/>
    <mergeCell ref="J127:K127"/>
    <mergeCell ref="R104:S104"/>
    <mergeCell ref="AF121:AG121"/>
    <mergeCell ref="I39:J39"/>
    <mergeCell ref="AK59:AL59"/>
    <mergeCell ref="K39:L39"/>
    <mergeCell ref="K70:L70"/>
    <mergeCell ref="AM28:AM30"/>
    <mergeCell ref="S29:T29"/>
    <mergeCell ref="U29:V29"/>
    <mergeCell ref="W29:X29"/>
    <mergeCell ref="E208:F208"/>
    <mergeCell ref="B9:D10"/>
    <mergeCell ref="AO103:AO105"/>
    <mergeCell ref="C193:E193"/>
    <mergeCell ref="A169:A170"/>
    <mergeCell ref="E203:F203"/>
    <mergeCell ref="A181:A183"/>
    <mergeCell ref="F163:F164"/>
    <mergeCell ref="AA186:AB186"/>
    <mergeCell ref="F133:G133"/>
    <mergeCell ref="A58:A60"/>
    <mergeCell ref="AF127:AF128"/>
    <mergeCell ref="AR17:AR19"/>
    <mergeCell ref="AH193:AH194"/>
    <mergeCell ref="AH127:AH128"/>
    <mergeCell ref="S49:T49"/>
    <mergeCell ref="T104:U104"/>
    <mergeCell ref="AC10:AD10"/>
    <mergeCell ref="AE10:AF10"/>
    <mergeCell ref="J139:J140"/>
    <mergeCell ref="M18:N18"/>
    <mergeCell ref="F176:F177"/>
    <mergeCell ref="AS9:AS11"/>
    <mergeCell ref="A207:A210"/>
    <mergeCell ref="AC186:AD186"/>
    <mergeCell ref="Q39:R39"/>
    <mergeCell ref="S39:T39"/>
    <mergeCell ref="S70:T70"/>
    <mergeCell ref="U70:V70"/>
    <mergeCell ref="K208:L208"/>
    <mergeCell ref="A195:A196"/>
    <mergeCell ref="A202:A204"/>
    <mergeCell ref="A27:H27"/>
    <mergeCell ref="AN28:AN30"/>
    <mergeCell ref="E186:F186"/>
    <mergeCell ref="B58:D59"/>
    <mergeCell ref="AL121:AM121"/>
    <mergeCell ref="A176:B177"/>
    <mergeCell ref="E207:L207"/>
    <mergeCell ref="E48:AL48"/>
    <mergeCell ref="AG18:AH18"/>
    <mergeCell ref="AM202:AM204"/>
    <mergeCell ref="AI18:AJ18"/>
    <mergeCell ref="I10:J10"/>
    <mergeCell ref="AI186:AJ186"/>
    <mergeCell ref="K10:L10"/>
    <mergeCell ref="AK49:AL49"/>
    <mergeCell ref="AK186:AL186"/>
    <mergeCell ref="AC49:AD49"/>
    <mergeCell ref="P127:Q127"/>
    <mergeCell ref="AE49:AF49"/>
    <mergeCell ref="R127:S127"/>
    <mergeCell ref="AQ17:AQ19"/>
    <mergeCell ref="Z104:AA104"/>
    <mergeCell ref="AB104:AC104"/>
    <mergeCell ref="A168:B168"/>
    <mergeCell ref="AK39:AL39"/>
    <mergeCell ref="T121:U121"/>
    <mergeCell ref="C103:E104"/>
    <mergeCell ref="G186:H186"/>
    <mergeCell ref="A127:B128"/>
    <mergeCell ref="E59:F59"/>
    <mergeCell ref="AC29:AD29"/>
    <mergeCell ref="AE29:AF29"/>
    <mergeCell ref="A113:B113"/>
    <mergeCell ref="J121:K121"/>
    <mergeCell ref="O203:P203"/>
    <mergeCell ref="Q203:R203"/>
    <mergeCell ref="E69:AL69"/>
    <mergeCell ref="K18:L18"/>
    <mergeCell ref="Z193:Z194"/>
    <mergeCell ref="M186:N186"/>
    <mergeCell ref="O186:P186"/>
    <mergeCell ref="I49:J49"/>
    <mergeCell ref="A123:B123"/>
    <mergeCell ref="B133:E133"/>
    <mergeCell ref="A110:B110"/>
    <mergeCell ref="A133:A134"/>
    <mergeCell ref="F104:G104"/>
    <mergeCell ref="Q10:R10"/>
    <mergeCell ref="AF193:AG193"/>
    <mergeCell ref="X127:Y127"/>
    <mergeCell ref="W59:X59"/>
    <mergeCell ref="R121:S121"/>
    <mergeCell ref="E17:AL17"/>
    <mergeCell ref="G29:H29"/>
    <mergeCell ref="I29:J29"/>
    <mergeCell ref="AK70:AL70"/>
    <mergeCell ref="AC70:AD70"/>
    <mergeCell ref="AE70:AF70"/>
    <mergeCell ref="K49:L49"/>
    <mergeCell ref="AK193:AK194"/>
    <mergeCell ref="M59:N59"/>
    <mergeCell ref="AE203:AF203"/>
    <mergeCell ref="W203:X203"/>
    <mergeCell ref="AN103:AN105"/>
    <mergeCell ref="Y203:Z203"/>
    <mergeCell ref="Y59:Z59"/>
    <mergeCell ref="AO10:AO11"/>
    <mergeCell ref="AQ10:AQ11"/>
    <mergeCell ref="A141:A142"/>
    <mergeCell ref="S10:T10"/>
    <mergeCell ref="AR9:AR11"/>
    <mergeCell ref="J193:K193"/>
    <mergeCell ref="E185:AL185"/>
    <mergeCell ref="Y49:Z49"/>
    <mergeCell ref="L193:M193"/>
    <mergeCell ref="Q49:R49"/>
    <mergeCell ref="A116:B118"/>
    <mergeCell ref="AB193:AE193"/>
    <mergeCell ref="AS18:AS19"/>
    <mergeCell ref="AJ104:AK104"/>
    <mergeCell ref="A111:B111"/>
    <mergeCell ref="AB121:AC121"/>
    <mergeCell ref="AD121:AE121"/>
    <mergeCell ref="C127:E127"/>
    <mergeCell ref="C176:E176"/>
    <mergeCell ref="AE59:AF59"/>
    <mergeCell ref="G70:H70"/>
    <mergeCell ref="I70:J70"/>
    <mergeCell ref="O29:P29"/>
    <mergeCell ref="Q29:R29"/>
    <mergeCell ref="B17:D18"/>
    <mergeCell ref="AO48:AO50"/>
    <mergeCell ref="E202:AJ202"/>
    <mergeCell ref="AK10:AL10"/>
    <mergeCell ref="U18:V18"/>
    <mergeCell ref="W18:X18"/>
    <mergeCell ref="AJ193:AJ194"/>
    <mergeCell ref="W186:X186"/>
    <mergeCell ref="AL193:AL194"/>
    <mergeCell ref="Y186:Z186"/>
    <mergeCell ref="E38:AL38"/>
    <mergeCell ref="N104:O104"/>
    <mergeCell ref="P104:Q104"/>
    <mergeCell ref="A17:A19"/>
    <mergeCell ref="AA10:AB10"/>
    <mergeCell ref="AN48:AN50"/>
    <mergeCell ref="A163:B164"/>
    <mergeCell ref="AP10:AP11"/>
    <mergeCell ref="Y39:Z39"/>
    <mergeCell ref="H121:I121"/>
    <mergeCell ref="AA39:AB39"/>
    <mergeCell ref="AG59:AH59"/>
    <mergeCell ref="AI193:AI194"/>
    <mergeCell ref="A144:A145"/>
    <mergeCell ref="AS17:AW17"/>
    <mergeCell ref="V104:W104"/>
    <mergeCell ref="W70:X70"/>
    <mergeCell ref="O70:P70"/>
    <mergeCell ref="Y70:Z70"/>
    <mergeCell ref="Q70:R70"/>
    <mergeCell ref="E28:AL28"/>
    <mergeCell ref="AH104:AI104"/>
    <mergeCell ref="AG203:AH203"/>
    <mergeCell ref="AI59:AJ59"/>
    <mergeCell ref="AC18:AD18"/>
    <mergeCell ref="AE18:AF18"/>
    <mergeCell ref="E10:F10"/>
    <mergeCell ref="G10:H10"/>
    <mergeCell ref="M163:O163"/>
    <mergeCell ref="AG49:AH49"/>
    <mergeCell ref="AI49:AJ49"/>
    <mergeCell ref="L127:M127"/>
    <mergeCell ref="G163:I163"/>
    <mergeCell ref="AA49:AB49"/>
    <mergeCell ref="N127:O127"/>
    <mergeCell ref="AA193:AA194"/>
    <mergeCell ref="K59:L59"/>
    <mergeCell ref="AM17:AM19"/>
    <mergeCell ref="A48:A50"/>
    <mergeCell ref="AO17:AO19"/>
    <mergeCell ref="AK29:AL29"/>
    <mergeCell ref="A160:B160"/>
    <mergeCell ref="A165:A166"/>
    <mergeCell ref="X104:Y104"/>
    <mergeCell ref="B48:D49"/>
    <mergeCell ref="O207:O209"/>
    <mergeCell ref="AG39:AH39"/>
    <mergeCell ref="P121:Q121"/>
    <mergeCell ref="AM48:AM50"/>
    <mergeCell ref="A6:O6"/>
    <mergeCell ref="E9:AL9"/>
    <mergeCell ref="G208:H208"/>
    <mergeCell ref="AA29:AB29"/>
    <mergeCell ref="I208:J208"/>
    <mergeCell ref="AN17:AN19"/>
    <mergeCell ref="A38:A40"/>
    <mergeCell ref="I203:J203"/>
    <mergeCell ref="K203:L203"/>
    <mergeCell ref="M203:N203"/>
    <mergeCell ref="AN9:AQ9"/>
    <mergeCell ref="Y10:Z10"/>
    <mergeCell ref="G18:H18"/>
    <mergeCell ref="A107:A109"/>
    <mergeCell ref="I18:J18"/>
    <mergeCell ref="I186:J186"/>
    <mergeCell ref="K186:L186"/>
    <mergeCell ref="E49:F49"/>
    <mergeCell ref="AI39:AJ39"/>
    <mergeCell ref="A185:A187"/>
    <mergeCell ref="S59:T59"/>
    <mergeCell ref="B185:D186"/>
    <mergeCell ref="U59:V59"/>
    <mergeCell ref="AK127:AK128"/>
    <mergeCell ref="AP17:AP19"/>
    <mergeCell ref="F120:AM120"/>
    <mergeCell ref="AG70:AH70"/>
    <mergeCell ref="AI70:AJ70"/>
    <mergeCell ref="AA70:AB70"/>
    <mergeCell ref="G49:H49"/>
    <mergeCell ref="AM38:AM40"/>
    <mergeCell ref="A69:A71"/>
    <mergeCell ref="B69:D70"/>
    <mergeCell ref="AA203:AB203"/>
    <mergeCell ref="AC203:AD203"/>
    <mergeCell ref="AM58:AN59"/>
    <mergeCell ref="U203:V203"/>
    <mergeCell ref="B144:B145"/>
    <mergeCell ref="B202:D203"/>
    <mergeCell ref="U49:V49"/>
    <mergeCell ref="C163:E163"/>
    <mergeCell ref="M49:N49"/>
    <mergeCell ref="M39:N39"/>
    <mergeCell ref="E39:F39"/>
    <mergeCell ref="O39:P39"/>
    <mergeCell ref="G39:H39"/>
    <mergeCell ref="AN38:AN40"/>
    <mergeCell ref="A28:A30"/>
    <mergeCell ref="Y29:Z29"/>
    <mergeCell ref="E58:AL58"/>
    <mergeCell ref="Z127:AD127"/>
    <mergeCell ref="X121:Y121"/>
    <mergeCell ref="AH121:AI121"/>
    <mergeCell ref="Z121:AA121"/>
    <mergeCell ref="AA59:AB59"/>
    <mergeCell ref="E70:F70"/>
    <mergeCell ref="A106:B106"/>
    <mergeCell ref="AK202:AL203"/>
    <mergeCell ref="AE186:AF186"/>
    <mergeCell ref="M29:N29"/>
    <mergeCell ref="AJ127:AJ128"/>
    <mergeCell ref="AX17:AX19"/>
    <mergeCell ref="A130:B130"/>
    <mergeCell ref="W49:X49"/>
    <mergeCell ref="AG10:AH10"/>
    <mergeCell ref="O18:P18"/>
    <mergeCell ref="AI10:AJ10"/>
    <mergeCell ref="Q18:R18"/>
    <mergeCell ref="S18:T18"/>
    <mergeCell ref="H176:H177"/>
    <mergeCell ref="A119:K119"/>
    <mergeCell ref="O49:P49"/>
    <mergeCell ref="A9:A11"/>
    <mergeCell ref="A115:C115"/>
    <mergeCell ref="J104:K104"/>
    <mergeCell ref="L104:M104"/>
    <mergeCell ref="F103:AM103"/>
    <mergeCell ref="M207:N208"/>
    <mergeCell ref="AG186:AH186"/>
    <mergeCell ref="U39:V39"/>
    <mergeCell ref="AN10:AN11"/>
    <mergeCell ref="W39:X39"/>
    <mergeCell ref="A125:B125"/>
    <mergeCell ref="AC59:AD59"/>
    <mergeCell ref="AM9:AM11"/>
    <mergeCell ref="A112:B112"/>
  </mergeCells>
  <dataValidations count="10">
    <dataValidation sqref="B146:B157 C81:E100 C161:D161 D116:D118 D141:J142 D165:O166 D178:H183 E43:AM46 E53:AN56 E72:AL77 E205:AN205 E211:O215 F123:AN125 F129:AK131 F195:AM196 AN41:AN46 AO27:AO30 AO51:AO56 AP27:AP36" showDropDown="0" showInputMessage="1" showErrorMessage="1" allowBlank="0" errorTitle="Error" error="Favor Ingrese sólo Números." type="whole" operator="greaterThanOrEqual">
      <formula1>0</formula1>
    </dataValidation>
    <dataValidation sqref="E12:AM15 E20:AS26 E31:AM32 E41:AM42 E51:AN52 AN12:AS14 AT21:AX26" showDropDown="0" showInputMessage="1" showErrorMessage="1" allowBlank="0" type="whole">
      <formula1>0</formula1>
      <formula2>9.99999999999999E+40</formula2>
    </dataValidation>
    <dataValidation sqref="C199:D200 E33:AM36 AN31:AN36" showDropDown="0" showInputMessage="1" showErrorMessage="1" allowBlank="0" type="whole">
      <formula1>0</formula1>
      <formula2>9.99999999999999E+41</formula2>
    </dataValidation>
    <dataValidation sqref="E61:AN66" showDropDown="0" showInputMessage="1" showErrorMessage="1" allowBlank="0" type="whole">
      <formula1>0</formula1>
      <formula2>9.99999999999999E+46</formula2>
    </dataValidation>
    <dataValidation sqref="F107:AO113" showDropDown="0" showInputMessage="1" showErrorMessage="1" allowBlank="0" type="whole">
      <formula1>0</formula1>
      <formula2>9.99999999999999E+33</formula2>
    </dataValidation>
    <dataValidation sqref="B135:G137" showDropDown="0" showInputMessage="1" showErrorMessage="1" allowBlank="0" type="whole">
      <formula1>0</formula1>
      <formula2>9.99999999999999E+32</formula2>
    </dataValidation>
    <dataValidation sqref="C169:F174" showDropDown="0" showInputMessage="1" showErrorMessage="1" allowBlank="0" type="whole">
      <formula1>0</formula1>
      <formula2>9.99999999999999E+35</formula2>
    </dataValidation>
    <dataValidation sqref="E188:AL191" showDropDown="0" showInputMessage="1" showErrorMessage="1" allowBlank="0" type="whole">
      <formula1>0</formula1>
      <formula2>9.99999999999999E+37</formula2>
    </dataValidation>
    <dataValidation sqref="AO31:AO36" showDropDown="0" showInputMessage="1" showErrorMessage="1" allowBlank="0" errorTitle="Error" error="Favor Ingrese sólo Números." operator="greaterThanOrEqual"/>
    <dataValidation sqref="AN15:AS15 AT20:AX20" showDropDown="0" showInputMessage="1" showErrorMessage="1" allowBlank="0" type="whole" operator="greaterThanOrEqual">
      <formula1>0</formula1>
    </dataValidation>
  </dataValidation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Hoja10">
    <outlinePr summaryBelow="1" summaryRight="1"/>
    <pageSetUpPr/>
  </sheetPr>
  <dimension ref="A1:EI385"/>
  <sheetViews>
    <sheetView showGridLines="0" topLeftCell="D1" zoomScaleNormal="100" workbookViewId="0">
      <selection activeCell="R16" sqref="R16"/>
    </sheetView>
  </sheetViews>
  <sheetFormatPr baseColWidth="10" defaultColWidth="11.42578125" defaultRowHeight="15"/>
  <cols>
    <col width="38.5703125" customWidth="1" style="8286" min="1" max="1"/>
    <col width="27.28515625" customWidth="1" style="8286" min="2" max="2"/>
    <col width="33.7109375" customWidth="1" style="8286" min="3" max="3"/>
    <col width="14.140625" customWidth="1" style="8286" min="4" max="4"/>
    <col width="13.28515625" customWidth="1" style="8286" min="5" max="6"/>
    <col width="14.42578125" customWidth="1" style="8286" min="7" max="7"/>
    <col width="13.28515625" customWidth="1" style="8286" min="8" max="8"/>
    <col width="14.7109375" customWidth="1" style="8286" min="9" max="11"/>
    <col width="11.42578125" customWidth="1" style="8286" min="12" max="13"/>
    <col width="11.7109375" customWidth="1" style="8286" min="14" max="14"/>
    <col width="11.42578125" customWidth="1" style="8286" min="15" max="40"/>
    <col width="12.42578125" customWidth="1" style="8286" min="41" max="41"/>
    <col width="12.140625" customWidth="1" style="8286" min="42" max="42"/>
    <col width="13.7109375" customWidth="1" style="8286" min="43" max="43"/>
    <col width="13.28515625" customWidth="1" style="8286" min="44" max="44"/>
    <col width="14.28515625" customWidth="1" style="8286" min="45" max="45"/>
    <col width="11.85546875" customWidth="1" style="8286" min="46" max="46"/>
    <col width="12" customWidth="1" style="8286" min="47" max="47"/>
    <col width="16.140625" customWidth="1" style="8286" min="48" max="48"/>
    <col width="13.140625" customWidth="1" style="8286" min="49" max="50"/>
    <col width="11.42578125" customWidth="1" style="8286" min="51" max="76"/>
    <col hidden="1" width="105.7109375" customWidth="1" style="8286" min="77" max="77"/>
    <col width="11.5703125" customWidth="1" style="8286" min="78" max="78"/>
    <col hidden="1" width="11.42578125" customWidth="1" style="20" min="79" max="104"/>
    <col hidden="1" width="11.42578125" customWidth="1" style="8286" min="105" max="109"/>
    <col width="11.42578125" customWidth="1" style="8286" min="110" max="121"/>
    <col width="10.140625" customWidth="1" style="8286" min="130" max="130"/>
    <col width="11.42578125" customWidth="1" style="8286" min="136" max="169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25">
        <f>CONCATENATE("AÑO: ",NOMBRE!B7)</f>
        <v/>
      </c>
    </row>
    <row r="6" ht="18" customFormat="1" customHeight="1" s="8337">
      <c r="A6" s="7780" t="inlineStr">
        <is>
          <t xml:space="preserve"> REM-A09. ATENCIÓN DE SALUD BUCAL EN LA RED ASISTENCIAL </t>
        </is>
      </c>
      <c r="Q6" s="907" t="n"/>
      <c r="R6" s="907" t="n"/>
      <c r="S6" s="907" t="n"/>
      <c r="T6" s="907" t="n"/>
      <c r="U6" s="907" t="n"/>
      <c r="V6" s="907" t="n"/>
      <c r="W6" s="907" t="n"/>
      <c r="X6" s="907" t="n"/>
      <c r="Y6" s="907" t="n"/>
      <c r="Z6" s="907" t="n"/>
      <c r="AA6" s="907" t="n"/>
      <c r="AB6" s="907" t="n"/>
      <c r="AC6" s="907" t="n"/>
      <c r="AD6" s="907" t="n"/>
      <c r="AE6" s="907" t="n"/>
      <c r="AF6" s="907" t="n"/>
      <c r="AG6" s="907" t="n"/>
      <c r="AH6" s="907" t="n"/>
      <c r="AI6" s="907" t="n"/>
      <c r="AJ6" s="907" t="n"/>
      <c r="AK6" s="907" t="n"/>
      <c r="AL6" s="907" t="n"/>
      <c r="AM6" s="907" t="n"/>
      <c r="AN6" s="907" t="n"/>
      <c r="AO6" s="907" t="n"/>
      <c r="AP6" s="907" t="n"/>
      <c r="AQ6" s="907" t="n"/>
      <c r="AR6" s="907" t="n"/>
      <c r="AS6" s="907" t="n"/>
      <c r="AT6" s="907" t="n"/>
      <c r="AU6" s="907" t="n"/>
      <c r="AV6" s="907" t="n"/>
      <c r="CA6" s="20" t="n"/>
      <c r="CB6" s="20" t="n"/>
      <c r="CC6" s="20" t="n"/>
      <c r="CD6" s="20" t="n"/>
      <c r="CE6" s="20" t="n"/>
      <c r="CF6" s="20" t="n"/>
      <c r="CG6" s="20" t="n"/>
      <c r="CH6" s="20" t="n"/>
      <c r="CI6" s="20" t="n"/>
      <c r="CJ6" s="20" t="n"/>
      <c r="CK6" s="20" t="n"/>
      <c r="CL6" s="20" t="n"/>
      <c r="CM6" s="20" t="n"/>
      <c r="CN6" s="20" t="n"/>
      <c r="CO6" s="20" t="n"/>
      <c r="CP6" s="20" t="n"/>
      <c r="CQ6" s="20" t="n"/>
      <c r="CR6" s="20" t="n"/>
      <c r="CS6" s="20" t="n"/>
      <c r="CT6" s="20" t="n"/>
      <c r="CU6" s="20" t="n"/>
      <c r="CV6" s="20" t="n"/>
      <c r="CW6" s="20" t="n"/>
      <c r="CX6" s="20" t="n"/>
      <c r="CY6" s="20" t="n"/>
      <c r="CZ6" s="20" t="n"/>
    </row>
    <row r="8" ht="18" customHeight="1" s="8286">
      <c r="A8" s="8744" t="inlineStr">
        <is>
          <t>SECCIÓN A: CONSULTAS Y CONTROLES DE ODONTOLOGÍA GENERAL EN  NIVEL PRIMARIO Y SECUNDARIO DE SALUD</t>
        </is>
      </c>
      <c r="B8" s="334" t="n"/>
      <c r="C8" s="334" t="n"/>
      <c r="D8" s="335" t="n"/>
      <c r="E8" s="335" t="n"/>
      <c r="F8" s="336" t="n"/>
      <c r="G8" s="8337" t="n"/>
      <c r="H8" s="336" t="n"/>
      <c r="I8" s="336" t="n"/>
      <c r="J8" s="336" t="n"/>
      <c r="K8" s="336" t="n"/>
      <c r="L8" s="336" t="n"/>
      <c r="M8" s="336" t="n"/>
      <c r="N8" s="336" t="n"/>
      <c r="O8" s="336" t="n"/>
      <c r="P8" s="8337" t="n"/>
      <c r="Q8" s="8" t="n"/>
      <c r="R8" s="8" t="n"/>
      <c r="S8" s="8" t="n"/>
      <c r="T8" s="8" t="n"/>
      <c r="U8" s="8" t="n"/>
      <c r="V8" s="8" t="n"/>
      <c r="W8" s="8" t="n"/>
      <c r="X8" s="8" t="n"/>
      <c r="Y8" s="8" t="n"/>
      <c r="Z8" s="8" t="n"/>
      <c r="AA8" s="8" t="n"/>
      <c r="AB8" s="8" t="n"/>
      <c r="AC8" s="8" t="n"/>
      <c r="AD8" s="8" t="n"/>
      <c r="AE8" s="8" t="n"/>
      <c r="AF8" s="8" t="n"/>
      <c r="AG8" s="8" t="n"/>
      <c r="AH8" s="217" t="n"/>
      <c r="AI8" s="217" t="n"/>
      <c r="AJ8" s="217" t="n"/>
      <c r="AK8" s="217" t="n"/>
      <c r="AL8" s="217" t="n"/>
      <c r="AM8" s="217" t="n"/>
      <c r="AN8" s="217" t="n"/>
      <c r="AO8" s="217" t="n"/>
      <c r="AP8" s="217" t="n"/>
      <c r="AQ8" s="217" t="n"/>
      <c r="AR8" s="217" t="n"/>
      <c r="AS8" s="217" t="n"/>
      <c r="AT8" s="217" t="n"/>
      <c r="AU8" s="217" t="n"/>
      <c r="AV8" s="217" t="n"/>
      <c r="AW8" s="217" t="n"/>
      <c r="AX8" s="8" t="n"/>
    </row>
    <row r="9" ht="15" customHeight="1" s="8286">
      <c r="A9" s="10199" t="inlineStr">
        <is>
          <t xml:space="preserve">ACTIVIDAD </t>
        </is>
      </c>
      <c r="B9" s="9602" t="n"/>
      <c r="C9" s="9630" t="n"/>
      <c r="D9" s="10005" t="inlineStr">
        <is>
          <t>TOTAL</t>
        </is>
      </c>
      <c r="E9" s="9602" t="n"/>
      <c r="F9" s="9630" t="n"/>
      <c r="G9" s="9976" t="inlineStr">
        <is>
          <t>RANGO ETARIO Y SEXO</t>
        </is>
      </c>
      <c r="H9" s="9584" t="n"/>
      <c r="I9" s="9584" t="n"/>
      <c r="J9" s="9584" t="n"/>
      <c r="K9" s="9584" t="n"/>
      <c r="L9" s="9584" t="n"/>
      <c r="M9" s="9584" t="n"/>
      <c r="N9" s="9584" t="n"/>
      <c r="O9" s="9584" t="n"/>
      <c r="P9" s="9584" t="n"/>
      <c r="Q9" s="9584" t="n"/>
      <c r="R9" s="9584" t="n"/>
      <c r="S9" s="9584" t="n"/>
      <c r="T9" s="9584" t="n"/>
      <c r="U9" s="9584" t="n"/>
      <c r="V9" s="9584" t="n"/>
      <c r="W9" s="9584" t="n"/>
      <c r="X9" s="9584" t="n"/>
      <c r="Y9" s="9584" t="n"/>
      <c r="Z9" s="9584" t="n"/>
      <c r="AA9" s="9584" t="n"/>
      <c r="AB9" s="9584" t="n"/>
      <c r="AC9" s="9584" t="n"/>
      <c r="AD9" s="9584" t="n"/>
      <c r="AE9" s="9584" t="n"/>
      <c r="AF9" s="9584" t="n"/>
      <c r="AG9" s="9584" t="n"/>
      <c r="AH9" s="9584" t="n"/>
      <c r="AI9" s="9584" t="n"/>
      <c r="AJ9" s="9584" t="n"/>
      <c r="AK9" s="9584" t="n"/>
      <c r="AL9" s="9584" t="n"/>
      <c r="AM9" s="9584" t="n"/>
      <c r="AN9" s="9584" t="n"/>
      <c r="AO9" s="9584" t="n"/>
      <c r="AP9" s="9595" t="n"/>
      <c r="AQ9" s="9980" t="inlineStr">
        <is>
          <t>12 años (incluido en el grupo de 10-14 años)</t>
        </is>
      </c>
      <c r="AR9" s="9981" t="inlineStr">
        <is>
          <t xml:space="preserve">Gestante </t>
        </is>
      </c>
      <c r="AS9" s="9981" t="inlineStr">
        <is>
          <t>60 años (incluido en grupos de 60-64 años)</t>
        </is>
      </c>
      <c r="AT9" s="9981" t="inlineStr">
        <is>
          <t>Usuarios con Discapacidad</t>
        </is>
      </c>
      <c r="AU9" s="9981" t="inlineStr">
        <is>
          <t>Migrantes</t>
        </is>
      </c>
      <c r="AV9" s="10200" t="inlineStr">
        <is>
          <t>Persona con ingreso integral y condición crónica</t>
        </is>
      </c>
      <c r="AW9" s="10201" t="inlineStr">
        <is>
          <t xml:space="preserve">SENAME/ Servicio Nacional de Reinserción social Juvenil </t>
        </is>
      </c>
      <c r="AX9" s="9920" t="inlineStr">
        <is>
          <t>Servicio Nacional Protección Especializada a la Niñez y Adolescencia</t>
        </is>
      </c>
    </row>
    <row r="10" ht="15" customHeight="1" s="8286">
      <c r="C10" s="9718" t="n"/>
      <c r="D10" s="9697" t="n"/>
      <c r="E10" s="9697" t="n"/>
      <c r="F10" s="9639" t="n"/>
      <c r="G10" s="10202" t="inlineStr">
        <is>
          <t>Menos de 1 año</t>
        </is>
      </c>
      <c r="H10" s="9647" t="n"/>
      <c r="I10" s="9240" t="inlineStr">
        <is>
          <t>1 año</t>
        </is>
      </c>
      <c r="J10" s="9647" t="n"/>
      <c r="K10" s="10203" t="inlineStr">
        <is>
          <t>2 años</t>
        </is>
      </c>
      <c r="L10" s="10191" t="n"/>
      <c r="M10" s="9240" t="inlineStr">
        <is>
          <t>3 años</t>
        </is>
      </c>
      <c r="N10" s="9647" t="n"/>
      <c r="O10" s="9240" t="inlineStr">
        <is>
          <t>4 años</t>
        </is>
      </c>
      <c r="P10" s="9647" t="n"/>
      <c r="Q10" s="9240" t="inlineStr">
        <is>
          <t>5 años</t>
        </is>
      </c>
      <c r="R10" s="9647" t="n"/>
      <c r="S10" s="9240" t="inlineStr">
        <is>
          <t>6 años</t>
        </is>
      </c>
      <c r="T10" s="9647" t="n"/>
      <c r="U10" s="9240" t="inlineStr">
        <is>
          <t>7 años</t>
        </is>
      </c>
      <c r="V10" s="9647" t="n"/>
      <c r="W10" s="9240" t="inlineStr">
        <is>
          <t>8-9 años</t>
        </is>
      </c>
      <c r="X10" s="9647" t="n"/>
      <c r="Y10" s="9240" t="inlineStr">
        <is>
          <t>10-14 años</t>
        </is>
      </c>
      <c r="Z10" s="9647" t="n"/>
      <c r="AA10" s="9240" t="inlineStr">
        <is>
          <t>15-19 años</t>
        </is>
      </c>
      <c r="AB10" s="9647" t="n"/>
      <c r="AC10" s="9240" t="inlineStr">
        <is>
          <t xml:space="preserve">20-29 años </t>
        </is>
      </c>
      <c r="AD10" s="9647" t="n"/>
      <c r="AE10" s="9240" t="inlineStr">
        <is>
          <t>30-39 años</t>
        </is>
      </c>
      <c r="AF10" s="9647" t="n"/>
      <c r="AG10" s="9240" t="inlineStr">
        <is>
          <t>40-49 años</t>
        </is>
      </c>
      <c r="AH10" s="9647" t="n"/>
      <c r="AI10" s="9240" t="inlineStr">
        <is>
          <t>50-59 años</t>
        </is>
      </c>
      <c r="AJ10" s="9647" t="n"/>
      <c r="AK10" s="9240" t="inlineStr">
        <is>
          <t>60-64 años</t>
        </is>
      </c>
      <c r="AL10" s="9647" t="n"/>
      <c r="AM10" s="9240" t="inlineStr">
        <is>
          <t>65-74 años</t>
        </is>
      </c>
      <c r="AN10" s="9647" t="n"/>
      <c r="AO10" s="9976" t="inlineStr">
        <is>
          <t>75 y más años</t>
        </is>
      </c>
      <c r="AP10" s="9595" t="n"/>
      <c r="AQ10" s="9683" t="n"/>
      <c r="AR10" s="10017" t="n"/>
      <c r="AS10" s="10017" t="n"/>
      <c r="AT10" s="10017" t="n"/>
      <c r="AU10" s="10017" t="n"/>
      <c r="AV10" s="10017" t="n"/>
      <c r="AW10" s="9851" t="n"/>
      <c r="AX10" s="9625" t="n"/>
    </row>
    <row r="11" ht="36.75" customHeight="1" s="8286">
      <c r="A11" s="9697" t="n"/>
      <c r="B11" s="9697" t="n"/>
      <c r="C11" s="9639" t="n"/>
      <c r="D11" s="2695" t="inlineStr">
        <is>
          <t>Ambos Sexos</t>
        </is>
      </c>
      <c r="E11" s="2696" t="inlineStr">
        <is>
          <t>Hombres</t>
        </is>
      </c>
      <c r="F11" s="8299" t="inlineStr">
        <is>
          <t>Mujeres</t>
        </is>
      </c>
      <c r="G11" s="8471" t="inlineStr">
        <is>
          <t>Hombres</t>
        </is>
      </c>
      <c r="H11" s="8299" t="inlineStr">
        <is>
          <t>Mujeres</t>
        </is>
      </c>
      <c r="I11" s="8471" t="inlineStr">
        <is>
          <t>Hombres</t>
        </is>
      </c>
      <c r="J11" s="8299" t="inlineStr">
        <is>
          <t>Mujeres</t>
        </is>
      </c>
      <c r="K11" s="8471" t="inlineStr">
        <is>
          <t>Hombres</t>
        </is>
      </c>
      <c r="L11" s="8299" t="inlineStr">
        <is>
          <t>Mujeres</t>
        </is>
      </c>
      <c r="M11" s="8471" t="inlineStr">
        <is>
          <t>Hombres</t>
        </is>
      </c>
      <c r="N11" s="8299" t="inlineStr">
        <is>
          <t>Mujeres</t>
        </is>
      </c>
      <c r="O11" s="8471" t="inlineStr">
        <is>
          <t>Hombres</t>
        </is>
      </c>
      <c r="P11" s="8299" t="inlineStr">
        <is>
          <t>Mujeres</t>
        </is>
      </c>
      <c r="Q11" s="8471" t="inlineStr">
        <is>
          <t>Hombres</t>
        </is>
      </c>
      <c r="R11" s="8299" t="inlineStr">
        <is>
          <t>Mujeres</t>
        </is>
      </c>
      <c r="S11" s="8471" t="inlineStr">
        <is>
          <t>Hombres</t>
        </is>
      </c>
      <c r="T11" s="8299" t="inlineStr">
        <is>
          <t>Mujeres</t>
        </is>
      </c>
      <c r="U11" s="8471" t="inlineStr">
        <is>
          <t>Hombres</t>
        </is>
      </c>
      <c r="V11" s="8299" t="inlineStr">
        <is>
          <t>Mujeres</t>
        </is>
      </c>
      <c r="W11" s="8471" t="inlineStr">
        <is>
          <t>Hombres</t>
        </is>
      </c>
      <c r="X11" s="8299" t="inlineStr">
        <is>
          <t>Mujeres</t>
        </is>
      </c>
      <c r="Y11" s="8471" t="inlineStr">
        <is>
          <t>Hombres</t>
        </is>
      </c>
      <c r="Z11" s="8299" t="inlineStr">
        <is>
          <t>Mujeres</t>
        </is>
      </c>
      <c r="AA11" s="8471" t="inlineStr">
        <is>
          <t>Hombres</t>
        </is>
      </c>
      <c r="AB11" s="8299" t="inlineStr">
        <is>
          <t>Mujeres</t>
        </is>
      </c>
      <c r="AC11" s="8471" t="inlineStr">
        <is>
          <t>Hombres</t>
        </is>
      </c>
      <c r="AD11" s="8299" t="inlineStr">
        <is>
          <t>Mujeres</t>
        </is>
      </c>
      <c r="AE11" s="8471" t="inlineStr">
        <is>
          <t>Hombres</t>
        </is>
      </c>
      <c r="AF11" s="8299" t="inlineStr">
        <is>
          <t>Mujeres</t>
        </is>
      </c>
      <c r="AG11" s="8471" t="inlineStr">
        <is>
          <t>Hombres</t>
        </is>
      </c>
      <c r="AH11" s="8299" t="inlineStr">
        <is>
          <t>Mujeres</t>
        </is>
      </c>
      <c r="AI11" s="8471" t="inlineStr">
        <is>
          <t>Hombres</t>
        </is>
      </c>
      <c r="AJ11" s="8299" t="inlineStr">
        <is>
          <t>Mujeres</t>
        </is>
      </c>
      <c r="AK11" s="8471" t="inlineStr">
        <is>
          <t>Hombres</t>
        </is>
      </c>
      <c r="AL11" s="8299" t="inlineStr">
        <is>
          <t>Mujeres</t>
        </is>
      </c>
      <c r="AM11" s="8471" t="inlineStr">
        <is>
          <t>Hombres</t>
        </is>
      </c>
      <c r="AN11" s="8299" t="inlineStr">
        <is>
          <t>Mujeres</t>
        </is>
      </c>
      <c r="AO11" s="8471" t="inlineStr">
        <is>
          <t>Hombres</t>
        </is>
      </c>
      <c r="AP11" s="8290" t="inlineStr">
        <is>
          <t>Mujeres</t>
        </is>
      </c>
      <c r="AQ11" s="9604" t="n"/>
      <c r="AR11" s="9912" t="n"/>
      <c r="AS11" s="9912" t="n"/>
      <c r="AT11" s="9912" t="n"/>
      <c r="AU11" s="9912" t="n"/>
      <c r="AV11" s="9912" t="n"/>
      <c r="AW11" s="9854" t="n"/>
      <c r="AX11" s="9641" t="n"/>
    </row>
    <row r="12" ht="15" customHeight="1" s="8286">
      <c r="A12" s="10204" t="inlineStr">
        <is>
          <t xml:space="preserve">Consulta de Morbilidad </t>
        </is>
      </c>
      <c r="B12" s="10205" t="n"/>
      <c r="C12" s="10206" t="n"/>
      <c r="D12" s="1978">
        <f>SUM(E12+F12)</f>
        <v/>
      </c>
      <c r="E12" s="1997">
        <f>SUM(G12+I12+K12+M12+O12+Q12+S12+U12+W12+Y12+AA12+AC12+AE12+AG12+AI12+AK12+AM12+AO12)</f>
        <v/>
      </c>
      <c r="F12" s="752">
        <f>SUM(H12+J12+L12+N12+P12+R12+T12+V12+X12+Z12+AB12+AD12+AF12+AH12+AJ12+AL12+AN12+AP12)</f>
        <v/>
      </c>
      <c r="G12" s="1935" t="n">
        <v>1</v>
      </c>
      <c r="H12" s="1186" t="n">
        <v>0</v>
      </c>
      <c r="I12" s="1935" t="n">
        <v>0</v>
      </c>
      <c r="J12" s="1186" t="n">
        <v>0</v>
      </c>
      <c r="K12" s="1935" t="n">
        <v>0</v>
      </c>
      <c r="L12" s="1186" t="n">
        <v>2</v>
      </c>
      <c r="M12" s="1935" t="n">
        <v>3</v>
      </c>
      <c r="N12" s="1186" t="n">
        <v>6</v>
      </c>
      <c r="O12" s="1935" t="n">
        <v>6</v>
      </c>
      <c r="P12" s="1186" t="n">
        <v>8</v>
      </c>
      <c r="Q12" s="1935" t="n">
        <v>8</v>
      </c>
      <c r="R12" s="755" t="n">
        <v>13</v>
      </c>
      <c r="S12" s="1935" t="n">
        <v>3</v>
      </c>
      <c r="T12" s="755" t="n">
        <v>11</v>
      </c>
      <c r="U12" s="1935" t="n">
        <v>8</v>
      </c>
      <c r="V12" s="755" t="n">
        <v>6</v>
      </c>
      <c r="W12" s="1935" t="n">
        <v>26</v>
      </c>
      <c r="X12" s="755" t="n">
        <v>21</v>
      </c>
      <c r="Y12" s="1935" t="n">
        <v>28</v>
      </c>
      <c r="Z12" s="755" t="n">
        <v>24</v>
      </c>
      <c r="AA12" s="1935" t="n">
        <v>28</v>
      </c>
      <c r="AB12" s="755" t="n">
        <v>41</v>
      </c>
      <c r="AC12" s="1935" t="n">
        <v>23</v>
      </c>
      <c r="AD12" s="755" t="n">
        <v>74</v>
      </c>
      <c r="AE12" s="1935" t="n">
        <v>24</v>
      </c>
      <c r="AF12" s="755" t="n">
        <v>88</v>
      </c>
      <c r="AG12" s="1935" t="n">
        <v>19</v>
      </c>
      <c r="AH12" s="755" t="n">
        <v>58</v>
      </c>
      <c r="AI12" s="1935" t="n">
        <v>38</v>
      </c>
      <c r="AJ12" s="755" t="n">
        <v>76</v>
      </c>
      <c r="AK12" s="1935" t="n">
        <v>30</v>
      </c>
      <c r="AL12" s="755" t="n">
        <v>62</v>
      </c>
      <c r="AM12" s="1935" t="n">
        <v>38</v>
      </c>
      <c r="AN12" s="755" t="n">
        <v>58</v>
      </c>
      <c r="AO12" s="1935" t="n">
        <v>9</v>
      </c>
      <c r="AP12" s="792" t="n">
        <v>15</v>
      </c>
      <c r="AQ12" s="1966" t="n">
        <v>14</v>
      </c>
      <c r="AR12" s="793" t="n">
        <v>19</v>
      </c>
      <c r="AS12" s="793" t="n">
        <v>25</v>
      </c>
      <c r="AT12" s="793" t="n">
        <v>2</v>
      </c>
      <c r="AU12" s="793" t="n">
        <v>27</v>
      </c>
      <c r="AV12" s="793" t="n">
        <v>3</v>
      </c>
      <c r="AW12" s="2699" t="n">
        <v>4</v>
      </c>
      <c r="AX12" s="1186" t="n">
        <v>11</v>
      </c>
      <c r="AY12">
        <f>CA12&amp;CB12&amp;CC12&amp;CD12&amp;CE12&amp;CF12&amp;CG12&amp;CH12</f>
        <v/>
      </c>
      <c r="CA12" s="196">
        <f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>
        <f>IF(AND($F12&gt;0,AR12="")," *No olvide digitar la variable Gestante. Digite cero si no tiene.",IF(AR12&gt;$F12," *La variable Gestante NO DEBE ser mayor al Total de Mujeres. ",""))</f>
        <v/>
      </c>
      <c r="CC12" s="196">
        <f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>
        <f>IF(AND(D12&gt;0,AT12="")," *No olvide digitar la variable Usuarios con Discapacidad. Digite Cero si no tiene.",IF(AT12&gt;D12," *La variable Usuarios con Discapacidad No puede ser mayor al Total Ambos Sexos.",""))</f>
        <v/>
      </c>
      <c r="CE12" s="196">
        <f>IF(AND(D12&gt;0,AU12="")," *No olvide digitar la variable Migrantes. Digite Cero si no tiene.",IF(AU12&gt;$D12," *La variable Migrantes No puede ser mayor al Total Ambos Sexos.",""))</f>
        <v/>
      </c>
      <c r="CF12" s="196">
        <f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>
        <f>IF(AND(D12&gt;0,AW12="")," * No olvide digitar la variable "&amp;AW$9&amp;". Digite Cero si no tiene.",IF(AW12&gt;D12," * La variable "&amp;AW$9&amp;" No puede ser mayor al Total Ambos Sexos.",""))</f>
        <v/>
      </c>
      <c r="CH12" s="196">
        <f>IF(AND($D12&gt;0,AX12="")," * No olvide digitar la variable "&amp;AX$9&amp;". Digite Cero si no tiene.",IF(AX12&gt;$D12," * La variable "&amp;AX$9&amp;" no puede ser mayor al Total Ambos Sexos.",""))</f>
        <v/>
      </c>
      <c r="CO12" s="197">
        <f>IF(AND((Y12+Z12)&gt;0,AQ12=""),1,IF(AQ12&gt;(Y12+Z12),1,0))</f>
        <v/>
      </c>
      <c r="CP12" s="197">
        <f>IF(AND($F12&gt;0,AR12=""),1,IF(AR12&gt;$F12,1,0))</f>
        <v/>
      </c>
      <c r="CQ12" s="197">
        <f>IF(AND((AK12+AL12)&gt;0,AS12=""),1,IF(AS12&gt;(AK12+AL12),1,0))</f>
        <v/>
      </c>
      <c r="CR12" s="197">
        <f>IF(AND($D12&gt;0,AT12=""),1,IF(AT12&gt;$D12,1,0))</f>
        <v/>
      </c>
      <c r="CS12" s="197">
        <f>IF(AND($D12&gt;0,AU12=""),1,IF(AU12&gt;$D12,1,0))</f>
        <v/>
      </c>
      <c r="CT12" s="197">
        <f>IF(AND($D12&gt;0,AV12=""),1,IF(AV12&gt;$D12,1,0))</f>
        <v/>
      </c>
      <c r="CU12" s="197">
        <f>IF(AND($D12&gt;0,AW12=""),1,IF(AW12&gt;$D12,1,0))</f>
        <v/>
      </c>
      <c r="CV12" s="197">
        <f>IF(AND(D12&gt;0,AX12=""),1,IF(AX12&gt;D12,1,0))</f>
        <v/>
      </c>
    </row>
    <row r="13" ht="15" customHeight="1" s="8286">
      <c r="A13" s="10207" t="inlineStr">
        <is>
          <t xml:space="preserve">Control Odontológico </t>
        </is>
      </c>
      <c r="B13" s="10208" t="n"/>
      <c r="C13" s="9644" t="n"/>
      <c r="D13" s="1485">
        <f>SUM(E13+F13)</f>
        <v/>
      </c>
      <c r="E13" s="1486">
        <f>SUM(G13+I13+K13+M13+O13+Q13+S13+U13+W13+Y13+AA13+AC13+AE13+AG13+AI13+AK13+AM13+AO13)</f>
        <v/>
      </c>
      <c r="F13" s="894">
        <f>SUM(H13+J13+L13+N13+P13+R13+T13+V13+X13+Z13+AB13+AD13+AF13+AH13+AJ13+AL13+AN13+AP13)</f>
        <v/>
      </c>
      <c r="G13" s="1172" t="n">
        <v>6</v>
      </c>
      <c r="H13" s="1173" t="n">
        <v>4</v>
      </c>
      <c r="I13" s="1172" t="n">
        <v>32</v>
      </c>
      <c r="J13" s="1173" t="n">
        <v>18</v>
      </c>
      <c r="K13" s="1172" t="n">
        <v>16</v>
      </c>
      <c r="L13" s="1173" t="n">
        <v>18</v>
      </c>
      <c r="M13" s="1172" t="n">
        <v>11</v>
      </c>
      <c r="N13" s="1173" t="n">
        <v>14</v>
      </c>
      <c r="O13" s="1172" t="n">
        <v>7</v>
      </c>
      <c r="P13" s="1173" t="n">
        <v>16</v>
      </c>
      <c r="Q13" s="1172" t="n">
        <v>18</v>
      </c>
      <c r="R13" s="886" t="n">
        <v>17</v>
      </c>
      <c r="S13" s="1172" t="n">
        <v>14</v>
      </c>
      <c r="T13" s="886" t="n">
        <v>18</v>
      </c>
      <c r="U13" s="1172" t="n">
        <v>14</v>
      </c>
      <c r="V13" s="886" t="n">
        <v>18</v>
      </c>
      <c r="W13" s="1172" t="n">
        <v>39</v>
      </c>
      <c r="X13" s="886" t="n">
        <v>38</v>
      </c>
      <c r="Y13" s="1172" t="n">
        <v>54</v>
      </c>
      <c r="Z13" s="886" t="n">
        <v>65</v>
      </c>
      <c r="AA13" s="1172" t="n">
        <v>40</v>
      </c>
      <c r="AB13" s="886" t="n">
        <v>59</v>
      </c>
      <c r="AC13" s="1172" t="n">
        <v>6</v>
      </c>
      <c r="AD13" s="886" t="n">
        <v>38</v>
      </c>
      <c r="AE13" s="1172" t="n">
        <v>6</v>
      </c>
      <c r="AF13" s="886" t="n">
        <v>27</v>
      </c>
      <c r="AG13" s="1172" t="n">
        <v>1</v>
      </c>
      <c r="AH13" s="886" t="n">
        <v>8</v>
      </c>
      <c r="AI13" s="1172" t="n">
        <v>4</v>
      </c>
      <c r="AJ13" s="886" t="n">
        <v>9</v>
      </c>
      <c r="AK13" s="1172" t="n">
        <v>5</v>
      </c>
      <c r="AL13" s="886" t="n">
        <v>7</v>
      </c>
      <c r="AM13" s="1172" t="n">
        <v>1</v>
      </c>
      <c r="AN13" s="886" t="n">
        <v>4</v>
      </c>
      <c r="AO13" s="1172" t="n">
        <v>1</v>
      </c>
      <c r="AP13" s="1929" t="n">
        <v>1</v>
      </c>
      <c r="AQ13" s="887" t="n">
        <v>29</v>
      </c>
      <c r="AR13" s="2001" t="n">
        <v>31</v>
      </c>
      <c r="AS13" s="2001" t="n">
        <v>7</v>
      </c>
      <c r="AT13" s="2001" t="n">
        <v>0</v>
      </c>
      <c r="AU13" s="2001" t="n">
        <v>17</v>
      </c>
      <c r="AV13" s="2001" t="n">
        <v>1</v>
      </c>
      <c r="AW13" s="2495" t="n">
        <v>10</v>
      </c>
      <c r="AX13" s="1173" t="n">
        <v>13</v>
      </c>
      <c r="AY13">
        <f>CA13&amp;CB13&amp;CC13&amp;CD13&amp;CE13&amp;CF13&amp;CG13&amp;CH13</f>
        <v/>
      </c>
      <c r="CA13" s="196">
        <f>IF(AND((Y13+Z13)&gt;0,AQ13="")," * No olvide digitar la variable 12 años (incluido en el grupo de 10-14 años). Digite Cero si no tiene.",IF(AQ13&gt;(Y13+Z13)," *Las Consultas de 12 años (incluido en el grupo de 10-14 años) NO DEBEN ser mayor que la sumatoria de Consultas entre 10-14 años",""))</f>
        <v/>
      </c>
      <c r="CB13" s="196">
        <f>IF(AND($F13&gt;0,AR13="")," *No olvide digitar la variable Gestante. Digite cero si no tiene.",IF(AR13&gt;$F13," *La variable Gestante NO DEBE ser mayor al Total de Mujeres. ",""))</f>
        <v/>
      </c>
      <c r="CC13" s="196">
        <f>IF(AND((AK13+AL13)&gt;0,AS13="")," *No olvide digitar la variable 60 años (incluido en grupos de 60-64 años). Digite Cero si no tiene.",IF(AS13&gt;(AK13+AL13)," *La variable 60 años (incluido en grupos de 60-64 años) NO DEBE ser mayor que la sumatoria de consultas del grupo 60-64 años",""))</f>
        <v/>
      </c>
      <c r="CD13" s="196">
        <f>IF(AND(D13&gt;0,AT13="")," *No olvide digitar la variable Usuarios con Discapacidad. Digite Cero si no tiene.",IF(AT13&gt;D13," *La variable Usuarios con Discapacidad No puede ser mayor al Total Ambos Sexos.",""))</f>
        <v/>
      </c>
      <c r="CE13" s="196">
        <f>IF(AND(D13&gt;0,AU13="")," *No olvide digitar la variable Migrantes. Digite Cero si no tiene.",IF(AU13&gt;$D13," *La variable Migrantes No puede ser mayor al Total Ambos Sexos.",""))</f>
        <v/>
      </c>
      <c r="CF13" s="196">
        <f>IF(AND($D13&gt;0,AV13="")," *No olvide digitar la variable Persona con ingreso integral y condición crónica. Digite Cero si no tiene.",IF(AV13&gt;$D13," *La variable Persona con ingreso integral y condición crónica No puede ser mayor al Total Ambos Sexos.",""))</f>
        <v/>
      </c>
      <c r="CG13" s="196">
        <f>IF(AND(D13&gt;0,AW13="")," * No olvide digitar la variable "&amp;AW$9&amp;". Digite Cero si no tiene.",IF(AW13&gt;D13," * La variable "&amp;AW$9&amp;" No puede ser mayor al Total Ambos Sexos.",""))</f>
        <v/>
      </c>
      <c r="CH13" s="196">
        <f>IF(AND($D13&gt;0,AX13="")," * No olvide digitar la variable "&amp;AX$9&amp;". Digite Cero si no tiene.",IF(AX13&gt;$D13," * La variable "&amp;AX$9&amp;" no puede ser mayor al Total Ambos Sexos.",""))</f>
        <v/>
      </c>
      <c r="CO13" s="197">
        <f>IF(AND((Y13+Z13)&gt;0,AQ13=""),1,IF(AQ13&gt;(Y13+Z13),1,0))</f>
        <v/>
      </c>
      <c r="CP13" s="197">
        <f>IF(AND($F13&gt;0,AR13=""),1,IF(AR13&gt;$F13,1,0))</f>
        <v/>
      </c>
      <c r="CQ13" s="197">
        <f>IF(AND((AK13+AL13)&gt;0,AS13=""),1,IF(AS13&gt;(AK13+AL13),1,0))</f>
        <v/>
      </c>
      <c r="CR13" s="197">
        <f>IF(AND($D13&gt;0,AT13=""),1,IF(AT13&gt;$D13,1,0))</f>
        <v/>
      </c>
      <c r="CS13" s="197">
        <f>IF(AND($D13&gt;0,AU13=""),1,IF(AU13&gt;$D13,1,0))</f>
        <v/>
      </c>
      <c r="CT13" s="197">
        <f>IF(AND($D13&gt;0,AV13=""),1,IF(AV13&gt;$D13,1,0))</f>
        <v/>
      </c>
      <c r="CU13" s="197">
        <f>IF(AND($D13&gt;0,AW13=""),1,IF(AW13&gt;$D13,1,0))</f>
        <v/>
      </c>
      <c r="CV13" s="197">
        <f>IF(AND(D13&gt;0,AX13=""),1,IF(AX13&gt;D13,1,0))</f>
        <v/>
      </c>
    </row>
    <row r="14" ht="15" customHeight="1" s="8286">
      <c r="A14" s="10207" t="inlineStr">
        <is>
          <t>Consulta de urgencia (GES)</t>
        </is>
      </c>
      <c r="B14" s="10208" t="n"/>
      <c r="C14" s="9644" t="n"/>
      <c r="D14" s="1485">
        <f>SUM(E14+F14)</f>
        <v/>
      </c>
      <c r="E14" s="1486">
        <f>SUM(G14+I14+K14+M14+O14+Q14+S14+U14+W14+Y14+AA14+AC14+AE14+AG14+AI14+AK14+AM14+AO14)</f>
        <v/>
      </c>
      <c r="F14" s="894">
        <f>SUM(H14+J14+L14+N14+P14+R14+T14+V14+X14+Z14+AB14+AD14+AF14+AH14+AJ14+AL14+AN14+AP14)</f>
        <v/>
      </c>
      <c r="G14" s="1172" t="n">
        <v>0</v>
      </c>
      <c r="H14" s="1173" t="n">
        <v>0</v>
      </c>
      <c r="I14" s="1172" t="n">
        <v>0</v>
      </c>
      <c r="J14" s="1173" t="n">
        <v>0</v>
      </c>
      <c r="K14" s="1172" t="n">
        <v>0</v>
      </c>
      <c r="L14" s="1173" t="n">
        <v>0</v>
      </c>
      <c r="M14" s="1172" t="n">
        <v>0</v>
      </c>
      <c r="N14" s="886" t="n">
        <v>0</v>
      </c>
      <c r="O14" s="1172" t="n">
        <v>1</v>
      </c>
      <c r="P14" s="886" t="n">
        <v>0</v>
      </c>
      <c r="Q14" s="1172" t="n">
        <v>0</v>
      </c>
      <c r="R14" s="886" t="n">
        <v>0</v>
      </c>
      <c r="S14" s="1172" t="n">
        <v>1</v>
      </c>
      <c r="T14" s="886" t="n">
        <v>0</v>
      </c>
      <c r="U14" s="1172" t="n">
        <v>0</v>
      </c>
      <c r="V14" s="886" t="n">
        <v>0</v>
      </c>
      <c r="W14" s="1172" t="n">
        <v>0</v>
      </c>
      <c r="X14" s="886" t="n">
        <v>0</v>
      </c>
      <c r="Y14" s="1172" t="n">
        <v>0</v>
      </c>
      <c r="Z14" s="886" t="n">
        <v>0</v>
      </c>
      <c r="AA14" s="1172" t="n">
        <v>0</v>
      </c>
      <c r="AB14" s="886" t="n">
        <v>2</v>
      </c>
      <c r="AC14" s="1172" t="n">
        <v>4</v>
      </c>
      <c r="AD14" s="886" t="n">
        <v>4</v>
      </c>
      <c r="AE14" s="1172" t="n">
        <v>1</v>
      </c>
      <c r="AF14" s="886" t="n">
        <v>6</v>
      </c>
      <c r="AG14" s="1172" t="n">
        <v>1</v>
      </c>
      <c r="AH14" s="886" t="n">
        <v>0</v>
      </c>
      <c r="AI14" s="1172" t="n">
        <v>1</v>
      </c>
      <c r="AJ14" s="886" t="n">
        <v>2</v>
      </c>
      <c r="AK14" s="1172" t="n">
        <v>1</v>
      </c>
      <c r="AL14" s="886" t="n">
        <v>1</v>
      </c>
      <c r="AM14" s="1172" t="n">
        <v>1</v>
      </c>
      <c r="AN14" s="886" t="n">
        <v>1</v>
      </c>
      <c r="AO14" s="1172" t="n">
        <v>0</v>
      </c>
      <c r="AP14" s="1929" t="n">
        <v>0</v>
      </c>
      <c r="AQ14" s="887" t="n">
        <v>0</v>
      </c>
      <c r="AR14" s="2001" t="n">
        <v>1</v>
      </c>
      <c r="AS14" s="2001" t="n">
        <v>2</v>
      </c>
      <c r="AT14" s="2001" t="n">
        <v>0</v>
      </c>
      <c r="AU14" s="2001" t="n">
        <v>4</v>
      </c>
      <c r="AV14" s="2001" t="n">
        <v>0</v>
      </c>
      <c r="AW14" s="2495" t="n">
        <v>0</v>
      </c>
      <c r="AX14" s="1173" t="n">
        <v>0</v>
      </c>
      <c r="AY14">
        <f>CA14&amp;CB14&amp;CC14&amp;CD14&amp;CE14&amp;CF14&amp;CG14&amp;CH14</f>
        <v/>
      </c>
      <c r="CA14" s="196">
        <f>IF(AND((Y14+Z14)&gt;0,AQ14="")," * No olvide digitar la variable 12 años (incluido en el grupo de 10-14 años). Digite Cero si no tiene.",IF(AQ14&gt;(Y14+Z14)," *Las Consultas de 12 años (incluido en el grupo de 10-14 años) NO DEBEN ser mayor que la sumatoria de Consultas entre 10-14 años",""))</f>
        <v/>
      </c>
      <c r="CB14" s="196">
        <f>IF(AND($F14&gt;0,AR14="")," *No olvide digitar la variable Gestante. Digite cero si no tiene.",IF(AR14&gt;$F14," *La variable Gestante NO DEBE ser mayor al Total de Mujeres. ",""))</f>
        <v/>
      </c>
      <c r="CC14" s="196">
        <f>IF(AND((AK14+AL14)&gt;0,AS14="")," *No olvide digitar la variable 60 años (incluido en grupos de 60-64 años). Digite Cero si no tiene.",IF(AS14&gt;(AK14+AL14)," *La variable 60 años (incluido en grupos de 60-64 años) NO DEBE ser mayor que la sumatoria de consultas del grupo 60-64 años",""))</f>
        <v/>
      </c>
      <c r="CD14" s="196">
        <f>IF(AND(D14&gt;0,AT14="")," *No olvide digitar la variable Usuarios con Discapacidad. Digite Cero si no tiene.",IF(AT14&gt;D14," *La variable Usuarios con Discapacidad No puede ser mayor al Total Ambos Sexos.",""))</f>
        <v/>
      </c>
      <c r="CE14" s="196">
        <f>IF(AND(D14&gt;0,AU14="")," *No olvide digitar la variable Migrantes. Digite Cero si no tiene.",IF(AU14&gt;$D14," *La variable Migrantes No puede ser mayor al Total Ambos Sexos.",""))</f>
        <v/>
      </c>
      <c r="CF14" s="196">
        <f>IF(AND($D14&gt;0,AV14="")," *No olvide digitar la variable Persona con ingreso integral y condición crónica. Digite Cero si no tiene.",IF(AV14&gt;$D14," *La variable Persona con ingreso integral y condición crónica No puede ser mayor al Total Ambos Sexos.",""))</f>
        <v/>
      </c>
      <c r="CG14" s="196">
        <f>IF(AND(D14&gt;0,AW14="")," * No olvide digitar la variable "&amp;AW$9&amp;". Digite Cero si no tiene.",IF(AW14&gt;D14," * La variable "&amp;AW$9&amp;" No puede ser mayor al Total Ambos Sexos.",""))</f>
        <v/>
      </c>
      <c r="CH14" s="196">
        <f>IF(AND($D14&gt;0,AX14="")," * No olvide digitar la variable "&amp;AX$9&amp;". Digite Cero si no tiene.",IF(AX14&gt;$D14," * La variable "&amp;AX$9&amp;" no puede ser mayor al Total Ambos Sexos.",""))</f>
        <v/>
      </c>
      <c r="CO14" s="197">
        <f>IF(AND((Y14+Z14)&gt;0,AQ14=""),1,IF(AQ14&gt;(Y14+Z14),1,0))</f>
        <v/>
      </c>
      <c r="CP14" s="197">
        <f>IF(AND($F14&gt;0,AR14=""),1,IF(AR14&gt;$F14,1,0))</f>
        <v/>
      </c>
      <c r="CQ14" s="197">
        <f>IF(AND((AK14+AL14)&gt;0,AS14=""),1,IF(AS14&gt;(AK14+AL14),1,0))</f>
        <v/>
      </c>
      <c r="CR14" s="197">
        <f>IF(AND($D14&gt;0,AT14=""),1,IF(AT14&gt;$D14,1,0))</f>
        <v/>
      </c>
      <c r="CS14" s="197">
        <f>IF(AND($D14&gt;0,AU14=""),1,IF(AU14&gt;$D14,1,0))</f>
        <v/>
      </c>
      <c r="CT14" s="197">
        <f>IF(AND($D14&gt;0,AV14=""),1,IF(AV14&gt;$D14,1,0))</f>
        <v/>
      </c>
      <c r="CU14" s="197">
        <f>IF(AND($D14&gt;0,AW14=""),1,IF(AW14&gt;$D14,1,0))</f>
        <v/>
      </c>
      <c r="CV14" s="197">
        <f>IF(AND(D14&gt;0,AX14=""),1,IF(AX14&gt;D14,1,0))</f>
        <v/>
      </c>
    </row>
    <row r="15" ht="15" customHeight="1" s="8286">
      <c r="A15" s="10207" t="inlineStr">
        <is>
          <t>Inasistencia a consulta</t>
        </is>
      </c>
      <c r="B15" s="10208" t="n"/>
      <c r="C15" s="9644" t="n"/>
      <c r="D15" s="1485">
        <f>SUM(E15+F15)</f>
        <v/>
      </c>
      <c r="E15" s="1486">
        <f>SUM(G15+I15+K15+M15+O15+Q15+S15+U15+W15+Y15+AA15+AC15+AE15+AG15+AI15+AK15+AM15+AO15)</f>
        <v/>
      </c>
      <c r="F15" s="894">
        <f>SUM(H15+J15+L15+N15+P15+R15+T15+V15+X15+Z15+AB15+AD15+AF15+AH15+AJ15+AL15+AN15+AP15)</f>
        <v/>
      </c>
      <c r="G15" s="1172" t="n">
        <v>3</v>
      </c>
      <c r="H15" s="1173" t="n">
        <v>4</v>
      </c>
      <c r="I15" s="1172" t="n">
        <v>8</v>
      </c>
      <c r="J15" s="1173" t="n">
        <v>7</v>
      </c>
      <c r="K15" s="1172" t="n">
        <v>7</v>
      </c>
      <c r="L15" s="1173" t="n">
        <v>6</v>
      </c>
      <c r="M15" s="1172" t="n">
        <v>10</v>
      </c>
      <c r="N15" s="886" t="n">
        <v>8</v>
      </c>
      <c r="O15" s="1172" t="n">
        <v>2</v>
      </c>
      <c r="P15" s="886" t="n">
        <v>8</v>
      </c>
      <c r="Q15" s="1172" t="n">
        <v>9</v>
      </c>
      <c r="R15" s="886" t="n">
        <v>11</v>
      </c>
      <c r="S15" s="1172" t="n">
        <v>10</v>
      </c>
      <c r="T15" s="886" t="n">
        <v>12</v>
      </c>
      <c r="U15" s="1172" t="n">
        <v>3</v>
      </c>
      <c r="V15" s="886" t="n">
        <v>6</v>
      </c>
      <c r="W15" s="1172" t="n">
        <v>16</v>
      </c>
      <c r="X15" s="886" t="n">
        <v>19</v>
      </c>
      <c r="Y15" s="1172" t="n">
        <v>22</v>
      </c>
      <c r="Z15" s="886" t="n">
        <v>25</v>
      </c>
      <c r="AA15" s="1172" t="n">
        <v>15</v>
      </c>
      <c r="AB15" s="886" t="n">
        <v>22</v>
      </c>
      <c r="AC15" s="1172" t="n">
        <v>4</v>
      </c>
      <c r="AD15" s="886" t="n">
        <v>34</v>
      </c>
      <c r="AE15" s="1172" t="n">
        <v>8</v>
      </c>
      <c r="AF15" s="886" t="n">
        <v>43</v>
      </c>
      <c r="AG15" s="1172" t="n">
        <v>8</v>
      </c>
      <c r="AH15" s="886" t="n">
        <v>20</v>
      </c>
      <c r="AI15" s="1172" t="n">
        <v>5</v>
      </c>
      <c r="AJ15" s="886" t="n">
        <v>18</v>
      </c>
      <c r="AK15" s="1172" t="n">
        <v>0</v>
      </c>
      <c r="AL15" s="886" t="n">
        <v>7</v>
      </c>
      <c r="AM15" s="1172" t="n">
        <v>0</v>
      </c>
      <c r="AN15" s="886" t="n">
        <v>5</v>
      </c>
      <c r="AO15" s="1172" t="n">
        <v>1</v>
      </c>
      <c r="AP15" s="1929" t="n">
        <v>1</v>
      </c>
      <c r="AQ15" s="887" t="n">
        <v>9</v>
      </c>
      <c r="AR15" s="2001" t="n">
        <v>4</v>
      </c>
      <c r="AS15" s="2001" t="n">
        <v>2</v>
      </c>
      <c r="AT15" s="2001" t="n">
        <v>0</v>
      </c>
      <c r="AU15" s="2001" t="n">
        <v>1</v>
      </c>
      <c r="AV15" s="2001" t="n">
        <v>1</v>
      </c>
      <c r="AW15" s="2495" t="n">
        <v>0</v>
      </c>
      <c r="AX15" s="1173" t="n">
        <v>0</v>
      </c>
      <c r="AY15">
        <f>CA15&amp;CB15&amp;CC15&amp;CD15&amp;CE15&amp;CF15&amp;CG15&amp;CH15</f>
        <v/>
      </c>
      <c r="CA15" s="196">
        <f>IF(AND((Y15+Z15)&gt;0,AQ15="")," * No olvide digitar la variable 12 años (incluido en el grupo de 10-14 años). Digite Cero si no tiene.",IF(AQ15&gt;(Y15+Z15)," *Las Consultas de 12 años (incluido en el grupo de 10-14 años) NO DEBEN ser mayor que la sumatoria de Consultas entre 10-14 años",""))</f>
        <v/>
      </c>
      <c r="CB15" s="196">
        <f>IF(AND($F15&gt;0,AR15="")," *No olvide digitar la variable Gestante. Digite cero si no tiene.",IF(AR15&gt;$F15," *La variable Gestante NO DEBE ser mayor al Total de Mujeres. ",""))</f>
        <v/>
      </c>
      <c r="CC15" s="196">
        <f>IF(AND((AK15+AL15)&gt;0,AS15="")," *No olvide digitar la variable 60 años (incluido en grupos de 60-64 años). Digite Cero si no tiene.",IF(AS15&gt;(AK15+AL15)," *La variable 60 años (incluido en grupos de 60-64 años) NO DEBE ser mayor que la sumatoria de consultas del grupo 60-64 años",""))</f>
        <v/>
      </c>
      <c r="CD15" s="196">
        <f>IF(AND(D15&gt;0,AT15="")," *No olvide digitar la variable Usuarios con Discapacidad. Digite Cero si no tiene.",IF(AT15&gt;D15," *La variable Usuarios con Discapacidad No puede ser mayor al Total Ambos Sexos.",""))</f>
        <v/>
      </c>
      <c r="CE15" s="196">
        <f>IF(AND(D15&gt;0,AU15="")," *No olvide digitar la variable Migrantes. Digite Cero si no tiene.",IF(AU15&gt;$D15," *La variable Migrantes No puede ser mayor al Total Ambos Sexos.",""))</f>
        <v/>
      </c>
      <c r="CF15" s="196">
        <f>IF(AND($D15&gt;0,AV15="")," *No olvide digitar la variable Persona con ingreso integral y condición crónica. Digite Cero si no tiene.",IF(AV15&gt;$D15," *La variable Persona con ingreso integral y condición crónica No puede ser mayor al Total Ambos Sexos.",""))</f>
        <v/>
      </c>
      <c r="CG15" s="196">
        <f>IF(AND(D15&gt;0,AW15="")," * No olvide digitar la variable "&amp;AW$9&amp;". Digite Cero si no tiene.",IF(AW15&gt;D15," * La variable "&amp;AW$9&amp;" No puede ser mayor al Total Ambos Sexos.",""))</f>
        <v/>
      </c>
      <c r="CH15" s="196">
        <f>IF(AND($D15&gt;0,AX15="")," * No olvide digitar la variable "&amp;AX$9&amp;". Digite Cero si no tiene.",IF(AX15&gt;$D15," * La variable "&amp;AX$9&amp;" no puede ser mayor al Total Ambos Sexos.",""))</f>
        <v/>
      </c>
      <c r="CO15" s="197">
        <f>IF(AND((Y15+Z15)&gt;0,AQ15=""),1,IF(AQ15&gt;(Y15+Z15),1,0))</f>
        <v/>
      </c>
      <c r="CP15" s="197">
        <f>IF(AND($F15&gt;0,AR15=""),1,IF(AR15&gt;$F15,1,0))</f>
        <v/>
      </c>
      <c r="CQ15" s="197">
        <f>IF(AND((AK15+AL15)&gt;0,AS15=""),1,IF(AS15&gt;(AK15+AL15),1,0))</f>
        <v/>
      </c>
      <c r="CR15" s="197">
        <f>IF(AND($D15&gt;0,AT15=""),1,IF(AT15&gt;$D15,1,0))</f>
        <v/>
      </c>
      <c r="CS15" s="197">
        <f>IF(AND($D15&gt;0,AU15=""),1,IF(AU15&gt;$D15,1,0))</f>
        <v/>
      </c>
      <c r="CT15" s="197">
        <f>IF(AND($D15&gt;0,AV15=""),1,IF(AV15&gt;$D15,1,0))</f>
        <v/>
      </c>
      <c r="CU15" s="197">
        <f>IF(AND($D15&gt;0,AW15=""),1,IF(AW15&gt;$D15,1,0))</f>
        <v/>
      </c>
      <c r="CV15" s="197">
        <f>IF(AND(D15&gt;0,AX15=""),1,IF(AX15&gt;D15,1,0))</f>
        <v/>
      </c>
    </row>
    <row r="16" ht="15" customHeight="1" s="8286">
      <c r="A16" s="10209" t="inlineStr">
        <is>
          <t xml:space="preserve">Consulta nueva de Operatoria  de alta complejidad </t>
        </is>
      </c>
      <c r="B16" s="9758" t="n"/>
      <c r="C16" s="9935" t="n"/>
      <c r="D16" s="1978">
        <f>SUM(E16+F16)</f>
        <v/>
      </c>
      <c r="E16" s="1997">
        <f>SUM(G16+I16+K16+M16+O16+Q16+S16+U16+W16+Y16+AA16+AC16+AE16+AG16+AI16+AK16+AM16+AO16)</f>
        <v/>
      </c>
      <c r="F16" s="752">
        <f>SUM(H16+J16+L16+N16+P16+R16+T16+V16+X16+Z16+AB16+AD16+AF16+AH16+AJ16+AL16+AN16+AP16)</f>
        <v/>
      </c>
      <c r="G16" s="1935" t="n"/>
      <c r="H16" s="1186" t="n"/>
      <c r="I16" s="1935" t="n"/>
      <c r="J16" s="1186" t="n"/>
      <c r="K16" s="1935" t="n"/>
      <c r="L16" s="1186" t="n"/>
      <c r="M16" s="1935" t="n"/>
      <c r="N16" s="1186" t="n"/>
      <c r="O16" s="1935" t="n"/>
      <c r="P16" s="1186" t="n"/>
      <c r="Q16" s="1935" t="n"/>
      <c r="R16" s="755" t="n"/>
      <c r="S16" s="1935" t="n"/>
      <c r="T16" s="755" t="n"/>
      <c r="U16" s="1935" t="n"/>
      <c r="V16" s="755" t="n"/>
      <c r="W16" s="1935" t="n"/>
      <c r="X16" s="755" t="n"/>
      <c r="Y16" s="1935" t="n"/>
      <c r="Z16" s="755" t="n"/>
      <c r="AA16" s="1935" t="n"/>
      <c r="AB16" s="755" t="n"/>
      <c r="AC16" s="1935" t="n"/>
      <c r="AD16" s="755" t="n"/>
      <c r="AE16" s="1935" t="n"/>
      <c r="AF16" s="755" t="n"/>
      <c r="AG16" s="1935" t="n"/>
      <c r="AH16" s="755" t="n"/>
      <c r="AI16" s="1935" t="n"/>
      <c r="AJ16" s="755" t="n"/>
      <c r="AK16" s="1935" t="n"/>
      <c r="AL16" s="755" t="n"/>
      <c r="AM16" s="1935" t="n"/>
      <c r="AN16" s="755" t="n"/>
      <c r="AO16" s="1935" t="n"/>
      <c r="AP16" s="792" t="n"/>
      <c r="AQ16" s="1966" t="n"/>
      <c r="AR16" s="793" t="n"/>
      <c r="AS16" s="793" t="n"/>
      <c r="AT16" s="793" t="n"/>
      <c r="AU16" s="793" t="n"/>
      <c r="AV16" s="793" t="n"/>
      <c r="AW16" s="2699" t="n"/>
      <c r="AX16" s="1186" t="n"/>
      <c r="AY16">
        <f>CA16&amp;CB16&amp;CC16&amp;CD16&amp;CE16&amp;CF16&amp;CG16&amp;CH16</f>
        <v/>
      </c>
      <c r="CA16" s="196">
        <f>IF(AND((Y16+Z16)&gt;0,AQ16="")," * No olvide digitar la variable 12 años (incluido en el grupo de 10-14 años). Digite Cero si no tiene.",IF(AQ16&gt;(Y16+Z16)," *Las Consultas de 12 años (incluido en el grupo de 10-14 años) NO DEBEN ser mayor que la sumatoria de Consultas entre 10-14 años",""))</f>
        <v/>
      </c>
      <c r="CB16" s="196">
        <f>IF(AND($F16&gt;0,AR16="")," *No olvide digitar la variable Gestante. Digite cero si no tiene.",IF(AR16&gt;$F16," *La variable Gestante NO DEBE ser mayor al Total de Mujeres. ",""))</f>
        <v/>
      </c>
      <c r="CC16" s="196">
        <f>IF(AND((AK16+AL16)&gt;0,AS16="")," *No olvide digitar la variable 60 años (incluido en grupos de 60-64 años). Digite Cero si no tiene.",IF(AS16&gt;(AK16+AL16)," *La variable 60 años (incluido en grupos de 60-64 años) NO DEBE ser mayor que la sumatoria de consultas del grupo 60-64 años",""))</f>
        <v/>
      </c>
      <c r="CD16" s="196">
        <f>IF(AND(D16&gt;0,AT16="")," *No olvide digitar la variable Usuarios con Discapacidad. Digite Cero si no tiene.",IF(AT16&gt;D16," *La variable Usuarios con Discapacidad No puede ser mayor al Total Ambos Sexos.",""))</f>
        <v/>
      </c>
      <c r="CE16" s="196">
        <f>IF(AND(D16&gt;0,AU16="")," *No olvide digitar la variable Migrantes. Digite Cero si no tiene.",IF(AU16&gt;$D16," *La variable Migrantes No puede ser mayor al Total Ambos Sexos.",""))</f>
        <v/>
      </c>
      <c r="CF16" s="196">
        <f>IF(AND($D16&gt;0,AV16="")," *No olvide digitar la variable Persona con ingreso integral y condición crónica. Digite Cero si no tiene.",IF(AV16&gt;$D16," *La variable Persona con ingreso integral y condición crónica No puede ser mayor al Total Ambos Sexos.",""))</f>
        <v/>
      </c>
      <c r="CG16" s="196">
        <f>IF(AND(D16&gt;0,AW16="")," * No olvide digitar la variable "&amp;AW$9&amp;". Digite Cero si no tiene.",IF(AW16&gt;D16," * La variable "&amp;AW$9&amp;" No puede ser mayor al Total Ambos Sexos.",""))</f>
        <v/>
      </c>
      <c r="CH16" s="196">
        <f>IF(AND($D16&gt;0,AX16="")," * No olvide digitar la variable "&amp;AX$9&amp;". Digite Cero si no tiene.",IF(AX16&gt;$D16," * La variable "&amp;AX$9&amp;" no puede ser mayor al Total Ambos Sexos.",""))</f>
        <v/>
      </c>
      <c r="CO16" s="197">
        <f>IF(AND((Y16+Z16)&gt;0,AQ16=""),1,IF(AQ16&gt;(Y16+Z16),1,0))</f>
        <v/>
      </c>
      <c r="CP16" s="197">
        <f>IF(AND($F16&gt;0,AR16=""),1,IF(AR16&gt;$F16,1,0))</f>
        <v/>
      </c>
      <c r="CQ16" s="197">
        <f>IF(AND((AK16+AL16)&gt;0,AS16=""),1,IF(AS16&gt;(AK16+AL16),1,0))</f>
        <v/>
      </c>
      <c r="CR16" s="197">
        <f>IF(AND($D16&gt;0,AT16=""),1,IF(AT16&gt;$D16,1,0))</f>
        <v/>
      </c>
      <c r="CS16" s="197">
        <f>IF(AND($D16&gt;0,AU16=""),1,IF(AU16&gt;$D16,1,0))</f>
        <v/>
      </c>
      <c r="CT16" s="197">
        <f>IF(AND($D16&gt;0,AV16=""),1,IF(AV16&gt;$D16,1,0))</f>
        <v/>
      </c>
      <c r="CU16" s="197">
        <f>IF(AND($D16&gt;0,AW16=""),1,IF(AW16&gt;$D16,1,0))</f>
        <v/>
      </c>
      <c r="CV16" s="197">
        <f>IF(AND(D16&gt;0,AX16=""),1,IF(AX16&gt;D16,1,0))</f>
        <v/>
      </c>
    </row>
    <row r="17" ht="15" customHeight="1" s="8286">
      <c r="A17" s="8513" t="inlineStr">
        <is>
          <t xml:space="preserve">Control Operatoria de alta complejidad </t>
        </is>
      </c>
      <c r="B17" s="9591" t="n"/>
      <c r="C17" s="9776" t="n"/>
      <c r="D17" s="1360">
        <f>SUM(E17+F17)</f>
        <v/>
      </c>
      <c r="E17" s="1379">
        <f>SUM(G17+I17+K17+M17+O17+Q17+S17+U17+W17+Y17+AA17+AC17+AE17+AG17+AI17+AK17+AM17+AO17)</f>
        <v/>
      </c>
      <c r="F17" s="1359">
        <f>SUM(H17+J17+L17+N17+P17+R17+T17+V17+X17+Z17+AB17+AD17+AF17+AH17+AJ17+AL17+AN17+AP17)</f>
        <v/>
      </c>
      <c r="G17" s="1188" t="n"/>
      <c r="H17" s="1192" t="n"/>
      <c r="I17" s="1188" t="n"/>
      <c r="J17" s="1192" t="n"/>
      <c r="K17" s="1188" t="n"/>
      <c r="L17" s="1192" t="n"/>
      <c r="M17" s="1188" t="n"/>
      <c r="N17" s="1119" t="n"/>
      <c r="O17" s="1188" t="n"/>
      <c r="P17" s="1119" t="n"/>
      <c r="Q17" s="1188" t="n"/>
      <c r="R17" s="1119" t="n"/>
      <c r="S17" s="1188" t="n"/>
      <c r="T17" s="1119" t="n"/>
      <c r="U17" s="1188" t="n"/>
      <c r="V17" s="1119" t="n"/>
      <c r="W17" s="1188" t="n"/>
      <c r="X17" s="1119" t="n"/>
      <c r="Y17" s="1188" t="n"/>
      <c r="Z17" s="1119" t="n"/>
      <c r="AA17" s="1188" t="n"/>
      <c r="AB17" s="1119" t="n"/>
      <c r="AC17" s="1188" t="n"/>
      <c r="AD17" s="1119" t="n"/>
      <c r="AE17" s="1188" t="n"/>
      <c r="AF17" s="1119" t="n"/>
      <c r="AG17" s="1188" t="n"/>
      <c r="AH17" s="1119" t="n"/>
      <c r="AI17" s="1188" t="n"/>
      <c r="AJ17" s="1119" t="n"/>
      <c r="AK17" s="1188" t="n"/>
      <c r="AL17" s="1119" t="n"/>
      <c r="AM17" s="1188" t="n"/>
      <c r="AN17" s="1119" t="n"/>
      <c r="AO17" s="1188" t="n"/>
      <c r="AP17" s="1224" t="n"/>
      <c r="AQ17" s="1225" t="n"/>
      <c r="AR17" s="1118" t="n"/>
      <c r="AS17" s="1118" t="n"/>
      <c r="AT17" s="1118" t="n"/>
      <c r="AU17" s="1118" t="n"/>
      <c r="AV17" s="1118" t="n"/>
      <c r="AW17" s="2497" t="n"/>
      <c r="AX17" s="1192" t="n"/>
      <c r="AY17">
        <f>CA17&amp;CB17&amp;CC17&amp;CD17&amp;CE17&amp;CF17&amp;CG17&amp;CH17</f>
        <v/>
      </c>
      <c r="CA17" s="196">
        <f>IF(AND((Y17+Z17)&gt;0,AQ17="")," * No olvide digitar la variable 12 años (incluido en el grupo de 10-14 años). Digite Cero si no tiene.",IF(AQ17&gt;(Y17+Z17)," *Las Consultas de 12 años (incluido en el grupo de 10-14 años) NO DEBEN ser mayor que la sumatoria de Consultas entre 10-14 años",""))</f>
        <v/>
      </c>
      <c r="CB17" s="196">
        <f>IF(AND($F17&gt;0,AR17="")," *No olvide digitar la variable Gestante. Digite cero si no tiene.",IF(AR17&gt;$F17," *La variable Gestante NO DEBE ser mayor al Total de Mujeres. ",""))</f>
        <v/>
      </c>
      <c r="CC17" s="196">
        <f>IF(AND((AK17+AL17)&gt;0,AS17="")," *No olvide digitar la variable 60 años (incluido en grupos de 60-64 años). Digite Cero si no tiene.",IF(AS17&gt;(AK17+AL17)," *La variable 60 años (incluido en grupos de 60-64 años) NO DEBE ser mayor que la sumatoria de consultas del grupo 60-64 años",""))</f>
        <v/>
      </c>
      <c r="CD17" s="196">
        <f>IF(AND(D17&gt;0,AT17="")," *No olvide digitar la variable Usuarios con Discapacidad. Digite Cero si no tiene.",IF(AT17&gt;D17," *La variable Usuarios con Discapacidad No puede ser mayor al Total Ambos Sexos.",""))</f>
        <v/>
      </c>
      <c r="CE17" s="196">
        <f>IF(AND(D17&gt;0,AU17="")," *No olvide digitar la variable Migrantes. Digite Cero si no tiene.",IF(AU17&gt;$D17," *La variable Migrantes No puede ser mayor al Total Ambos Sexos.",""))</f>
        <v/>
      </c>
      <c r="CF17" s="196">
        <f>IF(AND($D17&gt;0,AV17="")," *No olvide digitar la variable Persona con ingreso integral y condición crónica. Digite Cero si no tiene.",IF(AV17&gt;$D17," *La variable Persona con ingreso integral y condición crónica No puede ser mayor al Total Ambos Sexos.",""))</f>
        <v/>
      </c>
      <c r="CG17" s="196">
        <f>IF(AND(D17&gt;0,AW17="")," * No olvide digitar la variable "&amp;AW$9&amp;". Digite Cero si no tiene.",IF(AW17&gt;D17," * La variable "&amp;AW$9&amp;" No puede ser mayor al Total Ambos Sexos.",""))</f>
        <v/>
      </c>
      <c r="CH17" s="196">
        <f>IF(AND($D17&gt;0,AX17="")," * No olvide digitar la variable "&amp;AX$9&amp;". Digite Cero si no tiene.",IF(AX17&gt;$D17," * La variable "&amp;AX$9&amp;" no puede ser mayor al Total Ambos Sexos.",""))</f>
        <v/>
      </c>
      <c r="CO17" s="197">
        <f>IF(AND((Y17+Z17)&gt;0,AQ17=""),1,IF(AQ17&gt;(Y17+Z17),1,0))</f>
        <v/>
      </c>
      <c r="CP17" s="197">
        <f>IF(AND($F17&gt;0,AR17=""),1,IF(AR17&gt;$F17,1,0))</f>
        <v/>
      </c>
      <c r="CQ17" s="197">
        <f>IF(AND((AK17+AL17)&gt;0,AS17=""),1,IF(AS17&gt;(AK17+AL17),1,0))</f>
        <v/>
      </c>
      <c r="CR17" s="197">
        <f>IF(AND($D17&gt;0,AT17=""),1,IF(AT17&gt;$D17,1,0))</f>
        <v/>
      </c>
      <c r="CS17" s="197">
        <f>IF(AND($D17&gt;0,AU17=""),1,IF(AU17&gt;$D17,1,0))</f>
        <v/>
      </c>
      <c r="CT17" s="197">
        <f>IF(AND($D17&gt;0,AV17=""),1,IF(AV17&gt;$D17,1,0))</f>
        <v/>
      </c>
      <c r="CU17" s="197">
        <f>IF(AND($D17&gt;0,AW17=""),1,IF(AW17&gt;$D17,1,0))</f>
        <v/>
      </c>
      <c r="CV17" s="197">
        <f>IF(AND(D17&gt;0,AX17=""),1,IF(AX17&gt;D17,1,0))</f>
        <v/>
      </c>
    </row>
    <row r="18" ht="18" customHeight="1" s="8286">
      <c r="A18" s="2" t="inlineStr">
        <is>
          <t>SECCIÓN B: ACTIVIDADES DE ODONTOLOGÍA GENERAL  REALIZADOS EN NIVEL PRIMARIO Y SECUNDARIO DE SALUD</t>
        </is>
      </c>
      <c r="B18" s="339" t="n"/>
      <c r="C18" s="339" t="n"/>
      <c r="D18" s="336" t="n"/>
      <c r="E18" s="336" t="n"/>
      <c r="F18" s="336" t="n"/>
      <c r="G18" s="2701" t="n"/>
      <c r="H18" s="2701" t="n"/>
      <c r="I18" s="336" t="n"/>
      <c r="J18" s="336" t="n"/>
      <c r="K18" s="336" t="n"/>
      <c r="L18" s="336" t="n"/>
      <c r="M18" s="336" t="n"/>
      <c r="N18" s="336" t="n"/>
      <c r="O18" s="336" t="n"/>
      <c r="P18" s="3" t="n"/>
      <c r="Q18" s="336" t="n"/>
      <c r="R18" s="336" t="n"/>
      <c r="S18" s="336" t="n"/>
      <c r="T18" s="336" t="n"/>
      <c r="U18" s="336" t="n"/>
      <c r="V18" s="336" t="n"/>
      <c r="W18" s="336" t="n"/>
      <c r="X18" s="336" t="n"/>
      <c r="Y18" s="336" t="n"/>
      <c r="Z18" s="336" t="n"/>
      <c r="AA18" s="336" t="n"/>
      <c r="AB18" s="336" t="n"/>
      <c r="AC18" s="336" t="n"/>
      <c r="AD18" s="336" t="n"/>
      <c r="AE18" s="336" t="n"/>
      <c r="AF18" s="336" t="n"/>
      <c r="AG18" s="336" t="n"/>
      <c r="AH18" s="217" t="n"/>
      <c r="AI18" s="217" t="n"/>
      <c r="AJ18" s="217" t="n"/>
      <c r="AK18" s="217" t="n"/>
      <c r="AL18" s="217" t="n"/>
      <c r="AM18" s="217" t="n"/>
      <c r="AN18" s="217" t="n"/>
      <c r="AO18" s="217" t="n"/>
      <c r="AP18" s="217" t="n"/>
      <c r="AQ18" s="217" t="n"/>
      <c r="AR18" s="217" t="n"/>
      <c r="AS18" s="217" t="n"/>
      <c r="AT18" s="217" t="n"/>
      <c r="AU18" s="217" t="n"/>
      <c r="AV18" s="217" t="n"/>
      <c r="AW18" s="217" t="n"/>
      <c r="AX18" s="217" t="n"/>
    </row>
    <row r="19">
      <c r="A19" s="10004" t="inlineStr">
        <is>
          <t>TIPO DE ACTIVIDAD</t>
        </is>
      </c>
      <c r="B19" s="9602" t="n"/>
      <c r="C19" s="9630" t="n"/>
      <c r="D19" s="9240" t="inlineStr">
        <is>
          <t xml:space="preserve">TOTAL </t>
        </is>
      </c>
      <c r="E19" s="9584" t="n"/>
      <c r="F19" s="9647" t="n"/>
      <c r="G19" s="10210" t="inlineStr">
        <is>
          <t>Menos de 1 año</t>
        </is>
      </c>
      <c r="H19" s="9603" t="n"/>
      <c r="I19" s="8299" t="inlineStr">
        <is>
          <t>1 año</t>
        </is>
      </c>
      <c r="J19" s="9632" t="n"/>
      <c r="K19" s="9240" t="inlineStr">
        <is>
          <t>2 años</t>
        </is>
      </c>
      <c r="L19" s="9647" t="n"/>
      <c r="M19" s="8299" t="inlineStr">
        <is>
          <t>3 años</t>
        </is>
      </c>
      <c r="N19" s="9632" t="n"/>
      <c r="O19" s="9240" t="inlineStr">
        <is>
          <t>4 años</t>
        </is>
      </c>
      <c r="P19" s="9647" t="n"/>
      <c r="Q19" s="9240" t="inlineStr">
        <is>
          <t>5 años</t>
        </is>
      </c>
      <c r="R19" s="9647" t="n"/>
      <c r="S19" s="9240" t="inlineStr">
        <is>
          <t>6 años</t>
        </is>
      </c>
      <c r="T19" s="9647" t="n"/>
      <c r="U19" s="9240" t="inlineStr">
        <is>
          <t>7 años</t>
        </is>
      </c>
      <c r="V19" s="9647" t="n"/>
      <c r="W19" s="5448" t="inlineStr">
        <is>
          <t>8-9 años</t>
        </is>
      </c>
      <c r="X19" s="10190" t="n"/>
      <c r="Y19" s="9240" t="inlineStr">
        <is>
          <t>10-14 años</t>
        </is>
      </c>
      <c r="Z19" s="9647" t="n"/>
      <c r="AA19" s="5448" t="inlineStr">
        <is>
          <t>15-19 años</t>
        </is>
      </c>
      <c r="AB19" s="10190" t="n"/>
      <c r="AC19" s="5448" t="inlineStr">
        <is>
          <t xml:space="preserve">20-29 años </t>
        </is>
      </c>
      <c r="AD19" s="10190" t="n"/>
      <c r="AE19" s="5448" t="inlineStr">
        <is>
          <t>30-39 años</t>
        </is>
      </c>
      <c r="AF19" s="10190" t="n"/>
      <c r="AG19" s="5448" t="inlineStr">
        <is>
          <t>40-49 años</t>
        </is>
      </c>
      <c r="AH19" s="10190" t="n"/>
      <c r="AI19" s="5448" t="inlineStr">
        <is>
          <t>50-59 años</t>
        </is>
      </c>
      <c r="AJ19" s="10190" t="n"/>
      <c r="AK19" s="5448" t="inlineStr">
        <is>
          <t>60-64 años</t>
        </is>
      </c>
      <c r="AL19" s="10190" t="n"/>
      <c r="AM19" s="10203" t="inlineStr">
        <is>
          <t>65-74 años</t>
        </is>
      </c>
      <c r="AN19" s="10191" t="n"/>
      <c r="AO19" s="9982" t="inlineStr">
        <is>
          <t>75 y más años</t>
        </is>
      </c>
      <c r="AP19" s="10211" t="n"/>
      <c r="AQ19" s="9376" t="inlineStr">
        <is>
          <t>12 años (incluido en el grupo de 10-14 años)</t>
        </is>
      </c>
      <c r="AR19" s="10212" t="inlineStr">
        <is>
          <t xml:space="preserve">Gestantes </t>
        </is>
      </c>
      <c r="AS19" s="9981" t="inlineStr">
        <is>
          <t>60 años (incluido en grupos de 60-64 años)</t>
        </is>
      </c>
      <c r="AT19" s="9981" t="inlineStr">
        <is>
          <t>Compra de Servicio</t>
        </is>
      </c>
      <c r="AU19" s="9981" t="inlineStr">
        <is>
          <t>Usuarios con Discapacidad</t>
        </is>
      </c>
      <c r="AV19" s="10213" t="inlineStr">
        <is>
          <t>Migrantes</t>
        </is>
      </c>
      <c r="AW19" s="10214" t="inlineStr">
        <is>
          <t>SENAME/ Servicio Nacional de Reinserción social Juvenil</t>
        </is>
      </c>
      <c r="AX19" s="10215" t="inlineStr">
        <is>
          <t>Servicio Nacional Protección Especializada a la Niñez y Adolescencia</t>
        </is>
      </c>
    </row>
    <row r="20" ht="55.5" customHeight="1" s="8286">
      <c r="A20" s="9638" t="n"/>
      <c r="B20" s="9697" t="n"/>
      <c r="C20" s="9639" t="n"/>
      <c r="D20" s="8471" t="inlineStr">
        <is>
          <t>Ambos Sexos</t>
        </is>
      </c>
      <c r="E20" s="2679" t="inlineStr">
        <is>
          <t>Hombres</t>
        </is>
      </c>
      <c r="F20" s="7665" t="inlineStr">
        <is>
          <t>Mujeres</t>
        </is>
      </c>
      <c r="G20" s="8471" t="inlineStr">
        <is>
          <t>Hombres</t>
        </is>
      </c>
      <c r="H20" s="8299" t="inlineStr">
        <is>
          <t>Mujeres</t>
        </is>
      </c>
      <c r="I20" s="8463" t="inlineStr">
        <is>
          <t>Hombres</t>
        </is>
      </c>
      <c r="J20" s="7665" t="inlineStr">
        <is>
          <t>Mujeres</t>
        </is>
      </c>
      <c r="K20" s="8463" t="inlineStr">
        <is>
          <t>Hombres</t>
        </is>
      </c>
      <c r="L20" s="7694" t="inlineStr">
        <is>
          <t>Mujeres</t>
        </is>
      </c>
      <c r="M20" s="8463" t="inlineStr">
        <is>
          <t>Hombres</t>
        </is>
      </c>
      <c r="N20" s="7665" t="inlineStr">
        <is>
          <t>Mujeres</t>
        </is>
      </c>
      <c r="O20" s="8463" t="inlineStr">
        <is>
          <t>Hombres</t>
        </is>
      </c>
      <c r="P20" s="7665" t="inlineStr">
        <is>
          <t>Mujeres</t>
        </is>
      </c>
      <c r="Q20" s="8463" t="inlineStr">
        <is>
          <t>Hombres</t>
        </is>
      </c>
      <c r="R20" s="7665" t="inlineStr">
        <is>
          <t>Mujeres</t>
        </is>
      </c>
      <c r="S20" s="8463" t="inlineStr">
        <is>
          <t>Hombres</t>
        </is>
      </c>
      <c r="T20" s="7665" t="inlineStr">
        <is>
          <t>Mujeres</t>
        </is>
      </c>
      <c r="U20" s="8471" t="inlineStr">
        <is>
          <t>Hombres</t>
        </is>
      </c>
      <c r="V20" s="8299" t="inlineStr">
        <is>
          <t>Mujeres</t>
        </is>
      </c>
      <c r="W20" s="2679" t="inlineStr">
        <is>
          <t>Hombres</t>
        </is>
      </c>
      <c r="X20" s="8289" t="inlineStr">
        <is>
          <t>Mujeres</t>
        </is>
      </c>
      <c r="Y20" s="8471" t="inlineStr">
        <is>
          <t>Hombres</t>
        </is>
      </c>
      <c r="Z20" s="8299" t="inlineStr">
        <is>
          <t>Mujeres</t>
        </is>
      </c>
      <c r="AA20" s="2679" t="inlineStr">
        <is>
          <t>Hombres</t>
        </is>
      </c>
      <c r="AB20" s="8289" t="inlineStr">
        <is>
          <t>Mujeres</t>
        </is>
      </c>
      <c r="AC20" s="8471" t="inlineStr">
        <is>
          <t>Hombres</t>
        </is>
      </c>
      <c r="AD20" s="8299" t="inlineStr">
        <is>
          <t>Mujeres</t>
        </is>
      </c>
      <c r="AE20" s="2679" t="inlineStr">
        <is>
          <t>Hombres</t>
        </is>
      </c>
      <c r="AF20" s="8289" t="inlineStr">
        <is>
          <t>Mujeres</t>
        </is>
      </c>
      <c r="AG20" s="8471" t="inlineStr">
        <is>
          <t>Hombres</t>
        </is>
      </c>
      <c r="AH20" s="8299" t="inlineStr">
        <is>
          <t>Mujeres</t>
        </is>
      </c>
      <c r="AI20" s="2679" t="inlineStr">
        <is>
          <t>Hombres</t>
        </is>
      </c>
      <c r="AJ20" s="8289" t="inlineStr">
        <is>
          <t>Mujeres</t>
        </is>
      </c>
      <c r="AK20" s="8471" t="inlineStr">
        <is>
          <t>Hombres</t>
        </is>
      </c>
      <c r="AL20" s="8299" t="inlineStr">
        <is>
          <t>Mujeres</t>
        </is>
      </c>
      <c r="AM20" s="2679" t="inlineStr">
        <is>
          <t>Hombres</t>
        </is>
      </c>
      <c r="AN20" s="8299" t="inlineStr">
        <is>
          <t>Mujeres</t>
        </is>
      </c>
      <c r="AO20" s="2679" t="inlineStr">
        <is>
          <t>Hombres</t>
        </is>
      </c>
      <c r="AP20" s="8290" t="inlineStr">
        <is>
          <t>Mujeres</t>
        </is>
      </c>
      <c r="AQ20" s="9683" t="n"/>
      <c r="AR20" s="10216" t="n"/>
      <c r="AS20" s="9912" t="n"/>
      <c r="AT20" s="9912" t="n"/>
      <c r="AU20" s="9912" t="n"/>
      <c r="AV20" s="9606" t="n"/>
      <c r="AW20" s="9854" t="n"/>
      <c r="AX20" s="9641" t="n"/>
    </row>
    <row r="21" ht="15" customHeight="1" s="8286">
      <c r="A21" s="10217" t="inlineStr">
        <is>
          <t>Educación individual con instrucción de técnica de cepillado</t>
        </is>
      </c>
      <c r="B21" s="10205" t="n"/>
      <c r="C21" s="9806" t="n"/>
      <c r="D21" s="2382">
        <f>SUM(E21+F21)</f>
        <v/>
      </c>
      <c r="E21" s="2375">
        <f>SUM(G21+I21+K21+M21+O21+Q21+S21+U21+W21+Y21+AA21+AC21+AE21+AG21+AI21+AK21+AM21+AO21)</f>
        <v/>
      </c>
      <c r="F21" s="2705">
        <f>SUM(H21+J21+L21+N21+P21+R21+T21+V21+X21+Z21+AB21+AD21+AF21+AH21+AJ21+AL21+AN21+AP21)</f>
        <v/>
      </c>
      <c r="G21" s="2266" t="n">
        <v>7</v>
      </c>
      <c r="H21" s="2337" t="n">
        <v>4</v>
      </c>
      <c r="I21" s="2266" t="n">
        <v>30</v>
      </c>
      <c r="J21" s="2336" t="n">
        <v>15</v>
      </c>
      <c r="K21" s="2266" t="n">
        <v>13</v>
      </c>
      <c r="L21" s="2337" t="n">
        <v>16</v>
      </c>
      <c r="M21" s="2266" t="n">
        <v>8</v>
      </c>
      <c r="N21" s="2336" t="n">
        <v>10</v>
      </c>
      <c r="O21" s="2266" t="n">
        <v>5</v>
      </c>
      <c r="P21" s="2337" t="n">
        <v>12</v>
      </c>
      <c r="Q21" s="2266" t="n">
        <v>8</v>
      </c>
      <c r="R21" s="2337" t="n">
        <v>12</v>
      </c>
      <c r="S21" s="2266" t="n">
        <v>10</v>
      </c>
      <c r="T21" s="2337" t="n">
        <v>11</v>
      </c>
      <c r="U21" s="2266" t="n">
        <v>10</v>
      </c>
      <c r="V21" s="2337" t="n">
        <v>11</v>
      </c>
      <c r="W21" s="2267" t="n">
        <v>28</v>
      </c>
      <c r="X21" s="2581" t="n">
        <v>20</v>
      </c>
      <c r="Y21" s="2266" t="n">
        <v>31</v>
      </c>
      <c r="Z21" s="2337" t="n">
        <v>36</v>
      </c>
      <c r="AA21" s="2267" t="n">
        <v>17</v>
      </c>
      <c r="AB21" s="2581" t="n">
        <v>42</v>
      </c>
      <c r="AC21" s="2266" t="n">
        <v>0</v>
      </c>
      <c r="AD21" s="2337" t="n">
        <v>9</v>
      </c>
      <c r="AE21" s="2267" t="n">
        <v>1</v>
      </c>
      <c r="AF21" s="2581" t="n">
        <v>10</v>
      </c>
      <c r="AG21" s="2266" t="n">
        <v>1</v>
      </c>
      <c r="AH21" s="2337" t="n">
        <v>0</v>
      </c>
      <c r="AI21" s="2267" t="n">
        <v>0</v>
      </c>
      <c r="AJ21" s="2581" t="n">
        <v>4</v>
      </c>
      <c r="AK21" s="2266" t="n">
        <v>2</v>
      </c>
      <c r="AL21" s="2337" t="n">
        <v>3</v>
      </c>
      <c r="AM21" s="2267" t="n">
        <v>0</v>
      </c>
      <c r="AN21" s="2337" t="n">
        <v>1</v>
      </c>
      <c r="AO21" s="2267" t="n">
        <v>0</v>
      </c>
      <c r="AP21" s="1940" t="n">
        <v>1</v>
      </c>
      <c r="AQ21" s="2376" t="n">
        <v>19</v>
      </c>
      <c r="AR21" s="835" t="n">
        <v>18</v>
      </c>
      <c r="AS21" s="835" t="n">
        <v>2</v>
      </c>
      <c r="AT21" s="835" t="n">
        <v>0</v>
      </c>
      <c r="AU21" s="835" t="n">
        <v>0</v>
      </c>
      <c r="AV21" s="2581" t="n">
        <v>10</v>
      </c>
      <c r="AW21" s="2489" t="n">
        <v>4</v>
      </c>
      <c r="AX21" s="2336" t="n">
        <v>9</v>
      </c>
      <c r="AY21">
        <f>CA21&amp;CB21&amp;CC21&amp;CD21&amp;CE21&amp;CF21&amp;CG21&amp;CH21</f>
        <v/>
      </c>
      <c r="CA21" s="196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>
        <f>IF(AND($F21&gt;0,AR21="")," * No olvide digitar la variable Gestante. Digite cero si no tiene.",IF(AR21&gt;$F21," * La variable Gestante NO DEBEN ser mayor al Total de Mujeres. ",""))</f>
        <v/>
      </c>
      <c r="CC21" s="196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>
        <f>IF(AND(D21&gt;0,AT21="")," * No olvide digitar la variable Compra de servicio. Digite Cero si no tiene.","")</f>
        <v/>
      </c>
      <c r="CE21" s="196">
        <f>IF(AND(D21&gt;0,AU21="")," * No olvide digitar la variable Usuarios con Discapacidad. Digite Cero si no tiene.",IF(AU21&gt;$D21," * La variable Usuarios con Discapacidad No puede ser mayor al Total Ambos Sexos.",""))</f>
        <v/>
      </c>
      <c r="CF21" s="196">
        <f>IF(AND($D21&gt;0,AV21="")," * No olvide digitar la variable Migrantes. Digite Cero si no tiene.",IF(AV21&gt;$D21," * La variable Migrantes No puede ser mayor al Total Ambos Sexos.",""))</f>
        <v/>
      </c>
      <c r="CG21" s="196">
        <f>IF(AND(D21&gt;0,AW21="")," * No olvide digitar la variable "&amp;AW$19&amp;". Digite Cero si no tiene.",IF(AW21&gt;D21," * La variable "&amp;AW$19&amp;" No puede ser mayor al Total Ambos Sexos.",""))</f>
        <v/>
      </c>
      <c r="CH21" s="196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>IF(AND((Y21+Z21)&gt;0,AQ21=""),1,IF(AQ21&gt;(Y21+Z21),1,0))</f>
        <v/>
      </c>
      <c r="CP21" s="197">
        <f>IF(AND($F21&gt;0,AR21=""),1,IF(AR21&gt;$F21,1,0))</f>
        <v/>
      </c>
      <c r="CQ21" s="197">
        <f>IF(AND((AK21+AL21)&gt;0,AS21=""),1,IF(AS21&gt;(AK21+AL21),1,0))</f>
        <v/>
      </c>
      <c r="CR21" s="197">
        <f>IF(AND($D21&gt;0,AT21=""),1,0)</f>
        <v/>
      </c>
      <c r="CS21" s="197">
        <f>IF(AND($D21&gt;0,AU21=""),1,IF(AU21&gt;$D21,1,0))</f>
        <v/>
      </c>
      <c r="CT21" s="197">
        <f>IF(AND($D21&gt;0,AV21=""),1,IF(AV21&gt;$D21,1,0))</f>
        <v/>
      </c>
      <c r="CU21" s="197">
        <f>IF(AND($D21&gt;0,AW21=""),1,IF(AW21&gt;$D21,1,0))</f>
        <v/>
      </c>
      <c r="CV21" s="197">
        <f>IF(AND(D21&gt;0,AX21=""),1,IF(AX21&gt;D21,1,0))</f>
        <v/>
      </c>
    </row>
    <row r="22" ht="15" customHeight="1" s="8286">
      <c r="A22" s="10218" t="inlineStr">
        <is>
          <t>Consejería breve en tabaco</t>
        </is>
      </c>
      <c r="B22" s="10208" t="n"/>
      <c r="C22" s="10219" t="n"/>
      <c r="D22" s="1485">
        <f>SUM(E22+F22)</f>
        <v/>
      </c>
      <c r="E22" s="1486">
        <f>SUM(U22+W22+Y22+AA22+AC22+AE22+AG22+AI22+AK22+AM22+AO22)</f>
        <v/>
      </c>
      <c r="F22" s="894">
        <f>SUM(V22+X22+Z22+AB22+AD22+AF22+AH22+AJ22+AL22+AN22+AP22)</f>
        <v/>
      </c>
      <c r="G22" s="1325" t="n"/>
      <c r="H22" s="877" t="n"/>
      <c r="I22" s="1325" t="n"/>
      <c r="J22" s="1289" t="n"/>
      <c r="K22" s="1325" t="n"/>
      <c r="L22" s="877" t="n"/>
      <c r="M22" s="1325" t="n"/>
      <c r="N22" s="1289" t="n"/>
      <c r="O22" s="1325" t="n"/>
      <c r="P22" s="877" t="n"/>
      <c r="Q22" s="1325" t="n"/>
      <c r="R22" s="877" t="n"/>
      <c r="S22" s="1325" t="n"/>
      <c r="T22" s="877" t="n"/>
      <c r="U22" s="1172" t="n">
        <v>0</v>
      </c>
      <c r="V22" s="886" t="n">
        <v>0</v>
      </c>
      <c r="W22" s="1174" t="n">
        <v>0</v>
      </c>
      <c r="X22" s="885" t="n">
        <v>0</v>
      </c>
      <c r="Y22" s="1172" t="n">
        <v>15</v>
      </c>
      <c r="Z22" s="886" t="n">
        <v>14</v>
      </c>
      <c r="AA22" s="1174" t="n">
        <v>11</v>
      </c>
      <c r="AB22" s="885" t="n">
        <v>25</v>
      </c>
      <c r="AC22" s="1172" t="n">
        <v>0</v>
      </c>
      <c r="AD22" s="886" t="n">
        <v>3</v>
      </c>
      <c r="AE22" s="1174" t="n">
        <v>0</v>
      </c>
      <c r="AF22" s="885" t="n">
        <v>8</v>
      </c>
      <c r="AG22" s="1172" t="n">
        <v>0</v>
      </c>
      <c r="AH22" s="886" t="n">
        <v>0</v>
      </c>
      <c r="AI22" s="1174" t="n">
        <v>0</v>
      </c>
      <c r="AJ22" s="885" t="n">
        <v>2</v>
      </c>
      <c r="AK22" s="1172" t="n">
        <v>0</v>
      </c>
      <c r="AL22" s="886" t="n">
        <v>2</v>
      </c>
      <c r="AM22" s="1174" t="n">
        <v>0</v>
      </c>
      <c r="AN22" s="886" t="n">
        <v>1</v>
      </c>
      <c r="AO22" s="1174" t="n">
        <v>0</v>
      </c>
      <c r="AP22" s="1929" t="n">
        <v>0</v>
      </c>
      <c r="AQ22" s="887" t="n">
        <v>9</v>
      </c>
      <c r="AR22" s="2001" t="n">
        <v>11</v>
      </c>
      <c r="AS22" s="2001" t="n">
        <v>0</v>
      </c>
      <c r="AT22" s="2001" t="n">
        <v>0</v>
      </c>
      <c r="AU22" s="2001" t="n">
        <v>0</v>
      </c>
      <c r="AV22" s="885" t="n">
        <v>3</v>
      </c>
      <c r="AW22" s="2495" t="n">
        <v>1</v>
      </c>
      <c r="AX22" s="1173" t="n">
        <v>1</v>
      </c>
      <c r="AY22">
        <f>CA22&amp;CB22&amp;CC22&amp;CD22&amp;CE22&amp;CF22&amp;CG22&amp;CH22</f>
        <v/>
      </c>
      <c r="CA22" s="196">
        <f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>
        <f>IF(AND($F22&gt;0,AR22="")," * No olvide digitar la variable Gestante. Digite cero si no tiene.",IF(AR22&gt;$F22," * La variable Gestante NO DEBEN ser mayor al Total de Mujeres. ",""))</f>
        <v/>
      </c>
      <c r="CC22" s="196">
        <f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>
        <f>IF(AND(D22&gt;0,AT22="")," * No olvide digitar la variable Compra de servicio. Digite Cero si no tiene.","")</f>
        <v/>
      </c>
      <c r="CE22" s="196">
        <f>IF(AND(D22&gt;0,AU22="")," * No olvide digitar la variable Usuarios con Discapacidad. Digite Cero si no tiene.",IF(AU22&gt;$D22," * La variable Usuarios con Discapacidad No puede ser mayor al Total Ambos Sexos.",""))</f>
        <v/>
      </c>
      <c r="CF22" s="196">
        <f>IF(AND($D22&gt;0,AV22="")," * No olvide digitar la variable Migrantes. Digite Cero si no tiene.",IF(AV22&gt;$D22," * La variable Migrantes No puede ser mayor al Total Ambos Sexos.",""))</f>
        <v/>
      </c>
      <c r="CG22" s="196">
        <f>IF(AND(D22&gt;0,AW22="")," * No olvide digitar la variable "&amp;AW$19&amp;". Digite Cero si no tiene.",IF(AW22&gt;D22," * La variable "&amp;AW$19&amp;" No puede ser mayor al Total Ambos Sexos.",""))</f>
        <v/>
      </c>
      <c r="CH22" s="196">
        <f>IF(AND($D22&gt;0,AX22="")," * No olvide digitar la variable "&amp;AX$19&amp;". Digite Cero si no tiene.",IF(AX22&gt;$D22," * La variable "&amp;AX$19&amp;" no puede ser mayor al Total Ambos Sexos.",""))</f>
        <v/>
      </c>
      <c r="CO22" s="197">
        <f>IF(AND((Y22+Z22)&gt;0,AQ22=""),1,IF(AQ22&gt;(Y22+Z22),1,0))</f>
        <v/>
      </c>
      <c r="CP22" s="197">
        <f>IF(AND($F22&gt;0,AR22=""),1,IF(AR22&gt;$F22,1,0))</f>
        <v/>
      </c>
      <c r="CQ22" s="197">
        <f>IF(AND((AK22+AL22)&gt;0,AS22=""),1,IF(AS22&gt;(AK22+AL22),1,0))</f>
        <v/>
      </c>
      <c r="CR22" s="197">
        <f>IF(AND($D22&gt;0,AT22=""),1,0)</f>
        <v/>
      </c>
      <c r="CS22" s="197">
        <f>IF(AND($D22&gt;0,AU22=""),1,IF(AU22&gt;$D22,1,0))</f>
        <v/>
      </c>
      <c r="CT22" s="197">
        <f>IF(AND($D22&gt;0,AV22=""),1,IF(AV22&gt;$D22,1,0))</f>
        <v/>
      </c>
      <c r="CU22" s="197">
        <f>IF(AND($D22&gt;0,AW22=""),1,IF(AW22&gt;$D22,1,0))</f>
        <v/>
      </c>
      <c r="CV22" s="197">
        <f>IF(AND(D22&gt;0,AX22=""),1,IF(AX22&gt;D22,1,0))</f>
        <v/>
      </c>
    </row>
    <row r="23" ht="15" customHeight="1" s="8286">
      <c r="A23" s="3877" t="inlineStr">
        <is>
          <t xml:space="preserve">Examen de salud oral </t>
        </is>
      </c>
      <c r="B23" s="10208" t="n"/>
      <c r="C23" s="9644" t="n"/>
      <c r="D23" s="1485">
        <f>SUM(E23+F23)</f>
        <v/>
      </c>
      <c r="E23" s="1486">
        <f>SUM(G23+I23+K23+M23+O23+Q23+S23+U23+W23+Y23+AA23+AC23+AE23+AG23+AI23+AK23+AM23+AO23)</f>
        <v/>
      </c>
      <c r="F23" s="894">
        <f>SUM(H23+J23+L23+N23+P23+R23+T23+V23+X23+Z23+AB23+AD23+AF23+AH23+AJ23+AL23+AN23+AP23)</f>
        <v/>
      </c>
      <c r="G23" s="1172" t="n">
        <v>8</v>
      </c>
      <c r="H23" s="886" t="n">
        <v>5</v>
      </c>
      <c r="I23" s="1172" t="n">
        <v>32</v>
      </c>
      <c r="J23" s="1173" t="n">
        <v>18</v>
      </c>
      <c r="K23" s="1172" t="n">
        <v>16</v>
      </c>
      <c r="L23" s="886" t="n">
        <v>17</v>
      </c>
      <c r="M23" s="1172" t="n">
        <v>12</v>
      </c>
      <c r="N23" s="1173" t="n">
        <v>15</v>
      </c>
      <c r="O23" s="1172" t="n">
        <v>10</v>
      </c>
      <c r="P23" s="886" t="n">
        <v>18</v>
      </c>
      <c r="Q23" s="1172" t="n">
        <v>18</v>
      </c>
      <c r="R23" s="886" t="n">
        <v>24</v>
      </c>
      <c r="S23" s="1172" t="n">
        <v>15</v>
      </c>
      <c r="T23" s="886" t="n">
        <v>19</v>
      </c>
      <c r="U23" s="1172" t="n">
        <v>16</v>
      </c>
      <c r="V23" s="886" t="n">
        <v>19</v>
      </c>
      <c r="W23" s="1174" t="n">
        <v>42</v>
      </c>
      <c r="X23" s="885" t="n">
        <v>39</v>
      </c>
      <c r="Y23" s="1172" t="n">
        <v>61</v>
      </c>
      <c r="Z23" s="886" t="n">
        <v>65</v>
      </c>
      <c r="AA23" s="1174" t="n">
        <v>45</v>
      </c>
      <c r="AB23" s="885" t="n">
        <v>61</v>
      </c>
      <c r="AC23" s="1172" t="n">
        <v>30</v>
      </c>
      <c r="AD23" s="886" t="n">
        <v>90</v>
      </c>
      <c r="AE23" s="1174" t="n">
        <v>28</v>
      </c>
      <c r="AF23" s="885" t="n">
        <v>99</v>
      </c>
      <c r="AG23" s="1172" t="n">
        <v>20</v>
      </c>
      <c r="AH23" s="886" t="n">
        <v>60</v>
      </c>
      <c r="AI23" s="1174" t="n">
        <v>40</v>
      </c>
      <c r="AJ23" s="885" t="n">
        <v>78</v>
      </c>
      <c r="AK23" s="1172" t="n">
        <v>32</v>
      </c>
      <c r="AL23" s="886" t="n">
        <v>60</v>
      </c>
      <c r="AM23" s="1174" t="n">
        <v>38</v>
      </c>
      <c r="AN23" s="886" t="n">
        <v>62</v>
      </c>
      <c r="AO23" s="1174" t="n">
        <v>10</v>
      </c>
      <c r="AP23" s="1929" t="n">
        <v>17</v>
      </c>
      <c r="AQ23" s="887" t="n">
        <v>31</v>
      </c>
      <c r="AR23" s="2001" t="n">
        <v>36</v>
      </c>
      <c r="AS23" s="2001" t="n">
        <v>26</v>
      </c>
      <c r="AT23" s="2001" t="n">
        <v>0</v>
      </c>
      <c r="AU23" s="2001" t="n">
        <v>2</v>
      </c>
      <c r="AV23" s="885" t="n">
        <v>42</v>
      </c>
      <c r="AW23" s="2495" t="n">
        <v>10</v>
      </c>
      <c r="AX23" s="1173" t="n">
        <v>14</v>
      </c>
      <c r="AY23">
        <f>CA23&amp;CB23&amp;CC23&amp;CD23&amp;CE23&amp;CF23&amp;CG23&amp;CH23</f>
        <v/>
      </c>
      <c r="CA23" s="196">
        <f>IF(AND((Y23+Z23)&gt;0,AQ23="")," * No olvide digitar la variable 12 años (incluido en el grupo de 10-14 años). Si no tiene digite Cero.",IF(AQ23&gt;(Y23+Z23),"* Las Consultas de 12 años (incluido en el grupo de 10-14 años) NO DEBEN ser mayor que el total de Consultas entre 10-14 años",""))</f>
        <v/>
      </c>
      <c r="CB23" s="196">
        <f>IF(AND($F23&gt;0,AR23="")," * No olvide digitar la variable Gestante. Digite cero si no tiene.",IF(AR23&gt;$F23," * La variable Gestante NO DEBEN ser mayor al Total de Mujeres. ",""))</f>
        <v/>
      </c>
      <c r="CC23" s="196">
        <f>IF(AND((AK23+AL23)&gt;0,AS23="")," * No olvide digitar la variable 60 años (incluido en grupos de 60-64 años). Digite Cero si no tiene.",IF(AS23&gt;(AK23+AL23)," * La variable 60 años (incluido en grupos de 60-64 años) NO DEBE ser mayor que el Total de consultas del grupo 60-64 años",""))</f>
        <v/>
      </c>
      <c r="CD23" s="196">
        <f>IF(AND(D23&gt;0,AT23="")," * No olvide digitar la variable Compra de servicio. Digite Cero si no tiene.","")</f>
        <v/>
      </c>
      <c r="CE23" s="196">
        <f>IF(AND(D23&gt;0,AU23="")," * No olvide digitar la variable Usuarios con Discapacidad. Digite Cero si no tiene.",IF(AU23&gt;$D23," * La variable Usuarios con Discapacidad No puede ser mayor al Total Ambos Sexos.",""))</f>
        <v/>
      </c>
      <c r="CF23" s="196">
        <f>IF(AND($D23&gt;0,AV23="")," * No olvide digitar la variable Migrantes. Digite Cero si no tiene.",IF(AV23&gt;$D23," * La variable Migrantes No puede ser mayor al Total Ambos Sexos.",""))</f>
        <v/>
      </c>
      <c r="CG23" s="196">
        <f>IF(AND(D23&gt;0,AW23="")," * No olvide digitar la variable "&amp;AW$19&amp;". Digite Cero si no tiene.",IF(AW23&gt;D23," * La variable "&amp;AW$19&amp;" No puede ser mayor al Total Ambos Sexos.",""))</f>
        <v/>
      </c>
      <c r="CH23" s="196">
        <f>IF(AND($D23&gt;0,AX23="")," * No olvide digitar la variable "&amp;AX$19&amp;". Digite Cero si no tiene.",IF(AX23&gt;$D23," * La variable "&amp;AX$19&amp;" no puede ser mayor al Total Ambos Sexos.",""))</f>
        <v/>
      </c>
      <c r="CO23" s="197">
        <f>IF(AND((Y23+Z23)&gt;0,AQ23=""),1,IF(AQ23&gt;(Y23+Z23),1,0))</f>
        <v/>
      </c>
      <c r="CP23" s="197">
        <f>IF(AND($F23&gt;0,AR23=""),1,IF(AR23&gt;$F23,1,0))</f>
        <v/>
      </c>
      <c r="CQ23" s="197">
        <f>IF(AND((AK23+AL23)&gt;0,AS23=""),1,IF(AS23&gt;(AK23+AL23),1,0))</f>
        <v/>
      </c>
      <c r="CR23" s="197">
        <f>IF(AND($D23&gt;0,AT23=""),1,0)</f>
        <v/>
      </c>
      <c r="CS23" s="197">
        <f>IF(AND($D23&gt;0,AU23=""),1,IF(AU23&gt;$D23,1,0))</f>
        <v/>
      </c>
      <c r="CT23" s="197">
        <f>IF(AND($D23&gt;0,AV23=""),1,IF(AV23&gt;$D23,1,0))</f>
        <v/>
      </c>
      <c r="CU23" s="197">
        <f>IF(AND($D23&gt;0,AW23=""),1,IF(AW23&gt;$D23,1,0))</f>
        <v/>
      </c>
      <c r="CV23" s="197">
        <f>IF(AND(D23&gt;0,AX23=""),1,IF(AX23&gt;D23,1,0))</f>
        <v/>
      </c>
    </row>
    <row r="24" ht="15" customHeight="1" s="8286">
      <c r="A24" s="3877" t="inlineStr">
        <is>
          <t xml:space="preserve">Aplicación de sellantes </t>
        </is>
      </c>
      <c r="B24" s="10208" t="n"/>
      <c r="C24" s="9644" t="n"/>
      <c r="D24" s="1485">
        <f>SUM(E24+F24)</f>
        <v/>
      </c>
      <c r="E24" s="1486">
        <f>SUM(G24+I24+K24+M24+O24+Q24+S24+U24+W24+Y24+AA24+AC24+AE24+AG24+AI24+AK24+AM24+AO24)</f>
        <v/>
      </c>
      <c r="F24" s="894">
        <f>SUM(H24+J24+L24+N24+P24+R24+T24+V24+X24+Z24+AB24+AD24+AF24+AH24+AJ24+AL24+AN24+AP24)</f>
        <v/>
      </c>
      <c r="G24" s="1172" t="n">
        <v>0</v>
      </c>
      <c r="H24" s="886" t="n">
        <v>0</v>
      </c>
      <c r="I24" s="1172" t="n">
        <v>0</v>
      </c>
      <c r="J24" s="1173" t="n">
        <v>0</v>
      </c>
      <c r="K24" s="1172" t="n">
        <v>0</v>
      </c>
      <c r="L24" s="886" t="n">
        <v>0</v>
      </c>
      <c r="M24" s="1172" t="n">
        <v>2</v>
      </c>
      <c r="N24" s="1173" t="n">
        <v>1</v>
      </c>
      <c r="O24" s="1172" t="n">
        <v>7</v>
      </c>
      <c r="P24" s="886" t="n">
        <v>2</v>
      </c>
      <c r="Q24" s="1172" t="n">
        <v>11</v>
      </c>
      <c r="R24" s="886" t="n">
        <v>7</v>
      </c>
      <c r="S24" s="1172" t="n">
        <v>4</v>
      </c>
      <c r="T24" s="886" t="n">
        <v>18</v>
      </c>
      <c r="U24" s="1172" t="n">
        <v>19</v>
      </c>
      <c r="V24" s="886" t="n">
        <v>16</v>
      </c>
      <c r="W24" s="1174" t="n">
        <v>29</v>
      </c>
      <c r="X24" s="885" t="n">
        <v>26</v>
      </c>
      <c r="Y24" s="1172" t="n">
        <v>75</v>
      </c>
      <c r="Z24" s="886" t="n">
        <v>115</v>
      </c>
      <c r="AA24" s="1174" t="n">
        <v>34</v>
      </c>
      <c r="AB24" s="885" t="n">
        <v>58</v>
      </c>
      <c r="AC24" s="1172" t="n">
        <v>15</v>
      </c>
      <c r="AD24" s="886" t="n">
        <v>25</v>
      </c>
      <c r="AE24" s="1174" t="n">
        <v>2</v>
      </c>
      <c r="AF24" s="885" t="n">
        <v>41</v>
      </c>
      <c r="AG24" s="1172" t="n">
        <v>0</v>
      </c>
      <c r="AH24" s="886" t="n">
        <v>0</v>
      </c>
      <c r="AI24" s="1174" t="n">
        <v>2</v>
      </c>
      <c r="AJ24" s="885" t="n">
        <v>0</v>
      </c>
      <c r="AK24" s="1172" t="n">
        <v>0</v>
      </c>
      <c r="AL24" s="886" t="n">
        <v>0</v>
      </c>
      <c r="AM24" s="1174" t="n">
        <v>0</v>
      </c>
      <c r="AN24" s="886" t="n">
        <v>0</v>
      </c>
      <c r="AO24" s="1174" t="n">
        <v>0</v>
      </c>
      <c r="AP24" s="1929" t="n">
        <v>0</v>
      </c>
      <c r="AQ24" s="887" t="n">
        <v>53</v>
      </c>
      <c r="AR24" s="2001" t="n">
        <v>32</v>
      </c>
      <c r="AS24" s="2001" t="n">
        <v>0</v>
      </c>
      <c r="AT24" s="2001" t="n">
        <v>0</v>
      </c>
      <c r="AU24" s="2001" t="n">
        <v>0</v>
      </c>
      <c r="AV24" s="885" t="n">
        <v>27</v>
      </c>
      <c r="AW24" s="2495" t="n">
        <v>10</v>
      </c>
      <c r="AX24" s="1173" t="n">
        <v>16</v>
      </c>
      <c r="AY24">
        <f>CA24&amp;CB24&amp;CC24&amp;CD24&amp;CE24&amp;CF24&amp;CG24&amp;CH24</f>
        <v/>
      </c>
      <c r="CA24" s="196">
        <f>IF(AND((Y24+Z24)&gt;0,AQ24="")," * No olvide digitar la variable 12 años (incluido en el grupo de 10-14 años). Si no tiene digite Cero.",IF(AQ24&gt;(Y24+Z24),"* Las Consultas de 12 años (incluido en el grupo de 10-14 años) NO DEBEN ser mayor que el total de Consultas entre 10-14 años",""))</f>
        <v/>
      </c>
      <c r="CB24" s="196">
        <f>IF(AND($F24&gt;0,AR24="")," * No olvide digitar la variable Gestante. Digite cero si no tiene.",IF(AR24&gt;$F24," * La variable Gestante NO DEBEN ser mayor al Total de Mujeres. ",""))</f>
        <v/>
      </c>
      <c r="CC24" s="196">
        <f>IF(AND((AK24+AL24)&gt;0,AS24="")," * No olvide digitar la variable 60 años (incluido en grupos de 60-64 años). Digite Cero si no tiene.",IF(AS24&gt;(AK24+AL24)," * La variable 60 años (incluido en grupos de 60-64 años) NO DEBE ser mayor que el Total de consultas del grupo 60-64 años",""))</f>
        <v/>
      </c>
      <c r="CD24" s="196">
        <f>IF(AND(D24&gt;0,AT24="")," * No olvide digitar la variable Compra de servicio. Digite Cero si no tiene.","")</f>
        <v/>
      </c>
      <c r="CE24" s="196">
        <f>IF(AND(D24&gt;0,AU24="")," * No olvide digitar la variable Usuarios con Discapacidad. Digite Cero si no tiene.",IF(AU24&gt;$D24," * La variable Usuarios con Discapacidad No puede ser mayor al Total Ambos Sexos.",""))</f>
        <v/>
      </c>
      <c r="CF24" s="196">
        <f>IF(AND($D24&gt;0,AV24="")," * No olvide digitar la variable Migrantes. Digite Cero si no tiene.",IF(AV24&gt;$D24," * La variable Migrantes No puede ser mayor al Total Ambos Sexos.",""))</f>
        <v/>
      </c>
      <c r="CG24" s="196">
        <f>IF(AND(D24&gt;0,AW24="")," * No olvide digitar la variable "&amp;AW$19&amp;". Digite Cero si no tiene.",IF(AW24&gt;D24," * La variable "&amp;AW$19&amp;" No puede ser mayor al Total Ambos Sexos.",""))</f>
        <v/>
      </c>
      <c r="CH24" s="196">
        <f>IF(AND($D24&gt;0,AX24="")," * No olvide digitar la variable "&amp;AX$19&amp;". Digite Cero si no tiene.",IF(AX24&gt;$D24," * La variable "&amp;AX$19&amp;" no puede ser mayor al Total Ambos Sexos.",""))</f>
        <v/>
      </c>
      <c r="CO24" s="197">
        <f>IF(AND((Y24+Z24)&gt;0,AQ24=""),1,IF(AQ24&gt;(Y24+Z24),1,0))</f>
        <v/>
      </c>
      <c r="CP24" s="197">
        <f>IF(AND($F24&gt;0,AR24=""),1,IF(AR24&gt;$F24,1,0))</f>
        <v/>
      </c>
      <c r="CQ24" s="197">
        <f>IF(AND((AK24+AL24)&gt;0,AS24=""),1,IF(AS24&gt;(AK24+AL24),1,0))</f>
        <v/>
      </c>
      <c r="CR24" s="197">
        <f>IF(AND($D24&gt;0,AT24=""),1,0)</f>
        <v/>
      </c>
      <c r="CS24" s="197">
        <f>IF(AND($D24&gt;0,AU24=""),1,IF(AU24&gt;$D24,1,0))</f>
        <v/>
      </c>
      <c r="CT24" s="197">
        <f>IF(AND($D24&gt;0,AV24=""),1,IF(AV24&gt;$D24,1,0))</f>
        <v/>
      </c>
      <c r="CU24" s="197">
        <f>IF(AND($D24&gt;0,AW24=""),1,IF(AW24&gt;$D24,1,0))</f>
        <v/>
      </c>
      <c r="CV24" s="197">
        <f>IF(AND(D24&gt;0,AX24=""),1,IF(AX24&gt;D24,1,0))</f>
        <v/>
      </c>
    </row>
    <row r="25" ht="15" customHeight="1" s="8286">
      <c r="A25" s="3877" t="inlineStr">
        <is>
          <t xml:space="preserve">Fluoración tópica barniz </t>
        </is>
      </c>
      <c r="B25" s="10208" t="n"/>
      <c r="C25" s="9644" t="n"/>
      <c r="D25" s="1485">
        <f>SUM(E25+F25)</f>
        <v/>
      </c>
      <c r="E25" s="1486">
        <f>SUM(G25+I25+K25+M25+O25+Q25+S25+U25+W25+Y25+AA25+AC25+AE25+AG25+AI25+AK25+AM25+AO25)</f>
        <v/>
      </c>
      <c r="F25" s="894">
        <f>SUM(H25+J25+L25+N25+P25+R25+T25+V25+X25+Z25+AB25+AD25+AF25+AH25+AJ25+AL25+AN25+AP25)</f>
        <v/>
      </c>
      <c r="G25" s="1172" t="n">
        <v>0</v>
      </c>
      <c r="H25" s="886" t="n">
        <v>1</v>
      </c>
      <c r="I25" s="1172" t="n">
        <v>6</v>
      </c>
      <c r="J25" s="1173" t="n">
        <v>4</v>
      </c>
      <c r="K25" s="1172" t="n">
        <v>5</v>
      </c>
      <c r="L25" s="886" t="n">
        <v>5</v>
      </c>
      <c r="M25" s="1172" t="n">
        <v>8</v>
      </c>
      <c r="N25" s="1173" t="n">
        <v>6</v>
      </c>
      <c r="O25" s="1172" t="n">
        <v>4</v>
      </c>
      <c r="P25" s="886" t="n">
        <v>7</v>
      </c>
      <c r="Q25" s="1172" t="n">
        <v>7</v>
      </c>
      <c r="R25" s="886" t="n">
        <v>10</v>
      </c>
      <c r="S25" s="1172" t="n">
        <v>6</v>
      </c>
      <c r="T25" s="886" t="n">
        <v>6</v>
      </c>
      <c r="U25" s="1172" t="n">
        <v>3</v>
      </c>
      <c r="V25" s="886" t="n">
        <v>4</v>
      </c>
      <c r="W25" s="1174" t="n">
        <v>10</v>
      </c>
      <c r="X25" s="885" t="n">
        <v>6</v>
      </c>
      <c r="Y25" s="1172" t="n">
        <v>11</v>
      </c>
      <c r="Z25" s="886" t="n">
        <v>13</v>
      </c>
      <c r="AA25" s="1174" t="n">
        <v>2</v>
      </c>
      <c r="AB25" s="885" t="n">
        <v>9</v>
      </c>
      <c r="AC25" s="1172" t="n">
        <v>2</v>
      </c>
      <c r="AD25" s="886" t="n">
        <v>4</v>
      </c>
      <c r="AE25" s="1174" t="n">
        <v>1</v>
      </c>
      <c r="AF25" s="885" t="n">
        <v>7</v>
      </c>
      <c r="AG25" s="1172" t="n">
        <v>1</v>
      </c>
      <c r="AH25" s="886" t="n">
        <v>2</v>
      </c>
      <c r="AI25" s="1174" t="n">
        <v>1</v>
      </c>
      <c r="AJ25" s="885" t="n">
        <v>8</v>
      </c>
      <c r="AK25" s="1172" t="n">
        <v>2</v>
      </c>
      <c r="AL25" s="886" t="n">
        <v>5</v>
      </c>
      <c r="AM25" s="1174" t="n">
        <v>0</v>
      </c>
      <c r="AN25" s="886" t="n">
        <v>3</v>
      </c>
      <c r="AO25" s="1174" t="n">
        <v>0</v>
      </c>
      <c r="AP25" s="1929" t="n">
        <v>1</v>
      </c>
      <c r="AQ25" s="887" t="n">
        <v>4</v>
      </c>
      <c r="AR25" s="2001" t="n">
        <v>4</v>
      </c>
      <c r="AS25" s="2001" t="n">
        <v>3</v>
      </c>
      <c r="AT25" s="2001" t="n">
        <v>0</v>
      </c>
      <c r="AU25" s="2001" t="n">
        <v>0</v>
      </c>
      <c r="AV25" s="885" t="n">
        <v>7</v>
      </c>
      <c r="AW25" s="2495" t="n">
        <v>2</v>
      </c>
      <c r="AX25" s="1173" t="n">
        <v>4</v>
      </c>
      <c r="AY25">
        <f>CA25&amp;CB25&amp;CC25&amp;CD25&amp;CE25&amp;CF25&amp;CG25&amp;CH25</f>
        <v/>
      </c>
      <c r="CA25" s="196">
        <f>IF(AND((Y25+Z25)&gt;0,AQ25="")," * No olvide digitar la variable 12 años (incluido en el grupo de 10-14 años). Si no tiene digite Cero.",IF(AQ25&gt;(Y25+Z25),"* Las Consultas de 12 años (incluido en el grupo de 10-14 años) NO DEBEN ser mayor que el total de Consultas entre 10-14 años",""))</f>
        <v/>
      </c>
      <c r="CB25" s="196">
        <f>IF(AND($F25&gt;0,AR25="")," * No olvide digitar la variable Gestante. Digite cero si no tiene.",IF(AR25&gt;$F25," * La variable Gestante NO DEBEN ser mayor al Total de Mujeres. ",""))</f>
        <v/>
      </c>
      <c r="CC25" s="196">
        <f>IF(AND((AK25+AL25)&gt;0,AS25="")," * No olvide digitar la variable 60 años (incluido en grupos de 60-64 años). Digite Cero si no tiene.",IF(AS25&gt;(AK25+AL25)," * La variable 60 años (incluido en grupos de 60-64 años) NO DEBE ser mayor que el Total de consultas del grupo 60-64 años",""))</f>
        <v/>
      </c>
      <c r="CD25" s="196">
        <f>IF(AND(D25&gt;0,AT25="")," * No olvide digitar la variable Compra de servicio. Digite Cero si no tiene.","")</f>
        <v/>
      </c>
      <c r="CE25" s="196">
        <f>IF(AND(D25&gt;0,AU25="")," * No olvide digitar la variable Usuarios con Discapacidad. Digite Cero si no tiene.",IF(AU25&gt;$D25," * La variable Usuarios con Discapacidad No puede ser mayor al Total Ambos Sexos.",""))</f>
        <v/>
      </c>
      <c r="CF25" s="196">
        <f>IF(AND($D25&gt;0,AV25="")," * No olvide digitar la variable Migrantes. Digite Cero si no tiene.",IF(AV25&gt;$D25," * La variable Migrantes No puede ser mayor al Total Ambos Sexos.",""))</f>
        <v/>
      </c>
      <c r="CG25" s="196">
        <f>IF(AND(D25&gt;0,AW25="")," * No olvide digitar la variable "&amp;AW$19&amp;". Digite Cero si no tiene.",IF(AW25&gt;D25," * La variable "&amp;AW$19&amp;" No puede ser mayor al Total Ambos Sexos.",""))</f>
        <v/>
      </c>
      <c r="CH25" s="196">
        <f>IF(AND($D25&gt;0,AX25="")," * No olvide digitar la variable "&amp;AX$19&amp;". Digite Cero si no tiene.",IF(AX25&gt;$D25," * La variable "&amp;AX$19&amp;" no puede ser mayor al Total Ambos Sexos.",""))</f>
        <v/>
      </c>
      <c r="CO25" s="197">
        <f>IF(AND((Y25+Z25)&gt;0,AQ25=""),1,IF(AQ25&gt;(Y25+Z25),1,0))</f>
        <v/>
      </c>
      <c r="CP25" s="197">
        <f>IF(AND($F25&gt;0,AR25=""),1,IF(AR25&gt;$F25,1,0))</f>
        <v/>
      </c>
      <c r="CQ25" s="197">
        <f>IF(AND((AK25+AL25)&gt;0,AS25=""),1,IF(AS25&gt;(AK25+AL25),1,0))</f>
        <v/>
      </c>
      <c r="CR25" s="197">
        <f>IF(AND($D25&gt;0,AT25=""),1,0)</f>
        <v/>
      </c>
      <c r="CS25" s="197">
        <f>IF(AND($D25&gt;0,AU25=""),1,IF(AU25&gt;$D25,1,0))</f>
        <v/>
      </c>
      <c r="CT25" s="197">
        <f>IF(AND($D25&gt;0,AV25=""),1,IF(AV25&gt;$D25,1,0))</f>
        <v/>
      </c>
      <c r="CU25" s="197">
        <f>IF(AND($D25&gt;0,AW25=""),1,IF(AW25&gt;$D25,1,0))</f>
        <v/>
      </c>
      <c r="CV25" s="197">
        <f>IF(AND(D25&gt;0,AX25=""),1,IF(AX25&gt;D25,1,0))</f>
        <v/>
      </c>
    </row>
    <row r="26" ht="15" customHeight="1" s="8286">
      <c r="A26" s="3877" t="inlineStr">
        <is>
          <t>Actividad interceptiva de anomalías dento maxilares (OPI)</t>
        </is>
      </c>
      <c r="B26" s="10208" t="n"/>
      <c r="C26" s="9644" t="n"/>
      <c r="D26" s="1485">
        <f>SUM(E26+F26)</f>
        <v/>
      </c>
      <c r="E26" s="1486">
        <f>SUM(G26+I26+K26+M26+O26+Q26+S26+U26+W26+Y26+AA26+AC26+AE26+AG26+AI26+AK26+AM26+AO26)</f>
        <v/>
      </c>
      <c r="F26" s="894">
        <f>SUM(H26+J26+L26+N26+P26+R26+T26+V26+X26+Z26+AB26+AD26+AF26+AH26+AJ26+AL26+AN26+AP26)</f>
        <v/>
      </c>
      <c r="G26" s="1172" t="n">
        <v>0</v>
      </c>
      <c r="H26" s="886" t="n">
        <v>1</v>
      </c>
      <c r="I26" s="1172" t="n">
        <v>4</v>
      </c>
      <c r="J26" s="1173" t="n">
        <v>1</v>
      </c>
      <c r="K26" s="1172" t="n">
        <v>2</v>
      </c>
      <c r="L26" s="886" t="n">
        <v>5</v>
      </c>
      <c r="M26" s="1172" t="n">
        <v>2</v>
      </c>
      <c r="N26" s="1173" t="n">
        <v>2</v>
      </c>
      <c r="O26" s="1172" t="n">
        <v>2</v>
      </c>
      <c r="P26" s="886" t="n">
        <v>2</v>
      </c>
      <c r="Q26" s="1172" t="n">
        <v>1</v>
      </c>
      <c r="R26" s="886" t="n">
        <v>5</v>
      </c>
      <c r="S26" s="1172" t="n">
        <v>2</v>
      </c>
      <c r="T26" s="886" t="n">
        <v>3</v>
      </c>
      <c r="U26" s="1172" t="n">
        <v>4</v>
      </c>
      <c r="V26" s="886" t="n">
        <v>4</v>
      </c>
      <c r="W26" s="1174" t="n">
        <v>8</v>
      </c>
      <c r="X26" s="885" t="n">
        <v>4</v>
      </c>
      <c r="Y26" s="1172" t="n">
        <v>0</v>
      </c>
      <c r="Z26" s="886" t="n">
        <v>0</v>
      </c>
      <c r="AA26" s="1174" t="n">
        <v>0</v>
      </c>
      <c r="AB26" s="885" t="n">
        <v>0</v>
      </c>
      <c r="AC26" s="1172" t="n">
        <v>0</v>
      </c>
      <c r="AD26" s="886" t="n">
        <v>0</v>
      </c>
      <c r="AE26" s="1174" t="n">
        <v>0</v>
      </c>
      <c r="AF26" s="885" t="n">
        <v>0</v>
      </c>
      <c r="AG26" s="1172" t="n">
        <v>0</v>
      </c>
      <c r="AH26" s="886" t="n">
        <v>0</v>
      </c>
      <c r="AI26" s="1174" t="n">
        <v>0</v>
      </c>
      <c r="AJ26" s="885" t="n">
        <v>0</v>
      </c>
      <c r="AK26" s="1172" t="n">
        <v>0</v>
      </c>
      <c r="AL26" s="886" t="n">
        <v>0</v>
      </c>
      <c r="AM26" s="1174" t="n">
        <v>0</v>
      </c>
      <c r="AN26" s="886" t="n">
        <v>0</v>
      </c>
      <c r="AO26" s="1174" t="n">
        <v>0</v>
      </c>
      <c r="AP26" s="1929" t="n">
        <v>0</v>
      </c>
      <c r="AQ26" s="887" t="n">
        <v>0</v>
      </c>
      <c r="AR26" s="2001" t="n">
        <v>0</v>
      </c>
      <c r="AS26" s="2001" t="n">
        <v>0</v>
      </c>
      <c r="AT26" s="2001" t="n">
        <v>0</v>
      </c>
      <c r="AU26" s="2001" t="n">
        <v>0</v>
      </c>
      <c r="AV26" s="885" t="n">
        <v>2</v>
      </c>
      <c r="AW26" s="2495" t="n">
        <v>1</v>
      </c>
      <c r="AX26" s="1173" t="n">
        <v>0</v>
      </c>
      <c r="AY26">
        <f>CA26&amp;CB26&amp;CC26&amp;CD26&amp;CE26&amp;CF26&amp;CG26&amp;CH26</f>
        <v/>
      </c>
      <c r="CA26" s="196">
        <f>IF(AND((Y26+Z26)&gt;0,AQ26="")," * No olvide digitar la variable 12 años (incluido en el grupo de 10-14 años). Si no tiene digite Cero.",IF(AQ26&gt;(Y26+Z26),"* Las Consultas de 12 años (incluido en el grupo de 10-14 años) NO DEBEN ser mayor que el total de Consultas entre 10-14 años",""))</f>
        <v/>
      </c>
      <c r="CB26" s="196">
        <f>IF(AND($F26&gt;0,AR26="")," * No olvide digitar la variable Gestante. Digite cero si no tiene.",IF(AR26&gt;$F26," * La variable Gestante NO DEBEN ser mayor al Total de Mujeres. ",""))</f>
        <v/>
      </c>
      <c r="CC26" s="196">
        <f>IF(AND((AK26+AL26)&gt;0,AS26="")," * No olvide digitar la variable 60 años (incluido en grupos de 60-64 años). Digite Cero si no tiene.",IF(AS26&gt;(AK26+AL26)," * La variable 60 años (incluido en grupos de 60-64 años) NO DEBE ser mayor que el Total de consultas del grupo 60-64 años",""))</f>
        <v/>
      </c>
      <c r="CD26" s="196">
        <f>IF(AND(D26&gt;0,AT26="")," * No olvide digitar la variable Compra de servicio. Digite Cero si no tiene.","")</f>
        <v/>
      </c>
      <c r="CE26" s="196">
        <f>IF(AND(D26&gt;0,AU26="")," * No olvide digitar la variable Usuarios con Discapacidad. Digite Cero si no tiene.",IF(AU26&gt;$D26," * La variable Usuarios con Discapacidad No puede ser mayor al Total Ambos Sexos.",""))</f>
        <v/>
      </c>
      <c r="CF26" s="196">
        <f>IF(AND($D26&gt;0,AV26="")," * No olvide digitar la variable Migrantes. Digite Cero si no tiene.",IF(AV26&gt;$D26," * La variable Migrantes No puede ser mayor al Total Ambos Sexos.",""))</f>
        <v/>
      </c>
      <c r="CG26" s="196">
        <f>IF(AND(D26&gt;0,AW26="")," * No olvide digitar la variable "&amp;AW$19&amp;". Digite Cero si no tiene.",IF(AW26&gt;D26," * La variable "&amp;AW$19&amp;" No puede ser mayor al Total Ambos Sexos.",""))</f>
        <v/>
      </c>
      <c r="CH26" s="196">
        <f>IF(AND($D26&gt;0,AX26="")," * No olvide digitar la variable "&amp;AX$19&amp;". Digite Cero si no tiene.",IF(AX26&gt;$D26," * La variable "&amp;AX$19&amp;" no puede ser mayor al Total Ambos Sexos.",""))</f>
        <v/>
      </c>
      <c r="CO26" s="197">
        <f>IF(AND((Y26+Z26)&gt;0,AQ26=""),1,IF(AQ26&gt;(Y26+Z26),1,0))</f>
        <v/>
      </c>
      <c r="CP26" s="197">
        <f>IF(AND($F26&gt;0,AR26=""),1,IF(AR26&gt;$F26,1,0))</f>
        <v/>
      </c>
      <c r="CQ26" s="197">
        <f>IF(AND((AK26+AL26)&gt;0,AS26=""),1,IF(AS26&gt;(AK26+AL26),1,0))</f>
        <v/>
      </c>
      <c r="CR26" s="197">
        <f>IF(AND($D26&gt;0,AT26=""),1,0)</f>
        <v/>
      </c>
      <c r="CS26" s="197">
        <f>IF(AND($D26&gt;0,AU26=""),1,IF(AU26&gt;$D26,1,0))</f>
        <v/>
      </c>
      <c r="CT26" s="197">
        <f>IF(AND($D26&gt;0,AV26=""),1,IF(AV26&gt;$D26,1,0))</f>
        <v/>
      </c>
      <c r="CU26" s="197">
        <f>IF(AND($D26&gt;0,AW26=""),1,IF(AW26&gt;$D26,1,0))</f>
        <v/>
      </c>
      <c r="CV26" s="197">
        <f>IF(AND(D26&gt;0,AX26=""),1,IF(AX26&gt;D26,1,0))</f>
        <v/>
      </c>
    </row>
    <row r="27" ht="15" customHeight="1" s="8286">
      <c r="A27" s="3877" t="inlineStr">
        <is>
          <t xml:space="preserve">Destartraje supragingival y pulido coronario </t>
        </is>
      </c>
      <c r="B27" s="10208" t="n"/>
      <c r="C27" s="9644" t="n"/>
      <c r="D27" s="1485">
        <f>SUM(E27+F27)</f>
        <v/>
      </c>
      <c r="E27" s="1486">
        <f>SUM(G27+I27+K27+M27+O27+Q27+S27+U27+W27+Y27+AA27+AC27+AE27+AG27+AI27+AK27+AM27+AO27)</f>
        <v/>
      </c>
      <c r="F27" s="894">
        <f>SUM(H27+J27+L27+N27+P27+R27+T27+V27+X27+Z27+AB27+AD27+AF27+AH27+AJ27+AL27+AN27+AP27)</f>
        <v/>
      </c>
      <c r="G27" s="1172" t="n">
        <v>0</v>
      </c>
      <c r="H27" s="886" t="n">
        <v>0</v>
      </c>
      <c r="I27" s="1172" t="n">
        <v>0</v>
      </c>
      <c r="J27" s="1173" t="n">
        <v>0</v>
      </c>
      <c r="K27" s="1172" t="n">
        <v>0</v>
      </c>
      <c r="L27" s="886" t="n">
        <v>0</v>
      </c>
      <c r="M27" s="1172" t="n">
        <v>0</v>
      </c>
      <c r="N27" s="1173" t="n">
        <v>0</v>
      </c>
      <c r="O27" s="1172" t="n">
        <v>0</v>
      </c>
      <c r="P27" s="886" t="n">
        <v>1</v>
      </c>
      <c r="Q27" s="1172" t="n">
        <v>3</v>
      </c>
      <c r="R27" s="886" t="n">
        <v>1</v>
      </c>
      <c r="S27" s="1172" t="n">
        <v>2</v>
      </c>
      <c r="T27" s="886" t="n">
        <v>0</v>
      </c>
      <c r="U27" s="1172" t="n">
        <v>1</v>
      </c>
      <c r="V27" s="886" t="n">
        <v>0</v>
      </c>
      <c r="W27" s="1174" t="n">
        <v>6</v>
      </c>
      <c r="X27" s="885" t="n">
        <v>3</v>
      </c>
      <c r="Y27" s="1172" t="n">
        <v>12</v>
      </c>
      <c r="Z27" s="886" t="n">
        <v>12</v>
      </c>
      <c r="AA27" s="1174" t="n">
        <v>12</v>
      </c>
      <c r="AB27" s="885" t="n">
        <v>22</v>
      </c>
      <c r="AC27" s="1172" t="n">
        <v>2</v>
      </c>
      <c r="AD27" s="886" t="n">
        <v>18</v>
      </c>
      <c r="AE27" s="1174" t="n">
        <v>5</v>
      </c>
      <c r="AF27" s="885" t="n">
        <v>21</v>
      </c>
      <c r="AG27" s="1172" t="n">
        <v>6</v>
      </c>
      <c r="AH27" s="886" t="n">
        <v>10</v>
      </c>
      <c r="AI27" s="1174" t="n">
        <v>8</v>
      </c>
      <c r="AJ27" s="885" t="n">
        <v>10</v>
      </c>
      <c r="AK27" s="1172" t="n">
        <v>3</v>
      </c>
      <c r="AL27" s="886" t="n">
        <v>7</v>
      </c>
      <c r="AM27" s="1174" t="n">
        <v>4</v>
      </c>
      <c r="AN27" s="886" t="n">
        <v>6</v>
      </c>
      <c r="AO27" s="1174" t="n">
        <v>0</v>
      </c>
      <c r="AP27" s="1929" t="n">
        <v>1</v>
      </c>
      <c r="AQ27" s="887" t="n">
        <v>6</v>
      </c>
      <c r="AR27" s="2001" t="n">
        <v>11</v>
      </c>
      <c r="AS27" s="2001" t="n">
        <v>4</v>
      </c>
      <c r="AT27" s="2001" t="n">
        <v>0</v>
      </c>
      <c r="AU27" s="2001" t="n">
        <v>0</v>
      </c>
      <c r="AV27" s="885" t="n">
        <v>6</v>
      </c>
      <c r="AW27" s="2495" t="n">
        <v>2</v>
      </c>
      <c r="AX27" s="1173" t="n">
        <v>4</v>
      </c>
      <c r="AY27">
        <f>CA27&amp;CB27&amp;CC27&amp;CD27&amp;CE27&amp;CF27&amp;CG27&amp;CH27</f>
        <v/>
      </c>
      <c r="CA27" s="196">
        <f>IF(AND((Y27+Z27)&gt;0,AQ27="")," * No olvide digitar la variable 12 años (incluido en el grupo de 10-14 años). Si no tiene digite Cero.",IF(AQ27&gt;(Y27+Z27),"* Las Consultas de 12 años (incluido en el grupo de 10-14 años) NO DEBEN ser mayor que el total de Consultas entre 10-14 años",""))</f>
        <v/>
      </c>
      <c r="CB27" s="196">
        <f>IF(AND($F27&gt;0,AR27="")," * No olvide digitar la variable Gestante. Digite cero si no tiene.",IF(AR27&gt;$F27," * La variable Gestante NO DEBEN ser mayor al Total de Mujeres. ",""))</f>
        <v/>
      </c>
      <c r="CC27" s="196">
        <f>IF(AND((AK27+AL27)&gt;0,AS27="")," * No olvide digitar la variable 60 años (incluido en grupos de 60-64 años). Digite Cero si no tiene.",IF(AS27&gt;(AK27+AL27)," * La variable 60 años (incluido en grupos de 60-64 años) NO DEBE ser mayor que el Total de consultas del grupo 60-64 años",""))</f>
        <v/>
      </c>
      <c r="CD27" s="196">
        <f>IF(AND(D27&gt;0,AT27="")," * No olvide digitar la variable Compra de servicio. Digite Cero si no tiene.","")</f>
        <v/>
      </c>
      <c r="CE27" s="196">
        <f>IF(AND(D27&gt;0,AU27="")," * No olvide digitar la variable Usuarios con Discapacidad. Digite Cero si no tiene.",IF(AU27&gt;$D27," * La variable Usuarios con Discapacidad No puede ser mayor al Total Ambos Sexos.",""))</f>
        <v/>
      </c>
      <c r="CF27" s="196">
        <f>IF(AND($D27&gt;0,AV27="")," * No olvide digitar la variable Migrantes. Digite Cero si no tiene.",IF(AV27&gt;$D27," * La variable Migrantes No puede ser mayor al Total Ambos Sexos.",""))</f>
        <v/>
      </c>
      <c r="CG27" s="196">
        <f>IF(AND(D27&gt;0,AW27="")," * No olvide digitar la variable "&amp;AW$19&amp;". Digite Cero si no tiene.",IF(AW27&gt;D27," * La variable "&amp;AW$19&amp;" No puede ser mayor al Total Ambos Sexos.",""))</f>
        <v/>
      </c>
      <c r="CH27" s="196">
        <f>IF(AND($D27&gt;0,AX27="")," * No olvide digitar la variable "&amp;AX$19&amp;". Digite Cero si no tiene.",IF(AX27&gt;$D27," * La variable "&amp;AX$19&amp;" no puede ser mayor al Total Ambos Sexos.",""))</f>
        <v/>
      </c>
      <c r="CO27" s="197">
        <f>IF(AND((Y27+Z27)&gt;0,AQ27=""),1,IF(AQ27&gt;(Y27+Z27),1,0))</f>
        <v/>
      </c>
      <c r="CP27" s="197">
        <f>IF(AND($F27&gt;0,AR27=""),1,IF(AR27&gt;$F27,1,0))</f>
        <v/>
      </c>
      <c r="CQ27" s="197">
        <f>IF(AND((AK27+AL27)&gt;0,AS27=""),1,IF(AS27&gt;(AK27+AL27),1,0))</f>
        <v/>
      </c>
      <c r="CR27" s="197">
        <f>IF(AND($D27&gt;0,AT27=""),1,0)</f>
        <v/>
      </c>
      <c r="CS27" s="197">
        <f>IF(AND($D27&gt;0,AU27=""),1,IF(AU27&gt;$D27,1,0))</f>
        <v/>
      </c>
      <c r="CT27" s="197">
        <f>IF(AND($D27&gt;0,AV27=""),1,IF(AV27&gt;$D27,1,0))</f>
        <v/>
      </c>
      <c r="CU27" s="197">
        <f>IF(AND($D27&gt;0,AW27=""),1,IF(AW27&gt;$D27,1,0))</f>
        <v/>
      </c>
      <c r="CV27" s="197">
        <f>IF(AND(D27&gt;0,AX27=""),1,IF(AX27&gt;D27,1,0))</f>
        <v/>
      </c>
    </row>
    <row r="28" ht="15" customHeight="1" s="8286">
      <c r="A28" s="3877" t="inlineStr">
        <is>
          <t xml:space="preserve">Exodoncia </t>
        </is>
      </c>
      <c r="B28" s="10208" t="n"/>
      <c r="C28" s="9644" t="n"/>
      <c r="D28" s="2706">
        <f>SUM(E28+F28)</f>
        <v/>
      </c>
      <c r="E28" s="1486">
        <f>SUM(G28+I28+K28+M28+O28+Q28+S28+U28+W28+Y28+AA28+AC28+AE28+AG28+AI28+AK28+AM28+AO28)</f>
        <v/>
      </c>
      <c r="F28" s="894">
        <f>SUM(H28+J28+L28+N28+P28+R28+T28+V28+X28+Z28+AB28+AD28+AF28+AH28+AJ28+AL28+AN28+AP28)</f>
        <v/>
      </c>
      <c r="G28" s="1172" t="n">
        <v>0</v>
      </c>
      <c r="H28" s="886" t="n">
        <v>0</v>
      </c>
      <c r="I28" s="1172" t="n">
        <v>0</v>
      </c>
      <c r="J28" s="1173" t="n">
        <v>0</v>
      </c>
      <c r="K28" s="1172" t="n">
        <v>0</v>
      </c>
      <c r="L28" s="886" t="n">
        <v>0</v>
      </c>
      <c r="M28" s="1172" t="n">
        <v>0</v>
      </c>
      <c r="N28" s="1173" t="n">
        <v>0</v>
      </c>
      <c r="O28" s="1172" t="n">
        <v>0</v>
      </c>
      <c r="P28" s="886" t="n">
        <v>0</v>
      </c>
      <c r="Q28" s="1172" t="n">
        <v>0</v>
      </c>
      <c r="R28" s="886" t="n">
        <v>1</v>
      </c>
      <c r="S28" s="1172" t="n">
        <v>0</v>
      </c>
      <c r="T28" s="886" t="n">
        <v>0</v>
      </c>
      <c r="U28" s="1172" t="n">
        <v>0</v>
      </c>
      <c r="V28" s="886" t="n">
        <v>1</v>
      </c>
      <c r="W28" s="1174" t="n">
        <v>12</v>
      </c>
      <c r="X28" s="885" t="n">
        <v>5</v>
      </c>
      <c r="Y28" s="1172" t="n">
        <v>4</v>
      </c>
      <c r="Z28" s="886" t="n">
        <v>8</v>
      </c>
      <c r="AA28" s="1174" t="n">
        <v>2</v>
      </c>
      <c r="AB28" s="885" t="n">
        <v>1</v>
      </c>
      <c r="AC28" s="1172" t="n">
        <v>3</v>
      </c>
      <c r="AD28" s="886" t="n">
        <v>4</v>
      </c>
      <c r="AE28" s="1174" t="n">
        <v>3</v>
      </c>
      <c r="AF28" s="885" t="n">
        <v>7</v>
      </c>
      <c r="AG28" s="1172" t="n">
        <v>1</v>
      </c>
      <c r="AH28" s="886" t="n">
        <v>3</v>
      </c>
      <c r="AI28" s="1174" t="n">
        <v>1</v>
      </c>
      <c r="AJ28" s="885" t="n">
        <v>7</v>
      </c>
      <c r="AK28" s="1172" t="n">
        <v>2</v>
      </c>
      <c r="AL28" s="886" t="n">
        <v>4</v>
      </c>
      <c r="AM28" s="1174" t="n">
        <v>5</v>
      </c>
      <c r="AN28" s="886" t="n">
        <v>8</v>
      </c>
      <c r="AO28" s="1174" t="n">
        <v>3</v>
      </c>
      <c r="AP28" s="1929" t="n">
        <v>4</v>
      </c>
      <c r="AQ28" s="887" t="n">
        <v>1</v>
      </c>
      <c r="AR28" s="2001" t="n">
        <v>1</v>
      </c>
      <c r="AS28" s="2001" t="n">
        <v>1</v>
      </c>
      <c r="AT28" s="2001" t="n">
        <v>0</v>
      </c>
      <c r="AU28" s="2001" t="n">
        <v>0</v>
      </c>
      <c r="AV28" s="885" t="n">
        <v>0</v>
      </c>
      <c r="AW28" s="2495" t="n">
        <v>0</v>
      </c>
      <c r="AX28" s="1173" t="n">
        <v>1</v>
      </c>
      <c r="AY28">
        <f>CA28&amp;CB28&amp;CC28&amp;CD28&amp;CE28&amp;CF28&amp;CG28&amp;CH28</f>
        <v/>
      </c>
      <c r="CA28" s="196">
        <f>IF(AND((Y28+Z28)&gt;0,AQ28="")," * No olvide digitar la variable 12 años (incluido en el grupo de 10-14 años). Si no tiene digite Cero.",IF(AQ28&gt;(Y28+Z28),"* Las Consultas de 12 años (incluido en el grupo de 10-14 años) NO DEBEN ser mayor que el total de Consultas entre 10-14 años",""))</f>
        <v/>
      </c>
      <c r="CB28" s="196">
        <f>IF(AND($F28&gt;0,AR28="")," * No olvide digitar la variable Gestante. Digite cero si no tiene.",IF(AR28&gt;$F28," * La variable Gestante NO DEBEN ser mayor al Total de Mujeres. ",""))</f>
        <v/>
      </c>
      <c r="CC28" s="196">
        <f>IF(AND((AK28+AL28)&gt;0,AS28="")," * No olvide digitar la variable 60 años (incluido en grupos de 60-64 años). Digite Cero si no tiene.",IF(AS28&gt;(AK28+AL28)," * La variable 60 años (incluido en grupos de 60-64 años) NO DEBE ser mayor que el Total de consultas del grupo 60-64 años",""))</f>
        <v/>
      </c>
      <c r="CD28" s="196">
        <f>IF(AND(D28&gt;0,AT28="")," * No olvide digitar la variable Compra de servicio. Digite Cero si no tiene.","")</f>
        <v/>
      </c>
      <c r="CE28" s="196">
        <f>IF(AND(D28&gt;0,AU28="")," * No olvide digitar la variable Usuarios con Discapacidad. Digite Cero si no tiene.",IF(AU28&gt;$D28," * La variable Usuarios con Discapacidad No puede ser mayor al Total Ambos Sexos.",""))</f>
        <v/>
      </c>
      <c r="CF28" s="196">
        <f>IF(AND($D28&gt;0,AV28="")," * No olvide digitar la variable Migrantes. Digite Cero si no tiene.",IF(AV28&gt;$D28," * La variable Migrantes No puede ser mayor al Total Ambos Sexos.",""))</f>
        <v/>
      </c>
      <c r="CG28" s="196">
        <f>IF(AND(D28&gt;0,AW28="")," * No olvide digitar la variable "&amp;AW$19&amp;". Digite Cero si no tiene.",IF(AW28&gt;D28," * La variable "&amp;AW$19&amp;" No puede ser mayor al Total Ambos Sexos.",""))</f>
        <v/>
      </c>
      <c r="CH28" s="196">
        <f>IF(AND($D28&gt;0,AX28="")," * No olvide digitar la variable "&amp;AX$19&amp;". Digite Cero si no tiene.",IF(AX28&gt;$D28," * La variable "&amp;AX$19&amp;" no puede ser mayor al Total Ambos Sexos.",""))</f>
        <v/>
      </c>
      <c r="CO28" s="197">
        <f>IF(AND((Y28+Z28)&gt;0,AQ28=""),1,IF(AQ28&gt;(Y28+Z28),1,0))</f>
        <v/>
      </c>
      <c r="CP28" s="197">
        <f>IF(AND($F28&gt;0,AR28=""),1,IF(AR28&gt;$F28,1,0))</f>
        <v/>
      </c>
      <c r="CQ28" s="197">
        <f>IF(AND((AK28+AL28)&gt;0,AS28=""),1,IF(AS28&gt;(AK28+AL28),1,0))</f>
        <v/>
      </c>
      <c r="CR28" s="197">
        <f>IF(AND($D28&gt;0,AT28=""),1,0)</f>
        <v/>
      </c>
      <c r="CS28" s="197">
        <f>IF(AND($D28&gt;0,AU28=""),1,IF(AU28&gt;$D28,1,0))</f>
        <v/>
      </c>
      <c r="CT28" s="197">
        <f>IF(AND($D28&gt;0,AV28=""),1,IF(AV28&gt;$D28,1,0))</f>
        <v/>
      </c>
      <c r="CU28" s="197">
        <f>IF(AND($D28&gt;0,AW28=""),1,IF(AW28&gt;$D28,1,0))</f>
        <v/>
      </c>
      <c r="CV28" s="197">
        <f>IF(AND(D28&gt;0,AX28=""),1,IF(AX28&gt;D28,1,0))</f>
        <v/>
      </c>
    </row>
    <row r="29" ht="15" customHeight="1" s="8286">
      <c r="A29" s="3877" t="inlineStr">
        <is>
          <t xml:space="preserve">Procedimiento pulpar </t>
        </is>
      </c>
      <c r="B29" s="10208" t="n"/>
      <c r="C29" s="9644" t="n"/>
      <c r="D29" s="2706">
        <f>SUM(E29+F29)</f>
        <v/>
      </c>
      <c r="E29" s="1486">
        <f>SUM(G29+I29+K29+M29+O29+Q29+S29+U29+W29+Y29+AA29+AC29+AE29+AG29+AI29+AK29+AM29+AO29)</f>
        <v/>
      </c>
      <c r="F29" s="894">
        <f>SUM(H29+J29+L29+N29+P29+R29+T29+V29+X29+Z29+AB29+AD29+AF29+AH29+AJ29+AL29+AN29+AP29)</f>
        <v/>
      </c>
      <c r="G29" s="1172" t="n">
        <v>0</v>
      </c>
      <c r="H29" s="886" t="n">
        <v>0</v>
      </c>
      <c r="I29" s="1172" t="n">
        <v>0</v>
      </c>
      <c r="J29" s="1173" t="n">
        <v>0</v>
      </c>
      <c r="K29" s="1172" t="n">
        <v>0</v>
      </c>
      <c r="L29" s="886" t="n">
        <v>0</v>
      </c>
      <c r="M29" s="1172" t="n">
        <v>0</v>
      </c>
      <c r="N29" s="1173" t="n">
        <v>0</v>
      </c>
      <c r="O29" s="1172" t="n">
        <v>0</v>
      </c>
      <c r="P29" s="886" t="n">
        <v>0</v>
      </c>
      <c r="Q29" s="1172" t="n">
        <v>1</v>
      </c>
      <c r="R29" s="886" t="n">
        <v>2</v>
      </c>
      <c r="S29" s="1172" t="n">
        <v>1</v>
      </c>
      <c r="T29" s="886" t="n">
        <v>1</v>
      </c>
      <c r="U29" s="1172" t="n">
        <v>2</v>
      </c>
      <c r="V29" s="886" t="n">
        <v>0</v>
      </c>
      <c r="W29" s="1174" t="n">
        <v>1</v>
      </c>
      <c r="X29" s="885" t="n">
        <v>0</v>
      </c>
      <c r="Y29" s="1172" t="n">
        <v>0</v>
      </c>
      <c r="Z29" s="886" t="n">
        <v>0</v>
      </c>
      <c r="AA29" s="1174" t="n">
        <v>0</v>
      </c>
      <c r="AB29" s="885" t="n">
        <v>0</v>
      </c>
      <c r="AC29" s="1172" t="n">
        <v>0</v>
      </c>
      <c r="AD29" s="886" t="n">
        <v>0</v>
      </c>
      <c r="AE29" s="1174" t="n">
        <v>0</v>
      </c>
      <c r="AF29" s="885" t="n">
        <v>0</v>
      </c>
      <c r="AG29" s="1172" t="n">
        <v>0</v>
      </c>
      <c r="AH29" s="886" t="n">
        <v>0</v>
      </c>
      <c r="AI29" s="1174" t="n">
        <v>0</v>
      </c>
      <c r="AJ29" s="885" t="n">
        <v>0</v>
      </c>
      <c r="AK29" s="1172" t="n">
        <v>0</v>
      </c>
      <c r="AL29" s="886" t="n">
        <v>0</v>
      </c>
      <c r="AM29" s="1174" t="n">
        <v>0</v>
      </c>
      <c r="AN29" s="886" t="n">
        <v>0</v>
      </c>
      <c r="AO29" s="1174" t="n">
        <v>0</v>
      </c>
      <c r="AP29" s="1929" t="n">
        <v>0</v>
      </c>
      <c r="AQ29" s="887" t="n">
        <v>0</v>
      </c>
      <c r="AR29" s="2001" t="n">
        <v>0</v>
      </c>
      <c r="AS29" s="2001" t="n">
        <v>0</v>
      </c>
      <c r="AT29" s="2001" t="n">
        <v>0</v>
      </c>
      <c r="AU29" s="2001" t="n">
        <v>0</v>
      </c>
      <c r="AV29" s="885" t="n">
        <v>0</v>
      </c>
      <c r="AW29" s="2495" t="n">
        <v>0</v>
      </c>
      <c r="AX29" s="1173" t="n">
        <v>0</v>
      </c>
      <c r="AY29">
        <f>CA29&amp;CB29&amp;CC29&amp;CD29&amp;CE29&amp;CF29&amp;CG29&amp;CH29</f>
        <v/>
      </c>
      <c r="CA29" s="196">
        <f>IF(AND((Y29+Z29)&gt;0,AQ29="")," * No olvide digitar la variable 12 años (incluido en el grupo de 10-14 años). Si no tiene digite Cero.",IF(AQ29&gt;(Y29+Z29),"* Las Consultas de 12 años (incluido en el grupo de 10-14 años) NO DEBEN ser mayor que el total de Consultas entre 10-14 años",""))</f>
        <v/>
      </c>
      <c r="CB29" s="196">
        <f>IF(AND($F29&gt;0,AR29="")," * No olvide digitar la variable Gestante. Digite cero si no tiene.",IF(AR29&gt;$F29," * La variable Gestante NO DEBEN ser mayor al Total de Mujeres. ",""))</f>
        <v/>
      </c>
      <c r="CC29" s="196">
        <f>IF(AND((AK29+AL29)&gt;0,AS29="")," * No olvide digitar la variable 60 años (incluido en grupos de 60-64 años). Digite Cero si no tiene.",IF(AS29&gt;(AK29+AL29)," * La variable 60 años (incluido en grupos de 60-64 años) NO DEBE ser mayor que el Total de consultas del grupo 60-64 años",""))</f>
        <v/>
      </c>
      <c r="CD29" s="196">
        <f>IF(AND(D29&gt;0,AT29="")," * No olvide digitar la variable Compra de servicio. Digite Cero si no tiene.","")</f>
        <v/>
      </c>
      <c r="CE29" s="196">
        <f>IF(AND(D29&gt;0,AU29="")," * No olvide digitar la variable Usuarios con Discapacidad. Digite Cero si no tiene.",IF(AU29&gt;$D29," * La variable Usuarios con Discapacidad No puede ser mayor al Total Ambos Sexos.",""))</f>
        <v/>
      </c>
      <c r="CF29" s="196">
        <f>IF(AND($D29&gt;0,AV29="")," * No olvide digitar la variable Migrantes. Digite Cero si no tiene.",IF(AV29&gt;$D29," * La variable Migrantes No puede ser mayor al Total Ambos Sexos.",""))</f>
        <v/>
      </c>
      <c r="CG29" s="196">
        <f>IF(AND(D29&gt;0,AW29="")," * No olvide digitar la variable "&amp;AW$19&amp;". Digite Cero si no tiene.",IF(AW29&gt;D29," * La variable "&amp;AW$19&amp;" No puede ser mayor al Total Ambos Sexos.",""))</f>
        <v/>
      </c>
      <c r="CH29" s="196">
        <f>IF(AND($D29&gt;0,AX29="")," * No olvide digitar la variable "&amp;AX$19&amp;". Digite Cero si no tiene.",IF(AX29&gt;$D29," * La variable "&amp;AX$19&amp;" no puede ser mayor al Total Ambos Sexos.",""))</f>
        <v/>
      </c>
      <c r="CO29" s="197">
        <f>IF(AND((Y29+Z29)&gt;0,AQ29=""),1,IF(AQ29&gt;(Y29+Z29),1,0))</f>
        <v/>
      </c>
      <c r="CP29" s="197">
        <f>IF(AND($F29&gt;0,AR29=""),1,IF(AR29&gt;$F29,1,0))</f>
        <v/>
      </c>
      <c r="CQ29" s="197">
        <f>IF(AND((AK29+AL29)&gt;0,AS29=""),1,IF(AS29&gt;(AK29+AL29),1,0))</f>
        <v/>
      </c>
      <c r="CR29" s="197">
        <f>IF(AND($D29&gt;0,AT29=""),1,0)</f>
        <v/>
      </c>
      <c r="CS29" s="197">
        <f>IF(AND($D29&gt;0,AU29=""),1,IF(AU29&gt;$D29,1,0))</f>
        <v/>
      </c>
      <c r="CT29" s="197">
        <f>IF(AND($D29&gt;0,AV29=""),1,IF(AV29&gt;$D29,1,0))</f>
        <v/>
      </c>
      <c r="CU29" s="197">
        <f>IF(AND($D29&gt;0,AW29=""),1,IF(AW29&gt;$D29,1,0))</f>
        <v/>
      </c>
      <c r="CV29" s="197">
        <f>IF(AND(D29&gt;0,AX29=""),1,IF(AX29&gt;D29,1,0))</f>
        <v/>
      </c>
    </row>
    <row r="30" ht="15" customHeight="1" s="8286">
      <c r="A30" s="3877" t="inlineStr">
        <is>
          <t xml:space="preserve">Acceso cavitario </t>
        </is>
      </c>
      <c r="B30" s="10208" t="n"/>
      <c r="C30" s="9644" t="n"/>
      <c r="D30" s="1485">
        <f>SUM(E30+F30)</f>
        <v/>
      </c>
      <c r="E30" s="1486">
        <f>SUM(G30+I30+K30+M30+O30+Q30+S30+U30+W30+Y30+AA30+AC30+AE30+AG30+AI30+AK30+AM30+AO30)</f>
        <v/>
      </c>
      <c r="F30" s="894">
        <f>SUM(H30+J30+L30+N30+P30+R30+T30+V30+X30+Z30+AB30+AD30+AF30+AH30+AJ30+AL30+AN30+AP30)</f>
        <v/>
      </c>
      <c r="G30" s="1172" t="n">
        <v>0</v>
      </c>
      <c r="H30" s="886" t="n">
        <v>0</v>
      </c>
      <c r="I30" s="1172" t="n">
        <v>0</v>
      </c>
      <c r="J30" s="1173" t="n">
        <v>0</v>
      </c>
      <c r="K30" s="1172" t="n">
        <v>0</v>
      </c>
      <c r="L30" s="886" t="n">
        <v>0</v>
      </c>
      <c r="M30" s="1172" t="n">
        <v>0</v>
      </c>
      <c r="N30" s="1173" t="n">
        <v>0</v>
      </c>
      <c r="O30" s="1172" t="n">
        <v>0</v>
      </c>
      <c r="P30" s="886" t="n">
        <v>0</v>
      </c>
      <c r="Q30" s="1172" t="n">
        <v>0</v>
      </c>
      <c r="R30" s="886" t="n">
        <v>0</v>
      </c>
      <c r="S30" s="1172" t="n">
        <v>0</v>
      </c>
      <c r="T30" s="886" t="n">
        <v>0</v>
      </c>
      <c r="U30" s="1172" t="n">
        <v>0</v>
      </c>
      <c r="V30" s="886" t="n">
        <v>0</v>
      </c>
      <c r="W30" s="1174" t="n">
        <v>0</v>
      </c>
      <c r="X30" s="885" t="n">
        <v>0</v>
      </c>
      <c r="Y30" s="1172" t="n">
        <v>1</v>
      </c>
      <c r="Z30" s="886" t="n">
        <v>0</v>
      </c>
      <c r="AA30" s="1174" t="n">
        <v>0</v>
      </c>
      <c r="AB30" s="885" t="n">
        <v>5</v>
      </c>
      <c r="AC30" s="1172" t="n">
        <v>2</v>
      </c>
      <c r="AD30" s="886" t="n">
        <v>3</v>
      </c>
      <c r="AE30" s="1174" t="n">
        <v>0</v>
      </c>
      <c r="AF30" s="885" t="n">
        <v>4</v>
      </c>
      <c r="AG30" s="1172" t="n">
        <v>0</v>
      </c>
      <c r="AH30" s="886" t="n">
        <v>1</v>
      </c>
      <c r="AI30" s="1174" t="n">
        <v>0</v>
      </c>
      <c r="AJ30" s="885" t="n">
        <v>0</v>
      </c>
      <c r="AK30" s="1172" t="n">
        <v>0</v>
      </c>
      <c r="AL30" s="886" t="n">
        <v>0</v>
      </c>
      <c r="AM30" s="1174" t="n">
        <v>0</v>
      </c>
      <c r="AN30" s="886" t="n">
        <v>0</v>
      </c>
      <c r="AO30" s="1174" t="n">
        <v>0</v>
      </c>
      <c r="AP30" s="1929" t="n">
        <v>0</v>
      </c>
      <c r="AQ30" s="887" t="n">
        <v>0</v>
      </c>
      <c r="AR30" s="2001" t="n">
        <v>3</v>
      </c>
      <c r="AS30" s="2001" t="n">
        <v>0</v>
      </c>
      <c r="AT30" s="2001" t="n">
        <v>0</v>
      </c>
      <c r="AU30" s="2001" t="n">
        <v>0</v>
      </c>
      <c r="AV30" s="885" t="n">
        <v>1</v>
      </c>
      <c r="AW30" s="2495" t="n">
        <v>0</v>
      </c>
      <c r="AX30" s="1173" t="n">
        <v>0</v>
      </c>
      <c r="AY30">
        <f>CA30&amp;CB30&amp;CC30&amp;CD30&amp;CE30&amp;CF30&amp;CG30&amp;CH30</f>
        <v/>
      </c>
      <c r="CA30" s="196">
        <f>IF(AND((Y30+Z30)&gt;0,AQ30="")," * No olvide digitar la variable 12 años (incluido en el grupo de 10-14 años). Si no tiene digite Cero.",IF(AQ30&gt;(Y30+Z30),"* Las Consultas de 12 años (incluido en el grupo de 10-14 años) NO DEBEN ser mayor que el total de Consultas entre 10-14 años",""))</f>
        <v/>
      </c>
      <c r="CB30" s="196">
        <f>IF(AND($F30&gt;0,AR30="")," * No olvide digitar la variable Gestante. Digite cero si no tiene.",IF(AR30&gt;$F30," * La variable Gestante NO DEBEN ser mayor al Total de Mujeres. ",""))</f>
        <v/>
      </c>
      <c r="CC30" s="196">
        <f>IF(AND((AK30+AL30)&gt;0,AS30="")," * No olvide digitar la variable 60 años (incluido en grupos de 60-64 años). Digite Cero si no tiene.",IF(AS30&gt;(AK30+AL30)," * La variable 60 años (incluido en grupos de 60-64 años) NO DEBE ser mayor que el Total de consultas del grupo 60-64 años",""))</f>
        <v/>
      </c>
      <c r="CD30" s="196">
        <f>IF(AND(D30&gt;0,AT30="")," * No olvide digitar la variable Compra de servicio. Digite Cero si no tiene.","")</f>
        <v/>
      </c>
      <c r="CE30" s="196">
        <f>IF(AND(D30&gt;0,AU30="")," * No olvide digitar la variable Usuarios con Discapacidad. Digite Cero si no tiene.",IF(AU30&gt;$D30," * La variable Usuarios con Discapacidad No puede ser mayor al Total Ambos Sexos.",""))</f>
        <v/>
      </c>
      <c r="CF30" s="196">
        <f>IF(AND($D30&gt;0,AV30="")," * No olvide digitar la variable Migrantes. Digite Cero si no tiene.",IF(AV30&gt;$D30," * La variable Migrantes No puede ser mayor al Total Ambos Sexos.",""))</f>
        <v/>
      </c>
      <c r="CG30" s="196">
        <f>IF(AND(D30&gt;0,AW30="")," * No olvide digitar la variable "&amp;AW$19&amp;". Digite Cero si no tiene.",IF(AW30&gt;D30," * La variable "&amp;AW$19&amp;" No puede ser mayor al Total Ambos Sexos.",""))</f>
        <v/>
      </c>
      <c r="CH30" s="196">
        <f>IF(AND($D30&gt;0,AX30="")," * No olvide digitar la variable "&amp;AX$19&amp;". Digite Cero si no tiene.",IF(AX30&gt;$D30," * La variable "&amp;AX$19&amp;" no puede ser mayor al Total Ambos Sexos.",""))</f>
        <v/>
      </c>
      <c r="CO30" s="197">
        <f>IF(AND((Y30+Z30)&gt;0,AQ30=""),1,IF(AQ30&gt;(Y30+Z30),1,0))</f>
        <v/>
      </c>
      <c r="CP30" s="197">
        <f>IF(AND($F30&gt;0,AR30=""),1,IF(AR30&gt;$F30,1,0))</f>
        <v/>
      </c>
      <c r="CQ30" s="197">
        <f>IF(AND((AK30+AL30)&gt;0,AS30=""),1,IF(AS30&gt;(AK30+AL30),1,0))</f>
        <v/>
      </c>
      <c r="CR30" s="197">
        <f>IF(AND($D30&gt;0,AT30=""),1,0)</f>
        <v/>
      </c>
      <c r="CS30" s="197">
        <f>IF(AND($D30&gt;0,AU30=""),1,IF(AU30&gt;$D30,1,0))</f>
        <v/>
      </c>
      <c r="CT30" s="197">
        <f>IF(AND($D30&gt;0,AV30=""),1,IF(AV30&gt;$D30,1,0))</f>
        <v/>
      </c>
      <c r="CU30" s="197">
        <f>IF(AND($D30&gt;0,AW30=""),1,IF(AW30&gt;$D30,1,0))</f>
        <v/>
      </c>
      <c r="CV30" s="197">
        <f>IF(AND(D30&gt;0,AX30=""),1,IF(AX30&gt;D30,1,0))</f>
        <v/>
      </c>
    </row>
    <row r="31" ht="15" customHeight="1" s="8286">
      <c r="A31" s="3877" t="inlineStr">
        <is>
          <t xml:space="preserve">Restauración estética </t>
        </is>
      </c>
      <c r="B31" s="10208" t="n"/>
      <c r="C31" s="9644" t="n"/>
      <c r="D31" s="1485">
        <f>SUM(E31+F31)</f>
        <v/>
      </c>
      <c r="E31" s="1486">
        <f>SUM(G31+I31+K31+M31+O31+Q31+S31+U31+W31+Y31+AA31+AC31+AE31+AG31+AI31+AK31+AM31+AO31)</f>
        <v/>
      </c>
      <c r="F31" s="894">
        <f>SUM(H31+J31+L31+N31+P31+R31+T31+V31+X31+Z31+AB31+AD31+AF31+AH31+AJ31+AL31+AN31+AP31)</f>
        <v/>
      </c>
      <c r="G31" s="1172" t="n">
        <v>0</v>
      </c>
      <c r="H31" s="886" t="n">
        <v>0</v>
      </c>
      <c r="I31" s="1172" t="n">
        <v>0</v>
      </c>
      <c r="J31" s="1173" t="n">
        <v>0</v>
      </c>
      <c r="K31" s="1172" t="n">
        <v>0</v>
      </c>
      <c r="L31" s="886" t="n">
        <v>0</v>
      </c>
      <c r="M31" s="1172" t="n">
        <v>0</v>
      </c>
      <c r="N31" s="1173" t="n">
        <v>0</v>
      </c>
      <c r="O31" s="1172" t="n">
        <v>4</v>
      </c>
      <c r="P31" s="886" t="n">
        <v>2</v>
      </c>
      <c r="Q31" s="1172" t="n">
        <v>2</v>
      </c>
      <c r="R31" s="886" t="n">
        <v>3</v>
      </c>
      <c r="S31" s="1172" t="n">
        <v>4</v>
      </c>
      <c r="T31" s="886" t="n">
        <v>3</v>
      </c>
      <c r="U31" s="1172" t="n">
        <v>6</v>
      </c>
      <c r="V31" s="886" t="n">
        <v>7</v>
      </c>
      <c r="W31" s="1174" t="n">
        <v>8</v>
      </c>
      <c r="X31" s="885" t="n">
        <v>15</v>
      </c>
      <c r="Y31" s="1172" t="n">
        <v>15</v>
      </c>
      <c r="Z31" s="886" t="n">
        <v>18</v>
      </c>
      <c r="AA31" s="1174" t="n">
        <v>23</v>
      </c>
      <c r="AB31" s="885" t="n">
        <v>21</v>
      </c>
      <c r="AC31" s="1172" t="n">
        <v>8</v>
      </c>
      <c r="AD31" s="886" t="n">
        <v>26</v>
      </c>
      <c r="AE31" s="1174" t="n">
        <v>7</v>
      </c>
      <c r="AF31" s="885" t="n">
        <v>23</v>
      </c>
      <c r="AG31" s="1172" t="n">
        <v>10</v>
      </c>
      <c r="AH31" s="886" t="n">
        <v>27</v>
      </c>
      <c r="AI31" s="1174" t="n">
        <v>21</v>
      </c>
      <c r="AJ31" s="885" t="n">
        <v>42</v>
      </c>
      <c r="AK31" s="1172" t="n">
        <v>18</v>
      </c>
      <c r="AL31" s="886" t="n">
        <v>18</v>
      </c>
      <c r="AM31" s="1174" t="n">
        <v>31</v>
      </c>
      <c r="AN31" s="886" t="n">
        <v>36</v>
      </c>
      <c r="AO31" s="1174" t="n">
        <v>3</v>
      </c>
      <c r="AP31" s="1929" t="n">
        <v>8</v>
      </c>
      <c r="AQ31" s="887" t="n">
        <v>10</v>
      </c>
      <c r="AR31" s="2001" t="n">
        <v>7</v>
      </c>
      <c r="AS31" s="2001" t="n">
        <v>11</v>
      </c>
      <c r="AT31" s="2001" t="n">
        <v>0</v>
      </c>
      <c r="AU31" s="2001" t="n">
        <v>1</v>
      </c>
      <c r="AV31" s="885" t="n">
        <v>18</v>
      </c>
      <c r="AW31" s="2495" t="n">
        <v>2</v>
      </c>
      <c r="AX31" s="1173" t="n">
        <v>8</v>
      </c>
      <c r="AY31">
        <f>CA31&amp;CB31&amp;CC31&amp;CD31&amp;CE31&amp;CF31&amp;CG31&amp;CH31</f>
        <v/>
      </c>
      <c r="CA31" s="196">
        <f>IF(AND((Y31+Z31)&gt;0,AQ31="")," * No olvide digitar la variable 12 años (incluido en el grupo de 10-14 años). Si no tiene digite Cero.",IF(AQ31&gt;(Y31+Z31),"* Las Consultas de 12 años (incluido en el grupo de 10-14 años) NO DEBEN ser mayor que el total de Consultas entre 10-14 años",""))</f>
        <v/>
      </c>
      <c r="CB31" s="196">
        <f>IF(AND($F31&gt;0,AR31="")," * No olvide digitar la variable Gestante. Digite cero si no tiene.",IF(AR31&gt;$F31," * La variable Gestante NO DEBEN ser mayor al Total de Mujeres. ",""))</f>
        <v/>
      </c>
      <c r="CC31" s="196">
        <f>IF(AND((AK31+AL31)&gt;0,AS31="")," * No olvide digitar la variable 60 años (incluido en grupos de 60-64 años). Digite Cero si no tiene.",IF(AS31&gt;(AK31+AL31)," * La variable 60 años (incluido en grupos de 60-64 años) NO DEBE ser mayor que el Total de consultas del grupo 60-64 años",""))</f>
        <v/>
      </c>
      <c r="CD31" s="196">
        <f>IF(AND(D31&gt;0,AT31="")," * No olvide digitar la variable Compra de servicio. Digite Cero si no tiene.","")</f>
        <v/>
      </c>
      <c r="CE31" s="196">
        <f>IF(AND(D31&gt;0,AU31="")," * No olvide digitar la variable Usuarios con Discapacidad. Digite Cero si no tiene.",IF(AU31&gt;$D31," * La variable Usuarios con Discapacidad No puede ser mayor al Total Ambos Sexos.",""))</f>
        <v/>
      </c>
      <c r="CF31" s="196">
        <f>IF(AND($D31&gt;0,AV31="")," * No olvide digitar la variable Migrantes. Digite Cero si no tiene.",IF(AV31&gt;$D31," * La variable Migrantes No puede ser mayor al Total Ambos Sexos.",""))</f>
        <v/>
      </c>
      <c r="CG31" s="196">
        <f>IF(AND(D31&gt;0,AW31="")," * No olvide digitar la variable "&amp;AW$19&amp;". Digite Cero si no tiene.",IF(AW31&gt;D31," * La variable "&amp;AW$19&amp;" No puede ser mayor al Total Ambos Sexos.",""))</f>
        <v/>
      </c>
      <c r="CH31" s="196">
        <f>IF(AND($D31&gt;0,AX31="")," * No olvide digitar la variable "&amp;AX$19&amp;". Digite Cero si no tiene.",IF(AX31&gt;$D31," * La variable "&amp;AX$19&amp;" no puede ser mayor al Total Ambos Sexos.",""))</f>
        <v/>
      </c>
      <c r="CO31" s="197">
        <f>IF(AND((Y31+Z31)&gt;0,AQ31=""),1,IF(AQ31&gt;(Y31+Z31),1,0))</f>
        <v/>
      </c>
      <c r="CP31" s="197">
        <f>IF(AND($F31&gt;0,AR31=""),1,IF(AR31&gt;$F31,1,0))</f>
        <v/>
      </c>
      <c r="CQ31" s="197">
        <f>IF(AND((AK31+AL31)&gt;0,AS31=""),1,IF(AS31&gt;(AK31+AL31),1,0))</f>
        <v/>
      </c>
      <c r="CR31" s="197">
        <f>IF(AND($D31&gt;0,AT31=""),1,0)</f>
        <v/>
      </c>
      <c r="CS31" s="197">
        <f>IF(AND($D31&gt;0,AU31=""),1,IF(AU31&gt;$D31,1,0))</f>
        <v/>
      </c>
      <c r="CT31" s="197">
        <f>IF(AND($D31&gt;0,AV31=""),1,IF(AV31&gt;$D31,1,0))</f>
        <v/>
      </c>
      <c r="CU31" s="197">
        <f>IF(AND($D31&gt;0,AW31=""),1,IF(AW31&gt;$D31,1,0))</f>
        <v/>
      </c>
      <c r="CV31" s="197">
        <f>IF(AND(D31&gt;0,AX31=""),1,IF(AX31&gt;D31,1,0))</f>
        <v/>
      </c>
    </row>
    <row r="32" ht="15" customHeight="1" s="8286">
      <c r="A32" s="3877" t="inlineStr">
        <is>
          <t xml:space="preserve">Restauración de amalgamas </t>
        </is>
      </c>
      <c r="B32" s="10208" t="n"/>
      <c r="C32" s="9644" t="n"/>
      <c r="D32" s="1485">
        <f>SUM(E32+F32)</f>
        <v/>
      </c>
      <c r="E32" s="1486">
        <f>SUM(G32+I32+K32+M32+O32+Q32+S32+U32+W32+Y32+AA32+AC32+AE32+AG32+AI32+AK32+AM32+AO32)</f>
        <v/>
      </c>
      <c r="F32" s="894">
        <f>SUM(H32+J32+L32+N32+P32+R32+T32+V32+X32+Z32+AB32+AD32+AF32+AH32+AJ32+AL32+AN32+AP32)</f>
        <v/>
      </c>
      <c r="G32" s="1172" t="n">
        <v>0</v>
      </c>
      <c r="H32" s="886" t="n">
        <v>0</v>
      </c>
      <c r="I32" s="1172" t="n">
        <v>0</v>
      </c>
      <c r="J32" s="1173" t="n">
        <v>0</v>
      </c>
      <c r="K32" s="1172" t="n">
        <v>0</v>
      </c>
      <c r="L32" s="886" t="n">
        <v>0</v>
      </c>
      <c r="M32" s="1172" t="n">
        <v>0</v>
      </c>
      <c r="N32" s="1173" t="n">
        <v>0</v>
      </c>
      <c r="O32" s="1172" t="n">
        <v>0</v>
      </c>
      <c r="P32" s="886" t="n">
        <v>0</v>
      </c>
      <c r="Q32" s="1172" t="n">
        <v>0</v>
      </c>
      <c r="R32" s="886" t="n">
        <v>0</v>
      </c>
      <c r="S32" s="1172" t="n">
        <v>0</v>
      </c>
      <c r="T32" s="886" t="n">
        <v>0</v>
      </c>
      <c r="U32" s="1172" t="n">
        <v>0</v>
      </c>
      <c r="V32" s="886" t="n">
        <v>0</v>
      </c>
      <c r="W32" s="1174" t="n">
        <v>0</v>
      </c>
      <c r="X32" s="885" t="n">
        <v>0</v>
      </c>
      <c r="Y32" s="1172" t="n">
        <v>0</v>
      </c>
      <c r="Z32" s="886" t="n">
        <v>0</v>
      </c>
      <c r="AA32" s="1174" t="n">
        <v>0</v>
      </c>
      <c r="AB32" s="885" t="n">
        <v>0</v>
      </c>
      <c r="AC32" s="1172" t="n">
        <v>0</v>
      </c>
      <c r="AD32" s="886" t="n">
        <v>0</v>
      </c>
      <c r="AE32" s="1174" t="n">
        <v>0</v>
      </c>
      <c r="AF32" s="885" t="n">
        <v>0</v>
      </c>
      <c r="AG32" s="1172" t="n">
        <v>0</v>
      </c>
      <c r="AH32" s="886" t="n">
        <v>0</v>
      </c>
      <c r="AI32" s="1174" t="n">
        <v>0</v>
      </c>
      <c r="AJ32" s="885" t="n">
        <v>0</v>
      </c>
      <c r="AK32" s="1172" t="n">
        <v>0</v>
      </c>
      <c r="AL32" s="886" t="n">
        <v>0</v>
      </c>
      <c r="AM32" s="1174" t="n">
        <v>0</v>
      </c>
      <c r="AN32" s="886" t="n">
        <v>0</v>
      </c>
      <c r="AO32" s="1174" t="n">
        <v>0</v>
      </c>
      <c r="AP32" s="1929" t="n">
        <v>0</v>
      </c>
      <c r="AQ32" s="887" t="n">
        <v>0</v>
      </c>
      <c r="AR32" s="2001" t="n">
        <v>0</v>
      </c>
      <c r="AS32" s="2001" t="n">
        <v>0</v>
      </c>
      <c r="AT32" s="2001" t="n">
        <v>0</v>
      </c>
      <c r="AU32" s="2001" t="n">
        <v>0</v>
      </c>
      <c r="AV32" s="885" t="n">
        <v>0</v>
      </c>
      <c r="AW32" s="2495" t="n">
        <v>0</v>
      </c>
      <c r="AX32" s="1173" t="n">
        <v>0</v>
      </c>
      <c r="AY32">
        <f>CA32&amp;CB32&amp;CC32&amp;CD32&amp;CE32&amp;CF32&amp;CG32&amp;CH32</f>
        <v/>
      </c>
      <c r="CA32" s="196">
        <f>IF(AND((Y32+Z32)&gt;0,AQ32="")," * No olvide digitar la variable 12 años (incluido en el grupo de 10-14 años). Si no tiene digite Cero.",IF(AQ32&gt;(Y32+Z32),"* Las Consultas de 12 años (incluido en el grupo de 10-14 años) NO DEBEN ser mayor que el total de Consultas entre 10-14 años",""))</f>
        <v/>
      </c>
      <c r="CB32" s="196">
        <f>IF(AND($F32&gt;0,AR32="")," * No olvide digitar la variable Gestante. Digite cero si no tiene.",IF(AR32&gt;$F32," * La variable Gestante NO DEBEN ser mayor al Total de Mujeres. ",""))</f>
        <v/>
      </c>
      <c r="CC32" s="196">
        <f>IF(AND((AK32+AL32)&gt;0,AS32="")," * No olvide digitar la variable 60 años (incluido en grupos de 60-64 años). Digite Cero si no tiene.",IF(AS32&gt;(AK32+AL32)," * La variable 60 años (incluido en grupos de 60-64 años) NO DEBE ser mayor que el Total de consultas del grupo 60-64 años",""))</f>
        <v/>
      </c>
      <c r="CD32" s="196">
        <f>IF(AND(D32&gt;0,AT32="")," * No olvide digitar la variable Compra de servicio. Digite Cero si no tiene.","")</f>
        <v/>
      </c>
      <c r="CE32" s="196">
        <f>IF(AND(D32&gt;0,AU32="")," * No olvide digitar la variable Usuarios con Discapacidad. Digite Cero si no tiene.",IF(AU32&gt;$D32," * La variable Usuarios con Discapacidad No puede ser mayor al Total Ambos Sexos.",""))</f>
        <v/>
      </c>
      <c r="CF32" s="196">
        <f>IF(AND($D32&gt;0,AV32="")," * No olvide digitar la variable Migrantes. Digite Cero si no tiene.",IF(AV32&gt;$D32," * La variable Migrantes No puede ser mayor al Total Ambos Sexos.",""))</f>
        <v/>
      </c>
      <c r="CG32" s="196">
        <f>IF(AND(D32&gt;0,AW32="")," * No olvide digitar la variable "&amp;AW$19&amp;". Digite Cero si no tiene.",IF(AW32&gt;D32," * La variable "&amp;AW$19&amp;" No puede ser mayor al Total Ambos Sexos.",""))</f>
        <v/>
      </c>
      <c r="CH32" s="196">
        <f>IF(AND($D32&gt;0,AX32="")," * No olvide digitar la variable "&amp;AX$19&amp;". Digite Cero si no tiene.",IF(AX32&gt;$D32," * La variable "&amp;AX$19&amp;" no puede ser mayor al Total Ambos Sexos.",""))</f>
        <v/>
      </c>
      <c r="CO32" s="197">
        <f>IF(AND((Y32+Z32)&gt;0,AQ32=""),1,IF(AQ32&gt;(Y32+Z32),1,0))</f>
        <v/>
      </c>
      <c r="CP32" s="197">
        <f>IF(AND($F32&gt;0,AR32=""),1,IF(AR32&gt;$F32,1,0))</f>
        <v/>
      </c>
      <c r="CQ32" s="197">
        <f>IF(AND((AK32+AL32)&gt;0,AS32=""),1,IF(AS32&gt;(AK32+AL32),1,0))</f>
        <v/>
      </c>
      <c r="CR32" s="197">
        <f>IF(AND($D32&gt;0,AT32=""),1,0)</f>
        <v/>
      </c>
      <c r="CS32" s="197">
        <f>IF(AND($D32&gt;0,AU32=""),1,IF(AU32&gt;$D32,1,0))</f>
        <v/>
      </c>
      <c r="CT32" s="197">
        <f>IF(AND($D32&gt;0,AV32=""),1,IF(AV32&gt;$D32,1,0))</f>
        <v/>
      </c>
      <c r="CU32" s="197">
        <f>IF(AND($D32&gt;0,AW32=""),1,IF(AW32&gt;$D32,1,0))</f>
        <v/>
      </c>
      <c r="CV32" s="197">
        <f>IF(AND(D32&gt;0,AX32=""),1,IF(AX32&gt;D32,1,0))</f>
        <v/>
      </c>
    </row>
    <row r="33" ht="15" customHeight="1" s="8286">
      <c r="A33" s="3877" t="inlineStr">
        <is>
          <t xml:space="preserve">Obturación de vidrio ionómero  </t>
        </is>
      </c>
      <c r="B33" s="10208" t="n"/>
      <c r="C33" s="9644" t="n"/>
      <c r="D33" s="1485">
        <f>SUM(E33+F33)</f>
        <v/>
      </c>
      <c r="E33" s="1486">
        <f>SUM(G33+I33+K33+M33+O33+Q33+S33+U33+W33+Y33+AA33+AC33+AE33+AG33+AI33+AK33+AM33+AO33)</f>
        <v/>
      </c>
      <c r="F33" s="894">
        <f>SUM(H33+J33+L33+N33+P33+R33+T33+V33+X33+Z33+AB33+AD33+AF33+AH33+AJ33+AL33+AN33+AP33)</f>
        <v/>
      </c>
      <c r="G33" s="1172" t="n">
        <v>0</v>
      </c>
      <c r="H33" s="886" t="n">
        <v>0</v>
      </c>
      <c r="I33" s="1172" t="n">
        <v>0</v>
      </c>
      <c r="J33" s="1173" t="n">
        <v>0</v>
      </c>
      <c r="K33" s="1172" t="n">
        <v>0</v>
      </c>
      <c r="L33" s="886" t="n">
        <v>2</v>
      </c>
      <c r="M33" s="1172" t="n">
        <v>0</v>
      </c>
      <c r="N33" s="1173" t="n">
        <v>6</v>
      </c>
      <c r="O33" s="1172" t="n">
        <v>1</v>
      </c>
      <c r="P33" s="886" t="n">
        <v>7</v>
      </c>
      <c r="Q33" s="1172" t="n">
        <v>7</v>
      </c>
      <c r="R33" s="886" t="n">
        <v>9</v>
      </c>
      <c r="S33" s="1172" t="n">
        <v>2</v>
      </c>
      <c r="T33" s="886" t="n">
        <v>8</v>
      </c>
      <c r="U33" s="1172" t="n">
        <v>2</v>
      </c>
      <c r="V33" s="886" t="n">
        <v>3</v>
      </c>
      <c r="W33" s="1174" t="n">
        <v>5</v>
      </c>
      <c r="X33" s="885" t="n">
        <v>12</v>
      </c>
      <c r="Y33" s="1172" t="n">
        <v>6</v>
      </c>
      <c r="Z33" s="886" t="n">
        <v>3</v>
      </c>
      <c r="AA33" s="1174" t="n">
        <v>2</v>
      </c>
      <c r="AB33" s="885" t="n">
        <v>10</v>
      </c>
      <c r="AC33" s="1172" t="n">
        <v>2</v>
      </c>
      <c r="AD33" s="886" t="n">
        <v>8</v>
      </c>
      <c r="AE33" s="1174" t="n">
        <v>3</v>
      </c>
      <c r="AF33" s="885" t="n">
        <v>18</v>
      </c>
      <c r="AG33" s="1172" t="n">
        <v>3</v>
      </c>
      <c r="AH33" s="886" t="n">
        <v>4</v>
      </c>
      <c r="AI33" s="1174" t="n">
        <v>4</v>
      </c>
      <c r="AJ33" s="885" t="n">
        <v>8</v>
      </c>
      <c r="AK33" s="1172" t="n">
        <v>7</v>
      </c>
      <c r="AL33" s="886" t="n">
        <v>3</v>
      </c>
      <c r="AM33" s="1174" t="n">
        <v>4</v>
      </c>
      <c r="AN33" s="886" t="n">
        <v>3</v>
      </c>
      <c r="AO33" s="1174" t="n">
        <v>0</v>
      </c>
      <c r="AP33" s="1929" t="n">
        <v>1</v>
      </c>
      <c r="AQ33" s="887" t="n">
        <v>2</v>
      </c>
      <c r="AR33" s="2001" t="n">
        <v>3</v>
      </c>
      <c r="AS33" s="2001" t="n">
        <v>1</v>
      </c>
      <c r="AT33" s="2001" t="n">
        <v>0</v>
      </c>
      <c r="AU33" s="2001" t="n">
        <v>0</v>
      </c>
      <c r="AV33" s="885" t="n">
        <v>1</v>
      </c>
      <c r="AW33" s="2495" t="n">
        <v>1</v>
      </c>
      <c r="AX33" s="1173" t="n">
        <v>2</v>
      </c>
      <c r="AY33">
        <f>CA33&amp;CB33&amp;CC33&amp;CD33&amp;CE33&amp;CF33&amp;CG33&amp;CH33</f>
        <v/>
      </c>
      <c r="CA33" s="196">
        <f>IF(AND((Y33+Z33)&gt;0,AQ33="")," * No olvide digitar la variable 12 años (incluido en el grupo de 10-14 años). Si no tiene digite Cero.",IF(AQ33&gt;(Y33+Z33),"* Las Consultas de 12 años (incluido en el grupo de 10-14 años) NO DEBEN ser mayor que el total de Consultas entre 10-14 años",""))</f>
        <v/>
      </c>
      <c r="CB33" s="196">
        <f>IF(AND($F33&gt;0,AR33="")," * No olvide digitar la variable Gestante. Digite cero si no tiene.",IF(AR33&gt;$F33," * La variable Gestante NO DEBEN ser mayor al Total de Mujeres. ",""))</f>
        <v/>
      </c>
      <c r="CC33" s="196">
        <f>IF(AND((AK33+AL33)&gt;0,AS33="")," * No olvide digitar la variable 60 años (incluido en grupos de 60-64 años). Digite Cero si no tiene.",IF(AS33&gt;(AK33+AL33)," * La variable 60 años (incluido en grupos de 60-64 años) NO DEBE ser mayor que el Total de consultas del grupo 60-64 años",""))</f>
        <v/>
      </c>
      <c r="CD33" s="196">
        <f>IF(AND(D33&gt;0,AT33="")," * No olvide digitar la variable Compra de servicio. Digite Cero si no tiene.","")</f>
        <v/>
      </c>
      <c r="CE33" s="196">
        <f>IF(AND(D33&gt;0,AU33="")," * No olvide digitar la variable Usuarios con Discapacidad. Digite Cero si no tiene.",IF(AU33&gt;$D33," * La variable Usuarios con Discapacidad No puede ser mayor al Total Ambos Sexos.",""))</f>
        <v/>
      </c>
      <c r="CF33" s="196">
        <f>IF(AND($D33&gt;0,AV33="")," * No olvide digitar la variable Migrantes. Digite Cero si no tiene.",IF(AV33&gt;$D33," * La variable Migrantes No puede ser mayor al Total Ambos Sexos.",""))</f>
        <v/>
      </c>
      <c r="CG33" s="196">
        <f>IF(AND(D33&gt;0,AW33="")," * No olvide digitar la variable "&amp;AW$19&amp;". Digite Cero si no tiene.",IF(AW33&gt;D33," * La variable "&amp;AW$19&amp;" No puede ser mayor al Total Ambos Sexos.",""))</f>
        <v/>
      </c>
      <c r="CH33" s="196">
        <f>IF(AND($D33&gt;0,AX33="")," * No olvide digitar la variable "&amp;AX$19&amp;". Digite Cero si no tiene.",IF(AX33&gt;$D33," * La variable "&amp;AX$19&amp;" no puede ser mayor al Total Ambos Sexos.",""))</f>
        <v/>
      </c>
      <c r="CO33" s="197">
        <f>IF(AND((Y33+Z33)&gt;0,AQ33=""),1,IF(AQ33&gt;(Y33+Z33),1,0))</f>
        <v/>
      </c>
      <c r="CP33" s="197">
        <f>IF(AND($F33&gt;0,AR33=""),1,IF(AR33&gt;$F33,1,0))</f>
        <v/>
      </c>
      <c r="CQ33" s="197">
        <f>IF(AND((AK33+AL33)&gt;0,AS33=""),1,IF(AS33&gt;(AK33+AL33),1,0))</f>
        <v/>
      </c>
      <c r="CR33" s="197">
        <f>IF(AND($D33&gt;0,AT33=""),1,0)</f>
        <v/>
      </c>
      <c r="CS33" s="197">
        <f>IF(AND($D33&gt;0,AU33=""),1,IF(AU33&gt;$D33,1,0))</f>
        <v/>
      </c>
      <c r="CT33" s="197">
        <f>IF(AND($D33&gt;0,AV33=""),1,IF(AV33&gt;$D33,1,0))</f>
        <v/>
      </c>
      <c r="CU33" s="197">
        <f>IF(AND($D33&gt;0,AW33=""),1,IF(AW33&gt;$D33,1,0))</f>
        <v/>
      </c>
      <c r="CV33" s="197">
        <f>IF(AND(D33&gt;0,AX33=""),1,IF(AX33&gt;D33,1,0))</f>
        <v/>
      </c>
    </row>
    <row r="34" ht="15" customHeight="1" s="8286">
      <c r="A34" s="3877" t="inlineStr">
        <is>
          <t xml:space="preserve">Destartraje subgingival y pulido radiocular por sextante </t>
        </is>
      </c>
      <c r="B34" s="10208" t="n"/>
      <c r="C34" s="9644" t="n"/>
      <c r="D34" s="1485">
        <f>SUM(E34+F34)</f>
        <v/>
      </c>
      <c r="E34" s="1486">
        <f>SUM(U34+W34+Y34+AA34+AC34+AE34+AG34+AI34+AK34+AM34+AO34)</f>
        <v/>
      </c>
      <c r="F34" s="894">
        <f>SUM(V34+X34+Z34+AB34+AD34+AF34+AH34+AJ34+AL34+AN34+AP34)</f>
        <v/>
      </c>
      <c r="G34" s="1325" t="n"/>
      <c r="H34" s="877" t="n"/>
      <c r="I34" s="1325" t="n"/>
      <c r="J34" s="1289" t="n"/>
      <c r="K34" s="1325" t="n"/>
      <c r="L34" s="877" t="n"/>
      <c r="M34" s="1325" t="n"/>
      <c r="N34" s="1289" t="n"/>
      <c r="O34" s="1325" t="n"/>
      <c r="P34" s="877" t="n"/>
      <c r="Q34" s="1325" t="n"/>
      <c r="R34" s="877" t="n"/>
      <c r="S34" s="1325" t="n"/>
      <c r="T34" s="877" t="n"/>
      <c r="U34" s="1172" t="n">
        <v>0</v>
      </c>
      <c r="V34" s="886" t="n">
        <v>0</v>
      </c>
      <c r="W34" s="1174" t="n">
        <v>0</v>
      </c>
      <c r="X34" s="885" t="n">
        <v>0</v>
      </c>
      <c r="Y34" s="1172" t="n">
        <v>0</v>
      </c>
      <c r="Z34" s="886" t="n">
        <v>0</v>
      </c>
      <c r="AA34" s="1174" t="n">
        <v>0</v>
      </c>
      <c r="AB34" s="885" t="n">
        <v>0</v>
      </c>
      <c r="AC34" s="1172" t="n">
        <v>1</v>
      </c>
      <c r="AD34" s="886" t="n">
        <v>1</v>
      </c>
      <c r="AE34" s="1174" t="n">
        <v>0</v>
      </c>
      <c r="AF34" s="885" t="n">
        <v>2</v>
      </c>
      <c r="AG34" s="1172" t="n">
        <v>0</v>
      </c>
      <c r="AH34" s="886" t="n">
        <v>0</v>
      </c>
      <c r="AI34" s="1174" t="n">
        <v>1</v>
      </c>
      <c r="AJ34" s="885" t="n">
        <v>0</v>
      </c>
      <c r="AK34" s="1172" t="n">
        <v>0</v>
      </c>
      <c r="AL34" s="886" t="n">
        <v>1</v>
      </c>
      <c r="AM34" s="1174" t="n">
        <v>1</v>
      </c>
      <c r="AN34" s="886" t="n">
        <v>1</v>
      </c>
      <c r="AO34" s="1174" t="n">
        <v>0</v>
      </c>
      <c r="AP34" s="1929" t="n">
        <v>0</v>
      </c>
      <c r="AQ34" s="887" t="n">
        <v>0</v>
      </c>
      <c r="AR34" s="2001" t="n">
        <v>0</v>
      </c>
      <c r="AS34" s="2001" t="n">
        <v>0</v>
      </c>
      <c r="AT34" s="2001" t="n">
        <v>0</v>
      </c>
      <c r="AU34" s="2001" t="n">
        <v>0</v>
      </c>
      <c r="AV34" s="885" t="n">
        <v>1</v>
      </c>
      <c r="AW34" s="2495" t="n">
        <v>0</v>
      </c>
      <c r="AX34" s="1173" t="n">
        <v>0</v>
      </c>
      <c r="AY34">
        <f>CA34&amp;CB34&amp;CC34&amp;CD34&amp;CE34&amp;CF34&amp;CG34&amp;CH34</f>
        <v/>
      </c>
      <c r="CA34" s="196">
        <f>IF(AND((Y34+Z34)&gt;0,AQ34="")," * No olvide digitar la variable 12 años (incluido en el grupo de 10-14 años). Si no tiene digite Cero.",IF(AQ34&gt;(Y34+Z34),"* Las Consultas de 12 años (incluido en el grupo de 10-14 años) NO DEBEN ser mayor que el total de Consultas entre 10-14 años",""))</f>
        <v/>
      </c>
      <c r="CB34" s="196">
        <f>IF(AND($F34&gt;0,AR34="")," * No olvide digitar la variable Gestante. Digite cero si no tiene.",IF(AR34&gt;$F34," * La variable Gestante NO DEBEN ser mayor al Total de Mujeres. ",""))</f>
        <v/>
      </c>
      <c r="CC34" s="196">
        <f>IF(AND((AK34+AL34)&gt;0,AS34="")," * No olvide digitar la variable 60 años (incluido en grupos de 60-64 años). Digite Cero si no tiene.",IF(AS34&gt;(AK34+AL34)," * La variable 60 años (incluido en grupos de 60-64 años) NO DEBE ser mayor que el Total de consultas del grupo 60-64 años",""))</f>
        <v/>
      </c>
      <c r="CD34" s="196">
        <f>IF(AND(D34&gt;0,AT34="")," * No olvide digitar la variable Compra de servicio. Digite Cero si no tiene.","")</f>
        <v/>
      </c>
      <c r="CE34" s="196">
        <f>IF(AND(D34&gt;0,AU34="")," * No olvide digitar la variable Usuarios con Discapacidad. Digite Cero si no tiene.",IF(AU34&gt;$D34," * La variable Usuarios con Discapacidad No puede ser mayor al Total Ambos Sexos.",""))</f>
        <v/>
      </c>
      <c r="CF34" s="196">
        <f>IF(AND($D34&gt;0,AV34="")," * No olvide digitar la variable Migrantes. Digite Cero si no tiene.",IF(AV34&gt;$D34," * La variable Migrantes No puede ser mayor al Total Ambos Sexos.",""))</f>
        <v/>
      </c>
      <c r="CG34" s="196">
        <f>IF(AND(D34&gt;0,AW34="")," * No olvide digitar la variable "&amp;AW$19&amp;". Digite Cero si no tiene.",IF(AW34&gt;D34," * La variable "&amp;AW$19&amp;" No puede ser mayor al Total Ambos Sexos.",""))</f>
        <v/>
      </c>
      <c r="CH34" s="196">
        <f>IF(AND($D34&gt;0,AX34="")," * No olvide digitar la variable "&amp;AX$19&amp;". Digite Cero si no tiene.",IF(AX34&gt;$D34," * La variable "&amp;AX$19&amp;" no puede ser mayor al Total Ambos Sexos.",""))</f>
        <v/>
      </c>
      <c r="CO34" s="197">
        <f>IF(AND((Y34+Z34)&gt;0,AQ34=""),1,IF(AQ34&gt;(Y34+Z34),1,0))</f>
        <v/>
      </c>
      <c r="CP34" s="197">
        <f>IF(AND($F34&gt;0,AR34=""),1,IF(AR34&gt;$F34,1,0))</f>
        <v/>
      </c>
      <c r="CQ34" s="197">
        <f>IF(AND((AK34+AL34)&gt;0,AS34=""),1,IF(AS34&gt;(AK34+AL34),1,0))</f>
        <v/>
      </c>
      <c r="CR34" s="197">
        <f>IF(AND($D34&gt;0,AT34=""),1,0)</f>
        <v/>
      </c>
      <c r="CS34" s="197">
        <f>IF(AND($D34&gt;0,AU34=""),1,IF(AU34&gt;$D34,1,0))</f>
        <v/>
      </c>
      <c r="CT34" s="197">
        <f>IF(AND($D34&gt;0,AV34=""),1,IF(AV34&gt;$D34,1,0))</f>
        <v/>
      </c>
      <c r="CU34" s="197">
        <f>IF(AND($D34&gt;0,AW34=""),1,IF(AW34&gt;$D34,1,0))</f>
        <v/>
      </c>
      <c r="CV34" s="197">
        <f>IF(AND(D34&gt;0,AX34=""),1,IF(AX34&gt;D34,1,0))</f>
        <v/>
      </c>
    </row>
    <row r="35" ht="15" customHeight="1" s="8286">
      <c r="A35" s="3877" t="inlineStr">
        <is>
          <t>Tratamiento restaurador atraumático (ART)</t>
        </is>
      </c>
      <c r="B35" s="10208" t="n"/>
      <c r="C35" s="9644" t="n"/>
      <c r="D35" s="1485">
        <f>SUM(E35+F35)</f>
        <v/>
      </c>
      <c r="E35" s="1486">
        <f>SUM(G35+I35+K35+M35+O35+Q35+S35+U35+W35+Y35+AA35+AC35+AE35+AG35+AI35+AK35+AM35+AO35)</f>
        <v/>
      </c>
      <c r="F35" s="894">
        <f>SUM(H35+J35+L35+N35+P35+R35+T35+V35+X35+Z35+AB35+AD35+AF35+AH35+AJ35+AL35+AN35+AP35)</f>
        <v/>
      </c>
      <c r="G35" s="1172" t="n">
        <v>0</v>
      </c>
      <c r="H35" s="886" t="n">
        <v>0</v>
      </c>
      <c r="I35" s="1172" t="n">
        <v>0</v>
      </c>
      <c r="J35" s="1173" t="n">
        <v>0</v>
      </c>
      <c r="K35" s="1172" t="n">
        <v>0</v>
      </c>
      <c r="L35" s="886" t="n">
        <v>0</v>
      </c>
      <c r="M35" s="1172" t="n">
        <v>0</v>
      </c>
      <c r="N35" s="1173" t="n">
        <v>0</v>
      </c>
      <c r="O35" s="1172" t="n">
        <v>0</v>
      </c>
      <c r="P35" s="886" t="n">
        <v>0</v>
      </c>
      <c r="Q35" s="1172" t="n">
        <v>0</v>
      </c>
      <c r="R35" s="886" t="n">
        <v>0</v>
      </c>
      <c r="S35" s="1172" t="n">
        <v>0</v>
      </c>
      <c r="T35" s="886" t="n">
        <v>0</v>
      </c>
      <c r="U35" s="1172" t="n">
        <v>0</v>
      </c>
      <c r="V35" s="886" t="n">
        <v>0</v>
      </c>
      <c r="W35" s="1174" t="n">
        <v>0</v>
      </c>
      <c r="X35" s="885" t="n">
        <v>0</v>
      </c>
      <c r="Y35" s="1172" t="n">
        <v>0</v>
      </c>
      <c r="Z35" s="886" t="n">
        <v>0</v>
      </c>
      <c r="AA35" s="1174" t="n">
        <v>0</v>
      </c>
      <c r="AB35" s="885" t="n">
        <v>0</v>
      </c>
      <c r="AC35" s="1172" t="n">
        <v>0</v>
      </c>
      <c r="AD35" s="886" t="n">
        <v>0</v>
      </c>
      <c r="AE35" s="1174" t="n">
        <v>0</v>
      </c>
      <c r="AF35" s="885" t="n">
        <v>0</v>
      </c>
      <c r="AG35" s="1172" t="n">
        <v>0</v>
      </c>
      <c r="AH35" s="886" t="n">
        <v>0</v>
      </c>
      <c r="AI35" s="1174" t="n">
        <v>0</v>
      </c>
      <c r="AJ35" s="885" t="n">
        <v>0</v>
      </c>
      <c r="AK35" s="1172" t="n">
        <v>0</v>
      </c>
      <c r="AL35" s="886" t="n">
        <v>0</v>
      </c>
      <c r="AM35" s="1174" t="n">
        <v>0</v>
      </c>
      <c r="AN35" s="886" t="n">
        <v>0</v>
      </c>
      <c r="AO35" s="1174" t="n">
        <v>0</v>
      </c>
      <c r="AP35" s="1929" t="n">
        <v>0</v>
      </c>
      <c r="AQ35" s="887" t="n">
        <v>0</v>
      </c>
      <c r="AR35" s="2001" t="n">
        <v>0</v>
      </c>
      <c r="AS35" s="2001" t="n">
        <v>0</v>
      </c>
      <c r="AT35" s="2001" t="n">
        <v>0</v>
      </c>
      <c r="AU35" s="2001" t="n">
        <v>0</v>
      </c>
      <c r="AV35" s="885" t="n">
        <v>0</v>
      </c>
      <c r="AW35" s="2495" t="n">
        <v>0</v>
      </c>
      <c r="AX35" s="1173" t="n">
        <v>0</v>
      </c>
      <c r="AY35">
        <f>CA35&amp;CB35&amp;CC35&amp;CD35&amp;CE35&amp;CF35&amp;CG35&amp;CH35</f>
        <v/>
      </c>
      <c r="CA35" s="196">
        <f>IF(AND((Y35+Z35)&gt;0,AQ35="")," * No olvide digitar la variable 12 años (incluido en el grupo de 10-14 años). Si no tiene digite Cero.",IF(AQ35&gt;(Y35+Z35),"* Las Consultas de 12 años (incluido en el grupo de 10-14 años) NO DEBEN ser mayor que el total de Consultas entre 10-14 años",""))</f>
        <v/>
      </c>
      <c r="CB35" s="196">
        <f>IF(AND($F35&gt;0,AR35="")," * No olvide digitar la variable Gestante. Digite cero si no tiene.",IF(AR35&gt;$F35," * La variable Gestante NO DEBEN ser mayor al Total de Mujeres. ",""))</f>
        <v/>
      </c>
      <c r="CC35" s="196">
        <f>IF(AND((AK35+AL35)&gt;0,AS35="")," * No olvide digitar la variable 60 años (incluido en grupos de 60-64 años). Digite Cero si no tiene.",IF(AS35&gt;(AK35+AL35)," * La variable 60 años (incluido en grupos de 60-64 años) NO DEBE ser mayor que el Total de consultas del grupo 60-64 años",""))</f>
        <v/>
      </c>
      <c r="CD35" s="196">
        <f>IF(AND(D35&gt;0,AT35="")," * No olvide digitar la variable Compra de servicio. Digite Cero si no tiene.","")</f>
        <v/>
      </c>
      <c r="CE35" s="196">
        <f>IF(AND(D35&gt;0,AU35="")," * No olvide digitar la variable Usuarios con Discapacidad. Digite Cero si no tiene.",IF(AU35&gt;$D35," * La variable Usuarios con Discapacidad No puede ser mayor al Total Ambos Sexos.",""))</f>
        <v/>
      </c>
      <c r="CF35" s="196">
        <f>IF(AND($D35&gt;0,AV35="")," * No olvide digitar la variable Migrantes. Digite Cero si no tiene.",IF(AV35&gt;$D35," * La variable Migrantes No puede ser mayor al Total Ambos Sexos.",""))</f>
        <v/>
      </c>
      <c r="CG35" s="196">
        <f>IF(AND(D35&gt;0,AW35="")," * No olvide digitar la variable "&amp;AW$19&amp;". Digite Cero si no tiene.",IF(AW35&gt;D35," * La variable "&amp;AW$19&amp;" No puede ser mayor al Total Ambos Sexos.",""))</f>
        <v/>
      </c>
      <c r="CH35" s="196">
        <f>IF(AND($D35&gt;0,AX35="")," * No olvide digitar la variable "&amp;AX$19&amp;". Digite Cero si no tiene.",IF(AX35&gt;$D35," * La variable "&amp;AX$19&amp;" no puede ser mayor al Total Ambos Sexos.",""))</f>
        <v/>
      </c>
      <c r="CO35" s="197">
        <f>IF(AND((Y35+Z35)&gt;0,AQ35=""),1,IF(AQ35&gt;(Y35+Z35),1,0))</f>
        <v/>
      </c>
      <c r="CP35" s="197">
        <f>IF(AND($F35&gt;0,AR35=""),1,IF(AR35&gt;$F35,1,0))</f>
        <v/>
      </c>
      <c r="CQ35" s="197">
        <f>IF(AND((AK35+AL35)&gt;0,AS35=""),1,IF(AS35&gt;(AK35+AL35),1,0))</f>
        <v/>
      </c>
      <c r="CR35" s="197">
        <f>IF(AND($D35&gt;0,AT35=""),1,0)</f>
        <v/>
      </c>
      <c r="CS35" s="197">
        <f>IF(AND($D35&gt;0,AU35=""),1,IF(AU35&gt;$D35,1,0))</f>
        <v/>
      </c>
      <c r="CT35" s="197">
        <f>IF(AND($D35&gt;0,AV35=""),1,IF(AV35&gt;$D35,1,0))</f>
        <v/>
      </c>
      <c r="CU35" s="197">
        <f>IF(AND($D35&gt;0,AW35=""),1,IF(AW35&gt;$D35,1,0))</f>
        <v/>
      </c>
      <c r="CV35" s="197">
        <f>IF(AND(D35&gt;0,AX35=""),1,IF(AX35&gt;D35,1,0))</f>
        <v/>
      </c>
    </row>
    <row r="36" ht="15" customHeight="1" s="8286">
      <c r="A36" s="3877" t="inlineStr">
        <is>
          <t>Procedimientos Médico-Quirúrgicos</t>
        </is>
      </c>
      <c r="B36" s="10208" t="n"/>
      <c r="C36" s="9644" t="n"/>
      <c r="D36" s="1485">
        <f>SUM(E36+F36)</f>
        <v/>
      </c>
      <c r="E36" s="1486">
        <f>SUM(G36+I36+K36+M36+O36+Q36+S36+U36+W36+Y36+AA36+AC36+AE36+AG36+AI36+AK36+AM36+AO36)</f>
        <v/>
      </c>
      <c r="F36" s="894">
        <f>SUM(H36+J36+L36+N36+P36+R36+T36+V36+X36+Z36+AB36+AD36+AF36+AH36+AJ36+AL36+AN36+AP36)</f>
        <v/>
      </c>
      <c r="G36" s="1172" t="n">
        <v>1</v>
      </c>
      <c r="H36" s="886" t="n">
        <v>1</v>
      </c>
      <c r="I36" s="1172" t="n">
        <v>0</v>
      </c>
      <c r="J36" s="1173" t="n">
        <v>1</v>
      </c>
      <c r="K36" s="1172" t="n">
        <v>0</v>
      </c>
      <c r="L36" s="886" t="n">
        <v>0</v>
      </c>
      <c r="M36" s="1172" t="n">
        <v>0</v>
      </c>
      <c r="N36" s="1173" t="n">
        <v>0</v>
      </c>
      <c r="O36" s="1172" t="n">
        <v>0</v>
      </c>
      <c r="P36" s="886" t="n">
        <v>0</v>
      </c>
      <c r="Q36" s="1172" t="n">
        <v>0</v>
      </c>
      <c r="R36" s="886" t="n">
        <v>0</v>
      </c>
      <c r="S36" s="1172" t="n">
        <v>0</v>
      </c>
      <c r="T36" s="886" t="n">
        <v>1</v>
      </c>
      <c r="U36" s="1172" t="n">
        <v>0</v>
      </c>
      <c r="V36" s="886" t="n">
        <v>1</v>
      </c>
      <c r="W36" s="1174" t="n">
        <v>0</v>
      </c>
      <c r="X36" s="885" t="n">
        <v>1</v>
      </c>
      <c r="Y36" s="1172" t="n">
        <v>1</v>
      </c>
      <c r="Z36" s="886" t="n">
        <v>1</v>
      </c>
      <c r="AA36" s="1174" t="n">
        <v>1</v>
      </c>
      <c r="AB36" s="885" t="n">
        <v>2</v>
      </c>
      <c r="AC36" s="1172" t="n">
        <v>3</v>
      </c>
      <c r="AD36" s="886" t="n">
        <v>14</v>
      </c>
      <c r="AE36" s="1174" t="n">
        <v>5</v>
      </c>
      <c r="AF36" s="885" t="n">
        <v>13</v>
      </c>
      <c r="AG36" s="1172" t="n">
        <v>2</v>
      </c>
      <c r="AH36" s="886" t="n">
        <v>15</v>
      </c>
      <c r="AI36" s="1174" t="n">
        <v>3</v>
      </c>
      <c r="AJ36" s="885" t="n">
        <v>9</v>
      </c>
      <c r="AK36" s="1172" t="n">
        <v>4</v>
      </c>
      <c r="AL36" s="886" t="n">
        <v>15</v>
      </c>
      <c r="AM36" s="1174" t="n">
        <v>6</v>
      </c>
      <c r="AN36" s="886" t="n">
        <v>4</v>
      </c>
      <c r="AO36" s="1174" t="n">
        <v>1</v>
      </c>
      <c r="AP36" s="1929" t="n">
        <v>0</v>
      </c>
      <c r="AQ36" s="887" t="n">
        <v>1</v>
      </c>
      <c r="AR36" s="2001" t="n">
        <v>0</v>
      </c>
      <c r="AS36" s="2001" t="n">
        <v>8</v>
      </c>
      <c r="AT36" s="2001" t="n">
        <v>0</v>
      </c>
      <c r="AU36" s="2001" t="n">
        <v>0</v>
      </c>
      <c r="AV36" s="885" t="n">
        <v>4</v>
      </c>
      <c r="AW36" s="2495" t="n">
        <v>1</v>
      </c>
      <c r="AX36" s="1173" t="n">
        <v>1</v>
      </c>
      <c r="AY36">
        <f>CA36&amp;CB36&amp;CC36&amp;CD36&amp;CE36&amp;CF36&amp;CG36&amp;CH36</f>
        <v/>
      </c>
      <c r="CA36" s="196">
        <f>IF(AND((Y36+Z36)&gt;0,AQ36="")," * No olvide digitar la variable 12 años (incluido en el grupo de 10-14 años). Si no tiene digite Cero.",IF(AQ36&gt;(Y36+Z36),"* Las Consultas de 12 años (incluido en el grupo de 10-14 años) NO DEBEN ser mayor que el total de Consultas entre 10-14 años",""))</f>
        <v/>
      </c>
      <c r="CB36" s="196">
        <f>IF(AND($F36&gt;0,AR36="")," * No olvide digitar la variable Gestante. Digite cero si no tiene.",IF(AR36&gt;$F36," * La variable Gestante NO DEBEN ser mayor al Total de Mujeres. ",""))</f>
        <v/>
      </c>
      <c r="CC36" s="196">
        <f>IF(AND((AK36+AL36)&gt;0,AS36="")," * No olvide digitar la variable 60 años (incluido en grupos de 60-64 años). Digite Cero si no tiene.",IF(AS36&gt;(AK36+AL36)," * La variable 60 años (incluido en grupos de 60-64 años) NO DEBE ser mayor que el Total de consultas del grupo 60-64 años",""))</f>
        <v/>
      </c>
      <c r="CD36" s="196">
        <f>IF(AND(D36&gt;0,AT36="")," * No olvide digitar la variable Compra de servicio. Digite Cero si no tiene.","")</f>
        <v/>
      </c>
      <c r="CE36" s="196">
        <f>IF(AND(D36&gt;0,AU36="")," * No olvide digitar la variable Usuarios con Discapacidad. Digite Cero si no tiene.",IF(AU36&gt;$D36," * La variable Usuarios con Discapacidad No puede ser mayor al Total Ambos Sexos.",""))</f>
        <v/>
      </c>
      <c r="CF36" s="196">
        <f>IF(AND($D36&gt;0,AV36="")," * No olvide digitar la variable Migrantes. Digite Cero si no tiene.",IF(AV36&gt;$D36," * La variable Migrantes No puede ser mayor al Total Ambos Sexos.",""))</f>
        <v/>
      </c>
      <c r="CG36" s="196">
        <f>IF(AND(D36&gt;0,AW36="")," * No olvide digitar la variable "&amp;AW$19&amp;". Digite Cero si no tiene.",IF(AW36&gt;D36," * La variable "&amp;AW$19&amp;" No puede ser mayor al Total Ambos Sexos.",""))</f>
        <v/>
      </c>
      <c r="CH36" s="196">
        <f>IF(AND($D36&gt;0,AX36="")," * No olvide digitar la variable "&amp;AX$19&amp;". Digite Cero si no tiene.",IF(AX36&gt;$D36," * La variable "&amp;AX$19&amp;" no puede ser mayor al Total Ambos Sexos.",""))</f>
        <v/>
      </c>
      <c r="CO36" s="197">
        <f>IF(AND((Y36+Z36)&gt;0,AQ36=""),1,IF(AQ36&gt;(Y36+Z36),1,0))</f>
        <v/>
      </c>
      <c r="CP36" s="197">
        <f>IF(AND($F36&gt;0,AR36=""),1,IF(AR36&gt;$F36,1,0))</f>
        <v/>
      </c>
      <c r="CQ36" s="197">
        <f>IF(AND((AK36+AL36)&gt;0,AS36=""),1,IF(AS36&gt;(AK36+AL36),1,0))</f>
        <v/>
      </c>
      <c r="CR36" s="197">
        <f>IF(AND($D36&gt;0,AT36=""),1,0)</f>
        <v/>
      </c>
      <c r="CS36" s="197">
        <f>IF(AND($D36&gt;0,AU36=""),1,IF(AU36&gt;$D36,1,0))</f>
        <v/>
      </c>
      <c r="CT36" s="197">
        <f>IF(AND($D36&gt;0,AV36=""),1,IF(AV36&gt;$D36,1,0))</f>
        <v/>
      </c>
      <c r="CU36" s="197">
        <f>IF(AND($D36&gt;0,AW36=""),1,IF(AW36&gt;$D36,1,0))</f>
        <v/>
      </c>
      <c r="CV36" s="197">
        <f>IF(AND(D36&gt;0,AX36=""),1,IF(AX36&gt;D36,1,0))</f>
        <v/>
      </c>
    </row>
    <row r="37" ht="15" customHeight="1" s="8286">
      <c r="A37" s="8748" t="inlineStr">
        <is>
          <t>Radiografía intraoral (retroalveolares, bite wing y oclusales)</t>
        </is>
      </c>
      <c r="B37" s="10208" t="n"/>
      <c r="C37" s="9644" t="n"/>
      <c r="D37" s="1485">
        <f>SUM(E37+F37)</f>
        <v/>
      </c>
      <c r="E37" s="1486">
        <f>SUM(G37+I37+K37+M37+O37+Q37+S37+U37+W37+Y37+AA37+AC37+AE37+AG37+AI37+AK37+AM37+AO37)</f>
        <v/>
      </c>
      <c r="F37" s="894">
        <f>SUM(H37+J37+L37+N37+P37+R37+T37+V37+X37+Z37+AB37+AD37+AF37+AH37+AJ37+AL37+AN37+AP37)</f>
        <v/>
      </c>
      <c r="G37" s="1172" t="n">
        <v>0</v>
      </c>
      <c r="H37" s="886" t="n">
        <v>0</v>
      </c>
      <c r="I37" s="1172" t="n">
        <v>0</v>
      </c>
      <c r="J37" s="1173" t="n">
        <v>0</v>
      </c>
      <c r="K37" s="1172" t="n">
        <v>0</v>
      </c>
      <c r="L37" s="886" t="n">
        <v>0</v>
      </c>
      <c r="M37" s="1172" t="n">
        <v>1</v>
      </c>
      <c r="N37" s="1173" t="n">
        <v>0</v>
      </c>
      <c r="O37" s="1172" t="n">
        <v>1</v>
      </c>
      <c r="P37" s="886" t="n">
        <v>0</v>
      </c>
      <c r="Q37" s="1172" t="n">
        <v>0</v>
      </c>
      <c r="R37" s="886" t="n">
        <v>1</v>
      </c>
      <c r="S37" s="1172" t="n">
        <v>0</v>
      </c>
      <c r="T37" s="886" t="n">
        <v>0</v>
      </c>
      <c r="U37" s="1172" t="n">
        <v>0</v>
      </c>
      <c r="V37" s="886" t="n">
        <v>0</v>
      </c>
      <c r="W37" s="1174" t="n">
        <v>0</v>
      </c>
      <c r="X37" s="885" t="n">
        <v>2</v>
      </c>
      <c r="Y37" s="1172" t="n">
        <v>5</v>
      </c>
      <c r="Z37" s="886" t="n">
        <v>1</v>
      </c>
      <c r="AA37" s="1174" t="n">
        <v>3</v>
      </c>
      <c r="AB37" s="885" t="n">
        <v>10</v>
      </c>
      <c r="AC37" s="1172" t="n">
        <v>1</v>
      </c>
      <c r="AD37" s="886" t="n">
        <v>3</v>
      </c>
      <c r="AE37" s="1174" t="n">
        <v>7</v>
      </c>
      <c r="AF37" s="885" t="n">
        <v>15</v>
      </c>
      <c r="AG37" s="1172" t="n">
        <v>1</v>
      </c>
      <c r="AH37" s="886" t="n">
        <v>23</v>
      </c>
      <c r="AI37" s="1174" t="n">
        <v>13</v>
      </c>
      <c r="AJ37" s="885" t="n">
        <v>21</v>
      </c>
      <c r="AK37" s="1172" t="n">
        <v>10</v>
      </c>
      <c r="AL37" s="886" t="n">
        <v>5</v>
      </c>
      <c r="AM37" s="1174" t="n">
        <v>5</v>
      </c>
      <c r="AN37" s="886" t="n">
        <v>4</v>
      </c>
      <c r="AO37" s="1174" t="n">
        <v>0</v>
      </c>
      <c r="AP37" s="1929" t="n">
        <v>0</v>
      </c>
      <c r="AQ37" s="887" t="n">
        <v>5</v>
      </c>
      <c r="AR37" s="2001" t="n">
        <v>11</v>
      </c>
      <c r="AS37" s="2001" t="n">
        <v>8</v>
      </c>
      <c r="AT37" s="2001" t="n">
        <v>0</v>
      </c>
      <c r="AU37" s="2001" t="n">
        <v>0</v>
      </c>
      <c r="AV37" s="885" t="n">
        <v>0</v>
      </c>
      <c r="AW37" s="2495" t="n">
        <v>0</v>
      </c>
      <c r="AX37" s="1173" t="n">
        <v>0</v>
      </c>
      <c r="AY37">
        <f>CA37&amp;CB37&amp;CC37&amp;CD37&amp;CE37&amp;CF37&amp;CG37&amp;CH37</f>
        <v/>
      </c>
      <c r="CA37" s="196">
        <f>IF(AND((Y37+Z37)&gt;0,AQ37="")," * No olvide digitar la variable 12 años (incluido en el grupo de 10-14 años). Si no tiene digite Cero.",IF(AQ37&gt;(Y37+Z37),"* Las Consultas de 12 años (incluido en el grupo de 10-14 años) NO DEBEN ser mayor que el total de Consultas entre 10-14 años",""))</f>
        <v/>
      </c>
      <c r="CB37" s="196">
        <f>IF(AND($F37&gt;0,AR37="")," * No olvide digitar la variable Gestante. Digite cero si no tiene.",IF(AR37&gt;$F37," * La variable Gestante NO DEBEN ser mayor al Total de Mujeres. ",""))</f>
        <v/>
      </c>
      <c r="CC37" s="196">
        <f>IF(AND((AK37+AL37)&gt;0,AS37="")," * No olvide digitar la variable 60 años (incluido en grupos de 60-64 años). Digite Cero si no tiene.",IF(AS37&gt;(AK37+AL37)," * La variable 60 años (incluido en grupos de 60-64 años) NO DEBE ser mayor que el Total de consultas del grupo 60-64 años",""))</f>
        <v/>
      </c>
      <c r="CD37" s="196">
        <f>IF(AND(D37&gt;0,AT37="")," * No olvide digitar la variable Compra de servicio. Digite Cero si no tiene.","")</f>
        <v/>
      </c>
      <c r="CE37" s="196">
        <f>IF(AND(D37&gt;0,AU37="")," * No olvide digitar la variable Usuarios con Discapacidad. Digite Cero si no tiene.",IF(AU37&gt;$D37," * La variable Usuarios con Discapacidad No puede ser mayor al Total Ambos Sexos.",""))</f>
        <v/>
      </c>
      <c r="CF37" s="196">
        <f>IF(AND($D37&gt;0,AV37="")," * No olvide digitar la variable Migrantes. Digite Cero si no tiene.",IF(AV37&gt;$D37," * La variable Migrantes No puede ser mayor al Total Ambos Sexos.",""))</f>
        <v/>
      </c>
      <c r="CG37" s="196">
        <f>IF(AND(D37&gt;0,AW37="")," * No olvide digitar la variable "&amp;AW$19&amp;". Digite Cero si no tiene.",IF(AW37&gt;D37," * La variable "&amp;AW$19&amp;" No puede ser mayor al Total Ambos Sexos.",""))</f>
        <v/>
      </c>
      <c r="CH37" s="196">
        <f>IF(AND($D37&gt;0,AX37="")," * No olvide digitar la variable "&amp;AX$19&amp;". Digite Cero si no tiene.",IF(AX37&gt;$D37," * La variable "&amp;AX$19&amp;" no puede ser mayor al Total Ambos Sexos.",""))</f>
        <v/>
      </c>
      <c r="CO37" s="197">
        <f>IF(AND((Y37+Z37)&gt;0,AQ37=""),1,IF(AQ37&gt;(Y37+Z37),1,0))</f>
        <v/>
      </c>
      <c r="CP37" s="197">
        <f>IF(AND($F37&gt;0,AR37=""),1,IF(AR37&gt;$F37,1,0))</f>
        <v/>
      </c>
      <c r="CQ37" s="197">
        <f>IF(AND((AK37+AL37)&gt;0,AS37=""),1,IF(AS37&gt;(AK37+AL37),1,0))</f>
        <v/>
      </c>
      <c r="CR37" s="197">
        <f>IF(AND($D37&gt;0,AT37=""),1,0)</f>
        <v/>
      </c>
      <c r="CS37" s="197">
        <f>IF(AND($D37&gt;0,AU37=""),1,IF(AU37&gt;$D37,1,0))</f>
        <v/>
      </c>
      <c r="CT37" s="197">
        <f>IF(AND($D37&gt;0,AV37=""),1,IF(AV37&gt;$D37,1,0))</f>
        <v/>
      </c>
      <c r="CU37" s="197">
        <f>IF(AND($D37&gt;0,AW37=""),1,IF(AW37&gt;$D37,1,0))</f>
        <v/>
      </c>
      <c r="CV37" s="197">
        <f>IF(AND(D37&gt;0,AX37=""),1,IF(AX37&gt;D37,1,0))</f>
        <v/>
      </c>
    </row>
    <row r="38" ht="15" customHeight="1" s="8286">
      <c r="A38" s="8409" t="inlineStr">
        <is>
          <t xml:space="preserve">Aplicación de fluoruro diamino de plata </t>
        </is>
      </c>
      <c r="B38" s="8426" t="n"/>
      <c r="C38" s="8410" t="n"/>
      <c r="D38" s="1360">
        <f>SUM(E38+F38)</f>
        <v/>
      </c>
      <c r="E38" s="1379">
        <f>SUM(G38+I38+K38+M38+O38+Q38+S38+U38+W38+Y38+AA38+AC38+AE38+AG38+AI38+AK38+AM38+AO38)</f>
        <v/>
      </c>
      <c r="F38" s="1359">
        <f>SUM(H38+J38+L38+N38+P38+R38+T38+V38+X38+Z38+AB38+AD38+AF38+AH38+AJ38+AL38+AN38+AP38)</f>
        <v/>
      </c>
      <c r="G38" s="1188" t="n">
        <v>0</v>
      </c>
      <c r="H38" s="1192" t="n">
        <v>0</v>
      </c>
      <c r="I38" s="1188" t="n">
        <v>0</v>
      </c>
      <c r="J38" s="1192" t="n">
        <v>0</v>
      </c>
      <c r="K38" s="1188" t="n">
        <v>0</v>
      </c>
      <c r="L38" s="1192" t="n">
        <v>0</v>
      </c>
      <c r="M38" s="1188" t="n">
        <v>0</v>
      </c>
      <c r="N38" s="1192" t="n">
        <v>1</v>
      </c>
      <c r="O38" s="1188" t="n">
        <v>0</v>
      </c>
      <c r="P38" s="1192" t="n">
        <v>0</v>
      </c>
      <c r="Q38" s="1188" t="n">
        <v>1</v>
      </c>
      <c r="R38" s="1192" t="n">
        <v>0</v>
      </c>
      <c r="S38" s="1188" t="n">
        <v>0</v>
      </c>
      <c r="T38" s="1192" t="n">
        <v>0</v>
      </c>
      <c r="U38" s="1188" t="n">
        <v>0</v>
      </c>
      <c r="V38" s="1192" t="n">
        <v>0</v>
      </c>
      <c r="W38" s="1193" t="n">
        <v>0</v>
      </c>
      <c r="X38" s="1227" t="n">
        <v>0</v>
      </c>
      <c r="Y38" s="1188" t="n">
        <v>0</v>
      </c>
      <c r="Z38" s="1192" t="n">
        <v>0</v>
      </c>
      <c r="AA38" s="1193" t="n">
        <v>0</v>
      </c>
      <c r="AB38" s="1227" t="n">
        <v>0</v>
      </c>
      <c r="AC38" s="1188" t="n">
        <v>0</v>
      </c>
      <c r="AD38" s="1192" t="n">
        <v>0</v>
      </c>
      <c r="AE38" s="1193" t="n">
        <v>0</v>
      </c>
      <c r="AF38" s="1227" t="n">
        <v>0</v>
      </c>
      <c r="AG38" s="1188" t="n">
        <v>0</v>
      </c>
      <c r="AH38" s="1192" t="n">
        <v>0</v>
      </c>
      <c r="AI38" s="1193" t="n">
        <v>0</v>
      </c>
      <c r="AJ38" s="1227" t="n">
        <v>0</v>
      </c>
      <c r="AK38" s="1188" t="n">
        <v>0</v>
      </c>
      <c r="AL38" s="1192" t="n">
        <v>0</v>
      </c>
      <c r="AM38" s="1193" t="n">
        <v>0</v>
      </c>
      <c r="AN38" s="1192" t="n">
        <v>0</v>
      </c>
      <c r="AO38" s="1193" t="n">
        <v>0</v>
      </c>
      <c r="AP38" s="1226" t="n">
        <v>0</v>
      </c>
      <c r="AQ38" s="1225" t="n">
        <v>0</v>
      </c>
      <c r="AR38" s="1118" t="n">
        <v>0</v>
      </c>
      <c r="AS38" s="1118" t="n">
        <v>0</v>
      </c>
      <c r="AT38" s="1118" t="n">
        <v>0</v>
      </c>
      <c r="AU38" s="1118" t="n">
        <v>0</v>
      </c>
      <c r="AV38" s="1194" t="n">
        <v>0</v>
      </c>
      <c r="AW38" s="2497" t="n">
        <v>0</v>
      </c>
      <c r="AX38" s="1192" t="n">
        <v>0</v>
      </c>
      <c r="AY38">
        <f>CA38&amp;CB38&amp;CC38&amp;CD38&amp;CE38&amp;CF38&amp;CG38&amp;CH38</f>
        <v/>
      </c>
      <c r="CA38" s="196">
        <f>IF(AND((Y38+Z38)&gt;0,AQ38="")," * No olvide digitar la variable 12 años (incluido en el grupo de 10-14 años). Si no tiene digite Cero.",IF(AQ38&gt;(Y38+Z38),"* Las Consultas de 12 años (incluido en el grupo de 10-14 años) NO DEBEN ser mayor que el total de Consultas entre 10-14 años",""))</f>
        <v/>
      </c>
      <c r="CB38" s="196">
        <f>IF(AND($F38&gt;0,AR38="")," * No olvide digitar la variable Gestante. Digite cero si no tiene.",IF(AR38&gt;$F38," * La variable Gestante NO DEBEN ser mayor al Total de Mujeres. ",""))</f>
        <v/>
      </c>
      <c r="CC38" s="196">
        <f>IF(AND((AK38+AL38)&gt;0,AS38="")," * No olvide digitar la variable 60 años (incluido en grupos de 60-64 años). Digite Cero si no tiene.",IF(AS38&gt;(AK38+AL38)," * La variable 60 años (incluido en grupos de 60-64 años) NO DEBE ser mayor que el Total de consultas del grupo 60-64 años",""))</f>
        <v/>
      </c>
      <c r="CD38" s="196">
        <f>IF(AND(D38&gt;0,AT38="")," * No olvide digitar la variable Compra de servicio. Digite Cero si no tiene.","")</f>
        <v/>
      </c>
      <c r="CE38" s="196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>
        <f>IF(AND($D38&gt;0,AV38="")," * No olvide digitar la variable Migrantes. Digite Cero si no tiene.",IF(AV38&gt;$D38," * La variable Migrantes No puede ser mayor al Total Ambos Sexos.",""))</f>
        <v/>
      </c>
      <c r="CG38" s="196">
        <f>IF(AND(D38&gt;0,AW38="")," * No olvide digitar la variable "&amp;AW$19&amp;". Digite Cero si no tiene.",IF(AW38&gt;D38," * La variable "&amp;AW$19&amp;" No puede ser mayor al Total Ambos Sexos.",""))</f>
        <v/>
      </c>
      <c r="CH38" s="196">
        <f>IF(AND($D38&gt;0,AX38="")," * No olvide digitar la variable "&amp;AX$19&amp;". Digite Cero si no tiene.",IF(AX38&gt;$D38," * La variable "&amp;AX$19&amp;" no puede ser mayor al Total Ambos Sexos.",""))</f>
        <v/>
      </c>
      <c r="CO38" s="197">
        <f>IF(AND((Y38+Z38)&gt;0,AQ38=""),1,IF(AQ38&gt;(Y38+Z38),1,0))</f>
        <v/>
      </c>
      <c r="CP38" s="197">
        <f>IF(AND($F38&gt;0,AR38=""),1,IF(AR38&gt;$F38,1,0))</f>
        <v/>
      </c>
      <c r="CQ38" s="197">
        <f>IF(AND((AK38+AL38)&gt;0,AS38=""),1,IF(AS38&gt;(AK38+AL38),1,0))</f>
        <v/>
      </c>
      <c r="CR38" s="197">
        <f>IF(AND($D38&gt;0,AT38=""),1,0)</f>
        <v/>
      </c>
      <c r="CS38" s="197">
        <f>IF(AND($D38&gt;0,AU38=""),1,IF(AU38&gt;$D38,1,0))</f>
        <v/>
      </c>
      <c r="CT38" s="197">
        <f>IF(AND($D38&gt;0,AV38=""),1,IF(AV38&gt;$D38,1,0))</f>
        <v/>
      </c>
      <c r="CU38" s="197">
        <f>IF(AND($D38&gt;0,AW38=""),1,IF(AW38&gt;$D38,1,0))</f>
        <v/>
      </c>
      <c r="CV38" s="197">
        <f>IF(AND(D38&gt;0,AX38=""),1,IF(AX38&gt;D38,1,0))</f>
        <v/>
      </c>
    </row>
    <row r="39">
      <c r="A39" s="9240" t="inlineStr">
        <is>
          <t>TOTAL ACTIVIDADES</t>
        </is>
      </c>
      <c r="B39" s="9584" t="n"/>
      <c r="C39" s="9647" t="n"/>
      <c r="D39" s="2708">
        <f>SUM(D21:D38)</f>
        <v/>
      </c>
      <c r="E39" s="2709">
        <f>SUM(E21:E38)</f>
        <v/>
      </c>
      <c r="F39" s="2710">
        <f>SUM(F21:F38)</f>
        <v/>
      </c>
      <c r="G39" s="2708">
        <f>SUM(G21:G38)</f>
        <v/>
      </c>
      <c r="H39" s="2710">
        <f>SUM(H21:H38)</f>
        <v/>
      </c>
      <c r="I39" s="2708">
        <f>SUM(I21:I38)</f>
        <v/>
      </c>
      <c r="J39" s="2710">
        <f>SUM(J21:J38)</f>
        <v/>
      </c>
      <c r="K39" s="2708">
        <f>SUM(K21:K38)</f>
        <v/>
      </c>
      <c r="L39" s="2710">
        <f>SUM(L21:L38)</f>
        <v/>
      </c>
      <c r="M39" s="2708">
        <f>SUM(M21:M38)</f>
        <v/>
      </c>
      <c r="N39" s="2710">
        <f>SUM(N21:N38)</f>
        <v/>
      </c>
      <c r="O39" s="2708">
        <f>SUM(O21:O38)</f>
        <v/>
      </c>
      <c r="P39" s="2710">
        <f>SUM(P21:P38)</f>
        <v/>
      </c>
      <c r="Q39" s="2708">
        <f>SUM(Q21:Q38)</f>
        <v/>
      </c>
      <c r="R39" s="2710">
        <f>SUM(R21:R38)</f>
        <v/>
      </c>
      <c r="S39" s="2708">
        <f>SUM(S21:S38)</f>
        <v/>
      </c>
      <c r="T39" s="2710">
        <f>SUM(T21:T38)</f>
        <v/>
      </c>
      <c r="U39" s="2708">
        <f>SUM(U21:U38)</f>
        <v/>
      </c>
      <c r="V39" s="2710">
        <f>SUM(V21:V38)</f>
        <v/>
      </c>
      <c r="W39" s="2708">
        <f>SUM(W21:W38)</f>
        <v/>
      </c>
      <c r="X39" s="2710">
        <f>SUM(X21:X38)</f>
        <v/>
      </c>
      <c r="Y39" s="2708">
        <f>SUM(Y21:Y38)</f>
        <v/>
      </c>
      <c r="Z39" s="2710">
        <f>SUM(Z21:Z38)</f>
        <v/>
      </c>
      <c r="AA39" s="2708">
        <f>SUM(AA21:AA38)</f>
        <v/>
      </c>
      <c r="AB39" s="2710">
        <f>SUM(AB21:AB38)</f>
        <v/>
      </c>
      <c r="AC39" s="2708">
        <f>SUM(AC21:AC38)</f>
        <v/>
      </c>
      <c r="AD39" s="2710">
        <f>SUM(AD21:AD38)</f>
        <v/>
      </c>
      <c r="AE39" s="2708">
        <f>SUM(AE21:AE38)</f>
        <v/>
      </c>
      <c r="AF39" s="2710">
        <f>SUM(AF21:AF38)</f>
        <v/>
      </c>
      <c r="AG39" s="2708">
        <f>SUM(AG21:AG38)</f>
        <v/>
      </c>
      <c r="AH39" s="2710">
        <f>SUM(AH21:AH38)</f>
        <v/>
      </c>
      <c r="AI39" s="2708">
        <f>SUM(AI21:AI38)</f>
        <v/>
      </c>
      <c r="AJ39" s="2710">
        <f>SUM(AJ21:AJ38)</f>
        <v/>
      </c>
      <c r="AK39" s="2708">
        <f>SUM(AK21:AK38)</f>
        <v/>
      </c>
      <c r="AL39" s="2710">
        <f>SUM(AL21:AL38)</f>
        <v/>
      </c>
      <c r="AM39" s="2708">
        <f>SUM(AM21:AM38)</f>
        <v/>
      </c>
      <c r="AN39" s="2710">
        <f>SUM(AN21:AN38)</f>
        <v/>
      </c>
      <c r="AO39" s="2708">
        <f>SUM(AO21:AO38)</f>
        <v/>
      </c>
      <c r="AP39" s="2710">
        <f>SUM(AP21:AP38)</f>
        <v/>
      </c>
      <c r="AQ39" s="2708">
        <f>SUM(AQ21:AQ38)</f>
        <v/>
      </c>
      <c r="AR39" s="2710">
        <f>SUM(AR21:AR38)</f>
        <v/>
      </c>
      <c r="AS39" s="2708">
        <f>SUM(AS21:AS38)</f>
        <v/>
      </c>
      <c r="AT39" s="2710">
        <f>SUM(AT21:AT38)</f>
        <v/>
      </c>
      <c r="AU39" s="2708">
        <f>SUM(AU21:AU38)</f>
        <v/>
      </c>
      <c r="AV39" s="2711">
        <f>SUM(AV21:AV38)</f>
        <v/>
      </c>
      <c r="AW39" s="2712">
        <f>SUM(AW21:AW38)</f>
        <v/>
      </c>
      <c r="AX39" s="2710">
        <f>SUM(AX21:AX38)</f>
        <v/>
      </c>
    </row>
    <row r="40" ht="18" customHeight="1" s="8286">
      <c r="A40" s="2" t="inlineStr">
        <is>
          <t>SECCIÓN C : INGRESOS Y EGRESOS DE ODONTOLOGÍA GENERAL EN NIVEL PRIMARIO Y SECUNDARIO DE SALUD</t>
        </is>
      </c>
      <c r="B40" s="340" t="n"/>
      <c r="C40" s="340" t="n"/>
      <c r="D40" s="3" t="n"/>
      <c r="E40" s="8337" t="n"/>
      <c r="F40" s="8337" t="n"/>
      <c r="G40" s="8337" t="n"/>
      <c r="H40" s="8337" t="n"/>
      <c r="I40" s="8337" t="n"/>
      <c r="J40" s="8337" t="n"/>
      <c r="K40" s="8337" t="n"/>
      <c r="L40" s="8337" t="n"/>
      <c r="M40" s="8337" t="n"/>
      <c r="N40" s="8337" t="n"/>
      <c r="O40" s="8337" t="n"/>
      <c r="P40" s="8337" t="n"/>
      <c r="Q40" s="8337" t="n"/>
      <c r="R40" s="8337" t="n"/>
      <c r="S40" s="8337" t="n"/>
      <c r="T40" s="8337" t="n"/>
      <c r="U40" s="8337" t="n"/>
      <c r="V40" s="8337" t="n"/>
      <c r="W40" s="8337" t="n"/>
      <c r="X40" s="8337" t="n"/>
      <c r="Y40" s="8337" t="n"/>
      <c r="Z40" s="8337" t="n"/>
      <c r="AA40" s="8337" t="n"/>
      <c r="AB40" s="8337" t="n"/>
      <c r="AC40" s="8337" t="n"/>
      <c r="AD40" s="8337" t="n"/>
      <c r="AE40" s="8337" t="n"/>
      <c r="AF40" s="8337" t="n"/>
      <c r="AG40" s="8337" t="n"/>
      <c r="AH40" s="8337" t="n"/>
      <c r="AI40" s="8337" t="n"/>
      <c r="AJ40" s="8337" t="n"/>
      <c r="AK40" s="8337" t="n"/>
      <c r="AL40" s="8337" t="n"/>
      <c r="AM40" s="8337" t="n"/>
      <c r="AN40" s="8337" t="n"/>
      <c r="AO40" s="8337" t="n"/>
      <c r="AP40" s="8337" t="n"/>
      <c r="AQ40" s="8337" t="n"/>
      <c r="AR40" s="341" t="n"/>
      <c r="AS40" s="341" t="n"/>
      <c r="AT40" s="341" t="n"/>
      <c r="AU40" s="8337" t="n"/>
      <c r="AV40" s="8337" t="n"/>
      <c r="AW40" s="8337" t="n"/>
      <c r="AX40" s="8337" t="n"/>
    </row>
    <row r="41" ht="15" customHeight="1" s="8286">
      <c r="A41" s="9914" t="inlineStr">
        <is>
          <t>TIPO DE INGRESO O EGRESO</t>
        </is>
      </c>
      <c r="B41" s="9602" t="n"/>
      <c r="C41" s="9630" t="n"/>
      <c r="D41" s="9939" t="inlineStr">
        <is>
          <t xml:space="preserve">TOTAL  </t>
        </is>
      </c>
      <c r="E41" s="9602" t="n"/>
      <c r="F41" s="9630" t="n"/>
      <c r="G41" s="9976" t="inlineStr">
        <is>
          <t>RANGO ETARIO Y SEXO</t>
        </is>
      </c>
      <c r="H41" s="9584" t="n"/>
      <c r="I41" s="9584" t="n"/>
      <c r="J41" s="9584" t="n"/>
      <c r="K41" s="9584" t="n"/>
      <c r="L41" s="9584" t="n"/>
      <c r="M41" s="9584" t="n"/>
      <c r="N41" s="9584" t="n"/>
      <c r="O41" s="9584" t="n"/>
      <c r="P41" s="9584" t="n"/>
      <c r="Q41" s="9584" t="n"/>
      <c r="R41" s="9584" t="n"/>
      <c r="S41" s="9584" t="n"/>
      <c r="T41" s="9584" t="n"/>
      <c r="U41" s="9584" t="n"/>
      <c r="V41" s="9584" t="n"/>
      <c r="W41" s="9584" t="n"/>
      <c r="X41" s="9584" t="n"/>
      <c r="Y41" s="9584" t="n"/>
      <c r="Z41" s="9584" t="n"/>
      <c r="AA41" s="9584" t="n"/>
      <c r="AB41" s="9584" t="n"/>
      <c r="AC41" s="9584" t="n"/>
      <c r="AD41" s="9584" t="n"/>
      <c r="AE41" s="9584" t="n"/>
      <c r="AF41" s="9584" t="n"/>
      <c r="AG41" s="9584" t="n"/>
      <c r="AH41" s="9584" t="n"/>
      <c r="AI41" s="9584" t="n"/>
      <c r="AJ41" s="9584" t="n"/>
      <c r="AK41" s="9584" t="n"/>
      <c r="AL41" s="9584" t="n"/>
      <c r="AM41" s="9584" t="n"/>
      <c r="AN41" s="9584" t="n"/>
      <c r="AO41" s="9584" t="n"/>
      <c r="AP41" s="9595" t="n"/>
      <c r="AQ41" s="9980" t="inlineStr">
        <is>
          <t>12 años (incluido en el grupo de 10-14 años)</t>
        </is>
      </c>
      <c r="AR41" s="9981" t="inlineStr">
        <is>
          <t>Gestantes</t>
        </is>
      </c>
      <c r="AS41" s="9981" t="inlineStr">
        <is>
          <t>60 años (incluido en grupos de 60-64 años)</t>
        </is>
      </c>
      <c r="AT41" s="10220" t="inlineStr">
        <is>
          <t>Usuarios con Discapacidad</t>
        </is>
      </c>
      <c r="AU41" s="10201" t="inlineStr">
        <is>
          <t xml:space="preserve">SENAME/ Servicio Nacional de Reinserción social Juvenil </t>
        </is>
      </c>
      <c r="AV41" s="10043" t="inlineStr">
        <is>
          <t>Servicio Nacional Protección Especializada a la Niñez y Adolescencia</t>
        </is>
      </c>
      <c r="AW41" s="9981" t="inlineStr">
        <is>
          <t>Migrantes</t>
        </is>
      </c>
      <c r="AX41" s="9920" t="inlineStr">
        <is>
          <t>Persona con ingreso integral y condición crónica</t>
        </is>
      </c>
    </row>
    <row r="42">
      <c r="A42" s="642" t="n"/>
      <c r="C42" s="9718" t="n"/>
      <c r="D42" s="9638" t="n"/>
      <c r="E42" s="9697" t="n"/>
      <c r="F42" s="9639" t="n"/>
      <c r="G42" s="4505" t="inlineStr">
        <is>
          <t>Menos de 1 año</t>
        </is>
      </c>
      <c r="H42" s="9647" t="n"/>
      <c r="I42" s="9240" t="inlineStr">
        <is>
          <t>1 año</t>
        </is>
      </c>
      <c r="J42" s="9647" t="n"/>
      <c r="K42" s="10203" t="inlineStr">
        <is>
          <t>2 años</t>
        </is>
      </c>
      <c r="L42" s="10191" t="n"/>
      <c r="M42" s="9240" t="inlineStr">
        <is>
          <t>3 años</t>
        </is>
      </c>
      <c r="N42" s="9647" t="n"/>
      <c r="O42" s="9240" t="inlineStr">
        <is>
          <t>4 años</t>
        </is>
      </c>
      <c r="P42" s="9647" t="n"/>
      <c r="Q42" s="9240" t="inlineStr">
        <is>
          <t>5 años</t>
        </is>
      </c>
      <c r="R42" s="9647" t="n"/>
      <c r="S42" s="9240" t="inlineStr">
        <is>
          <t>6 años</t>
        </is>
      </c>
      <c r="T42" s="9647" t="n"/>
      <c r="U42" s="9240" t="inlineStr">
        <is>
          <t>7 años</t>
        </is>
      </c>
      <c r="V42" s="9647" t="n"/>
      <c r="W42" s="9240" t="inlineStr">
        <is>
          <t>8-9 años</t>
        </is>
      </c>
      <c r="X42" s="9647" t="n"/>
      <c r="Y42" s="9240" t="inlineStr">
        <is>
          <t>10-14 años</t>
        </is>
      </c>
      <c r="Z42" s="9647" t="n"/>
      <c r="AA42" s="9240" t="inlineStr">
        <is>
          <t>15-19 años</t>
        </is>
      </c>
      <c r="AB42" s="9647" t="n"/>
      <c r="AC42" s="9240" t="inlineStr">
        <is>
          <t xml:space="preserve">20-29 años </t>
        </is>
      </c>
      <c r="AD42" s="9647" t="n"/>
      <c r="AE42" s="9240" t="inlineStr">
        <is>
          <t>30-39 años</t>
        </is>
      </c>
      <c r="AF42" s="9647" t="n"/>
      <c r="AG42" s="9240" t="inlineStr">
        <is>
          <t>40-49 años</t>
        </is>
      </c>
      <c r="AH42" s="9647" t="n"/>
      <c r="AI42" s="9240" t="inlineStr">
        <is>
          <t>50-59 años</t>
        </is>
      </c>
      <c r="AJ42" s="9647" t="n"/>
      <c r="AK42" s="9240" t="inlineStr">
        <is>
          <t>60-64 años</t>
        </is>
      </c>
      <c r="AL42" s="9647" t="n"/>
      <c r="AM42" s="9240" t="inlineStr">
        <is>
          <t>65-74 años</t>
        </is>
      </c>
      <c r="AN42" s="9647" t="n"/>
      <c r="AO42" s="9976" t="inlineStr">
        <is>
          <t>75 y más años</t>
        </is>
      </c>
      <c r="AP42" s="9595" t="n"/>
      <c r="AQ42" s="9683" t="n"/>
      <c r="AR42" s="10017" t="n"/>
      <c r="AS42" s="10017" t="n"/>
      <c r="AT42" s="10162" t="n"/>
      <c r="AU42" s="9851" t="n"/>
      <c r="AV42" s="10048" t="n"/>
      <c r="AW42" s="10017" t="n"/>
      <c r="AX42" s="9625" t="n"/>
    </row>
    <row r="43" ht="33" customHeight="1" s="8286">
      <c r="A43" s="642" t="n"/>
      <c r="C43" s="9718" t="n"/>
      <c r="D43" s="2695" t="inlineStr">
        <is>
          <t>Ambos Sexos</t>
        </is>
      </c>
      <c r="E43" s="2714" t="inlineStr">
        <is>
          <t>Hombres</t>
        </is>
      </c>
      <c r="F43" s="8301" t="inlineStr">
        <is>
          <t>Mujeres</t>
        </is>
      </c>
      <c r="G43" s="2695" t="inlineStr">
        <is>
          <t>Hombres</t>
        </is>
      </c>
      <c r="H43" s="8301" t="inlineStr">
        <is>
          <t>Mujeres</t>
        </is>
      </c>
      <c r="I43" s="2695" t="inlineStr">
        <is>
          <t>Hombres</t>
        </is>
      </c>
      <c r="J43" s="8301" t="inlineStr">
        <is>
          <t>Mujeres</t>
        </is>
      </c>
      <c r="K43" s="2696" t="inlineStr">
        <is>
          <t>Hombres</t>
        </is>
      </c>
      <c r="L43" s="8301" t="inlineStr">
        <is>
          <t>Mujeres</t>
        </is>
      </c>
      <c r="M43" s="2714" t="inlineStr">
        <is>
          <t>Hombres</t>
        </is>
      </c>
      <c r="N43" s="8301" t="inlineStr">
        <is>
          <t>Mujeres</t>
        </is>
      </c>
      <c r="O43" s="2714" t="inlineStr">
        <is>
          <t>Hombres</t>
        </is>
      </c>
      <c r="P43" s="8301" t="inlineStr">
        <is>
          <t>Mujeres</t>
        </is>
      </c>
      <c r="Q43" s="2714" t="inlineStr">
        <is>
          <t>Hombres</t>
        </is>
      </c>
      <c r="R43" s="8301" t="inlineStr">
        <is>
          <t>Mujeres</t>
        </is>
      </c>
      <c r="S43" s="2714" t="inlineStr">
        <is>
          <t>Hombres</t>
        </is>
      </c>
      <c r="T43" s="8301" t="inlineStr">
        <is>
          <t>Mujeres</t>
        </is>
      </c>
      <c r="U43" s="8288" t="inlineStr">
        <is>
          <t>Hombres</t>
        </is>
      </c>
      <c r="V43" s="8299" t="inlineStr">
        <is>
          <t>Mujeres</t>
        </is>
      </c>
      <c r="W43" s="8288" t="inlineStr">
        <is>
          <t>Hombres</t>
        </is>
      </c>
      <c r="X43" s="8299" t="inlineStr">
        <is>
          <t>Mujeres</t>
        </is>
      </c>
      <c r="Y43" s="8471" t="inlineStr">
        <is>
          <t>Hombres</t>
        </is>
      </c>
      <c r="Z43" s="8299" t="inlineStr">
        <is>
          <t>Mujeres</t>
        </is>
      </c>
      <c r="AA43" s="8471" t="inlineStr">
        <is>
          <t>Hombres</t>
        </is>
      </c>
      <c r="AB43" s="8299" t="inlineStr">
        <is>
          <t>Mujeres</t>
        </is>
      </c>
      <c r="AC43" s="8471" t="inlineStr">
        <is>
          <t>Hombres</t>
        </is>
      </c>
      <c r="AD43" s="8299" t="inlineStr">
        <is>
          <t>Mujeres</t>
        </is>
      </c>
      <c r="AE43" s="8471" t="inlineStr">
        <is>
          <t>Hombres</t>
        </is>
      </c>
      <c r="AF43" s="8299" t="inlineStr">
        <is>
          <t>Mujeres</t>
        </is>
      </c>
      <c r="AG43" s="8471" t="inlineStr">
        <is>
          <t>Hombres</t>
        </is>
      </c>
      <c r="AH43" s="8299" t="inlineStr">
        <is>
          <t>Mujeres</t>
        </is>
      </c>
      <c r="AI43" s="8471" t="inlineStr">
        <is>
          <t>Hombres</t>
        </is>
      </c>
      <c r="AJ43" s="8299" t="inlineStr">
        <is>
          <t>Mujeres</t>
        </is>
      </c>
      <c r="AK43" s="8471" t="inlineStr">
        <is>
          <t>Hombres</t>
        </is>
      </c>
      <c r="AL43" s="8299" t="inlineStr">
        <is>
          <t>Mujeres</t>
        </is>
      </c>
      <c r="AM43" s="8471" t="inlineStr">
        <is>
          <t>Hombres</t>
        </is>
      </c>
      <c r="AN43" s="8299" t="inlineStr">
        <is>
          <t>Mujeres</t>
        </is>
      </c>
      <c r="AO43" s="8471" t="inlineStr">
        <is>
          <t>Hombres</t>
        </is>
      </c>
      <c r="AP43" s="8290" t="inlineStr">
        <is>
          <t>Mujeres</t>
        </is>
      </c>
      <c r="AQ43" s="9604" t="n"/>
      <c r="AR43" s="9912" t="n"/>
      <c r="AS43" s="9912" t="n"/>
      <c r="AT43" s="9606" t="n"/>
      <c r="AU43" s="9854" t="n"/>
      <c r="AV43" s="10052" t="n"/>
      <c r="AW43" s="9912" t="n"/>
      <c r="AX43" s="9641" t="n"/>
    </row>
    <row r="44" ht="15" customHeight="1" s="8286">
      <c r="A44" s="10221" t="inlineStr">
        <is>
          <t xml:space="preserve">Ingreso a tratamiento odontología general </t>
        </is>
      </c>
      <c r="B44" s="9814" t="n"/>
      <c r="C44" s="9643" t="n"/>
      <c r="D44" s="2151">
        <f>SUM(E44+F44)</f>
        <v/>
      </c>
      <c r="E44" s="843">
        <f>+S44+Y44+AA44+AC44+AE44+AG44+AI44+AK44+AM44+AO44</f>
        <v/>
      </c>
      <c r="F44" s="2715">
        <f>+T44+Z44+AB44+AD44+AF44+AH44+AJ44+AL44+AN44+AP44</f>
        <v/>
      </c>
      <c r="G44" s="1133" t="n"/>
      <c r="H44" s="1134" t="n"/>
      <c r="I44" s="1133" t="n"/>
      <c r="J44" s="1134" t="n"/>
      <c r="K44" s="1133" t="n"/>
      <c r="L44" s="1134" t="n"/>
      <c r="M44" s="1133" t="n"/>
      <c r="N44" s="1134" t="n"/>
      <c r="O44" s="1133" t="n"/>
      <c r="P44" s="1134" t="n"/>
      <c r="Q44" s="1133" t="n"/>
      <c r="R44" s="1134" t="n"/>
      <c r="S44" s="2716" t="n">
        <v>9</v>
      </c>
      <c r="T44" s="2717" t="n">
        <v>10</v>
      </c>
      <c r="U44" s="1133" t="n"/>
      <c r="V44" s="1134" t="n"/>
      <c r="W44" s="1133" t="n"/>
      <c r="X44" s="1134" t="n"/>
      <c r="Y44" s="2716" t="n">
        <v>19</v>
      </c>
      <c r="Z44" s="2717" t="n">
        <v>20</v>
      </c>
      <c r="AA44" s="2718" t="n">
        <v>8</v>
      </c>
      <c r="AB44" s="2717" t="n">
        <v>29</v>
      </c>
      <c r="AC44" s="2719" t="n">
        <v>0</v>
      </c>
      <c r="AD44" s="2717" t="n">
        <v>4</v>
      </c>
      <c r="AE44" s="2718" t="n">
        <v>0</v>
      </c>
      <c r="AF44" s="2717" t="n">
        <v>9</v>
      </c>
      <c r="AG44" s="2716" t="n">
        <v>0</v>
      </c>
      <c r="AH44" s="2717" t="n">
        <v>0</v>
      </c>
      <c r="AI44" s="2716" t="n">
        <v>0</v>
      </c>
      <c r="AJ44" s="2717" t="n">
        <v>2</v>
      </c>
      <c r="AK44" s="2718" t="n">
        <v>0</v>
      </c>
      <c r="AL44" s="2717" t="n">
        <v>2</v>
      </c>
      <c r="AM44" s="2719" t="n">
        <v>1</v>
      </c>
      <c r="AN44" s="2717" t="n">
        <v>2</v>
      </c>
      <c r="AO44" s="2720" t="n">
        <v>0</v>
      </c>
      <c r="AP44" s="2721" t="n">
        <v>0</v>
      </c>
      <c r="AQ44" s="2722" t="n">
        <v>10</v>
      </c>
      <c r="AR44" s="844" t="n">
        <v>13</v>
      </c>
      <c r="AS44" s="844" t="n">
        <v>0</v>
      </c>
      <c r="AT44" s="2723" t="n">
        <v>20</v>
      </c>
      <c r="AU44" s="2724" t="n">
        <v>9</v>
      </c>
      <c r="AV44" s="2725" t="n">
        <v>18</v>
      </c>
      <c r="AW44" s="844" t="n">
        <v>9</v>
      </c>
      <c r="AX44" s="2726" t="n">
        <v>1</v>
      </c>
      <c r="AY44">
        <f>CA44&amp;CB44&amp;CC44&amp;CD44&amp;CE44&amp;CF44&amp;CG44&amp;CH44</f>
        <v/>
      </c>
      <c r="CA44" s="196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>
        <f>IF(AND($F44&gt;0,AR44="")," * No olvide digitar la variable Gestantes. Digite cero si no tiene.",IF(AR44&gt;$F44," * La variable Gestantes NO DEBEN ser mayor al Total de Mujeres. ",""))</f>
        <v/>
      </c>
      <c r="CC44" s="196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>
        <f>IF(AND(D44&gt;0,AU44="")," * No olvide digitar la variable "&amp;AU$41&amp;". Digite Cero si no tiene.",IF(AU44&gt;$D44," * La variable "&amp;AU$41&amp;" No puede ser mayor al Total Ambos Sexos.",""))</f>
        <v/>
      </c>
      <c r="CF44" s="196">
        <f>IF(AND($D44&gt;0,AV44="")," * No olvide digitar la variable "&amp;AV$41&amp;". Digite Cero si no tiene.",IF(AV44&gt;$D44," * La variable "&amp;AV$41&amp;" No puede ser mayor al Total Ambos Sexos.",""))</f>
        <v/>
      </c>
      <c r="CG44" s="196">
        <f>IF(AND($D44&gt;0,AW44="")," * No olvide digitar la variable Migrantes. Digite Cero si no tiene.",IF(AW44&gt;$D44," * La variable Migrantes No puede ser mayor al Total Ambos Sexos.",""))</f>
        <v/>
      </c>
      <c r="CH44" s="196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/>
      </c>
      <c r="CP44" s="197">
        <f>IF(AND($F44&gt;0,AR44=""),1,IF(AR44&gt;$F44,1,0))</f>
        <v/>
      </c>
      <c r="CQ44" s="197">
        <f>IF(AND((AK44+AL44)&gt;0,AS44=""),1,IF(AS44&gt;(AK44+AL44),1,0))</f>
        <v/>
      </c>
      <c r="CR44" s="197">
        <f>IF(AND($D44&gt;0,AT44=""),1,IF(AT44&gt;$D44,1,0))</f>
        <v/>
      </c>
      <c r="CS44" s="197">
        <f>IF(AND($D44&gt;0,AU44=""),1,IF(AU44&gt;$D44,1,0))</f>
        <v/>
      </c>
      <c r="CT44" s="197">
        <f>IF(AND($D44&gt;0,AV44=""),1,IF(AV44&gt;$D44,1,0))</f>
        <v/>
      </c>
      <c r="CU44" s="197">
        <f>IF(AND($D44&gt;0,AW44=""),1,IF(AW44&gt;$D44,1,0))</f>
        <v/>
      </c>
      <c r="CV44" s="197">
        <f>IF(AND(D44&gt;0,AX44=""),1,IF(AX44&gt;D44,1,0))</f>
        <v/>
      </c>
    </row>
    <row r="45" ht="15" customHeight="1" s="8286">
      <c r="A45" s="3877" t="inlineStr">
        <is>
          <t>Ingreso control con enfoque riesgo odontológico (cero)</t>
        </is>
      </c>
      <c r="B45" s="10208" t="n"/>
      <c r="C45" s="9644" t="n"/>
      <c r="D45" s="2165">
        <f>SUM(E45+F45)</f>
        <v/>
      </c>
      <c r="E45" s="798">
        <f>+G45+I45+K45+M45+O45+Q45+S45+U45+W45+Y45+AA45</f>
        <v/>
      </c>
      <c r="F45" s="2727">
        <f>+H45+J45+L45+N45+P45+R45+T45+V45+X45+Z45+AB45</f>
        <v/>
      </c>
      <c r="G45" s="2728" t="n">
        <v>6</v>
      </c>
      <c r="H45" s="1266" t="n">
        <v>5</v>
      </c>
      <c r="I45" s="2728" t="n">
        <v>13</v>
      </c>
      <c r="J45" s="342" t="n">
        <v>11</v>
      </c>
      <c r="K45" s="2728" t="n">
        <v>5</v>
      </c>
      <c r="L45" s="1266" t="n">
        <v>4</v>
      </c>
      <c r="M45" s="2728" t="n">
        <v>5</v>
      </c>
      <c r="N45" s="1266" t="n">
        <v>4</v>
      </c>
      <c r="O45" s="2728" t="n">
        <v>0</v>
      </c>
      <c r="P45" s="1266" t="n">
        <v>6</v>
      </c>
      <c r="Q45" s="2728" t="n">
        <v>4</v>
      </c>
      <c r="R45" s="760" t="n">
        <v>5</v>
      </c>
      <c r="S45" s="2728" t="n">
        <v>6</v>
      </c>
      <c r="T45" s="760" t="n">
        <v>4</v>
      </c>
      <c r="U45" s="2728" t="n">
        <v>2</v>
      </c>
      <c r="V45" s="1266" t="n">
        <v>2</v>
      </c>
      <c r="W45" s="2728" t="n">
        <v>10</v>
      </c>
      <c r="X45" s="760" t="n">
        <v>11</v>
      </c>
      <c r="Y45" s="2728" t="n">
        <v>15</v>
      </c>
      <c r="Z45" s="760" t="n">
        <v>12</v>
      </c>
      <c r="AA45" s="2728" t="n">
        <v>3</v>
      </c>
      <c r="AB45" s="1266" t="n">
        <v>16</v>
      </c>
      <c r="AC45" s="2729" t="n"/>
      <c r="AD45" s="1107" t="n"/>
      <c r="AE45" s="1474" t="n"/>
      <c r="AF45" s="1107" t="n"/>
      <c r="AG45" s="2729" t="n"/>
      <c r="AH45" s="1466" t="n"/>
      <c r="AI45" s="2729" t="n"/>
      <c r="AJ45" s="1466" t="n"/>
      <c r="AK45" s="1474" t="n"/>
      <c r="AL45" s="2730" t="n"/>
      <c r="AM45" s="2729" t="n"/>
      <c r="AN45" s="1107" t="n"/>
      <c r="AO45" s="1474" t="n"/>
      <c r="AP45" s="2731" t="n"/>
      <c r="AQ45" s="2732" t="n">
        <v>7</v>
      </c>
      <c r="AR45" s="2733" t="n">
        <v>2</v>
      </c>
      <c r="AS45" s="2734" t="n"/>
      <c r="AT45" s="2735" t="n">
        <v>34</v>
      </c>
      <c r="AU45" s="2736" t="n">
        <v>0</v>
      </c>
      <c r="AV45" s="761" t="n">
        <v>1</v>
      </c>
      <c r="AW45" s="799" t="n">
        <v>3</v>
      </c>
      <c r="AX45" s="1266" t="n">
        <v>0</v>
      </c>
      <c r="AY45">
        <f>CA45&amp;CB45&amp;CD45&amp;CE45&amp;CF45&amp;CG45&amp;CH45</f>
        <v/>
      </c>
      <c r="CA45" s="196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>
        <f>IF(AND($F45&gt;0,AR45="")," * No olvide digitar la variable Gestante. Digite cero si no tiene.",IF(AR45&gt;$F45," * La variable Gestante NO DEBEN ser mayor al Total de Mujeres. ",""))</f>
        <v/>
      </c>
      <c r="CC45" s="198" t="n"/>
      <c r="CD45" s="196">
        <f>IF(AND(D45&gt;0,AT45="")," * No olvide digitar la variable Usuarios con Discapacidad. Digite Cero si no tiene.",IF(AT45&gt;D45," * La variable Usuarios con Discapacidad No puede ser mayor al Total Ambos Sexos.",""))</f>
        <v/>
      </c>
      <c r="CE45" s="196">
        <f>IF(AND(D45&gt;0,AU45="")," * No olvide digitar la variable "&amp;AU$41&amp;". Digite Cero si no tiene.",IF(AU45&gt;$D45," * La variable "&amp;AU$41&amp;" No puede ser mayor al Total Ambos Sexos.",""))</f>
        <v/>
      </c>
      <c r="CF45" s="196">
        <f>IF(AND($D45&gt;0,AV45="")," * No olvide digitar la variable "&amp;AV$41&amp;". Digite Cero si no tiene.",IF(AV45&gt;$D45," * La variable "&amp;AV$41&amp;" No puede ser mayor al Total Ambos Sexos.",""))</f>
        <v/>
      </c>
      <c r="CG45" s="196">
        <f>IF(AND($D45&gt;0,AW45="")," * No olvide digitar la variable Migrantes. Digite Cero si no tiene.",IF(AW45&gt;$D45," * La variable Migrantes No puede ser mayor al Total Ambos Sexos.",""))</f>
        <v/>
      </c>
      <c r="CH45" s="196">
        <f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>IF(AND((Y45+Z45)&gt;0,AQ45=""),1,IF(AQ45&gt;(Y45+Z45),1,0))</f>
        <v/>
      </c>
      <c r="CP45" s="197">
        <f>IF(AND($F45&gt;0,AR45=""),1,IF(AR45&gt;$F45,1,0))</f>
        <v/>
      </c>
      <c r="CQ45" s="198" t="n"/>
      <c r="CR45" s="197">
        <f>IF(AND($D45&gt;0,AT45=""),1,IF(AT45&gt;$D45,1,0))</f>
        <v/>
      </c>
      <c r="CS45" s="197">
        <f>IF(AND($D45&gt;0,AU45=""),1,IF(AU45&gt;$D45,1,0))</f>
        <v/>
      </c>
      <c r="CT45" s="197">
        <f>IF(AND($D45&gt;0,AV45=""),1,IF(AV45&gt;$D45,1,0))</f>
        <v/>
      </c>
      <c r="CU45" s="197">
        <f>IF(AND($D45&gt;0,AW45=""),1,IF(AW45&gt;$D45,1,0))</f>
        <v/>
      </c>
      <c r="CV45" s="197">
        <f>IF(AND(D45&gt;0,AX45=""),1,IF(AX45&gt;D45,1,0))</f>
        <v/>
      </c>
    </row>
    <row r="46" ht="15" customHeight="1" s="8286">
      <c r="A46" s="3877" t="inlineStr">
        <is>
          <t>Egreso control con enfoque riesgo odontológico (cero)</t>
        </is>
      </c>
      <c r="B46" s="10208" t="n"/>
      <c r="C46" s="9644" t="n"/>
      <c r="D46" s="2165">
        <f>SUM(E46+F46)</f>
        <v/>
      </c>
      <c r="E46" s="798">
        <f>+G46+I46+K46+M46+O46+Q46+S46+U46+W46+Y46+AA46</f>
        <v/>
      </c>
      <c r="F46" s="2727">
        <f>+H46+J46+L46+N46+P46+R46+T46+V46+X46+Z46+AB46</f>
        <v/>
      </c>
      <c r="G46" s="2728" t="n">
        <v>0</v>
      </c>
      <c r="H46" s="1266" t="n">
        <v>0</v>
      </c>
      <c r="I46" s="2728" t="n">
        <v>0</v>
      </c>
      <c r="J46" s="342" t="n">
        <v>0</v>
      </c>
      <c r="K46" s="2728" t="n">
        <v>0</v>
      </c>
      <c r="L46" s="1266" t="n">
        <v>0</v>
      </c>
      <c r="M46" s="2728" t="n">
        <v>0</v>
      </c>
      <c r="N46" s="1266" t="n">
        <v>0</v>
      </c>
      <c r="O46" s="2728" t="n">
        <v>0</v>
      </c>
      <c r="P46" s="1266" t="n">
        <v>0</v>
      </c>
      <c r="Q46" s="2728" t="n">
        <v>0</v>
      </c>
      <c r="R46" s="760" t="n">
        <v>0</v>
      </c>
      <c r="S46" s="2728" t="n">
        <v>0</v>
      </c>
      <c r="T46" s="760" t="n">
        <v>1</v>
      </c>
      <c r="U46" s="2728" t="n">
        <v>0</v>
      </c>
      <c r="V46" s="1266" t="n">
        <v>0</v>
      </c>
      <c r="W46" s="2728" t="n">
        <v>0</v>
      </c>
      <c r="X46" s="760" t="n">
        <v>1</v>
      </c>
      <c r="Y46" s="2728" t="n">
        <v>0</v>
      </c>
      <c r="Z46" s="760" t="n">
        <v>0</v>
      </c>
      <c r="AA46" s="2728" t="n">
        <v>1</v>
      </c>
      <c r="AB46" s="1266" t="n">
        <v>0</v>
      </c>
      <c r="AC46" s="2729" t="n"/>
      <c r="AD46" s="1107" t="n"/>
      <c r="AE46" s="1474" t="n"/>
      <c r="AF46" s="1107" t="n"/>
      <c r="AG46" s="2729" t="n"/>
      <c r="AH46" s="1466" t="n"/>
      <c r="AI46" s="2729" t="n"/>
      <c r="AJ46" s="1466" t="n"/>
      <c r="AK46" s="1474" t="n"/>
      <c r="AL46" s="2730" t="n"/>
      <c r="AM46" s="2729" t="n"/>
      <c r="AN46" s="1107" t="n"/>
      <c r="AO46" s="1474" t="n"/>
      <c r="AP46" s="2731" t="n"/>
      <c r="AQ46" s="2732" t="n">
        <v>0</v>
      </c>
      <c r="AR46" s="2733" t="n">
        <v>0</v>
      </c>
      <c r="AS46" s="2734" t="n"/>
      <c r="AT46" s="2735" t="n">
        <v>0</v>
      </c>
      <c r="AU46" s="2736" t="n">
        <v>0</v>
      </c>
      <c r="AV46" s="761" t="n">
        <v>0</v>
      </c>
      <c r="AW46" s="799" t="n">
        <v>0</v>
      </c>
      <c r="AX46" s="1266" t="n">
        <v>0</v>
      </c>
      <c r="AY46">
        <f>CA46&amp;CB46&amp;CD46&amp;CE46&amp;CF46&amp;CG46&amp;CH46</f>
        <v/>
      </c>
      <c r="CA46" s="196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>
        <f>IF(AND($F46&gt;0,AR46="")," * No olvide digitar la variable Gestante. Digite cero si no tiene.",IF(AR46&gt;$F46," * La variable Gestante NO DEBEN ser mayor al Total de Mujeres. ",""))</f>
        <v/>
      </c>
      <c r="CC46" s="198" t="n"/>
      <c r="CD46" s="196">
        <f>IF(AND(D46&gt;0,AT46="")," * No olvide digitar la variable Usuarios con Discapacidad. Digite Cero si no tiene.",IF(AT46&gt;D46," * La variable Usuarios con Discapacidad No puede ser mayor al Total Ambos Sexos.",""))</f>
        <v/>
      </c>
      <c r="CE46" s="196">
        <f>IF(AND(D46&gt;0,AU46="")," * No olvide digitar la variable "&amp;AU$41&amp;". Digite Cero si no tiene.",IF(AU46&gt;$D46," * La variable "&amp;AU$41&amp;" No puede ser mayor al Total Ambos Sexos.",""))</f>
        <v/>
      </c>
      <c r="CF46" s="196">
        <f>IF(AND($D46&gt;0,AV46="")," * No olvide digitar la variable "&amp;AV$41&amp;". Digite Cero si no tiene.",IF(AV46&gt;$D46," * La variable "&amp;AV$41&amp;" No puede ser mayor al Total Ambos Sexos.",""))</f>
        <v/>
      </c>
      <c r="CG46" s="196">
        <f>IF(AND($D46&gt;0,AW46="")," * No olvide digitar la variable Migrantes. Digite Cero si no tiene.",IF(AW46&gt;$D46," * La variable Migrantes No puede ser mayor al Total Ambos Sexos.",""))</f>
        <v/>
      </c>
      <c r="CH46" s="196">
        <f>IF(AND($D46&gt;0,AX46="")," * No olvide digitar la variable Persona con ingreso integral y condición crónica. Digite Cero si no tiene.",IF(AX46&gt;$D46," * La variable Persona con ingreso integral y condición crónica no puede ser mayor al Total Ambos Sexos.",""))</f>
        <v/>
      </c>
      <c r="CO46" s="197">
        <f>IF(AND((Y46+Z46)&gt;0,AQ46=""),1,IF(AQ46&gt;(Y46+Z46),1,0))</f>
        <v/>
      </c>
      <c r="CP46" s="197">
        <f>IF(AND($F46&gt;0,AR46=""),1,IF(AR46&gt;$F46,1,0))</f>
        <v/>
      </c>
      <c r="CQ46" s="198" t="n"/>
      <c r="CR46" s="197">
        <f>IF(AND($D46&gt;0,AT46=""),1,IF(AT46&gt;$D46,1,0))</f>
        <v/>
      </c>
      <c r="CS46" s="197">
        <f>IF(AND($D46&gt;0,AU46=""),1,IF(AU46&gt;$D46,1,0))</f>
        <v/>
      </c>
      <c r="CT46" s="197">
        <f>IF(AND($D46&gt;0,AV46=""),1,IF(AV46&gt;$D46,1,0))</f>
        <v/>
      </c>
      <c r="CU46" s="197">
        <f>IF(AND($D46&gt;0,AW46=""),1,IF(AW46&gt;$D46,1,0))</f>
        <v/>
      </c>
      <c r="CV46" s="197">
        <f>IF(AND(D46&gt;0,AX46=""),1,IF(AX46&gt;D46,1,0))</f>
        <v/>
      </c>
    </row>
    <row r="47" ht="15" customHeight="1" s="8286">
      <c r="A47" s="3877" t="inlineStr">
        <is>
          <t>Altas odontológicas integrales (excluye sección G)</t>
        </is>
      </c>
      <c r="B47" s="10208" t="n"/>
      <c r="C47" s="9644" t="n"/>
      <c r="D47" s="2165">
        <f>SUM(E47+F47)</f>
        <v/>
      </c>
      <c r="E47" s="798">
        <f>SUM(S47+U47+W47+Y47+AA47+AC47+AE47+AG47+AI47+AK47+AM47+AO47)</f>
        <v/>
      </c>
      <c r="F47" s="2727">
        <f>SUM(T47+V47+X47+Z47+AB47+AD47+AF47+AH47+AJ47+AL47+AN47+AP47)</f>
        <v/>
      </c>
      <c r="G47" s="1133" t="n"/>
      <c r="H47" s="1134" t="n"/>
      <c r="I47" s="1133" t="n"/>
      <c r="J47" s="1134" t="n"/>
      <c r="K47" s="1133" t="n"/>
      <c r="L47" s="1134" t="n"/>
      <c r="M47" s="1133" t="n"/>
      <c r="N47" s="1134" t="n"/>
      <c r="O47" s="1133" t="n"/>
      <c r="P47" s="1134" t="n"/>
      <c r="Q47" s="1133" t="n"/>
      <c r="R47" s="1134" t="n"/>
      <c r="S47" s="1258" t="n">
        <v>0</v>
      </c>
      <c r="T47" s="1108" t="n">
        <v>1</v>
      </c>
      <c r="U47" s="1258" t="n">
        <v>0</v>
      </c>
      <c r="V47" s="1108" t="n">
        <v>0</v>
      </c>
      <c r="W47" s="1258" t="n">
        <v>0</v>
      </c>
      <c r="X47" s="1108" t="n">
        <v>2</v>
      </c>
      <c r="Y47" s="1258" t="n">
        <v>0</v>
      </c>
      <c r="Z47" s="1108" t="n">
        <v>5</v>
      </c>
      <c r="AA47" s="2737" t="n">
        <v>0</v>
      </c>
      <c r="AB47" s="1109" t="n">
        <v>2</v>
      </c>
      <c r="AC47" s="1258" t="n">
        <v>0</v>
      </c>
      <c r="AD47" s="1108" t="n">
        <v>2</v>
      </c>
      <c r="AE47" s="2737" t="n">
        <v>0</v>
      </c>
      <c r="AF47" s="1108" t="n">
        <v>0</v>
      </c>
      <c r="AG47" s="1258" t="n">
        <v>0</v>
      </c>
      <c r="AH47" s="1108" t="n">
        <v>0</v>
      </c>
      <c r="AI47" s="1258" t="n">
        <v>0</v>
      </c>
      <c r="AJ47" s="1108" t="n">
        <v>0</v>
      </c>
      <c r="AK47" s="2737" t="n">
        <v>0</v>
      </c>
      <c r="AL47" s="1109" t="n">
        <v>0</v>
      </c>
      <c r="AM47" s="1258" t="n">
        <v>0</v>
      </c>
      <c r="AN47" s="1108" t="n">
        <v>0</v>
      </c>
      <c r="AO47" s="2737" t="n">
        <v>0</v>
      </c>
      <c r="AP47" s="2738" t="n">
        <v>0</v>
      </c>
      <c r="AQ47" s="1110" t="n">
        <v>4</v>
      </c>
      <c r="AR47" s="2733" t="n">
        <v>0</v>
      </c>
      <c r="AS47" s="2733" t="n">
        <v>0</v>
      </c>
      <c r="AT47" s="1109" t="n">
        <v>7</v>
      </c>
      <c r="AU47" s="2739" t="n">
        <v>2</v>
      </c>
      <c r="AV47" s="2740" t="n">
        <v>1</v>
      </c>
      <c r="AW47" s="2733" t="n">
        <v>0</v>
      </c>
      <c r="AX47" s="1259" t="n">
        <v>0</v>
      </c>
      <c r="AY47">
        <f>CA47&amp;CB47&amp;CC47&amp;CD47&amp;CE47&amp;CF47&amp;CG47&amp;CH47</f>
        <v/>
      </c>
      <c r="CA47" s="196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>
        <f>IF(AND($F47&gt;0,AR47="")," * No olvide digitar la variable Gestante. Digite cero si no tiene.",IF(AR47&gt;$F47," * La variable Gestante NO DEBEN ser mayor al Total de Mujeres. ",""))</f>
        <v/>
      </c>
      <c r="CC47" s="196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>
        <f>IF(AND(D47&gt;0,AU47="")," * No olvide digitar la variable "&amp;AU$41&amp;". Digite Cero si no tiene.",IF(AU47&gt;$D47," * La variable "&amp;AU$41&amp;" No puede ser mayor al Total Ambos Sexos.",""))</f>
        <v/>
      </c>
      <c r="CF47" s="196">
        <f>IF(AND($D47&gt;0,AV47="")," * No olvide digitar la variable "&amp;AV$41&amp;". Digite Cero si no tiene.",IF(AV47&gt;$D47," * La variable "&amp;AV$41&amp;" No puede ser mayor al Total Ambos Sexos.",""))</f>
        <v/>
      </c>
      <c r="CG47" s="196">
        <f>IF(AND($D47&gt;0,AW47="")," * No olvide digitar la variable Migrantes. Digite Cero si no tiene.",IF(AW47&gt;$D47," * La variable Migrantes No puede ser mayor al Total Ambos Sexos.",""))</f>
        <v/>
      </c>
      <c r="CH47" s="196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>IF(AND((Y47+Z47)&gt;0,AQ47=""),1,IF(AQ47&gt;(Y47+Z47),1,0))</f>
        <v/>
      </c>
      <c r="CP47" s="197">
        <f>IF(AND($F47&gt;0,AR47=""),1,IF(AR47&gt;$F47,1,0))</f>
        <v/>
      </c>
      <c r="CQ47" s="197">
        <f>IF(AND((AK47+AL47)&gt;0,AS47=""),1,IF(AS47&gt;(AK47+AL47),1,0))</f>
        <v/>
      </c>
      <c r="CR47" s="197">
        <f>IF(AND($D47&gt;0,AT47=""),1,IF(AT47&gt;$D47,1,0))</f>
        <v/>
      </c>
      <c r="CS47" s="197">
        <f>IF(AND($D47&gt;0,AU47=""),1,IF(AU47&gt;$D47,1,0))</f>
        <v/>
      </c>
      <c r="CT47" s="197">
        <f>IF(AND($D47&gt;0,AV47=""),1,IF(AV47&gt;$D47,1,0))</f>
        <v/>
      </c>
      <c r="CU47" s="197">
        <f>IF(AND($D47&gt;0,AW47=""),1,IF(AW47&gt;$D47,1,0))</f>
        <v/>
      </c>
      <c r="CV47" s="197">
        <f>IF(AND(D47&gt;0,AX47=""),1,IF(AX47&gt;D47,1,0))</f>
        <v/>
      </c>
    </row>
    <row r="48" ht="15" customHeight="1" s="8286">
      <c r="A48" s="10222" t="inlineStr">
        <is>
          <t xml:space="preserve">Ingreso a tratamiento Operatoria  de alta complejidad </t>
        </is>
      </c>
      <c r="B48" s="9758" t="n"/>
      <c r="C48" s="9935" t="n"/>
      <c r="D48" s="2165">
        <f>SUM(E48+F48)</f>
        <v/>
      </c>
      <c r="E48" s="798">
        <f>SUM(G48+I48+K48+M48+O48+Q48+S48+U48+W48+Y48+AA48+AC48+AE48+AG48+AI48+AK48+AM48+AO48)</f>
        <v/>
      </c>
      <c r="F48" s="2741">
        <f>SUM(H48+J48+L48+N48+P48+R48+T48+V48+X48+Z48+AB48+AD48+AF48+AH48+AJ48+AL48+AN48+AP48)</f>
        <v/>
      </c>
      <c r="G48" s="2728" t="n"/>
      <c r="H48" s="1266" t="n"/>
      <c r="I48" s="2728" t="n"/>
      <c r="J48" s="342" t="n"/>
      <c r="K48" s="2728" t="n"/>
      <c r="L48" s="1266" t="n"/>
      <c r="M48" s="2728" t="n"/>
      <c r="N48" s="1266" t="n"/>
      <c r="O48" s="2728" t="n"/>
      <c r="P48" s="1266" t="n"/>
      <c r="Q48" s="2728" t="n"/>
      <c r="R48" s="760" t="n"/>
      <c r="S48" s="2728" t="n"/>
      <c r="T48" s="760" t="n"/>
      <c r="U48" s="2728" t="n"/>
      <c r="V48" s="1266" t="n"/>
      <c r="W48" s="2728" t="n"/>
      <c r="X48" s="760" t="n"/>
      <c r="Y48" s="2728" t="n"/>
      <c r="Z48" s="760" t="n"/>
      <c r="AA48" s="2728" t="n"/>
      <c r="AB48" s="1266" t="n"/>
      <c r="AC48" s="1258" t="n"/>
      <c r="AD48" s="1259" t="n"/>
      <c r="AE48" s="2737" t="n"/>
      <c r="AF48" s="2742" t="n"/>
      <c r="AG48" s="1258" t="n"/>
      <c r="AH48" s="2742" t="n"/>
      <c r="AI48" s="1258" t="n"/>
      <c r="AJ48" s="1259" t="n"/>
      <c r="AK48" s="2737" t="n"/>
      <c r="AL48" s="2742" t="n"/>
      <c r="AM48" s="1258" t="n"/>
      <c r="AN48" s="1259" t="n"/>
      <c r="AO48" s="2737" t="n"/>
      <c r="AP48" s="2738" t="n"/>
      <c r="AQ48" s="1110" t="n"/>
      <c r="AR48" s="2733" t="n"/>
      <c r="AS48" s="2733" t="n"/>
      <c r="AT48" s="1109" t="n"/>
      <c r="AU48" s="2739" t="n"/>
      <c r="AV48" s="2740" t="n"/>
      <c r="AW48" s="2733" t="n"/>
      <c r="AX48" s="1259" t="n"/>
      <c r="AY48">
        <f>CA48&amp;CB48&amp;CC48&amp;CD48&amp;CE48&amp;CF48&amp;CG48&amp;CH48</f>
        <v/>
      </c>
      <c r="CA48" s="196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>
        <f>IF(AND($F48&gt;0,AR48="")," * No olvide digitar la variable Gestante. Digite cero si no tiene.",IF(AR48&gt;$F48," * La variable Gestante NO DEBEN ser mayor al Total de Mujeres. ",""))</f>
        <v/>
      </c>
      <c r="CC48" s="196">
        <f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>
        <f>IF(AND(D48&gt;0,AT48="")," * No olvide digitar la variable Usuarios con Discapacidad. Digite Cero si no tiene.",IF(AT48&gt;D48," * La variable Usuarios con Discapacidad No puede ser mayor al Total Ambos Sexos.",""))</f>
        <v/>
      </c>
      <c r="CE48" s="196">
        <f>IF(AND(D48&gt;0,AU48="")," * No olvide digitar la variable "&amp;AU$41&amp;". Digite Cero si no tiene.",IF(AU48&gt;$D48," * La variable "&amp;AU$41&amp;" No puede ser mayor al Total Ambos Sexos.",""))</f>
        <v/>
      </c>
      <c r="CF48" s="196">
        <f>IF(AND($D48&gt;0,AV48="")," * No olvide digitar la variable "&amp;AV$41&amp;". Digite Cero si no tiene.",IF(AV48&gt;$D48," * La variable "&amp;AV$41&amp;" No puede ser mayor al Total Ambos Sexos.",""))</f>
        <v/>
      </c>
      <c r="CG48" s="196">
        <f>IF(AND($D48&gt;0,AW48="")," * No olvide digitar la variable Migrantes. Digite Cero si no tiene.",IF(AW48&gt;$D48," * La variable Migrantes No puede ser mayor al Total Ambos Sexos.",""))</f>
        <v/>
      </c>
      <c r="CH48" s="196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>IF(AND((Y48+Z48)&gt;0,AQ48=""),1,IF(AQ48&gt;(Y48+Z48),1,0))</f>
        <v/>
      </c>
      <c r="CP48" s="197">
        <f>IF(AND($F48&gt;0,AR48=""),1,IF(AR48&gt;$F48,1,0))</f>
        <v/>
      </c>
      <c r="CQ48" s="197">
        <f>IF(AND((AK48+AL48)&gt;0,AS48=""),1,IF(AS48&gt;(AK48+AL48),1,0))</f>
        <v/>
      </c>
      <c r="CR48" s="197">
        <f>IF(AND($D48&gt;0,AT48=""),1,IF(AT48&gt;$D48,1,0))</f>
        <v/>
      </c>
      <c r="CS48" s="197">
        <f>IF(AND($D48&gt;0,AU48=""),1,IF(AU48&gt;$D48,1,0))</f>
        <v/>
      </c>
      <c r="CT48" s="197">
        <f>IF(AND($D48&gt;0,AV48=""),1,IF(AV48&gt;$D48,1,0))</f>
        <v/>
      </c>
      <c r="CU48" s="197">
        <f>IF(AND($D48&gt;0,AW48=""),1,IF(AW48&gt;$D48,1,0))</f>
        <v/>
      </c>
      <c r="CV48" s="197">
        <f>IF(AND(D48&gt;0,AX48=""),1,IF(AX48&gt;D48,1,0))</f>
        <v/>
      </c>
    </row>
    <row r="49" ht="15" customHeight="1" s="8286">
      <c r="A49" s="10223" t="inlineStr">
        <is>
          <t xml:space="preserve">Alta de tratamiento Operatoria  de alta Complejidad </t>
        </is>
      </c>
      <c r="B49" s="9817" t="n"/>
      <c r="C49" s="9720" t="n"/>
      <c r="D49" s="1135">
        <f>SUM(E49+F49)</f>
        <v/>
      </c>
      <c r="E49" s="798">
        <f>SUM(G49+I49+K49+M49+O49+Q49+S49+U49+W49+Y49+AA49+AC49+AE49+AG49+AI49+AK49+AM49+AO49)</f>
        <v/>
      </c>
      <c r="F49" s="2741">
        <f>SUM(H49+J49+L49+N49+P49+R49+T49+V49+X49+Z49+AB49+AD49+AF49+AH49+AJ49+AL49+AN49+AP49)</f>
        <v/>
      </c>
      <c r="G49" s="1269" t="n"/>
      <c r="H49" s="1266" t="n"/>
      <c r="I49" s="2728" t="n"/>
      <c r="J49" s="342" t="n"/>
      <c r="K49" s="2728" t="n"/>
      <c r="L49" s="1266" t="n"/>
      <c r="M49" s="2728" t="n"/>
      <c r="N49" s="1266" t="n"/>
      <c r="O49" s="2728" t="n"/>
      <c r="P49" s="1266" t="n"/>
      <c r="Q49" s="2728" t="n"/>
      <c r="R49" s="760" t="n"/>
      <c r="S49" s="2728" t="n"/>
      <c r="T49" s="760" t="n"/>
      <c r="U49" s="2728" t="n"/>
      <c r="V49" s="1266" t="n"/>
      <c r="W49" s="2728" t="n"/>
      <c r="X49" s="760" t="n"/>
      <c r="Y49" s="2728" t="n"/>
      <c r="Z49" s="760" t="n"/>
      <c r="AA49" s="2728" t="n"/>
      <c r="AB49" s="1266" t="n"/>
      <c r="AC49" s="2743" t="n"/>
      <c r="AD49" s="2744" t="n"/>
      <c r="AE49" s="2745" t="n"/>
      <c r="AF49" s="2746" t="n"/>
      <c r="AG49" s="2743" t="n"/>
      <c r="AH49" s="2746" t="n"/>
      <c r="AI49" s="2743" t="n"/>
      <c r="AJ49" s="2744" t="n"/>
      <c r="AK49" s="344" t="n"/>
      <c r="AL49" s="345" t="n"/>
      <c r="AM49" s="2743" t="n"/>
      <c r="AN49" s="2744" t="n"/>
      <c r="AO49" s="2745" t="n"/>
      <c r="AP49" s="346" t="n"/>
      <c r="AQ49" s="347" t="n"/>
      <c r="AR49" s="348" t="n"/>
      <c r="AS49" s="348" t="n"/>
      <c r="AT49" s="738" t="n"/>
      <c r="AU49" s="2747" t="n"/>
      <c r="AV49" s="740" t="n"/>
      <c r="AW49" s="348" t="n"/>
      <c r="AX49" s="2744" t="n"/>
      <c r="AY49">
        <f>CA49&amp;CB49&amp;CC49&amp;CD49&amp;CE49&amp;CF49&amp;CG49&amp;CH49</f>
        <v/>
      </c>
      <c r="CA49" s="196">
        <f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>
        <f>IF(AND($F49&gt;0,AR49="")," * No olvide digitar la variable Gestante. Digite cero si no tiene.",IF(AR49&gt;$F49," * La variable Gestante NO DEBEN ser mayor al Total de Mujeres. ",""))</f>
        <v/>
      </c>
      <c r="CC49" s="196">
        <f>IF(AND((AK49+AL49)&gt;0,AS49="")," * No olvide digitar la variable 60 años (incluido en grupos de 60-64 años). Digite Cero si no tiene.",IF(AS49&gt;(AK49+AL49)," * La variable 60 años (incluido en grupos de 60-64 años) NO DEBE ser mayor que el Total de consultas del grupo 60-64 años",""))</f>
        <v/>
      </c>
      <c r="CD49" s="196">
        <f>IF(AND(D49&gt;0,AT49="")," * No olvide digitar la variable Usuarios con Discapacidad. Digite Cero si no tiene.",IF(AT49&gt;D49," * La variable Usuarios con Discapacidad No puede ser mayor al Total Ambos Sexos.",""))</f>
        <v/>
      </c>
      <c r="CE49" s="196">
        <f>IF(AND(D49&gt;0,AU49="")," * No olvide digitar la variable "&amp;AU$41&amp;". Digite Cero si no tiene.",IF(AU49&gt;$D49," * La variable "&amp;AU$41&amp;" No puede ser mayor al Total Ambos Sexos.",""))</f>
        <v/>
      </c>
      <c r="CF49" s="196">
        <f>IF(AND($D49&gt;0,AV49="")," * No olvide digitar la variable "&amp;AV$41&amp;". Digite Cero si no tiene.",IF(AV49&gt;$D49," * La variable "&amp;AV$41&amp;" No puede ser mayor al Total Ambos Sexos.",""))</f>
        <v/>
      </c>
      <c r="CG49" s="196">
        <f>IF(AND($D49&gt;0,AW49="")," * No olvide digitar la variable Migrantes. Digite Cero si no tiene.",IF(AW49&gt;$D49," * La variable Migrantes No puede ser mayor al Total Ambos Sexos.",""))</f>
        <v/>
      </c>
      <c r="CH49" s="196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>IF(AND((Y49+Z49)&gt;0,AQ49=""),1,IF(AQ49&gt;(Y49+Z49),1,0))</f>
        <v/>
      </c>
      <c r="CP49" s="197">
        <f>IF(AND($F49&gt;0,AR49=""),1,IF(AR49&gt;$F49,1,0))</f>
        <v/>
      </c>
      <c r="CQ49" s="197">
        <f>IF(AND((AK49+AL49)&gt;0,AS49=""),1,IF(AS49&gt;(AK49+AL49),1,0))</f>
        <v/>
      </c>
      <c r="CR49" s="197">
        <f>IF(AND($D49&gt;0,AT49=""),1,IF(AT49&gt;$D49,1,0))</f>
        <v/>
      </c>
      <c r="CS49" s="197">
        <f>IF(AND($D49&gt;0,AU49=""),1,IF(AU49&gt;$D49,1,0))</f>
        <v/>
      </c>
      <c r="CT49" s="197">
        <f>IF(AND($D49&gt;0,AV49=""),1,IF(AV49&gt;$D49,1,0))</f>
        <v/>
      </c>
      <c r="CU49" s="197">
        <f>IF(AND($D49&gt;0,AW49=""),1,IF(AW49&gt;$D49,1,0))</f>
        <v/>
      </c>
      <c r="CV49" s="197">
        <f>IF(AND(D49&gt;0,AX49=""),1,IF(AX49&gt;D49,1,0))</f>
        <v/>
      </c>
    </row>
    <row r="50" ht="15" customHeight="1" s="8286">
      <c r="A50" s="4456" t="inlineStr">
        <is>
          <t>Egresos por abandono</t>
        </is>
      </c>
      <c r="B50" s="9584" t="n"/>
      <c r="C50" s="9647" t="n"/>
      <c r="D50" s="2748">
        <f>SUM(E50+F50)</f>
        <v/>
      </c>
      <c r="E50" s="2749">
        <f>+G50+I50+K50+M50+O50+Q50+S50+U50+W50+Y50+AA50+AC50+AE50+AG50+AI50+AK50+AM50+AO50</f>
        <v/>
      </c>
      <c r="F50" s="2750">
        <f>+H50+J50+L50+N50+P50+R50+T50+V50+X50+Z50+AB50+AD50+AF50+AH50+AJ50+AL50+AN50+AP50</f>
        <v/>
      </c>
      <c r="G50" s="2751" t="n">
        <v>0</v>
      </c>
      <c r="H50" s="2752" t="n">
        <v>0</v>
      </c>
      <c r="I50" s="2751" t="n">
        <v>0</v>
      </c>
      <c r="J50" s="2753" t="n">
        <v>0</v>
      </c>
      <c r="K50" s="2751" t="n">
        <v>0</v>
      </c>
      <c r="L50" s="2752" t="n">
        <v>0</v>
      </c>
      <c r="M50" s="2751" t="n">
        <v>0</v>
      </c>
      <c r="N50" s="2752" t="n">
        <v>0</v>
      </c>
      <c r="O50" s="2751" t="n">
        <v>0</v>
      </c>
      <c r="P50" s="2752" t="n">
        <v>0</v>
      </c>
      <c r="Q50" s="2751" t="n">
        <v>0</v>
      </c>
      <c r="R50" s="2754" t="n">
        <v>0</v>
      </c>
      <c r="S50" s="2751" t="n">
        <v>0</v>
      </c>
      <c r="T50" s="2754" t="n">
        <v>0</v>
      </c>
      <c r="U50" s="2751" t="n">
        <v>0</v>
      </c>
      <c r="V50" s="2754" t="n">
        <v>0</v>
      </c>
      <c r="W50" s="2751" t="n">
        <v>0</v>
      </c>
      <c r="X50" s="2754" t="n">
        <v>0</v>
      </c>
      <c r="Y50" s="2751" t="n">
        <v>0</v>
      </c>
      <c r="Z50" s="2754" t="n">
        <v>0</v>
      </c>
      <c r="AA50" s="2751" t="n">
        <v>0</v>
      </c>
      <c r="AB50" s="2754" t="n">
        <v>0</v>
      </c>
      <c r="AC50" s="2755" t="n">
        <v>0</v>
      </c>
      <c r="AD50" s="2754" t="n">
        <v>0</v>
      </c>
      <c r="AE50" s="2756" t="n">
        <v>0</v>
      </c>
      <c r="AF50" s="2754" t="n">
        <v>0</v>
      </c>
      <c r="AG50" s="2751" t="n">
        <v>0</v>
      </c>
      <c r="AH50" s="2754" t="n">
        <v>0</v>
      </c>
      <c r="AI50" s="2751" t="n">
        <v>0</v>
      </c>
      <c r="AJ50" s="2754" t="n">
        <v>0</v>
      </c>
      <c r="AK50" s="2751" t="n">
        <v>0</v>
      </c>
      <c r="AL50" s="2754" t="n">
        <v>0</v>
      </c>
      <c r="AM50" s="2755" t="n">
        <v>0</v>
      </c>
      <c r="AN50" s="2754" t="n">
        <v>0</v>
      </c>
      <c r="AO50" s="2753" t="n">
        <v>0</v>
      </c>
      <c r="AP50" s="2757" t="n">
        <v>0</v>
      </c>
      <c r="AQ50" s="2758" t="n">
        <v>0</v>
      </c>
      <c r="AR50" s="2759" t="n">
        <v>0</v>
      </c>
      <c r="AS50" s="2759" t="n">
        <v>0</v>
      </c>
      <c r="AT50" s="2760" t="n">
        <v>0</v>
      </c>
      <c r="AU50" s="2761" t="n">
        <v>0</v>
      </c>
      <c r="AV50" s="2762" t="n">
        <v>0</v>
      </c>
      <c r="AW50" s="2759" t="n">
        <v>0</v>
      </c>
      <c r="AX50" s="2752" t="n">
        <v>0</v>
      </c>
      <c r="AY50">
        <f>CA50&amp;CB50&amp;CC50&amp;CD50&amp;CE50&amp;CF50&amp;CG50&amp;CH50</f>
        <v/>
      </c>
      <c r="CA50" s="196">
        <f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>
        <f>IF(AND($F50&gt;0,AR50="")," * No olvide digitar la variable Gestante. Digite cero si no tiene.",IF(AR50&gt;$F50," * La variable Gestante NO DEBEN ser mayor al Total de Mujeres. ",""))</f>
        <v/>
      </c>
      <c r="CC50" s="196">
        <f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>
        <f>IF(AND(D50&gt;0,AT50="")," * No olvide digitar la variable Usuarios con Discapacidad. Digite Cero si no tiene.",IF(AT50&gt;D50," * La variable Usuarios con Discapacidad No puede ser mayor al Total Ambos Sexos.",""))</f>
        <v/>
      </c>
      <c r="CE50" s="196">
        <f>IF(AND(D50&gt;0,AU50="")," * No olvide digitar la variable "&amp;AU$41&amp;". Digite Cero si no tiene.",IF(AU50&gt;$D50," * La variable "&amp;AU$41&amp;" No puede ser mayor al Total Ambos Sexos.",""))</f>
        <v/>
      </c>
      <c r="CF50" s="196">
        <f>IF(AND($D50&gt;0,AV50="")," * No olvide digitar la variable "&amp;AV$41&amp;". Digite Cero si no tiene.",IF(AV50&gt;$D50," * La variable "&amp;AV$41&amp;" No puede ser mayor al Total Ambos Sexos.",""))</f>
        <v/>
      </c>
      <c r="CG50" s="196">
        <f>IF(AND($D50&gt;0,AW50="")," * No olvide digitar la variable Migrantes. Digite Cero si no tiene.",IF(AW50&gt;$D50," * La variable Migrantes No puede ser mayor al Total Ambos Sexos.",""))</f>
        <v/>
      </c>
      <c r="CH50" s="196">
        <f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>IF(AND((Y50+Z50)&gt;0,AQ50=""),1,IF(AQ50&gt;(Y50+Z50),1,0))</f>
        <v/>
      </c>
      <c r="CP50" s="197">
        <f>IF(AND($F50&gt;0,AR50=""),1,IF(AR50&gt;$F50,1,0))</f>
        <v/>
      </c>
      <c r="CQ50" s="197">
        <f>IF(AND((AK50+AL50)&gt;0,AS50=""),1,IF(AS50&gt;(AK50+AL50),1,0))</f>
        <v/>
      </c>
      <c r="CR50" s="197">
        <f>IF(AND($D50&gt;0,AT50=""),1,IF(AT50&gt;$D50,1,0))</f>
        <v/>
      </c>
      <c r="CS50" s="197">
        <f>IF(AND($D50&gt;0,AU50=""),1,IF(AU50&gt;$D50,1,0))</f>
        <v/>
      </c>
      <c r="CT50" s="197">
        <f>IF(AND($D50&gt;0,AV50=""),1,IF(AV50&gt;$D50,1,0))</f>
        <v/>
      </c>
      <c r="CU50" s="197">
        <f>IF(AND($D50&gt;0,AW50=""),1,IF(AW50&gt;$D50,1,0))</f>
        <v/>
      </c>
      <c r="CV50" s="197">
        <f>IF(AND(D50&gt;0,AX50=""),1,IF(AX50&gt;D50,1,0))</f>
        <v/>
      </c>
    </row>
    <row r="51" ht="15" customHeight="1" s="8286">
      <c r="A51" s="10224" t="inlineStr">
        <is>
          <t xml:space="preserve">Índice CEOD o COPD (Índice CEOD se usa en menores de 7 años, para resto se utiliza COPD) </t>
        </is>
      </c>
      <c r="B51" s="9630" t="n"/>
      <c r="C51" s="2763" t="n">
        <v>0</v>
      </c>
      <c r="D51" s="2764">
        <f>SUM(E51+F51)</f>
        <v/>
      </c>
      <c r="E51" s="800">
        <f>SUM(G51+I51+K51+M51+O51+Q51+S51+U51+W51+Y51+AA51+AC51+AE51+AG51+AI51+AK51+AM51+AO51)</f>
        <v/>
      </c>
      <c r="F51" s="2727">
        <f>SUM(H51+J51+L51+N51+P51+R51+T51+V51+X51+Z51+AB51+AD51+AF51+AH51+AJ51+AL51+AN51+AP51)</f>
        <v/>
      </c>
      <c r="G51" s="2728" t="n">
        <v>7</v>
      </c>
      <c r="H51" s="1266" t="n">
        <v>5</v>
      </c>
      <c r="I51" s="2728" t="n">
        <v>31</v>
      </c>
      <c r="J51" s="342" t="n">
        <v>17</v>
      </c>
      <c r="K51" s="2728" t="n">
        <v>14</v>
      </c>
      <c r="L51" s="1266" t="n">
        <v>16</v>
      </c>
      <c r="M51" s="2728" t="n">
        <v>5</v>
      </c>
      <c r="N51" s="1266" t="n">
        <v>4</v>
      </c>
      <c r="O51" s="2728" t="n">
        <v>1</v>
      </c>
      <c r="P51" s="1266" t="n">
        <v>6</v>
      </c>
      <c r="Q51" s="2728" t="n">
        <v>4</v>
      </c>
      <c r="R51" s="760" t="n">
        <v>5</v>
      </c>
      <c r="S51" s="2728" t="n">
        <v>6</v>
      </c>
      <c r="T51" s="760" t="n">
        <v>8</v>
      </c>
      <c r="U51" s="2728" t="n">
        <v>8</v>
      </c>
      <c r="V51" s="760" t="n">
        <v>9</v>
      </c>
      <c r="W51" s="2728" t="n">
        <v>12</v>
      </c>
      <c r="X51" s="760" t="n">
        <v>11</v>
      </c>
      <c r="Y51" s="2728" t="n">
        <v>11</v>
      </c>
      <c r="Z51" s="760" t="n">
        <v>12</v>
      </c>
      <c r="AA51" s="2728" t="n">
        <v>5</v>
      </c>
      <c r="AB51" s="760" t="n">
        <v>12</v>
      </c>
      <c r="AC51" s="2765" t="n">
        <v>0</v>
      </c>
      <c r="AD51" s="760" t="n">
        <v>0</v>
      </c>
      <c r="AE51" s="2766" t="n">
        <v>0</v>
      </c>
      <c r="AF51" s="760" t="n">
        <v>2</v>
      </c>
      <c r="AG51" s="2728" t="n">
        <v>0</v>
      </c>
      <c r="AH51" s="760" t="n">
        <v>0</v>
      </c>
      <c r="AI51" s="2728" t="n">
        <v>0</v>
      </c>
      <c r="AJ51" s="760" t="n">
        <v>0</v>
      </c>
      <c r="AK51" s="2728" t="n">
        <v>0</v>
      </c>
      <c r="AL51" s="760" t="n">
        <v>0</v>
      </c>
      <c r="AM51" s="2765" t="n">
        <v>0</v>
      </c>
      <c r="AN51" s="760" t="n">
        <v>1</v>
      </c>
      <c r="AO51" s="342" t="n">
        <v>0</v>
      </c>
      <c r="AP51" s="801" t="n">
        <v>0</v>
      </c>
      <c r="AQ51" s="2732" t="n">
        <v>4</v>
      </c>
      <c r="AR51" s="799" t="n">
        <v>2</v>
      </c>
      <c r="AS51" s="799" t="n">
        <v>0</v>
      </c>
      <c r="AT51" s="2735" t="n">
        <v>2</v>
      </c>
      <c r="AU51" s="2736" t="n">
        <v>0</v>
      </c>
      <c r="AV51" s="761" t="n">
        <v>7</v>
      </c>
      <c r="AW51" s="799" t="n">
        <v>6</v>
      </c>
      <c r="AX51" s="1266" t="n">
        <v>0</v>
      </c>
      <c r="AY51">
        <f>CA51&amp;CB51&amp;CC51&amp;CD51&amp;CE51&amp;CF51&amp;CG51&amp;CH51</f>
        <v/>
      </c>
      <c r="CA51" s="196">
        <f>IF(AND((Y51+Z51)&gt;0,AQ51="")," * No olvide digitar la variable 12 años (incluido en el grupo de 10-14 años). Digite Cero si no tiene.",IF(AQ51&gt;(Y51+Z51),"* Las Consultas de 12 años (incluido en el grupo de 10-14 años) NO DEBEN ser mayor que el total de Consultas entre 10-14 años",""))</f>
        <v/>
      </c>
      <c r="CB51" s="196">
        <f>IF(AND($F51&gt;0,AR51="")," * No olvide digitar la variable Gestante. Digite cero si no tiene.",IF(AR51&gt;$F51," * La variable Gestante NO DEBEN ser mayor al Total de Mujeres. ",""))</f>
        <v/>
      </c>
      <c r="CC51" s="196">
        <f>IF(AND((AK51+AL51)&gt;0,AS51="")," * No olvide digitar la variable 60 años (incluido en grupos de 60-64 años). Digite Cero si no tiene.",IF(AS51&gt;(AK51+AL51)," * La variable 60 años (incluido en grupos de 60-64 años) NO DEBE ser mayor que el Total de consultas del grupo 60-64 años",""))</f>
        <v/>
      </c>
      <c r="CD51" s="196">
        <f>IF(AND(D51&gt;0,AT51="")," * No olvide digitar la variable Usuarios con Discapacidad. Digite Cero si no tiene.",IF(AT51&gt;D51," * La variable Usuarios con Discapacidad No puede ser mayor al Total Ambos Sexos.",""))</f>
        <v/>
      </c>
      <c r="CE51" s="196">
        <f>IF(AND(D51&gt;0,AU51="")," * No olvide digitar la variable "&amp;AU$41&amp;". Digite Cero si no tiene.",IF(AU51&gt;$D51," * La variable "&amp;AU$41&amp;" No puede ser mayor al Total Ambos Sexos.",""))</f>
        <v/>
      </c>
      <c r="CF51" s="196">
        <f>IF(AND($D51&gt;0,AV51="")," * No olvide digitar la variable "&amp;AV$41&amp;". Digite Cero si no tiene.",IF(AV51&gt;$D51," * La variable "&amp;AV$41&amp;" No puede ser mayor al Total Ambos Sexos.",""))</f>
        <v/>
      </c>
      <c r="CG51" s="196">
        <f>IF(AND($D51&gt;0,AW51="")," * No olvide digitar la variable Migrantes. Digite Cero si no tiene.",IF(AW51&gt;$D51," * La variable Migrantes No puede ser mayor al Total Ambos Sexos.",""))</f>
        <v/>
      </c>
      <c r="CH51" s="196">
        <f>IF(AND($D51&gt;0,AX51="")," * No olvide digitar la variable Persona con ingreso integral y condición crónica. Digite Cero si no tiene.",IF(AX51&gt;$D51," * La variable Persona con ingreso integral y condición crónica no puede ser mayor al Total Ambos Sexos.",""))</f>
        <v/>
      </c>
      <c r="CO51" s="197">
        <f>IF(AND((Y51+Z51)&gt;0,AQ51=""),1,IF(AQ51&gt;(Y51+Z51),1,0))</f>
        <v/>
      </c>
      <c r="CP51" s="197">
        <f>IF(AND($F51&gt;0,AR51=""),1,IF(AR51&gt;$F51,1,0))</f>
        <v/>
      </c>
      <c r="CQ51" s="197">
        <f>IF(AND((AK51+AL51)&gt;0,AS51=""),1,IF(AS51&gt;(AK51+AL51),1,0))</f>
        <v/>
      </c>
      <c r="CR51" s="197">
        <f>IF(AND($D51&gt;0,AT51=""),1,IF(AT51&gt;$D51,1,0))</f>
        <v/>
      </c>
      <c r="CS51" s="197">
        <f>IF(AND($D51&gt;0,AU51=""),1,IF(AU51&gt;$D51,1,0))</f>
        <v/>
      </c>
      <c r="CT51" s="197">
        <f>IF(AND($D51&gt;0,AV51=""),1,IF(AV51&gt;$D51,1,0))</f>
        <v/>
      </c>
      <c r="CU51" s="197">
        <f>IF(AND($D51&gt;0,AW51=""),1,IF(AW51&gt;$D51,1,0))</f>
        <v/>
      </c>
      <c r="CV51" s="197">
        <f>IF(AND(D51&gt;0,AX51=""),1,IF(AX51&gt;D51,1,0))</f>
        <v/>
      </c>
    </row>
    <row r="52" ht="15" customHeight="1" s="8286">
      <c r="A52" s="642" t="n"/>
      <c r="B52" s="9718" t="n"/>
      <c r="C52" s="9301" t="inlineStr">
        <is>
          <t>1 a 2</t>
        </is>
      </c>
      <c r="D52" s="1131">
        <f>SUM(E52+F52)</f>
        <v/>
      </c>
      <c r="E52" s="800">
        <f>SUM(G52+I52+K52+M52+O52+Q52+S52+U52+W52+Y52+AA52+AC52+AE52+AG52+AI52+AK52+AM52+AO52)</f>
        <v/>
      </c>
      <c r="F52" s="2727">
        <f>SUM(H52+J52+L52+N52+P52+R52+T52+V52+X52+Z52+AB52+AD52+AF52+AH52+AJ52+AL52+AN52+AP52)</f>
        <v/>
      </c>
      <c r="G52" s="1258" t="n">
        <v>0</v>
      </c>
      <c r="H52" s="1259" t="n">
        <v>0</v>
      </c>
      <c r="I52" s="1258" t="n">
        <v>0</v>
      </c>
      <c r="J52" s="2742" t="n">
        <v>0</v>
      </c>
      <c r="K52" s="1258" t="n">
        <v>0</v>
      </c>
      <c r="L52" s="1259" t="n">
        <v>0</v>
      </c>
      <c r="M52" s="1258" t="n">
        <v>2</v>
      </c>
      <c r="N52" s="1259" t="n">
        <v>2</v>
      </c>
      <c r="O52" s="1258" t="n">
        <v>0</v>
      </c>
      <c r="P52" s="1259" t="n">
        <v>2</v>
      </c>
      <c r="Q52" s="1258" t="n">
        <v>3</v>
      </c>
      <c r="R52" s="1108" t="n">
        <v>1</v>
      </c>
      <c r="S52" s="1258" t="n">
        <v>2</v>
      </c>
      <c r="T52" s="1108" t="n">
        <v>1</v>
      </c>
      <c r="U52" s="1258" t="n">
        <v>0</v>
      </c>
      <c r="V52" s="1108" t="n">
        <v>1</v>
      </c>
      <c r="W52" s="1258" t="n">
        <v>4</v>
      </c>
      <c r="X52" s="1108" t="n">
        <v>4</v>
      </c>
      <c r="Y52" s="1258" t="n">
        <v>3</v>
      </c>
      <c r="Z52" s="1108" t="n">
        <v>4</v>
      </c>
      <c r="AA52" s="1258" t="n">
        <v>1</v>
      </c>
      <c r="AB52" s="1108" t="n">
        <v>2</v>
      </c>
      <c r="AC52" s="2767" t="n">
        <v>0</v>
      </c>
      <c r="AD52" s="1108" t="n">
        <v>0</v>
      </c>
      <c r="AE52" s="2737" t="n">
        <v>0</v>
      </c>
      <c r="AF52" s="1108" t="n">
        <v>0</v>
      </c>
      <c r="AG52" s="1258" t="n">
        <v>0</v>
      </c>
      <c r="AH52" s="1108" t="n">
        <v>0</v>
      </c>
      <c r="AI52" s="1258" t="n">
        <v>0</v>
      </c>
      <c r="AJ52" s="1108" t="n">
        <v>0</v>
      </c>
      <c r="AK52" s="1258" t="n">
        <v>0</v>
      </c>
      <c r="AL52" s="1108" t="n">
        <v>0</v>
      </c>
      <c r="AM52" s="2767" t="n">
        <v>0</v>
      </c>
      <c r="AN52" s="1108" t="n">
        <v>0</v>
      </c>
      <c r="AO52" s="2742" t="n">
        <v>0</v>
      </c>
      <c r="AP52" s="2738" t="n">
        <v>0</v>
      </c>
      <c r="AQ52" s="1110" t="n">
        <v>2</v>
      </c>
      <c r="AR52" s="2733" t="n">
        <v>0</v>
      </c>
      <c r="AS52" s="2733" t="n">
        <v>0</v>
      </c>
      <c r="AT52" s="1109" t="n">
        <v>6</v>
      </c>
      <c r="AU52" s="2739" t="n">
        <v>6</v>
      </c>
      <c r="AV52" s="2740" t="n">
        <v>7</v>
      </c>
      <c r="AW52" s="2733" t="n">
        <v>0</v>
      </c>
      <c r="AX52" s="1259" t="n">
        <v>0</v>
      </c>
      <c r="AY52">
        <f>CA52&amp;CB52&amp;CC52&amp;CD52&amp;CE52&amp;CF52&amp;CG52&amp;CH52</f>
        <v/>
      </c>
      <c r="CA52" s="196">
        <f>IF(AND((Y52+Z52)&gt;0,AQ52="")," * No olvide digitar la variable 12 años (incluido en el grupo de 10-14 años). Digite Cero si no tiene.",IF(AQ52&gt;(Y52+Z52),"* Las Consultas de 12 años (incluido en el grupo de 10-14 años) NO DEBEN ser mayor que el total de Consultas entre 10-14 años",""))</f>
        <v/>
      </c>
      <c r="CB52" s="196">
        <f>IF(AND($F52&gt;0,AR52="")," * No olvide digitar la variable Gestante. Digite cero si no tiene.",IF(AR52&gt;$F52," * La variable Gestante NO DEBEN ser mayor al Total de Mujeres. ",""))</f>
        <v/>
      </c>
      <c r="CC52" s="196">
        <f>IF(AND((AK52+AL52)&gt;0,AS52="")," * No olvide digitar la variable 60 años (incluido en grupos de 60-64 años). Digite Cero si no tiene.",IF(AS52&gt;(AK52+AL52)," * La variable 60 años (incluido en grupos de 60-64 años) NO DEBE ser mayor que el Total de consultas del grupo 60-64 años",""))</f>
        <v/>
      </c>
      <c r="CD52" s="196">
        <f>IF(AND(D52&gt;0,AT52="")," * No olvide digitar la variable Usuarios con Discapacidad. Digite Cero si no tiene.",IF(AT52&gt;D52," * La variable Usuarios con Discapacidad No puede ser mayor al Total Ambos Sexos.",""))</f>
        <v/>
      </c>
      <c r="CE52" s="196">
        <f>IF(AND(D52&gt;0,AU52="")," * No olvide digitar la variable "&amp;AU$41&amp;". Digite Cero si no tiene.",IF(AU52&gt;$D52," * La variable "&amp;AU$41&amp;" No puede ser mayor al Total Ambos Sexos.",""))</f>
        <v/>
      </c>
      <c r="CF52" s="196">
        <f>IF(AND($D52&gt;0,AV52="")," * No olvide digitar la variable "&amp;AV$41&amp;". Digite Cero si no tiene.",IF(AV52&gt;$D52," * La variable "&amp;AV$41&amp;" No puede ser mayor al Total Ambos Sexos.",""))</f>
        <v/>
      </c>
      <c r="CG52" s="196">
        <f>IF(AND($D52&gt;0,AW52="")," * No olvide digitar la variable Migrantes. Digite Cero si no tiene.",IF(AW52&gt;$D52," * La variable Migrantes No puede ser mayor al Total Ambos Sexos.",""))</f>
        <v/>
      </c>
      <c r="CH52" s="196">
        <f>IF(AND($D52&gt;0,AX52="")," * No olvide digitar la variable Persona con ingreso integral y condición crónica. Digite Cero si no tiene.",IF(AX52&gt;$D52," * La variable Persona con ingreso integral y condición crónica no puede ser mayor al Total Ambos Sexos.",""))</f>
        <v/>
      </c>
      <c r="CO52" s="197">
        <f>IF(AND((Y52+Z52)&gt;0,AQ52=""),1,IF(AQ52&gt;(Y52+Z52),1,0))</f>
        <v/>
      </c>
      <c r="CP52" s="197">
        <f>IF(AND($F52&gt;0,AR52=""),1,IF(AR52&gt;$F52,1,0))</f>
        <v/>
      </c>
      <c r="CQ52" s="197">
        <f>IF(AND((AK52+AL52)&gt;0,AS52=""),1,IF(AS52&gt;(AK52+AL52),1,0))</f>
        <v/>
      </c>
      <c r="CR52" s="197">
        <f>IF(AND($D52&gt;0,AT52=""),1,IF(AT52&gt;$D52,1,0))</f>
        <v/>
      </c>
      <c r="CS52" s="197">
        <f>IF(AND($D52&gt;0,AU52=""),1,IF(AU52&gt;$D52,1,0))</f>
        <v/>
      </c>
      <c r="CT52" s="197">
        <f>IF(AND($D52&gt;0,AV52=""),1,IF(AV52&gt;$D52,1,0))</f>
        <v/>
      </c>
      <c r="CU52" s="197">
        <f>IF(AND($D52&gt;0,AW52=""),1,IF(AW52&gt;$D52,1,0))</f>
        <v/>
      </c>
      <c r="CV52" s="197">
        <f>IF(AND(D52&gt;0,AX52=""),1,IF(AX52&gt;D52,1,0))</f>
        <v/>
      </c>
    </row>
    <row r="53" ht="15" customHeight="1" s="8286">
      <c r="A53" s="642" t="n"/>
      <c r="B53" s="9718" t="n"/>
      <c r="C53" s="9301" t="inlineStr">
        <is>
          <t>3 a 4</t>
        </is>
      </c>
      <c r="D53" s="1131">
        <f>SUM(E53+F53)</f>
        <v/>
      </c>
      <c r="E53" s="800">
        <f>SUM(G53+I53+K53+M53+O53+Q53+S53+U53+W53+Y53+AA53+AC53+AE53+AG53+AI53+AK53+AM53+AO53)</f>
        <v/>
      </c>
      <c r="F53" s="2727">
        <f>SUM(H53+J53+L53+N53+P53+R53+T53+V53+X53+Z53+AB53+AD53+AF53+AH53+AJ53+AL53+AN53+AP53)</f>
        <v/>
      </c>
      <c r="G53" s="1258" t="n">
        <v>0</v>
      </c>
      <c r="H53" s="1259" t="n">
        <v>0</v>
      </c>
      <c r="I53" s="1258" t="n">
        <v>0</v>
      </c>
      <c r="J53" s="2742" t="n">
        <v>0</v>
      </c>
      <c r="K53" s="1258" t="n">
        <v>0</v>
      </c>
      <c r="L53" s="1259" t="n">
        <v>1</v>
      </c>
      <c r="M53" s="1258" t="n">
        <v>0</v>
      </c>
      <c r="N53" s="1259" t="n">
        <v>2</v>
      </c>
      <c r="O53" s="1258" t="n">
        <v>0</v>
      </c>
      <c r="P53" s="1259" t="n">
        <v>4</v>
      </c>
      <c r="Q53" s="1258" t="n">
        <v>2</v>
      </c>
      <c r="R53" s="1108" t="n">
        <v>2</v>
      </c>
      <c r="S53" s="1258" t="n">
        <v>1</v>
      </c>
      <c r="T53" s="1108" t="n">
        <v>0</v>
      </c>
      <c r="U53" s="1258" t="n">
        <v>0</v>
      </c>
      <c r="V53" s="1108" t="n">
        <v>0</v>
      </c>
      <c r="W53" s="1258" t="n">
        <v>2</v>
      </c>
      <c r="X53" s="1108" t="n">
        <v>2</v>
      </c>
      <c r="Y53" s="1258" t="n">
        <v>3</v>
      </c>
      <c r="Z53" s="1108" t="n">
        <v>1</v>
      </c>
      <c r="AA53" s="1258" t="n">
        <v>1</v>
      </c>
      <c r="AB53" s="1108" t="n">
        <v>5</v>
      </c>
      <c r="AC53" s="2767" t="n">
        <v>0</v>
      </c>
      <c r="AD53" s="1108" t="n">
        <v>1</v>
      </c>
      <c r="AE53" s="2737" t="n">
        <v>0</v>
      </c>
      <c r="AF53" s="1108" t="n">
        <v>0</v>
      </c>
      <c r="AG53" s="1258" t="n">
        <v>0</v>
      </c>
      <c r="AH53" s="1108" t="n">
        <v>0</v>
      </c>
      <c r="AI53" s="1258" t="n">
        <v>0</v>
      </c>
      <c r="AJ53" s="1108" t="n">
        <v>2</v>
      </c>
      <c r="AK53" s="1258" t="n">
        <v>0</v>
      </c>
      <c r="AL53" s="1108" t="n">
        <v>0</v>
      </c>
      <c r="AM53" s="2767" t="n">
        <v>1</v>
      </c>
      <c r="AN53" s="1108" t="n">
        <v>1</v>
      </c>
      <c r="AO53" s="2742" t="n">
        <v>0</v>
      </c>
      <c r="AP53" s="2738" t="n">
        <v>0</v>
      </c>
      <c r="AQ53" s="1110" t="n">
        <v>2</v>
      </c>
      <c r="AR53" s="2733" t="n">
        <v>1</v>
      </c>
      <c r="AS53" s="2733" t="n">
        <v>0</v>
      </c>
      <c r="AT53" s="1109" t="n">
        <v>6</v>
      </c>
      <c r="AU53" s="2739" t="n">
        <v>0</v>
      </c>
      <c r="AV53" s="2740" t="n">
        <v>3</v>
      </c>
      <c r="AW53" s="2733" t="n">
        <v>2</v>
      </c>
      <c r="AX53" s="1259" t="n">
        <v>1</v>
      </c>
      <c r="AY53">
        <f>CA53&amp;CB53&amp;CC53&amp;CD53&amp;CE53&amp;CF53&amp;CG53&amp;CH53</f>
        <v/>
      </c>
      <c r="CA53" s="196">
        <f>IF(AND((Y53+Z53)&gt;0,AQ53="")," * No olvide digitar la variable 12 años (incluido en el grupo de 10-14 años). Digite Cero si no tiene.",IF(AQ53&gt;(Y53+Z53),"* Las Consultas de 12 años (incluido en el grupo de 10-14 años) NO DEBEN ser mayor que el total de Consultas entre 10-14 años",""))</f>
        <v/>
      </c>
      <c r="CB53" s="196">
        <f>IF(AND($F53&gt;0,AR53="")," * No olvide digitar la variable Gestante. Digite cero si no tiene.",IF(AR53&gt;$F53," * La variable Gestante NO DEBEN ser mayor al Total de Mujeres. ",""))</f>
        <v/>
      </c>
      <c r="CC53" s="196">
        <f>IF(AND((AK53+AL53)&gt;0,AS53="")," * No olvide digitar la variable 60 años (incluido en grupos de 60-64 años). Digite Cero si no tiene.",IF(AS53&gt;(AK53+AL53)," * La variable 60 años (incluido en grupos de 60-64 años) NO DEBE ser mayor que el Total de consultas del grupo 60-64 años",""))</f>
        <v/>
      </c>
      <c r="CD53" s="196">
        <f>IF(AND(D53&gt;0,AT53="")," * No olvide digitar la variable Usuarios con Discapacidad. Digite Cero si no tiene.",IF(AT53&gt;D53," * La variable Usuarios con Discapacidad No puede ser mayor al Total Ambos Sexos.",""))</f>
        <v/>
      </c>
      <c r="CE53" s="196">
        <f>IF(AND(D53&gt;0,AU53="")," * No olvide digitar la variable "&amp;AU$41&amp;". Digite Cero si no tiene.",IF(AU53&gt;$D53," * La variable "&amp;AU$41&amp;" No puede ser mayor al Total Ambos Sexos.",""))</f>
        <v/>
      </c>
      <c r="CF53" s="196">
        <f>IF(AND($D53&gt;0,AV53="")," * No olvide digitar la variable "&amp;AV$41&amp;". Digite Cero si no tiene.",IF(AV53&gt;$D53," * La variable "&amp;AV$41&amp;" No puede ser mayor al Total Ambos Sexos.",""))</f>
        <v/>
      </c>
      <c r="CG53" s="196">
        <f>IF(AND($D53&gt;0,AW53="")," * No olvide digitar la variable Migrantes. Digite Cero si no tiene.",IF(AW53&gt;$D53," * La variable Migrantes No puede ser mayor al Total Ambos Sexos.",""))</f>
        <v/>
      </c>
      <c r="CH53" s="196">
        <f>IF(AND($D53&gt;0,AX53="")," * No olvide digitar la variable Persona con ingreso integral y condición crónica. Digite Cero si no tiene.",IF(AX53&gt;$D53," * La variable Persona con ingreso integral y condición crónica no puede ser mayor al Total Ambos Sexos.",""))</f>
        <v/>
      </c>
      <c r="CO53" s="197">
        <f>IF(AND((Y53+Z53)&gt;0,AQ53=""),1,IF(AQ53&gt;(Y53+Z53),1,0))</f>
        <v/>
      </c>
      <c r="CP53" s="197">
        <f>IF(AND($F53&gt;0,AR53=""),1,IF(AR53&gt;$F53,1,0))</f>
        <v/>
      </c>
      <c r="CQ53" s="197">
        <f>IF(AND((AK53+AL53)&gt;0,AS53=""),1,IF(AS53&gt;(AK53+AL53),1,0))</f>
        <v/>
      </c>
      <c r="CR53" s="197">
        <f>IF(AND($D53&gt;0,AT53=""),1,IF(AT53&gt;$D53,1,0))</f>
        <v/>
      </c>
      <c r="CS53" s="197">
        <f>IF(AND($D53&gt;0,AU53=""),1,IF(AU53&gt;$D53,1,0))</f>
        <v/>
      </c>
      <c r="CT53" s="197">
        <f>IF(AND($D53&gt;0,AV53=""),1,IF(AV53&gt;$D53,1,0))</f>
        <v/>
      </c>
      <c r="CU53" s="197">
        <f>IF(AND($D53&gt;0,AW53=""),1,IF(AW53&gt;$D53,1,0))</f>
        <v/>
      </c>
      <c r="CV53" s="197">
        <f>IF(AND(D53&gt;0,AX53=""),1,IF(AX53&gt;D53,1,0))</f>
        <v/>
      </c>
    </row>
    <row r="54" ht="15" customHeight="1" s="8286">
      <c r="A54" s="642" t="n"/>
      <c r="B54" s="9718" t="n"/>
      <c r="C54" s="9301" t="inlineStr">
        <is>
          <t>5 a 6</t>
        </is>
      </c>
      <c r="D54" s="1131">
        <f>SUM(E54+F54)</f>
        <v/>
      </c>
      <c r="E54" s="800">
        <f>SUM(G54+I54+K54+M54+O54+Q54+S54+U54+W54+Y54+AA54+AC54+AE54+AG54+AI54+AK54+AM54+AO54)</f>
        <v/>
      </c>
      <c r="F54" s="2727">
        <f>SUM(H54+J54+L54+N54+P54+R54+T54+V54+X54+Z54+AB54+AD54+AF54+AH54+AJ54+AL54+AN54+AP54)</f>
        <v/>
      </c>
      <c r="G54" s="1258" t="n">
        <v>0</v>
      </c>
      <c r="H54" s="1259" t="n">
        <v>0</v>
      </c>
      <c r="I54" s="1258" t="n">
        <v>0</v>
      </c>
      <c r="J54" s="2742" t="n">
        <v>0</v>
      </c>
      <c r="K54" s="1258" t="n">
        <v>0</v>
      </c>
      <c r="L54" s="1259" t="n">
        <v>0</v>
      </c>
      <c r="M54" s="1258" t="n">
        <v>0</v>
      </c>
      <c r="N54" s="1259" t="n">
        <v>1</v>
      </c>
      <c r="O54" s="1258" t="n">
        <v>0</v>
      </c>
      <c r="P54" s="1259" t="n">
        <v>0</v>
      </c>
      <c r="Q54" s="1258" t="n">
        <v>1</v>
      </c>
      <c r="R54" s="1108" t="n">
        <v>1</v>
      </c>
      <c r="S54" s="1258" t="n">
        <v>0</v>
      </c>
      <c r="T54" s="1108" t="n">
        <v>0</v>
      </c>
      <c r="U54" s="1258" t="n">
        <v>0</v>
      </c>
      <c r="V54" s="1108" t="n">
        <v>0</v>
      </c>
      <c r="W54" s="1258" t="n">
        <v>1</v>
      </c>
      <c r="X54" s="1108" t="n">
        <v>1</v>
      </c>
      <c r="Y54" s="1258" t="n">
        <v>2</v>
      </c>
      <c r="Z54" s="1108" t="n">
        <v>2</v>
      </c>
      <c r="AA54" s="1258" t="n">
        <v>1</v>
      </c>
      <c r="AB54" s="1108" t="n">
        <v>6</v>
      </c>
      <c r="AC54" s="2767" t="n">
        <v>0</v>
      </c>
      <c r="AD54" s="1108" t="n">
        <v>0</v>
      </c>
      <c r="AE54" s="2737" t="n">
        <v>0</v>
      </c>
      <c r="AF54" s="1108" t="n">
        <v>0</v>
      </c>
      <c r="AG54" s="1258" t="n">
        <v>0</v>
      </c>
      <c r="AH54" s="1108" t="n">
        <v>0</v>
      </c>
      <c r="AI54" s="1258" t="n">
        <v>0</v>
      </c>
      <c r="AJ54" s="1108" t="n">
        <v>0</v>
      </c>
      <c r="AK54" s="1258" t="n">
        <v>0</v>
      </c>
      <c r="AL54" s="1108" t="n">
        <v>0</v>
      </c>
      <c r="AM54" s="2767" t="n">
        <v>0</v>
      </c>
      <c r="AN54" s="1108" t="n">
        <v>0</v>
      </c>
      <c r="AO54" s="2742" t="n">
        <v>0</v>
      </c>
      <c r="AP54" s="2738" t="n">
        <v>0</v>
      </c>
      <c r="AQ54" s="1110" t="n">
        <v>2</v>
      </c>
      <c r="AR54" s="2733" t="n">
        <v>0</v>
      </c>
      <c r="AS54" s="2733" t="n">
        <v>0</v>
      </c>
      <c r="AT54" s="1109" t="n">
        <v>2</v>
      </c>
      <c r="AU54" s="2739" t="n">
        <v>2</v>
      </c>
      <c r="AV54" s="2740" t="n">
        <v>1</v>
      </c>
      <c r="AW54" s="2733" t="n">
        <v>1</v>
      </c>
      <c r="AX54" s="1259" t="n">
        <v>0</v>
      </c>
      <c r="AY54">
        <f>CA54&amp;CB54&amp;CC54&amp;CD54&amp;CE54&amp;CF54&amp;CG54&amp;CH54</f>
        <v/>
      </c>
      <c r="CA54" s="196">
        <f>IF(AND((Y54+Z54)&gt;0,AQ54="")," * No olvide digitar la variable 12 años (incluido en el grupo de 10-14 años). Digite Cero si no tiene.",IF(AQ54&gt;(Y54+Z54),"* Las Consultas de 12 años (incluido en el grupo de 10-14 años) NO DEBEN ser mayor que el total de Consultas entre 10-14 años",""))</f>
        <v/>
      </c>
      <c r="CB54" s="196">
        <f>IF(AND($F54&gt;0,AR54="")," * No olvide digitar la variable Gestante. Digite cero si no tiene.",IF(AR54&gt;$F54," * La variable Gestante NO DEBEN ser mayor al Total de Mujeres. ",""))</f>
        <v/>
      </c>
      <c r="CC54" s="196">
        <f>IF(AND((AK54+AL54)&gt;0,AS54="")," * No olvide digitar la variable 60 años (incluido en grupos de 60-64 años). Digite Cero si no tiene.",IF(AS54&gt;(AK54+AL54)," * La variable 60 años (incluido en grupos de 60-64 años) NO DEBE ser mayor que el Total de consultas del grupo 60-64 años",""))</f>
        <v/>
      </c>
      <c r="CD54" s="196">
        <f>IF(AND(D54&gt;0,AT54="")," * No olvide digitar la variable Usuarios con Discapacidad. Digite Cero si no tiene.",IF(AT54&gt;D54," * La variable Usuarios con Discapacidad No puede ser mayor al Total Ambos Sexos.",""))</f>
        <v/>
      </c>
      <c r="CE54" s="196">
        <f>IF(AND(D54&gt;0,AU54="")," * No olvide digitar la variable "&amp;AU$41&amp;". Digite Cero si no tiene.",IF(AU54&gt;$D54," * La variable "&amp;AU$41&amp;" No puede ser mayor al Total Ambos Sexos.",""))</f>
        <v/>
      </c>
      <c r="CF54" s="196">
        <f>IF(AND($D54&gt;0,AV54="")," * No olvide digitar la variable "&amp;AV$41&amp;". Digite Cero si no tiene.",IF(AV54&gt;$D54," * La variable "&amp;AV$41&amp;" No puede ser mayor al Total Ambos Sexos.",""))</f>
        <v/>
      </c>
      <c r="CG54" s="196">
        <f>IF(AND($D54&gt;0,AW54="")," * No olvide digitar la variable Migrantes. Digite Cero si no tiene.",IF(AW54&gt;$D54," * La variable Migrantes No puede ser mayor al Total Ambos Sexos.",""))</f>
        <v/>
      </c>
      <c r="CH54" s="196">
        <f>IF(AND($D54&gt;0,AX54="")," * No olvide digitar la variable Persona con ingreso integral y condición crónica. Digite Cero si no tiene.",IF(AX54&gt;$D54," * La variable Persona con ingreso integral y condición crónica no puede ser mayor al Total Ambos Sexos.",""))</f>
        <v/>
      </c>
      <c r="CO54" s="197">
        <f>IF(AND((Y54+Z54)&gt;0,AQ54=""),1,IF(AQ54&gt;(Y54+Z54),1,0))</f>
        <v/>
      </c>
      <c r="CP54" s="197">
        <f>IF(AND($F54&gt;0,AR54=""),1,IF(AR54&gt;$F54,1,0))</f>
        <v/>
      </c>
      <c r="CQ54" s="197">
        <f>IF(AND((AK54+AL54)&gt;0,AS54=""),1,IF(AS54&gt;(AK54+AL54),1,0))</f>
        <v/>
      </c>
      <c r="CR54" s="197">
        <f>IF(AND($D54&gt;0,AT54=""),1,IF(AT54&gt;$D54,1,0))</f>
        <v/>
      </c>
      <c r="CS54" s="197">
        <f>IF(AND($D54&gt;0,AU54=""),1,IF(AU54&gt;$D54,1,0))</f>
        <v/>
      </c>
      <c r="CT54" s="197">
        <f>IF(AND($D54&gt;0,AV54=""),1,IF(AV54&gt;$D54,1,0))</f>
        <v/>
      </c>
      <c r="CU54" s="197">
        <f>IF(AND($D54&gt;0,AW54=""),1,IF(AW54&gt;$D54,1,0))</f>
        <v/>
      </c>
      <c r="CV54" s="197">
        <f>IF(AND(D54&gt;0,AX54=""),1,IF(AX54&gt;D54,1,0))</f>
        <v/>
      </c>
    </row>
    <row r="55" ht="15" customHeight="1" s="8286">
      <c r="A55" s="642" t="n"/>
      <c r="B55" s="9718" t="n"/>
      <c r="C55" s="9302" t="inlineStr">
        <is>
          <t>7 a 8</t>
        </is>
      </c>
      <c r="D55" s="2768">
        <f>SUM(E55+F55)</f>
        <v/>
      </c>
      <c r="E55" s="800">
        <f>SUM(G55+I55+K55+M55+O55+Q55+S55+U55+W55+Y55+AA55+AC55+AE55+AG55+AI55+AK55+AM55+AO55)</f>
        <v/>
      </c>
      <c r="F55" s="2727">
        <f>SUM(H55+J55+L55+N55+P55+R55+T55+V55+X55+Z55+AB55+AD55+AF55+AH55+AJ55+AL55+AN55+AP55)</f>
        <v/>
      </c>
      <c r="G55" s="1258" t="n">
        <v>0</v>
      </c>
      <c r="H55" s="1259" t="n">
        <v>0</v>
      </c>
      <c r="I55" s="1258" t="n">
        <v>0</v>
      </c>
      <c r="J55" s="2742" t="n">
        <v>0</v>
      </c>
      <c r="K55" s="1260" t="n">
        <v>0</v>
      </c>
      <c r="L55" s="1261" t="n">
        <v>0</v>
      </c>
      <c r="M55" s="1260" t="n">
        <v>0</v>
      </c>
      <c r="N55" s="1261" t="n">
        <v>0</v>
      </c>
      <c r="O55" s="1260" t="n">
        <v>0</v>
      </c>
      <c r="P55" s="1261" t="n">
        <v>0</v>
      </c>
      <c r="Q55" s="1260" t="n">
        <v>1</v>
      </c>
      <c r="R55" s="2769" t="n">
        <v>0</v>
      </c>
      <c r="S55" s="1260" t="n">
        <v>0</v>
      </c>
      <c r="T55" s="2769" t="n">
        <v>1</v>
      </c>
      <c r="U55" s="1260" t="n">
        <v>0</v>
      </c>
      <c r="V55" s="2769" t="n">
        <v>0</v>
      </c>
      <c r="W55" s="1260" t="n">
        <v>0</v>
      </c>
      <c r="X55" s="2769" t="n">
        <v>1</v>
      </c>
      <c r="Y55" s="1260" t="n">
        <v>0</v>
      </c>
      <c r="Z55" s="2769" t="n">
        <v>1</v>
      </c>
      <c r="AA55" s="1260" t="n">
        <v>0</v>
      </c>
      <c r="AB55" s="2769" t="n">
        <v>1</v>
      </c>
      <c r="AC55" s="2770" t="n">
        <v>0</v>
      </c>
      <c r="AD55" s="2769" t="n">
        <v>1</v>
      </c>
      <c r="AE55" s="2771" t="n">
        <v>0</v>
      </c>
      <c r="AF55" s="2769" t="n">
        <v>0</v>
      </c>
      <c r="AG55" s="1260" t="n">
        <v>0</v>
      </c>
      <c r="AH55" s="2769" t="n">
        <v>0</v>
      </c>
      <c r="AI55" s="1260" t="n">
        <v>0</v>
      </c>
      <c r="AJ55" s="2769" t="n">
        <v>0</v>
      </c>
      <c r="AK55" s="1260" t="n">
        <v>0</v>
      </c>
      <c r="AL55" s="2769" t="n">
        <v>0</v>
      </c>
      <c r="AM55" s="2770" t="n">
        <v>0</v>
      </c>
      <c r="AN55" s="2769" t="n">
        <v>0</v>
      </c>
      <c r="AO55" s="349" t="n">
        <v>0</v>
      </c>
      <c r="AP55" s="2772" t="n">
        <v>0</v>
      </c>
      <c r="AQ55" s="2773" t="n">
        <v>0</v>
      </c>
      <c r="AR55" s="1262" t="n">
        <v>1</v>
      </c>
      <c r="AS55" s="1262" t="n">
        <v>0</v>
      </c>
      <c r="AT55" s="2774" t="n">
        <v>1</v>
      </c>
      <c r="AU55" s="739" t="n">
        <v>1</v>
      </c>
      <c r="AV55" s="741" t="n">
        <v>0</v>
      </c>
      <c r="AW55" s="1262" t="n">
        <v>0</v>
      </c>
      <c r="AX55" s="1261" t="n">
        <v>0</v>
      </c>
      <c r="AY55">
        <f>CA55&amp;CB55&amp;CC55&amp;CD55&amp;CE55&amp;CF55&amp;CG55&amp;CH55</f>
        <v/>
      </c>
      <c r="CA55" s="196">
        <f>IF(AND((Y55+Z55)&gt;0,AQ55="")," * No olvide digitar la variable 12 años (incluido en el grupo de 10-14 años). Digite Cero si no tiene.",IF(AQ55&gt;(Y55+Z55),"* Las Consultas de 12 años (incluido en el grupo de 10-14 años) NO DEBEN ser mayor que el total de Consultas entre 10-14 años",""))</f>
        <v/>
      </c>
      <c r="CB55" s="196">
        <f>IF(AND($F55&gt;0,AR55="")," * No olvide digitar la variable Gestante. Digite cero si no tiene.",IF(AR55&gt;$F55," * La variable Gestante NO DEBEN ser mayor al Total de Mujeres. ",""))</f>
        <v/>
      </c>
      <c r="CC55" s="196">
        <f>IF(AND((AK55+AL55)&gt;0,AS55="")," * No olvide digitar la variable 60 años (incluido en grupos de 60-64 años). Digite Cero si no tiene.",IF(AS55&gt;(AK55+AL55)," * La variable 60 años (incluido en grupos de 60-64 años) NO DEBE ser mayor que el Total de consultas del grupo 60-64 años",""))</f>
        <v/>
      </c>
      <c r="CD55" s="196">
        <f>IF(AND(D55&gt;0,AT55="")," * No olvide digitar la variable Usuarios con Discapacidad. Digite Cero si no tiene.",IF(AT55&gt;D55," * La variable Usuarios con Discapacidad No puede ser mayor al Total Ambos Sexos.",""))</f>
        <v/>
      </c>
      <c r="CE55" s="196">
        <f>IF(AND(D55&gt;0,AU55="")," * No olvide digitar la variable "&amp;AU$41&amp;". Digite Cero si no tiene.",IF(AU55&gt;$D55," * La variable "&amp;AU$41&amp;" No puede ser mayor al Total Ambos Sexos.",""))</f>
        <v/>
      </c>
      <c r="CF55" s="196">
        <f>IF(AND($D55&gt;0,AV55="")," * No olvide digitar la variable "&amp;AV$41&amp;". Digite Cero si no tiene.",IF(AV55&gt;$D55," * La variable "&amp;AV$41&amp;" No puede ser mayor al Total Ambos Sexos.",""))</f>
        <v/>
      </c>
      <c r="CG55" s="196">
        <f>IF(AND($D55&gt;0,AW55="")," * No olvide digitar la variable Migrantes. Digite Cero si no tiene.",IF(AW55&gt;$D55," * La variable Migrantes No puede ser mayor al Total Ambos Sexos.",""))</f>
        <v/>
      </c>
      <c r="CH55" s="196">
        <f>IF(AND($D55&gt;0,AX55="")," * No olvide digitar la variable Persona con ingreso integral y condición crónica. Digite Cero si no tiene.",IF(AX55&gt;$D55," * La variable Persona con ingreso integral y condición crónica no puede ser mayor al Total Ambos Sexos.",""))</f>
        <v/>
      </c>
      <c r="CO55" s="197">
        <f>IF(AND((Y55+Z55)&gt;0,AQ55=""),1,IF(AQ55&gt;(Y55+Z55),1,0))</f>
        <v/>
      </c>
      <c r="CP55" s="197">
        <f>IF(AND($F55&gt;0,AR55=""),1,IF(AR55&gt;$F55,1,0))</f>
        <v/>
      </c>
      <c r="CQ55" s="197">
        <f>IF(AND((AK55+AL55)&gt;0,AS55=""),1,IF(AS55&gt;(AK55+AL55),1,0))</f>
        <v/>
      </c>
      <c r="CR55" s="197">
        <f>IF(AND($D55&gt;0,AT55=""),1,IF(AT55&gt;$D55,1,0))</f>
        <v/>
      </c>
      <c r="CS55" s="197">
        <f>IF(AND($D55&gt;0,AU55=""),1,IF(AU55&gt;$D55,1,0))</f>
        <v/>
      </c>
      <c r="CT55" s="197">
        <f>IF(AND($D55&gt;0,AV55=""),1,IF(AV55&gt;$D55,1,0))</f>
        <v/>
      </c>
      <c r="CU55" s="197">
        <f>IF(AND($D55&gt;0,AW55=""),1,IF(AW55&gt;$D55,1,0))</f>
        <v/>
      </c>
      <c r="CV55" s="197">
        <f>IF(AND(D55&gt;0,AX55=""),1,IF(AX55&gt;D55,1,0))</f>
        <v/>
      </c>
    </row>
    <row r="56" ht="15" customHeight="1" s="8286">
      <c r="A56" s="642" t="n"/>
      <c r="B56" s="9718" t="n"/>
      <c r="C56" s="9302" t="inlineStr">
        <is>
          <t>9 o más</t>
        </is>
      </c>
      <c r="D56" s="1135">
        <f>SUM(E56+F56)</f>
        <v/>
      </c>
      <c r="E56" s="2775">
        <f>SUM(K56+M56+O56+Q56+S56+U56+W56+Y56+AA56+AC56+AE56+AG56+AI56+AK56+AM56+AO56)</f>
        <v/>
      </c>
      <c r="F56" s="2005">
        <f>SUM(L56+N56+P56+R56+T56+V56+X56+Z56+AB56+AD56+AF56+AH56+AJ56+AL56+AN56+AP56)</f>
        <v/>
      </c>
      <c r="G56" s="2776" t="n"/>
      <c r="H56" s="2777" t="n"/>
      <c r="I56" s="2776" t="n"/>
      <c r="J56" s="2777" t="n"/>
      <c r="K56" s="1269" t="n">
        <v>0</v>
      </c>
      <c r="L56" s="1271" t="n">
        <v>0</v>
      </c>
      <c r="M56" s="1269" t="n">
        <v>0</v>
      </c>
      <c r="N56" s="1271" t="n">
        <v>0</v>
      </c>
      <c r="O56" s="1269" t="n">
        <v>0</v>
      </c>
      <c r="P56" s="1271" t="n">
        <v>0</v>
      </c>
      <c r="Q56" s="1269" t="n">
        <v>0</v>
      </c>
      <c r="R56" s="2778" t="n">
        <v>2</v>
      </c>
      <c r="S56" s="1269" t="n">
        <v>0</v>
      </c>
      <c r="T56" s="2778" t="n">
        <v>0</v>
      </c>
      <c r="U56" s="1269" t="n">
        <v>0</v>
      </c>
      <c r="V56" s="2778" t="n">
        <v>0</v>
      </c>
      <c r="W56" s="1269" t="n">
        <v>0</v>
      </c>
      <c r="X56" s="2778" t="n">
        <v>0</v>
      </c>
      <c r="Y56" s="1269" t="n">
        <v>0</v>
      </c>
      <c r="Z56" s="2778" t="n">
        <v>0</v>
      </c>
      <c r="AA56" s="1269" t="n">
        <v>0</v>
      </c>
      <c r="AB56" s="2778" t="n">
        <v>3</v>
      </c>
      <c r="AC56" s="2779" t="n">
        <v>0</v>
      </c>
      <c r="AD56" s="2778" t="n">
        <v>2</v>
      </c>
      <c r="AE56" s="2780" t="n">
        <v>0</v>
      </c>
      <c r="AF56" s="2778" t="n">
        <v>7</v>
      </c>
      <c r="AG56" s="1269" t="n">
        <v>0</v>
      </c>
      <c r="AH56" s="2778" t="n">
        <v>0</v>
      </c>
      <c r="AI56" s="1269" t="n">
        <v>0</v>
      </c>
      <c r="AJ56" s="2778" t="n">
        <v>0</v>
      </c>
      <c r="AK56" s="1269" t="n">
        <v>0</v>
      </c>
      <c r="AL56" s="2778" t="n">
        <v>2</v>
      </c>
      <c r="AM56" s="2779" t="n">
        <v>0</v>
      </c>
      <c r="AN56" s="2778" t="n">
        <v>0</v>
      </c>
      <c r="AO56" s="2781" t="n">
        <v>0</v>
      </c>
      <c r="AP56" s="2782" t="n">
        <v>0</v>
      </c>
      <c r="AQ56" s="2783" t="n">
        <v>0</v>
      </c>
      <c r="AR56" s="1270" t="n">
        <v>9</v>
      </c>
      <c r="AS56" s="1270" t="n">
        <v>0</v>
      </c>
      <c r="AT56" s="2784" t="n">
        <v>3</v>
      </c>
      <c r="AU56" s="2785" t="n">
        <v>0</v>
      </c>
      <c r="AV56" s="2786" t="n">
        <v>0</v>
      </c>
      <c r="AW56" s="1270" t="n">
        <v>0</v>
      </c>
      <c r="AX56" s="1271" t="n">
        <v>0</v>
      </c>
      <c r="AY56">
        <f>CA56&amp;CB56&amp;CC56&amp;CD56&amp;CE56&amp;CF56&amp;CG56&amp;CH56</f>
        <v/>
      </c>
      <c r="CA56" s="196">
        <f>IF(AND((Y56+Z56)&gt;0,AQ56="")," * No olvide digitar la variable 12 años (incluido en el grupo de 10-14 años). Digite Cero si no tiene.",IF(AQ56&gt;(Y56+Z56),"* Las Consultas de 12 años (incluido en el grupo de 10-14 años) NO DEBEN ser mayor que el total de Consultas entre 10-14 años",""))</f>
        <v/>
      </c>
      <c r="CB56" s="196">
        <f>IF(AND($F56&gt;0,AR56="")," * No olvide digitar la variable Gestante. Digite cero si no tiene.",IF(AR56&gt;$F56," * La variable Gestante NO DEBEN ser mayor al Total de Mujeres. ",""))</f>
        <v/>
      </c>
      <c r="CC56" s="196">
        <f>IF(AND((AK56+AL56)&gt;0,AS56="")," * No olvide digitar la variable 60 años (incluido en grupos de 60-64 años). Digite Cero si no tiene.",IF(AS56&gt;(AK56+AL56)," * La variable 60 años (incluido en grupos de 60-64 años) NO DEBE ser mayor que el Total de consultas del grupo 60-64 años",""))</f>
        <v/>
      </c>
      <c r="CD56" s="196">
        <f>IF(AND(D56&gt;0,AT56="")," * No olvide digitar la variable Usuarios con Discapacidad. Digite Cero si no tiene.",IF(AT56&gt;D56," * La variable Usuarios con Discapacidad No puede ser mayor al Total Ambos Sexos.",""))</f>
        <v/>
      </c>
      <c r="CE56" s="196">
        <f>IF(AND(D56&gt;0,AU56="")," * No olvide digitar la variable "&amp;AU$41&amp;". Digite Cero si no tiene.",IF(AU56&gt;$D56," * La variable "&amp;AU$41&amp;" No puede ser mayor al Total Ambos Sexos.",""))</f>
        <v/>
      </c>
      <c r="CF56" s="196">
        <f>IF(AND($D56&gt;0,AV56="")," * No olvide digitar la variable "&amp;AV$41&amp;". Digite Cero si no tiene.",IF(AV56&gt;$D56," * La variable "&amp;AV$41&amp;" No puede ser mayor al Total Ambos Sexos.",""))</f>
        <v/>
      </c>
      <c r="CG56" s="196">
        <f>IF(AND($D56&gt;0,AW56="")," * No olvide digitar la variable Migrantes. Digite Cero si no tiene.",IF(AW56&gt;$D56," * La variable Migrantes No puede ser mayor al Total Ambos Sexos.",""))</f>
        <v/>
      </c>
      <c r="CH56" s="196">
        <f>IF(AND($D56&gt;0,AX56="")," * No olvide digitar la variable Persona con ingreso integral y condición crónica. Digite Cero si no tiene.",IF(AX56&gt;$D56," * La variable Persona con ingreso integral y condición crónica no puede ser mayor al Total Ambos Sexos.",""))</f>
        <v/>
      </c>
      <c r="CO56" s="197">
        <f>IF(AND((Y56+Z56)&gt;0,AQ56=""),1,IF(AQ56&gt;(Y56+Z56),1,0))</f>
        <v/>
      </c>
      <c r="CP56" s="197">
        <f>IF(AND($F56&gt;0,AR56=""),1,IF(AR56&gt;$F56,1,0))</f>
        <v/>
      </c>
      <c r="CQ56" s="197">
        <f>IF(AND((AK56+AL56)&gt;0,AS56=""),1,IF(AS56&gt;(AK56+AL56),1,0))</f>
        <v/>
      </c>
      <c r="CR56" s="197">
        <f>IF(AND($D56&gt;0,AT56=""),1,IF(AT56&gt;$D56,1,0))</f>
        <v/>
      </c>
      <c r="CS56" s="197">
        <f>IF(AND($D56&gt;0,AU56=""),1,IF(AU56&gt;$D56,1,0))</f>
        <v/>
      </c>
      <c r="CT56" s="197">
        <f>IF(AND($D56&gt;0,AV56=""),1,IF(AV56&gt;$D56,1,0))</f>
        <v/>
      </c>
      <c r="CU56" s="197">
        <f>IF(AND($D56&gt;0,AW56=""),1,IF(AW56&gt;$D56,1,0))</f>
        <v/>
      </c>
      <c r="CV56" s="197">
        <f>IF(AND(D56&gt;0,AX56=""),1,IF(AX56&gt;D56,1,0))</f>
        <v/>
      </c>
    </row>
    <row r="57" ht="15" customHeight="1" s="8286">
      <c r="A57" s="9240" t="inlineStr">
        <is>
          <t>TOTAL</t>
        </is>
      </c>
      <c r="B57" s="9584" t="n"/>
      <c r="C57" s="9647" t="n"/>
      <c r="D57" s="2748">
        <f>SUM(D51:D56)</f>
        <v/>
      </c>
      <c r="E57" s="2787">
        <f>SUM(E51:E56)</f>
        <v/>
      </c>
      <c r="F57" s="2750">
        <f>SUM(F51:F56)</f>
        <v/>
      </c>
      <c r="G57" s="2748">
        <f>SUM(G51:G56)</f>
        <v/>
      </c>
      <c r="H57" s="2787">
        <f>SUM(H51:H56)</f>
        <v/>
      </c>
      <c r="I57" s="2748">
        <f>SUM(I51:I56)</f>
        <v/>
      </c>
      <c r="J57" s="2787">
        <f>SUM(J51:J56)</f>
        <v/>
      </c>
      <c r="K57" s="2748">
        <f>SUM(K51:K56)</f>
        <v/>
      </c>
      <c r="L57" s="2787">
        <f>SUM(L51:L56)</f>
        <v/>
      </c>
      <c r="M57" s="2748">
        <f>SUM(M51:M56)</f>
        <v/>
      </c>
      <c r="N57" s="2787">
        <f>SUM(N51:N56)</f>
        <v/>
      </c>
      <c r="O57" s="2748">
        <f>SUM(O51:O56)</f>
        <v/>
      </c>
      <c r="P57" s="2787">
        <f>SUM(P51:P56)</f>
        <v/>
      </c>
      <c r="Q57" s="2748">
        <f>SUM(Q51:Q56)</f>
        <v/>
      </c>
      <c r="R57" s="2787">
        <f>SUM(R51:R56)</f>
        <v/>
      </c>
      <c r="S57" s="2748">
        <f>SUM(S51:S56)</f>
        <v/>
      </c>
      <c r="T57" s="2787">
        <f>SUM(T51:T56)</f>
        <v/>
      </c>
      <c r="U57" s="2748">
        <f>SUM(U51:U56)</f>
        <v/>
      </c>
      <c r="V57" s="2787">
        <f>SUM(V51:V56)</f>
        <v/>
      </c>
      <c r="W57" s="2748">
        <f>SUM(W51:W56)</f>
        <v/>
      </c>
      <c r="X57" s="2787">
        <f>SUM(X51:X56)</f>
        <v/>
      </c>
      <c r="Y57" s="2748">
        <f>SUM(Y51:Y56)</f>
        <v/>
      </c>
      <c r="Z57" s="2787">
        <f>SUM(Z51:Z56)</f>
        <v/>
      </c>
      <c r="AA57" s="2748">
        <f>SUM(AA51:AA56)</f>
        <v/>
      </c>
      <c r="AB57" s="2787">
        <f>SUM(AB51:AB56)</f>
        <v/>
      </c>
      <c r="AC57" s="2748">
        <f>SUM(AC51:AC56)</f>
        <v/>
      </c>
      <c r="AD57" s="2787">
        <f>SUM(AD51:AD56)</f>
        <v/>
      </c>
      <c r="AE57" s="2748">
        <f>SUM(AE51:AE56)</f>
        <v/>
      </c>
      <c r="AF57" s="2787">
        <f>SUM(AF51:AF56)</f>
        <v/>
      </c>
      <c r="AG57" s="2748">
        <f>SUM(AG51:AG56)</f>
        <v/>
      </c>
      <c r="AH57" s="2787">
        <f>SUM(AH51:AH56)</f>
        <v/>
      </c>
      <c r="AI57" s="2748">
        <f>SUM(AI51:AI56)</f>
        <v/>
      </c>
      <c r="AJ57" s="2787">
        <f>SUM(AJ51:AJ56)</f>
        <v/>
      </c>
      <c r="AK57" s="2748">
        <f>SUM(AK51:AK56)</f>
        <v/>
      </c>
      <c r="AL57" s="2787">
        <f>SUM(AL51:AL56)</f>
        <v/>
      </c>
      <c r="AM57" s="2748">
        <f>SUM(AM51:AM56)</f>
        <v/>
      </c>
      <c r="AN57" s="2787">
        <f>SUM(AN51:AN56)</f>
        <v/>
      </c>
      <c r="AO57" s="2748">
        <f>SUM(AO51:AO56)</f>
        <v/>
      </c>
      <c r="AP57" s="2788">
        <f>SUM(AP51:AP56)</f>
        <v/>
      </c>
      <c r="AQ57" s="2789">
        <f>SUM(AQ51:AQ56)</f>
        <v/>
      </c>
      <c r="AR57" s="2749">
        <f>SUM(AR51:AR56)</f>
        <v/>
      </c>
      <c r="AS57" s="2749">
        <f>SUM(AS51:AS56)</f>
        <v/>
      </c>
      <c r="AT57" s="2790">
        <f>SUM(AT51:AT56)</f>
        <v/>
      </c>
      <c r="AU57" s="2791">
        <f>SUM(AU51:AU56)</f>
        <v/>
      </c>
      <c r="AV57" s="2792">
        <f>SUM(AV51:AV56)</f>
        <v/>
      </c>
      <c r="AW57" s="2749">
        <f>SUM(AW51:AW56)</f>
        <v/>
      </c>
      <c r="AX57" s="2750">
        <f>SUM(AX51:AX56)</f>
        <v/>
      </c>
      <c r="AY57">
        <f>CA57&amp;CB57&amp;CC57&amp;CD57&amp;CE57&amp;CF57&amp;CG57&amp;CH57</f>
        <v/>
      </c>
      <c r="CE57" s="20">
        <f>IF(AND(D57&gt;0,AU57="")," * No olvide digitar la variable "&amp;AU$41&amp;". Digite Cero si no tiene.",IF(AU57&gt;$D57," * La variable "&amp;AU$41&amp;" No puede ser mayor al Total Ambos Sexos.",""))</f>
        <v/>
      </c>
    </row>
    <row r="58" ht="15" customHeight="1" s="8286">
      <c r="A58" s="10225" t="inlineStr">
        <is>
          <t xml:space="preserve"> N° de dientes (total de dientes en boca. En dentición mixta se suman los dientes primarios y permanentes)</t>
        </is>
      </c>
      <c r="B58" s="9718" t="n"/>
      <c r="C58" s="2793" t="n">
        <v>0</v>
      </c>
      <c r="D58" s="2151">
        <f>SUM(E58+F58)</f>
        <v/>
      </c>
      <c r="E58" s="845">
        <f>SUM(G58+I58+K58+M58+O58+Q58+S58+U58+W58+Y58+AA58+AC58+AE58+AG58+AI58+AK58+AM58+AO58)</f>
        <v/>
      </c>
      <c r="F58" s="2794">
        <f>SUM(H58+J58+L58+N58+P58+R58+T58+V58+X58+Z58+AB58+AD58+AF58+AH58+AJ58+AL58+AN58+AP58)</f>
        <v/>
      </c>
      <c r="G58" s="2716" t="n"/>
      <c r="H58" s="2717" t="n"/>
      <c r="I58" s="2716" t="n"/>
      <c r="J58" s="2717" t="n"/>
      <c r="K58" s="2716" t="n"/>
      <c r="L58" s="2717" t="n"/>
      <c r="M58" s="2716" t="n"/>
      <c r="N58" s="2717" t="n"/>
      <c r="O58" s="2716" t="n"/>
      <c r="P58" s="2717" t="n"/>
      <c r="Q58" s="2716" t="n"/>
      <c r="R58" s="2717" t="n"/>
      <c r="S58" s="2716" t="n"/>
      <c r="T58" s="2717" t="n"/>
      <c r="U58" s="2716" t="n"/>
      <c r="V58" s="2717" t="n"/>
      <c r="W58" s="2716" t="n"/>
      <c r="X58" s="2717" t="n"/>
      <c r="Y58" s="2716" t="n"/>
      <c r="Z58" s="2717" t="n"/>
      <c r="AA58" s="2716" t="n"/>
      <c r="AB58" s="2717" t="n"/>
      <c r="AC58" s="2716" t="n"/>
      <c r="AD58" s="2717" t="n"/>
      <c r="AE58" s="2716" t="n"/>
      <c r="AF58" s="2717" t="n"/>
      <c r="AG58" s="2716" t="n"/>
      <c r="AH58" s="2717" t="n"/>
      <c r="AI58" s="2716" t="n"/>
      <c r="AJ58" s="2717" t="n"/>
      <c r="AK58" s="2716" t="n"/>
      <c r="AL58" s="2717" t="n"/>
      <c r="AM58" s="2716" t="n"/>
      <c r="AN58" s="2717" t="n"/>
      <c r="AO58" s="2716" t="n"/>
      <c r="AP58" s="2721" t="n"/>
      <c r="AQ58" s="2722" t="n"/>
      <c r="AR58" s="844" t="n"/>
      <c r="AS58" s="844" t="n"/>
      <c r="AT58" s="2723" t="n"/>
      <c r="AU58" s="2724" t="n"/>
      <c r="AV58" s="2725" t="n"/>
      <c r="AW58" s="844" t="n"/>
      <c r="AX58" s="2726" t="n"/>
      <c r="AY58">
        <f>CA58&amp;CB58&amp;CC58&amp;CD58&amp;CE58&amp;CF58&amp;CG58&amp;CH58</f>
        <v/>
      </c>
      <c r="CA58" s="196">
        <f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>
        <f>IF(AND($F58&gt;0,AR58="")," * No olvide digitar la variable Gestante. Digite cero si no tiene.",IF(AR58&gt;$F58," * La variable Gestante NO DEBEN ser mayor al Total de Mujeres. ",""))</f>
        <v/>
      </c>
      <c r="CC58" s="196">
        <f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>
        <f>IF(AND(D58&gt;0,AT58="")," * No olvide digitar la variable Usuarios con Discapacidad. Digite Cero si no tiene.",IF(AT58&gt;D58," * La variable Usuarios con Discapacidad No puede ser mayor al Total Ambos Sexos.",""))</f>
        <v/>
      </c>
      <c r="CE58" s="196">
        <f>IF(AND(D58&gt;0,AU58="")," * No olvide digitar la variable "&amp;AU$41&amp;". Digite Cero si no tiene.",IF(AU58&gt;$D58," * La variable "&amp;AU$41&amp;" No puede ser mayor al Total Ambos Sexos.",""))</f>
        <v/>
      </c>
      <c r="CF58" s="196">
        <f>IF(AND($D58&gt;0,AV58="")," * No olvide digitar la variable "&amp;AV$41&amp;". Digite Cero si no tiene.",IF(AV58&gt;$D58," * La variable "&amp;AV$41&amp;" No puede ser mayor al Total Ambos Sexos.",""))</f>
        <v/>
      </c>
      <c r="CG58" s="196">
        <f>IF(AND($D58&gt;0,AW58="")," * No olvide digitar la variable Migrantes. Digite Cero si no tiene.",IF(AW58&gt;$D58," * La variable Migrantes No puede ser mayor al Total Ambos Sexos.",""))</f>
        <v/>
      </c>
      <c r="CH58" s="196">
        <f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/>
      </c>
      <c r="CP58" s="197">
        <f>IF(AND($F58&gt;0,AR58=""),1,IF(AR58&gt;$F58,1,0))</f>
        <v/>
      </c>
      <c r="CQ58" s="197">
        <f>IF(AND((AK58+AL58)&gt;0,AS58=""),1,IF(AS58&gt;(AK58+AL58),1,0))</f>
        <v/>
      </c>
      <c r="CR58" s="197">
        <f>IF(AND($D58&gt;0,AT58=""),1,IF(AT58&gt;$D58,1,0))</f>
        <v/>
      </c>
      <c r="CS58" s="197">
        <f>IF(AND($D58&gt;0,AU58=""),1,IF(AU58&gt;$D58,1,0))</f>
        <v/>
      </c>
      <c r="CT58" s="197">
        <f>IF(AND($D58&gt;0,AV58=""),1,IF(AV58&gt;$D58,1,0))</f>
        <v/>
      </c>
      <c r="CU58" s="197">
        <f>IF(AND($D58&gt;0,AW58=""),1,IF(AW58&gt;$D58,1,0))</f>
        <v/>
      </c>
      <c r="CV58" s="197">
        <f>IF(AND(D58&gt;0,AX58=""),1,IF(AX58&gt;D58,1,0))</f>
        <v/>
      </c>
    </row>
    <row r="59" ht="15" customHeight="1" s="8286">
      <c r="A59" s="407" t="n"/>
      <c r="B59" s="9718" t="n"/>
      <c r="C59" s="9301" t="inlineStr">
        <is>
          <t>1 a 9</t>
        </is>
      </c>
      <c r="D59" s="1131">
        <f>SUM(E59+F59)</f>
        <v/>
      </c>
      <c r="E59" s="2795">
        <f>SUM(G59+I59+K59+M59+O59+Q59+S59+U59+W59+Y59+AA59+AC59+AE59+AG59+AI59+AK59+AM59+AO59)</f>
        <v/>
      </c>
      <c r="F59" s="2796">
        <f>SUM(H59+J59+L59+N59+P59+R59+T59+V59+X59+Z59+AB59+AD59+AF59+AH59+AJ59+AL59+AN59+AP59)</f>
        <v/>
      </c>
      <c r="G59" s="1258" t="n"/>
      <c r="H59" s="1108" t="n"/>
      <c r="I59" s="1258" t="n"/>
      <c r="J59" s="1108" t="n"/>
      <c r="K59" s="1258" t="n"/>
      <c r="L59" s="1108" t="n"/>
      <c r="M59" s="1258" t="n"/>
      <c r="N59" s="1108" t="n"/>
      <c r="O59" s="1258" t="n"/>
      <c r="P59" s="1108" t="n"/>
      <c r="Q59" s="1258" t="n"/>
      <c r="R59" s="1108" t="n"/>
      <c r="S59" s="1258" t="n"/>
      <c r="T59" s="1108" t="n"/>
      <c r="U59" s="1258" t="n"/>
      <c r="V59" s="1108" t="n"/>
      <c r="W59" s="1258" t="n"/>
      <c r="X59" s="1108" t="n"/>
      <c r="Y59" s="1258" t="n"/>
      <c r="Z59" s="1108" t="n"/>
      <c r="AA59" s="1258" t="n"/>
      <c r="AB59" s="1108" t="n"/>
      <c r="AC59" s="1258" t="n"/>
      <c r="AD59" s="1108" t="n"/>
      <c r="AE59" s="1258" t="n"/>
      <c r="AF59" s="1108" t="n"/>
      <c r="AG59" s="1258" t="n"/>
      <c r="AH59" s="1108" t="n"/>
      <c r="AI59" s="1258" t="n"/>
      <c r="AJ59" s="1108" t="n"/>
      <c r="AK59" s="1258" t="n"/>
      <c r="AL59" s="1108" t="n"/>
      <c r="AM59" s="1258" t="n"/>
      <c r="AN59" s="1108" t="n"/>
      <c r="AO59" s="1258" t="n"/>
      <c r="AP59" s="2738" t="n"/>
      <c r="AQ59" s="1110" t="n"/>
      <c r="AR59" s="2733" t="n"/>
      <c r="AS59" s="2733" t="n"/>
      <c r="AT59" s="1109" t="n"/>
      <c r="AU59" s="2739" t="n"/>
      <c r="AV59" s="2740" t="n"/>
      <c r="AW59" s="2733" t="n"/>
      <c r="AX59" s="1259" t="n"/>
      <c r="AY59">
        <f>CA59&amp;CB59&amp;CC59&amp;CD59&amp;CE59&amp;CF59&amp;CG59&amp;CH59</f>
        <v/>
      </c>
      <c r="CA59" s="196">
        <f>IF(AND((Y59+Z59)&gt;0,AQ59="")," * No olvide digitar la variable 12 años (incluido en el grupo de 10-14 años). Digite Cero si no tiene.",IF(AQ59&gt;(Y59+Z59),"* Las Consultas de 12 años (incluido en el grupo de 10-14 años) NO DEBEN ser mayor que el total de Consultas entre 10-14 años",""))</f>
        <v/>
      </c>
      <c r="CB59" s="196">
        <f>IF(AND($F59&gt;0,AR59="")," * No olvide digitar la variable Gestante. Digite cero si no tiene.",IF(AR59&gt;$F59," * La variable Gestante NO DEBEN ser mayor al Total de Mujeres. ",""))</f>
        <v/>
      </c>
      <c r="CC59" s="196">
        <f>IF(AND((AK59+AL59)&gt;0,AS59="")," * No olvide digitar la variable 60 años (incluido en grupos de 60-64 años). Digite Cero si no tiene.",IF(AS59&gt;(AK59+AL59)," * La variable 60 años (incluido en grupos de 60-64 años) NO DEBE ser mayor que el Total de consultas del grupo 60-64 años",""))</f>
        <v/>
      </c>
      <c r="CD59" s="196">
        <f>IF(AND(D59&gt;0,AT59="")," * No olvide digitar la variable Usuarios con Discapacidad. Digite Cero si no tiene.",IF(AT59&gt;D59," * La variable Usuarios con Discapacidad No puede ser mayor al Total Ambos Sexos.",""))</f>
        <v/>
      </c>
      <c r="CE59" s="196">
        <f>IF(AND(D59&gt;0,AU59="")," * No olvide digitar la variable "&amp;AU$41&amp;". Digite Cero si no tiene.",IF(AU59&gt;$D59," * La variable "&amp;AU$41&amp;" No puede ser mayor al Total Ambos Sexos.",""))</f>
        <v/>
      </c>
      <c r="CF59" s="196">
        <f>IF(AND($D59&gt;0,AV59="")," * No olvide digitar la variable "&amp;AV$41&amp;". Digite Cero si no tiene.",IF(AV59&gt;$D59," * La variable "&amp;AV$41&amp;" No puede ser mayor al Total Ambos Sexos.",""))</f>
        <v/>
      </c>
      <c r="CG59" s="196">
        <f>IF(AND($D59&gt;0,AW59="")," * No olvide digitar la variable Migrantes. Digite Cero si no tiene.",IF(AW59&gt;$D59," * La variable Migrantes No puede ser mayor al Total Ambos Sexos.",""))</f>
        <v/>
      </c>
      <c r="CH59" s="196">
        <f>IF(AND($D59&gt;0,AX59="")," * No olvide digitar la variable Persona con ingreso integral y condición crónica. Digite Cero si no tiene.",IF(AX59&gt;$D59," * La variable Persona con ingreso integral y condición crónica no puede ser mayor al Total Ambos Sexos.",""))</f>
        <v/>
      </c>
      <c r="CO59" s="197">
        <f>IF(AND((Y59+Z59)&gt;0,AQ59=""),1,IF(AQ59&gt;(Y59+Z59),1,0))</f>
        <v/>
      </c>
      <c r="CP59" s="197">
        <f>IF(AND($F59&gt;0,AR59=""),1,IF(AR59&gt;$F59,1,0))</f>
        <v/>
      </c>
      <c r="CQ59" s="197">
        <f>IF(AND((AK59+AL59)&gt;0,AS59=""),1,IF(AS59&gt;(AK59+AL59),1,0))</f>
        <v/>
      </c>
      <c r="CR59" s="197">
        <f>IF(AND($D59&gt;0,AT59=""),1,IF(AT59&gt;$D59,1,0))</f>
        <v/>
      </c>
      <c r="CS59" s="197">
        <f>IF(AND($D59&gt;0,AU59=""),1,IF(AU59&gt;$D59,1,0))</f>
        <v/>
      </c>
      <c r="CT59" s="197">
        <f>IF(AND($D59&gt;0,AV59=""),1,IF(AV59&gt;$D59,1,0))</f>
        <v/>
      </c>
      <c r="CU59" s="197">
        <f>IF(AND($D59&gt;0,AW59=""),1,IF(AW59&gt;$D59,1,0))</f>
        <v/>
      </c>
      <c r="CV59" s="197">
        <f>IF(AND(D59&gt;0,AX59=""),1,IF(AX59&gt;D59,1,0))</f>
        <v/>
      </c>
    </row>
    <row r="60" ht="15" customHeight="1" s="8286">
      <c r="A60" s="407" t="n"/>
      <c r="B60" s="9718" t="n"/>
      <c r="C60" s="9301" t="inlineStr">
        <is>
          <t>10 a 19</t>
        </is>
      </c>
      <c r="D60" s="1131">
        <f>SUM(E60+F60)</f>
        <v/>
      </c>
      <c r="E60" s="2795">
        <f>SUM(G60+I60+K60+M60+O60+Q60+S60+U60+W60+Y60+AA60+AC60+AE60+AG60+AI60+AK60+AM60+AO60)</f>
        <v/>
      </c>
      <c r="F60" s="2796">
        <f>SUM(H60+J60+L60+N60+P60+R60+T60+V60+X60+Z60+AB60+AD60+AF60+AH60+AJ60+AL60+AN60+AP60)</f>
        <v/>
      </c>
      <c r="G60" s="2797" t="n"/>
      <c r="H60" s="2798" t="n"/>
      <c r="I60" s="1258" t="n"/>
      <c r="J60" s="1108" t="n"/>
      <c r="K60" s="1258" t="n"/>
      <c r="L60" s="1108" t="n"/>
      <c r="M60" s="1258" t="n"/>
      <c r="N60" s="1108" t="n"/>
      <c r="O60" s="1258" t="n"/>
      <c r="P60" s="1108" t="n"/>
      <c r="Q60" s="1258" t="n"/>
      <c r="R60" s="1108" t="n"/>
      <c r="S60" s="1258" t="n"/>
      <c r="T60" s="1108" t="n"/>
      <c r="U60" s="1258" t="n"/>
      <c r="V60" s="1108" t="n"/>
      <c r="W60" s="1258" t="n"/>
      <c r="X60" s="1108" t="n"/>
      <c r="Y60" s="1258" t="n"/>
      <c r="Z60" s="1108" t="n"/>
      <c r="AA60" s="1258" t="n"/>
      <c r="AB60" s="1108" t="n"/>
      <c r="AC60" s="1258" t="n"/>
      <c r="AD60" s="1108" t="n"/>
      <c r="AE60" s="1258" t="n"/>
      <c r="AF60" s="1108" t="n"/>
      <c r="AG60" s="1258" t="n"/>
      <c r="AH60" s="1108" t="n"/>
      <c r="AI60" s="1258" t="n"/>
      <c r="AJ60" s="1108" t="n"/>
      <c r="AK60" s="1258" t="n"/>
      <c r="AL60" s="1108" t="n"/>
      <c r="AM60" s="1258" t="n"/>
      <c r="AN60" s="1108" t="n"/>
      <c r="AO60" s="1258" t="n"/>
      <c r="AP60" s="2738" t="n"/>
      <c r="AQ60" s="1110" t="n"/>
      <c r="AR60" s="2733" t="n"/>
      <c r="AS60" s="2733" t="n"/>
      <c r="AT60" s="1109" t="n"/>
      <c r="AU60" s="2739" t="n"/>
      <c r="AV60" s="2740" t="n"/>
      <c r="AW60" s="2733" t="n"/>
      <c r="AX60" s="1259" t="n"/>
      <c r="AY60">
        <f>CA60&amp;CB60&amp;CC60&amp;CD60&amp;CE60&amp;CF60&amp;CG60&amp;CH60</f>
        <v/>
      </c>
      <c r="CA60" s="196">
        <f>IF(AND((Y60+Z60)&gt;0,AQ60="")," * No olvide digitar la variable 12 años (incluido en el grupo de 10-14 años). Digite Cero si no tiene.",IF(AQ60&gt;(Y60+Z60),"* Las Consultas de 12 años (incluido en el grupo de 10-14 años) NO DEBEN ser mayor que el total de Consultas entre 10-14 años",""))</f>
        <v/>
      </c>
      <c r="CB60" s="196">
        <f>IF(AND($F60&gt;0,AR60="")," * No olvide digitar la variable Gestante. Digite cero si no tiene.",IF(AR60&gt;$F60," * La variable Gestante NO DEBEN ser mayor al Total de Mujeres. ",""))</f>
        <v/>
      </c>
      <c r="CC60" s="196">
        <f>IF(AND((AK60+AL60)&gt;0,AS60="")," * No olvide digitar la variable 60 años (incluido en grupos de 60-64 años). Digite Cero si no tiene.",IF(AS60&gt;(AK60+AL60)," * La variable 60 años (incluido en grupos de 60-64 años) NO DEBE ser mayor que el Total de consultas del grupo 60-64 años",""))</f>
        <v/>
      </c>
      <c r="CD60" s="196">
        <f>IF(AND(D60&gt;0,AT60="")," * No olvide digitar la variable Usuarios con Discapacidad. Digite Cero si no tiene.",IF(AT60&gt;D60," * La variable Usuarios con Discapacidad No puede ser mayor al Total Ambos Sexos.",""))</f>
        <v/>
      </c>
      <c r="CE60" s="196">
        <f>IF(AND(D60&gt;0,AU60="")," * No olvide digitar la variable "&amp;AU$41&amp;". Digite Cero si no tiene.",IF(AU60&gt;$D60," * La variable "&amp;AU$41&amp;" No puede ser mayor al Total Ambos Sexos.",""))</f>
        <v/>
      </c>
      <c r="CF60" s="196">
        <f>IF(AND($D60&gt;0,AV60="")," * No olvide digitar la variable "&amp;AV$41&amp;". Digite Cero si no tiene.",IF(AV60&gt;$D60," * La variable "&amp;AV$41&amp;" No puede ser mayor al Total Ambos Sexos.",""))</f>
        <v/>
      </c>
      <c r="CG60" s="196">
        <f>IF(AND($D60&gt;0,AW60="")," * No olvide digitar la variable Migrantes. Digite Cero si no tiene.",IF(AW60&gt;$D60," * La variable Migrantes No puede ser mayor al Total Ambos Sexos.",""))</f>
        <v/>
      </c>
      <c r="CH60" s="196">
        <f>IF(AND($D60&gt;0,AX60="")," * No olvide digitar la variable Persona con ingreso integral y condición crónica. Digite Cero si no tiene.",IF(AX60&gt;$D60," * La variable Persona con ingreso integral y condición crónica no puede ser mayor al Total Ambos Sexos.",""))</f>
        <v/>
      </c>
      <c r="CO60" s="197">
        <f>IF(AND((Y60+Z60)&gt;0,AQ60=""),1,IF(AQ60&gt;(Y60+Z60),1,0))</f>
        <v/>
      </c>
      <c r="CP60" s="197">
        <f>IF(AND($F60&gt;0,AR60=""),1,IF(AR60&gt;$F60,1,0))</f>
        <v/>
      </c>
      <c r="CQ60" s="197">
        <f>IF(AND((AK60+AL60)&gt;0,AS60=""),1,IF(AS60&gt;(AK60+AL60),1,0))</f>
        <v/>
      </c>
      <c r="CR60" s="197">
        <f>IF(AND($D60&gt;0,AT60=""),1,IF(AT60&gt;$D60,1,0))</f>
        <v/>
      </c>
      <c r="CS60" s="197">
        <f>IF(AND($D60&gt;0,AU60=""),1,IF(AU60&gt;$D60,1,0))</f>
        <v/>
      </c>
      <c r="CT60" s="197">
        <f>IF(AND($D60&gt;0,AV60=""),1,IF(AV60&gt;$D60,1,0))</f>
        <v/>
      </c>
      <c r="CU60" s="197">
        <f>IF(AND($D60&gt;0,AW60=""),1,IF(AW60&gt;$D60,1,0))</f>
        <v/>
      </c>
      <c r="CV60" s="197">
        <f>IF(AND(D60&gt;0,AX60=""),1,IF(AX60&gt;D60,1,0))</f>
        <v/>
      </c>
    </row>
    <row r="61" ht="15" customHeight="1" s="8286">
      <c r="A61" s="407" t="n"/>
      <c r="B61" s="9718" t="n"/>
      <c r="C61" s="9301" t="inlineStr">
        <is>
          <t>20 a 27</t>
        </is>
      </c>
      <c r="D61" s="1131">
        <f>SUM(E61+F61)</f>
        <v/>
      </c>
      <c r="E61" s="2795">
        <f>SUM(G61+I61+K61+M61+O61+Q61+S61+U61+W61+Y61+AA61+AC61+AE61+AG61+AI61+AK61+AM61+AO61)</f>
        <v/>
      </c>
      <c r="F61" s="2796">
        <f>SUM(H61+J61+L61+N61+P61+R61+T61+V61+X61+Z61+AB61+AD61+AF61+AH61+AJ61+AL61+AN61+AP61)</f>
        <v/>
      </c>
      <c r="G61" s="2797" t="n"/>
      <c r="H61" s="2798" t="n"/>
      <c r="I61" s="2797" t="n"/>
      <c r="J61" s="2798" t="n"/>
      <c r="K61" s="1258" t="n"/>
      <c r="L61" s="1108" t="n"/>
      <c r="M61" s="1258" t="n"/>
      <c r="N61" s="1108" t="n"/>
      <c r="O61" s="1258" t="n"/>
      <c r="P61" s="1108" t="n"/>
      <c r="Q61" s="1258" t="n"/>
      <c r="R61" s="1108" t="n"/>
      <c r="S61" s="1258" t="n"/>
      <c r="T61" s="1108" t="n"/>
      <c r="U61" s="1258" t="n"/>
      <c r="V61" s="1108" t="n"/>
      <c r="W61" s="1258" t="n"/>
      <c r="X61" s="1108" t="n"/>
      <c r="Y61" s="1258" t="n"/>
      <c r="Z61" s="1108" t="n"/>
      <c r="AA61" s="1258" t="n"/>
      <c r="AB61" s="1108" t="n"/>
      <c r="AC61" s="1258" t="n"/>
      <c r="AD61" s="1108" t="n"/>
      <c r="AE61" s="1258" t="n"/>
      <c r="AF61" s="1108" t="n"/>
      <c r="AG61" s="1258" t="n"/>
      <c r="AH61" s="1108" t="n"/>
      <c r="AI61" s="1258" t="n"/>
      <c r="AJ61" s="1108" t="n"/>
      <c r="AK61" s="1258" t="n"/>
      <c r="AL61" s="1108" t="n"/>
      <c r="AM61" s="1258" t="n"/>
      <c r="AN61" s="1108" t="n"/>
      <c r="AO61" s="1258" t="n"/>
      <c r="AP61" s="2738" t="n"/>
      <c r="AQ61" s="1110" t="n"/>
      <c r="AR61" s="2733" t="n"/>
      <c r="AS61" s="2733" t="n"/>
      <c r="AT61" s="1109" t="n"/>
      <c r="AU61" s="2739" t="n"/>
      <c r="AV61" s="2740" t="n"/>
      <c r="AW61" s="2733" t="n"/>
      <c r="AX61" s="1259" t="n"/>
      <c r="AY61">
        <f>CA61&amp;CB61&amp;CC61&amp;CD61&amp;CE61&amp;CF61&amp;CG61&amp;CH61</f>
        <v/>
      </c>
      <c r="CA61" s="196">
        <f>IF(AND((Y61+Z61)&gt;0,AQ61="")," * No olvide digitar la variable 12 años (incluido en el grupo de 10-14 años). Digite Cero si no tiene.",IF(AQ61&gt;(Y61+Z61),"* Las Consultas de 12 años (incluido en el grupo de 10-14 años) NO DEBEN ser mayor que el total de Consultas entre 10-14 años",""))</f>
        <v/>
      </c>
      <c r="CB61" s="196">
        <f>IF(AND($F61&gt;0,AR61="")," * No olvide digitar la variable Gestante. Digite cero si no tiene.",IF(AR61&gt;$F61," * La variable Gestante NO DEBEN ser mayor al Total de Mujeres. ",""))</f>
        <v/>
      </c>
      <c r="CC61" s="196">
        <f>IF(AND((AK61+AL61)&gt;0,AS61="")," * No olvide digitar la variable 60 años (incluido en grupos de 60-64 años). Digite Cero si no tiene.",IF(AS61&gt;(AK61+AL61)," * La variable 60 años (incluido en grupos de 60-64 años) NO DEBE ser mayor que el Total de consultas del grupo 60-64 años",""))</f>
        <v/>
      </c>
      <c r="CD61" s="196">
        <f>IF(AND(D61&gt;0,AT61="")," * No olvide digitar la variable Usuarios con Discapacidad. Digite Cero si no tiene.",IF(AT61&gt;D61," * La variable Usuarios con Discapacidad No puede ser mayor al Total Ambos Sexos.",""))</f>
        <v/>
      </c>
      <c r="CE61" s="196">
        <f>IF(AND(D61&gt;0,AU61="")," * No olvide digitar la variable "&amp;AU$41&amp;". Digite Cero si no tiene.",IF(AU61&gt;$D61," * La variable "&amp;AU$41&amp;" No puede ser mayor al Total Ambos Sexos.",""))</f>
        <v/>
      </c>
      <c r="CF61" s="196">
        <f>IF(AND($D61&gt;0,AV61="")," * No olvide digitar la variable "&amp;AV$41&amp;". Digite Cero si no tiene.",IF(AV61&gt;$D61," * La variable "&amp;AV$41&amp;" No puede ser mayor al Total Ambos Sexos.",""))</f>
        <v/>
      </c>
      <c r="CG61" s="196">
        <f>IF(AND($D61&gt;0,AW61="")," * No olvide digitar la variable Migrantes. Digite Cero si no tiene.",IF(AW61&gt;$D61," * La variable Migrantes No puede ser mayor al Total Ambos Sexos.",""))</f>
        <v/>
      </c>
      <c r="CH61" s="196">
        <f>IF(AND($D61&gt;0,AX61="")," * No olvide digitar la variable Persona con ingreso integral y condición crónica. Digite Cero si no tiene.",IF(AX61&gt;$D61," * La variable Persona con ingreso integral y condición crónica no puede ser mayor al Total Ambos Sexos.",""))</f>
        <v/>
      </c>
      <c r="CO61" s="197">
        <f>IF(AND((Y61+Z61)&gt;0,AQ61=""),1,IF(AQ61&gt;(Y61+Z61),1,0))</f>
        <v/>
      </c>
      <c r="CP61" s="197">
        <f>IF(AND($F61&gt;0,AR61=""),1,IF(AR61&gt;$F61,1,0))</f>
        <v/>
      </c>
      <c r="CQ61" s="197">
        <f>IF(AND((AK61+AL61)&gt;0,AS61=""),1,IF(AS61&gt;(AK61+AL61),1,0))</f>
        <v/>
      </c>
      <c r="CR61" s="197">
        <f>IF(AND($D61&gt;0,AT61=""),1,IF(AT61&gt;$D61,1,0))</f>
        <v/>
      </c>
      <c r="CS61" s="197">
        <f>IF(AND($D61&gt;0,AU61=""),1,IF(AU61&gt;$D61,1,0))</f>
        <v/>
      </c>
      <c r="CT61" s="197">
        <f>IF(AND($D61&gt;0,AV61=""),1,IF(AV61&gt;$D61,1,0))</f>
        <v/>
      </c>
      <c r="CU61" s="197">
        <f>IF(AND($D61&gt;0,AW61=""),1,IF(AW61&gt;$D61,1,0))</f>
        <v/>
      </c>
      <c r="CV61" s="197">
        <f>IF(AND(D61&gt;0,AX61=""),1,IF(AX61&gt;D61,1,0))</f>
        <v/>
      </c>
    </row>
    <row r="62" ht="15" customHeight="1" s="8286">
      <c r="A62" s="9669" t="n"/>
      <c r="B62" s="9639" t="n"/>
      <c r="C62" s="7828" t="inlineStr">
        <is>
          <t>28 y más</t>
        </is>
      </c>
      <c r="D62" s="1135">
        <f>SUM(E62+F62)</f>
        <v/>
      </c>
      <c r="E62" s="2775">
        <f>SUM(G62+I62+K62+M62+O62+Q62+S62+U62+W62+Y62+AA62+AC62+AE62+AG62+AI62+AK62+AM62+AO62)</f>
        <v/>
      </c>
      <c r="F62" s="2799">
        <f>SUM(H62+J62+L62+N62+P62+R62+T62+V62+X62+Z62+AB62+AD62+AF62+AH62+AJ62+AL62+AN62+AP62)</f>
        <v/>
      </c>
      <c r="G62" s="2776" t="n"/>
      <c r="H62" s="2800" t="n"/>
      <c r="I62" s="2776" t="n"/>
      <c r="J62" s="2800" t="n"/>
      <c r="K62" s="1269" t="n"/>
      <c r="L62" s="2778" t="n"/>
      <c r="M62" s="1269" t="n"/>
      <c r="N62" s="2778" t="n"/>
      <c r="O62" s="1269" t="n"/>
      <c r="P62" s="2778" t="n"/>
      <c r="Q62" s="1269" t="n"/>
      <c r="R62" s="2778" t="n"/>
      <c r="S62" s="1269" t="n"/>
      <c r="T62" s="2778" t="n"/>
      <c r="U62" s="1269" t="n"/>
      <c r="V62" s="2778" t="n"/>
      <c r="W62" s="1269" t="n"/>
      <c r="X62" s="2778" t="n"/>
      <c r="Y62" s="1269" t="n"/>
      <c r="Z62" s="2778" t="n"/>
      <c r="AA62" s="1269" t="n"/>
      <c r="AB62" s="2778" t="n"/>
      <c r="AC62" s="1269" t="n"/>
      <c r="AD62" s="2778" t="n"/>
      <c r="AE62" s="1269" t="n"/>
      <c r="AF62" s="2778" t="n"/>
      <c r="AG62" s="1269" t="n"/>
      <c r="AH62" s="2778" t="n"/>
      <c r="AI62" s="1269" t="n"/>
      <c r="AJ62" s="2778" t="n"/>
      <c r="AK62" s="1269" t="n"/>
      <c r="AL62" s="2778" t="n"/>
      <c r="AM62" s="1269" t="n"/>
      <c r="AN62" s="2778" t="n"/>
      <c r="AO62" s="1269" t="n"/>
      <c r="AP62" s="2782" t="n"/>
      <c r="AQ62" s="2783" t="n"/>
      <c r="AR62" s="1270" t="n"/>
      <c r="AS62" s="1270" t="n"/>
      <c r="AT62" s="2784" t="n"/>
      <c r="AU62" s="2785" t="n"/>
      <c r="AV62" s="2786" t="n"/>
      <c r="AW62" s="1270" t="n"/>
      <c r="AX62" s="1271" t="n"/>
      <c r="AY62">
        <f>CA62&amp;CB62&amp;CC62&amp;CD62&amp;CE62&amp;CF62&amp;CG62&amp;CH62</f>
        <v/>
      </c>
      <c r="CA62" s="196">
        <f>IF(AND((Y62+Z62)&gt;0,AQ62="")," * No olvide digitar la variable 12 años (incluido en el grupo de 10-14 años). Digite Cero si no tiene.",IF(AQ62&gt;(Y62+Z62),"* Las Consultas de 12 años (incluido en el grupo de 10-14 años) NO DEBEN ser mayor que el total de Consultas entre 10-14 años",""))</f>
        <v/>
      </c>
      <c r="CB62" s="196">
        <f>IF(AND($F62&gt;0,AR62="")," * No olvide digitar la variable Gestante. Digite cero si no tiene.",IF(AR62&gt;$F62," * La variable Gestante NO DEBEN ser mayor al Total de Mujeres. ",""))</f>
        <v/>
      </c>
      <c r="CC62" s="196">
        <f>IF(AND((AK62+AL62)&gt;0,AS62="")," * No olvide digitar la variable 60 años (incluido en grupos de 60-64 años). Digite Cero si no tiene.",IF(AS62&gt;(AK62+AL62)," * La variable 60 años (incluido en grupos de 60-64 años) NO DEBE ser mayor que el Total de consultas del grupo 60-64 años",""))</f>
        <v/>
      </c>
      <c r="CD62" s="196">
        <f>IF(AND(D62&gt;0,AT62="")," * No olvide digitar la variable Usuarios con Discapacidad. Digite Cero si no tiene.",IF(AT62&gt;D62," * La variable Usuarios con Discapacidad No puede ser mayor al Total Ambos Sexos.",""))</f>
        <v/>
      </c>
      <c r="CE62" s="196">
        <f>IF(AND(D62&gt;0,AU62="")," * No olvide digitar la variable "&amp;AU$41&amp;". Digite Cero si no tiene.",IF(AU62&gt;$D62," * La variable "&amp;AU$41&amp;" No puede ser mayor al Total Ambos Sexos.",""))</f>
        <v/>
      </c>
      <c r="CF62" s="196">
        <f>IF(AND($D62&gt;0,AV62="")," * No olvide digitar la variable "&amp;AV$41&amp;". Digite Cero si no tiene.",IF(AV62&gt;$D62," * La variable "&amp;AV$41&amp;" No puede ser mayor al Total Ambos Sexos.",""))</f>
        <v/>
      </c>
      <c r="CG62" s="196">
        <f>IF(AND($D62&gt;0,AW62="")," * No olvide digitar la variable Migrantes. Digite Cero si no tiene.",IF(AW62&gt;$D62," * La variable Migrantes No puede ser mayor al Total Ambos Sexos.",""))</f>
        <v/>
      </c>
      <c r="CH62" s="196">
        <f>IF(AND($D62&gt;0,AX62="")," * No olvide digitar la variable Persona con ingreso integral y condición crónica. Digite Cero si no tiene.",IF(AX62&gt;$D62," * La variable Persona con ingreso integral y condición crónica no puede ser mayor al Total Ambos Sexos.",""))</f>
        <v/>
      </c>
      <c r="CO62" s="197">
        <f>IF(AND((Y62+Z62)&gt;0,AQ62=""),1,IF(AQ62&gt;(Y62+Z62),1,0))</f>
        <v/>
      </c>
      <c r="CP62" s="197">
        <f>IF(AND($F62&gt;0,AR62=""),1,IF(AR62&gt;$F62,1,0))</f>
        <v/>
      </c>
      <c r="CQ62" s="197">
        <f>IF(AND((AK62+AL62)&gt;0,AS62=""),1,IF(AS62&gt;(AK62+AL62),1,0))</f>
        <v/>
      </c>
      <c r="CR62" s="197">
        <f>IF(AND($D62&gt;0,AT62=""),1,IF(AT62&gt;$D62,1,0))</f>
        <v/>
      </c>
      <c r="CS62" s="197">
        <f>IF(AND($D62&gt;0,AU62=""),1,IF(AU62&gt;$D62,1,0))</f>
        <v/>
      </c>
      <c r="CT62" s="197">
        <f>IF(AND($D62&gt;0,AV62=""),1,IF(AV62&gt;$D62,1,0))</f>
        <v/>
      </c>
      <c r="CU62" s="197">
        <f>IF(AND($D62&gt;0,AW62=""),1,IF(AW62&gt;$D62,1,0))</f>
        <v/>
      </c>
      <c r="CV62" s="197">
        <f>IF(AND(D62&gt;0,AX62=""),1,IF(AX62&gt;D62,1,0))</f>
        <v/>
      </c>
    </row>
    <row r="63" ht="15" customHeight="1" s="8286">
      <c r="A63" s="9240" t="inlineStr">
        <is>
          <t>TOTAL</t>
        </is>
      </c>
      <c r="B63" s="9584" t="n"/>
      <c r="C63" s="9647" t="n"/>
      <c r="D63" s="2748">
        <f>SUM(D58:D62)</f>
        <v/>
      </c>
      <c r="E63" s="2749">
        <f>SUM(E58:E62)</f>
        <v/>
      </c>
      <c r="F63" s="2801">
        <f>SUM(F58:F62)</f>
        <v/>
      </c>
      <c r="G63" s="2748">
        <f>SUM(G58:G62)</f>
        <v/>
      </c>
      <c r="H63" s="2787">
        <f>SUM(H58:H62)</f>
        <v/>
      </c>
      <c r="I63" s="2748">
        <f>SUM(I58:I62)</f>
        <v/>
      </c>
      <c r="J63" s="2787">
        <f>SUM(J58:J62)</f>
        <v/>
      </c>
      <c r="K63" s="2748">
        <f>SUM(K58:K62)</f>
        <v/>
      </c>
      <c r="L63" s="2787">
        <f>SUM(L58:L62)</f>
        <v/>
      </c>
      <c r="M63" s="2748">
        <f>SUM(M58:M62)</f>
        <v/>
      </c>
      <c r="N63" s="2787">
        <f>SUM(N58:N62)</f>
        <v/>
      </c>
      <c r="O63" s="2748">
        <f>SUM(O58:O62)</f>
        <v/>
      </c>
      <c r="P63" s="2787">
        <f>SUM(P58:P62)</f>
        <v/>
      </c>
      <c r="Q63" s="2748">
        <f>SUM(Q58:Q62)</f>
        <v/>
      </c>
      <c r="R63" s="2787">
        <f>SUM(R58:R62)</f>
        <v/>
      </c>
      <c r="S63" s="2748">
        <f>SUM(S58:S62)</f>
        <v/>
      </c>
      <c r="T63" s="2801">
        <f>SUM(T58:T62)</f>
        <v/>
      </c>
      <c r="U63" s="2748">
        <f>SUM(U58:U62)</f>
        <v/>
      </c>
      <c r="V63" s="2787">
        <f>SUM(V58:V62)</f>
        <v/>
      </c>
      <c r="W63" s="2748">
        <f>SUM(W58:W62)</f>
        <v/>
      </c>
      <c r="X63" s="2787">
        <f>SUM(X58:X62)</f>
        <v/>
      </c>
      <c r="Y63" s="2748">
        <f>SUM(Y58:Y62)</f>
        <v/>
      </c>
      <c r="Z63" s="2787">
        <f>SUM(Z58:Z62)</f>
        <v/>
      </c>
      <c r="AA63" s="2748">
        <f>SUM(AA58:AA62)</f>
        <v/>
      </c>
      <c r="AB63" s="2787">
        <f>SUM(AB58:AB62)</f>
        <v/>
      </c>
      <c r="AC63" s="2748">
        <f>SUM(AC58:AC62)</f>
        <v/>
      </c>
      <c r="AD63" s="2787">
        <f>SUM(AD58:AD62)</f>
        <v/>
      </c>
      <c r="AE63" s="2748">
        <f>SUM(AE58:AE62)</f>
        <v/>
      </c>
      <c r="AF63" s="2787">
        <f>SUM(AF58:AF62)</f>
        <v/>
      </c>
      <c r="AG63" s="2748">
        <f>SUM(AG58:AG62)</f>
        <v/>
      </c>
      <c r="AH63" s="2787">
        <f>SUM(AH58:AH62)</f>
        <v/>
      </c>
      <c r="AI63" s="2748">
        <f>SUM(AI58:AI62)</f>
        <v/>
      </c>
      <c r="AJ63" s="2787">
        <f>SUM(AJ58:AJ62)</f>
        <v/>
      </c>
      <c r="AK63" s="2748">
        <f>SUM(AK58:AK62)</f>
        <v/>
      </c>
      <c r="AL63" s="2787">
        <f>SUM(AL58:AL62)</f>
        <v/>
      </c>
      <c r="AM63" s="2748">
        <f>SUM(AM58:AM62)</f>
        <v/>
      </c>
      <c r="AN63" s="2787">
        <f>SUM(AN58:AN62)</f>
        <v/>
      </c>
      <c r="AO63" s="2748">
        <f>SUM(AO58:AO62)</f>
        <v/>
      </c>
      <c r="AP63" s="2788">
        <f>SUM(AP58:AP62)</f>
        <v/>
      </c>
      <c r="AQ63" s="2789">
        <f>SUM(AQ58:AQ62)</f>
        <v/>
      </c>
      <c r="AR63" s="2749">
        <f>SUM(AR58:AR62)</f>
        <v/>
      </c>
      <c r="AS63" s="2749">
        <f>SUM(AS58:AS62)</f>
        <v/>
      </c>
      <c r="AT63" s="2790">
        <f>SUM(AT58:AT62)</f>
        <v/>
      </c>
      <c r="AU63" s="2791">
        <f>SUM(AU58:AU62)</f>
        <v/>
      </c>
      <c r="AV63" s="2792">
        <f>SUM(AV58:AV62)</f>
        <v/>
      </c>
      <c r="AW63" s="2749">
        <f>SUM(AW58:AW62)</f>
        <v/>
      </c>
      <c r="AX63" s="2750">
        <f>SUM(AX58:AX62)</f>
        <v/>
      </c>
      <c r="CE63" s="20">
        <f>IF(AND(D63&gt;0,AU63="")," * No olvide digitar la variable "&amp;AU$41&amp;". Digite Cero si no tiene.",IF(AU63&gt;$D63," * La variable "&amp;AU$41&amp;" No puede ser mayor al Total Ambos Sexos.",""))</f>
        <v/>
      </c>
      <c r="CF63" s="20">
        <f>IF(AND($D63&gt;0,AV63="")," * No olvide digitar la variable "&amp;AV$41&amp;". Digite Cero si no tiene.",IF(AV63&gt;$D63," * La variable "&amp;AV$41&amp;" No puede ser mayor al Total Ambos Sexos.",""))</f>
        <v/>
      </c>
    </row>
    <row r="64" ht="15" customHeight="1" s="8286">
      <c r="A64" s="10226" t="inlineStr">
        <is>
          <t>Código examen periodontal básico (EPB)</t>
        </is>
      </c>
      <c r="B64" s="9630" t="n"/>
      <c r="C64" s="2656" t="n">
        <v>0</v>
      </c>
      <c r="D64" s="2768">
        <f>SUM(E64:F64)</f>
        <v/>
      </c>
      <c r="E64" s="2802">
        <f>SUM(AA64+AC64+AE64+AG64+AI64+AK64+AM64+AO64)</f>
        <v/>
      </c>
      <c r="F64" s="2803">
        <f>SUM(AB64+AD64+AF64+AH64+AJ64+AL64+AN64+AP64)</f>
        <v/>
      </c>
      <c r="G64" s="2804" t="n"/>
      <c r="H64" s="2805" t="n"/>
      <c r="I64" s="2806" t="n"/>
      <c r="J64" s="2805" t="n"/>
      <c r="K64" s="2806" t="n"/>
      <c r="L64" s="2805" t="n"/>
      <c r="M64" s="2806" t="n"/>
      <c r="N64" s="2805" t="n"/>
      <c r="O64" s="2806" t="n"/>
      <c r="P64" s="2805" t="n"/>
      <c r="Q64" s="2806" t="n"/>
      <c r="R64" s="2805" t="n"/>
      <c r="S64" s="2807" t="n"/>
      <c r="T64" s="2808" t="n"/>
      <c r="U64" s="2806" t="n"/>
      <c r="V64" s="2805" t="n"/>
      <c r="W64" s="2806" t="n"/>
      <c r="X64" s="2805" t="n"/>
      <c r="Y64" s="2806" t="n"/>
      <c r="Z64" s="2805" t="n"/>
      <c r="AA64" s="1260" t="n"/>
      <c r="AB64" s="2769" t="n"/>
      <c r="AC64" s="2809" t="n"/>
      <c r="AD64" s="2810" t="n"/>
      <c r="AE64" s="344" t="n"/>
      <c r="AF64" s="2811" t="n"/>
      <c r="AG64" s="344" t="n"/>
      <c r="AH64" s="2811" t="n"/>
      <c r="AI64" s="2771" t="n"/>
      <c r="AJ64" s="2769" t="n"/>
      <c r="AK64" s="1260" t="n"/>
      <c r="AL64" s="2769" t="n"/>
      <c r="AM64" s="2809" t="n"/>
      <c r="AN64" s="2810" t="n"/>
      <c r="AO64" s="2771" t="n"/>
      <c r="AP64" s="2721" t="n"/>
      <c r="AQ64" s="5201" t="n"/>
      <c r="AR64" s="1262" t="n"/>
      <c r="AS64" s="1262" t="n"/>
      <c r="AT64" s="2812" t="n"/>
      <c r="AU64" s="739" t="n"/>
      <c r="AV64" s="741" t="n"/>
      <c r="AW64" s="2813" t="n"/>
      <c r="AX64" s="2814" t="n"/>
      <c r="AY64">
        <f>CA64&amp;CB64&amp;CC64&amp;CD64&amp;CE64&amp;CF64&amp;CG64&amp;CH64</f>
        <v/>
      </c>
      <c r="CA64" s="5205" t="n"/>
      <c r="CB64" s="196">
        <f>IF(AND($F64&gt;0,AR64="")," * No olvide digitar la variable Gestante. Digite cero si no tiene.",IF(AR64&gt;$F64," * La variable Gestante NO DEBEN ser mayor al Total de Mujeres. ",""))</f>
        <v/>
      </c>
      <c r="CC64" s="196">
        <f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>
        <f>IF(AND(D64&gt;0,AT64="")," * No olvide digitar la variable Usuarios con Discapacidad. Digite Cero si no tiene.",IF(AT64&gt;D64," * La variable Usuarios con Discapacidad No puede ser mayor al Total Ambos Sexos.",""))</f>
        <v/>
      </c>
      <c r="CE64" s="196">
        <f>IF(AND(D64&gt;0,AU64="")," * No olvide digitar la variable "&amp;AU$41&amp;". Digite Cero si no tiene.",IF(AU64&gt;$D64," * La variable "&amp;AU$41&amp;" No puede ser mayor al Total Ambos Sexos.",""))</f>
        <v/>
      </c>
      <c r="CF64" s="196">
        <f>IF(AND($D64&gt;0,AV64="")," * No olvide digitar la variable "&amp;AV$41&amp;". Digite Cero si no tiene.",IF(AV64&gt;$D64," * La variable "&amp;AV$41&amp;" No puede ser mayor al Total Ambos Sexos.",""))</f>
        <v/>
      </c>
      <c r="CG64" s="196">
        <f>IF(AND($D64&gt;0,AW64="")," * No olvide digitar la variable Migrantes. Digite Cero si no tiene.",IF(AW64&gt;$D64," * La variable Migrantes No puede ser mayor al Total Ambos Sexos.",""))</f>
        <v/>
      </c>
      <c r="CH64" s="196">
        <f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 t="n"/>
      <c r="CP64" s="197">
        <f>IF(AND($F64&gt;0,AR64=""),1,IF(AR64&gt;$F64,1,0))</f>
        <v/>
      </c>
      <c r="CQ64" s="197">
        <f>IF(AND((AK64+AL64)&gt;0,AS64=""),1,IF(AS64&gt;(AK64+AL64),1,0))</f>
        <v/>
      </c>
      <c r="CR64" s="197">
        <f>IF(AND($D64&gt;0,AT64=""),1,IF(AT64&gt;$D64,1,0))</f>
        <v/>
      </c>
      <c r="CS64" s="197">
        <f>IF(AND($D64&gt;0,AU64=""),1,IF(AU64&gt;$D64,1,0))</f>
        <v/>
      </c>
      <c r="CT64" s="197">
        <f>IF(AND($D64&gt;0,AV64=""),1,IF(AV64&gt;$D64,1,0))</f>
        <v/>
      </c>
      <c r="CU64" s="197">
        <f>IF(AND($D64&gt;0,AW64=""),1,IF(AW64&gt;$D64,1,0))</f>
        <v/>
      </c>
      <c r="CV64" s="197">
        <f>IF(AND(D64&gt;0,AX64=""),1,IF(AX64&gt;D64,1,0))</f>
        <v/>
      </c>
    </row>
    <row r="65" ht="15" customHeight="1" s="8286">
      <c r="A65" s="642" t="n"/>
      <c r="B65" s="9718" t="n"/>
      <c r="C65" s="9301" t="inlineStr">
        <is>
          <t>1,2,3</t>
        </is>
      </c>
      <c r="D65" s="2768">
        <f>SUM(E65:F65)</f>
        <v/>
      </c>
      <c r="E65" s="2802">
        <f>SUM(AA65+AC65+AE65+AG65+AI65+AK65+AM65+AO65)</f>
        <v/>
      </c>
      <c r="F65" s="2803">
        <f>SUM(AB65+AD65+AF65+AH65+AJ65+AL65+AN65+AP65)</f>
        <v/>
      </c>
      <c r="G65" s="2815" t="n"/>
      <c r="H65" s="2816" t="n"/>
      <c r="I65" s="2815" t="n"/>
      <c r="J65" s="2816" t="n"/>
      <c r="K65" s="2815" t="n"/>
      <c r="L65" s="2816" t="n"/>
      <c r="M65" s="2815" t="n"/>
      <c r="N65" s="2816" t="n"/>
      <c r="O65" s="2815" t="n"/>
      <c r="P65" s="2816" t="n"/>
      <c r="Q65" s="2815" t="n"/>
      <c r="R65" s="2816" t="n"/>
      <c r="S65" s="2807" t="n"/>
      <c r="T65" s="2808" t="n"/>
      <c r="U65" s="2815" t="n"/>
      <c r="V65" s="2816" t="n"/>
      <c r="W65" s="2815" t="n"/>
      <c r="X65" s="2816" t="n"/>
      <c r="Y65" s="2815" t="n"/>
      <c r="Z65" s="2816" t="n"/>
      <c r="AA65" s="1260" t="n"/>
      <c r="AB65" s="2769" t="n"/>
      <c r="AC65" s="1260" t="n"/>
      <c r="AD65" s="2769" t="n"/>
      <c r="AE65" s="2771" t="n"/>
      <c r="AF65" s="2769" t="n"/>
      <c r="AG65" s="2771" t="n"/>
      <c r="AH65" s="2769" t="n"/>
      <c r="AI65" s="2771" t="n"/>
      <c r="AJ65" s="2769" t="n"/>
      <c r="AK65" s="1260" t="n"/>
      <c r="AL65" s="2769" t="n"/>
      <c r="AM65" s="1260" t="n"/>
      <c r="AN65" s="2769" t="n"/>
      <c r="AO65" s="2771" t="n"/>
      <c r="AP65" s="2772" t="n"/>
      <c r="AQ65" s="5202" t="n"/>
      <c r="AR65" s="1262" t="n"/>
      <c r="AS65" s="1262" t="n"/>
      <c r="AT65" s="2774" t="n"/>
      <c r="AU65" s="739" t="n"/>
      <c r="AV65" s="741" t="n"/>
      <c r="AW65" s="1262" t="n"/>
      <c r="AX65" s="1261" t="n"/>
      <c r="AY65">
        <f>CA65&amp;CB65&amp;CC65&amp;CD65&amp;CE65&amp;CF65&amp;CG65&amp;CH65</f>
        <v/>
      </c>
      <c r="CA65" s="5205" t="n"/>
      <c r="CB65" s="196">
        <f>IF(AND($F65&gt;0,AR65="")," * No olvide digitar la variable Gestante. Digite cero si no tiene.",IF(AR65&gt;$F65," * La variable Gestante NO DEBEN ser mayor al Total de Mujeres. ",""))</f>
        <v/>
      </c>
      <c r="CC65" s="196">
        <f>IF(AND((AK65+AL65)&gt;0,AS65="")," * No olvide digitar la variable 60 años (incluido en grupos de 60-64 años). Digite Cero si no tiene.",IF(AS65&gt;(AK65+AL65)," * La variable 60 años (incluido en grupos de 60-64 años) NO DEBE ser mayor que el Total de consultas del grupo 60-64 años",""))</f>
        <v/>
      </c>
      <c r="CD65" s="196">
        <f>IF(AND(D65&gt;0,AT65="")," * No olvide digitar la variable Usuarios con Discapacidad. Digite Cero si no tiene.",IF(AT65&gt;D65," * La variable Usuarios con Discapacidad No puede ser mayor al Total Ambos Sexos.",""))</f>
        <v/>
      </c>
      <c r="CE65" s="196">
        <f>IF(AND(D65&gt;0,AU65="")," * No olvide digitar la variable "&amp;AU$41&amp;". Digite Cero si no tiene.",IF(AU65&gt;$D65," * La variable "&amp;AU$41&amp;" No puede ser mayor al Total Ambos Sexos.",""))</f>
        <v/>
      </c>
      <c r="CF65" s="196">
        <f>IF(AND($D65&gt;0,AV65="")," * No olvide digitar la variable "&amp;AV$41&amp;". Digite Cero si no tiene.",IF(AV65&gt;$D65," * La variable "&amp;AV$41&amp;" No puede ser mayor al Total Ambos Sexos.",""))</f>
        <v/>
      </c>
      <c r="CG65" s="196">
        <f>IF(AND($D65&gt;0,AW65="")," * No olvide digitar la variable Migrantes. Digite Cero si no tiene.",IF(AW65&gt;$D65," * La variable Migrantes No puede ser mayor al Total Ambos Sexos.",""))</f>
        <v/>
      </c>
      <c r="CH65" s="196">
        <f>IF(AND($D65&gt;0,AX65="")," * No olvide digitar la variable Persona con ingreso integral y condición crónica. Digite Cero si no tiene.",IF(AX65&gt;$D65," * La variable Persona con ingreso integral y condición crónica no puede ser mayor al Total Ambos Sexos.",""))</f>
        <v/>
      </c>
      <c r="CO65" s="5205" t="n"/>
      <c r="CP65" s="197">
        <f>IF(AND($F65&gt;0,AR65=""),1,IF(AR65&gt;$F65,1,0))</f>
        <v/>
      </c>
      <c r="CQ65" s="197">
        <f>IF(AND((AK65+AL65)&gt;0,AS65=""),1,IF(AS65&gt;(AK65+AL65),1,0))</f>
        <v/>
      </c>
      <c r="CR65" s="197">
        <f>IF(AND($D65&gt;0,AT65=""),1,IF(AT65&gt;$D65,1,0))</f>
        <v/>
      </c>
      <c r="CS65" s="197">
        <f>IF(AND($D65&gt;0,AU65=""),1,IF(AU65&gt;$D65,1,0))</f>
        <v/>
      </c>
      <c r="CT65" s="197">
        <f>IF(AND($D65&gt;0,AV65=""),1,IF(AV65&gt;$D65,1,0))</f>
        <v/>
      </c>
      <c r="CU65" s="197">
        <f>IF(AND($D65&gt;0,AW65=""),1,IF(AW65&gt;$D65,1,0))</f>
        <v/>
      </c>
      <c r="CV65" s="197">
        <f>IF(AND(D65&gt;0,AX65=""),1,IF(AX65&gt;D65,1,0))</f>
        <v/>
      </c>
    </row>
    <row r="66" ht="15" customHeight="1" s="8286">
      <c r="A66" s="9638" t="n"/>
      <c r="B66" s="9639" t="n"/>
      <c r="C66" s="7828" t="inlineStr">
        <is>
          <t>4 y *</t>
        </is>
      </c>
      <c r="D66" s="2768">
        <f>SUM(E66:F66)</f>
        <v/>
      </c>
      <c r="E66" s="2802">
        <f>SUM(AA66+AC66+AE66+AG66+AI66+AK66+AM66+AO66)</f>
        <v/>
      </c>
      <c r="F66" s="2803">
        <f>SUM(AB66+AD66+AF66+AH66+AJ66+AL66+AN66+AP66)</f>
        <v/>
      </c>
      <c r="G66" s="2815" t="n"/>
      <c r="H66" s="2816" t="n"/>
      <c r="I66" s="2815" t="n"/>
      <c r="J66" s="2816" t="n"/>
      <c r="K66" s="2815" t="n"/>
      <c r="L66" s="2816" t="n"/>
      <c r="M66" s="2815" t="n"/>
      <c r="N66" s="2816" t="n"/>
      <c r="O66" s="2815" t="n"/>
      <c r="P66" s="2816" t="n"/>
      <c r="Q66" s="2815" t="n"/>
      <c r="R66" s="2816" t="n"/>
      <c r="S66" s="2807" t="n"/>
      <c r="T66" s="2808" t="n"/>
      <c r="U66" s="2815" t="n"/>
      <c r="V66" s="2816" t="n"/>
      <c r="W66" s="2815" t="n"/>
      <c r="X66" s="2816" t="n"/>
      <c r="Y66" s="2815" t="n"/>
      <c r="Z66" s="2816" t="n"/>
      <c r="AA66" s="1260" t="n"/>
      <c r="AB66" s="2769" t="n"/>
      <c r="AC66" s="1260" t="n"/>
      <c r="AD66" s="2769" t="n"/>
      <c r="AE66" s="2771" t="n"/>
      <c r="AF66" s="2769" t="n"/>
      <c r="AG66" s="2771" t="n"/>
      <c r="AH66" s="2769" t="n"/>
      <c r="AI66" s="2771" t="n"/>
      <c r="AJ66" s="2769" t="n"/>
      <c r="AK66" s="1260" t="n"/>
      <c r="AL66" s="2769" t="n"/>
      <c r="AM66" s="1269" t="n"/>
      <c r="AN66" s="2778" t="n"/>
      <c r="AO66" s="2771" t="n"/>
      <c r="AP66" s="2772" t="n"/>
      <c r="AQ66" s="5203" t="n"/>
      <c r="AR66" s="1262" t="n"/>
      <c r="AS66" s="1262" t="n"/>
      <c r="AT66" s="2774" t="n"/>
      <c r="AU66" s="739" t="n"/>
      <c r="AV66" s="741" t="n"/>
      <c r="AW66" s="1262" t="n"/>
      <c r="AX66" s="1261" t="n"/>
      <c r="AY66">
        <f>CA66&amp;CB66&amp;CC66&amp;CD66&amp;CE66&amp;CF66&amp;CG66&amp;CH66</f>
        <v/>
      </c>
      <c r="CA66" s="5205" t="n"/>
      <c r="CB66" s="196">
        <f>IF(AND($F66&gt;0,AR66="")," * No olvide digitar la variable Gestante. Digite cero si no tiene.",IF(AR66&gt;$F66," * La variable Gestante NO DEBEN ser mayor al Total de Mujeres. ",""))</f>
        <v/>
      </c>
      <c r="CC66" s="196">
        <f>IF(AND((AK66+AL66)&gt;0,AS66="")," * No olvide digitar la variable 60 años (incluido en grupos de 60-64 años). Digite Cero si no tiene.",IF(AS66&gt;(AK66+AL66)," * La variable 60 años (incluido en grupos de 60-64 años) NO DEBE ser mayor que el Total de consultas del grupo 60-64 años",""))</f>
        <v/>
      </c>
      <c r="CD66" s="196">
        <f>IF(AND(D66&gt;0,AT66="")," * No olvide digitar la variable Usuarios con Discapacidad. Digite Cero si no tiene.",IF(AT66&gt;D66," * La variable Usuarios con Discapacidad No puede ser mayor al Total Ambos Sexos.",""))</f>
        <v/>
      </c>
      <c r="CE66" s="196">
        <f>IF(AND(D66&gt;0,AU66="")," * No olvide digitar la variable "&amp;AU$41&amp;". Digite Cero si no tiene.",IF(AU66&gt;$D66," * La variable "&amp;AU$41&amp;" No puede ser mayor al Total Ambos Sexos.",""))</f>
        <v/>
      </c>
      <c r="CF66" s="196">
        <f>IF(AND($D66&gt;0,AV66="")," * No olvide digitar la variable "&amp;AV$41&amp;". Digite Cero si no tiene.",IF(AV66&gt;$D66," * La variable "&amp;AV$41&amp;" No puede ser mayor al Total Ambos Sexos.",""))</f>
        <v/>
      </c>
      <c r="CG66" s="196">
        <f>IF(AND($D66&gt;0,AW66="")," * No olvide digitar la variable Migrantes. Digite Cero si no tiene.",IF(AW66&gt;$D66," * La variable Migrantes No puede ser mayor al Total Ambos Sexos.",""))</f>
        <v/>
      </c>
      <c r="CH66" s="196">
        <f>IF(AND($D66&gt;0,AX66="")," * No olvide digitar la variable Persona con ingreso integral y condición crónica. Digite Cero si no tiene.",IF(AX66&gt;$D66," * La variable Persona con ingreso integral y condición crónica no puede ser mayor al Total Ambos Sexos.",""))</f>
        <v/>
      </c>
      <c r="CO66" s="5205" t="n"/>
      <c r="CP66" s="197">
        <f>IF(AND($F66&gt;0,AR66=""),1,IF(AR66&gt;$F66,1,0))</f>
        <v/>
      </c>
      <c r="CQ66" s="197">
        <f>IF(AND((AK66+AL66)&gt;0,AS66=""),1,IF(AS66&gt;(AK66+AL66),1,0))</f>
        <v/>
      </c>
      <c r="CR66" s="197">
        <f>IF(AND($D66&gt;0,AT66=""),1,IF(AT66&gt;$D66,1,0))</f>
        <v/>
      </c>
      <c r="CS66" s="197">
        <f>IF(AND($D66&gt;0,AU66=""),1,IF(AU66&gt;$D66,1,0))</f>
        <v/>
      </c>
      <c r="CT66" s="197">
        <f>IF(AND($D66&gt;0,AV66=""),1,IF(AV66&gt;$D66,1,0))</f>
        <v/>
      </c>
      <c r="CU66" s="197">
        <f>IF(AND($D66&gt;0,AW66=""),1,IF(AW66&gt;$D66,1,0))</f>
        <v/>
      </c>
      <c r="CV66" s="197">
        <f>IF(AND(D66&gt;0,AX66=""),1,IF(AX66&gt;D66,1,0))</f>
        <v/>
      </c>
    </row>
    <row r="67" ht="15" customHeight="1" s="8286">
      <c r="A67" s="7253" t="inlineStr">
        <is>
          <t>TOTAL</t>
        </is>
      </c>
      <c r="B67" s="9591" t="n"/>
      <c r="C67" s="9776" t="n"/>
      <c r="D67" s="2748">
        <f>SUM(D64:D66)</f>
        <v/>
      </c>
      <c r="E67" s="2749">
        <f>SUM(E64:E66)</f>
        <v/>
      </c>
      <c r="F67" s="2750">
        <f>SUM(F64:F66)</f>
        <v/>
      </c>
      <c r="G67" s="10227" t="n"/>
      <c r="H67" s="9584" t="n"/>
      <c r="I67" s="9584" t="n"/>
      <c r="J67" s="9584" t="n"/>
      <c r="K67" s="9584" t="n"/>
      <c r="L67" s="9584" t="n"/>
      <c r="M67" s="9584" t="n"/>
      <c r="N67" s="9584" t="n"/>
      <c r="O67" s="9584" t="n"/>
      <c r="P67" s="9584" t="n"/>
      <c r="Q67" s="9584" t="n"/>
      <c r="R67" s="9584" t="n"/>
      <c r="S67" s="9584" t="n"/>
      <c r="T67" s="9584" t="n"/>
      <c r="U67" s="9584" t="n"/>
      <c r="V67" s="9584" t="n"/>
      <c r="W67" s="9584" t="n"/>
      <c r="X67" s="9584" t="n"/>
      <c r="Y67" s="9584" t="n"/>
      <c r="Z67" s="9647" t="n"/>
      <c r="AA67" s="2748">
        <f>SUM(AA64:AA66)</f>
        <v/>
      </c>
      <c r="AB67" s="2750">
        <f>SUM(AB64:AB66)</f>
        <v/>
      </c>
      <c r="AC67" s="2748">
        <f>SUM(AC64:AC66)</f>
        <v/>
      </c>
      <c r="AD67" s="2801">
        <f>SUM(AD64:AD66)</f>
        <v/>
      </c>
      <c r="AE67" s="2787">
        <f>SUM(AE64:AE66)</f>
        <v/>
      </c>
      <c r="AF67" s="2801">
        <f>SUM(AF64:AF66)</f>
        <v/>
      </c>
      <c r="AG67" s="2787">
        <f>SUM(AG64:AG66)</f>
        <v/>
      </c>
      <c r="AH67" s="2801">
        <f>SUM(AH64:AH66)</f>
        <v/>
      </c>
      <c r="AI67" s="2787">
        <f>SUM(AI64:AI66)</f>
        <v/>
      </c>
      <c r="AJ67" s="2750">
        <f>SUM(AJ64:AJ66)</f>
        <v/>
      </c>
      <c r="AK67" s="2748">
        <f>SUM(AK64:AK66)</f>
        <v/>
      </c>
      <c r="AL67" s="2750">
        <f>SUM(AL64:AL66)</f>
        <v/>
      </c>
      <c r="AM67" s="2748">
        <f>SUM(AM64:AM66)</f>
        <v/>
      </c>
      <c r="AN67" s="2801">
        <f>SUM(AN64:AN66)</f>
        <v/>
      </c>
      <c r="AO67" s="2787">
        <f>SUM(AO64:AO66)</f>
        <v/>
      </c>
      <c r="AP67" s="2788">
        <f>SUM(AP64:AP66)</f>
        <v/>
      </c>
      <c r="AQ67" s="5204" t="n"/>
      <c r="AR67" s="2749">
        <f>SUM(AR64:AR66)</f>
        <v/>
      </c>
      <c r="AS67" s="2749">
        <f>SUM(AS64:AS66)</f>
        <v/>
      </c>
      <c r="AT67" s="2790">
        <f>SUM(AT64:AT66)</f>
        <v/>
      </c>
      <c r="AU67" s="2791">
        <f>SUM(AU64:AU66)</f>
        <v/>
      </c>
      <c r="AV67" s="2792">
        <f>SUM(AV64:AV66)</f>
        <v/>
      </c>
      <c r="AW67" s="2749">
        <f>SUM(AW64:AW66)</f>
        <v/>
      </c>
      <c r="AX67" s="2750">
        <f>SUM(AX64:AX66)</f>
        <v/>
      </c>
    </row>
    <row r="68" ht="18" customHeight="1" s="8286">
      <c r="A68" s="2" t="inlineStr">
        <is>
          <t xml:space="preserve">SECCIÓN D : INTERCONSULTAS Y PERTINENCIA SEGÚN ORIGEN EN ESTABLECIMIENTOS DE LA RED </t>
        </is>
      </c>
      <c r="B68" s="350" t="n"/>
      <c r="C68" s="350" t="n"/>
      <c r="D68" s="351" t="n"/>
      <c r="E68" s="3" t="n"/>
      <c r="F68" s="8337" t="n"/>
      <c r="G68" s="8337" t="n"/>
      <c r="H68" s="8337" t="n"/>
      <c r="I68" s="8337" t="n"/>
      <c r="J68" s="8337" t="n"/>
    </row>
    <row r="69">
      <c r="A69" s="10004" t="inlineStr">
        <is>
          <t>ESPECIALIDAD</t>
        </is>
      </c>
      <c r="B69" s="9602" t="n"/>
      <c r="C69" s="9630" t="n"/>
      <c r="D69" s="10228" t="inlineStr">
        <is>
          <t xml:space="preserve">INTERCONSULTAS GENERADAS SEGÚN ORIGEN </t>
        </is>
      </c>
      <c r="E69" s="9584" t="n"/>
      <c r="F69" s="9584" t="n"/>
      <c r="G69" s="9584" t="n"/>
      <c r="H69" s="9647" t="n"/>
      <c r="I69" s="10229" t="inlineStr">
        <is>
          <t xml:space="preserve">PERTINENCIA ORIGEN </t>
        </is>
      </c>
      <c r="J69" s="9584" t="n"/>
      <c r="K69" s="9584" t="n"/>
      <c r="L69" s="9584" t="n"/>
      <c r="M69" s="9595" t="n"/>
      <c r="N69" s="10230" t="inlineStr">
        <is>
          <t>Priorización destino</t>
        </is>
      </c>
    </row>
    <row r="70" ht="22.5" customHeight="1" s="8286">
      <c r="A70" s="9638" t="n"/>
      <c r="B70" s="9697" t="n"/>
      <c r="C70" s="9639" t="n"/>
      <c r="D70" s="2817" t="inlineStr">
        <is>
          <t>Total</t>
        </is>
      </c>
      <c r="E70" s="2818" t="inlineStr">
        <is>
          <t>APS</t>
        </is>
      </c>
      <c r="F70" s="8295" t="inlineStr">
        <is>
          <t xml:space="preserve">Especialidades </t>
        </is>
      </c>
      <c r="G70" s="352" t="inlineStr">
        <is>
          <t>Hospitalizado</t>
        </is>
      </c>
      <c r="H70" s="8492" t="inlineStr">
        <is>
          <t>Urgencia</t>
        </is>
      </c>
      <c r="I70" s="2817" t="inlineStr">
        <is>
          <t>Total</t>
        </is>
      </c>
      <c r="J70" s="2818" t="inlineStr">
        <is>
          <t>APS</t>
        </is>
      </c>
      <c r="K70" s="8295" t="inlineStr">
        <is>
          <t xml:space="preserve">Especialidades </t>
        </is>
      </c>
      <c r="L70" s="352" t="inlineStr">
        <is>
          <t>Hospitalizado</t>
        </is>
      </c>
      <c r="M70" s="354" t="inlineStr">
        <is>
          <t>Urgencia</t>
        </is>
      </c>
      <c r="N70" s="9641" t="n"/>
    </row>
    <row r="71" ht="15" customHeight="1" s="8286">
      <c r="A71" s="10231" t="inlineStr">
        <is>
          <t xml:space="preserve">Endodoncia </t>
        </is>
      </c>
      <c r="B71" s="9754" t="n"/>
      <c r="C71" s="9754" t="n"/>
      <c r="D71" s="2819">
        <f>SUM(E71:H71)</f>
        <v/>
      </c>
      <c r="E71" s="2820" t="n">
        <v>16</v>
      </c>
      <c r="F71" s="2821" t="n">
        <v>0</v>
      </c>
      <c r="G71" s="2821" t="n">
        <v>0</v>
      </c>
      <c r="H71" s="2822" t="n">
        <v>0</v>
      </c>
      <c r="I71" s="663">
        <f>SUM(J71:M71)</f>
        <v/>
      </c>
      <c r="J71" s="2820" t="n">
        <v>0</v>
      </c>
      <c r="K71" s="2821" t="n">
        <v>0</v>
      </c>
      <c r="L71" s="2821" t="n">
        <v>0</v>
      </c>
      <c r="M71" s="2823" t="n">
        <v>0</v>
      </c>
      <c r="N71" s="2019" t="n">
        <v>0</v>
      </c>
      <c r="O71">
        <f>CA71&amp;CB71</f>
        <v/>
      </c>
      <c r="CA71" s="196">
        <f>IF(I71&gt;D71," * El Total de "&amp;I$69&amp;" No puede ser mayor al Total de "&amp;D$69&amp;".","")</f>
        <v/>
      </c>
      <c r="CO71" s="199">
        <f>IF(I71&gt;D71,1,0)</f>
        <v/>
      </c>
    </row>
    <row r="72" ht="15" customHeight="1" s="8286">
      <c r="A72" s="10232" t="inlineStr">
        <is>
          <t xml:space="preserve">Rehabilitación Oral </t>
        </is>
      </c>
      <c r="B72" s="10233" t="inlineStr">
        <is>
          <t xml:space="preserve">Prótesis removibles </t>
        </is>
      </c>
      <c r="C72" s="10208" t="n"/>
      <c r="D72" s="1362">
        <f>SUM(E72:H72)</f>
        <v/>
      </c>
      <c r="E72" s="1179" t="n">
        <v>26</v>
      </c>
      <c r="F72" s="1228" t="n">
        <v>0</v>
      </c>
      <c r="G72" s="1228" t="n">
        <v>0</v>
      </c>
      <c r="H72" s="1183" t="n">
        <v>0</v>
      </c>
      <c r="I72" s="2768">
        <f>SUM(J72:M72)</f>
        <v/>
      </c>
      <c r="J72" s="1179" t="n">
        <v>0</v>
      </c>
      <c r="K72" s="1228" t="n">
        <v>0</v>
      </c>
      <c r="L72" s="1228" t="n">
        <v>0</v>
      </c>
      <c r="M72" s="1185" t="n">
        <v>0</v>
      </c>
      <c r="N72" s="1180" t="n">
        <v>0</v>
      </c>
      <c r="O72">
        <f>CA72&amp;CB72</f>
        <v/>
      </c>
      <c r="CA72" s="196">
        <f>IF(I72&gt;D72," * El Total de PERTINENCIA ORIGEN  No puede ser mayor al Total Interconsultas generadas.","")</f>
        <v/>
      </c>
      <c r="CO72" s="199">
        <f>IF(I72&gt;D72,1,0)</f>
        <v/>
      </c>
    </row>
    <row r="73" ht="15" customHeight="1" s="8286">
      <c r="A73" s="10234" t="n"/>
      <c r="B73" s="10233" t="inlineStr">
        <is>
          <t xml:space="preserve">Prótesis fija </t>
        </is>
      </c>
      <c r="C73" s="10208" t="n"/>
      <c r="D73" s="1362">
        <f>SUM(E73:H73)</f>
        <v/>
      </c>
      <c r="E73" s="1172" t="n">
        <v>3</v>
      </c>
      <c r="F73" s="2001" t="n">
        <v>0</v>
      </c>
      <c r="G73" s="2001" t="n">
        <v>0</v>
      </c>
      <c r="H73" s="886" t="n">
        <v>0</v>
      </c>
      <c r="I73" s="2768">
        <f>SUM(J73:M73)</f>
        <v/>
      </c>
      <c r="J73" s="1172" t="n">
        <v>0</v>
      </c>
      <c r="K73" s="2001" t="n">
        <v>0</v>
      </c>
      <c r="L73" s="2001" t="n">
        <v>0</v>
      </c>
      <c r="M73" s="1929" t="n">
        <v>0</v>
      </c>
      <c r="N73" s="1173" t="n">
        <v>0</v>
      </c>
      <c r="O73">
        <f>CA73&amp;CB73</f>
        <v/>
      </c>
      <c r="CA73" s="196">
        <f>IF(I73&gt;D73," * El Total de PERTINENCIA ORIGEN  No puede ser mayor al Total Interconsultas generadas.","")</f>
        <v/>
      </c>
      <c r="CO73" s="199">
        <f>IF(I73&gt;D73,1,0)</f>
        <v/>
      </c>
    </row>
    <row r="74" ht="15" customHeight="1" s="8286">
      <c r="A74" s="10233" t="inlineStr">
        <is>
          <t xml:space="preserve">Cirugía y Traumatología Maxilofacial </t>
        </is>
      </c>
      <c r="B74" s="10208" t="n"/>
      <c r="C74" s="10208" t="n"/>
      <c r="D74" s="1362">
        <f>SUM(E74:H74)</f>
        <v/>
      </c>
      <c r="E74" s="1172" t="n">
        <v>23</v>
      </c>
      <c r="F74" s="2001" t="n">
        <v>0</v>
      </c>
      <c r="G74" s="2001" t="n">
        <v>0</v>
      </c>
      <c r="H74" s="886" t="n">
        <v>0</v>
      </c>
      <c r="I74" s="2768">
        <f>SUM(J74:M74)</f>
        <v/>
      </c>
      <c r="J74" s="1172" t="n">
        <v>0</v>
      </c>
      <c r="K74" s="2001" t="n">
        <v>0</v>
      </c>
      <c r="L74" s="2001" t="n">
        <v>0</v>
      </c>
      <c r="M74" s="1929" t="n">
        <v>0</v>
      </c>
      <c r="N74" s="1173" t="n">
        <v>0</v>
      </c>
      <c r="O74">
        <f>CA74&amp;CB74</f>
        <v/>
      </c>
      <c r="CA74" s="196">
        <f>IF(I74&gt;D74," * El Total de PERTINENCIA ORIGEN  No puede ser mayor al Total Interconsultas generadas.","")</f>
        <v/>
      </c>
      <c r="CO74" s="199">
        <f>IF(I74&gt;D74,1,0)</f>
        <v/>
      </c>
    </row>
    <row r="75" ht="15" customHeight="1" s="8286">
      <c r="A75" s="8372" t="inlineStr">
        <is>
          <t xml:space="preserve">Odontopediatría </t>
        </is>
      </c>
      <c r="B75" s="9758" t="n"/>
      <c r="C75" s="9758" t="n"/>
      <c r="D75" s="1362">
        <f>SUM(E75:H75)</f>
        <v/>
      </c>
      <c r="E75" s="1172" t="n">
        <v>0</v>
      </c>
      <c r="F75" s="2001" t="n">
        <v>0</v>
      </c>
      <c r="G75" s="2001" t="n">
        <v>0</v>
      </c>
      <c r="H75" s="886" t="n">
        <v>0</v>
      </c>
      <c r="I75" s="2768">
        <f>SUM(J75:M75)</f>
        <v/>
      </c>
      <c r="J75" s="1172" t="n">
        <v>0</v>
      </c>
      <c r="K75" s="2001" t="n">
        <v>0</v>
      </c>
      <c r="L75" s="2001" t="n">
        <v>0</v>
      </c>
      <c r="M75" s="1929" t="n">
        <v>0</v>
      </c>
      <c r="N75" s="1173" t="n">
        <v>0</v>
      </c>
      <c r="O75">
        <f>CA75&amp;CB75</f>
        <v/>
      </c>
      <c r="CA75" s="196">
        <f>IF(I75&gt;D75," * El Total de PERTINENCIA ORIGEN  No puede ser mayor al Total Interconsultas generadas.","")</f>
        <v/>
      </c>
      <c r="CO75" s="199">
        <f>IF(I75&gt;D75,1,0)</f>
        <v/>
      </c>
    </row>
    <row r="76" ht="15" customHeight="1" s="8286">
      <c r="A76" s="10233" t="inlineStr">
        <is>
          <t xml:space="preserve">Ortodoncia y Ortopedia Dentomaxilofacial </t>
        </is>
      </c>
      <c r="B76" s="10208" t="n"/>
      <c r="C76" s="10208" t="n"/>
      <c r="D76" s="1362">
        <f>SUM(E76:H76)</f>
        <v/>
      </c>
      <c r="E76" s="1172" t="n">
        <v>14</v>
      </c>
      <c r="F76" s="2001" t="n">
        <v>0</v>
      </c>
      <c r="G76" s="2001" t="n">
        <v>0</v>
      </c>
      <c r="H76" s="886" t="n">
        <v>0</v>
      </c>
      <c r="I76" s="2768">
        <f>SUM(J76:M76)</f>
        <v/>
      </c>
      <c r="J76" s="1172" t="n">
        <v>0</v>
      </c>
      <c r="K76" s="2001" t="n">
        <v>0</v>
      </c>
      <c r="L76" s="2001" t="n">
        <v>0</v>
      </c>
      <c r="M76" s="1929" t="n">
        <v>0</v>
      </c>
      <c r="N76" s="1173" t="n">
        <v>0</v>
      </c>
      <c r="O76">
        <f>CA76&amp;CB76</f>
        <v/>
      </c>
      <c r="CA76" s="196">
        <f>IF(I76&gt;D76," * El Total de PERTINENCIA ORIGEN  No puede ser mayor al Total Interconsultas generadas.","")</f>
        <v/>
      </c>
      <c r="CO76" s="199">
        <f>IF(I76&gt;D76,1,0)</f>
        <v/>
      </c>
    </row>
    <row r="77" ht="15" customHeight="1" s="8286">
      <c r="A77" s="8372" t="inlineStr">
        <is>
          <t xml:space="preserve">Periodoncia </t>
        </is>
      </c>
      <c r="B77" s="9758" t="n"/>
      <c r="C77" s="9758" t="n"/>
      <c r="D77" s="1362">
        <f>SUM(E77:H77)</f>
        <v/>
      </c>
      <c r="E77" s="1172" t="n">
        <v>10</v>
      </c>
      <c r="F77" s="2001" t="n">
        <v>0</v>
      </c>
      <c r="G77" s="2001" t="n">
        <v>0</v>
      </c>
      <c r="H77" s="886" t="n">
        <v>0</v>
      </c>
      <c r="I77" s="2768">
        <f>SUM(J77:M77)</f>
        <v/>
      </c>
      <c r="J77" s="1172" t="n">
        <v>0</v>
      </c>
      <c r="K77" s="2001" t="n">
        <v>0</v>
      </c>
      <c r="L77" s="2001" t="n">
        <v>0</v>
      </c>
      <c r="M77" s="1929" t="n">
        <v>0</v>
      </c>
      <c r="N77" s="1173" t="n">
        <v>0</v>
      </c>
      <c r="O77">
        <f>CA77&amp;CB77</f>
        <v/>
      </c>
      <c r="CA77" s="196">
        <f>IF(I77&gt;D77," * El Total de PERTINENCIA ORIGEN  No puede ser mayor al Total Interconsultas generadas.","")</f>
        <v/>
      </c>
      <c r="CO77" s="199">
        <f>IF(I77&gt;D77,1,0)</f>
        <v/>
      </c>
    </row>
    <row r="78" ht="15" customHeight="1" s="8286">
      <c r="A78" s="10233" t="inlineStr">
        <is>
          <t xml:space="preserve">Patología oral </t>
        </is>
      </c>
      <c r="B78" s="10208" t="n"/>
      <c r="C78" s="10208" t="n"/>
      <c r="D78" s="1362">
        <f>SUM(E78:H78)</f>
        <v/>
      </c>
      <c r="E78" s="1172" t="n">
        <v>0</v>
      </c>
      <c r="F78" s="2001" t="n">
        <v>0</v>
      </c>
      <c r="G78" s="2001" t="n">
        <v>0</v>
      </c>
      <c r="H78" s="886" t="n">
        <v>0</v>
      </c>
      <c r="I78" s="2768">
        <f>SUM(J78:M78)</f>
        <v/>
      </c>
      <c r="J78" s="1172" t="n">
        <v>0</v>
      </c>
      <c r="K78" s="2001" t="n">
        <v>0</v>
      </c>
      <c r="L78" s="2001" t="n">
        <v>0</v>
      </c>
      <c r="M78" s="1929" t="n">
        <v>0</v>
      </c>
      <c r="N78" s="1173" t="n">
        <v>0</v>
      </c>
      <c r="O78">
        <f>CA78&amp;CB78</f>
        <v/>
      </c>
      <c r="CA78" s="196">
        <f>IF(I78&gt;D78," * El Total de PERTINENCIA ORIGEN  No puede ser mayor al Total Interconsultas generadas.","")</f>
        <v/>
      </c>
      <c r="CO78" s="199">
        <f>IF(I78&gt;D78,1,0)</f>
        <v/>
      </c>
    </row>
    <row r="79" ht="15" customHeight="1" s="8286">
      <c r="A79" s="10233" t="inlineStr">
        <is>
          <t xml:space="preserve">Implantología buco Maxilofacial </t>
        </is>
      </c>
      <c r="B79" s="10208" t="n"/>
      <c r="C79" s="10208" t="n"/>
      <c r="D79" s="1362">
        <f>SUM(E79:H79)</f>
        <v/>
      </c>
      <c r="E79" s="1172" t="n">
        <v>0</v>
      </c>
      <c r="F79" s="2001" t="n">
        <v>0</v>
      </c>
      <c r="G79" s="2001" t="n">
        <v>0</v>
      </c>
      <c r="H79" s="886" t="n">
        <v>0</v>
      </c>
      <c r="I79" s="2768">
        <f>SUM(J79:M79)</f>
        <v/>
      </c>
      <c r="J79" s="1172" t="n">
        <v>0</v>
      </c>
      <c r="K79" s="2001" t="n">
        <v>0</v>
      </c>
      <c r="L79" s="2001" t="n">
        <v>0</v>
      </c>
      <c r="M79" s="1929" t="n">
        <v>0</v>
      </c>
      <c r="N79" s="1173" t="n">
        <v>0</v>
      </c>
      <c r="O79">
        <f>CA79&amp;CB79</f>
        <v/>
      </c>
      <c r="CA79" s="196">
        <f>IF(I79&gt;D79," * El Total de PERTINENCIA ORIGEN  No puede ser mayor al Total Interconsultas generadas.","")</f>
        <v/>
      </c>
      <c r="CO79" s="199">
        <f>IF(I79&gt;D79,1,0)</f>
        <v/>
      </c>
    </row>
    <row r="80" ht="15" customHeight="1" s="8286">
      <c r="A80" s="10233" t="inlineStr">
        <is>
          <t xml:space="preserve">Trastornos temporomandibulares y dolor orofacial </t>
        </is>
      </c>
      <c r="B80" s="10208" t="n"/>
      <c r="C80" s="10208" t="n"/>
      <c r="D80" s="1362">
        <f>SUM(E80:H80)</f>
        <v/>
      </c>
      <c r="E80" s="1172" t="n">
        <v>7</v>
      </c>
      <c r="F80" s="2001" t="n">
        <v>0</v>
      </c>
      <c r="G80" s="2001" t="n">
        <v>0</v>
      </c>
      <c r="H80" s="886" t="n">
        <v>0</v>
      </c>
      <c r="I80" s="2768">
        <f>SUM(J80:M80)</f>
        <v/>
      </c>
      <c r="J80" s="1172" t="n">
        <v>0</v>
      </c>
      <c r="K80" s="2001" t="n">
        <v>0</v>
      </c>
      <c r="L80" s="2001" t="n">
        <v>0</v>
      </c>
      <c r="M80" s="1929" t="n">
        <v>0</v>
      </c>
      <c r="N80" s="1173" t="n">
        <v>0</v>
      </c>
      <c r="O80">
        <f>CA80&amp;CB80</f>
        <v/>
      </c>
      <c r="CA80" s="196">
        <f>IF(I80&gt;D80," * El Total de PERTINENCIA ORIGEN  No puede ser mayor al Total Interconsultas generadas.","")</f>
        <v/>
      </c>
      <c r="CO80" s="199">
        <f>IF(I80&gt;D80,1,0)</f>
        <v/>
      </c>
    </row>
    <row r="81" ht="15" customHeight="1" s="8286">
      <c r="A81" s="10235" t="inlineStr">
        <is>
          <t xml:space="preserve">Somatoprótesis </t>
        </is>
      </c>
      <c r="B81" s="9817" t="n"/>
      <c r="C81" s="9817" t="n"/>
      <c r="D81" s="1268">
        <f>SUM(E81:H81)</f>
        <v/>
      </c>
      <c r="E81" s="1188" t="n">
        <v>0</v>
      </c>
      <c r="F81" s="1118" t="n">
        <v>0</v>
      </c>
      <c r="G81" s="1118" t="n">
        <v>0</v>
      </c>
      <c r="H81" s="1119" t="n">
        <v>0</v>
      </c>
      <c r="I81" s="1268">
        <f>SUM(J81:M81)</f>
        <v/>
      </c>
      <c r="J81" s="1188" t="n">
        <v>0</v>
      </c>
      <c r="K81" s="1118" t="n">
        <v>0</v>
      </c>
      <c r="L81" s="1118" t="n">
        <v>0</v>
      </c>
      <c r="M81" s="1224" t="n">
        <v>0</v>
      </c>
      <c r="N81" s="1192" t="n">
        <v>0</v>
      </c>
      <c r="O81">
        <f>CA81&amp;CB81</f>
        <v/>
      </c>
      <c r="CA81" s="196">
        <f>IF(I81&gt;D81," * El Total de PERTINENCIA ORIGEN  No puede ser mayor al Total Interconsultas generadas.","")</f>
        <v/>
      </c>
      <c r="CO81" s="199">
        <f>IF(I81&gt;D81,1,0)</f>
        <v/>
      </c>
    </row>
    <row r="82" ht="18" customHeight="1" s="8286">
      <c r="A82" s="8744" t="inlineStr">
        <is>
          <t>SECCIÓN E: CONSULTAS ODONTOLÓGICAS  EN HORARIO CONTINUADO (Incluidas en  Secciones A y B. Excluye extensiones horarias de Sección G )</t>
        </is>
      </c>
    </row>
    <row r="83" ht="15" customHeight="1" s="8286">
      <c r="A83" s="10004" t="inlineStr">
        <is>
          <t>JORNADA</t>
        </is>
      </c>
      <c r="B83" s="9602" t="n"/>
      <c r="C83" s="9630" t="n"/>
      <c r="D83" s="4505" t="inlineStr">
        <is>
          <t>Consultas</t>
        </is>
      </c>
      <c r="E83" s="9584" t="n"/>
      <c r="F83" s="9647" t="n"/>
    </row>
    <row r="84" ht="15" customHeight="1" s="8286">
      <c r="A84" s="9638" t="n"/>
      <c r="B84" s="9697" t="n"/>
      <c r="C84" s="9639" t="n"/>
      <c r="D84" s="2680" t="inlineStr">
        <is>
          <t>TOTAL</t>
        </is>
      </c>
      <c r="E84" s="2695" t="inlineStr">
        <is>
          <t>Hombres</t>
        </is>
      </c>
      <c r="F84" s="2824" t="inlineStr">
        <is>
          <t>Mujeres</t>
        </is>
      </c>
    </row>
    <row r="85" ht="15" customHeight="1" s="8286">
      <c r="A85" s="10236" t="inlineStr">
        <is>
          <t xml:space="preserve"> Horario continuado </t>
        </is>
      </c>
      <c r="B85" s="10237" t="inlineStr">
        <is>
          <t>Vespertina (lunes-viernes)</t>
        </is>
      </c>
      <c r="C85" s="9643" t="n"/>
      <c r="D85" s="1170">
        <f>SUM(E85+F85)</f>
        <v/>
      </c>
      <c r="E85" s="1935" t="n"/>
      <c r="F85" s="755" t="n"/>
    </row>
    <row r="86" ht="15" customHeight="1" s="8286">
      <c r="A86" s="9589" t="n"/>
      <c r="B86" s="9944" t="inlineStr">
        <is>
          <t>Sábado, domingo o festivo</t>
        </is>
      </c>
      <c r="C86" s="9720" t="n"/>
      <c r="D86" s="1117">
        <f>SUM(E86+F86)</f>
        <v/>
      </c>
      <c r="E86" s="1188" t="n"/>
      <c r="F86" s="1119" t="n"/>
    </row>
    <row r="87" ht="18" customHeight="1" s="8286">
      <c r="A87" s="2" t="inlineStr">
        <is>
          <t>SECCIÓN F:  ACTIVIDADES DE ATENCIÓN EN ESPECIALIDADES ODONTOLÓGICAS</t>
        </is>
      </c>
      <c r="B87" s="355" t="n"/>
      <c r="C87" s="355" t="n"/>
      <c r="D87" s="8" t="n"/>
      <c r="E87" s="8" t="n"/>
      <c r="F87" s="8" t="n"/>
      <c r="G87" s="8" t="n"/>
      <c r="H87" s="8" t="n"/>
      <c r="I87" s="8" t="n"/>
      <c r="J87" s="8" t="n"/>
      <c r="K87" s="8" t="n"/>
      <c r="L87" s="8" t="n"/>
      <c r="M87" s="8" t="n"/>
      <c r="N87" s="8" t="n"/>
      <c r="O87" s="8" t="n"/>
      <c r="P87" s="8" t="n"/>
      <c r="Q87" s="8" t="n"/>
      <c r="R87" s="8" t="n"/>
      <c r="S87" s="8" t="n"/>
      <c r="T87" s="8" t="n"/>
      <c r="U87" s="8" t="n"/>
      <c r="V87" s="8" t="n"/>
      <c r="W87" s="8" t="n"/>
      <c r="X87" s="8" t="n"/>
      <c r="Y87" s="8" t="n"/>
      <c r="Z87" s="8" t="n"/>
      <c r="AA87" s="8" t="n"/>
      <c r="AB87" s="8" t="n"/>
      <c r="AC87" s="8" t="n"/>
      <c r="AD87" s="8" t="n"/>
      <c r="AE87" s="8" t="n"/>
      <c r="AF87" s="8" t="n"/>
      <c r="AG87" s="8" t="n"/>
      <c r="AH87" s="8" t="n"/>
      <c r="AI87" s="8" t="n"/>
      <c r="AJ87" s="8" t="n"/>
      <c r="AK87" s="8" t="n"/>
      <c r="AL87" s="8" t="n"/>
      <c r="AM87" s="8" t="n"/>
      <c r="AN87" s="8" t="n"/>
      <c r="AO87" s="8" t="n"/>
      <c r="AP87" s="8" t="n"/>
      <c r="AQ87" s="8" t="n"/>
      <c r="AR87" s="8" t="n"/>
      <c r="AS87" s="8" t="n"/>
      <c r="AT87" s="8" t="n"/>
      <c r="AU87" s="8" t="n"/>
      <c r="AV87" s="8" t="n"/>
      <c r="AW87" s="8" t="n"/>
    </row>
    <row r="88" ht="15" customHeight="1" s="8286">
      <c r="A88" s="10199" t="inlineStr">
        <is>
          <t>ACTIVIDADES DE ESPECIALIDADES</t>
        </is>
      </c>
      <c r="B88" s="9602" t="n"/>
      <c r="C88" s="9630" t="n"/>
      <c r="D88" s="10004" t="inlineStr">
        <is>
          <t>TOTAL</t>
        </is>
      </c>
      <c r="E88" s="9602" t="n"/>
      <c r="F88" s="9630" t="n"/>
      <c r="G88" s="9976" t="inlineStr">
        <is>
          <t>RANGO ETARIO Y SEXO</t>
        </is>
      </c>
      <c r="H88" s="9584" t="n"/>
      <c r="I88" s="9584" t="n"/>
      <c r="J88" s="9584" t="n"/>
      <c r="K88" s="9584" t="n"/>
      <c r="L88" s="9584" t="n"/>
      <c r="M88" s="9584" t="n"/>
      <c r="N88" s="9584" t="n"/>
      <c r="O88" s="9584" t="n"/>
      <c r="P88" s="9584" t="n"/>
      <c r="Q88" s="9584" t="n"/>
      <c r="R88" s="9584" t="n"/>
      <c r="S88" s="9584" t="n"/>
      <c r="T88" s="9584" t="n"/>
      <c r="U88" s="9584" t="n"/>
      <c r="V88" s="9584" t="n"/>
      <c r="W88" s="9584" t="n"/>
      <c r="X88" s="9584" t="n"/>
      <c r="Y88" s="9584" t="n"/>
      <c r="Z88" s="9584" t="n"/>
      <c r="AA88" s="9584" t="n"/>
      <c r="AB88" s="9584" t="n"/>
      <c r="AC88" s="9584" t="n"/>
      <c r="AD88" s="9584" t="n"/>
      <c r="AE88" s="9584" t="n"/>
      <c r="AF88" s="9584" t="n"/>
      <c r="AG88" s="9584" t="n"/>
      <c r="AH88" s="9584" t="n"/>
      <c r="AI88" s="9584" t="n"/>
      <c r="AJ88" s="9584" t="n"/>
      <c r="AK88" s="9584" t="n"/>
      <c r="AL88" s="9584" t="n"/>
      <c r="AM88" s="9584" t="n"/>
      <c r="AN88" s="9595" t="n"/>
      <c r="AO88" s="3888" t="inlineStr">
        <is>
          <t>12 años (incluidos en  grupo de 10-14 años)</t>
        </is>
      </c>
      <c r="AP88" s="9499" t="inlineStr">
        <is>
          <t xml:space="preserve">Gestantes </t>
        </is>
      </c>
      <c r="AQ88" s="9981" t="inlineStr">
        <is>
          <t xml:space="preserve"> Atención bajo sedación inhalatoria (con óxido nitroso)</t>
        </is>
      </c>
      <c r="AR88" s="9981" t="inlineStr">
        <is>
          <t>60 años incluidos en grupos de  60-64 años)</t>
        </is>
      </c>
      <c r="AS88" s="9981" t="inlineStr">
        <is>
          <t>Compra de Servicios</t>
        </is>
      </c>
      <c r="AT88" s="10238" t="inlineStr">
        <is>
          <t xml:space="preserve">Usuarios con Discapacidad </t>
        </is>
      </c>
      <c r="AU88" s="10201" t="inlineStr">
        <is>
          <t>SENAME/ Servicio Nacional de Reinserción social Juvenil</t>
        </is>
      </c>
      <c r="AV88" s="10043" t="inlineStr">
        <is>
          <t>Servicio Nacional Protección Especializada a la Niñez y Adolescencia</t>
        </is>
      </c>
      <c r="AW88" s="10239" t="inlineStr">
        <is>
          <t>Migrantes</t>
        </is>
      </c>
      <c r="AX88" s="10230" t="inlineStr">
        <is>
          <t>Flujo digital</t>
        </is>
      </c>
    </row>
    <row r="89" ht="15" customHeight="1" s="8286">
      <c r="C89" s="9718" t="n"/>
      <c r="D89" s="9638" t="n"/>
      <c r="E89" s="9697" t="n"/>
      <c r="F89" s="9639" t="n"/>
      <c r="G89" s="10202" t="inlineStr">
        <is>
          <t>Menos de 1 año - 1 año</t>
        </is>
      </c>
      <c r="H89" s="9647" t="n"/>
      <c r="I89" s="9240" t="inlineStr">
        <is>
          <t>2 años</t>
        </is>
      </c>
      <c r="J89" s="9647" t="n"/>
      <c r="K89" s="9240" t="inlineStr">
        <is>
          <t>3 años</t>
        </is>
      </c>
      <c r="L89" s="9647" t="n"/>
      <c r="M89" s="9240" t="inlineStr">
        <is>
          <t>4 años</t>
        </is>
      </c>
      <c r="N89" s="9647" t="n"/>
      <c r="O89" s="9240" t="inlineStr">
        <is>
          <t>5 años</t>
        </is>
      </c>
      <c r="P89" s="9647" t="n"/>
      <c r="Q89" s="9240" t="inlineStr">
        <is>
          <t>6 años</t>
        </is>
      </c>
      <c r="R89" s="9647" t="n"/>
      <c r="S89" s="9240" t="inlineStr">
        <is>
          <t>7 años</t>
        </is>
      </c>
      <c r="T89" s="9647" t="n"/>
      <c r="U89" s="10203" t="inlineStr">
        <is>
          <t>8-9 años</t>
        </is>
      </c>
      <c r="V89" s="10191" t="n"/>
      <c r="W89" s="9240" t="inlineStr">
        <is>
          <t>10-14 años</t>
        </is>
      </c>
      <c r="X89" s="9647" t="n"/>
      <c r="Y89" s="9240" t="inlineStr">
        <is>
          <t>15-19 años</t>
        </is>
      </c>
      <c r="Z89" s="9647" t="n"/>
      <c r="AA89" s="9240" t="inlineStr">
        <is>
          <t xml:space="preserve">20-29 años </t>
        </is>
      </c>
      <c r="AB89" s="9647" t="n"/>
      <c r="AC89" s="9240" t="inlineStr">
        <is>
          <t>30-39 años</t>
        </is>
      </c>
      <c r="AD89" s="9647" t="n"/>
      <c r="AE89" s="9240" t="inlineStr">
        <is>
          <t>40-49 años</t>
        </is>
      </c>
      <c r="AF89" s="9647" t="n"/>
      <c r="AG89" s="9240" t="inlineStr">
        <is>
          <t>50-59 años</t>
        </is>
      </c>
      <c r="AH89" s="9647" t="n"/>
      <c r="AI89" s="9240" t="inlineStr">
        <is>
          <t>60-64 años</t>
        </is>
      </c>
      <c r="AJ89" s="9647" t="n"/>
      <c r="AK89" s="10203" t="inlineStr">
        <is>
          <t>65-74 años</t>
        </is>
      </c>
      <c r="AL89" s="10191" t="n"/>
      <c r="AM89" s="9976" t="inlineStr">
        <is>
          <t>75 y más años</t>
        </is>
      </c>
      <c r="AN89" s="9595" t="n"/>
      <c r="AO89" s="10240" t="n"/>
      <c r="AP89" s="10159" t="n"/>
      <c r="AQ89" s="10017" t="n"/>
      <c r="AR89" s="10017" t="n"/>
      <c r="AS89" s="10017" t="n"/>
      <c r="AT89" s="10241" t="n"/>
      <c r="AU89" s="9851" t="n"/>
      <c r="AV89" s="10048" t="n"/>
      <c r="AW89" s="9687" t="n"/>
      <c r="AX89" s="9625" t="n"/>
    </row>
    <row r="90" ht="36" customHeight="1" s="8286">
      <c r="A90" s="9697" t="n"/>
      <c r="B90" s="9697" t="n"/>
      <c r="C90" s="9639" t="n"/>
      <c r="D90" s="8471" t="inlineStr">
        <is>
          <t>Ambos Sexos</t>
        </is>
      </c>
      <c r="E90" s="2679" t="inlineStr">
        <is>
          <t>Hombres</t>
        </is>
      </c>
      <c r="F90" s="8299" t="inlineStr">
        <is>
          <t>Mujeres</t>
        </is>
      </c>
      <c r="G90" s="8471" t="inlineStr">
        <is>
          <t>Hombres</t>
        </is>
      </c>
      <c r="H90" s="8299" t="inlineStr">
        <is>
          <t>Mujeres</t>
        </is>
      </c>
      <c r="I90" s="8471" t="inlineStr">
        <is>
          <t>Hombres</t>
        </is>
      </c>
      <c r="J90" s="8289" t="inlineStr">
        <is>
          <t>Mujeres</t>
        </is>
      </c>
      <c r="K90" s="8471" t="inlineStr">
        <is>
          <t>Hombres</t>
        </is>
      </c>
      <c r="L90" s="8299" t="inlineStr">
        <is>
          <t>Mujeres</t>
        </is>
      </c>
      <c r="M90" s="8471" t="inlineStr">
        <is>
          <t>Hombres</t>
        </is>
      </c>
      <c r="N90" s="8299" t="inlineStr">
        <is>
          <t>Mujeres</t>
        </is>
      </c>
      <c r="O90" s="2679" t="inlineStr">
        <is>
          <t>Hombres</t>
        </is>
      </c>
      <c r="P90" s="8299" t="inlineStr">
        <is>
          <t>Mujeres</t>
        </is>
      </c>
      <c r="Q90" s="2679" t="inlineStr">
        <is>
          <t>Hombres</t>
        </is>
      </c>
      <c r="R90" s="8299" t="inlineStr">
        <is>
          <t>Mujeres</t>
        </is>
      </c>
      <c r="S90" s="2679" t="inlineStr">
        <is>
          <t>Hombres</t>
        </is>
      </c>
      <c r="T90" s="8299" t="inlineStr">
        <is>
          <t>Mujeres</t>
        </is>
      </c>
      <c r="U90" s="2679" t="inlineStr">
        <is>
          <t>Hombres</t>
        </is>
      </c>
      <c r="V90" s="8299" t="inlineStr">
        <is>
          <t>Mujeres</t>
        </is>
      </c>
      <c r="W90" s="2679" t="inlineStr">
        <is>
          <t>Hombres</t>
        </is>
      </c>
      <c r="X90" s="8299" t="inlineStr">
        <is>
          <t>Mujeres</t>
        </is>
      </c>
      <c r="Y90" s="2679" t="inlineStr">
        <is>
          <t>Hombres</t>
        </is>
      </c>
      <c r="Z90" s="8299" t="inlineStr">
        <is>
          <t>Mujeres</t>
        </is>
      </c>
      <c r="AA90" s="2679" t="inlineStr">
        <is>
          <t>Hombres</t>
        </is>
      </c>
      <c r="AB90" s="8299" t="inlineStr">
        <is>
          <t>Mujeres</t>
        </is>
      </c>
      <c r="AC90" s="2679" t="inlineStr">
        <is>
          <t>Hombres</t>
        </is>
      </c>
      <c r="AD90" s="8299" t="inlineStr">
        <is>
          <t>Mujeres</t>
        </is>
      </c>
      <c r="AE90" s="2679" t="inlineStr">
        <is>
          <t>Hombres</t>
        </is>
      </c>
      <c r="AF90" s="8299" t="inlineStr">
        <is>
          <t>Mujeres</t>
        </is>
      </c>
      <c r="AG90" s="2679" t="inlineStr">
        <is>
          <t>Hombres</t>
        </is>
      </c>
      <c r="AH90" s="8299" t="inlineStr">
        <is>
          <t>Mujeres</t>
        </is>
      </c>
      <c r="AI90" s="2679" t="inlineStr">
        <is>
          <t>Hombres</t>
        </is>
      </c>
      <c r="AJ90" s="8299" t="inlineStr">
        <is>
          <t>Mujeres</t>
        </is>
      </c>
      <c r="AK90" s="2679" t="inlineStr">
        <is>
          <t>Hombres</t>
        </is>
      </c>
      <c r="AL90" s="8299" t="inlineStr">
        <is>
          <t>Mujeres</t>
        </is>
      </c>
      <c r="AM90" s="2679" t="inlineStr">
        <is>
          <t>Hombres</t>
        </is>
      </c>
      <c r="AN90" s="8290" t="inlineStr">
        <is>
          <t>Mujeres</t>
        </is>
      </c>
      <c r="AO90" s="9764" t="n"/>
      <c r="AP90" s="9765" t="n"/>
      <c r="AQ90" s="9912" t="n"/>
      <c r="AR90" s="9912" t="n"/>
      <c r="AS90" s="9912" t="n"/>
      <c r="AT90" s="10242" t="n"/>
      <c r="AU90" s="9854" t="n"/>
      <c r="AV90" s="10052" t="n"/>
      <c r="AW90" s="9688" t="n"/>
      <c r="AX90" s="9641" t="n"/>
    </row>
    <row r="91" ht="15" customHeight="1" s="8286">
      <c r="A91" s="10236" t="inlineStr">
        <is>
          <t xml:space="preserve">Respuesta a interconsulta personas hospitalizadas </t>
        </is>
      </c>
      <c r="B91" s="10243" t="inlineStr">
        <is>
          <t xml:space="preserve">Cirugía y Traumatología Maxilofacial  </t>
        </is>
      </c>
      <c r="C91" s="9643" t="n"/>
      <c r="D91" s="2282">
        <f>SUM(E91:F91)</f>
        <v/>
      </c>
      <c r="E91" s="2375">
        <f>SUM(G91+I91+K91+M91+O91+Q91+S91+U91+W91+Y91+AA91+AC91+AE91+AG91+AI91+AK91+AM91)</f>
        <v/>
      </c>
      <c r="F91" s="2705">
        <f>SUM(H91+J91+L91+N91+P91+R91+T91+V91+X91+Z91+AB91+AD91+AF91+AH91+AJ91+AL91+AN91)</f>
        <v/>
      </c>
      <c r="G91" s="2266" t="n"/>
      <c r="H91" s="2337" t="n"/>
      <c r="I91" s="2266" t="n"/>
      <c r="J91" s="2581" t="n"/>
      <c r="K91" s="2266" t="n"/>
      <c r="L91" s="2337" t="n"/>
      <c r="M91" s="2266" t="n"/>
      <c r="N91" s="2337" t="n"/>
      <c r="O91" s="2267" t="n"/>
      <c r="P91" s="2337" t="n"/>
      <c r="Q91" s="2267" t="n"/>
      <c r="R91" s="2337" t="n"/>
      <c r="S91" s="2267" t="n"/>
      <c r="T91" s="2337" t="n"/>
      <c r="U91" s="2267" t="n"/>
      <c r="V91" s="2337" t="n"/>
      <c r="W91" s="2267" t="n"/>
      <c r="X91" s="2337" t="n"/>
      <c r="Y91" s="2267" t="n"/>
      <c r="Z91" s="2337" t="n"/>
      <c r="AA91" s="2267" t="n"/>
      <c r="AB91" s="2337" t="n"/>
      <c r="AC91" s="2267" t="n"/>
      <c r="AD91" s="2337" t="n"/>
      <c r="AE91" s="2267" t="n"/>
      <c r="AF91" s="2337" t="n"/>
      <c r="AG91" s="2267" t="n"/>
      <c r="AH91" s="2337" t="n"/>
      <c r="AI91" s="2267" t="n"/>
      <c r="AJ91" s="2337" t="n"/>
      <c r="AK91" s="2267" t="n"/>
      <c r="AL91" s="2337" t="n"/>
      <c r="AM91" s="2267" t="n"/>
      <c r="AN91" s="1940" t="n"/>
      <c r="AO91" s="2376" t="n"/>
      <c r="AP91" s="835" t="n"/>
      <c r="AQ91" s="835" t="n"/>
      <c r="AR91" s="835" t="n"/>
      <c r="AS91" s="835" t="n"/>
      <c r="AT91" s="2581" t="n"/>
      <c r="AU91" s="2489" t="n"/>
      <c r="AV91" s="1433" t="n"/>
      <c r="AW91" s="2267" t="n"/>
      <c r="AX91" s="2193" t="n"/>
      <c r="AY91">
        <f>CA91&amp;CB91&amp;CC91&amp;CD91&amp;CE91&amp;CF91&amp;CG91&amp;CH91&amp;CI91&amp;CJ91</f>
        <v/>
      </c>
      <c r="CA91" s="196">
        <f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>
        <f>IF(AND($F91&gt;0,AP91="")," * No olvide digitar la variable Gestante. Digite cero si no tiene.",IF(AP91&gt;$F91," * La variable Gestante NO DEBEN ser mayor al Total de Mujeres. ",""))</f>
        <v/>
      </c>
      <c r="CC91" s="196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>
        <f>IF(AND($D91&gt;0,AS91="")," * No olvide digitar la variable Compra de Servicios. Digite Cero si no tiene.","")</f>
        <v/>
      </c>
      <c r="CF91" s="196">
        <f>IF(AND($D91&gt;0,AT91="")," * No olvide digitar la Usuarios con Discapacidad. Digite Cero si no tiene.",IF(AT91&gt;$D91," * La variable Usuarios con Discapacidad No puede ser mayor al Total Ambos Sexos.",""))</f>
        <v/>
      </c>
      <c r="CG91" s="196">
        <f>IF(AND($D91&gt;0,AU91="")," * No olvide digitar la variable "&amp;AU$88&amp;". Digite Cero si no tiene.",IF(AU91&gt;$D91," * La variable "&amp;AU$88&amp;" No puede ser mayor al Total Ambos Sexos.",""))</f>
        <v/>
      </c>
      <c r="CH91" s="196">
        <f>IF(AND($D91&gt;0,AV91="")," * No olvide digitar la variable "&amp;AV$88&amp;" Digite Cero si no tiene.",IF(AV91&gt;$D91," * La variable "&amp;AV$88&amp;"no puede ser mayor al Total Ambos Sexos.",""))</f>
        <v/>
      </c>
      <c r="CI91" s="196">
        <f>IF(AND($D91&gt;0,AW91="")," * No olvide digitar la variable Migrantes. Digite Cero si no tiene.",IF(AW91&gt;$D91," * La variable Migrantes no puede ser mayor al Total Ambos Sexos.",""))</f>
        <v/>
      </c>
      <c r="CJ91" s="198" t="n"/>
      <c r="CO91" s="197">
        <f>IF(AND($D91&gt;0,AO91=""),1,IF(AO91&gt;D91,1,0))</f>
        <v/>
      </c>
      <c r="CP91" s="197">
        <f>IF(AND($F91&gt;0,AP91=""),1,IF(AP91&gt;$F91,1,0))</f>
        <v/>
      </c>
      <c r="CQ91" s="197">
        <f>IF(AND($D91&gt;0,AQ91=""),1,IF(AQ91&gt;$D91,1,0))</f>
        <v/>
      </c>
      <c r="CR91" s="197">
        <f>IF(AND(AI91+AJ91&gt;0,AR91=""),1,IF(AR91&gt;AI91+AJ91,1,0))</f>
        <v/>
      </c>
      <c r="CS91" s="197">
        <f>IF(AND($D91&gt;0,AS91=""),1,0)</f>
        <v/>
      </c>
      <c r="CT91" s="197">
        <f>IF(AND($D91&gt;0,AT91=""),1,IF(AT91&gt;$D91,1,0))</f>
        <v/>
      </c>
      <c r="CU91" s="197">
        <f>IF(AND($D91&gt;0,AU91=""),1,IF(AU91&gt;$D91,1,0))</f>
        <v/>
      </c>
      <c r="CV91" s="197">
        <f>IF(AND($D91&gt;0,AV91=""),1,IF(AV91&gt;$D91,1,0))</f>
        <v/>
      </c>
      <c r="CW91" s="197">
        <f>IF(AND($D91&gt;0,AW91=""),1,IF(AW91&gt;$D91,1,0))</f>
        <v/>
      </c>
      <c r="CX91" s="198" t="n"/>
    </row>
    <row r="92" ht="15" customHeight="1" s="8286">
      <c r="A92" s="9588" t="n"/>
      <c r="B92" s="3877" t="inlineStr">
        <is>
          <t xml:space="preserve">Endodoncia </t>
        </is>
      </c>
      <c r="C92" s="9644" t="n"/>
      <c r="D92" s="1254">
        <f>SUM(E92:F92)</f>
        <v/>
      </c>
      <c r="E92" s="1486">
        <f>SUM(G92+I92+K92+M92+O92+Q92+S92+U92+W92+Y92+AA92+AC92+AE92+AG92+AI92+AK92+AM92)</f>
        <v/>
      </c>
      <c r="F92" s="1486">
        <f>SUM(H92+J92+L92+N92+P92+R92+T92+V92+X92+Z92+AB92+AD92+AF92+AH92+AJ92+AL92+AN92)</f>
        <v/>
      </c>
      <c r="G92" s="1935" t="n"/>
      <c r="H92" s="755" t="n"/>
      <c r="I92" s="1935" t="n"/>
      <c r="J92" s="2261" t="n"/>
      <c r="K92" s="1935" t="n"/>
      <c r="L92" s="755" t="n"/>
      <c r="M92" s="1935" t="n"/>
      <c r="N92" s="755" t="n"/>
      <c r="O92" s="1432" t="n"/>
      <c r="P92" s="755" t="n"/>
      <c r="Q92" s="1432" t="n"/>
      <c r="R92" s="755" t="n"/>
      <c r="S92" s="1432" t="n"/>
      <c r="T92" s="755" t="n"/>
      <c r="U92" s="1432" t="n"/>
      <c r="V92" s="755" t="n"/>
      <c r="W92" s="1432" t="n"/>
      <c r="X92" s="755" t="n"/>
      <c r="Y92" s="1432" t="n"/>
      <c r="Z92" s="755" t="n"/>
      <c r="AA92" s="1432" t="n"/>
      <c r="AB92" s="755" t="n"/>
      <c r="AC92" s="1432" t="n"/>
      <c r="AD92" s="755" t="n"/>
      <c r="AE92" s="1432" t="n"/>
      <c r="AF92" s="755" t="n"/>
      <c r="AG92" s="1432" t="n"/>
      <c r="AH92" s="755" t="n"/>
      <c r="AI92" s="1432" t="n"/>
      <c r="AJ92" s="755" t="n"/>
      <c r="AK92" s="1432" t="n"/>
      <c r="AL92" s="755" t="n"/>
      <c r="AM92" s="1432" t="n"/>
      <c r="AN92" s="792" t="n"/>
      <c r="AO92" s="1966" t="n"/>
      <c r="AP92" s="793" t="n"/>
      <c r="AQ92" s="793" t="n"/>
      <c r="AR92" s="793" t="n"/>
      <c r="AS92" s="793" t="n"/>
      <c r="AT92" s="2261" t="n"/>
      <c r="AU92" s="2699" t="n"/>
      <c r="AV92" s="758" t="n"/>
      <c r="AW92" s="1432" t="n"/>
      <c r="AX92" s="1948" t="n"/>
      <c r="AY92">
        <f>CA92&amp;CB92&amp;CC92&amp;CD92&amp;CE92&amp;CF92&amp;CG92&amp;CH92&amp;CI92&amp;CJ92</f>
        <v/>
      </c>
      <c r="CA92" s="196">
        <f>IF(AND((W92+X92)&gt;0,AO92="")," * No olvide digitar la variable 12 años (incluido en el grupo de 10-14 años). Digite Cero si no tiene.",IF(AO92&gt;(W92+X92),"* Las Consultas de 12 años (incluido en el grupo de 10-14 años) NO DEBEN ser mayor que el total de Consultas entre 10-14 años",""))</f>
        <v/>
      </c>
      <c r="CB92" s="196">
        <f>IF(AND($F92&gt;0,AP92="")," * No olvide digitar la variable Gestante. Digite cero si no tiene.",IF(AP92&gt;$F92," * La variable Gestante NO DEBEN ser mayor al Total de Mujeres. ",""))</f>
        <v/>
      </c>
      <c r="CC92" s="196">
        <f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>
        <f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>
        <f>IF(AND($D92&gt;0,AS92="")," * No olvide digitar la variable Compra de Servicios. Digite Cero si no tiene.","")</f>
        <v/>
      </c>
      <c r="CF92" s="196">
        <f>IF(AND($D92&gt;0,AT92="")," * No olvide digitar la Usuarios con Discapacidad. Digite Cero si no tiene.",IF(AT92&gt;$D92," * La variable Usuarios con Discapacidad No puede ser mayor al Total Ambos Sexos.",""))</f>
        <v/>
      </c>
      <c r="CG92" s="196">
        <f>IF(AND($D92&gt;0,AU92="")," * No olvide digitar la variable "&amp;AU$88&amp;". Digite Cero si no tiene.",IF(AU92&gt;$D92," * La variable "&amp;AU$88&amp;" No puede ser mayor al Total Ambos Sexos.",""))</f>
        <v/>
      </c>
      <c r="CH92" s="196">
        <f>IF(AND($D92&gt;0,AV92="")," * No olvide digitar la variable "&amp;AV$88&amp;" Digite Cero si no tiene.",IF(AV92&gt;$D92," * La variable"&amp;AV$88&amp;"no puede ser mayor al Total Ambos Sexos.",""))</f>
        <v/>
      </c>
      <c r="CI92" s="196">
        <f>IF(AND($D92&gt;0,AW92="")," * No olvide digitar la variable Migrantes. Digite Cero si no tiene.",IF(AW92&gt;$D92," * La variable Migrantes no puede ser mayor al Total Ambos Sexos.",""))</f>
        <v/>
      </c>
      <c r="CJ92" s="198" t="n"/>
      <c r="CO92" s="197">
        <f>IF(AND($D92&gt;0,AO92=""),1,IF(AO92&gt;D92,1,0))</f>
        <v/>
      </c>
      <c r="CP92" s="197">
        <f>IF(AND($F92&gt;0,AP92=""),1,IF(AP92&gt;$F92,1,0))</f>
        <v/>
      </c>
      <c r="CQ92" s="197">
        <f>IF(AND($D92&gt;0,AQ92=""),1,IF(AQ92&gt;$D92,1,0))</f>
        <v/>
      </c>
      <c r="CR92" s="197">
        <f>IF(AND(AI92+AJ92&gt;0,AR92=""),1,IF(AR92&gt;AI92+AJ92,1,0))</f>
        <v/>
      </c>
      <c r="CS92" s="197">
        <f>IF(AND($D92&gt;0,AS92=""),1,0)</f>
        <v/>
      </c>
      <c r="CT92" s="197">
        <f>IF(AND($D92&gt;0,AT92=""),1,IF(AT92&gt;$D92,1,0))</f>
        <v/>
      </c>
      <c r="CU92" s="197">
        <f>IF(AND($D92&gt;0,AU92=""),1,IF(AU92&gt;$D92,1,0))</f>
        <v/>
      </c>
      <c r="CV92" s="197">
        <f>IF(AND($D92&gt;0,AV92=""),1,IF(AV92&gt;$D92,1,0))</f>
        <v/>
      </c>
      <c r="CW92" s="197">
        <f>IF(AND($D92&gt;0,AW92=""),1,IF(AW92&gt;$D92,1,0))</f>
        <v/>
      </c>
      <c r="CX92" s="198" t="n"/>
    </row>
    <row r="93" ht="15" customHeight="1" s="8286">
      <c r="A93" s="9588" t="n"/>
      <c r="B93" s="3877" t="inlineStr">
        <is>
          <t xml:space="preserve">Odontopediatría </t>
        </is>
      </c>
      <c r="C93" s="9644" t="n"/>
      <c r="D93" s="1254">
        <f>SUM(E93:F93)</f>
        <v/>
      </c>
      <c r="E93" s="1486">
        <f>SUM(G93+I93+K93+M93+O93+Q93+S93+U93+W93+Y93+AA93+AC93+AE93+AG93+AI93+AK93+AM93)</f>
        <v/>
      </c>
      <c r="F93" s="1486">
        <f>SUM(H93+J93+L93+N93+P93+R93+T93+V93+X93+Z93+AB93+AD93+AF93+AH93+AJ93+AL93+AN93)</f>
        <v/>
      </c>
      <c r="G93" s="1172" t="n"/>
      <c r="H93" s="755" t="n"/>
      <c r="I93" s="1935" t="n"/>
      <c r="J93" s="2261" t="n"/>
      <c r="K93" s="1935" t="n"/>
      <c r="L93" s="886" t="n"/>
      <c r="M93" s="1172" t="n"/>
      <c r="N93" s="886" t="n"/>
      <c r="O93" s="1174" t="n"/>
      <c r="P93" s="886" t="n"/>
      <c r="Q93" s="1174" t="n"/>
      <c r="R93" s="886" t="n"/>
      <c r="S93" s="1174" t="n"/>
      <c r="T93" s="886" t="n"/>
      <c r="U93" s="1174" t="n"/>
      <c r="V93" s="886" t="n"/>
      <c r="W93" s="1174" t="n"/>
      <c r="X93" s="886" t="n"/>
      <c r="Y93" s="1174" t="n"/>
      <c r="Z93" s="886" t="n"/>
      <c r="AA93" s="1174" t="n"/>
      <c r="AB93" s="886" t="n"/>
      <c r="AC93" s="1174" t="n"/>
      <c r="AD93" s="886" t="n"/>
      <c r="AE93" s="1174" t="n"/>
      <c r="AF93" s="886" t="n"/>
      <c r="AG93" s="1174" t="n"/>
      <c r="AH93" s="886" t="n"/>
      <c r="AI93" s="1174" t="n"/>
      <c r="AJ93" s="886" t="n"/>
      <c r="AK93" s="1174" t="n"/>
      <c r="AL93" s="886" t="n"/>
      <c r="AM93" s="1174" t="n"/>
      <c r="AN93" s="1929" t="n"/>
      <c r="AO93" s="887" t="n"/>
      <c r="AP93" s="793" t="n"/>
      <c r="AQ93" s="793" t="n"/>
      <c r="AR93" s="793" t="n"/>
      <c r="AS93" s="793" t="n"/>
      <c r="AT93" s="2261" t="n"/>
      <c r="AU93" s="2699" t="n"/>
      <c r="AV93" s="758" t="n"/>
      <c r="AW93" s="1432" t="n"/>
      <c r="AX93" s="1948" t="n"/>
      <c r="AY93">
        <f>CA93&amp;CB93&amp;CC93&amp;CD93&amp;CE93&amp;CF93&amp;CG93&amp;CH93&amp;CI93&amp;CJ93</f>
        <v/>
      </c>
      <c r="CA93" s="196">
        <f>IF(AND((W93+X93)&gt;0,AO93="")," * No olvide digitar la variable 12 años (incluido en el grupo de 10-14 años). Digite Cero si no tiene.",IF(AO93&gt;(W93+X93),"* Las Consultas de 12 años (incluido en el grupo de 10-14 años) NO DEBEN ser mayor que el total de Consultas entre 10-14 años",""))</f>
        <v/>
      </c>
      <c r="CB93" s="196">
        <f>IF(AND($F93&gt;0,AP93="")," * No olvide digitar la variable Gestante. Digite cero si no tiene.",IF(AP93&gt;$F93," * La variable Gestante NO DEBEN ser mayor al Total de Mujeres. ",""))</f>
        <v/>
      </c>
      <c r="CC93" s="196">
        <f>IF(AND(D93&gt;0,AQ93="")," * No olvide digitar la variable  Atención bajo sedación inhalatoria (con óxido nitroso). Digite Cero si no tiene.",IF(AQ93&gt;D93," * La variable  Atención bajo sedación inhalatoria (con óxido nitroso) NO DEBE ser mayor que el Total Ambos Sexos",""))</f>
        <v/>
      </c>
      <c r="CD93" s="196">
        <f>IF(AND((AI93+AJ93)&gt;0,AR93="")," * No olvide digitar la variable 60 años (incluido en grupos de 60-64 años). Digite Cero si no tiene.",IF(AR93&gt;(AI93+AJ93)," * La variable 60 años (incluido en grupos de 60-64 años) NO DEBE ser mayor que el Total de consultas del grupo 60-64 años",""))</f>
        <v/>
      </c>
      <c r="CE93" s="196">
        <f>IF(AND($D93&gt;0,AS93="")," * No olvide digitar la variable Compra de Servicios. Digite Cero si no tiene.","")</f>
        <v/>
      </c>
      <c r="CF93" s="196">
        <f>IF(AND($D93&gt;0,AT93="")," * No olvide digitar la Usuarios con Discapacidad. Digite Cero si no tiene.",IF(AT93&gt;$D93," * La variable Usuarios con Discapacidad No puede ser mayor al Total Ambos Sexos.",""))</f>
        <v/>
      </c>
      <c r="CG93" s="196">
        <f>IF(AND($D93&gt;0,AU93="")," * No olvide digitar la variable "&amp;AU$88&amp;". Digite Cero si no tiene.",IF(AU93&gt;$D93," * La variable "&amp;AU$88&amp;" No puede ser mayor al Total Ambos Sexos.",""))</f>
        <v/>
      </c>
      <c r="CH93" s="196">
        <f>IF(AND($D93&gt;0,AV93="")," * No olvide digitar la variable "&amp;AV$88&amp;" Digite Cero si no tiene.",IF(AV93&gt;$D93," * La variable"&amp;AV$88&amp;"no puede ser mayor al Total Ambos Sexos.",""))</f>
        <v/>
      </c>
      <c r="CI93" s="196">
        <f>IF(AND($D93&gt;0,AW93="")," * No olvide digitar la variable Migrantes. Digite Cero si no tiene.",IF(AW93&gt;$D93," * La variable Migrantes no puede ser mayor al Total Ambos Sexos.",""))</f>
        <v/>
      </c>
      <c r="CJ93" s="198" t="n"/>
      <c r="CO93" s="197">
        <f>IF(AND($D93&gt;0,AO93=""),1,IF(AO93&gt;D93,1,0))</f>
        <v/>
      </c>
      <c r="CP93" s="197">
        <f>IF(AND($F93&gt;0,AP93=""),1,IF(AP93&gt;$F93,1,0))</f>
        <v/>
      </c>
      <c r="CQ93" s="197">
        <f>IF(AND($D93&gt;0,AQ93=""),1,IF(AQ93&gt;$D93,1,0))</f>
        <v/>
      </c>
      <c r="CR93" s="197">
        <f>IF(AND(AI93+AJ93&gt;0,AR93=""),1,IF(AR93&gt;AI93+AJ93,1,0))</f>
        <v/>
      </c>
      <c r="CS93" s="197">
        <f>IF(AND($D93&gt;0,AS93=""),1,0)</f>
        <v/>
      </c>
      <c r="CT93" s="197">
        <f>IF(AND($D93&gt;0,AT93=""),1,IF(AT93&gt;$D93,1,0))</f>
        <v/>
      </c>
      <c r="CU93" s="197">
        <f>IF(AND($D93&gt;0,AU93=""),1,IF(AU93&gt;$D93,1,0))</f>
        <v/>
      </c>
      <c r="CV93" s="197">
        <f>IF(AND($D93&gt;0,AV93=""),1,IF(AV93&gt;$D93,1,0))</f>
        <v/>
      </c>
      <c r="CW93" s="197">
        <f>IF(AND($D93&gt;0,AW93=""),1,IF(AW93&gt;$D93,1,0))</f>
        <v/>
      </c>
      <c r="CX93" s="198" t="n"/>
    </row>
    <row r="94" ht="15" customHeight="1" s="8286">
      <c r="A94" s="9588" t="n"/>
      <c r="B94" s="3877" t="inlineStr">
        <is>
          <t>Periodoncia</t>
        </is>
      </c>
      <c r="C94" s="9644" t="n"/>
      <c r="D94" s="1254">
        <f>SUM(E94:F94)</f>
        <v/>
      </c>
      <c r="E94" s="1486">
        <f>SUM(G94+I94+K94+M94+O94+Q94+S94+U94+W94+Y94+AA94+AC94+AE94+AG94+AI94+AK94+AM94)</f>
        <v/>
      </c>
      <c r="F94" s="1486">
        <f>SUM(H94+J94+L94+N94+P94+R94+T94+V94+X94+Z94+AB94+AD94+AF94+AH94+AJ94+AL94+AN94)</f>
        <v/>
      </c>
      <c r="G94" s="1172" t="n"/>
      <c r="H94" s="755" t="n"/>
      <c r="I94" s="1935" t="n"/>
      <c r="J94" s="2261" t="n"/>
      <c r="K94" s="1935" t="n"/>
      <c r="L94" s="886" t="n"/>
      <c r="M94" s="1172" t="n"/>
      <c r="N94" s="886" t="n"/>
      <c r="O94" s="1174" t="n"/>
      <c r="P94" s="886" t="n"/>
      <c r="Q94" s="1174" t="n"/>
      <c r="R94" s="886" t="n"/>
      <c r="S94" s="1174" t="n"/>
      <c r="T94" s="886" t="n"/>
      <c r="U94" s="1174" t="n"/>
      <c r="V94" s="886" t="n"/>
      <c r="W94" s="1174" t="n"/>
      <c r="X94" s="886" t="n"/>
      <c r="Y94" s="1174" t="n"/>
      <c r="Z94" s="886" t="n"/>
      <c r="AA94" s="1174" t="n"/>
      <c r="AB94" s="886" t="n"/>
      <c r="AC94" s="1174" t="n"/>
      <c r="AD94" s="886" t="n"/>
      <c r="AE94" s="1174" t="n"/>
      <c r="AF94" s="886" t="n"/>
      <c r="AG94" s="1174" t="n"/>
      <c r="AH94" s="886" t="n"/>
      <c r="AI94" s="1174" t="n"/>
      <c r="AJ94" s="886" t="n"/>
      <c r="AK94" s="1174" t="n"/>
      <c r="AL94" s="886" t="n"/>
      <c r="AM94" s="1174" t="n"/>
      <c r="AN94" s="1929" t="n"/>
      <c r="AO94" s="887" t="n"/>
      <c r="AP94" s="793" t="n"/>
      <c r="AQ94" s="793" t="n"/>
      <c r="AR94" s="793" t="n"/>
      <c r="AS94" s="793" t="n"/>
      <c r="AT94" s="2261" t="n"/>
      <c r="AU94" s="2699" t="n"/>
      <c r="AV94" s="758" t="n"/>
      <c r="AW94" s="1432" t="n"/>
      <c r="AX94" s="1948" t="n"/>
      <c r="AY94">
        <f>CA94&amp;CB94&amp;CC94&amp;CD94&amp;CE94&amp;CF94&amp;CG94&amp;CH94&amp;CI94&amp;CJ94</f>
        <v/>
      </c>
      <c r="CA94" s="196">
        <f>IF(AND((W94+X94)&gt;0,AO94="")," * No olvide digitar la variable 12 años (incluido en el grupo de 10-14 años). Digite Cero si no tiene.",IF(AO94&gt;(W94+X94),"* Las Consultas de 12 años (incluido en el grupo de 10-14 años) NO DEBEN ser mayor que el total de Consultas entre 10-14 años",""))</f>
        <v/>
      </c>
      <c r="CB94" s="196">
        <f>IF(AND($F94&gt;0,AP94="")," * No olvide digitar la variable Gestante. Digite cero si no tiene.",IF(AP94&gt;$F94," * La variable Gestante NO DEBEN ser mayor al Total de Mujeres. ",""))</f>
        <v/>
      </c>
      <c r="CC94" s="196">
        <f>IF(AND(D94&gt;0,AQ94="")," * No olvide digitar la variable  Atención bajo sedación inhalatoria (con óxido nitroso). Digite Cero si no tiene.",IF(AQ94&gt;D94," * La variable  Atención bajo sedación inhalatoria (con óxido nitroso) NO DEBE ser mayor que el Total Ambos Sexos",""))</f>
        <v/>
      </c>
      <c r="CD94" s="196">
        <f>IF(AND((AI94+AJ94)&gt;0,AR94="")," * No olvide digitar la variable 60 años (incluido en grupos de 60-64 años). Digite Cero si no tiene.",IF(AR94&gt;(AI94+AJ94)," * La variable 60 años (incluido en grupos de 60-64 años) NO DEBE ser mayor que el Total de consultas del grupo 60-64 años",""))</f>
        <v/>
      </c>
      <c r="CE94" s="196">
        <f>IF(AND($D94&gt;0,AS94="")," * No olvide digitar la variable Compra de Servicios. Digite Cero si no tiene.","")</f>
        <v/>
      </c>
      <c r="CF94" s="196">
        <f>IF(AND($D94&gt;0,AT94="")," * No olvide digitar la Usuarios con Discapacidad. Digite Cero si no tiene.",IF(AT94&gt;$D94," * La variable Usuarios con Discapacidad No puede ser mayor al Total Ambos Sexos.",""))</f>
        <v/>
      </c>
      <c r="CG94" s="196">
        <f>IF(AND($D94&gt;0,AU94="")," * No olvide digitar la variable "&amp;AU$88&amp;". Digite Cero si no tiene.",IF(AU94&gt;$D94," * La variable "&amp;AU$88&amp;" No puede ser mayor al Total Ambos Sexos.",""))</f>
        <v/>
      </c>
      <c r="CH94" s="196">
        <f>IF(AND($D94&gt;0,AV94="")," * No olvide digitar la variable "&amp;AV$88&amp;" Digite Cero si no tiene.",IF(AV94&gt;$D94," * La variable"&amp;AV$88&amp;"no puede ser mayor al Total Ambos Sexos.",""))</f>
        <v/>
      </c>
      <c r="CI94" s="196">
        <f>IF(AND($D94&gt;0,AW94="")," * No olvide digitar la variable Migrantes. Digite Cero si no tiene.",IF(AW94&gt;$D94," * La variable Migrantes no puede ser mayor al Total Ambos Sexos.",""))</f>
        <v/>
      </c>
      <c r="CJ94" s="198" t="n"/>
      <c r="CO94" s="197">
        <f>IF(AND($D94&gt;0,AO94=""),1,IF(AO94&gt;D94,1,0))</f>
        <v/>
      </c>
      <c r="CP94" s="197">
        <f>IF(AND($F94&gt;0,AP94=""),1,IF(AP94&gt;$F94,1,0))</f>
        <v/>
      </c>
      <c r="CQ94" s="197">
        <f>IF(AND($D94&gt;0,AQ94=""),1,IF(AQ94&gt;$D94,1,0))</f>
        <v/>
      </c>
      <c r="CR94" s="197">
        <f>IF(AND(AI94+AJ94&gt;0,AR94=""),1,IF(AR94&gt;AI94+AJ94,1,0))</f>
        <v/>
      </c>
      <c r="CS94" s="197">
        <f>IF(AND($D94&gt;0,AS94=""),1,0)</f>
        <v/>
      </c>
      <c r="CT94" s="197">
        <f>IF(AND($D94&gt;0,AT94=""),1,IF(AT94&gt;$D94,1,0))</f>
        <v/>
      </c>
      <c r="CU94" s="197">
        <f>IF(AND($D94&gt;0,AU94=""),1,IF(AU94&gt;$D94,1,0))</f>
        <v/>
      </c>
      <c r="CV94" s="197">
        <f>IF(AND($D94&gt;0,AV94=""),1,IF(AV94&gt;$D94,1,0))</f>
        <v/>
      </c>
      <c r="CW94" s="197">
        <f>IF(AND($D94&gt;0,AW94=""),1,IF(AW94&gt;$D94,1,0))</f>
        <v/>
      </c>
      <c r="CX94" s="198" t="n"/>
    </row>
    <row r="95" ht="15" customHeight="1" s="8286">
      <c r="A95" s="9588" t="n"/>
      <c r="B95" s="3877" t="inlineStr">
        <is>
          <t>Rehabilitación oral</t>
        </is>
      </c>
      <c r="C95" s="9644" t="n"/>
      <c r="D95" s="1254">
        <f>SUM(E95:F95)</f>
        <v/>
      </c>
      <c r="E95" s="1486">
        <f>SUM(G95+I95+K95+M95+O95+Q95+S95+U95+W95+Y95+AA95+AC95+AE95+AG95+AI95+AK95+AM95)</f>
        <v/>
      </c>
      <c r="F95" s="1486">
        <f>SUM(H95+J95+L95+N95+P95+R95+T95+V95+X95+Z95+AB95+AD95+AF95+AH95+AJ95+AL95+AN95)</f>
        <v/>
      </c>
      <c r="G95" s="1172" t="n"/>
      <c r="H95" s="886" t="n"/>
      <c r="I95" s="1172" t="n"/>
      <c r="J95" s="885" t="n"/>
      <c r="K95" s="1172" t="n"/>
      <c r="L95" s="886" t="n"/>
      <c r="M95" s="1172" t="n"/>
      <c r="N95" s="886" t="n"/>
      <c r="O95" s="1174" t="n"/>
      <c r="P95" s="886" t="n"/>
      <c r="Q95" s="1174" t="n"/>
      <c r="R95" s="886" t="n"/>
      <c r="S95" s="1174" t="n"/>
      <c r="T95" s="886" t="n"/>
      <c r="U95" s="1174" t="n"/>
      <c r="V95" s="886" t="n"/>
      <c r="W95" s="1174" t="n"/>
      <c r="X95" s="886" t="n"/>
      <c r="Y95" s="1174" t="n"/>
      <c r="Z95" s="886" t="n"/>
      <c r="AA95" s="1174" t="n"/>
      <c r="AB95" s="886" t="n"/>
      <c r="AC95" s="1174" t="n"/>
      <c r="AD95" s="886" t="n"/>
      <c r="AE95" s="1174" t="n"/>
      <c r="AF95" s="886" t="n"/>
      <c r="AG95" s="1174" t="n"/>
      <c r="AH95" s="886" t="n"/>
      <c r="AI95" s="1174" t="n"/>
      <c r="AJ95" s="886" t="n"/>
      <c r="AK95" s="1174" t="n"/>
      <c r="AL95" s="886" t="n"/>
      <c r="AM95" s="1174" t="n"/>
      <c r="AN95" s="1929" t="n"/>
      <c r="AO95" s="887" t="n"/>
      <c r="AP95" s="2001" t="n"/>
      <c r="AQ95" s="2001" t="n"/>
      <c r="AR95" s="2001" t="n"/>
      <c r="AS95" s="2001" t="n"/>
      <c r="AT95" s="885" t="n"/>
      <c r="AU95" s="2495" t="n"/>
      <c r="AV95" s="1100" t="n"/>
      <c r="AW95" s="1174" t="n"/>
      <c r="AX95" s="1948" t="n"/>
      <c r="AY95">
        <f>CA95&amp;CB95&amp;CC95&amp;CD95&amp;CE95&amp;CF95&amp;CG95&amp;CH95&amp;CI95&amp;CJ95</f>
        <v/>
      </c>
      <c r="CA95" s="196">
        <f>IF(AND((W95+X95)&gt;0,AO95="")," * No olvide digitar la variable 12 años (incluido en el grupo de 10-14 años). Digite Cero si no tiene.",IF(AO95&gt;(W95+X95),"* Las Consultas de 12 años (incluido en el grupo de 10-14 años) NO DEBEN ser mayor que el total de Consultas entre 10-14 años",""))</f>
        <v/>
      </c>
      <c r="CB95" s="196">
        <f>IF(AND($F95&gt;0,AP95="")," * No olvide digitar la variable Gestante. Digite cero si no tiene.",IF(AP95&gt;$F95," * La variable Gestante NO DEBEN ser mayor al Total de Mujeres. ",""))</f>
        <v/>
      </c>
      <c r="CC95" s="196">
        <f>IF(AND(D95&gt;0,AQ95="")," * No olvide digitar la variable  Atención bajo sedación inhalatoria (con óxido nitroso). Digite Cero si no tiene.",IF(AQ95&gt;D95," * La variable  Atención bajo sedación inhalatoria (con óxido nitroso) NO DEBE ser mayor que el Total Ambos Sexos",""))</f>
        <v/>
      </c>
      <c r="CD95" s="196">
        <f>IF(AND((AI95+AJ95)&gt;0,AR95="")," * No olvide digitar la variable 60 años (incluido en grupos de 60-64 años). Digite Cero si no tiene.",IF(AR95&gt;(AI95+AJ95)," * La variable 60 años (incluido en grupos de 60-64 años) NO DEBE ser mayor que el Total de consultas del grupo 60-64 años",""))</f>
        <v/>
      </c>
      <c r="CE95" s="196">
        <f>IF(AND($D95&gt;0,AS95="")," * No olvide digitar la variable Compra de Servicios. Digite Cero si no tiene.","")</f>
        <v/>
      </c>
      <c r="CF95" s="196">
        <f>IF(AND($D95&gt;0,AT95="")," * No olvide digitar la Usuarios con Discapacidad. Digite Cero si no tiene.",IF(AT95&gt;$D95," * La variable Usuarios con Discapacidad No puede ser mayor al Total Ambos Sexos.",""))</f>
        <v/>
      </c>
      <c r="CG95" s="196">
        <f>IF(AND($D95&gt;0,AU95="")," * No olvide digitar la variable "&amp;AU$88&amp;". Digite Cero si no tiene.",IF(AU95&gt;$D95," * La variable "&amp;AU$88&amp;" No puede ser mayor al Total Ambos Sexos.",""))</f>
        <v/>
      </c>
      <c r="CH95" s="196">
        <f>IF(AND($D95&gt;0,AV95="")," * No olvide digitar la variable "&amp;AV$88&amp;" Digite Cero si no tiene.",IF(AV95&gt;$D95," * La variable"&amp;AV$88&amp;"no puede ser mayor al Total Ambos Sexos.",""))</f>
        <v/>
      </c>
      <c r="CI95" s="196">
        <f>IF(AND($D95&gt;0,AW95="")," * No olvide digitar la variable Migrantes. Digite Cero si no tiene.",IF(AW95&gt;$D95," * La variable Migrantes no puede ser mayor al Total Ambos Sexos.",""))</f>
        <v/>
      </c>
      <c r="CJ95" s="198" t="n"/>
      <c r="CO95" s="197">
        <f>IF(AND($D95&gt;0,AO95=""),1,IF(AO95&gt;D95,1,0))</f>
        <v/>
      </c>
      <c r="CP95" s="197">
        <f>IF(AND($F95&gt;0,AP95=""),1,IF(AP95&gt;$F95,1,0))</f>
        <v/>
      </c>
      <c r="CQ95" s="197">
        <f>IF(AND($D95&gt;0,AQ95=""),1,IF(AQ95&gt;$D95,1,0))</f>
        <v/>
      </c>
      <c r="CR95" s="197">
        <f>IF(AND(AI95+AJ95&gt;0,AR95=""),1,IF(AR95&gt;AI95+AJ95,1,0))</f>
        <v/>
      </c>
      <c r="CS95" s="197">
        <f>IF(AND($D95&gt;0,AS95=""),1,0)</f>
        <v/>
      </c>
      <c r="CT95" s="197">
        <f>IF(AND($D95&gt;0,AT95=""),1,IF(AT95&gt;$D95,1,0))</f>
        <v/>
      </c>
      <c r="CU95" s="197">
        <f>IF(AND($D95&gt;0,AU95=""),1,IF(AU95&gt;$D95,1,0))</f>
        <v/>
      </c>
      <c r="CV95" s="197">
        <f>IF(AND($D95&gt;0,AV95=""),1,IF(AV95&gt;$D95,1,0))</f>
        <v/>
      </c>
      <c r="CW95" s="197">
        <f>IF(AND($D95&gt;0,AW95=""),1,IF(AW95&gt;$D95,1,0))</f>
        <v/>
      </c>
      <c r="CX95" s="198" t="n"/>
    </row>
    <row r="96" ht="15" customHeight="1" s="8286">
      <c r="A96" s="9589" t="n"/>
      <c r="B96" s="10244" t="inlineStr">
        <is>
          <t xml:space="preserve">Otras especialidades  odontológicas </t>
        </is>
      </c>
      <c r="C96" s="9935" t="n"/>
      <c r="D96" s="636">
        <f>SUM(E96:F96)</f>
        <v/>
      </c>
      <c r="E96" s="1997">
        <f>SUM(G96+I96+K96+M96+O96+Q96+S96+U96+W96+Y96+AA96+AC96+AE96+AG96+AI96+AK96+AM96)</f>
        <v/>
      </c>
      <c r="F96" s="1997">
        <f>SUM(H96+J96+L96+N96+P96+R96+T96+V96+X96+Z96+AB96+AD96+AF96+AH96+AJ96+AL96+AN96)</f>
        <v/>
      </c>
      <c r="G96" s="645" t="n"/>
      <c r="H96" s="2196" t="n"/>
      <c r="I96" s="645" t="n"/>
      <c r="J96" s="2556" t="n"/>
      <c r="K96" s="645" t="n"/>
      <c r="L96" s="2196" t="n"/>
      <c r="M96" s="645" t="n"/>
      <c r="N96" s="2196" t="n"/>
      <c r="O96" s="204" t="n"/>
      <c r="P96" s="2196" t="n"/>
      <c r="Q96" s="204" t="n"/>
      <c r="R96" s="2196" t="n"/>
      <c r="S96" s="204" t="n"/>
      <c r="T96" s="2196" t="n"/>
      <c r="U96" s="204" t="n"/>
      <c r="V96" s="2196" t="n"/>
      <c r="W96" s="204" t="n"/>
      <c r="X96" s="2196" t="n"/>
      <c r="Y96" s="204" t="n"/>
      <c r="Z96" s="2196" t="n"/>
      <c r="AA96" s="204" t="n"/>
      <c r="AB96" s="2196" t="n"/>
      <c r="AC96" s="204" t="n"/>
      <c r="AD96" s="2196" t="n"/>
      <c r="AE96" s="204" t="n"/>
      <c r="AF96" s="2196" t="n"/>
      <c r="AG96" s="204" t="n"/>
      <c r="AH96" s="2196" t="n"/>
      <c r="AI96" s="204" t="n"/>
      <c r="AJ96" s="2196" t="n"/>
      <c r="AK96" s="204" t="n"/>
      <c r="AL96" s="2196" t="n"/>
      <c r="AM96" s="204" t="n"/>
      <c r="AN96" s="1111" t="n"/>
      <c r="AO96" s="42" t="n"/>
      <c r="AP96" s="145" t="n"/>
      <c r="AQ96" s="145" t="n"/>
      <c r="AR96" s="145" t="n"/>
      <c r="AS96" s="145" t="n"/>
      <c r="AT96" s="2556" t="n"/>
      <c r="AU96" s="742" t="n"/>
      <c r="AV96" s="1112" t="n"/>
      <c r="AW96" s="204" t="n"/>
      <c r="AX96" s="2825" t="n"/>
      <c r="AY96">
        <f>CA96&amp;CB96&amp;CC96&amp;CD96&amp;CE96&amp;CF96&amp;CG96&amp;CH96&amp;CI96&amp;CJ96</f>
        <v/>
      </c>
      <c r="CA96" s="196">
        <f>IF(AND((W96+X96)&gt;0,AO96="")," * No olvide digitar la variable 12 años (incluido en el grupo de 10-14 años). Digite Cero si no tiene.",IF(AO96&gt;(W96+X96),"* Las Consultas de 12 años (incluido en el grupo de 10-14 años) NO DEBEN ser mayor que el total de Consultas entre 10-14 años",""))</f>
        <v/>
      </c>
      <c r="CB96" s="196">
        <f>IF(AND($F96&gt;0,AP96="")," * No olvide digitar la variable Gestante. Digite cero si no tiene.",IF(AP96&gt;$F96," * La variable Gestante NO DEBEN ser mayor al Total de Mujeres. ",""))</f>
        <v/>
      </c>
      <c r="CC96" s="196">
        <f>IF(AND(D96&gt;0,AQ96="")," * No olvide digitar la variable  Atención bajo sedación inhalatoria (con óxido nitroso). Digite Cero si no tiene.",IF(AQ96&gt;D96," * La variable  Atención bajo sedación inhalatoria (con óxido nitroso) NO DEBE ser mayor que el Total Ambos Sexos",""))</f>
        <v/>
      </c>
      <c r="CD96" s="196">
        <f>IF(AND((AI96+AJ96)&gt;0,AR96="")," * No olvide digitar la variable 60 años (incluido en grupos de 60-64 años). Digite Cero si no tiene.",IF(AR96&gt;(AI96+AJ96)," * La variable 60 años (incluido en grupos de 60-64 años) NO DEBE ser mayor que el Total de consultas del grupo 60-64 años",""))</f>
        <v/>
      </c>
      <c r="CE96" s="196">
        <f>IF(AND($D96&gt;0,AS96="")," * No olvide digitar la variable Compra de Servicios. Digite Cero si no tiene.","")</f>
        <v/>
      </c>
      <c r="CF96" s="196">
        <f>IF(AND($D96&gt;0,AT96="")," * No olvide digitar la Usuarios con Discapacidad. Digite Cero si no tiene.",IF(AT96&gt;$D96," * La variable Usuarios con Discapacidad No puede ser mayor al Total Ambos Sexos.",""))</f>
        <v/>
      </c>
      <c r="CG96" s="196">
        <f>IF(AND($D96&gt;0,AU96="")," * No olvide digitar la variable "&amp;AU$88&amp;". Digite Cero si no tiene.",IF(AU96&gt;$D96," * La variable "&amp;AU$88&amp;" No puede ser mayor al Total Ambos Sexos.",""))</f>
        <v/>
      </c>
      <c r="CH96" s="196">
        <f>IF(AND($D96&gt;0,AV96="")," * No olvide digitar la variable "&amp;AV$88&amp;" Digite Cero si no tiene.",IF(AV96&gt;$D96," * La variable"&amp;AV$88&amp;"no puede ser mayor al Total Ambos Sexos.",""))</f>
        <v/>
      </c>
      <c r="CI96" s="196">
        <f>IF(AND($D96&gt;0,AW96="")," * No olvide digitar la variable Migrantes. Digite Cero si no tiene.",IF(AW96&gt;$D96," * La variable Migrantes no puede ser mayor al Total Ambos Sexos.",""))</f>
        <v/>
      </c>
      <c r="CJ96" s="198" t="n"/>
      <c r="CO96" s="197">
        <f>IF(AND($D96&gt;0,AO96=""),1,IF(AO96&gt;D96,1,0))</f>
        <v/>
      </c>
      <c r="CP96" s="197">
        <f>IF(AND($F96&gt;0,AP96=""),1,IF(AP96&gt;$F96,1,0))</f>
        <v/>
      </c>
      <c r="CQ96" s="197">
        <f>IF(AND($D96&gt;0,AQ96=""),1,IF(AQ96&gt;$D96,1,0))</f>
        <v/>
      </c>
      <c r="CR96" s="197">
        <f>IF(AND(AI96+AJ96&gt;0,AR96=""),1,IF(AR96&gt;AI96+AJ96,1,0))</f>
        <v/>
      </c>
      <c r="CS96" s="197">
        <f>IF(AND($D96&gt;0,AS96=""),1,0)</f>
        <v/>
      </c>
      <c r="CT96" s="197">
        <f>IF(AND($D96&gt;0,AT96=""),1,IF(AT96&gt;$D96,1,0))</f>
        <v/>
      </c>
      <c r="CU96" s="197">
        <f>IF(AND($D96&gt;0,AU96=""),1,IF(AU96&gt;$D96,1,0))</f>
        <v/>
      </c>
      <c r="CV96" s="197">
        <f>IF(AND($D96&gt;0,AV96=""),1,IF(AV96&gt;$D96,1,0))</f>
        <v/>
      </c>
      <c r="CW96" s="197">
        <f>IF(AND($D96&gt;0,AW96=""),1,IF(AW96&gt;$D96,1,0))</f>
        <v/>
      </c>
      <c r="CX96" s="198" t="n"/>
    </row>
    <row r="97" ht="15" customHeight="1" s="8286">
      <c r="A97" s="10236" t="inlineStr">
        <is>
          <t xml:space="preserve">Visita a sala </t>
        </is>
      </c>
      <c r="B97" s="10243" t="inlineStr">
        <is>
          <t xml:space="preserve">Cirugía y Traumatología Maxilofacial  </t>
        </is>
      </c>
      <c r="C97" s="9643" t="n"/>
      <c r="D97" s="2282">
        <f>SUM(E97:F97)</f>
        <v/>
      </c>
      <c r="E97" s="2375">
        <f>SUM(G97+I97+K97+M97+O97+Q97+S97+U97+W97+Y97+AA97+AC97+AE97+AG97+AI97+AK97+AM97)</f>
        <v/>
      </c>
      <c r="F97" s="2375">
        <f>SUM(H97+J97+L97+N97+P97+R97+T97+V97+X97+Z97+AB97+AD97+AF97+AH97+AJ97+AL97+AN97)</f>
        <v/>
      </c>
      <c r="G97" s="2266" t="n"/>
      <c r="H97" s="2337" t="n"/>
      <c r="I97" s="2266" t="n"/>
      <c r="J97" s="2581" t="n"/>
      <c r="K97" s="2266" t="n"/>
      <c r="L97" s="2337" t="n"/>
      <c r="M97" s="2266" t="n"/>
      <c r="N97" s="2337" t="n"/>
      <c r="O97" s="2267" t="n"/>
      <c r="P97" s="2337" t="n"/>
      <c r="Q97" s="2267" t="n"/>
      <c r="R97" s="2337" t="n"/>
      <c r="S97" s="2267" t="n"/>
      <c r="T97" s="2337" t="n"/>
      <c r="U97" s="2267" t="n"/>
      <c r="V97" s="2337" t="n"/>
      <c r="W97" s="2267" t="n"/>
      <c r="X97" s="2337" t="n"/>
      <c r="Y97" s="2267" t="n"/>
      <c r="Z97" s="2337" t="n"/>
      <c r="AA97" s="2267" t="n"/>
      <c r="AB97" s="2337" t="n"/>
      <c r="AC97" s="2267" t="n"/>
      <c r="AD97" s="2337" t="n"/>
      <c r="AE97" s="2267" t="n"/>
      <c r="AF97" s="2337" t="n"/>
      <c r="AG97" s="2267" t="n"/>
      <c r="AH97" s="2337" t="n"/>
      <c r="AI97" s="2267" t="n"/>
      <c r="AJ97" s="2337" t="n"/>
      <c r="AK97" s="2267" t="n"/>
      <c r="AL97" s="2337" t="n"/>
      <c r="AM97" s="2267" t="n"/>
      <c r="AN97" s="1940" t="n"/>
      <c r="AO97" s="2376" t="n"/>
      <c r="AP97" s="835" t="n"/>
      <c r="AQ97" s="835" t="n"/>
      <c r="AR97" s="835" t="n"/>
      <c r="AS97" s="835" t="n"/>
      <c r="AT97" s="2581" t="n"/>
      <c r="AU97" s="2489" t="n"/>
      <c r="AV97" s="1433" t="n"/>
      <c r="AW97" s="2267" t="n"/>
      <c r="AX97" s="1234" t="n"/>
      <c r="AY97">
        <f>CA97&amp;CB97&amp;CC97&amp;CD97&amp;CE97&amp;CF97&amp;CG97&amp;CH97&amp;CI97&amp;CJ97</f>
        <v/>
      </c>
      <c r="CA97" s="196">
        <f>IF(AND((W97+X97)&gt;0,AO97="")," * No olvide digitar la variable 12 años (incluido en el grupo de 10-14 años). Digite Cero si no tiene.",IF(AO97&gt;(W97+X97),"* Las Consultas de 12 años (incluido en el grupo de 10-14 años) NO DEBEN ser mayor que el total de Consultas entre 10-14 años",""))</f>
        <v/>
      </c>
      <c r="CB97" s="196">
        <f>IF(AND($F97&gt;0,AP97="")," * No olvide digitar la variable Gestante. Digite cero si no tiene.",IF(AP97&gt;$F97," * La variable Gestante NO DEBEN ser mayor al Total de Mujeres. ",""))</f>
        <v/>
      </c>
      <c r="CC97" s="196">
        <f>IF(AND(D97&gt;0,AQ97="")," * No olvide digitar la variable  Atención bajo sedación inhalatoria (con óxido nitroso). Digite Cero si no tiene.",IF(AQ97&gt;D97," * La variable  Atención bajo sedación inhalatoria (con óxido nitroso) NO DEBE ser mayor que el Total Ambos Sexos",""))</f>
        <v/>
      </c>
      <c r="CD97" s="196">
        <f>IF(AND((AI97+AJ97)&gt;0,AR97="")," * No olvide digitar la variable 60 años (incluido en grupos de 60-64 años). Digite Cero si no tiene.",IF(AR97&gt;(AI97+AJ97)," * La variable 60 años (incluido en grupos de 60-64 años) NO DEBE ser mayor que el Total de consultas del grupo 60-64 años",""))</f>
        <v/>
      </c>
      <c r="CE97" s="196">
        <f>IF(AND($D97&gt;0,AS97="")," * No olvide digitar la variable Compra de Servicios. Digite Cero si no tiene.","")</f>
        <v/>
      </c>
      <c r="CF97" s="196">
        <f>IF(AND($D97&gt;0,AT97="")," * No olvide digitar la Usuarios con Discapacidad. Digite Cero si no tiene.",IF(AT97&gt;$D97," * La variable Usuarios con Discapacidad No puede ser mayor al Total Ambos Sexos.",""))</f>
        <v/>
      </c>
      <c r="CG97" s="196">
        <f>IF(AND($D97&gt;0,AU97="")," * No olvide digitar la variable "&amp;AU$88&amp;". Digite Cero si no tiene.",IF(AU97&gt;$D97," * La variable "&amp;AU$88&amp;" No puede ser mayor al Total Ambos Sexos.",""))</f>
        <v/>
      </c>
      <c r="CH97" s="196">
        <f>IF(AND($D97&gt;0,AV97="")," * No olvide digitar la variable "&amp;AV$88&amp;" Digite Cero si no tiene.",IF(AV97&gt;$D97," * La variable"&amp;AV$88&amp;"no puede ser mayor al Total Ambos Sexos.",""))</f>
        <v/>
      </c>
      <c r="CI97" s="196">
        <f>IF(AND($D97&gt;0,AW97="")," * No olvide digitar la variable Migrantes. Digite Cero si no tiene.",IF(AW97&gt;$D97," * La variable Migrantes no puede ser mayor al Total Ambos Sexos.",""))</f>
        <v/>
      </c>
      <c r="CJ97" s="198" t="n"/>
      <c r="CO97" s="197">
        <f>IF(AND($D97&gt;0,AO97=""),1,IF(AO97&gt;D97,1,0))</f>
        <v/>
      </c>
      <c r="CP97" s="197">
        <f>IF(AND($F97&gt;0,AP97=""),1,IF(AP97&gt;$F97,1,0))</f>
        <v/>
      </c>
      <c r="CQ97" s="197">
        <f>IF(AND($D97&gt;0,AQ97=""),1,IF(AQ97&gt;$D97,1,0))</f>
        <v/>
      </c>
      <c r="CR97" s="197">
        <f>IF(AND(AI97+AJ97&gt;0,AR97=""),1,IF(AR97&gt;AI97+AJ97,1,0))</f>
        <v/>
      </c>
      <c r="CS97" s="197">
        <f>IF(AND($D97&gt;0,AS97=""),1,0)</f>
        <v/>
      </c>
      <c r="CT97" s="197">
        <f>IF(AND($D97&gt;0,AT97=""),1,IF(AT97&gt;$D97,1,0))</f>
        <v/>
      </c>
      <c r="CU97" s="197">
        <f>IF(AND($D97&gt;0,AU97=""),1,IF(AU97&gt;$D97,1,0))</f>
        <v/>
      </c>
      <c r="CV97" s="197">
        <f>IF(AND($D97&gt;0,AV97=""),1,IF(AV97&gt;$D97,1,0))</f>
        <v/>
      </c>
      <c r="CW97" s="197">
        <f>IF(AND($D97&gt;0,AW97=""),1,IF(AW97&gt;$D97,1,0))</f>
        <v/>
      </c>
      <c r="CX97" s="198" t="n"/>
    </row>
    <row r="98" ht="15" customHeight="1" s="8286">
      <c r="A98" s="9588" t="n"/>
      <c r="B98" s="3877" t="inlineStr">
        <is>
          <t xml:space="preserve">Endodoncia </t>
        </is>
      </c>
      <c r="C98" s="9644" t="n"/>
      <c r="D98" s="1254">
        <f>SUM(E98:F98)</f>
        <v/>
      </c>
      <c r="E98" s="1486">
        <f>SUM(G98+I98+K98+M98+O98+Q98+S98+U98+W98+Y98+AA98+AC98+AE98+AG98+AI98+AK98+AM98)</f>
        <v/>
      </c>
      <c r="F98" s="1486">
        <f>SUM(H98+J98+L98+N98+P98+R98+T98+V98+X98+Z98+AB98+AD98+AF98+AH98+AJ98+AL98+AN98)</f>
        <v/>
      </c>
      <c r="G98" s="1935" t="n"/>
      <c r="H98" s="755" t="n"/>
      <c r="I98" s="1935" t="n"/>
      <c r="J98" s="2261" t="n"/>
      <c r="K98" s="1935" t="n"/>
      <c r="L98" s="755" t="n"/>
      <c r="M98" s="1935" t="n"/>
      <c r="N98" s="755" t="n"/>
      <c r="O98" s="1432" t="n"/>
      <c r="P98" s="755" t="n"/>
      <c r="Q98" s="1432" t="n"/>
      <c r="R98" s="755" t="n"/>
      <c r="S98" s="1432" t="n"/>
      <c r="T98" s="755" t="n"/>
      <c r="U98" s="1432" t="n"/>
      <c r="V98" s="755" t="n"/>
      <c r="W98" s="1432" t="n"/>
      <c r="X98" s="755" t="n"/>
      <c r="Y98" s="1432" t="n"/>
      <c r="Z98" s="755" t="n"/>
      <c r="AA98" s="1432" t="n"/>
      <c r="AB98" s="755" t="n"/>
      <c r="AC98" s="1432" t="n"/>
      <c r="AD98" s="755" t="n"/>
      <c r="AE98" s="1432" t="n"/>
      <c r="AF98" s="755" t="n"/>
      <c r="AG98" s="1432" t="n"/>
      <c r="AH98" s="755" t="n"/>
      <c r="AI98" s="1432" t="n"/>
      <c r="AJ98" s="755" t="n"/>
      <c r="AK98" s="1432" t="n"/>
      <c r="AL98" s="755" t="n"/>
      <c r="AM98" s="1432" t="n"/>
      <c r="AN98" s="792" t="n"/>
      <c r="AO98" s="1966" t="n"/>
      <c r="AP98" s="793" t="n"/>
      <c r="AQ98" s="793" t="n"/>
      <c r="AR98" s="793" t="n"/>
      <c r="AS98" s="793" t="n"/>
      <c r="AT98" s="2261" t="n"/>
      <c r="AU98" s="2699" t="n"/>
      <c r="AV98" s="758" t="n"/>
      <c r="AW98" s="1432" t="n"/>
      <c r="AX98" s="1948" t="n"/>
      <c r="AY98">
        <f>CA98&amp;CB98&amp;CC98&amp;CD98&amp;CE98&amp;CF98&amp;CG98&amp;CH98&amp;CI98&amp;CJ98</f>
        <v/>
      </c>
      <c r="CA98" s="196">
        <f>IF(AND((W98+X98)&gt;0,AO98="")," * No olvide digitar la variable 12 años (incluido en el grupo de 10-14 años). Digite Cero si no tiene.",IF(AO98&gt;(W98+X98),"* Las Consultas de 12 años (incluido en el grupo de 10-14 años) NO DEBEN ser mayor que el total de Consultas entre 10-14 años",""))</f>
        <v/>
      </c>
      <c r="CB98" s="196">
        <f>IF(AND($F98&gt;0,AP98="")," * No olvide digitar la variable Gestante. Digite cero si no tiene.",IF(AP98&gt;$F98," * La variable Gestante NO DEBEN ser mayor al Total de Mujeres. ",""))</f>
        <v/>
      </c>
      <c r="CC98" s="196">
        <f>IF(AND(D98&gt;0,AQ98="")," * No olvide digitar la variable  Atención bajo sedación inhalatoria (con óxido nitroso). Digite Cero si no tiene.",IF(AQ98&gt;D98," * La variable  Atención bajo sedación inhalatoria (con óxido nitroso) NO DEBE ser mayor que el Total Ambos Sexos",""))</f>
        <v/>
      </c>
      <c r="CD98" s="196">
        <f>IF(AND((AI98+AJ98)&gt;0,AR98="")," * No olvide digitar la variable 60 años (incluido en grupos de 60-64 años). Digite Cero si no tiene.",IF(AR98&gt;(AI98+AJ98)," * La variable 60 años (incluido en grupos de 60-64 años) NO DEBE ser mayor que el Total de consultas del grupo 60-64 años",""))</f>
        <v/>
      </c>
      <c r="CE98" s="196">
        <f>IF(AND($D98&gt;0,AS98="")," * No olvide digitar la variable Compra de Servicios. Digite Cero si no tiene.","")</f>
        <v/>
      </c>
      <c r="CF98" s="196">
        <f>IF(AND($D98&gt;0,AT98="")," * No olvide digitar la Usuarios con Discapacidad. Digite Cero si no tiene.",IF(AT98&gt;$D98," * La variable Usuarios con Discapacidad No puede ser mayor al Total Ambos Sexos.",""))</f>
        <v/>
      </c>
      <c r="CG98" s="196">
        <f>IF(AND($D98&gt;0,AU98="")," * No olvide digitar la variable "&amp;AU$88&amp;". Digite Cero si no tiene.",IF(AU98&gt;$D98," * La variable "&amp;AU$88&amp;" No puede ser mayor al Total Ambos Sexos.",""))</f>
        <v/>
      </c>
      <c r="CH98" s="196">
        <f>IF(AND($D98&gt;0,AV98="")," * No olvide digitar la variable "&amp;AV$88&amp;" Digite Cero si no tiene.",IF(AV98&gt;$D98," * La variable"&amp;AV$88&amp;"no puede ser mayor al Total Ambos Sexos.",""))</f>
        <v/>
      </c>
      <c r="CI98" s="196">
        <f>IF(AND($D98&gt;0,AW98="")," * No olvide digitar la variable Migrantes. Digite Cero si no tiene.",IF(AW98&gt;$D98," * La variable Migrantes no puede ser mayor al Total Ambos Sexos.",""))</f>
        <v/>
      </c>
      <c r="CJ98" s="198" t="n"/>
      <c r="CO98" s="197">
        <f>IF(AND($D98&gt;0,AO98=""),1,IF(AO98&gt;D98,1,0))</f>
        <v/>
      </c>
      <c r="CP98" s="197">
        <f>IF(AND($F98&gt;0,AP98=""),1,IF(AP98&gt;$F98,1,0))</f>
        <v/>
      </c>
      <c r="CQ98" s="197">
        <f>IF(AND($D98&gt;0,AQ98=""),1,IF(AQ98&gt;$D98,1,0))</f>
        <v/>
      </c>
      <c r="CR98" s="197">
        <f>IF(AND(AI98+AJ98&gt;0,AR98=""),1,IF(AR98&gt;AI98+AJ98,1,0))</f>
        <v/>
      </c>
      <c r="CS98" s="197">
        <f>IF(AND($D98&gt;0,AS98=""),1,0)</f>
        <v/>
      </c>
      <c r="CT98" s="197">
        <f>IF(AND($D98&gt;0,AT98=""),1,IF(AT98&gt;$D98,1,0))</f>
        <v/>
      </c>
      <c r="CU98" s="197">
        <f>IF(AND($D98&gt;0,AU98=""),1,IF(AU98&gt;$D98,1,0))</f>
        <v/>
      </c>
      <c r="CV98" s="197">
        <f>IF(AND($D98&gt;0,AV98=""),1,IF(AV98&gt;$D98,1,0))</f>
        <v/>
      </c>
      <c r="CW98" s="197">
        <f>IF(AND($D98&gt;0,AW98=""),1,IF(AW98&gt;$D98,1,0))</f>
        <v/>
      </c>
      <c r="CX98" s="198" t="n"/>
    </row>
    <row r="99" ht="15" customHeight="1" s="8286">
      <c r="A99" s="9588" t="n"/>
      <c r="B99" s="3877" t="inlineStr">
        <is>
          <t xml:space="preserve">Odontopediatría </t>
        </is>
      </c>
      <c r="C99" s="9644" t="n"/>
      <c r="D99" s="1254">
        <f>SUM(E99:F99)</f>
        <v/>
      </c>
      <c r="E99" s="2134">
        <f>SUM(G99+I99+K99+M99+O99+Q99+S99+U99+W99+Y99+AA99+AC99+AE99+AG99+AI99+AK99+AM99)</f>
        <v/>
      </c>
      <c r="F99" s="1486">
        <f>SUM(H99+J99+L99+N99+P99+R99+T99+V99+X99+Z99+AB99+AD99+AF99+AH99+AJ99+AL99+AN99)</f>
        <v/>
      </c>
      <c r="G99" s="1172" t="n"/>
      <c r="H99" s="755" t="n"/>
      <c r="I99" s="1935" t="n"/>
      <c r="J99" s="2261" t="n"/>
      <c r="K99" s="1935" t="n"/>
      <c r="L99" s="886" t="n"/>
      <c r="M99" s="1172" t="n"/>
      <c r="N99" s="886" t="n"/>
      <c r="O99" s="1174" t="n"/>
      <c r="P99" s="886" t="n"/>
      <c r="Q99" s="1174" t="n"/>
      <c r="R99" s="886" t="n"/>
      <c r="S99" s="1174" t="n"/>
      <c r="T99" s="886" t="n"/>
      <c r="U99" s="1174" t="n"/>
      <c r="V99" s="886" t="n"/>
      <c r="W99" s="1174" t="n"/>
      <c r="X99" s="886" t="n"/>
      <c r="Y99" s="1174" t="n"/>
      <c r="Z99" s="886" t="n"/>
      <c r="AA99" s="1174" t="n"/>
      <c r="AB99" s="886" t="n"/>
      <c r="AC99" s="1174" t="n"/>
      <c r="AD99" s="886" t="n"/>
      <c r="AE99" s="1174" t="n"/>
      <c r="AF99" s="886" t="n"/>
      <c r="AG99" s="1174" t="n"/>
      <c r="AH99" s="886" t="n"/>
      <c r="AI99" s="1174" t="n"/>
      <c r="AJ99" s="886" t="n"/>
      <c r="AK99" s="1174" t="n"/>
      <c r="AL99" s="886" t="n"/>
      <c r="AM99" s="1174" t="n"/>
      <c r="AN99" s="1929" t="n"/>
      <c r="AO99" s="887" t="n"/>
      <c r="AP99" s="793" t="n"/>
      <c r="AQ99" s="793" t="n"/>
      <c r="AR99" s="793" t="n"/>
      <c r="AS99" s="793" t="n"/>
      <c r="AT99" s="2261" t="n"/>
      <c r="AU99" s="2699" t="n"/>
      <c r="AV99" s="758" t="n"/>
      <c r="AW99" s="1432" t="n"/>
      <c r="AX99" s="1948" t="n"/>
      <c r="AY99">
        <f>CA99&amp;CB99&amp;CC99&amp;CD99&amp;CE99&amp;CF99&amp;CG99&amp;CH99&amp;CI99&amp;CJ99</f>
        <v/>
      </c>
      <c r="CA99" s="196">
        <f>IF(AND((W99+X99)&gt;0,AO99="")," * No olvide digitar la variable 12 años (incluido en el grupo de 10-14 años). Digite Cero si no tiene.",IF(AO99&gt;(W99+X99),"* Las Consultas de 12 años (incluido en el grupo de 10-14 años) NO DEBEN ser mayor que el total de Consultas entre 10-14 años",""))</f>
        <v/>
      </c>
      <c r="CB99" s="196">
        <f>IF(AND($F99&gt;0,AP99="")," * No olvide digitar la variable Gestante. Digite cero si no tiene.",IF(AP99&gt;$F99," * La variable Gestante NO DEBEN ser mayor al Total de Mujeres. ",""))</f>
        <v/>
      </c>
      <c r="CC99" s="196">
        <f>IF(AND(D99&gt;0,AQ99="")," * No olvide digitar la variable  Atención bajo sedación inhalatoria (con óxido nitroso). Digite Cero si no tiene.",IF(AQ99&gt;D99," * La variable  Atención bajo sedación inhalatoria (con óxido nitroso) NO DEBE ser mayor que el Total Ambos Sexos",""))</f>
        <v/>
      </c>
      <c r="CD99" s="196">
        <f>IF(AND((AI99+AJ99)&gt;0,AR99="")," * No olvide digitar la variable 60 años (incluido en grupos de 60-64 años). Digite Cero si no tiene.",IF(AR99&gt;(AI99+AJ99)," * La variable 60 años (incluido en grupos de 60-64 años) NO DEBE ser mayor que el Total de consultas del grupo 60-64 años",""))</f>
        <v/>
      </c>
      <c r="CE99" s="196">
        <f>IF(AND($D99&gt;0,AS99="")," * No olvide digitar la variable Compra de Servicios. Digite Cero si no tiene.","")</f>
        <v/>
      </c>
      <c r="CF99" s="196">
        <f>IF(AND($D99&gt;0,AT99="")," * No olvide digitar la Usuarios con Discapacidad. Digite Cero si no tiene.",IF(AT99&gt;$D99," * La variable Usuarios con Discapacidad No puede ser mayor al Total Ambos Sexos.",""))</f>
        <v/>
      </c>
      <c r="CG99" s="196">
        <f>IF(AND($D99&gt;0,AU99="")," * No olvide digitar la variable "&amp;AU$88&amp;". Digite Cero si no tiene.",IF(AU99&gt;$D99," * La variable "&amp;AU$88&amp;" No puede ser mayor al Total Ambos Sexos.",""))</f>
        <v/>
      </c>
      <c r="CH99" s="196">
        <f>IF(AND($D99&gt;0,AV99="")," * No olvide digitar la variable "&amp;AV$88&amp;" Digite Cero si no tiene.",IF(AV99&gt;$D99," * La variable"&amp;AV$88&amp;"no puede ser mayor al Total Ambos Sexos.",""))</f>
        <v/>
      </c>
      <c r="CI99" s="196">
        <f>IF(AND($D99&gt;0,AW99="")," * No olvide digitar la variable Migrantes. Digite Cero si no tiene.",IF(AW99&gt;$D99," * La variable Migrantes no puede ser mayor al Total Ambos Sexos.",""))</f>
        <v/>
      </c>
      <c r="CJ99" s="198" t="n"/>
      <c r="CO99" s="197">
        <f>IF(AND($D99&gt;0,AO99=""),1,IF(AO99&gt;D99,1,0))</f>
        <v/>
      </c>
      <c r="CP99" s="197">
        <f>IF(AND($F99&gt;0,AP99=""),1,IF(AP99&gt;$F99,1,0))</f>
        <v/>
      </c>
      <c r="CQ99" s="197">
        <f>IF(AND($D99&gt;0,AQ99=""),1,IF(AQ99&gt;$D99,1,0))</f>
        <v/>
      </c>
      <c r="CR99" s="197">
        <f>IF(AND(AI99+AJ99&gt;0,AR99=""),1,IF(AR99&gt;AI99+AJ99,1,0))</f>
        <v/>
      </c>
      <c r="CS99" s="197">
        <f>IF(AND($D99&gt;0,AS99=""),1,0)</f>
        <v/>
      </c>
      <c r="CT99" s="197">
        <f>IF(AND($D99&gt;0,AT99=""),1,IF(AT99&gt;$D99,1,0))</f>
        <v/>
      </c>
      <c r="CU99" s="197">
        <f>IF(AND($D99&gt;0,AU99=""),1,IF(AU99&gt;$D99,1,0))</f>
        <v/>
      </c>
      <c r="CV99" s="197">
        <f>IF(AND($D99&gt;0,AV99=""),1,IF(AV99&gt;$D99,1,0))</f>
        <v/>
      </c>
      <c r="CW99" s="197">
        <f>IF(AND($D99&gt;0,AW99=""),1,IF(AW99&gt;$D99,1,0))</f>
        <v/>
      </c>
      <c r="CX99" s="198" t="n"/>
    </row>
    <row r="100" ht="15" customHeight="1" s="8286">
      <c r="A100" s="9588" t="n"/>
      <c r="B100" s="10245" t="inlineStr">
        <is>
          <t>Periodoncia</t>
        </is>
      </c>
      <c r="C100" s="9646" t="n"/>
      <c r="D100" s="1254">
        <f>SUM(E100:F100)</f>
        <v/>
      </c>
      <c r="E100" s="2134">
        <f>SUM(G100+I100+K100+M100+O100+Q100+S100+U100+W100+Y100+AA100+AC100+AE100+AG100+AI100+AK100+AM100)</f>
        <v/>
      </c>
      <c r="F100" s="1486">
        <f>SUM(H100+J100+L100+N100+P100+R100+T100+V100+X100+Z100+AB100+AD100+AF100+AH100+AJ100+AL100+AN100)</f>
        <v/>
      </c>
      <c r="G100" s="1172" t="n"/>
      <c r="H100" s="755" t="n"/>
      <c r="I100" s="1935" t="n"/>
      <c r="J100" s="2261" t="n"/>
      <c r="K100" s="1935" t="n"/>
      <c r="L100" s="886" t="n"/>
      <c r="M100" s="1172" t="n"/>
      <c r="N100" s="886" t="n"/>
      <c r="O100" s="1174" t="n"/>
      <c r="P100" s="886" t="n"/>
      <c r="Q100" s="1174" t="n"/>
      <c r="R100" s="886" t="n"/>
      <c r="S100" s="1174" t="n"/>
      <c r="T100" s="886" t="n"/>
      <c r="U100" s="1174" t="n"/>
      <c r="V100" s="886" t="n"/>
      <c r="W100" s="1174" t="n"/>
      <c r="X100" s="886" t="n"/>
      <c r="Y100" s="1174" t="n"/>
      <c r="Z100" s="886" t="n"/>
      <c r="AA100" s="1174" t="n"/>
      <c r="AB100" s="886" t="n"/>
      <c r="AC100" s="1174" t="n"/>
      <c r="AD100" s="886" t="n"/>
      <c r="AE100" s="1174" t="n"/>
      <c r="AF100" s="886" t="n"/>
      <c r="AG100" s="1174" t="n"/>
      <c r="AH100" s="886" t="n"/>
      <c r="AI100" s="1174" t="n"/>
      <c r="AJ100" s="886" t="n"/>
      <c r="AK100" s="1174" t="n"/>
      <c r="AL100" s="886" t="n"/>
      <c r="AM100" s="1174" t="n"/>
      <c r="AN100" s="1929" t="n"/>
      <c r="AO100" s="887" t="n"/>
      <c r="AP100" s="793" t="n"/>
      <c r="AQ100" s="793" t="n"/>
      <c r="AR100" s="793" t="n"/>
      <c r="AS100" s="793" t="n"/>
      <c r="AT100" s="2261" t="n"/>
      <c r="AU100" s="2699" t="n"/>
      <c r="AV100" s="758" t="n"/>
      <c r="AW100" s="1432" t="n"/>
      <c r="AX100" s="1948" t="n"/>
      <c r="AY100">
        <f>CA100&amp;CB100&amp;CC100&amp;CD100&amp;CE100&amp;CF100&amp;CG100&amp;CH100&amp;CI100&amp;CJ100</f>
        <v/>
      </c>
      <c r="CA100" s="196">
        <f>IF(AND((W100+X100)&gt;0,AO100="")," * No olvide digitar la variable 12 años (incluido en el grupo de 10-14 años). Digite Cero si no tiene.",IF(AO100&gt;(W100+X100),"* Las Consultas de 12 años (incluido en el grupo de 10-14 años) NO DEBEN ser mayor que el total de Consultas entre 10-14 años",""))</f>
        <v/>
      </c>
      <c r="CB100" s="196">
        <f>IF(AND($F100&gt;0,AP100="")," * No olvide digitar la variable Gestante. Digite cero si no tiene.",IF(AP100&gt;$F100," * La variable Gestante NO DEBEN ser mayor al Total de Mujeres. ",""))</f>
        <v/>
      </c>
      <c r="CC100" s="196">
        <f>IF(AND(D100&gt;0,AQ100="")," * No olvide digitar la variable  Atención bajo sedación inhalatoria (con óxido nitroso). Digite Cero si no tiene.",IF(AQ100&gt;D100," * La variable  Atención bajo sedación inhalatoria (con óxido nitroso) NO DEBE ser mayor que el Total Ambos Sexos",""))</f>
        <v/>
      </c>
      <c r="CD100" s="196">
        <f>IF(AND((AI100+AJ100)&gt;0,AR100="")," * No olvide digitar la variable 60 años (incluido en grupos de 60-64 años). Digite Cero si no tiene.",IF(AR100&gt;(AI100+AJ100)," * La variable 60 años (incluido en grupos de 60-64 años) NO DEBE ser mayor que el Total de consultas del grupo 60-64 años",""))</f>
        <v/>
      </c>
      <c r="CE100" s="196">
        <f>IF(AND($D100&gt;0,AS100="")," * No olvide digitar la variable Compra de Servicios. Digite Cero si no tiene.","")</f>
        <v/>
      </c>
      <c r="CF100" s="196">
        <f>IF(AND($D100&gt;0,AT100="")," * No olvide digitar la Usuarios con Discapacidad. Digite Cero si no tiene.",IF(AT100&gt;$D100," * La variable Usuarios con Discapacidad No puede ser mayor al Total Ambos Sexos.",""))</f>
        <v/>
      </c>
      <c r="CG100" s="196">
        <f>IF(AND($D100&gt;0,AU100="")," * No olvide digitar la variable "&amp;AU$88&amp;". Digite Cero si no tiene.",IF(AU100&gt;$D100," * La variable "&amp;AU$88&amp;" No puede ser mayor al Total Ambos Sexos.",""))</f>
        <v/>
      </c>
      <c r="CH100" s="196">
        <f>IF(AND($D100&gt;0,AV100="")," * No olvide digitar la variable "&amp;AV$88&amp;" Digite Cero si no tiene.",IF(AV100&gt;$D100," * La variable"&amp;AV$88&amp;"no puede ser mayor al Total Ambos Sexos.",""))</f>
        <v/>
      </c>
      <c r="CI100" s="196">
        <f>IF(AND($D100&gt;0,AW100="")," * No olvide digitar la variable Migrantes. Digite Cero si no tiene.",IF(AW100&gt;$D100," * La variable Migrantes no puede ser mayor al Total Ambos Sexos.",""))</f>
        <v/>
      </c>
      <c r="CJ100" s="198" t="n"/>
      <c r="CO100" s="197">
        <f>IF(AND($D100&gt;0,AO100=""),1,IF(AO100&gt;D100,1,0))</f>
        <v/>
      </c>
      <c r="CP100" s="197">
        <f>IF(AND($F100&gt;0,AP100=""),1,IF(AP100&gt;$F100,1,0))</f>
        <v/>
      </c>
      <c r="CQ100" s="197">
        <f>IF(AND($D100&gt;0,AQ100=""),1,IF(AQ100&gt;$D100,1,0))</f>
        <v/>
      </c>
      <c r="CR100" s="197">
        <f>IF(AND(AI100+AJ100&gt;0,AR100=""),1,IF(AR100&gt;AI100+AJ100,1,0))</f>
        <v/>
      </c>
      <c r="CS100" s="197">
        <f>IF(AND($D100&gt;0,AS100=""),1,0)</f>
        <v/>
      </c>
      <c r="CT100" s="197">
        <f>IF(AND($D100&gt;0,AT100=""),1,IF(AT100&gt;$D100,1,0))</f>
        <v/>
      </c>
      <c r="CU100" s="197">
        <f>IF(AND($D100&gt;0,AU100=""),1,IF(AU100&gt;$D100,1,0))</f>
        <v/>
      </c>
      <c r="CV100" s="197">
        <f>IF(AND($D100&gt;0,AV100=""),1,IF(AV100&gt;$D100,1,0))</f>
        <v/>
      </c>
      <c r="CW100" s="197">
        <f>IF(AND($D100&gt;0,AW100=""),1,IF(AW100&gt;$D100,1,0))</f>
        <v/>
      </c>
      <c r="CX100" s="198" t="n"/>
    </row>
    <row r="101" ht="15" customHeight="1" s="8286">
      <c r="A101" s="9588" t="n"/>
      <c r="B101" s="3877" t="inlineStr">
        <is>
          <t>Rehabilitación oral</t>
        </is>
      </c>
      <c r="C101" s="9644" t="n"/>
      <c r="D101" s="1254">
        <f>SUM(E101:F101)</f>
        <v/>
      </c>
      <c r="E101" s="2134">
        <f>SUM(G101+I101+K101+M101+O101+Q101+S101+U101+W101+Y101+AA101+AC101+AE101+AG101+AI101+AK101+AM101)</f>
        <v/>
      </c>
      <c r="F101" s="1486">
        <f>SUM(H101+J101+L101+N101+P101+R101+T101+V101+X101+Z101+AB101+AD101+AF101+AH101+AJ101+AL101+AN101)</f>
        <v/>
      </c>
      <c r="G101" s="1179" t="n"/>
      <c r="H101" s="886" t="n"/>
      <c r="I101" s="1172" t="n"/>
      <c r="J101" s="885" t="n"/>
      <c r="K101" s="1172" t="n"/>
      <c r="L101" s="886" t="n"/>
      <c r="M101" s="1179" t="n"/>
      <c r="N101" s="1183" t="n"/>
      <c r="O101" s="1181" t="n"/>
      <c r="P101" s="1183" t="n"/>
      <c r="Q101" s="1181" t="n"/>
      <c r="R101" s="1183" t="n"/>
      <c r="S101" s="1181" t="n"/>
      <c r="T101" s="1183" t="n"/>
      <c r="U101" s="1181" t="n"/>
      <c r="V101" s="1183" t="n"/>
      <c r="W101" s="1181" t="n"/>
      <c r="X101" s="1183" t="n"/>
      <c r="Y101" s="1181" t="n"/>
      <c r="Z101" s="1183" t="n"/>
      <c r="AA101" s="1181" t="n"/>
      <c r="AB101" s="1183" t="n"/>
      <c r="AC101" s="1181" t="n"/>
      <c r="AD101" s="1183" t="n"/>
      <c r="AE101" s="1181" t="n"/>
      <c r="AF101" s="1183" t="n"/>
      <c r="AG101" s="1181" t="n"/>
      <c r="AH101" s="1183" t="n"/>
      <c r="AI101" s="1181" t="n"/>
      <c r="AJ101" s="1183" t="n"/>
      <c r="AK101" s="1181" t="n"/>
      <c r="AL101" s="1183" t="n"/>
      <c r="AM101" s="1181" t="n"/>
      <c r="AN101" s="1185" t="n"/>
      <c r="AO101" s="1230" t="n"/>
      <c r="AP101" s="2001" t="n"/>
      <c r="AQ101" s="2001" t="n"/>
      <c r="AR101" s="2001" t="n"/>
      <c r="AS101" s="2001" t="n"/>
      <c r="AT101" s="885" t="n"/>
      <c r="AU101" s="2495" t="n"/>
      <c r="AV101" s="1100" t="n"/>
      <c r="AW101" s="1174" t="n"/>
      <c r="AX101" s="1948" t="n"/>
      <c r="AY101">
        <f>CA101&amp;CB101&amp;CC101&amp;CD101&amp;CE101&amp;CF101&amp;CG101&amp;CH101&amp;CI101&amp;CJ101</f>
        <v/>
      </c>
      <c r="CA101" s="196">
        <f>IF(AND((W101+X101)&gt;0,AO101="")," * No olvide digitar la variable 12 años (incluido en el grupo de 10-14 años). Digite Cero si no tiene.",IF(AO101&gt;(W101+X101),"* Las Consultas de 12 años (incluido en el grupo de 10-14 años) NO DEBEN ser mayor que el total de Consultas entre 10-14 años",""))</f>
        <v/>
      </c>
      <c r="CB101" s="196">
        <f>IF(AND($F101&gt;0,AP101="")," * No olvide digitar la variable Gestante. Digite cero si no tiene.",IF(AP101&gt;$F101," * La variable Gestante NO DEBEN ser mayor al Total de Mujeres. ",""))</f>
        <v/>
      </c>
      <c r="CC101" s="196">
        <f>IF(AND(D101&gt;0,AQ101="")," * No olvide digitar la variable  Atención bajo sedación inhalatoria (con óxido nitroso). Digite Cero si no tiene.",IF(AQ101&gt;D101," * La variable  Atención bajo sedación inhalatoria (con óxido nitroso) NO DEBE ser mayor que el Total Ambos Sexos",""))</f>
        <v/>
      </c>
      <c r="CD101" s="196">
        <f>IF(AND((AI101+AJ101)&gt;0,AR101="")," * No olvide digitar la variable 60 años (incluido en grupos de 60-64 años). Digite Cero si no tiene.",IF(AR101&gt;(AI101+AJ101)," * La variable 60 años (incluido en grupos de 60-64 años) NO DEBE ser mayor que el Total de consultas del grupo 60-64 años",""))</f>
        <v/>
      </c>
      <c r="CE101" s="196">
        <f>IF(AND($D101&gt;0,AS101="")," * No olvide digitar la variable Compra de Servicios. Digite Cero si no tiene.","")</f>
        <v/>
      </c>
      <c r="CF101" s="196">
        <f>IF(AND($D101&gt;0,AT101="")," * No olvide digitar la Usuarios con Discapacidad. Digite Cero si no tiene.",IF(AT101&gt;$D101," * La variable Usuarios con Discapacidad No puede ser mayor al Total Ambos Sexos.",""))</f>
        <v/>
      </c>
      <c r="CG101" s="196">
        <f>IF(AND($D101&gt;0,AU101="")," * No olvide digitar la variable "&amp;AU$88&amp;". Digite Cero si no tiene.",IF(AU101&gt;$D101," * La variable "&amp;AU$88&amp;" No puede ser mayor al Total Ambos Sexos.",""))</f>
        <v/>
      </c>
      <c r="CH101" s="196">
        <f>IF(AND($D101&gt;0,AV101="")," * No olvide digitar la variable "&amp;AV$88&amp;" Digite Cero si no tiene.",IF(AV101&gt;$D101," * La variable"&amp;AV$88&amp;"no puede ser mayor al Total Ambos Sexos.",""))</f>
        <v/>
      </c>
      <c r="CI101" s="196">
        <f>IF(AND($D101&gt;0,AW101="")," * No olvide digitar la variable Migrantes. Digite Cero si no tiene.",IF(AW101&gt;$D101," * La variable Migrantes no puede ser mayor al Total Ambos Sexos.",""))</f>
        <v/>
      </c>
      <c r="CJ101" s="198" t="n"/>
      <c r="CO101" s="197">
        <f>IF(AND($D101&gt;0,AO101=""),1,IF(AO101&gt;D101,1,0))</f>
        <v/>
      </c>
      <c r="CP101" s="197">
        <f>IF(AND($F101&gt;0,AP101=""),1,IF(AP101&gt;$F101,1,0))</f>
        <v/>
      </c>
      <c r="CQ101" s="197">
        <f>IF(AND($D101&gt;0,AQ101=""),1,IF(AQ101&gt;$D101,1,0))</f>
        <v/>
      </c>
      <c r="CR101" s="197">
        <f>IF(AND(AI101+AJ101&gt;0,AR101=""),1,IF(AR101&gt;AI101+AJ101,1,0))</f>
        <v/>
      </c>
      <c r="CS101" s="197">
        <f>IF(AND($D101&gt;0,AS101=""),1,0)</f>
        <v/>
      </c>
      <c r="CT101" s="197">
        <f>IF(AND($D101&gt;0,AT101=""),1,IF(AT101&gt;$D101,1,0))</f>
        <v/>
      </c>
      <c r="CU101" s="197">
        <f>IF(AND($D101&gt;0,AU101=""),1,IF(AU101&gt;$D101,1,0))</f>
        <v/>
      </c>
      <c r="CV101" s="197">
        <f>IF(AND($D101&gt;0,AV101=""),1,IF(AV101&gt;$D101,1,0))</f>
        <v/>
      </c>
      <c r="CW101" s="197">
        <f>IF(AND($D101&gt;0,AW101=""),1,IF(AW101&gt;$D101,1,0))</f>
        <v/>
      </c>
      <c r="CX101" s="198" t="n"/>
    </row>
    <row r="102" ht="15" customHeight="1" s="8286">
      <c r="A102" s="9589" t="n"/>
      <c r="B102" s="10223" t="inlineStr">
        <is>
          <t>Otras especialidades odontológicas</t>
        </is>
      </c>
      <c r="C102" s="9720" t="n"/>
      <c r="D102" s="1252">
        <f>SUM(E102:F102)</f>
        <v/>
      </c>
      <c r="E102" s="1358">
        <f>SUM(G102+I102+K102+M102+O102+Q102+S102+U102+W102+Y102+AA102+AC102+AE102+AG102+AI102+AK102+AM102)</f>
        <v/>
      </c>
      <c r="F102" s="7764">
        <f>SUM(H102+J102+L102+N102+P102+R102+T102+V102+X102+Z102+AB102+AD102+AF102+AH102+AJ102+AL102+AN102)</f>
        <v/>
      </c>
      <c r="G102" s="1188" t="n"/>
      <c r="H102" s="183" t="n"/>
      <c r="I102" s="2644" t="n"/>
      <c r="J102" s="185" t="n"/>
      <c r="K102" s="2644" t="n"/>
      <c r="L102" s="183" t="n"/>
      <c r="M102" s="1188" t="n"/>
      <c r="N102" s="1119" t="n"/>
      <c r="O102" s="1193" t="n"/>
      <c r="P102" s="1119" t="n"/>
      <c r="Q102" s="1193" t="n"/>
      <c r="R102" s="1119" t="n"/>
      <c r="S102" s="1193" t="n"/>
      <c r="T102" s="1119" t="n"/>
      <c r="U102" s="1193" t="n"/>
      <c r="V102" s="1119" t="n"/>
      <c r="W102" s="1193" t="n"/>
      <c r="X102" s="1119" t="n"/>
      <c r="Y102" s="1193" t="n"/>
      <c r="Z102" s="1119" t="n"/>
      <c r="AA102" s="1193" t="n"/>
      <c r="AB102" s="1119" t="n"/>
      <c r="AC102" s="1193" t="n"/>
      <c r="AD102" s="1119" t="n"/>
      <c r="AE102" s="1193" t="n"/>
      <c r="AF102" s="1119" t="n"/>
      <c r="AG102" s="1193" t="n"/>
      <c r="AH102" s="1119" t="n"/>
      <c r="AI102" s="1193" t="n"/>
      <c r="AJ102" s="1119" t="n"/>
      <c r="AK102" s="1193" t="n"/>
      <c r="AL102" s="1119" t="n"/>
      <c r="AM102" s="1193" t="n"/>
      <c r="AN102" s="1224" t="n"/>
      <c r="AO102" s="1225" t="n"/>
      <c r="AP102" s="155" t="n"/>
      <c r="AQ102" s="155" t="n"/>
      <c r="AR102" s="155" t="n"/>
      <c r="AS102" s="155" t="n"/>
      <c r="AT102" s="185" t="n"/>
      <c r="AU102" s="2826" t="n"/>
      <c r="AV102" s="743" t="n"/>
      <c r="AW102" s="2652" t="n"/>
      <c r="AX102" s="2825" t="n"/>
      <c r="AY102">
        <f>CA102&amp;CB102&amp;CC102&amp;CD102&amp;CE102&amp;CF102&amp;CG102&amp;CH102&amp;CI102&amp;CJ102</f>
        <v/>
      </c>
      <c r="CA102" s="196">
        <f>IF(AND((W102+X102)&gt;0,AO102="")," * No olvide digitar la variable 12 años (incluido en el grupo de 10-14 años). Digite Cero si no tiene.",IF(AO102&gt;(W102+X102),"* Las Consultas de 12 años (incluido en el grupo de 10-14 años) NO DEBEN ser mayor que el total de Consultas entre 10-14 años",""))</f>
        <v/>
      </c>
      <c r="CB102" s="196">
        <f>IF(AND($F102&gt;0,AP102="")," * No olvide digitar la variable Gestante. Digite cero si no tiene.",IF(AP102&gt;$F102," * La variable Gestante NO DEBEN ser mayor al Total de Mujeres. ",""))</f>
        <v/>
      </c>
      <c r="CC102" s="196">
        <f>IF(AND(D102&gt;0,AQ102="")," * No olvide digitar la variable  Atención bajo sedación inhalatoria (con óxido nitroso). Digite Cero si no tiene.",IF(AQ102&gt;D102," * La variable  Atención bajo sedación inhalatoria (con óxido nitroso) NO DEBE ser mayor que el Total Ambos Sexos",""))</f>
        <v/>
      </c>
      <c r="CD102" s="196">
        <f>IF(AND((AI102+AJ102)&gt;0,AR102="")," * No olvide digitar la variable 60 años (incluido en grupos de 60-64 años). Digite Cero si no tiene.",IF(AR102&gt;(AI102+AJ102)," * La variable 60 años (incluido en grupos de 60-64 años) NO DEBE ser mayor que el Total de consultas del grupo 60-64 años",""))</f>
        <v/>
      </c>
      <c r="CE102" s="196">
        <f>IF(AND($D102&gt;0,AS102="")," * No olvide digitar la variable Compra de Servicios. Digite Cero si no tiene.","")</f>
        <v/>
      </c>
      <c r="CF102" s="196">
        <f>IF(AND($D102&gt;0,AT102="")," * No olvide digitar la Usuarios con Discapacidad. Digite Cero si no tiene.",IF(AT102&gt;$D102," * La variable Usuarios con Discapacidad No puede ser mayor al Total Ambos Sexos.",""))</f>
        <v/>
      </c>
      <c r="CG102" s="196">
        <f>IF(AND($D102&gt;0,AU102="")," * No olvide digitar la variable "&amp;AU$88&amp;". Digite Cero si no tiene.",IF(AU102&gt;$D102," * La variable "&amp;AU$88&amp;" No puede ser mayor al Total Ambos Sexos.",""))</f>
        <v/>
      </c>
      <c r="CH102" s="196">
        <f>IF(AND($D102&gt;0,AV102="")," * No olvide digitar la variable "&amp;AV$88&amp;" Digite Cero si no tiene.",IF(AV102&gt;$D102," * La variable"&amp;AV$88&amp;"no puede ser mayor al Total Ambos Sexos.",""))</f>
        <v/>
      </c>
      <c r="CI102" s="196">
        <f>IF(AND($D102&gt;0,AW102="")," * No olvide digitar la variable Migrantes. Digite Cero si no tiene.",IF(AW102&gt;$D102," * La variable Migrantes no puede ser mayor al Total Ambos Sexos.",""))</f>
        <v/>
      </c>
      <c r="CJ102" s="198" t="n"/>
      <c r="CO102" s="197">
        <f>IF(AND($D102&gt;0,AO102=""),1,IF(AO102&gt;D102,1,0))</f>
        <v/>
      </c>
      <c r="CP102" s="197">
        <f>IF(AND($F102&gt;0,AP102=""),1,IF(AP102&gt;$F102,1,0))</f>
        <v/>
      </c>
      <c r="CQ102" s="197">
        <f>IF(AND($D102&gt;0,AQ102=""),1,IF(AQ102&gt;$D102,1,0))</f>
        <v/>
      </c>
      <c r="CR102" s="197">
        <f>IF(AND(AI102+AJ102&gt;0,AR102=""),1,IF(AR102&gt;AI102+AJ102,1,0))</f>
        <v/>
      </c>
      <c r="CS102" s="197">
        <f>IF(AND($D102&gt;0,AS102=""),1,0)</f>
        <v/>
      </c>
      <c r="CT102" s="197">
        <f>IF(AND($D102&gt;0,AT102=""),1,IF(AT102&gt;$D102,1,0))</f>
        <v/>
      </c>
      <c r="CU102" s="197">
        <f>IF(AND($D102&gt;0,AU102=""),1,IF(AU102&gt;$D102,1,0))</f>
        <v/>
      </c>
      <c r="CV102" s="197">
        <f>IF(AND($D102&gt;0,AV102=""),1,IF(AV102&gt;$D102,1,0))</f>
        <v/>
      </c>
      <c r="CW102" s="197">
        <f>IF(AND($D102&gt;0,AW102=""),1,IF(AW102&gt;$D102,1,0))</f>
        <v/>
      </c>
      <c r="CX102" s="198" t="n"/>
    </row>
    <row r="103" ht="15" customHeight="1" s="8286">
      <c r="A103" s="10222" t="inlineStr">
        <is>
          <t xml:space="preserve">Tratamiento traumatismo dentoalveolar </t>
        </is>
      </c>
      <c r="B103" s="9758" t="n"/>
      <c r="C103" s="9935" t="n"/>
      <c r="D103" s="1931">
        <f>SUM(E103:F103)</f>
        <v/>
      </c>
      <c r="E103" s="1997">
        <f>SUM(G103+I103+K103+M103+O103+Q103+S103+U103+W103+Y103+AA103+AC103+AE103+AG103+AI103+AK103+AM103)</f>
        <v/>
      </c>
      <c r="F103" s="752">
        <f>SUM(H103+J103+L103+N103+P103+R103+T103+V103+X103+Z103+AB103+AD103+AF103+AH103+AJ103+AL103+AN103)</f>
        <v/>
      </c>
      <c r="G103" s="1935" t="n"/>
      <c r="H103" s="755" t="n"/>
      <c r="I103" s="1935" t="n"/>
      <c r="J103" s="2261" t="n"/>
      <c r="K103" s="1935" t="n"/>
      <c r="L103" s="755" t="n"/>
      <c r="M103" s="1935" t="n"/>
      <c r="N103" s="755" t="n"/>
      <c r="O103" s="1432" t="n"/>
      <c r="P103" s="755" t="n"/>
      <c r="Q103" s="1432" t="n"/>
      <c r="R103" s="755" t="n"/>
      <c r="S103" s="1432" t="n"/>
      <c r="T103" s="755" t="n"/>
      <c r="U103" s="1432" t="n"/>
      <c r="V103" s="755" t="n"/>
      <c r="W103" s="1432" t="n"/>
      <c r="X103" s="755" t="n"/>
      <c r="Y103" s="1432" t="n"/>
      <c r="Z103" s="755" t="n"/>
      <c r="AA103" s="1432" t="n"/>
      <c r="AB103" s="755" t="n"/>
      <c r="AC103" s="1432" t="n"/>
      <c r="AD103" s="755" t="n"/>
      <c r="AE103" s="1432" t="n"/>
      <c r="AF103" s="755" t="n"/>
      <c r="AG103" s="1432" t="n"/>
      <c r="AH103" s="755" t="n"/>
      <c r="AI103" s="1432" t="n"/>
      <c r="AJ103" s="755" t="n"/>
      <c r="AK103" s="1432" t="n"/>
      <c r="AL103" s="755" t="n"/>
      <c r="AM103" s="1432" t="n"/>
      <c r="AN103" s="792" t="n"/>
      <c r="AO103" s="1966" t="n"/>
      <c r="AP103" s="793" t="n"/>
      <c r="AQ103" s="793" t="n"/>
      <c r="AR103" s="793" t="n"/>
      <c r="AS103" s="793" t="n"/>
      <c r="AT103" s="2261" t="n"/>
      <c r="AU103" s="2699" t="n"/>
      <c r="AV103" s="758" t="n"/>
      <c r="AW103" s="1432" t="n"/>
      <c r="AX103" s="1234" t="n"/>
      <c r="AY103">
        <f>CA103&amp;CB103&amp;CC103&amp;CD103&amp;CE103&amp;CF103&amp;CG103&amp;CH103&amp;CI103&amp;CJ103</f>
        <v/>
      </c>
      <c r="CA103" s="196">
        <f>IF(AND((W103+X103)&gt;0,AO103="")," * No olvide digitar la variable 12 años (incluido en el grupo de 10-14 años). Digite Cero si no tiene.",IF(AO103&gt;(W103+X103),"* Las Consultas de 12 años (incluido en el grupo de 10-14 años) NO DEBEN ser mayor que el total de Consultas entre 10-14 años",""))</f>
        <v/>
      </c>
      <c r="CB103" s="196">
        <f>IF(AND($F103&gt;0,AP103="")," * No olvide digitar la variable Gestante. Digite cero si no tiene.",IF(AP103&gt;$F103," * La variable Gestante NO DEBEN ser mayor al Total de Mujeres. ",""))</f>
        <v/>
      </c>
      <c r="CC103" s="196">
        <f>IF(AND(D103&gt;0,AQ103="")," * No olvide digitar la variable  Atención bajo sedación inhalatoria (con óxido nitroso). Digite Cero si no tiene.",IF(AQ103&gt;D103," * La variable  Atención bajo sedación inhalatoria (con óxido nitroso) NO DEBE ser mayor que el Total Ambos Sexos",""))</f>
        <v/>
      </c>
      <c r="CD103" s="196">
        <f>IF(AND((AI103+AJ103)&gt;0,AR103="")," * No olvide digitar la variable 60 años (incluido en grupos de 60-64 años). Digite Cero si no tiene.",IF(AR103&gt;(AI103+AJ103)," * La variable 60 años (incluido en grupos de 60-64 años) NO DEBE ser mayor que el Total de consultas del grupo 60-64 años",""))</f>
        <v/>
      </c>
      <c r="CE103" s="196">
        <f>IF(AND($D103&gt;0,AS103="")," * No olvide digitar la variable Compra de Servicios. Digite Cero si no tiene.","")</f>
        <v/>
      </c>
      <c r="CF103" s="196">
        <f>IF(AND($D103&gt;0,AT103="")," * No olvide digitar la Usuarios con Discapacidad. Digite Cero si no tiene.",IF(AT103&gt;$D103," * La variable Usuarios con Discapacidad No puede ser mayor al Total Ambos Sexos.",""))</f>
        <v/>
      </c>
      <c r="CG103" s="196">
        <f>IF(AND($D103&gt;0,AU103="")," * No olvide digitar la variable "&amp;AU$88&amp;". Digite Cero si no tiene.",IF(AU103&gt;$D103," * La variable "&amp;AU$88&amp;" No puede ser mayor al Total Ambos Sexos.",""))</f>
        <v/>
      </c>
      <c r="CH103" s="196">
        <f>IF(AND($D103&gt;0,AV103="")," * No olvide digitar la variable "&amp;AV$88&amp;" Digite Cero si no tiene.",IF(AV103&gt;$D103," * La variable"&amp;AV$88&amp;"no puede ser mayor al Total Ambos Sexos.",""))</f>
        <v/>
      </c>
      <c r="CI103" s="196">
        <f>IF(AND($D103&gt;0,AW103="")," * No olvide digitar la variable Migrantes. Digite Cero si no tiene.",IF(AW103&gt;$D103," * La variable Migrantes no puede ser mayor al Total Ambos Sexos.",""))</f>
        <v/>
      </c>
      <c r="CJ103" s="198" t="n"/>
      <c r="CO103" s="197">
        <f>IF(AND($D103&gt;0,AO103=""),1,IF(AO103&gt;D103,1,0))</f>
        <v/>
      </c>
      <c r="CP103" s="197">
        <f>IF(AND($F103&gt;0,AP103=""),1,IF(AP103&gt;$F103,1,0))</f>
        <v/>
      </c>
      <c r="CQ103" s="197">
        <f>IF(AND($D103&gt;0,AQ103=""),1,IF(AQ103&gt;$D103,1,0))</f>
        <v/>
      </c>
      <c r="CR103" s="197">
        <f>IF(AND(AI103+AJ103&gt;0,AR103=""),1,IF(AR103&gt;AI103+AJ103,1,0))</f>
        <v/>
      </c>
      <c r="CS103" s="197">
        <f>IF(AND($D103&gt;0,AS103=""),1,0)</f>
        <v/>
      </c>
      <c r="CT103" s="197">
        <f>IF(AND($D103&gt;0,AT103=""),1,IF(AT103&gt;$D103,1,0))</f>
        <v/>
      </c>
      <c r="CU103" s="197">
        <f>IF(AND($D103&gt;0,AU103=""),1,IF(AU103&gt;$D103,1,0))</f>
        <v/>
      </c>
      <c r="CV103" s="197">
        <f>IF(AND($D103&gt;0,AV103=""),1,IF(AV103&gt;$D103,1,0))</f>
        <v/>
      </c>
      <c r="CW103" s="197">
        <f>IF(AND($D103&gt;0,AW103=""),1,IF(AW103&gt;$D103,1,0))</f>
        <v/>
      </c>
      <c r="CX103" s="198" t="n"/>
    </row>
    <row r="104" ht="15" customHeight="1" s="8286">
      <c r="A104" s="10246" t="inlineStr">
        <is>
          <t>Obturación indirecta (inlays u onlays)</t>
        </is>
      </c>
      <c r="B104" s="10208" t="n"/>
      <c r="C104" s="9644" t="n"/>
      <c r="D104" s="1254">
        <f>SUM(E104:F104)</f>
        <v/>
      </c>
      <c r="E104" s="1486">
        <f>SUM(Y104+AA104+AC104+AE104+AG104+AI104+AK104+AM104)</f>
        <v/>
      </c>
      <c r="F104" s="894">
        <f>SUM(Z104+AB104+AD104+AF104+AH104+AJ104+AL104+AN104)</f>
        <v/>
      </c>
      <c r="G104" s="1941" t="n"/>
      <c r="H104" s="890" t="n"/>
      <c r="I104" s="1941" t="n"/>
      <c r="J104" s="2827" t="n"/>
      <c r="K104" s="1941" t="n"/>
      <c r="L104" s="890" t="n"/>
      <c r="M104" s="1941" t="n"/>
      <c r="N104" s="890" t="n"/>
      <c r="O104" s="1942" t="n"/>
      <c r="P104" s="890" t="n"/>
      <c r="Q104" s="1942" t="n"/>
      <c r="R104" s="890" t="n"/>
      <c r="S104" s="1942" t="n"/>
      <c r="T104" s="890" t="n"/>
      <c r="U104" s="1942" t="n"/>
      <c r="V104" s="890" t="n"/>
      <c r="W104" s="1942" t="n"/>
      <c r="X104" s="890" t="n"/>
      <c r="Y104" s="1174" t="n"/>
      <c r="Z104" s="886" t="n"/>
      <c r="AA104" s="1174" t="n"/>
      <c r="AB104" s="886" t="n"/>
      <c r="AC104" s="1174" t="n"/>
      <c r="AD104" s="886" t="n"/>
      <c r="AE104" s="1174" t="n"/>
      <c r="AF104" s="886" t="n"/>
      <c r="AG104" s="1174" t="n"/>
      <c r="AH104" s="886" t="n"/>
      <c r="AI104" s="1174" t="n"/>
      <c r="AJ104" s="886" t="n"/>
      <c r="AK104" s="1174" t="n"/>
      <c r="AL104" s="886" t="n"/>
      <c r="AM104" s="1174" t="n"/>
      <c r="AN104" s="1929" t="n"/>
      <c r="AO104" s="896" t="n"/>
      <c r="AP104" s="793" t="n"/>
      <c r="AQ104" s="793" t="n"/>
      <c r="AR104" s="793" t="n"/>
      <c r="AS104" s="793" t="n"/>
      <c r="AT104" s="2261" t="n"/>
      <c r="AU104" s="2699" t="n"/>
      <c r="AV104" s="758" t="n"/>
      <c r="AW104" s="1432" t="n"/>
      <c r="AX104" s="1186" t="n"/>
      <c r="AY104">
        <f>CA104&amp;CB104&amp;CC104&amp;CD104&amp;CE104&amp;CF104&amp;CG104&amp;CH104&amp;CI104&amp;CJ104</f>
        <v/>
      </c>
      <c r="CA104" s="198" t="n"/>
      <c r="CB104" s="196">
        <f>IF(AND($F104&gt;0,AP104="")," * No olvide digitar la variable Gestante. Digite cero si no tiene.",IF(AP104&gt;$F104," * La variable Gestante NO DEBEN ser mayor al Total de Mujeres. ",""))</f>
        <v/>
      </c>
      <c r="CC104" s="196">
        <f>IF(AND(D104&gt;0,AQ104="")," * No olvide digitar la variable  Atención bajo sedación inhalatoria (con óxido nitroso). Digite Cero si no tiene.",IF(AQ104&gt;D104," * La variable  Atención bajo sedación inhalatoria (con óxido nitroso) NO DEBE ser mayor que el Total Ambos Sexos",""))</f>
        <v/>
      </c>
      <c r="CD104" s="196">
        <f>IF(AND((AI104+AJ104)&gt;0,AR104="")," * No olvide digitar la variable 60 años (incluido en grupos de 60-64 años). Digite Cero si no tiene.",IF(AR104&gt;(AI104+AJ104)," * La variable 60 años (incluido en grupos de 60-64 años) NO DEBE ser mayor que el Total de consultas del grupo 60-64 años",""))</f>
        <v/>
      </c>
      <c r="CE104" s="196">
        <f>IF(AND($D104&gt;0,AS104="")," * No olvide digitar la variable Compra de Servicios. Digite Cero si no tiene.","")</f>
        <v/>
      </c>
      <c r="CF104" s="196">
        <f>IF(AND($D104&gt;0,AT104="")," * No olvide digitar la Usuarios con Discapacidad. Digite Cero si no tiene.",IF(AT104&gt;$D104," * La variable Usuarios con Discapacidad No puede ser mayor al Total Ambos Sexos.",""))</f>
        <v/>
      </c>
      <c r="CG104" s="196">
        <f>IF(AND($D104&gt;0,AU104="")," * No olvide digitar la variable "&amp;AU$88&amp;". Digite Cero si no tiene.",IF(AU104&gt;$D104," * La variable "&amp;AU$88&amp;" No puede ser mayor al Total Ambos Sexos.",""))</f>
        <v/>
      </c>
      <c r="CH104" s="196">
        <f>IF(AND($D104&gt;0,AV104="")," * No olvide digitar la variable "&amp;AV$88&amp;" Digite Cero si no tiene.",IF(AV104&gt;$D104," * La variable"&amp;AV$88&amp;"no puede ser mayor al Total Ambos Sexos.",""))</f>
        <v/>
      </c>
      <c r="CI104" s="196">
        <f>IF(AND($D104&gt;0,AW104="")," * No olvide digitar la variable Migrantes. Digite Cero si no tiene.",IF(AW104&gt;$D104," * La variable Migrantes no puede ser mayor al Total Ambos Sexos.",""))</f>
        <v/>
      </c>
      <c r="CJ104" s="196">
        <f>IF(AND($D104&gt;0,AX104="")," * No olvide digitar la variable Flujo digital. Digite Cero si no tiene.",IF(AX104&gt;$D104," * La variable Flujo digital no puede ser mayor al Total Ambos Sexos.",""))</f>
        <v/>
      </c>
      <c r="CO104" s="198" t="n"/>
      <c r="CP104" s="197">
        <f>IF(AND($F104&gt;0,AP104=""),1,IF(AP104&gt;$F104,1,0))</f>
        <v/>
      </c>
      <c r="CQ104" s="197">
        <f>IF(AND($D104&gt;0,AQ104=""),1,IF(AQ104&gt;$D104,1,0))</f>
        <v/>
      </c>
      <c r="CR104" s="197">
        <f>IF(AND(AI104+AJ104&gt;0,AR104=""),1,IF(AR104&gt;AI104+AJ104,1,0))</f>
        <v/>
      </c>
      <c r="CS104" s="197">
        <f>IF(AND($D104&gt;0,AS104=""),1,0)</f>
        <v/>
      </c>
      <c r="CT104" s="197">
        <f>IF(AND($D104&gt;0,AT104=""),1,IF(AT104&gt;$D104,1,0))</f>
        <v/>
      </c>
      <c r="CU104" s="197">
        <f>IF(AND($D104&gt;0,AU104=""),1,IF(AU104&gt;$D104,1,0))</f>
        <v/>
      </c>
      <c r="CV104" s="197">
        <f>IF(AND($D104&gt;0,AV104=""),1,IF(AV104&gt;$D104,1,0))</f>
        <v/>
      </c>
      <c r="CW104" s="197">
        <f>IF(AND($D104&gt;0,AW104=""),1,IF(AW104&gt;$D104,1,0))</f>
        <v/>
      </c>
      <c r="CX104" s="197">
        <f>IF(AND($D104&gt;0,AX104=""),1,IF(AX104&gt;$D104,1,0))</f>
        <v/>
      </c>
    </row>
    <row r="105" ht="15" customHeight="1" s="8286">
      <c r="A105" s="10246" t="inlineStr">
        <is>
          <t xml:space="preserve">Instalación aparato removible ortodóncico </t>
        </is>
      </c>
      <c r="B105" s="10208" t="n"/>
      <c r="C105" s="9644" t="n"/>
      <c r="D105" s="1254">
        <f>SUM(E105:F105)</f>
        <v/>
      </c>
      <c r="E105" s="1486">
        <f>SUM(G105+I105+K105+M105+O105+Q105+S105+U105+W105+Y105)</f>
        <v/>
      </c>
      <c r="F105" s="894">
        <f>SUM(H105+J105+L105+N105+P105+R105+T105+V105+X105+Z105)</f>
        <v/>
      </c>
      <c r="G105" s="1172" t="n"/>
      <c r="H105" s="886" t="n"/>
      <c r="I105" s="1172" t="n"/>
      <c r="J105" s="885" t="n"/>
      <c r="K105" s="1935" t="n"/>
      <c r="L105" s="886" t="n"/>
      <c r="M105" s="1172" t="n"/>
      <c r="N105" s="886" t="n"/>
      <c r="O105" s="1174" t="n"/>
      <c r="P105" s="886" t="n"/>
      <c r="Q105" s="1174" t="n"/>
      <c r="R105" s="886" t="n"/>
      <c r="S105" s="1174" t="n"/>
      <c r="T105" s="886" t="n"/>
      <c r="U105" s="1174" t="n"/>
      <c r="V105" s="886" t="n"/>
      <c r="W105" s="1174" t="n"/>
      <c r="X105" s="886" t="n"/>
      <c r="Y105" s="1174" t="n"/>
      <c r="Z105" s="886" t="n"/>
      <c r="AA105" s="1942" t="n"/>
      <c r="AB105" s="890" t="n"/>
      <c r="AC105" s="1942" t="n"/>
      <c r="AD105" s="890" t="n"/>
      <c r="AE105" s="1942" t="n"/>
      <c r="AF105" s="890" t="n"/>
      <c r="AG105" s="1942" t="n"/>
      <c r="AH105" s="890" t="n"/>
      <c r="AI105" s="1942" t="n"/>
      <c r="AJ105" s="890" t="n"/>
      <c r="AK105" s="1942" t="n"/>
      <c r="AL105" s="890" t="n"/>
      <c r="AM105" s="1942" t="n"/>
      <c r="AN105" s="2055" t="n"/>
      <c r="AO105" s="887" t="n"/>
      <c r="AP105" s="2001" t="n"/>
      <c r="AQ105" s="2001" t="n"/>
      <c r="AR105" s="2054" t="n"/>
      <c r="AS105" s="2001" t="n"/>
      <c r="AT105" s="885" t="n"/>
      <c r="AU105" s="2495" t="n"/>
      <c r="AV105" s="1100" t="n"/>
      <c r="AW105" s="1174" t="n"/>
      <c r="AX105" s="1948" t="n"/>
      <c r="AY105">
        <f>CA105&amp;CB105&amp;CC105&amp;CD105&amp;CE105&amp;CF105&amp;CG105&amp;CH105&amp;CI105&amp;CJ105</f>
        <v/>
      </c>
      <c r="CA105" s="196">
        <f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>
        <f>IF(AND($F105&gt;0,AP105="")," * No olvide digitar la variable Gestante. Digite cero si no tiene.",IF(AP105&gt;$F105," * La variable Gestante NO DEBEN ser mayor al Total de Mujeres. ",""))</f>
        <v/>
      </c>
      <c r="CC105" s="196">
        <f>IF(AND(D105&gt;0,AQ105="")," * No olvide digitar la variable  Atención bajo sedación inhalatoria (con óxido nitroso). Digite Cero si no tiene.",IF(AQ105&gt;D105," * La variable  Atención bajo sedación inhalatoria (con óxido nitroso) NO DEBE ser mayor que el Total Ambos Sexos",""))</f>
        <v/>
      </c>
      <c r="CD105" s="198" t="n"/>
      <c r="CE105" s="196">
        <f>IF(AND($D105&gt;0,AS105="")," * No olvide digitar la variable Compra de Servicios. Digite Cero si no tiene.","")</f>
        <v/>
      </c>
      <c r="CF105" s="196">
        <f>IF(AND($D105&gt;0,AT105="")," * No olvide digitar la Usuarios con Discapacidad. Digite Cero si no tiene.",IF(AT105&gt;$D105," * La variable Usuarios con Discapacidad No puede ser mayor al Total Ambos Sexos.",""))</f>
        <v/>
      </c>
      <c r="CG105" s="196">
        <f>IF(AND($D105&gt;0,AU105="")," * No olvide digitar la variable "&amp;AU$88&amp;". Digite Cero si no tiene.",IF(AU105&gt;$D105," * La variable "&amp;AU$88&amp;" No puede ser mayor al Total Ambos Sexos.",""))</f>
        <v/>
      </c>
      <c r="CH105" s="196">
        <f>IF(AND($D105&gt;0,AV105="")," * No olvide digitar la variable "&amp;AV$88&amp;" Digite Cero si no tiene.",IF(AV105&gt;$D105," * La variable"&amp;AV$88&amp;"no puede ser mayor al Total Ambos Sexos.",""))</f>
        <v/>
      </c>
      <c r="CI105" s="196">
        <f>IF(AND($D105&gt;0,AW105="")," * No olvide digitar la variable Migrantes. Digite Cero si no tiene.",IF(AW105&gt;$D105," * La variable Migrantes no puede ser mayor al Total Ambos Sexos.",""))</f>
        <v/>
      </c>
      <c r="CJ105" s="198" t="n"/>
      <c r="CO105" s="197">
        <f>IF(AND($D105&gt;0,AO105=""),1,IF(AO105&gt;D105,1,0))</f>
        <v/>
      </c>
      <c r="CP105" s="197">
        <f>IF(AND($F105&gt;0,AP105=""),1,IF(AP105&gt;$F105,1,0))</f>
        <v/>
      </c>
      <c r="CQ105" s="197">
        <f>IF(AND($D105&gt;0,AQ105=""),1,IF(AQ105&gt;$D105,1,0))</f>
        <v/>
      </c>
      <c r="CR105" s="198" t="n"/>
      <c r="CS105" s="197">
        <f>IF(AND($D105&gt;0,AS105=""),1,0)</f>
        <v/>
      </c>
      <c r="CT105" s="197">
        <f>IF(AND($D105&gt;0,AT105=""),1,IF(AT105&gt;$D105,1,0))</f>
        <v/>
      </c>
      <c r="CU105" s="197">
        <f>IF(AND($D105&gt;0,AU105=""),1,IF(AU105&gt;$D105,1,0))</f>
        <v/>
      </c>
      <c r="CV105" s="197">
        <f>IF(AND($D105&gt;0,AV105=""),1,IF(AV105&gt;$D105,1,0))</f>
        <v/>
      </c>
      <c r="CW105" s="197">
        <f>IF(AND($D105&gt;0,AW105=""),1,IF(AW105&gt;$D105,1,0))</f>
        <v/>
      </c>
      <c r="CX105" s="198" t="n"/>
    </row>
    <row r="106" ht="15" customHeight="1" s="8286">
      <c r="A106" s="10246" t="inlineStr">
        <is>
          <t xml:space="preserve">Instalación aparato fijo ortodóncico </t>
        </is>
      </c>
      <c r="B106" s="10208" t="n"/>
      <c r="C106" s="9644" t="n"/>
      <c r="D106" s="1254">
        <f>SUM(E106:F106)</f>
        <v/>
      </c>
      <c r="E106" s="1486">
        <f>SUM(G106+I106+K106+M106+O106+Q106+S106+U106+W106+Y106+AA106+AC106+AE106+AG106+AI106+AK106+AM106)</f>
        <v/>
      </c>
      <c r="F106" s="894">
        <f>SUM(H106+J106+L106+N106+P106+R106+T106+V106+X106+Z106+AB106+AD106+AF106+AH106+AJ106+AL106+AN106)</f>
        <v/>
      </c>
      <c r="G106" s="1172" t="n"/>
      <c r="H106" s="886" t="n"/>
      <c r="I106" s="1172" t="n"/>
      <c r="J106" s="885" t="n"/>
      <c r="K106" s="1935" t="n"/>
      <c r="L106" s="886" t="n"/>
      <c r="M106" s="1172" t="n"/>
      <c r="N106" s="886" t="n"/>
      <c r="O106" s="1174" t="n"/>
      <c r="P106" s="886" t="n"/>
      <c r="Q106" s="1174" t="n"/>
      <c r="R106" s="886" t="n"/>
      <c r="S106" s="1174" t="n"/>
      <c r="T106" s="886" t="n"/>
      <c r="U106" s="1174" t="n"/>
      <c r="V106" s="886" t="n"/>
      <c r="W106" s="1174" t="n"/>
      <c r="X106" s="886" t="n"/>
      <c r="Y106" s="1174" t="n"/>
      <c r="Z106" s="886" t="n"/>
      <c r="AA106" s="1174" t="n"/>
      <c r="AB106" s="886" t="n"/>
      <c r="AC106" s="1174" t="n"/>
      <c r="AD106" s="886" t="n"/>
      <c r="AE106" s="1174" t="n"/>
      <c r="AF106" s="886" t="n"/>
      <c r="AG106" s="1174" t="n"/>
      <c r="AH106" s="886" t="n"/>
      <c r="AI106" s="1174" t="n"/>
      <c r="AJ106" s="886" t="n"/>
      <c r="AK106" s="1174" t="n"/>
      <c r="AL106" s="886" t="n"/>
      <c r="AM106" s="1174" t="n"/>
      <c r="AN106" s="1929" t="n"/>
      <c r="AO106" s="887" t="n"/>
      <c r="AP106" s="2001" t="n"/>
      <c r="AQ106" s="2001" t="n"/>
      <c r="AR106" s="793" t="n"/>
      <c r="AS106" s="2001" t="n"/>
      <c r="AT106" s="885" t="n"/>
      <c r="AU106" s="2495" t="n"/>
      <c r="AV106" s="1100" t="n"/>
      <c r="AW106" s="1174" t="n"/>
      <c r="AX106" s="1948" t="n"/>
      <c r="AY106">
        <f>CA106&amp;CB106&amp;CC106&amp;CD106&amp;CE106&amp;CF106&amp;CG106&amp;CH106&amp;CI106&amp;CJ106</f>
        <v/>
      </c>
      <c r="CA106" s="196">
        <f>IF(AND((W106+X106)&gt;0,AO106="")," * No olvide digitar la variable 12 años (incluido en el grupo de 10-14 años). Digite Cero si no tiene.",IF(AO106&gt;(W106+X106),"* Las Consultas de 12 años (incluido en el grupo de 10-14 años) NO DEBEN ser mayor que el total de Consultas entre 10-14 años",""))</f>
        <v/>
      </c>
      <c r="CB106" s="196">
        <f>IF(AND($F106&gt;0,AP106="")," * No olvide digitar la variable Gestante. Digite cero si no tiene.",IF(AP106&gt;$F106," * La variable Gestante NO DEBEN ser mayor al Total de Mujeres. ",""))</f>
        <v/>
      </c>
      <c r="CC106" s="196">
        <f>IF(AND(D106&gt;0,AQ106="")," * No olvide digitar la variable  Atención bajo sedación inhalatoria (con óxido nitroso). Digite Cero si no tiene.",IF(AQ106&gt;D106," * La variable  Atención bajo sedación inhalatoria (con óxido nitroso) NO DEBE ser mayor que el Total Ambos Sexos",""))</f>
        <v/>
      </c>
      <c r="CD106" s="196">
        <f>IF(AND((AI106+AJ106)&gt;0,AR106="")," * No olvide digitar la variable 60 años (incluido en grupos de 60-64 años). Digite Cero si no tiene.",IF(AR106&gt;(AI106+AJ106)," * La variable 60 años (incluido en grupos de 60-64 años) NO DEBE ser mayor que el Total de consultas del grupo 60-64 años",""))</f>
        <v/>
      </c>
      <c r="CE106" s="196">
        <f>IF(AND($D106&gt;0,AS106="")," * No olvide digitar la variable Compra de Servicios. Digite Cero si no tiene.","")</f>
        <v/>
      </c>
      <c r="CF106" s="196">
        <f>IF(AND($D106&gt;0,AT106="")," * No olvide digitar la Usuarios con Discapacidad. Digite Cero si no tiene.",IF(AT106&gt;$D106," * La variable Usuarios con Discapacidad No puede ser mayor al Total Ambos Sexos.",""))</f>
        <v/>
      </c>
      <c r="CG106" s="196">
        <f>IF(AND($D106&gt;0,AU106="")," * No olvide digitar la variable "&amp;AU$88&amp;". Digite Cero si no tiene.",IF(AU106&gt;$D106," * La variable "&amp;AU$88&amp;" No puede ser mayor al Total Ambos Sexos.",""))</f>
        <v/>
      </c>
      <c r="CH106" s="196">
        <f>IF(AND($D106&gt;0,AV106="")," * No olvide digitar la variable "&amp;AV$88&amp;" Digite Cero si no tiene.",IF(AV106&gt;$D106," * La variable"&amp;AV$88&amp;"no puede ser mayor al Total Ambos Sexos.",""))</f>
        <v/>
      </c>
      <c r="CI106" s="196">
        <f>IF(AND($D106&gt;0,AW106="")," * No olvide digitar la variable Migrantes. Digite Cero si no tiene.",IF(AW106&gt;$D106," * La variable Migrantes no puede ser mayor al Total Ambos Sexos.",""))</f>
        <v/>
      </c>
      <c r="CJ106" s="198" t="n"/>
      <c r="CO106" s="197">
        <f>IF(AND($D106&gt;0,AO106=""),1,IF(AO106&gt;D106,1,0))</f>
        <v/>
      </c>
      <c r="CP106" s="197">
        <f>IF(AND($F106&gt;0,AP106=""),1,IF(AP106&gt;$F106,1,0))</f>
        <v/>
      </c>
      <c r="CQ106" s="197">
        <f>IF(AND($D106&gt;0,AQ106=""),1,IF(AQ106&gt;$D106,1,0))</f>
        <v/>
      </c>
      <c r="CR106" s="197">
        <f>IF(AND(AI106+AJ106&gt;0,AR106=""),1,IF(AR106&gt;AI106+AJ106,1,0))</f>
        <v/>
      </c>
      <c r="CS106" s="197">
        <f>IF(AND($D106&gt;0,AS106=""),1,0)</f>
        <v/>
      </c>
      <c r="CT106" s="197">
        <f>IF(AND($D106&gt;0,AT106=""),1,IF(AT106&gt;$D106,1,0))</f>
        <v/>
      </c>
      <c r="CU106" s="197">
        <f>IF(AND($D106&gt;0,AU106=""),1,IF(AU106&gt;$D106,1,0))</f>
        <v/>
      </c>
      <c r="CV106" s="197">
        <f>IF(AND($D106&gt;0,AV106=""),1,IF(AV106&gt;$D106,1,0))</f>
        <v/>
      </c>
      <c r="CW106" s="197">
        <f>IF(AND($D106&gt;0,AW106=""),1,IF(AW106&gt;$D106,1,0))</f>
        <v/>
      </c>
      <c r="CX106" s="198" t="n"/>
    </row>
    <row r="107" ht="15" customHeight="1" s="8286">
      <c r="A107" s="10246" t="inlineStr">
        <is>
          <t xml:space="preserve">Instalación aparato de contención ortodóncico </t>
        </is>
      </c>
      <c r="B107" s="10208" t="n"/>
      <c r="C107" s="9644" t="n"/>
      <c r="D107" s="1254">
        <f>SUM(E107:F107)</f>
        <v/>
      </c>
      <c r="E107" s="1486">
        <f>SUM(G107+I107+K107+M107+O107+Q107+S107+U107+W107+Y107+AA107+AC107+AE107+AG107+AI107+AK107+AM107)</f>
        <v/>
      </c>
      <c r="F107" s="894">
        <f>SUM(H107+J107+L107+N107+P107+R107+T107+V107+X107+Z107+AB107+AD107+AF107+AH107+AJ107+AL107+AN107)</f>
        <v/>
      </c>
      <c r="G107" s="1172" t="n"/>
      <c r="H107" s="886" t="n"/>
      <c r="I107" s="1172" t="n"/>
      <c r="J107" s="885" t="n"/>
      <c r="K107" s="1935" t="n"/>
      <c r="L107" s="886" t="n"/>
      <c r="M107" s="1172" t="n"/>
      <c r="N107" s="886" t="n"/>
      <c r="O107" s="1174" t="n"/>
      <c r="P107" s="886" t="n"/>
      <c r="Q107" s="1174" t="n"/>
      <c r="R107" s="886" t="n"/>
      <c r="S107" s="1174" t="n"/>
      <c r="T107" s="886" t="n"/>
      <c r="U107" s="1174" t="n"/>
      <c r="V107" s="886" t="n"/>
      <c r="W107" s="1174" t="n"/>
      <c r="X107" s="886" t="n"/>
      <c r="Y107" s="1174" t="n"/>
      <c r="Z107" s="886" t="n"/>
      <c r="AA107" s="1174" t="n"/>
      <c r="AB107" s="886" t="n"/>
      <c r="AC107" s="1174" t="n"/>
      <c r="AD107" s="886" t="n"/>
      <c r="AE107" s="1174" t="n"/>
      <c r="AF107" s="886" t="n"/>
      <c r="AG107" s="1174" t="n"/>
      <c r="AH107" s="886" t="n"/>
      <c r="AI107" s="1174" t="n"/>
      <c r="AJ107" s="886" t="n"/>
      <c r="AK107" s="1174" t="n"/>
      <c r="AL107" s="886" t="n"/>
      <c r="AM107" s="1174" t="n"/>
      <c r="AN107" s="1929" t="n"/>
      <c r="AO107" s="887" t="n"/>
      <c r="AP107" s="2001" t="n"/>
      <c r="AQ107" s="2001" t="n"/>
      <c r="AR107" s="793" t="n"/>
      <c r="AS107" s="2001" t="n"/>
      <c r="AT107" s="885" t="n"/>
      <c r="AU107" s="2495" t="n"/>
      <c r="AV107" s="1100" t="n"/>
      <c r="AW107" s="1174" t="n"/>
      <c r="AX107" s="1948" t="n"/>
      <c r="AY107">
        <f>CA107&amp;CB107&amp;CC107&amp;CD107&amp;CE107&amp;CF107&amp;CG107&amp;CH107&amp;CI107&amp;CJ107</f>
        <v/>
      </c>
      <c r="CA107" s="196">
        <f>IF(AND((W107+X107)&gt;0,AO107="")," * No olvide digitar la variable 12 años (incluido en el grupo de 10-14 años). Digite Cero si no tiene.",IF(AO107&gt;(W107+X107),"* Las Consultas de 12 años (incluido en el grupo de 10-14 años) NO DEBEN ser mayor que el total de Consultas entre 10-14 años",""))</f>
        <v/>
      </c>
      <c r="CB107" s="196">
        <f>IF(AND($F107&gt;0,AP107="")," * No olvide digitar la variable Gestante. Digite cero si no tiene.",IF(AP107&gt;$F107," * La variable Gestante NO DEBEN ser mayor al Total de Mujeres. ",""))</f>
        <v/>
      </c>
      <c r="CC107" s="196">
        <f>IF(AND(D107&gt;0,AQ107="")," * No olvide digitar la variable  Atención bajo sedación inhalatoria (con óxido nitroso). Digite Cero si no tiene.",IF(AQ107&gt;D107," * La variable  Atención bajo sedación inhalatoria (con óxido nitroso) NO DEBE ser mayor que el Total Ambos Sexos",""))</f>
        <v/>
      </c>
      <c r="CD107" s="196">
        <f>IF(AND((AI107+AJ107)&gt;0,AR107="")," * No olvide digitar la variable 60 años (incluido en grupos de 60-64 años). Digite Cero si no tiene.",IF(AR107&gt;(AI107+AJ107)," * La variable 60 años (incluido en grupos de 60-64 años) NO DEBE ser mayor que el Total de consultas del grupo 60-64 años",""))</f>
        <v/>
      </c>
      <c r="CE107" s="196">
        <f>IF(AND($D107&gt;0,AS107="")," * No olvide digitar la variable Compra de Servicios. Digite Cero si no tiene.","")</f>
        <v/>
      </c>
      <c r="CF107" s="196">
        <f>IF(AND($D107&gt;0,AT107="")," * No olvide digitar la Usuarios con Discapacidad. Digite Cero si no tiene.",IF(AT107&gt;$D107," * La variable Usuarios con Discapacidad No puede ser mayor al Total Ambos Sexos.",""))</f>
        <v/>
      </c>
      <c r="CG107" s="196">
        <f>IF(AND($D107&gt;0,AU107="")," * No olvide digitar la variable "&amp;AU$88&amp;". Digite Cero si no tiene.",IF(AU107&gt;$D107," * La variable "&amp;AU$88&amp;" No puede ser mayor al Total Ambos Sexos.",""))</f>
        <v/>
      </c>
      <c r="CH107" s="196">
        <f>IF(AND($D107&gt;0,AV107="")," * No olvide digitar la variable "&amp;AV$88&amp;" Digite Cero si no tiene.",IF(AV107&gt;$D107," * La variable"&amp;AV$88&amp;"no puede ser mayor al Total Ambos Sexos.",""))</f>
        <v/>
      </c>
      <c r="CI107" s="196">
        <f>IF(AND($D107&gt;0,AW107="")," * No olvide digitar la variable Migrantes. Digite Cero si no tiene.",IF(AW107&gt;$D107," * La variable Migrantes no puede ser mayor al Total Ambos Sexos.",""))</f>
        <v/>
      </c>
      <c r="CJ107" s="198" t="n"/>
      <c r="CO107" s="197">
        <f>IF(AND($D107&gt;0,AO107=""),1,IF(AO107&gt;D107,1,0))</f>
        <v/>
      </c>
      <c r="CP107" s="197">
        <f>IF(AND($F107&gt;0,AP107=""),1,IF(AP107&gt;$F107,1,0))</f>
        <v/>
      </c>
      <c r="CQ107" s="197">
        <f>IF(AND($D107&gt;0,AQ107=""),1,IF(AQ107&gt;$D107,1,0))</f>
        <v/>
      </c>
      <c r="CR107" s="197">
        <f>IF(AND(AI107+AJ107&gt;0,AR107=""),1,IF(AR107&gt;AI107+AJ107,1,0))</f>
        <v/>
      </c>
      <c r="CS107" s="197">
        <f>IF(AND($D107&gt;0,AS107=""),1,0)</f>
        <v/>
      </c>
      <c r="CT107" s="197">
        <f>IF(AND($D107&gt;0,AT107=""),1,IF(AT107&gt;$D107,1,0))</f>
        <v/>
      </c>
      <c r="CU107" s="197">
        <f>IF(AND($D107&gt;0,AU107=""),1,IF(AU107&gt;$D107,1,0))</f>
        <v/>
      </c>
      <c r="CV107" s="197">
        <f>IF(AND($D107&gt;0,AV107=""),1,IF(AV107&gt;$D107,1,0))</f>
        <v/>
      </c>
      <c r="CW107" s="197">
        <f>IF(AND($D107&gt;0,AW107=""),1,IF(AW107&gt;$D107,1,0))</f>
        <v/>
      </c>
      <c r="CX107" s="198" t="n"/>
    </row>
    <row r="108" ht="15" customHeight="1" s="8286">
      <c r="A108" s="10246" t="inlineStr">
        <is>
          <t xml:space="preserve">Retiro aparatología de ortodoncia </t>
        </is>
      </c>
      <c r="B108" s="10208" t="n"/>
      <c r="C108" s="9644" t="n"/>
      <c r="D108" s="1254">
        <f>SUM(E108:F108)</f>
        <v/>
      </c>
      <c r="E108" s="1486">
        <f>SUM(G108+I108+K108+M108+O108+Q108+S108+U108+W108+Y108+AA108+AC108+AE108+AG108+AI108+AK108+AM108)</f>
        <v/>
      </c>
      <c r="F108" s="894">
        <f>SUM(H108+J108+L108+N108+P108+R108+T108+V108+X108+Z108+AB108+AD108+AF108+AH108+AJ108+AL108+AN108)</f>
        <v/>
      </c>
      <c r="G108" s="1172" t="n"/>
      <c r="H108" s="886" t="n"/>
      <c r="I108" s="1172" t="n"/>
      <c r="J108" s="885" t="n"/>
      <c r="K108" s="1172" t="n"/>
      <c r="L108" s="886" t="n"/>
      <c r="M108" s="1172" t="n"/>
      <c r="N108" s="886" t="n"/>
      <c r="O108" s="1174" t="n"/>
      <c r="P108" s="886" t="n"/>
      <c r="Q108" s="1174" t="n"/>
      <c r="R108" s="886" t="n"/>
      <c r="S108" s="1174" t="n"/>
      <c r="T108" s="886" t="n"/>
      <c r="U108" s="1174" t="n"/>
      <c r="V108" s="886" t="n"/>
      <c r="W108" s="1174" t="n"/>
      <c r="X108" s="886" t="n"/>
      <c r="Y108" s="1174" t="n"/>
      <c r="Z108" s="886" t="n"/>
      <c r="AA108" s="1174" t="n"/>
      <c r="AB108" s="886" t="n"/>
      <c r="AC108" s="1174" t="n"/>
      <c r="AD108" s="886" t="n"/>
      <c r="AE108" s="1174" t="n"/>
      <c r="AF108" s="886" t="n"/>
      <c r="AG108" s="1174" t="n"/>
      <c r="AH108" s="886" t="n"/>
      <c r="AI108" s="1174" t="n"/>
      <c r="AJ108" s="886" t="n"/>
      <c r="AK108" s="1174" t="n"/>
      <c r="AL108" s="886" t="n"/>
      <c r="AM108" s="1174" t="n"/>
      <c r="AN108" s="1929" t="n"/>
      <c r="AO108" s="887" t="n"/>
      <c r="AP108" s="2001" t="n"/>
      <c r="AQ108" s="2001" t="n"/>
      <c r="AR108" s="793" t="n"/>
      <c r="AS108" s="2001" t="n"/>
      <c r="AT108" s="885" t="n"/>
      <c r="AU108" s="2495" t="n"/>
      <c r="AV108" s="1100" t="n"/>
      <c r="AW108" s="1174" t="n"/>
      <c r="AX108" s="1948" t="n"/>
      <c r="AY108">
        <f>CA108&amp;CB108&amp;CC108&amp;CD108&amp;CE108&amp;CF108&amp;CG108&amp;CH108&amp;CI108&amp;CJ108</f>
        <v/>
      </c>
      <c r="CA108" s="196">
        <f>IF(AND((W108+X108)&gt;0,AO108="")," * No olvide digitar la variable 12 años (incluido en el grupo de 10-14 años). Digite Cero si no tiene.",IF(AO108&gt;(W108+X108),"* Las Consultas de 12 años (incluido en el grupo de 10-14 años) NO DEBEN ser mayor que el total de Consultas entre 10-14 años",""))</f>
        <v/>
      </c>
      <c r="CB108" s="196">
        <f>IF(AND($F108&gt;0,AP108="")," * No olvide digitar la variable Gestante. Digite cero si no tiene.",IF(AP108&gt;$F108," * La variable Gestante NO DEBEN ser mayor al Total de Mujeres. ",""))</f>
        <v/>
      </c>
      <c r="CC108" s="196">
        <f>IF(AND(D108&gt;0,AQ108="")," * No olvide digitar la variable  Atención bajo sedación inhalatoria (con óxido nitroso). Digite Cero si no tiene.",IF(AQ108&gt;D108," * La variable  Atención bajo sedación inhalatoria (con óxido nitroso) NO DEBE ser mayor que el Total Ambos Sexos",""))</f>
        <v/>
      </c>
      <c r="CD108" s="196">
        <f>IF(AND((AI108+AJ108)&gt;0,AR108="")," * No olvide digitar la variable 60 años (incluido en grupos de 60-64 años). Digite Cero si no tiene.",IF(AR108&gt;(AI108+AJ108)," * La variable 60 años (incluido en grupos de 60-64 años) NO DEBE ser mayor que el Total de consultas del grupo 60-64 años",""))</f>
        <v/>
      </c>
      <c r="CE108" s="196">
        <f>IF(AND($D108&gt;0,AS108="")," * No olvide digitar la variable Compra de Servicios. Digite Cero si no tiene.","")</f>
        <v/>
      </c>
      <c r="CF108" s="196">
        <f>IF(AND($D108&gt;0,AT108="")," * No olvide digitar la Usuarios con Discapacidad. Digite Cero si no tiene.",IF(AT108&gt;$D108," * La variable Usuarios con Discapacidad No puede ser mayor al Total Ambos Sexos.",""))</f>
        <v/>
      </c>
      <c r="CG108" s="196">
        <f>IF(AND($D108&gt;0,AU108="")," * No olvide digitar la variable "&amp;AU$88&amp;". Digite Cero si no tiene.",IF(AU108&gt;$D108," * La variable "&amp;AU$88&amp;" No puede ser mayor al Total Ambos Sexos.",""))</f>
        <v/>
      </c>
      <c r="CH108" s="196">
        <f>IF(AND($D108&gt;0,AV108="")," * No olvide digitar la variable "&amp;AV$88&amp;" Digite Cero si no tiene.",IF(AV108&gt;$D108," * La variable"&amp;AV$88&amp;"no puede ser mayor al Total Ambos Sexos.",""))</f>
        <v/>
      </c>
      <c r="CI108" s="196">
        <f>IF(AND($D108&gt;0,AW108="")," * No olvide digitar la variable Migrantes. Digite Cero si no tiene.",IF(AW108&gt;$D108," * La variable Migrantes no puede ser mayor al Total Ambos Sexos.",""))</f>
        <v/>
      </c>
      <c r="CJ108" s="198" t="n"/>
      <c r="CO108" s="197">
        <f>IF(AND($D108&gt;0,AO108=""),1,IF(AO108&gt;D108,1,0))</f>
        <v/>
      </c>
      <c r="CP108" s="197">
        <f>IF(AND($F108&gt;0,AP108=""),1,IF(AP108&gt;$F108,1,0))</f>
        <v/>
      </c>
      <c r="CQ108" s="197">
        <f>IF(AND($D108&gt;0,AQ108=""),1,IF(AQ108&gt;$D108,1,0))</f>
        <v/>
      </c>
      <c r="CR108" s="197">
        <f>IF(AND(AI108+AJ108&gt;0,AR108=""),1,IF(AR108&gt;AI108+AJ108,1,0))</f>
        <v/>
      </c>
      <c r="CS108" s="197">
        <f>IF(AND($D108&gt;0,AS108=""),1,0)</f>
        <v/>
      </c>
      <c r="CT108" s="197">
        <f>IF(AND($D108&gt;0,AT108=""),1,IF(AT108&gt;$D108,1,0))</f>
        <v/>
      </c>
      <c r="CU108" s="197">
        <f>IF(AND($D108&gt;0,AU108=""),1,IF(AU108&gt;$D108,1,0))</f>
        <v/>
      </c>
      <c r="CV108" s="197">
        <f>IF(AND($D108&gt;0,AV108=""),1,IF(AV108&gt;$D108,1,0))</f>
        <v/>
      </c>
      <c r="CW108" s="197">
        <f>IF(AND($D108&gt;0,AW108=""),1,IF(AW108&gt;$D108,1,0))</f>
        <v/>
      </c>
      <c r="CX108" s="198" t="n"/>
    </row>
    <row r="109" ht="15" customHeight="1" s="8286">
      <c r="A109" s="10246" t="inlineStr">
        <is>
          <t xml:space="preserve">Ortopedia prequirúrgica </t>
        </is>
      </c>
      <c r="B109" s="10208" t="n"/>
      <c r="C109" s="9644" t="n"/>
      <c r="D109" s="1254">
        <f>SUM(E109:F109)</f>
        <v/>
      </c>
      <c r="E109" s="1486">
        <f>SUM(G109+I109+K109+M109+O109+Q109+S109+U109+W109+Y109+AA109+AC109+AE109+AG109+AI109+AK109+AM109)</f>
        <v/>
      </c>
      <c r="F109" s="894">
        <f>SUM(H109+J109+L109+N109+P109+R109+T109+V109+X109+Z109+AB109+AD109+AF109+AH109+AJ109+AL109+AN109)</f>
        <v/>
      </c>
      <c r="G109" s="1172" t="n"/>
      <c r="H109" s="886" t="n"/>
      <c r="I109" s="1172" t="n"/>
      <c r="J109" s="885" t="n"/>
      <c r="K109" s="1172" t="n"/>
      <c r="L109" s="886" t="n"/>
      <c r="M109" s="1172" t="n"/>
      <c r="N109" s="886" t="n"/>
      <c r="O109" s="1174" t="n"/>
      <c r="P109" s="886" t="n"/>
      <c r="Q109" s="1174" t="n"/>
      <c r="R109" s="886" t="n"/>
      <c r="S109" s="1174" t="n"/>
      <c r="T109" s="886" t="n"/>
      <c r="U109" s="1174" t="n"/>
      <c r="V109" s="886" t="n"/>
      <c r="W109" s="1174" t="n"/>
      <c r="X109" s="886" t="n"/>
      <c r="Y109" s="1174" t="n"/>
      <c r="Z109" s="886" t="n"/>
      <c r="AA109" s="1174" t="n"/>
      <c r="AB109" s="886" t="n"/>
      <c r="AC109" s="1174" t="n"/>
      <c r="AD109" s="886" t="n"/>
      <c r="AE109" s="1174" t="n"/>
      <c r="AF109" s="886" t="n"/>
      <c r="AG109" s="1174" t="n"/>
      <c r="AH109" s="886" t="n"/>
      <c r="AI109" s="1174" t="n"/>
      <c r="AJ109" s="886" t="n"/>
      <c r="AK109" s="1174" t="n"/>
      <c r="AL109" s="886" t="n"/>
      <c r="AM109" s="1174" t="n"/>
      <c r="AN109" s="1929" t="n"/>
      <c r="AO109" s="887" t="n"/>
      <c r="AP109" s="2001" t="n"/>
      <c r="AQ109" s="2001" t="n"/>
      <c r="AR109" s="793" t="n"/>
      <c r="AS109" s="2001" t="n"/>
      <c r="AT109" s="885" t="n"/>
      <c r="AU109" s="2495" t="n"/>
      <c r="AV109" s="1100" t="n"/>
      <c r="AW109" s="1174" t="n"/>
      <c r="AX109" s="1948" t="n"/>
      <c r="AY109">
        <f>CA109&amp;CB109&amp;CC109&amp;CD109&amp;CE109&amp;CF109&amp;CG109&amp;CH109&amp;CI109&amp;CJ109</f>
        <v/>
      </c>
      <c r="CA109" s="196">
        <f>IF(AND((W109+X109)&gt;0,AO109="")," * No olvide digitar la variable 12 años (incluido en el grupo de 10-14 años). Digite Cero si no tiene.",IF(AO109&gt;(W109+X109),"* Las Consultas de 12 años (incluido en el grupo de 10-14 años) NO DEBEN ser mayor que el total de Consultas entre 10-14 años",""))</f>
        <v/>
      </c>
      <c r="CB109" s="196">
        <f>IF(AND($F109&gt;0,AP109="")," * No olvide digitar la variable Gestante. Digite cero si no tiene.",IF(AP109&gt;$F109," * La variable Gestante NO DEBEN ser mayor al Total de Mujeres. ",""))</f>
        <v/>
      </c>
      <c r="CC109" s="196">
        <f>IF(AND(D109&gt;0,AQ109="")," * No olvide digitar la variable  Atención bajo sedación inhalatoria (con óxido nitroso). Digite Cero si no tiene.",IF(AQ109&gt;D109," * La variable  Atención bajo sedación inhalatoria (con óxido nitroso) NO DEBE ser mayor que el Total Ambos Sexos",""))</f>
        <v/>
      </c>
      <c r="CD109" s="196">
        <f>IF(AND((AI109+AJ109)&gt;0,AR109="")," * No olvide digitar la variable 60 años (incluido en grupos de 60-64 años). Digite Cero si no tiene.",IF(AR109&gt;(AI109+AJ109)," * La variable 60 años (incluido en grupos de 60-64 años) NO DEBE ser mayor que el Total de consultas del grupo 60-64 años",""))</f>
        <v/>
      </c>
      <c r="CE109" s="196">
        <f>IF(AND($D109&gt;0,AS109="")," * No olvide digitar la variable Compra de Servicios. Digite Cero si no tiene.","")</f>
        <v/>
      </c>
      <c r="CF109" s="196">
        <f>IF(AND($D109&gt;0,AT109="")," * No olvide digitar la Usuarios con Discapacidad. Digite Cero si no tiene.",IF(AT109&gt;$D109," * La variable Usuarios con Discapacidad No puede ser mayor al Total Ambos Sexos.",""))</f>
        <v/>
      </c>
      <c r="CG109" s="196">
        <f>IF(AND($D109&gt;0,AU109="")," * No olvide digitar la variable "&amp;AU$88&amp;". Digite Cero si no tiene.",IF(AU109&gt;$D109," * La variable "&amp;AU$88&amp;" No puede ser mayor al Total Ambos Sexos.",""))</f>
        <v/>
      </c>
      <c r="CH109" s="196">
        <f>IF(AND($D109&gt;0,AV109="")," * No olvide digitar la variable "&amp;AV$88&amp;" Digite Cero si no tiene.",IF(AV109&gt;$D109," * La variable"&amp;AV$88&amp;"no puede ser mayor al Total Ambos Sexos.",""))</f>
        <v/>
      </c>
      <c r="CI109" s="196">
        <f>IF(AND($D109&gt;0,AW109="")," * No olvide digitar la variable Migrantes. Digite Cero si no tiene.",IF(AW109&gt;$D109," * La variable Migrantes no puede ser mayor al Total Ambos Sexos.",""))</f>
        <v/>
      </c>
      <c r="CJ109" s="198" t="n"/>
      <c r="CO109" s="197">
        <f>IF(AND($D109&gt;0,AO109=""),1,IF(AO109&gt;D109,1,0))</f>
        <v/>
      </c>
      <c r="CP109" s="197">
        <f>IF(AND($F109&gt;0,AP109=""),1,IF(AP109&gt;$F109,1,0))</f>
        <v/>
      </c>
      <c r="CQ109" s="197">
        <f>IF(AND($D109&gt;0,AQ109=""),1,IF(AQ109&gt;$D109,1,0))</f>
        <v/>
      </c>
      <c r="CR109" s="197">
        <f>IF(AND(AI109+AJ109&gt;0,AR109=""),1,IF(AR109&gt;AI109+AJ109,1,0))</f>
        <v/>
      </c>
      <c r="CS109" s="197">
        <f>IF(AND($D109&gt;0,AS109=""),1,0)</f>
        <v/>
      </c>
      <c r="CT109" s="197">
        <f>IF(AND($D109&gt;0,AT109=""),1,IF(AT109&gt;$D109,1,0))</f>
        <v/>
      </c>
      <c r="CU109" s="197">
        <f>IF(AND($D109&gt;0,AU109=""),1,IF(AU109&gt;$D109,1,0))</f>
        <v/>
      </c>
      <c r="CV109" s="197">
        <f>IF(AND($D109&gt;0,AV109=""),1,IF(AV109&gt;$D109,1,0))</f>
        <v/>
      </c>
      <c r="CW109" s="197">
        <f>IF(AND($D109&gt;0,AW109=""),1,IF(AW109&gt;$D109,1,0))</f>
        <v/>
      </c>
      <c r="CX109" s="198" t="n"/>
    </row>
    <row r="110" ht="15" customHeight="1" s="8286">
      <c r="A110" s="10246" t="inlineStr">
        <is>
          <t xml:space="preserve">Tratamiento endodoncia unirradicular </t>
        </is>
      </c>
      <c r="B110" s="10208" t="n"/>
      <c r="C110" s="9644" t="n"/>
      <c r="D110" s="1254">
        <f>SUM(E110:F110)</f>
        <v/>
      </c>
      <c r="E110" s="1486">
        <f>SUM(Q110+S110+U110+W110+Y110+AA110+AC110+AE110+AG110+AI110+AK110+AM110)</f>
        <v/>
      </c>
      <c r="F110" s="894">
        <f>SUM(R110+T110+V110+X110+Z110+AB110+AD110+AF110+AH110+AJ110+AL110+AN110)</f>
        <v/>
      </c>
      <c r="G110" s="1325" t="n"/>
      <c r="H110" s="877" t="n"/>
      <c r="I110" s="1325" t="n"/>
      <c r="J110" s="2828" t="n"/>
      <c r="K110" s="1325" t="n"/>
      <c r="L110" s="877" t="n"/>
      <c r="M110" s="1325" t="n"/>
      <c r="N110" s="877" t="n"/>
      <c r="O110" s="1319" t="n"/>
      <c r="P110" s="877" t="n"/>
      <c r="Q110" s="1174" t="n"/>
      <c r="R110" s="886" t="n"/>
      <c r="S110" s="1174" t="n"/>
      <c r="T110" s="886" t="n"/>
      <c r="U110" s="1174" t="n"/>
      <c r="V110" s="886" t="n"/>
      <c r="W110" s="1174" t="n"/>
      <c r="X110" s="886" t="n"/>
      <c r="Y110" s="1174" t="n"/>
      <c r="Z110" s="886" t="n"/>
      <c r="AA110" s="1174" t="n"/>
      <c r="AB110" s="886" t="n"/>
      <c r="AC110" s="1174" t="n"/>
      <c r="AD110" s="886" t="n"/>
      <c r="AE110" s="1174" t="n"/>
      <c r="AF110" s="886" t="n"/>
      <c r="AG110" s="1174" t="n"/>
      <c r="AH110" s="886" t="n"/>
      <c r="AI110" s="1174" t="n"/>
      <c r="AJ110" s="886" t="n"/>
      <c r="AK110" s="1174" t="n"/>
      <c r="AL110" s="886" t="n"/>
      <c r="AM110" s="1174" t="n"/>
      <c r="AN110" s="1929" t="n"/>
      <c r="AO110" s="887" t="n"/>
      <c r="AP110" s="2001" t="n"/>
      <c r="AQ110" s="2001" t="n"/>
      <c r="AR110" s="2001" t="n"/>
      <c r="AS110" s="2001" t="n"/>
      <c r="AT110" s="885" t="n"/>
      <c r="AU110" s="2495" t="n"/>
      <c r="AV110" s="1100" t="n"/>
      <c r="AW110" s="1174" t="n"/>
      <c r="AX110" s="1948" t="n"/>
      <c r="AY110">
        <f>CA110&amp;CB110&amp;CC110&amp;CD110&amp;CE110&amp;CF110&amp;CG110&amp;CH110&amp;CI110&amp;CJ110</f>
        <v/>
      </c>
      <c r="CA110" s="196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>
        <f>IF(AND($F110&gt;0,AP110="")," * No olvide digitar la variable Gestante. Digite cero si no tiene.",IF(AP110&gt;$F110," * La variable Gestante NO DEBEN ser mayor al Total de Mujeres. ",""))</f>
        <v/>
      </c>
      <c r="CC110" s="196">
        <f>IF(AND(D110&gt;0,AQ110="")," * No olvide digitar la variable  Atención bajo sedación inhalatoria (con óxido nitroso). Digite Cero si no tiene.",IF(AQ110&gt;D110," * La variable  Atención bajo sedación inhalatoria (con óxido nitroso) NO DEBE ser mayor que el Total Ambos Sexos",""))</f>
        <v/>
      </c>
      <c r="CD110" s="196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>
        <f>IF(AND($D110&gt;0,AS110="")," * No olvide digitar la variable Compra de Servicios. Digite Cero si no tiene.","")</f>
        <v/>
      </c>
      <c r="CF110" s="196">
        <f>IF(AND($D110&gt;0,AT110="")," * No olvide digitar la Usuarios con Discapacidad. Digite Cero si no tiene.",IF(AT110&gt;$D110," * La variable Usuarios con Discapacidad No puede ser mayor al Total Ambos Sexos.",""))</f>
        <v/>
      </c>
      <c r="CG110" s="196">
        <f>IF(AND($D110&gt;0,AU110="")," * No olvide digitar la variable "&amp;AU$88&amp;". Digite Cero si no tiene.",IF(AU110&gt;$D110," * La variable "&amp;AU$88&amp;" No puede ser mayor al Total Ambos Sexos.",""))</f>
        <v/>
      </c>
      <c r="CH110" s="196">
        <f>IF(AND($D110&gt;0,AV110="")," * No olvide digitar la variable "&amp;AV$88&amp;" Digite Cero si no tiene.",IF(AV110&gt;$D110," * La variable"&amp;AV$88&amp;"no puede ser mayor al Total Ambos Sexos.",""))</f>
        <v/>
      </c>
      <c r="CI110" s="196">
        <f>IF(AND($D110&gt;0,AW110="")," * No olvide digitar la variable Migrantes. Digite Cero si no tiene.",IF(AW110&gt;$D110," * La variable Migrantes no puede ser mayor al Total Ambos Sexos.",""))</f>
        <v/>
      </c>
      <c r="CJ110" s="198" t="n"/>
      <c r="CO110" s="197">
        <f>IF(AND($D110&gt;0,AO110=""),1,IF(AO110&gt;D110,1,0))</f>
        <v/>
      </c>
      <c r="CP110" s="197">
        <f>IF(AND($F110&gt;0,AP110=""),1,IF(AP110&gt;$F110,1,0))</f>
        <v/>
      </c>
      <c r="CQ110" s="197">
        <f>IF(AND($D110&gt;0,AQ110=""),1,IF(AQ110&gt;$D110,1,0))</f>
        <v/>
      </c>
      <c r="CR110" s="197">
        <f>IF(AND(AI110+AJ110&gt;0,AR110=""),1,IF(AR110&gt;AI110+AJ110,1,0))</f>
        <v/>
      </c>
      <c r="CS110" s="197">
        <f>IF(AND($D110&gt;0,AS110=""),1,0)</f>
        <v/>
      </c>
      <c r="CT110" s="197">
        <f>IF(AND($D110&gt;0,AT110=""),1,IF(AT110&gt;$D110,1,0))</f>
        <v/>
      </c>
      <c r="CU110" s="197">
        <f>IF(AND($D110&gt;0,AU110=""),1,IF(AU110&gt;$D110,1,0))</f>
        <v/>
      </c>
      <c r="CV110" s="197">
        <f>IF(AND($D110&gt;0,AV110=""),1,IF(AV110&gt;$D110,1,0))</f>
        <v/>
      </c>
      <c r="CW110" s="197">
        <f>IF(AND($D110&gt;0,AW110=""),1,IF(AW110&gt;$D110,1,0))</f>
        <v/>
      </c>
      <c r="CX110" s="198" t="n"/>
    </row>
    <row r="111" ht="15" customHeight="1" s="8286">
      <c r="A111" s="10246" t="inlineStr">
        <is>
          <t xml:space="preserve">Tratamiento endodoncia birradicular </t>
        </is>
      </c>
      <c r="B111" s="10208" t="n"/>
      <c r="C111" s="9644" t="n"/>
      <c r="D111" s="1254">
        <f>SUM(E111:F111)</f>
        <v/>
      </c>
      <c r="E111" s="1486">
        <f>SUM(Q111+S111+U111+W111+Y111+AA111+AC111+AE111+AG111+AI111+AK111+AM111)</f>
        <v/>
      </c>
      <c r="F111" s="894">
        <f>SUM(R111+T111+V111+X111+Z111+AB111+AD111+AF111+AH111+AJ111+AL111+AN111)</f>
        <v/>
      </c>
      <c r="G111" s="1325" t="n"/>
      <c r="H111" s="877" t="n"/>
      <c r="I111" s="1325" t="n"/>
      <c r="J111" s="2828" t="n"/>
      <c r="K111" s="1325" t="n"/>
      <c r="L111" s="877" t="n"/>
      <c r="M111" s="1325" t="n"/>
      <c r="N111" s="877" t="n"/>
      <c r="O111" s="1319" t="n"/>
      <c r="P111" s="877" t="n"/>
      <c r="Q111" s="1174" t="n"/>
      <c r="R111" s="886" t="n"/>
      <c r="S111" s="1174" t="n"/>
      <c r="T111" s="886" t="n"/>
      <c r="U111" s="1174" t="n"/>
      <c r="V111" s="886" t="n"/>
      <c r="W111" s="1174" t="n"/>
      <c r="X111" s="886" t="n"/>
      <c r="Y111" s="1174" t="n"/>
      <c r="Z111" s="886" t="n"/>
      <c r="AA111" s="1174" t="n"/>
      <c r="AB111" s="886" t="n"/>
      <c r="AC111" s="1174" t="n"/>
      <c r="AD111" s="886" t="n"/>
      <c r="AE111" s="1174" t="n"/>
      <c r="AF111" s="886" t="n"/>
      <c r="AG111" s="1174" t="n"/>
      <c r="AH111" s="886" t="n"/>
      <c r="AI111" s="1174" t="n"/>
      <c r="AJ111" s="886" t="n"/>
      <c r="AK111" s="1174" t="n"/>
      <c r="AL111" s="886" t="n"/>
      <c r="AM111" s="1174" t="n"/>
      <c r="AN111" s="1929" t="n"/>
      <c r="AO111" s="887" t="n"/>
      <c r="AP111" s="2001" t="n"/>
      <c r="AQ111" s="2001" t="n"/>
      <c r="AR111" s="2001" t="n"/>
      <c r="AS111" s="2001" t="n"/>
      <c r="AT111" s="885" t="n"/>
      <c r="AU111" s="2495" t="n"/>
      <c r="AV111" s="1100" t="n"/>
      <c r="AW111" s="1174" t="n"/>
      <c r="AX111" s="1948" t="n"/>
      <c r="AY111">
        <f>CA111&amp;CB111&amp;CC111&amp;CD111&amp;CE111&amp;CF111&amp;CG111&amp;CH111&amp;CI111&amp;CJ111</f>
        <v/>
      </c>
      <c r="CA111" s="196">
        <f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>
        <f>IF(AND($F111&gt;0,AP111="")," * No olvide digitar la variable Gestante. Digite cero si no tiene.",IF(AP111&gt;$F111," * La variable Gestante NO DEBEN ser mayor al Total de Mujeres. ",""))</f>
        <v/>
      </c>
      <c r="CC111" s="196">
        <f>IF(AND(D111&gt;0,AQ111="")," * No olvide digitar la variable  Atención bajo sedación inhalatoria (con óxido nitroso). Digite Cero si no tiene.",IF(AQ111&gt;D111," * La variable  Atención bajo sedación inhalatoria (con óxido nitroso) NO DEBE ser mayor que el Total Ambos Sexos",""))</f>
        <v/>
      </c>
      <c r="CD111" s="196">
        <f>IF(AND((AI111+AJ111)&gt;0,AR111="")," * No olvide digitar la variable 60 años (incluido en grupos de 60-64 años). Digite Cero si no tiene.",IF(AR111&gt;(AI111+AJ111)," * La variable 60 años (incluido en grupos de 60-64 años) NO DEBE ser mayor que el Total de consultas del grupo 60-64 años",""))</f>
        <v/>
      </c>
      <c r="CE111" s="196">
        <f>IF(AND($D111&gt;0,AS111="")," * No olvide digitar la variable Compra de Servicios. Digite Cero si no tiene.","")</f>
        <v/>
      </c>
      <c r="CF111" s="196">
        <f>IF(AND($D111&gt;0,AT111="")," * No olvide digitar la Usuarios con Discapacidad. Digite Cero si no tiene.",IF(AT111&gt;$D111," * La variable Usuarios con Discapacidad No puede ser mayor al Total Ambos Sexos.",""))</f>
        <v/>
      </c>
      <c r="CG111" s="196">
        <f>IF(AND($D111&gt;0,AU111="")," * No olvide digitar la variable "&amp;AU$88&amp;". Digite Cero si no tiene.",IF(AU111&gt;$D111," * La variable "&amp;AU$88&amp;" No puede ser mayor al Total Ambos Sexos.",""))</f>
        <v/>
      </c>
      <c r="CH111" s="196">
        <f>IF(AND($D111&gt;0,AV111="")," * No olvide digitar la variable "&amp;AV$88&amp;" Digite Cero si no tiene.",IF(AV111&gt;$D111," * La variable"&amp;AV$88&amp;"no puede ser mayor al Total Ambos Sexos.",""))</f>
        <v/>
      </c>
      <c r="CI111" s="196">
        <f>IF(AND($D111&gt;0,AW111="")," * No olvide digitar la variable Migrantes. Digite Cero si no tiene.",IF(AW111&gt;$D111," * La variable Migrantes no puede ser mayor al Total Ambos Sexos.",""))</f>
        <v/>
      </c>
      <c r="CJ111" s="198" t="n"/>
      <c r="CO111" s="197">
        <f>IF(AND($D111&gt;0,AO111=""),1,IF(AO111&gt;D111,1,0))</f>
        <v/>
      </c>
      <c r="CP111" s="197">
        <f>IF(AND($F111&gt;0,AP111=""),1,IF(AP111&gt;$F111,1,0))</f>
        <v/>
      </c>
      <c r="CQ111" s="197">
        <f>IF(AND($D111&gt;0,AQ111=""),1,IF(AQ111&gt;$D111,1,0))</f>
        <v/>
      </c>
      <c r="CR111" s="197">
        <f>IF(AND(AI111+AJ111&gt;0,AR111=""),1,IF(AR111&gt;AI111+AJ111,1,0))</f>
        <v/>
      </c>
      <c r="CS111" s="197">
        <f>IF(AND($D111&gt;0,AS111=""),1,0)</f>
        <v/>
      </c>
      <c r="CT111" s="197">
        <f>IF(AND($D111&gt;0,AT111=""),1,IF(AT111&gt;$D111,1,0))</f>
        <v/>
      </c>
      <c r="CU111" s="197">
        <f>IF(AND($D111&gt;0,AU111=""),1,IF(AU111&gt;$D111,1,0))</f>
        <v/>
      </c>
      <c r="CV111" s="197">
        <f>IF(AND($D111&gt;0,AV111=""),1,IF(AV111&gt;$D111,1,0))</f>
        <v/>
      </c>
      <c r="CW111" s="197">
        <f>IF(AND($D111&gt;0,AW111=""),1,IF(AW111&gt;$D111,1,0))</f>
        <v/>
      </c>
      <c r="CX111" s="198" t="n"/>
    </row>
    <row r="112" ht="15" customHeight="1" s="8286">
      <c r="A112" s="10246" t="inlineStr">
        <is>
          <t xml:space="preserve">Tratamiento endodoncia multirradicular </t>
        </is>
      </c>
      <c r="B112" s="10208" t="n"/>
      <c r="C112" s="9644" t="n"/>
      <c r="D112" s="1254">
        <f>SUM(E112:F112)</f>
        <v/>
      </c>
      <c r="E112" s="1486">
        <f>SUM(Q112+S112+U112+W112+Y112+AA112+AC112+AE112+AG112+AI112+AK112+AM112)</f>
        <v/>
      </c>
      <c r="F112" s="894">
        <f>SUM(R112+T112+V112+X112+Z112+AB112+AD112+AF112+AH112+AJ112+AL112+AN112)</f>
        <v/>
      </c>
      <c r="G112" s="1325" t="n"/>
      <c r="H112" s="2829" t="n"/>
      <c r="I112" s="1325" t="n"/>
      <c r="J112" s="2828" t="n"/>
      <c r="K112" s="1325" t="n"/>
      <c r="L112" s="877" t="n"/>
      <c r="M112" s="1325" t="n"/>
      <c r="N112" s="877" t="n"/>
      <c r="O112" s="1319" t="n"/>
      <c r="P112" s="877" t="n"/>
      <c r="Q112" s="1174" t="n"/>
      <c r="R112" s="886" t="n"/>
      <c r="S112" s="1174" t="n"/>
      <c r="T112" s="886" t="n"/>
      <c r="U112" s="1174" t="n"/>
      <c r="V112" s="886" t="n"/>
      <c r="W112" s="1174" t="n"/>
      <c r="X112" s="886" t="n"/>
      <c r="Y112" s="1174" t="n"/>
      <c r="Z112" s="886" t="n"/>
      <c r="AA112" s="1174" t="n"/>
      <c r="AB112" s="886" t="n"/>
      <c r="AC112" s="1174" t="n"/>
      <c r="AD112" s="886" t="n"/>
      <c r="AE112" s="1174" t="n"/>
      <c r="AF112" s="886" t="n"/>
      <c r="AG112" s="1174" t="n"/>
      <c r="AH112" s="886" t="n"/>
      <c r="AI112" s="1174" t="n"/>
      <c r="AJ112" s="886" t="n"/>
      <c r="AK112" s="1174" t="n"/>
      <c r="AL112" s="886" t="n"/>
      <c r="AM112" s="1174" t="n"/>
      <c r="AN112" s="1929" t="n"/>
      <c r="AO112" s="887" t="n"/>
      <c r="AP112" s="2001" t="n"/>
      <c r="AQ112" s="2001" t="n"/>
      <c r="AR112" s="2001" t="n"/>
      <c r="AS112" s="2001" t="n"/>
      <c r="AT112" s="885" t="n"/>
      <c r="AU112" s="2495" t="n"/>
      <c r="AV112" s="1100" t="n"/>
      <c r="AW112" s="1174" t="n"/>
      <c r="AX112" s="1948" t="n"/>
      <c r="AY112">
        <f>CA112&amp;CB112&amp;CC112&amp;CD112&amp;CE112&amp;CF112&amp;CG112&amp;CH112&amp;CI112&amp;CJ112</f>
        <v/>
      </c>
      <c r="CA112" s="196">
        <f>IF(AND((W112+X112)&gt;0,AO112="")," * No olvide digitar la variable 12 años (incluido en el grupo de 10-14 años). Digite Cero si no tiene.",IF(AO112&gt;(W112+X112),"* Las Consultas de 12 años (incluido en el grupo de 10-14 años) NO DEBEN ser mayor que el total de Consultas entre 10-14 años",""))</f>
        <v/>
      </c>
      <c r="CB112" s="196">
        <f>IF(AND($F112&gt;0,AP112="")," * No olvide digitar la variable Gestante. Digite cero si no tiene.",IF(AP112&gt;$F112," * La variable Gestante NO DEBEN ser mayor al Total de Mujeres. ",""))</f>
        <v/>
      </c>
      <c r="CC112" s="196">
        <f>IF(AND(D112&gt;0,AQ112="")," * No olvide digitar la variable  Atención bajo sedación inhalatoria (con óxido nitroso). Digite Cero si no tiene.",IF(AQ112&gt;D112," * La variable  Atención bajo sedación inhalatoria (con óxido nitroso) NO DEBE ser mayor que el Total Ambos Sexos",""))</f>
        <v/>
      </c>
      <c r="CD112" s="196">
        <f>IF(AND((AI112+AJ112)&gt;0,AR112="")," * No olvide digitar la variable 60 años (incluido en grupos de 60-64 años). Digite Cero si no tiene.",IF(AR112&gt;(AI112+AJ112)," * La variable 60 años (incluido en grupos de 60-64 años) NO DEBE ser mayor que el Total de consultas del grupo 60-64 años",""))</f>
        <v/>
      </c>
      <c r="CE112" s="196">
        <f>IF(AND($D112&gt;0,AS112="")," * No olvide digitar la variable Compra de Servicios. Digite Cero si no tiene.","")</f>
        <v/>
      </c>
      <c r="CF112" s="196">
        <f>IF(AND($D112&gt;0,AT112="")," * No olvide digitar la Usuarios con Discapacidad. Digite Cero si no tiene.",IF(AT112&gt;$D112," * La variable Usuarios con Discapacidad No puede ser mayor al Total Ambos Sexos.",""))</f>
        <v/>
      </c>
      <c r="CG112" s="196">
        <f>IF(AND($D112&gt;0,AU112="")," * No olvide digitar la variable "&amp;AU$88&amp;". Digite Cero si no tiene.",IF(AU112&gt;$D112," * La variable "&amp;AU$88&amp;" No puede ser mayor al Total Ambos Sexos.",""))</f>
        <v/>
      </c>
      <c r="CH112" s="196">
        <f>IF(AND($D112&gt;0,AV112="")," * No olvide digitar la variable "&amp;AV$88&amp;" Digite Cero si no tiene.",IF(AV112&gt;$D112," * La variable"&amp;AV$88&amp;"no puede ser mayor al Total Ambos Sexos.",""))</f>
        <v/>
      </c>
      <c r="CI112" s="196">
        <f>IF(AND($D112&gt;0,AW112="")," * No olvide digitar la variable Migrantes. Digite Cero si no tiene.",IF(AW112&gt;$D112," * La variable Migrantes no puede ser mayor al Total Ambos Sexos.",""))</f>
        <v/>
      </c>
      <c r="CJ112" s="198" t="n"/>
      <c r="CO112" s="197">
        <f>IF(AND($D112&gt;0,AO112=""),1,IF(AO112&gt;D112,1,0))</f>
        <v/>
      </c>
      <c r="CP112" s="197">
        <f>IF(AND($F112&gt;0,AP112=""),1,IF(AP112&gt;$F112,1,0))</f>
        <v/>
      </c>
      <c r="CQ112" s="197">
        <f>IF(AND($D112&gt;0,AQ112=""),1,IF(AQ112&gt;$D112,1,0))</f>
        <v/>
      </c>
      <c r="CR112" s="197">
        <f>IF(AND(AI112+AJ112&gt;0,AR112=""),1,IF(AR112&gt;AI112+AJ112,1,0))</f>
        <v/>
      </c>
      <c r="CS112" s="197">
        <f>IF(AND($D112&gt;0,AS112=""),1,0)</f>
        <v/>
      </c>
      <c r="CT112" s="197">
        <f>IF(AND($D112&gt;0,AT112=""),1,IF(AT112&gt;$D112,1,0))</f>
        <v/>
      </c>
      <c r="CU112" s="197">
        <f>IF(AND($D112&gt;0,AU112=""),1,IF(AU112&gt;$D112,1,0))</f>
        <v/>
      </c>
      <c r="CV112" s="197">
        <f>IF(AND($D112&gt;0,AV112=""),1,IF(AV112&gt;$D112,1,0))</f>
        <v/>
      </c>
      <c r="CW112" s="197">
        <f>IF(AND($D112&gt;0,AW112=""),1,IF(AW112&gt;$D112,1,0))</f>
        <v/>
      </c>
      <c r="CX112" s="198" t="n"/>
    </row>
    <row r="113" ht="15" customHeight="1" s="8286">
      <c r="A113" s="10246" t="inlineStr">
        <is>
          <t xml:space="preserve">Inducción al cierre apical </t>
        </is>
      </c>
      <c r="B113" s="10208" t="n"/>
      <c r="C113" s="9644" t="n"/>
      <c r="D113" s="1254">
        <f>SUM(E113:F113)</f>
        <v/>
      </c>
      <c r="E113" s="1486">
        <f>SUM(Q113+S113+U113+W113+Y113+AA113+AC113+AE113+AG113+AI113+AK113+AM113)</f>
        <v/>
      </c>
      <c r="F113" s="894">
        <f>SUM(R113+T113+V113+X113+Z113+AB113+AD113+AF113+AH113+AJ113+AL113+AN113)</f>
        <v/>
      </c>
      <c r="G113" s="1941" t="n"/>
      <c r="H113" s="890" t="n"/>
      <c r="I113" s="1941" t="n"/>
      <c r="J113" s="2827" t="n"/>
      <c r="K113" s="1941" t="n"/>
      <c r="L113" s="890" t="n"/>
      <c r="M113" s="1941" t="n"/>
      <c r="N113" s="890" t="n"/>
      <c r="O113" s="1942" t="n"/>
      <c r="P113" s="890" t="n"/>
      <c r="Q113" s="1174" t="n"/>
      <c r="R113" s="886" t="n"/>
      <c r="S113" s="1174" t="n"/>
      <c r="T113" s="886" t="n"/>
      <c r="U113" s="1174" t="n"/>
      <c r="V113" s="886" t="n"/>
      <c r="W113" s="1174" t="n"/>
      <c r="X113" s="886" t="n"/>
      <c r="Y113" s="1174" t="n"/>
      <c r="Z113" s="886" t="n"/>
      <c r="AA113" s="1942" t="n"/>
      <c r="AB113" s="890" t="n"/>
      <c r="AC113" s="1942" t="n"/>
      <c r="AD113" s="890" t="n"/>
      <c r="AE113" s="1942" t="n"/>
      <c r="AF113" s="890" t="n"/>
      <c r="AG113" s="1942" t="n"/>
      <c r="AH113" s="890" t="n"/>
      <c r="AI113" s="1942" t="n"/>
      <c r="AJ113" s="890" t="n"/>
      <c r="AK113" s="1942" t="n"/>
      <c r="AL113" s="890" t="n"/>
      <c r="AM113" s="1942" t="n"/>
      <c r="AN113" s="2055" t="n"/>
      <c r="AO113" s="887" t="n"/>
      <c r="AP113" s="2001" t="n"/>
      <c r="AQ113" s="2001" t="n"/>
      <c r="AR113" s="2054" t="n"/>
      <c r="AS113" s="2001" t="n"/>
      <c r="AT113" s="885" t="n"/>
      <c r="AU113" s="2495" t="n"/>
      <c r="AV113" s="1100" t="n"/>
      <c r="AW113" s="1174" t="n"/>
      <c r="AX113" s="1948" t="n"/>
      <c r="AY113">
        <f>CA113&amp;CB113&amp;CC113&amp;CD113&amp;CE113&amp;CF113&amp;CG113&amp;CH113&amp;CI113&amp;CJ113</f>
        <v/>
      </c>
      <c r="CA113" s="196">
        <f>IF(AND((W113+X113)&gt;0,AO113="")," * No olvide digitar la variable 12 años (incluido en el grupo de 10-14 años). Digite Cero si no tiene.",IF(AO113&gt;(W113+X113),"* Las Consultas de 12 años (incluido en el grupo de 10-14 años) NO DEBEN ser mayor que el total de Consultas entre 10-14 años",""))</f>
        <v/>
      </c>
      <c r="CB113" s="196">
        <f>IF(AND($F113&gt;0,AP113="")," * No olvide digitar la variable Gestante. Digite cero si no tiene.",IF(AP113&gt;$F113," * La variable Gestante NO DEBEN ser mayor al Total de Mujeres. ",""))</f>
        <v/>
      </c>
      <c r="CC113" s="196">
        <f>IF(AND(D113&gt;0,AQ113="")," * No olvide digitar la variable  Atención bajo sedación inhalatoria (con óxido nitroso). Digite Cero si no tiene.",IF(AQ113&gt;D113," * La variable  Atención bajo sedación inhalatoria (con óxido nitroso) NO DEBE ser mayor que el Total Ambos Sexos",""))</f>
        <v/>
      </c>
      <c r="CD113" s="198" t="n"/>
      <c r="CE113" s="196">
        <f>IF(AND($D113&gt;0,AS113="")," * No olvide digitar la variable Compra de Servicios. Digite Cero si no tiene.","")</f>
        <v/>
      </c>
      <c r="CF113" s="196">
        <f>IF(AND($D113&gt;0,AT113="")," * No olvide digitar la Usuarios con Discapacidad. Digite Cero si no tiene.",IF(AT113&gt;$D113," * La variable Usuarios con Discapacidad No puede ser mayor al Total Ambos Sexos.",""))</f>
        <v/>
      </c>
      <c r="CG113" s="196">
        <f>IF(AND($D113&gt;0,AU113="")," * No olvide digitar la variable "&amp;AU$88&amp;". Digite Cero si no tiene.",IF(AU113&gt;$D113," * La variable "&amp;AU$88&amp;" No puede ser mayor al Total Ambos Sexos.",""))</f>
        <v/>
      </c>
      <c r="CH113" s="196">
        <f>IF(AND($D113&gt;0,AV113="")," * No olvide digitar la variable "&amp;AV$88&amp;" Digite Cero si no tiene.",IF(AV113&gt;$D113," * La variable"&amp;AV$88&amp;"no puede ser mayor al Total Ambos Sexos.",""))</f>
        <v/>
      </c>
      <c r="CI113" s="196">
        <f>IF(AND($D113&gt;0,AW113="")," * No olvide digitar la variable Migrantes. Digite Cero si no tiene.",IF(AW113&gt;$D113," * La variable Migrantes no puede ser mayor al Total Ambos Sexos.",""))</f>
        <v/>
      </c>
      <c r="CJ113" s="198" t="n"/>
      <c r="CO113" s="197">
        <f>IF(AND($D113&gt;0,AO113=""),1,IF(AO113&gt;D113,1,0))</f>
        <v/>
      </c>
      <c r="CP113" s="197">
        <f>IF(AND($F113&gt;0,AP113=""),1,IF(AP113&gt;$F113,1,0))</f>
        <v/>
      </c>
      <c r="CQ113" s="197">
        <f>IF(AND($D113&gt;0,AQ113=""),1,IF(AQ113&gt;$D113,1,0))</f>
        <v/>
      </c>
      <c r="CR113" s="197">
        <f>IF(AND(AI113+AJ113&gt;0,AR113=""),1,IF(AR113&gt;AI113+AJ113,1,0))</f>
        <v/>
      </c>
      <c r="CS113" s="197">
        <f>IF(AND($D113&gt;0,AS113=""),1,0)</f>
        <v/>
      </c>
      <c r="CT113" s="197">
        <f>IF(AND($D113&gt;0,AT113=""),1,IF(AT113&gt;$D113,1,0))</f>
        <v/>
      </c>
      <c r="CU113" s="197">
        <f>IF(AND($D113&gt;0,AU113=""),1,IF(AU113&gt;$D113,1,0))</f>
        <v/>
      </c>
      <c r="CV113" s="197">
        <f>IF(AND($D113&gt;0,AV113=""),1,IF(AV113&gt;$D113,1,0))</f>
        <v/>
      </c>
      <c r="CW113" s="197">
        <f>IF(AND($D113&gt;0,AW113=""),1,IF(AW113&gt;$D113,1,0))</f>
        <v/>
      </c>
      <c r="CX113" s="198" t="n"/>
    </row>
    <row r="114" ht="15" customHeight="1" s="8286">
      <c r="A114" s="10246" t="inlineStr">
        <is>
          <t xml:space="preserve">Retratamiento de endodoncia </t>
        </is>
      </c>
      <c r="B114" s="10208" t="n"/>
      <c r="C114" s="9644" t="n"/>
      <c r="D114" s="1254">
        <f>SUM(E114:F114)</f>
        <v/>
      </c>
      <c r="E114" s="1486">
        <f>SUM(Q114+S114+U114+W114+Y114+AA114+AC114+AE114+AG114+AI114+AK114+AM114)</f>
        <v/>
      </c>
      <c r="F114" s="894">
        <f>SUM(R114+T114+V114+X114+Z114+AB114+AD114+AF114+AH114+AJ114+AL114+AN114)</f>
        <v/>
      </c>
      <c r="G114" s="1941" t="n"/>
      <c r="H114" s="890" t="n"/>
      <c r="I114" s="1941" t="n"/>
      <c r="J114" s="2827" t="n"/>
      <c r="K114" s="1941" t="n"/>
      <c r="L114" s="890" t="n"/>
      <c r="M114" s="1941" t="n"/>
      <c r="N114" s="890" t="n"/>
      <c r="O114" s="1942" t="n"/>
      <c r="P114" s="890" t="n"/>
      <c r="Q114" s="1174" t="n"/>
      <c r="R114" s="886" t="n"/>
      <c r="S114" s="1174" t="n"/>
      <c r="T114" s="886" t="n"/>
      <c r="U114" s="1174" t="n"/>
      <c r="V114" s="886" t="n"/>
      <c r="W114" s="1174" t="n"/>
      <c r="X114" s="886" t="n"/>
      <c r="Y114" s="1174" t="n"/>
      <c r="Z114" s="886" t="n"/>
      <c r="AA114" s="1174" t="n"/>
      <c r="AB114" s="886" t="n"/>
      <c r="AC114" s="1174" t="n"/>
      <c r="AD114" s="886" t="n"/>
      <c r="AE114" s="1174" t="n"/>
      <c r="AF114" s="886" t="n"/>
      <c r="AG114" s="1174" t="n"/>
      <c r="AH114" s="886" t="n"/>
      <c r="AI114" s="1174" t="n"/>
      <c r="AJ114" s="886" t="n"/>
      <c r="AK114" s="1174" t="n"/>
      <c r="AL114" s="886" t="n"/>
      <c r="AM114" s="1174" t="n"/>
      <c r="AN114" s="1929" t="n"/>
      <c r="AO114" s="887" t="n"/>
      <c r="AP114" s="2001" t="n"/>
      <c r="AQ114" s="2001" t="n"/>
      <c r="AR114" s="2001" t="n"/>
      <c r="AS114" s="2001" t="n"/>
      <c r="AT114" s="885" t="n"/>
      <c r="AU114" s="2495" t="n"/>
      <c r="AV114" s="1100" t="n"/>
      <c r="AW114" s="1174" t="n"/>
      <c r="AX114" s="1948" t="n"/>
      <c r="AY114">
        <f>CA114&amp;CB114&amp;CC114&amp;CD114&amp;CE114&amp;CF114&amp;CG114&amp;CH114&amp;CI114&amp;CJ114</f>
        <v/>
      </c>
      <c r="CA114" s="196">
        <f>IF(AND((W114+X114)&gt;0,AO114="")," * No olvide digitar la variable 12 años (incluido en el grupo de 10-14 años). Digite Cero si no tiene.",IF(AO114&gt;(W114+X114),"* Las Consultas de 12 años (incluido en el grupo de 10-14 años) NO DEBEN ser mayor que el total de Consultas entre 10-14 años",""))</f>
        <v/>
      </c>
      <c r="CB114" s="196">
        <f>IF(AND($F114&gt;0,AP114="")," * No olvide digitar la variable Gestante. Digite cero si no tiene.",IF(AP114&gt;$F114," * La variable Gestante NO DEBEN ser mayor al Total de Mujeres. ",""))</f>
        <v/>
      </c>
      <c r="CC114" s="196">
        <f>IF(AND(D114&gt;0,AQ114="")," * No olvide digitar la variable  Atención bajo sedación inhalatoria (con óxido nitroso). Digite Cero si no tiene.",IF(AQ114&gt;D114," * La variable  Atención bajo sedación inhalatoria (con óxido nitroso) NO DEBE ser mayor que el Total Ambos Sexos",""))</f>
        <v/>
      </c>
      <c r="CD114" s="196">
        <f>IF(AND((AI114+AJ114)&gt;0,AR114="")," * No olvide digitar la variable 60 años (incluido en grupos de 60-64 años). Digite Cero si no tiene.",IF(AR114&gt;(AI114+AJ114)," * La variable 60 años (incluido en grupos de 60-64 años) NO DEBE ser mayor que el Total de consultas del grupo 60-64 años",""))</f>
        <v/>
      </c>
      <c r="CE114" s="196">
        <f>IF(AND($D114&gt;0,AS114="")," * No olvide digitar la variable Compra de Servicios. Digite Cero si no tiene.","")</f>
        <v/>
      </c>
      <c r="CF114" s="196">
        <f>IF(AND($D114&gt;0,AT114="")," * No olvide digitar la Usuarios con Discapacidad. Digite Cero si no tiene.",IF(AT114&gt;$D114," * La variable Usuarios con Discapacidad No puede ser mayor al Total Ambos Sexos.",""))</f>
        <v/>
      </c>
      <c r="CG114" s="196">
        <f>IF(AND($D114&gt;0,AU114="")," * No olvide digitar la variable "&amp;AU$88&amp;". Digite Cero si no tiene.",IF(AU114&gt;$D114," * La variable "&amp;AU$88&amp;" No puede ser mayor al Total Ambos Sexos.",""))</f>
        <v/>
      </c>
      <c r="CH114" s="196">
        <f>IF(AND($D114&gt;0,AV114="")," * No olvide digitar la variable "&amp;AV$88&amp;" Digite Cero si no tiene.",IF(AV114&gt;$D114," * La variable"&amp;AV$88&amp;"no puede ser mayor al Total Ambos Sexos.",""))</f>
        <v/>
      </c>
      <c r="CI114" s="196">
        <f>IF(AND($D114&gt;0,AW114="")," * No olvide digitar la variable Migrantes. Digite Cero si no tiene.",IF(AW114&gt;$D114," * La variable Migrantes no puede ser mayor al Total Ambos Sexos.",""))</f>
        <v/>
      </c>
      <c r="CJ114" s="198" t="n"/>
      <c r="CO114" s="197">
        <f>IF(AND($D114&gt;0,AO114=""),1,IF(AO114&gt;D114,1,0))</f>
        <v/>
      </c>
      <c r="CP114" s="197">
        <f>IF(AND($F114&gt;0,AP114=""),1,IF(AP114&gt;$F114,1,0))</f>
        <v/>
      </c>
      <c r="CQ114" s="197">
        <f>IF(AND($D114&gt;0,AQ114=""),1,IF(AQ114&gt;$D114,1,0))</f>
        <v/>
      </c>
      <c r="CR114" s="197">
        <f>IF(AND(AI114+AJ114&gt;0,AR114=""),1,IF(AR114&gt;AI114+AJ114,1,0))</f>
        <v/>
      </c>
      <c r="CS114" s="197">
        <f>IF(AND($D114&gt;0,AS114=""),1,0)</f>
        <v/>
      </c>
      <c r="CT114" s="197">
        <f>IF(AND($D114&gt;0,AT114=""),1,IF(AT114&gt;$D114,1,0))</f>
        <v/>
      </c>
      <c r="CU114" s="197">
        <f>IF(AND($D114&gt;0,AU114=""),1,IF(AU114&gt;$D114,1,0))</f>
        <v/>
      </c>
      <c r="CV114" s="197">
        <f>IF(AND($D114&gt;0,AV114=""),1,IF(AV114&gt;$D114,1,0))</f>
        <v/>
      </c>
      <c r="CW114" s="197">
        <f>IF(AND($D114&gt;0,AW114=""),1,IF(AW114&gt;$D114,1,0))</f>
        <v/>
      </c>
      <c r="CX114" s="198" t="n"/>
    </row>
    <row r="115" ht="15" customHeight="1" s="8286">
      <c r="A115" s="10246" t="inlineStr">
        <is>
          <t xml:space="preserve">Adaptación a la atención odontológica  </t>
        </is>
      </c>
      <c r="B115" s="10208" t="n"/>
      <c r="C115" s="9644" t="n"/>
      <c r="D115" s="1254">
        <f>SUM(E115:F115)</f>
        <v/>
      </c>
      <c r="E115" s="1486">
        <f>SUM(G115+I115+K115+M115+O115+Q115+S115+U115+W115+Y115+AA115+AC115+AE115+AG115+AI115+AK115+AM115)</f>
        <v/>
      </c>
      <c r="F115" s="894">
        <f>SUM(H115+J115+L115+N115+P115+R115+T115+V115+X115+Z115+AB115+AD115+AF115+AH115+AJ115+AL115+AN115)</f>
        <v/>
      </c>
      <c r="G115" s="1242" t="n"/>
      <c r="H115" s="2830" t="n"/>
      <c r="I115" s="1172" t="n"/>
      <c r="J115" s="885" t="n"/>
      <c r="K115" s="1172" t="n"/>
      <c r="L115" s="886" t="n"/>
      <c r="M115" s="1172" t="n"/>
      <c r="N115" s="886" t="n"/>
      <c r="O115" s="1174" t="n"/>
      <c r="P115" s="886" t="n"/>
      <c r="Q115" s="1174" t="n"/>
      <c r="R115" s="886" t="n"/>
      <c r="S115" s="1174" t="n"/>
      <c r="T115" s="886" t="n"/>
      <c r="U115" s="1174" t="n"/>
      <c r="V115" s="886" t="n"/>
      <c r="W115" s="1174" t="n"/>
      <c r="X115" s="886" t="n"/>
      <c r="Y115" s="1174" t="n"/>
      <c r="Z115" s="886" t="n"/>
      <c r="AA115" s="1174" t="n"/>
      <c r="AB115" s="886" t="n"/>
      <c r="AC115" s="1174" t="n"/>
      <c r="AD115" s="886" t="n"/>
      <c r="AE115" s="1174" t="n"/>
      <c r="AF115" s="886" t="n"/>
      <c r="AG115" s="1174" t="n"/>
      <c r="AH115" s="886" t="n"/>
      <c r="AI115" s="1174" t="n"/>
      <c r="AJ115" s="886" t="n"/>
      <c r="AK115" s="1174" t="n"/>
      <c r="AL115" s="886" t="n"/>
      <c r="AM115" s="1174" t="n"/>
      <c r="AN115" s="1929" t="n"/>
      <c r="AO115" s="887" t="n"/>
      <c r="AP115" s="2001" t="n"/>
      <c r="AQ115" s="2001" t="n"/>
      <c r="AR115" s="2001" t="n"/>
      <c r="AS115" s="2001" t="n"/>
      <c r="AT115" s="885" t="n"/>
      <c r="AU115" s="2495" t="n"/>
      <c r="AV115" s="1100" t="n"/>
      <c r="AW115" s="1174" t="n"/>
      <c r="AX115" s="1948" t="n"/>
      <c r="AY115">
        <f>CA115&amp;CB115&amp;CC115&amp;CD115&amp;CE115&amp;CF115&amp;CG115&amp;CH115&amp;CI115&amp;CJ115</f>
        <v/>
      </c>
      <c r="CA115" s="196">
        <f>IF(AND((W115+X115)&gt;0,AO115="")," * No olvide digitar la variable 12 años (incluido en el grupo de 10-14 años). Digite Cero si no tiene.",IF(AO115&gt;(W115+X115),"* Las Consultas de 12 años (incluido en el grupo de 10-14 años) NO DEBEN ser mayor que el total de Consultas entre 10-14 años",""))</f>
        <v/>
      </c>
      <c r="CB115" s="196">
        <f>IF(AND($F115&gt;0,AP115="")," * No olvide digitar la variable Gestante. Digite cero si no tiene.",IF(AP115&gt;$F115," * La variable Gestante NO DEBEN ser mayor al Total de Mujeres. ",""))</f>
        <v/>
      </c>
      <c r="CC115" s="196">
        <f>IF(AND(D115&gt;0,AQ115="")," * No olvide digitar la variable  Atención bajo sedación inhalatoria (con óxido nitroso). Digite Cero si no tiene.",IF(AQ115&gt;D115," * La variable  Atención bajo sedación inhalatoria (con óxido nitroso) NO DEBE ser mayor que el Total Ambos Sexos",""))</f>
        <v/>
      </c>
      <c r="CD115" s="196">
        <f>IF(AND((AI115+AJ115)&gt;0,AR115="")," * No olvide digitar la variable 60 años (incluido en grupos de 60-64 años). Digite Cero si no tiene.",IF(AR115&gt;(AI115+AJ115)," * La variable 60 años (incluido en grupos de 60-64 años) NO DEBE ser mayor que el Total de consultas del grupo 60-64 años",""))</f>
        <v/>
      </c>
      <c r="CE115" s="196">
        <f>IF(AND($D115&gt;0,AS115="")," * No olvide digitar la variable Compra de Servicios. Digite Cero si no tiene.","")</f>
        <v/>
      </c>
      <c r="CF115" s="196">
        <f>IF(AND($D115&gt;0,AT115="")," * No olvide digitar la Usuarios con Discapacidad. Digite Cero si no tiene.",IF(AT115&gt;$D115," * La variable Usuarios con Discapacidad No puede ser mayor al Total Ambos Sexos.",""))</f>
        <v/>
      </c>
      <c r="CG115" s="196">
        <f>IF(AND($D115&gt;0,AU115="")," * No olvide digitar la variable "&amp;AU$88&amp;". Digite Cero si no tiene.",IF(AU115&gt;$D115," * La variable "&amp;AU$88&amp;" No puede ser mayor al Total Ambos Sexos.",""))</f>
        <v/>
      </c>
      <c r="CH115" s="196">
        <f>IF(AND($D115&gt;0,AV115="")," * No olvide digitar la variable "&amp;AV$88&amp;" Digite Cero si no tiene.",IF(AV115&gt;$D115," * La variable"&amp;AV$88&amp;"no puede ser mayor al Total Ambos Sexos.",""))</f>
        <v/>
      </c>
      <c r="CI115" s="196">
        <f>IF(AND($D115&gt;0,AW115="")," * No olvide digitar la variable Migrantes. Digite Cero si no tiene.",IF(AW115&gt;$D115," * La variable Migrantes no puede ser mayor al Total Ambos Sexos.",""))</f>
        <v/>
      </c>
      <c r="CJ115" s="198" t="n"/>
      <c r="CO115" s="197">
        <f>IF(AND($D115&gt;0,AO115=""),1,IF(AO115&gt;D115,1,0))</f>
        <v/>
      </c>
      <c r="CP115" s="197">
        <f>IF(AND($F115&gt;0,AP115=""),1,IF(AP115&gt;$F115,1,0))</f>
        <v/>
      </c>
      <c r="CQ115" s="197">
        <f>IF(AND($D115&gt;0,AQ115=""),1,IF(AQ115&gt;$D115,1,0))</f>
        <v/>
      </c>
      <c r="CR115" s="197">
        <f>IF(AND(AI115+AJ115&gt;0,AR115=""),1,IF(AR115&gt;AI115+AJ115,1,0))</f>
        <v/>
      </c>
      <c r="CS115" s="197">
        <f>IF(AND($D115&gt;0,AS115=""),1,0)</f>
        <v/>
      </c>
      <c r="CT115" s="197">
        <f>IF(AND($D115&gt;0,AT115=""),1,IF(AT115&gt;$D115,1,0))</f>
        <v/>
      </c>
      <c r="CU115" s="197">
        <f>IF(AND($D115&gt;0,AU115=""),1,IF(AU115&gt;$D115,1,0))</f>
        <v/>
      </c>
      <c r="CV115" s="197">
        <f>IF(AND($D115&gt;0,AV115=""),1,IF(AV115&gt;$D115,1,0))</f>
        <v/>
      </c>
      <c r="CW115" s="197">
        <f>IF(AND($D115&gt;0,AW115=""),1,IF(AW115&gt;$D115,1,0))</f>
        <v/>
      </c>
      <c r="CX115" s="198" t="n"/>
    </row>
    <row r="116" ht="15" customHeight="1" s="8286">
      <c r="A116" s="10246" t="inlineStr">
        <is>
          <t>Procedimiento restaurador (odontopediatría)</t>
        </is>
      </c>
      <c r="B116" s="10208" t="n"/>
      <c r="C116" s="9644" t="n"/>
      <c r="D116" s="1254">
        <f>SUM(E116:F116)</f>
        <v/>
      </c>
      <c r="E116" s="1486">
        <f>SUM(G116+I116+K116+M116+O116+Q116+S116+U116+W116+Y116+AA116+AC116+AE116+AG116+AI116+AK116+AM116)</f>
        <v/>
      </c>
      <c r="F116" s="894">
        <f>SUM(H116+J116+L116+N116+P116+R116+T116+V116+X116+Z116+AB116+AD116+AF116+AH116+AJ116+AL116+AN116)</f>
        <v/>
      </c>
      <c r="G116" s="1242" t="n"/>
      <c r="H116" s="2830" t="n"/>
      <c r="I116" s="1172" t="n"/>
      <c r="J116" s="885" t="n"/>
      <c r="K116" s="1172" t="n"/>
      <c r="L116" s="886" t="n"/>
      <c r="M116" s="1172" t="n"/>
      <c r="N116" s="886" t="n"/>
      <c r="O116" s="1174" t="n"/>
      <c r="P116" s="886" t="n"/>
      <c r="Q116" s="1174" t="n"/>
      <c r="R116" s="886" t="n"/>
      <c r="S116" s="1174" t="n"/>
      <c r="T116" s="886" t="n"/>
      <c r="U116" s="1174" t="n"/>
      <c r="V116" s="886" t="n"/>
      <c r="W116" s="1174" t="n"/>
      <c r="X116" s="886" t="n"/>
      <c r="Y116" s="1174" t="n"/>
      <c r="Z116" s="886" t="n"/>
      <c r="AA116" s="1174" t="n"/>
      <c r="AB116" s="886" t="n"/>
      <c r="AC116" s="1174" t="n"/>
      <c r="AD116" s="886" t="n"/>
      <c r="AE116" s="1174" t="n"/>
      <c r="AF116" s="886" t="n"/>
      <c r="AG116" s="1174" t="n"/>
      <c r="AH116" s="886" t="n"/>
      <c r="AI116" s="1174" t="n"/>
      <c r="AJ116" s="886" t="n"/>
      <c r="AK116" s="1174" t="n"/>
      <c r="AL116" s="886" t="n"/>
      <c r="AM116" s="1174" t="n"/>
      <c r="AN116" s="1929" t="n"/>
      <c r="AO116" s="887" t="n"/>
      <c r="AP116" s="2001" t="n"/>
      <c r="AQ116" s="2001" t="n"/>
      <c r="AR116" s="2001" t="n"/>
      <c r="AS116" s="2001" t="n"/>
      <c r="AT116" s="885" t="n"/>
      <c r="AU116" s="2495" t="n"/>
      <c r="AV116" s="1100" t="n"/>
      <c r="AW116" s="1174" t="n"/>
      <c r="AX116" s="1173" t="n"/>
      <c r="AY116">
        <f>CA116&amp;CB116&amp;CC116&amp;CD116&amp;CE116&amp;CF116&amp;CG116&amp;CH116&amp;CI116&amp;CJ116</f>
        <v/>
      </c>
      <c r="CA116" s="196">
        <f>IF(AND((W116+X116)&gt;0,AO116="")," * No olvide digitar la variable 12 años (incluido en el grupo de 10-14 años). Digite Cero si no tiene.",IF(AO116&gt;(W116+X116),"* Las Consultas de 12 años (incluido en el grupo de 10-14 años) NO DEBEN ser mayor que el total de Consultas entre 10-14 años",""))</f>
        <v/>
      </c>
      <c r="CB116" s="196">
        <f>IF(AND($F116&gt;0,AP116="")," * No olvide digitar la variable Gestante. Digite cero si no tiene.",IF(AP116&gt;$F116," * La variable Gestante NO DEBEN ser mayor al Total de Mujeres. ",""))</f>
        <v/>
      </c>
      <c r="CC116" s="196">
        <f>IF(AND(D116&gt;0,AQ116="")," * No olvide digitar la variable  Atención bajo sedación inhalatoria (con óxido nitroso). Digite Cero si no tiene.",IF(AQ116&gt;D116," * La variable  Atención bajo sedación inhalatoria (con óxido nitroso) NO DEBE ser mayor que el Total Ambos Sexos",""))</f>
        <v/>
      </c>
      <c r="CD116" s="196">
        <f>IF(AND((AI116+AJ116)&gt;0,AR116="")," * No olvide digitar la variable 60 años (incluido en grupos de 60-64 años). Digite Cero si no tiene.",IF(AR116&gt;(AI116+AJ116)," * La variable 60 años (incluido en grupos de 60-64 años) NO DEBE ser mayor que el Total de consultas del grupo 60-64 años",""))</f>
        <v/>
      </c>
      <c r="CE116" s="196">
        <f>IF(AND($D116&gt;0,AS116="")," * No olvide digitar la variable Compra de Servicios. Digite Cero si no tiene.","")</f>
        <v/>
      </c>
      <c r="CF116" s="196">
        <f>IF(AND($D116&gt;0,AT116="")," * No olvide digitar la Usuarios con Discapacidad. Digite Cero si no tiene.",IF(AT116&gt;$D116," * La variable Usuarios con Discapacidad No puede ser mayor al Total Ambos Sexos.",""))</f>
        <v/>
      </c>
      <c r="CG116" s="196">
        <f>IF(AND($D116&gt;0,AU116="")," * No olvide digitar la variable "&amp;AU$88&amp;". Digite Cero si no tiene.",IF(AU116&gt;$D116," * La variable "&amp;AU$88&amp;" No puede ser mayor al Total Ambos Sexos.",""))</f>
        <v/>
      </c>
      <c r="CH116" s="196">
        <f>IF(AND($D116&gt;0,AV116="")," * No olvide digitar la variable "&amp;AV$88&amp;" Digite Cero si no tiene.",IF(AV116&gt;$D116," * La variable"&amp;AV$88&amp;"no puede ser mayor al Total Ambos Sexos.",""))</f>
        <v/>
      </c>
      <c r="CI116" s="196">
        <f>IF(AND($D116&gt;0,AW116="")," * No olvide digitar la variable Migrantes. Digite Cero si no tiene.",IF(AW116&gt;$D116," * La variable Migrantes no puede ser mayor al Total Ambos Sexos.",""))</f>
        <v/>
      </c>
      <c r="CJ116" s="196">
        <f>IF(AND($D116&gt;0,AX116="")," * No olvide digitar la variable Flujo digital. Digite Cero si no tiene.",IF(AX116&gt;$D116," * La variable Flujo digital no puede ser mayor al Total Ambos Sexos.",""))</f>
        <v/>
      </c>
      <c r="CO116" s="197">
        <f>IF(AND($D116&gt;0,AO116=""),1,IF(AO116&gt;D116,1,0))</f>
        <v/>
      </c>
      <c r="CP116" s="197">
        <f>IF(AND($F116&gt;0,AP116=""),1,IF(AP116&gt;$F116,1,0))</f>
        <v/>
      </c>
      <c r="CQ116" s="197">
        <f>IF(AND($D116&gt;0,AQ116=""),1,IF(AQ116&gt;$D116,1,0))</f>
        <v/>
      </c>
      <c r="CR116" s="197">
        <f>IF(AND(AI116+AJ116&gt;0,AR116=""),1,IF(AR116&gt;AI116+AJ116,1,0))</f>
        <v/>
      </c>
      <c r="CS116" s="197">
        <f>IF(AND($D116&gt;0,AS116=""),1,0)</f>
        <v/>
      </c>
      <c r="CT116" s="197">
        <f>IF(AND($D116&gt;0,AT116=""),1,IF(AT116&gt;$D116,1,0))</f>
        <v/>
      </c>
      <c r="CU116" s="197">
        <f>IF(AND($D116&gt;0,AU116=""),1,IF(AU116&gt;$D116,1,0))</f>
        <v/>
      </c>
      <c r="CV116" s="197">
        <f>IF(AND($D116&gt;0,AV116=""),1,IF(AV116&gt;$D116,1,0))</f>
        <v/>
      </c>
      <c r="CW116" s="197">
        <f>IF(AND($D116&gt;0,AW116=""),1,IF(AW116&gt;$D116,1,0))</f>
        <v/>
      </c>
      <c r="CX116" s="197">
        <f>IF(AND($D116&gt;0,AX116=""),1,IF(AX116&gt;$D116,1,0))</f>
        <v/>
      </c>
    </row>
    <row r="117" ht="15" customHeight="1" s="8286">
      <c r="A117" s="10246" t="inlineStr">
        <is>
          <t>Procedimiento pulpar (odontopediatría)</t>
        </is>
      </c>
      <c r="B117" s="10208" t="n"/>
      <c r="C117" s="9644" t="n"/>
      <c r="D117" s="1254">
        <f>SUM(E117:F117)</f>
        <v/>
      </c>
      <c r="E117" s="1486">
        <f>SUM(G117+I117+K117+M117+O117+Q117+S117+U117+W117+Y117+AA117+AC117+AE117+AG117+AI117+AK117+AM117)</f>
        <v/>
      </c>
      <c r="F117" s="894">
        <f>SUM(H117+J117+L117+N117+P117+R117+T117+V117+X117+Z117+AB117+AD117+AF117+AH117+AJ117+AL117+AN117)</f>
        <v/>
      </c>
      <c r="G117" s="1242" t="n"/>
      <c r="H117" s="2830" t="n"/>
      <c r="I117" s="1172" t="n"/>
      <c r="J117" s="885" t="n"/>
      <c r="K117" s="1172" t="n"/>
      <c r="L117" s="886" t="n"/>
      <c r="M117" s="1172" t="n"/>
      <c r="N117" s="886" t="n"/>
      <c r="O117" s="1174" t="n"/>
      <c r="P117" s="886" t="n"/>
      <c r="Q117" s="1174" t="n"/>
      <c r="R117" s="886" t="n"/>
      <c r="S117" s="1174" t="n"/>
      <c r="T117" s="886" t="n"/>
      <c r="U117" s="1174" t="n"/>
      <c r="V117" s="886" t="n"/>
      <c r="W117" s="1174" t="n"/>
      <c r="X117" s="886" t="n"/>
      <c r="Y117" s="1174" t="n"/>
      <c r="Z117" s="886" t="n"/>
      <c r="AA117" s="1174" t="n"/>
      <c r="AB117" s="886" t="n"/>
      <c r="AC117" s="1174" t="n"/>
      <c r="AD117" s="886" t="n"/>
      <c r="AE117" s="1174" t="n"/>
      <c r="AF117" s="886" t="n"/>
      <c r="AG117" s="1174" t="n"/>
      <c r="AH117" s="886" t="n"/>
      <c r="AI117" s="1174" t="n"/>
      <c r="AJ117" s="886" t="n"/>
      <c r="AK117" s="1174" t="n"/>
      <c r="AL117" s="886" t="n"/>
      <c r="AM117" s="1174" t="n"/>
      <c r="AN117" s="1929" t="n"/>
      <c r="AO117" s="887" t="n"/>
      <c r="AP117" s="2001" t="n"/>
      <c r="AQ117" s="2001" t="n"/>
      <c r="AR117" s="2001" t="n"/>
      <c r="AS117" s="2001" t="n"/>
      <c r="AT117" s="885" t="n"/>
      <c r="AU117" s="2495" t="n"/>
      <c r="AV117" s="1100" t="n"/>
      <c r="AW117" s="1174" t="n"/>
      <c r="AX117" s="1948" t="n"/>
      <c r="AY117">
        <f>CA117&amp;CB117&amp;CC117&amp;CD117&amp;CE117&amp;CF117&amp;CG117&amp;CH117&amp;CI117&amp;CJ117</f>
        <v/>
      </c>
      <c r="CA117" s="196">
        <f>IF(AND((W117+X117)&gt;0,AO117="")," * No olvide digitar la variable 12 años (incluido en el grupo de 10-14 años). Digite Cero si no tiene.",IF(AO117&gt;(W117+X117),"* Las Consultas de 12 años (incluido en el grupo de 10-14 años) NO DEBEN ser mayor que el total de Consultas entre 10-14 años",""))</f>
        <v/>
      </c>
      <c r="CB117" s="196">
        <f>IF(AND($F117&gt;0,AP117="")," * No olvide digitar la variable Gestante. Digite cero si no tiene.",IF(AP117&gt;$F117," * La variable Gestante NO DEBEN ser mayor al Total de Mujeres. ",""))</f>
        <v/>
      </c>
      <c r="CC117" s="196">
        <f>IF(AND(D117&gt;0,AQ117="")," * No olvide digitar la variable  Atención bajo sedación inhalatoria (con óxido nitroso). Digite Cero si no tiene.",IF(AQ117&gt;D117," * La variable  Atención bajo sedación inhalatoria (con óxido nitroso) NO DEBE ser mayor que el Total Ambos Sexos",""))</f>
        <v/>
      </c>
      <c r="CD117" s="196">
        <f>IF(AND((AI117+AJ117)&gt;0,AR117="")," * No olvide digitar la variable 60 años (incluido en grupos de 60-64 años). Digite Cero si no tiene.",IF(AR117&gt;(AI117+AJ117)," * La variable 60 años (incluido en grupos de 60-64 años) NO DEBE ser mayor que el Total de consultas del grupo 60-64 años",""))</f>
        <v/>
      </c>
      <c r="CE117" s="196">
        <f>IF(AND($D117&gt;0,AS117="")," * No olvide digitar la variable Compra de Servicios. Digite Cero si no tiene.","")</f>
        <v/>
      </c>
      <c r="CF117" s="196">
        <f>IF(AND($D117&gt;0,AT117="")," * No olvide digitar la Usuarios con Discapacidad. Digite Cero si no tiene.",IF(AT117&gt;$D117," * La variable Usuarios con Discapacidad No puede ser mayor al Total Ambos Sexos.",""))</f>
        <v/>
      </c>
      <c r="CG117" s="196">
        <f>IF(AND($D117&gt;0,AU117="")," * No olvide digitar la variable "&amp;AU$88&amp;". Digite Cero si no tiene.",IF(AU117&gt;$D117," * La variable "&amp;AU$88&amp;" No puede ser mayor al Total Ambos Sexos.",""))</f>
        <v/>
      </c>
      <c r="CH117" s="196">
        <f>IF(AND($D117&gt;0,AV117="")," * No olvide digitar la variable "&amp;AV$88&amp;" Digite Cero si no tiene.",IF(AV117&gt;$D117," * La variable"&amp;AV$88&amp;"no puede ser mayor al Total Ambos Sexos.",""))</f>
        <v/>
      </c>
      <c r="CI117" s="196">
        <f>IF(AND($D117&gt;0,AW117="")," * No olvide digitar la variable Migrantes. Digite Cero si no tiene.",IF(AW117&gt;$D117," * La variable Migrantes no puede ser mayor al Total Ambos Sexos.",""))</f>
        <v/>
      </c>
      <c r="CJ117" s="198" t="n"/>
      <c r="CO117" s="197">
        <f>IF(AND($D117&gt;0,AO117=""),1,IF(AO117&gt;D117,1,0))</f>
        <v/>
      </c>
      <c r="CP117" s="197">
        <f>IF(AND($F117&gt;0,AP117=""),1,IF(AP117&gt;$F117,1,0))</f>
        <v/>
      </c>
      <c r="CQ117" s="197">
        <f>IF(AND($D117&gt;0,AQ117=""),1,IF(AQ117&gt;$D117,1,0))</f>
        <v/>
      </c>
      <c r="CR117" s="197">
        <f>IF(AND(AI117+AJ117&gt;0,AR117=""),1,IF(AR117&gt;AI117+AJ117,1,0))</f>
        <v/>
      </c>
      <c r="CS117" s="197">
        <f>IF(AND($D117&gt;0,AS117=""),1,0)</f>
        <v/>
      </c>
      <c r="CT117" s="197">
        <f>IF(AND($D117&gt;0,AT117=""),1,IF(AT117&gt;$D117,1,0))</f>
        <v/>
      </c>
      <c r="CU117" s="197">
        <f>IF(AND($D117&gt;0,AU117=""),1,IF(AU117&gt;$D117,1,0))</f>
        <v/>
      </c>
      <c r="CV117" s="197">
        <f>IF(AND($D117&gt;0,AV117=""),1,IF(AV117&gt;$D117,1,0))</f>
        <v/>
      </c>
      <c r="CW117" s="197">
        <f>IF(AND($D117&gt;0,AW117=""),1,IF(AW117&gt;$D117,1,0))</f>
        <v/>
      </c>
      <c r="CX117" s="198" t="n"/>
    </row>
    <row r="118" ht="15" customHeight="1" s="8286">
      <c r="A118" s="10246" t="inlineStr">
        <is>
          <t xml:space="preserve">Destartraje subgingival o pulido radicular </t>
        </is>
      </c>
      <c r="B118" s="10208" t="n"/>
      <c r="C118" s="9644" t="n"/>
      <c r="D118" s="1254">
        <f>SUM(E118:F118)</f>
        <v/>
      </c>
      <c r="E118" s="1486">
        <f>SUM(S118+U118+W118+Y118+AA118+AC118+AE118+AG118+AI118+AK118+AM118)</f>
        <v/>
      </c>
      <c r="F118" s="894">
        <f>SUM(T118+V118+X118+Z118+AB118+AD118+AF118+AH118+AJ118+AL118+AN118)</f>
        <v/>
      </c>
      <c r="G118" s="1325" t="n"/>
      <c r="H118" s="877" t="n"/>
      <c r="I118" s="1325" t="n"/>
      <c r="J118" s="2828" t="n"/>
      <c r="K118" s="1325" t="n"/>
      <c r="L118" s="877" t="n"/>
      <c r="M118" s="1325" t="n"/>
      <c r="N118" s="877" t="n"/>
      <c r="O118" s="1319" t="n"/>
      <c r="P118" s="877" t="n"/>
      <c r="Q118" s="1319" t="n"/>
      <c r="R118" s="877" t="n"/>
      <c r="S118" s="1174" t="n"/>
      <c r="T118" s="886" t="n"/>
      <c r="U118" s="1174" t="n"/>
      <c r="V118" s="886" t="n"/>
      <c r="W118" s="1174" t="n"/>
      <c r="X118" s="886" t="n"/>
      <c r="Y118" s="1174" t="n"/>
      <c r="Z118" s="886" t="n"/>
      <c r="AA118" s="1174" t="n"/>
      <c r="AB118" s="886" t="n"/>
      <c r="AC118" s="1174" t="n"/>
      <c r="AD118" s="886" t="n"/>
      <c r="AE118" s="1174" t="n"/>
      <c r="AF118" s="886" t="n"/>
      <c r="AG118" s="1174" t="n"/>
      <c r="AH118" s="886" t="n"/>
      <c r="AI118" s="1174" t="n"/>
      <c r="AJ118" s="886" t="n"/>
      <c r="AK118" s="1174" t="n"/>
      <c r="AL118" s="886" t="n"/>
      <c r="AM118" s="1174" t="n"/>
      <c r="AN118" s="1929" t="n"/>
      <c r="AO118" s="887" t="n"/>
      <c r="AP118" s="2001" t="n"/>
      <c r="AQ118" s="2001" t="n"/>
      <c r="AR118" s="2001" t="n"/>
      <c r="AS118" s="2001" t="n"/>
      <c r="AT118" s="885" t="n"/>
      <c r="AU118" s="2495" t="n"/>
      <c r="AV118" s="1100" t="n"/>
      <c r="AW118" s="1174" t="n"/>
      <c r="AX118" s="1948" t="n"/>
      <c r="AY118">
        <f>CA118&amp;CB118&amp;CC118&amp;CD118&amp;CE118&amp;CF118&amp;CG118&amp;CH118&amp;CI118&amp;CJ118</f>
        <v/>
      </c>
      <c r="CA118" s="196">
        <f>IF(AND((W118+X118)&gt;0,AO118="")," * No olvide digitar la variable 12 años (incluido en el grupo de 10-14 años). Digite Cero si no tiene.",IF(AO118&gt;(W118+X118),"* Las Consultas de 12 años (incluido en el grupo de 10-14 años) NO DEBEN ser mayor que el total de Consultas entre 10-14 años",""))</f>
        <v/>
      </c>
      <c r="CB118" s="196">
        <f>IF(AND($F118&gt;0,AP118="")," * No olvide digitar la variable Gestante. Digite cero si no tiene.",IF(AP118&gt;$F118," * La variable Gestante NO DEBEN ser mayor al Total de Mujeres. ",""))</f>
        <v/>
      </c>
      <c r="CC118" s="196">
        <f>IF(AND(D118&gt;0,AQ118="")," * No olvide digitar la variable  Atención bajo sedación inhalatoria (con óxido nitroso). Digite Cero si no tiene.",IF(AQ118&gt;D118," * La variable  Atención bajo sedación inhalatoria (con óxido nitroso) NO DEBE ser mayor que el Total Ambos Sexos",""))</f>
        <v/>
      </c>
      <c r="CD118" s="196">
        <f>IF(AND((AI118+AJ118)&gt;0,AR118="")," * No olvide digitar la variable 60 años (incluido en grupos de 60-64 años). Digite Cero si no tiene.",IF(AR118&gt;(AI118+AJ118)," * La variable 60 años (incluido en grupos de 60-64 años) NO DEBE ser mayor que el Total de consultas del grupo 60-64 años",""))</f>
        <v/>
      </c>
      <c r="CE118" s="196">
        <f>IF(AND($D118&gt;0,AS118="")," * No olvide digitar la variable Compra de Servicios. Digite Cero si no tiene.","")</f>
        <v/>
      </c>
      <c r="CF118" s="196">
        <f>IF(AND($D118&gt;0,AT118="")," * No olvide digitar la Usuarios con Discapacidad. Digite Cero si no tiene.",IF(AT118&gt;$D118," * La variable Usuarios con Discapacidad No puede ser mayor al Total Ambos Sexos.",""))</f>
        <v/>
      </c>
      <c r="CG118" s="196">
        <f>IF(AND($D118&gt;0,AU118="")," * No olvide digitar la variable "&amp;AU$88&amp;". Digite Cero si no tiene.",IF(AU118&gt;$D118," * La variable "&amp;AU$88&amp;" No puede ser mayor al Total Ambos Sexos.",""))</f>
        <v/>
      </c>
      <c r="CH118" s="196">
        <f>IF(AND($D118&gt;0,AV118="")," * No olvide digitar la variable "&amp;AV$88&amp;" Digite Cero si no tiene.",IF(AV118&gt;$D118," * La variable"&amp;AV$88&amp;"no puede ser mayor al Total Ambos Sexos.",""))</f>
        <v/>
      </c>
      <c r="CI118" s="196">
        <f>IF(AND($D118&gt;0,AW118="")," * No olvide digitar la variable Migrantes. Digite Cero si no tiene.",IF(AW118&gt;$D118," * La variable Migrantes no puede ser mayor al Total Ambos Sexos.",""))</f>
        <v/>
      </c>
      <c r="CJ118" s="198" t="n"/>
      <c r="CO118" s="197">
        <f>IF(AND($D118&gt;0,AO118=""),1,IF(AO118&gt;D118,1,0))</f>
        <v/>
      </c>
      <c r="CP118" s="197">
        <f>IF(AND($F118&gt;0,AP118=""),1,IF(AP118&gt;$F118,1,0))</f>
        <v/>
      </c>
      <c r="CQ118" s="197">
        <f>IF(AND($D118&gt;0,AQ118=""),1,IF(AQ118&gt;$D118,1,0))</f>
        <v/>
      </c>
      <c r="CR118" s="197">
        <f>IF(AND(AI118+AJ118&gt;0,AR118=""),1,IF(AR118&gt;AI118+AJ118,1,0))</f>
        <v/>
      </c>
      <c r="CS118" s="197">
        <f>IF(AND($D118&gt;0,AS118=""),1,0)</f>
        <v/>
      </c>
      <c r="CT118" s="197">
        <f>IF(AND($D118&gt;0,AT118=""),1,IF(AT118&gt;$D118,1,0))</f>
        <v/>
      </c>
      <c r="CU118" s="197">
        <f>IF(AND($D118&gt;0,AU118=""),1,IF(AU118&gt;$D118,1,0))</f>
        <v/>
      </c>
      <c r="CV118" s="197">
        <f>IF(AND($D118&gt;0,AV118=""),1,IF(AV118&gt;$D118,1,0))</f>
        <v/>
      </c>
      <c r="CW118" s="197">
        <f>IF(AND($D118&gt;0,AW118=""),1,IF(AW118&gt;$D118,1,0))</f>
        <v/>
      </c>
      <c r="CX118" s="198" t="n"/>
    </row>
    <row r="119" ht="15" customHeight="1" s="8286">
      <c r="A119" s="10246" t="inlineStr">
        <is>
          <t xml:space="preserve">Destartraje supragingival o pulido coronario </t>
        </is>
      </c>
      <c r="B119" s="10208" t="n"/>
      <c r="C119" s="9644" t="n"/>
      <c r="D119" s="1254">
        <f>SUM(E119:F119)</f>
        <v/>
      </c>
      <c r="E119" s="1486">
        <f>SUM(K119+M119+O119+Q119+S119+U119+W119+Y119+AA119+AC119+AE119+AG119+AI119+AK119+AM119)</f>
        <v/>
      </c>
      <c r="F119" s="894">
        <f>SUM(L119+N119+P119+R119+T119+V119+X119+Z119+AB119+AD119+AF119+AH119+AJ119+AL119+AN119)</f>
        <v/>
      </c>
      <c r="G119" s="1941" t="n"/>
      <c r="H119" s="890" t="n"/>
      <c r="I119" s="1941" t="n"/>
      <c r="J119" s="2827" t="n"/>
      <c r="K119" s="1172" t="n"/>
      <c r="L119" s="886" t="n"/>
      <c r="M119" s="1172" t="n"/>
      <c r="N119" s="886" t="n"/>
      <c r="O119" s="1174" t="n"/>
      <c r="P119" s="886" t="n"/>
      <c r="Q119" s="1174" t="n"/>
      <c r="R119" s="886" t="n"/>
      <c r="S119" s="1174" t="n"/>
      <c r="T119" s="886" t="n"/>
      <c r="U119" s="1174" t="n"/>
      <c r="V119" s="886" t="n"/>
      <c r="W119" s="1174" t="n"/>
      <c r="X119" s="886" t="n"/>
      <c r="Y119" s="1174" t="n"/>
      <c r="Z119" s="886" t="n"/>
      <c r="AA119" s="1174" t="n"/>
      <c r="AB119" s="886" t="n"/>
      <c r="AC119" s="1174" t="n"/>
      <c r="AD119" s="886" t="n"/>
      <c r="AE119" s="1174" t="n"/>
      <c r="AF119" s="886" t="n"/>
      <c r="AG119" s="1174" t="n"/>
      <c r="AH119" s="886" t="n"/>
      <c r="AI119" s="1174" t="n"/>
      <c r="AJ119" s="886" t="n"/>
      <c r="AK119" s="1174" t="n"/>
      <c r="AL119" s="886" t="n"/>
      <c r="AM119" s="1174" t="n"/>
      <c r="AN119" s="1929" t="n"/>
      <c r="AO119" s="887" t="n"/>
      <c r="AP119" s="2001" t="n"/>
      <c r="AQ119" s="2001" t="n"/>
      <c r="AR119" s="2001" t="n"/>
      <c r="AS119" s="2001" t="n"/>
      <c r="AT119" s="885" t="n"/>
      <c r="AU119" s="2495" t="n"/>
      <c r="AV119" s="1100" t="n"/>
      <c r="AW119" s="1174" t="n"/>
      <c r="AX119" s="1948" t="n"/>
      <c r="AY119">
        <f>CA119&amp;CB119&amp;CC119&amp;CD119&amp;CE119&amp;CF119&amp;CG119&amp;CH119&amp;CI119&amp;CJ119</f>
        <v/>
      </c>
      <c r="CA119" s="196">
        <f>IF(AND((W119+X119)&gt;0,AO119="")," * No olvide digitar la variable 12 años (incluido en el grupo de 10-14 años). Digite Cero si no tiene.",IF(AO119&gt;(W119+X119),"* Las Consultas de 12 años (incluido en el grupo de 10-14 años) NO DEBEN ser mayor que el total de Consultas entre 10-14 años",""))</f>
        <v/>
      </c>
      <c r="CB119" s="196">
        <f>IF(AND($F119&gt;0,AP119="")," * No olvide digitar la variable Gestante. Digite cero si no tiene.",IF(AP119&gt;$F119," * La variable Gestante NO DEBEN ser mayor al Total de Mujeres. ",""))</f>
        <v/>
      </c>
      <c r="CC119" s="196">
        <f>IF(AND(D119&gt;0,AQ119="")," * No olvide digitar la variable  Atención bajo sedación inhalatoria (con óxido nitroso). Digite Cero si no tiene.",IF(AQ119&gt;D119," * La variable  Atención bajo sedación inhalatoria (con óxido nitroso) NO DEBE ser mayor que el Total Ambos Sexos",""))</f>
        <v/>
      </c>
      <c r="CD119" s="196">
        <f>IF(AND((AI119+AJ119)&gt;0,AR119="")," * No olvide digitar la variable 60 años (incluido en grupos de 60-64 años). Digite Cero si no tiene.",IF(AR119&gt;(AI119+AJ119)," * La variable 60 años (incluido en grupos de 60-64 años) NO DEBE ser mayor que el Total de consultas del grupo 60-64 años",""))</f>
        <v/>
      </c>
      <c r="CE119" s="196">
        <f>IF(AND($D119&gt;0,AS119="")," * No olvide digitar la variable Compra de Servicios. Digite Cero si no tiene.","")</f>
        <v/>
      </c>
      <c r="CF119" s="196">
        <f>IF(AND($D119&gt;0,AT119="")," * No olvide digitar la Usuarios con Discapacidad. Digite Cero si no tiene.",IF(AT119&gt;$D119," * La variable Usuarios con Discapacidad No puede ser mayor al Total Ambos Sexos.",""))</f>
        <v/>
      </c>
      <c r="CG119" s="196">
        <f>IF(AND($D119&gt;0,AU119="")," * No olvide digitar la variable "&amp;AU$88&amp;". Digite Cero si no tiene.",IF(AU119&gt;$D119," * La variable "&amp;AU$88&amp;" No puede ser mayor al Total Ambos Sexos.",""))</f>
        <v/>
      </c>
      <c r="CH119" s="196">
        <f>IF(AND($D119&gt;0,AV119="")," * No olvide digitar la variable "&amp;AV$88&amp;" Digite Cero si no tiene.",IF(AV119&gt;$D119," * La variable"&amp;AV$88&amp;"no puede ser mayor al Total Ambos Sexos.",""))</f>
        <v/>
      </c>
      <c r="CI119" s="196">
        <f>IF(AND($D119&gt;0,AW119="")," * No olvide digitar la variable Migrantes. Digite Cero si no tiene.",IF(AW119&gt;$D119," * La variable Migrantes no puede ser mayor al Total Ambos Sexos.",""))</f>
        <v/>
      </c>
      <c r="CJ119" s="198" t="n"/>
      <c r="CO119" s="197">
        <f>IF(AND($D119&gt;0,AO119=""),1,IF(AO119&gt;D119,1,0))</f>
        <v/>
      </c>
      <c r="CP119" s="197">
        <f>IF(AND($F119&gt;0,AP119=""),1,IF(AP119&gt;$F119,1,0))</f>
        <v/>
      </c>
      <c r="CQ119" s="197">
        <f>IF(AND($D119&gt;0,AQ119=""),1,IF(AQ119&gt;$D119,1,0))</f>
        <v/>
      </c>
      <c r="CR119" s="197">
        <f>IF(AND(AI119+AJ119&gt;0,AR119=""),1,IF(AR119&gt;AI119+AJ119,1,0))</f>
        <v/>
      </c>
      <c r="CS119" s="197">
        <f>IF(AND($D119&gt;0,AS119=""),1,0)</f>
        <v/>
      </c>
      <c r="CT119" s="197">
        <f>IF(AND($D119&gt;0,AT119=""),1,IF(AT119&gt;$D119,1,0))</f>
        <v/>
      </c>
      <c r="CU119" s="197">
        <f>IF(AND($D119&gt;0,AU119=""),1,IF(AU119&gt;$D119,1,0))</f>
        <v/>
      </c>
      <c r="CV119" s="197">
        <f>IF(AND($D119&gt;0,AV119=""),1,IF(AV119&gt;$D119,1,0))</f>
        <v/>
      </c>
      <c r="CW119" s="197">
        <f>IF(AND($D119&gt;0,AW119=""),1,IF(AW119&gt;$D119,1,0))</f>
        <v/>
      </c>
      <c r="CX119" s="198" t="n"/>
    </row>
    <row r="120" ht="15" customHeight="1" s="8286">
      <c r="A120" s="3877" t="inlineStr">
        <is>
          <t xml:space="preserve">Ferulización </t>
        </is>
      </c>
      <c r="B120" s="10208" t="n"/>
      <c r="C120" s="9644" t="n"/>
      <c r="D120" s="1254">
        <f>SUM(E120:F120)</f>
        <v/>
      </c>
      <c r="E120" s="1486">
        <f>SUM(G120+I120+K120+M120+O120+Q120+S120+U120+W120+Y120+AA120+AC120+AE120+AG120+AI120+AK120+AM120)</f>
        <v/>
      </c>
      <c r="F120" s="894">
        <f>SUM(H120+J120+L120+N120+P120+R120+T120+V120+X120+Z120+AB120+AD120+AF120+AH120+AJ120+AL120+AN120)</f>
        <v/>
      </c>
      <c r="G120" s="1172" t="n"/>
      <c r="H120" s="886" t="n"/>
      <c r="I120" s="1172" t="n"/>
      <c r="J120" s="885" t="n"/>
      <c r="K120" s="1172" t="n"/>
      <c r="L120" s="886" t="n"/>
      <c r="M120" s="1172" t="n"/>
      <c r="N120" s="886" t="n"/>
      <c r="O120" s="1174" t="n"/>
      <c r="P120" s="886" t="n"/>
      <c r="Q120" s="1174" t="n"/>
      <c r="R120" s="886" t="n"/>
      <c r="S120" s="1174" t="n"/>
      <c r="T120" s="886" t="n"/>
      <c r="U120" s="1174" t="n"/>
      <c r="V120" s="886" t="n"/>
      <c r="W120" s="1174" t="n"/>
      <c r="X120" s="886" t="n"/>
      <c r="Y120" s="1174" t="n"/>
      <c r="Z120" s="886" t="n"/>
      <c r="AA120" s="1174" t="n"/>
      <c r="AB120" s="886" t="n"/>
      <c r="AC120" s="1174" t="n"/>
      <c r="AD120" s="886" t="n"/>
      <c r="AE120" s="1174" t="n"/>
      <c r="AF120" s="886" t="n"/>
      <c r="AG120" s="1174" t="n"/>
      <c r="AH120" s="886" t="n"/>
      <c r="AI120" s="1174" t="n"/>
      <c r="AJ120" s="886" t="n"/>
      <c r="AK120" s="1174" t="n"/>
      <c r="AL120" s="886" t="n"/>
      <c r="AM120" s="1174" t="n"/>
      <c r="AN120" s="1929" t="n"/>
      <c r="AO120" s="887" t="n"/>
      <c r="AP120" s="2001" t="n"/>
      <c r="AQ120" s="2001" t="n"/>
      <c r="AR120" s="2001" t="n"/>
      <c r="AS120" s="2001" t="n"/>
      <c r="AT120" s="885" t="n"/>
      <c r="AU120" s="2495" t="n"/>
      <c r="AV120" s="1100" t="n"/>
      <c r="AW120" s="1174" t="n"/>
      <c r="AX120" s="1948" t="n"/>
      <c r="AY120">
        <f>CA120&amp;CB120&amp;CC120&amp;CD120&amp;CE120&amp;CF120&amp;CG120&amp;CH120&amp;CI120&amp;CJ120</f>
        <v/>
      </c>
      <c r="CA120" s="196">
        <f>IF(AND((W120+X120)&gt;0,AO120="")," * No olvide digitar la variable 12 años (incluido en el grupo de 10-14 años). Digite Cero si no tiene.",IF(AO120&gt;(W120+X120),"* Las Consultas de 12 años (incluido en el grupo de 10-14 años) NO DEBEN ser mayor que el total de Consultas entre 10-14 años",""))</f>
        <v/>
      </c>
      <c r="CB120" s="196">
        <f>IF(AND($F120&gt;0,AP120="")," * No olvide digitar la variable Gestante. Digite cero si no tiene.",IF(AP120&gt;$F120," * La variable Gestante NO DEBEN ser mayor al Total de Mujeres. ",""))</f>
        <v/>
      </c>
      <c r="CC120" s="196">
        <f>IF(AND(D120&gt;0,AQ120="")," * No olvide digitar la variable  Atención bajo sedación inhalatoria (con óxido nitroso). Digite Cero si no tiene.",IF(AQ120&gt;D120," * La variable  Atención bajo sedación inhalatoria (con óxido nitroso) NO DEBE ser mayor que el Total Ambos Sexos",""))</f>
        <v/>
      </c>
      <c r="CD120" s="196">
        <f>IF(AND((AI120+AJ120)&gt;0,AR120="")," * No olvide digitar la variable 60 años (incluido en grupos de 60-64 años). Digite Cero si no tiene.",IF(AR120&gt;(AI120+AJ120)," * La variable 60 años (incluido en grupos de 60-64 años) NO DEBE ser mayor que el Total de consultas del grupo 60-64 años",""))</f>
        <v/>
      </c>
      <c r="CE120" s="196">
        <f>IF(AND($D120&gt;0,AS120="")," * No olvide digitar la variable Compra de Servicios. Digite Cero si no tiene.","")</f>
        <v/>
      </c>
      <c r="CF120" s="196">
        <f>IF(AND($D120&gt;0,AT120="")," * No olvide digitar la Usuarios con Discapacidad. Digite Cero si no tiene.",IF(AT120&gt;$D120," * La variable Usuarios con Discapacidad No puede ser mayor al Total Ambos Sexos.",""))</f>
        <v/>
      </c>
      <c r="CG120" s="196">
        <f>IF(AND($D120&gt;0,AU120="")," * No olvide digitar la variable "&amp;AU$88&amp;". Digite Cero si no tiene.",IF(AU120&gt;$D120," * La variable "&amp;AU$88&amp;" No puede ser mayor al Total Ambos Sexos.",""))</f>
        <v/>
      </c>
      <c r="CH120" s="196">
        <f>IF(AND($D120&gt;0,AV120="")," * No olvide digitar la variable "&amp;AV$88&amp;" Digite Cero si no tiene.",IF(AV120&gt;$D120," * La variable"&amp;AV$88&amp;"no puede ser mayor al Total Ambos Sexos.",""))</f>
        <v/>
      </c>
      <c r="CI120" s="196">
        <f>IF(AND($D120&gt;0,AW120="")," * No olvide digitar la variable Migrantes. Digite Cero si no tiene.",IF(AW120&gt;$D120," * La variable Migrantes no puede ser mayor al Total Ambos Sexos.",""))</f>
        <v/>
      </c>
      <c r="CJ120" s="198" t="n"/>
      <c r="CO120" s="197">
        <f>IF(AND($D120&gt;0,AO120=""),1,IF(AO120&gt;D120,1,0))</f>
        <v/>
      </c>
      <c r="CP120" s="197">
        <f>IF(AND($F120&gt;0,AP120=""),1,IF(AP120&gt;$F120,1,0))</f>
        <v/>
      </c>
      <c r="CQ120" s="197">
        <f>IF(AND($D120&gt;0,AQ120=""),1,IF(AQ120&gt;$D120,1,0))</f>
        <v/>
      </c>
      <c r="CR120" s="197">
        <f>IF(AND(AI120+AJ120&gt;0,AR120=""),1,IF(AR120&gt;AI120+AJ120,1,0))</f>
        <v/>
      </c>
      <c r="CS120" s="197">
        <f>IF(AND($D120&gt;0,AS120=""),1,0)</f>
        <v/>
      </c>
      <c r="CT120" s="197">
        <f>IF(AND($D120&gt;0,AT120=""),1,IF(AT120&gt;$D120,1,0))</f>
        <v/>
      </c>
      <c r="CU120" s="197">
        <f>IF(AND($D120&gt;0,AU120=""),1,IF(AU120&gt;$D120,1,0))</f>
        <v/>
      </c>
      <c r="CV120" s="197">
        <f>IF(AND($D120&gt;0,AV120=""),1,IF(AV120&gt;$D120,1,0))</f>
        <v/>
      </c>
      <c r="CW120" s="197">
        <f>IF(AND($D120&gt;0,AW120=""),1,IF(AW120&gt;$D120,1,0))</f>
        <v/>
      </c>
      <c r="CX120" s="198" t="n"/>
    </row>
    <row r="121" ht="15" customHeight="1" s="8286">
      <c r="A121" s="8748" t="inlineStr">
        <is>
          <t xml:space="preserve">Rehabilitación mediante prótesis removible acrílica parcial o total </t>
        </is>
      </c>
      <c r="B121" s="10208" t="n"/>
      <c r="C121" s="9644" t="n"/>
      <c r="D121" s="1254">
        <f>SUM(E121:F121)</f>
        <v/>
      </c>
      <c r="E121" s="1486">
        <f>SUM(Q121+S121+U121+W121+Y121+AA121+AC121+AE121+AG121+AI121+AK121+AM121)</f>
        <v/>
      </c>
      <c r="F121" s="894">
        <f>SUM(R121+T121+V121+X121+Z121+AB121+AD121+AF121+AH121+AJ121+AL121+AN121)</f>
        <v/>
      </c>
      <c r="G121" s="1941" t="n"/>
      <c r="H121" s="890" t="n"/>
      <c r="I121" s="1941" t="n"/>
      <c r="J121" s="2827" t="n"/>
      <c r="K121" s="1941" t="n"/>
      <c r="L121" s="890" t="n"/>
      <c r="M121" s="1941" t="n"/>
      <c r="N121" s="890" t="n"/>
      <c r="O121" s="1942" t="n"/>
      <c r="P121" s="890" t="n"/>
      <c r="Q121" s="1174" t="n"/>
      <c r="R121" s="886" t="n"/>
      <c r="S121" s="1174" t="n"/>
      <c r="T121" s="886" t="n"/>
      <c r="U121" s="1174" t="n"/>
      <c r="V121" s="886" t="n"/>
      <c r="W121" s="1174" t="n"/>
      <c r="X121" s="886" t="n"/>
      <c r="Y121" s="1174" t="n"/>
      <c r="Z121" s="886" t="n"/>
      <c r="AA121" s="1174" t="n"/>
      <c r="AB121" s="886" t="n"/>
      <c r="AC121" s="1174" t="n"/>
      <c r="AD121" s="886" t="n"/>
      <c r="AE121" s="1174" t="n"/>
      <c r="AF121" s="886" t="n"/>
      <c r="AG121" s="1174" t="n"/>
      <c r="AH121" s="886" t="n"/>
      <c r="AI121" s="1174" t="n"/>
      <c r="AJ121" s="886" t="n"/>
      <c r="AK121" s="1174" t="n"/>
      <c r="AL121" s="886" t="n"/>
      <c r="AM121" s="1174" t="n"/>
      <c r="AN121" s="1929" t="n"/>
      <c r="AO121" s="896" t="n"/>
      <c r="AP121" s="2001" t="n"/>
      <c r="AQ121" s="2001" t="n"/>
      <c r="AR121" s="2831" t="n"/>
      <c r="AS121" s="2001" t="n"/>
      <c r="AT121" s="885" t="n"/>
      <c r="AU121" s="2495" t="n"/>
      <c r="AV121" s="1100" t="n"/>
      <c r="AW121" s="1174" t="n"/>
      <c r="AX121" s="1173" t="n"/>
      <c r="AY121">
        <f>CA121&amp;CB121&amp;CC121&amp;CD121&amp;CE121&amp;CF121&amp;CG121&amp;CH121&amp;CI121&amp;CJ121</f>
        <v/>
      </c>
      <c r="CA121" s="198" t="n"/>
      <c r="CB121" s="196">
        <f>IF(AND($F121&gt;0,AP121="")," * No olvide digitar la variable Gestante. Digite cero si no tiene.",IF(AP121&gt;$F121," * La variable Gestante NO DEBEN ser mayor al Total de Mujeres. ",""))</f>
        <v/>
      </c>
      <c r="CC121" s="196">
        <f>IF(AND(D121&gt;0,AQ121="")," * No olvide digitar la variable  Atención bajo sedación inhalatoria (con óxido nitroso). Digite Cero si no tiene.",IF(AQ121&gt;D121," * La variable  Atención bajo sedación inhalatoria (con óxido nitroso) NO DEBE ser mayor que el Total Ambos Sexos",""))</f>
        <v/>
      </c>
      <c r="CD121" s="196">
        <f>IF(AND((AI121+AJ121)&gt;0,AR121="")," * No olvide digitar la variable 60 años (incluido en grupos de 60-64 años). Digite Cero si no tiene.",IF(AR121&gt;(AI121+AJ121)," * La variable 60 años (incluido en grupos de 60-64 años) NO DEBE ser mayor que el Total de consultas del grupo 60-64 años",""))</f>
        <v/>
      </c>
      <c r="CE121" s="196">
        <f>IF(AND($D121&gt;0,AS121="")," * No olvide digitar la variable Compra de Servicios. Digite Cero si no tiene.","")</f>
        <v/>
      </c>
      <c r="CF121" s="196">
        <f>IF(AND($D121&gt;0,AT121="")," * No olvide digitar la Usuarios con Discapacidad. Digite Cero si no tiene.",IF(AT121&gt;$D121," * La variable Usuarios con Discapacidad No puede ser mayor al Total Ambos Sexos.",""))</f>
        <v/>
      </c>
      <c r="CG121" s="196">
        <f>IF(AND($D121&gt;0,AU121="")," * No olvide digitar la variable "&amp;AU$88&amp;". Digite Cero si no tiene.",IF(AU121&gt;$D121," * La variable "&amp;AU$88&amp;" No puede ser mayor al Total Ambos Sexos.",""))</f>
        <v/>
      </c>
      <c r="CH121" s="196">
        <f>IF(AND($D121&gt;0,AV121="")," * No olvide digitar la variable "&amp;AV$88&amp;" Digite Cero si no tiene.",IF(AV121&gt;$D121," * La variable"&amp;AV$88&amp;"no puede ser mayor al Total Ambos Sexos.",""))</f>
        <v/>
      </c>
      <c r="CI121" s="196">
        <f>IF(AND($D121&gt;0,AW121="")," * No olvide digitar la variable Migrantes. Digite Cero si no tiene.",IF(AW121&gt;$D121," * La variable Migrantes no puede ser mayor al Total Ambos Sexos.",""))</f>
        <v/>
      </c>
      <c r="CJ121" s="196">
        <f>IF(AND($D121&gt;0,AX121="")," * No olvide digitar la variable Flujo digital. Digite Cero si no tiene.",IF(AX121&gt;$D121," * La variable Flujo digital no puede ser mayor al Total Ambos Sexos.",""))</f>
        <v/>
      </c>
      <c r="CO121" s="200" t="n"/>
      <c r="CP121" s="197">
        <f>IF(AND($F121&gt;0,AP121=""),1,IF(AP121&gt;$F121,1,0))</f>
        <v/>
      </c>
      <c r="CQ121" s="197">
        <f>IF(AND($D121&gt;0,AQ121=""),1,IF(AQ121&gt;$D121,1,0))</f>
        <v/>
      </c>
      <c r="CR121" s="197">
        <f>IF(AND(AI121+AJ121&gt;0,AR121=""),1,IF(AR121&gt;AI121+AJ121,1,0))</f>
        <v/>
      </c>
      <c r="CS121" s="197">
        <f>IF(AND($D121&gt;0,AS121=""),1,0)</f>
        <v/>
      </c>
      <c r="CT121" s="197">
        <f>IF(AND($D121&gt;0,AT121=""),1,IF(AT121&gt;$D121,1,0))</f>
        <v/>
      </c>
      <c r="CU121" s="197">
        <f>IF(AND($D121&gt;0,AU121=""),1,IF(AU121&gt;$D121,1,0))</f>
        <v/>
      </c>
      <c r="CV121" s="197">
        <f>IF(AND($D121&gt;0,AV121=""),1,IF(AV121&gt;$D121,1,0))</f>
        <v/>
      </c>
      <c r="CW121" s="197">
        <f>IF(AND($D121&gt;0,AW121=""),1,IF(AW121&gt;$D121,1,0))</f>
        <v/>
      </c>
      <c r="CX121" s="197">
        <f>IF(AND($D121&gt;0,AX121=""),1,IF(AX121&gt;$D121,1,0))</f>
        <v/>
      </c>
    </row>
    <row r="122" ht="15" customHeight="1" s="8286">
      <c r="A122" s="8748" t="inlineStr">
        <is>
          <t xml:space="preserve">Rehabilitación mediante prótesis removible metálica parcial </t>
        </is>
      </c>
      <c r="B122" s="10208" t="n"/>
      <c r="C122" s="9644" t="n"/>
      <c r="D122" s="1254">
        <f>SUM(E122:F122)</f>
        <v/>
      </c>
      <c r="E122" s="1486">
        <f>SUM(Y122+AA122+AC122+AE122+AG122+AI122+AK122+AM122)</f>
        <v/>
      </c>
      <c r="F122" s="894">
        <f>SUM(Z122+AB122+AD122+AF122+AH122+AJ122+AL122+AN122)</f>
        <v/>
      </c>
      <c r="G122" s="1941" t="n"/>
      <c r="H122" s="890" t="n"/>
      <c r="I122" s="1941" t="n"/>
      <c r="J122" s="2827" t="n"/>
      <c r="K122" s="1941" t="n"/>
      <c r="L122" s="890" t="n"/>
      <c r="M122" s="1941" t="n"/>
      <c r="N122" s="890" t="n"/>
      <c r="O122" s="1942" t="n"/>
      <c r="P122" s="890" t="n"/>
      <c r="Q122" s="1942" t="n"/>
      <c r="R122" s="890" t="n"/>
      <c r="S122" s="1942" t="n"/>
      <c r="T122" s="890" t="n"/>
      <c r="U122" s="1942" t="n"/>
      <c r="V122" s="890" t="n"/>
      <c r="W122" s="1942" t="n"/>
      <c r="X122" s="890" t="n"/>
      <c r="Y122" s="1174" t="n"/>
      <c r="Z122" s="886" t="n"/>
      <c r="AA122" s="1174" t="n"/>
      <c r="AB122" s="886" t="n"/>
      <c r="AC122" s="1174" t="n"/>
      <c r="AD122" s="886" t="n"/>
      <c r="AE122" s="1174" t="n"/>
      <c r="AF122" s="886" t="n"/>
      <c r="AG122" s="1174" t="n"/>
      <c r="AH122" s="886" t="n"/>
      <c r="AI122" s="1174" t="n"/>
      <c r="AJ122" s="886" t="n"/>
      <c r="AK122" s="1174" t="n"/>
      <c r="AL122" s="886" t="n"/>
      <c r="AM122" s="1174" t="n"/>
      <c r="AN122" s="1929" t="n"/>
      <c r="AO122" s="896" t="n"/>
      <c r="AP122" s="2001" t="n"/>
      <c r="AQ122" s="2001" t="n"/>
      <c r="AR122" s="2831" t="n"/>
      <c r="AS122" s="2001" t="n"/>
      <c r="AT122" s="885" t="n"/>
      <c r="AU122" s="2495" t="n"/>
      <c r="AV122" s="1100" t="n"/>
      <c r="AW122" s="1174" t="n"/>
      <c r="AX122" s="1173" t="n"/>
      <c r="AY122">
        <f>CA122&amp;CB122&amp;CC122&amp;CD122&amp;CE122&amp;CF122&amp;CG122&amp;CH122&amp;CI122&amp;CJ122</f>
        <v/>
      </c>
      <c r="CA122" s="198" t="n"/>
      <c r="CB122" s="196">
        <f>IF(AND($F122&gt;0,AP122="")," * No olvide digitar la variable Gestante. Digite cero si no tiene.",IF(AP122&gt;$F122," * La variable Gestante NO DEBEN ser mayor al Total de Mujeres. ",""))</f>
        <v/>
      </c>
      <c r="CC122" s="196">
        <f>IF(AND(D122&gt;0,AQ122="")," * No olvide digitar la variable  Atención bajo sedación inhalatoria (con óxido nitroso). Digite Cero si no tiene.",IF(AQ122&gt;D122," * La variable  Atención bajo sedación inhalatoria (con óxido nitroso) NO DEBE ser mayor que el Total Ambos Sexos",""))</f>
        <v/>
      </c>
      <c r="CD122" s="196">
        <f>IF(AND((AI122+AJ122)&gt;0,AR122="")," * No olvide digitar la variable 60 años (incluido en grupos de 60-64 años). Digite Cero si no tiene.",IF(AR122&gt;(AI122+AJ122)," * La variable 60 años (incluido en grupos de 60-64 años) NO DEBE ser mayor que el Total de consultas del grupo 60-64 años",""))</f>
        <v/>
      </c>
      <c r="CE122" s="196">
        <f>IF(AND($D122&gt;0,AS122="")," * No olvide digitar la variable Compra de Servicios. Digite Cero si no tiene.","")</f>
        <v/>
      </c>
      <c r="CF122" s="196">
        <f>IF(AND($D122&gt;0,AT122="")," * No olvide digitar la Usuarios con Discapacidad. Digite Cero si no tiene.",IF(AT122&gt;$D122," * La variable Usuarios con Discapacidad No puede ser mayor al Total Ambos Sexos.",""))</f>
        <v/>
      </c>
      <c r="CG122" s="196">
        <f>IF(AND($D122&gt;0,AU122="")," * No olvide digitar la variable "&amp;AU$88&amp;". Digite Cero si no tiene.",IF(AU122&gt;$D122," * La variable "&amp;AU$88&amp;" No puede ser mayor al Total Ambos Sexos.",""))</f>
        <v/>
      </c>
      <c r="CH122" s="196">
        <f>IF(AND($D122&gt;0,AV122="")," * No olvide digitar la variable "&amp;AV$88&amp;" Digite Cero si no tiene.",IF(AV122&gt;$D122," * La variable"&amp;AV$88&amp;"no puede ser mayor al Total Ambos Sexos.",""))</f>
        <v/>
      </c>
      <c r="CI122" s="196">
        <f>IF(AND($D122&gt;0,AW122="")," * No olvide digitar la variable Migrantes. Digite Cero si no tiene.",IF(AW122&gt;$D122," * La variable Migrantes no puede ser mayor al Total Ambos Sexos.",""))</f>
        <v/>
      </c>
      <c r="CJ122" s="196">
        <f>IF(AND($D122&gt;0,AX122="")," * No olvide digitar la variable Flujo digital. Digite Cero si no tiene.",IF(AX122&gt;$D122," * La variable Flujo digital no puede ser mayor al Total Ambos Sexos.",""))</f>
        <v/>
      </c>
      <c r="CO122" s="200" t="n"/>
      <c r="CP122" s="197">
        <f>IF(AND($F122&gt;0,AP122=""),1,IF(AP122&gt;$F122,1,0))</f>
        <v/>
      </c>
      <c r="CQ122" s="197">
        <f>IF(AND($D122&gt;0,AQ122=""),1,IF(AQ122&gt;$D122,1,0))</f>
        <v/>
      </c>
      <c r="CR122" s="197">
        <f>IF(AND(AI122+AJ122&gt;0,AR122=""),1,IF(AR122&gt;AI122+AJ122,1,0))</f>
        <v/>
      </c>
      <c r="CS122" s="197">
        <f>IF(AND($D122&gt;0,AS122=""),1,0)</f>
        <v/>
      </c>
      <c r="CT122" s="197">
        <f>IF(AND($D122&gt;0,AT122=""),1,IF(AT122&gt;$D122,1,0))</f>
        <v/>
      </c>
      <c r="CU122" s="197">
        <f>IF(AND($D122&gt;0,AU122=""),1,IF(AU122&gt;$D122,1,0))</f>
        <v/>
      </c>
      <c r="CV122" s="197">
        <f>IF(AND($D122&gt;0,AV122=""),1,IF(AV122&gt;$D122,1,0))</f>
        <v/>
      </c>
      <c r="CW122" s="197">
        <f>IF(AND($D122&gt;0,AW122=""),1,IF(AW122&gt;$D122,1,0))</f>
        <v/>
      </c>
      <c r="CX122" s="197">
        <f>IF(AND($D122&gt;0,AX122=""),1,IF(AX122&gt;$D122,1,0))</f>
        <v/>
      </c>
    </row>
    <row r="123" ht="15" customHeight="1" s="8286">
      <c r="A123" s="3877" t="inlineStr">
        <is>
          <t xml:space="preserve">Rehabilitación mediante prótesis fija unitaria o plural </t>
        </is>
      </c>
      <c r="B123" s="10208" t="n"/>
      <c r="C123" s="9644" t="n"/>
      <c r="D123" s="1254">
        <f>SUM(E123:F123)</f>
        <v/>
      </c>
      <c r="E123" s="1486">
        <f>SUM(Y123+AA123+AC123+AE123+AG123+AI123+AK123+AM123)</f>
        <v/>
      </c>
      <c r="F123" s="894">
        <f>SUM(Z123+AB123+AD123+AF123+AH123+AJ123+AL123+AN123)</f>
        <v/>
      </c>
      <c r="G123" s="1941" t="n"/>
      <c r="H123" s="890" t="n"/>
      <c r="I123" s="1941" t="n"/>
      <c r="J123" s="2827" t="n"/>
      <c r="K123" s="1941" t="n"/>
      <c r="L123" s="890" t="n"/>
      <c r="M123" s="1941" t="n"/>
      <c r="N123" s="890" t="n"/>
      <c r="O123" s="1942" t="n"/>
      <c r="P123" s="890" t="n"/>
      <c r="Q123" s="1942" t="n"/>
      <c r="R123" s="890" t="n"/>
      <c r="S123" s="1942" t="n"/>
      <c r="T123" s="890" t="n"/>
      <c r="U123" s="1942" t="n"/>
      <c r="V123" s="890" t="n"/>
      <c r="W123" s="1942" t="n"/>
      <c r="X123" s="890" t="n"/>
      <c r="Y123" s="1174" t="n"/>
      <c r="Z123" s="886" t="n"/>
      <c r="AA123" s="1174" t="n"/>
      <c r="AB123" s="886" t="n"/>
      <c r="AC123" s="1174" t="n"/>
      <c r="AD123" s="886" t="n"/>
      <c r="AE123" s="1174" t="n"/>
      <c r="AF123" s="886" t="n"/>
      <c r="AG123" s="1174" t="n"/>
      <c r="AH123" s="886" t="n"/>
      <c r="AI123" s="1174" t="n"/>
      <c r="AJ123" s="886" t="n"/>
      <c r="AK123" s="1174" t="n"/>
      <c r="AL123" s="886" t="n"/>
      <c r="AM123" s="1174" t="n"/>
      <c r="AN123" s="1929" t="n"/>
      <c r="AO123" s="896" t="n"/>
      <c r="AP123" s="2001" t="n"/>
      <c r="AQ123" s="2001" t="n"/>
      <c r="AR123" s="2001" t="n"/>
      <c r="AS123" s="2001" t="n"/>
      <c r="AT123" s="885" t="n"/>
      <c r="AU123" s="2495" t="n"/>
      <c r="AV123" s="1100" t="n"/>
      <c r="AW123" s="1174" t="n"/>
      <c r="AX123" s="1173" t="n"/>
      <c r="AY123">
        <f>CA123&amp;CB123&amp;CC123&amp;CD123&amp;CE123&amp;CF123&amp;CG123&amp;CH123&amp;CI123&amp;CJ123</f>
        <v/>
      </c>
      <c r="CA123" s="198" t="n"/>
      <c r="CB123" s="196">
        <f>IF(AND($F123&gt;0,AP123="")," * No olvide digitar la variable Gestante. Digite cero si no tiene.",IF(AP123&gt;$F123," * La variable Gestante NO DEBEN ser mayor al Total de Mujeres. ",""))</f>
        <v/>
      </c>
      <c r="CC123" s="196">
        <f>IF(AND(D123&gt;0,AQ123="")," * No olvide digitar la variable  Atención bajo sedación inhalatoria (con óxido nitroso). Digite Cero si no tiene.",IF(AQ123&gt;D123," * La variable  Atención bajo sedación inhalatoria (con óxido nitroso) NO DEBE ser mayor que el Total Ambos Sexos",""))</f>
        <v/>
      </c>
      <c r="CD123" s="196">
        <f>IF(AND((AI123+AJ123)&gt;0,AR123="")," * No olvide digitar la variable 60 años (incluido en grupos de 60-64 años). Digite Cero si no tiene.",IF(AR123&gt;(AI123+AJ123)," * La variable 60 años (incluido en grupos de 60-64 años) NO DEBE ser mayor que el Total de consultas del grupo 60-64 años",""))</f>
        <v/>
      </c>
      <c r="CE123" s="196">
        <f>IF(AND($D123&gt;0,AS123="")," * No olvide digitar la variable Compra de Servicios. Digite Cero si no tiene.","")</f>
        <v/>
      </c>
      <c r="CF123" s="196">
        <f>IF(AND($D123&gt;0,AT123="")," * No olvide digitar la Usuarios con Discapacidad. Digite Cero si no tiene.",IF(AT123&gt;$D123," * La variable Usuarios con Discapacidad No puede ser mayor al Total Ambos Sexos.",""))</f>
        <v/>
      </c>
      <c r="CG123" s="196">
        <f>IF(AND($D123&gt;0,AU123="")," * No olvide digitar la variable "&amp;AU$88&amp;". Digite Cero si no tiene.",IF(AU123&gt;$D123," * La variable "&amp;AU$88&amp;" No puede ser mayor al Total Ambos Sexos.",""))</f>
        <v/>
      </c>
      <c r="CH123" s="196">
        <f>IF(AND($D123&gt;0,AV123="")," * No olvide digitar la variable "&amp;AV$88&amp;" Digite Cero si no tiene.",IF(AV123&gt;$D123," * La variable"&amp;AV$88&amp;"no puede ser mayor al Total Ambos Sexos.",""))</f>
        <v/>
      </c>
      <c r="CI123" s="196">
        <f>IF(AND($D123&gt;0,AW123="")," * No olvide digitar la variable Migrantes. Digite Cero si no tiene.",IF(AW123&gt;$D123," * La variable Migrantes no puede ser mayor al Total Ambos Sexos.",""))</f>
        <v/>
      </c>
      <c r="CJ123" s="196">
        <f>IF(AND($D123&gt;0,AX123="")," * No olvide digitar la variable Flujo digital. Digite Cero si no tiene.",IF(AX123&gt;$D123," * La variable Flujo digital no puede ser mayor al Total Ambos Sexos.",""))</f>
        <v/>
      </c>
      <c r="CO123" s="200" t="n"/>
      <c r="CP123" s="197">
        <f>IF(AND($F123&gt;0,AP123=""),1,IF(AP123&gt;$F123,1,0))</f>
        <v/>
      </c>
      <c r="CQ123" s="197">
        <f>IF(AND($D123&gt;0,AQ123=""),1,IF(AQ123&gt;$D123,1,0))</f>
        <v/>
      </c>
      <c r="CR123" s="197">
        <f>IF(AND(AI123+AJ123&gt;0,AR123=""),1,IF(AR123&gt;AI123+AJ123,1,0))</f>
        <v/>
      </c>
      <c r="CS123" s="197">
        <f>IF(AND($D123&gt;0,AS123=""),1,0)</f>
        <v/>
      </c>
      <c r="CT123" s="197">
        <f>IF(AND($D123&gt;0,AT123=""),1,IF(AT123&gt;$D123,1,0))</f>
        <v/>
      </c>
      <c r="CU123" s="197">
        <f>IF(AND($D123&gt;0,AU123=""),1,IF(AU123&gt;$D123,1,0))</f>
        <v/>
      </c>
      <c r="CV123" s="197">
        <f>IF(AND($D123&gt;0,AV123=""),1,IF(AV123&gt;$D123,1,0))</f>
        <v/>
      </c>
      <c r="CW123" s="197">
        <f>IF(AND($D123&gt;0,AW123=""),1,IF(AW123&gt;$D123,1,0))</f>
        <v/>
      </c>
      <c r="CX123" s="197">
        <f>IF(AND($D123&gt;0,AX123=""),1,IF(AX123&gt;$D123,1,0))</f>
        <v/>
      </c>
    </row>
    <row r="124" ht="15" customHeight="1" s="8286">
      <c r="A124" s="10246" t="inlineStr">
        <is>
          <t xml:space="preserve">Rehabilitación mediante prótesis fija implantoasistida </t>
        </is>
      </c>
      <c r="B124" s="10208" t="n"/>
      <c r="C124" s="9644" t="n"/>
      <c r="D124" s="1254">
        <f>SUM(E124:F124)</f>
        <v/>
      </c>
      <c r="E124" s="1486">
        <f>SUM(Y124+AA124+AC124+AE124+AG124+AI124+AK124+AM124)</f>
        <v/>
      </c>
      <c r="F124" s="894">
        <f>SUM(Z124+AB124+AD124+AF124+AH124+AJ124+AL124+AN124)</f>
        <v/>
      </c>
      <c r="G124" s="1941" t="n"/>
      <c r="H124" s="890" t="n"/>
      <c r="I124" s="1941" t="n"/>
      <c r="J124" s="2827" t="n"/>
      <c r="K124" s="1941" t="n"/>
      <c r="L124" s="890" t="n"/>
      <c r="M124" s="1941" t="n"/>
      <c r="N124" s="890" t="n"/>
      <c r="O124" s="1942" t="n"/>
      <c r="P124" s="890" t="n"/>
      <c r="Q124" s="1942" t="n"/>
      <c r="R124" s="890" t="n"/>
      <c r="S124" s="1942" t="n"/>
      <c r="T124" s="890" t="n"/>
      <c r="U124" s="1942" t="n"/>
      <c r="V124" s="890" t="n"/>
      <c r="W124" s="1942" t="n"/>
      <c r="X124" s="890" t="n"/>
      <c r="Y124" s="1174" t="n"/>
      <c r="Z124" s="886" t="n"/>
      <c r="AA124" s="1174" t="n"/>
      <c r="AB124" s="886" t="n"/>
      <c r="AC124" s="1174" t="n"/>
      <c r="AD124" s="886" t="n"/>
      <c r="AE124" s="1174" t="n"/>
      <c r="AF124" s="886" t="n"/>
      <c r="AG124" s="1174" t="n"/>
      <c r="AH124" s="886" t="n"/>
      <c r="AI124" s="1174" t="n"/>
      <c r="AJ124" s="886" t="n"/>
      <c r="AK124" s="1174" t="n"/>
      <c r="AL124" s="886" t="n"/>
      <c r="AM124" s="1174" t="n"/>
      <c r="AN124" s="1929" t="n"/>
      <c r="AO124" s="896" t="n"/>
      <c r="AP124" s="2001" t="n"/>
      <c r="AQ124" s="2001" t="n"/>
      <c r="AR124" s="2001" t="n"/>
      <c r="AS124" s="2001" t="n"/>
      <c r="AT124" s="885" t="n"/>
      <c r="AU124" s="2495" t="n"/>
      <c r="AV124" s="1100" t="n"/>
      <c r="AW124" s="1174" t="n"/>
      <c r="AX124" s="1173" t="n"/>
      <c r="AY124">
        <f>CA124&amp;CB124&amp;CC124&amp;CD124&amp;CE124&amp;CF124&amp;CG124&amp;CH124&amp;CI124&amp;CJ124</f>
        <v/>
      </c>
      <c r="CA124" s="198" t="n"/>
      <c r="CB124" s="196">
        <f>IF(AND($F124&gt;0,AP124="")," * No olvide digitar la variable Gestante. Digite cero si no tiene.",IF(AP124&gt;$F124," * La variable Gestante NO DEBEN ser mayor al Total de Mujeres. ",""))</f>
        <v/>
      </c>
      <c r="CC124" s="196">
        <f>IF(AND(D124&gt;0,AQ124="")," * No olvide digitar la variable  Atención bajo sedación inhalatoria (con óxido nitroso). Digite Cero si no tiene.",IF(AQ124&gt;D124," * La variable  Atención bajo sedación inhalatoria (con óxido nitroso) NO DEBE ser mayor que el Total Ambos Sexos",""))</f>
        <v/>
      </c>
      <c r="CD124" s="196">
        <f>IF(AND((AI124+AJ124)&gt;0,AR124="")," * No olvide digitar la variable 60 años (incluido en grupos de 60-64 años). Digite Cero si no tiene.",IF(AR124&gt;(AI124+AJ124)," * La variable 60 años (incluido en grupos de 60-64 años) NO DEBE ser mayor que el Total de consultas del grupo 60-64 años",""))</f>
        <v/>
      </c>
      <c r="CE124" s="196">
        <f>IF(AND($D124&gt;0,AS124="")," * No olvide digitar la variable Compra de Servicios. Digite Cero si no tiene.","")</f>
        <v/>
      </c>
      <c r="CF124" s="196">
        <f>IF(AND($D124&gt;0,AT124="")," * No olvide digitar la Usuarios con Discapacidad. Digite Cero si no tiene.",IF(AT124&gt;$D124," * La variable Usuarios con Discapacidad No puede ser mayor al Total Ambos Sexos.",""))</f>
        <v/>
      </c>
      <c r="CG124" s="196">
        <f>IF(AND($D124&gt;0,AU124="")," * No olvide digitar la variable "&amp;AU$88&amp;". Digite Cero si no tiene.",IF(AU124&gt;$D124," * La variable "&amp;AU$88&amp;" No puede ser mayor al Total Ambos Sexos.",""))</f>
        <v/>
      </c>
      <c r="CH124" s="196">
        <f>IF(AND($D124&gt;0,AV124="")," * No olvide digitar la variable "&amp;AV$88&amp;" Digite Cero si no tiene.",IF(AV124&gt;$D124," * La variable"&amp;AV$88&amp;"no puede ser mayor al Total Ambos Sexos.",""))</f>
        <v/>
      </c>
      <c r="CI124" s="196">
        <f>IF(AND($D124&gt;0,AW124="")," * No olvide digitar la variable Migrantes. Digite Cero si no tiene.",IF(AW124&gt;$D124," * La variable Migrantes no puede ser mayor al Total Ambos Sexos.",""))</f>
        <v/>
      </c>
      <c r="CJ124" s="196">
        <f>IF(AND($D124&gt;0,AX124="")," * No olvide digitar la variable Flujo digital. Digite Cero si no tiene.",IF(AX124&gt;$D124," * La variable Flujo digital no puede ser mayor al Total Ambos Sexos.",""))</f>
        <v/>
      </c>
      <c r="CO124" s="200" t="n"/>
      <c r="CP124" s="197">
        <f>IF(AND($F124&gt;0,AP124=""),1,IF(AP124&gt;$F124,1,0))</f>
        <v/>
      </c>
      <c r="CQ124" s="197">
        <f>IF(AND($D124&gt;0,AQ124=""),1,IF(AQ124&gt;$D124,1,0))</f>
        <v/>
      </c>
      <c r="CR124" s="197">
        <f>IF(AND(AI124+AJ124&gt;0,AR124=""),1,IF(AR124&gt;AI124+AJ124,1,0))</f>
        <v/>
      </c>
      <c r="CS124" s="197">
        <f>IF(AND($D124&gt;0,AS124=""),1,0)</f>
        <v/>
      </c>
      <c r="CT124" s="197">
        <f>IF(AND($D124&gt;0,AT124=""),1,IF(AT124&gt;$D124,1,0))</f>
        <v/>
      </c>
      <c r="CU124" s="197">
        <f>IF(AND($D124&gt;0,AU124=""),1,IF(AU124&gt;$D124,1,0))</f>
        <v/>
      </c>
      <c r="CV124" s="197">
        <f>IF(AND($D124&gt;0,AV124=""),1,IF(AV124&gt;$D124,1,0))</f>
        <v/>
      </c>
      <c r="CW124" s="197">
        <f>IF(AND($D124&gt;0,AW124=""),1,IF(AW124&gt;$D124,1,0))</f>
        <v/>
      </c>
      <c r="CX124" s="197">
        <f>IF(AND($D124&gt;0,AX124=""),1,IF(AX124&gt;$D124,1,0))</f>
        <v/>
      </c>
    </row>
    <row r="125" ht="15" customHeight="1" s="8286">
      <c r="A125" s="10246" t="inlineStr">
        <is>
          <t xml:space="preserve">Rehabilitación mediante prótesis muco-implantoasistida </t>
        </is>
      </c>
      <c r="B125" s="10208" t="n"/>
      <c r="C125" s="9644" t="n"/>
      <c r="D125" s="1254">
        <f>SUM(E125:F125)</f>
        <v/>
      </c>
      <c r="E125" s="1486">
        <f>SUM(Y125+AA125+AC125+AE125+AG125+AI125+AK125+AM125)</f>
        <v/>
      </c>
      <c r="F125" s="894">
        <f>SUM(Z125+AB125+AD125+AF125+AH125+AJ125+AL125+AN125)</f>
        <v/>
      </c>
      <c r="G125" s="1941" t="n"/>
      <c r="H125" s="890" t="n"/>
      <c r="I125" s="1941" t="n"/>
      <c r="J125" s="2827" t="n"/>
      <c r="K125" s="1941" t="n"/>
      <c r="L125" s="890" t="n"/>
      <c r="M125" s="1941" t="n"/>
      <c r="N125" s="890" t="n"/>
      <c r="O125" s="1942" t="n"/>
      <c r="P125" s="890" t="n"/>
      <c r="Q125" s="1942" t="n"/>
      <c r="R125" s="890" t="n"/>
      <c r="S125" s="1942" t="n"/>
      <c r="T125" s="890" t="n"/>
      <c r="U125" s="1942" t="n"/>
      <c r="V125" s="890" t="n"/>
      <c r="W125" s="1942" t="n"/>
      <c r="X125" s="890" t="n"/>
      <c r="Y125" s="1174" t="n"/>
      <c r="Z125" s="886" t="n"/>
      <c r="AA125" s="1174" t="n"/>
      <c r="AB125" s="886" t="n"/>
      <c r="AC125" s="1174" t="n"/>
      <c r="AD125" s="886" t="n"/>
      <c r="AE125" s="1174" t="n"/>
      <c r="AF125" s="886" t="n"/>
      <c r="AG125" s="1174" t="n"/>
      <c r="AH125" s="886" t="n"/>
      <c r="AI125" s="1174" t="n"/>
      <c r="AJ125" s="886" t="n"/>
      <c r="AK125" s="1174" t="n"/>
      <c r="AL125" s="886" t="n"/>
      <c r="AM125" s="1174" t="n"/>
      <c r="AN125" s="1929" t="n"/>
      <c r="AO125" s="896" t="n"/>
      <c r="AP125" s="2001" t="n"/>
      <c r="AQ125" s="2001" t="n"/>
      <c r="AR125" s="2001" t="n"/>
      <c r="AS125" s="2001" t="n"/>
      <c r="AT125" s="885" t="n"/>
      <c r="AU125" s="2495" t="n"/>
      <c r="AV125" s="1100" t="n"/>
      <c r="AW125" s="1174" t="n"/>
      <c r="AX125" s="1173" t="n"/>
      <c r="AY125">
        <f>CA125&amp;CB125&amp;CC125&amp;CD125&amp;CE125&amp;CF125&amp;CG125&amp;CH125&amp;CI125&amp;CJ125</f>
        <v/>
      </c>
      <c r="CA125" s="198" t="n"/>
      <c r="CB125" s="196">
        <f>IF(AND($F125&gt;0,AP125="")," * No olvide digitar la variable Gestante. Digite cero si no tiene.",IF(AP125&gt;$F125," * La variable Gestante NO DEBEN ser mayor al Total de Mujeres. ",""))</f>
        <v/>
      </c>
      <c r="CC125" s="196">
        <f>IF(AND(D125&gt;0,AQ125="")," * No olvide digitar la variable  Atención bajo sedación inhalatoria (con óxido nitroso). Digite Cero si no tiene.",IF(AQ125&gt;D125," * La variable  Atención bajo sedación inhalatoria (con óxido nitroso) NO DEBE ser mayor que el Total Ambos Sexos",""))</f>
        <v/>
      </c>
      <c r="CD125" s="196">
        <f>IF(AND((AI125+AJ125)&gt;0,AR125="")," * No olvide digitar la variable 60 años (incluido en grupos de 60-64 años). Digite Cero si no tiene.",IF(AR125&gt;(AI125+AJ125)," * La variable 60 años (incluido en grupos de 60-64 años) NO DEBE ser mayor que el Total de consultas del grupo 60-64 años",""))</f>
        <v/>
      </c>
      <c r="CE125" s="196">
        <f>IF(AND($D125&gt;0,AS125="")," * No olvide digitar la variable Compra de Servicios. Digite Cero si no tiene.","")</f>
        <v/>
      </c>
      <c r="CF125" s="196">
        <f>IF(AND($D125&gt;0,AT125="")," * No olvide digitar la Usuarios con Discapacidad. Digite Cero si no tiene.",IF(AT125&gt;$D125," * La variable Usuarios con Discapacidad No puede ser mayor al Total Ambos Sexos.",""))</f>
        <v/>
      </c>
      <c r="CG125" s="196">
        <f>IF(AND($D125&gt;0,AU125="")," * No olvide digitar la variable "&amp;AU$88&amp;". Digite Cero si no tiene.",IF(AU125&gt;$D125," * La variable "&amp;AU$88&amp;" No puede ser mayor al Total Ambos Sexos.",""))</f>
        <v/>
      </c>
      <c r="CH125" s="196">
        <f>IF(AND($D125&gt;0,AV125="")," * No olvide digitar la variable "&amp;AV$88&amp;" Digite Cero si no tiene.",IF(AV125&gt;$D125," * La variable"&amp;AV$88&amp;"no puede ser mayor al Total Ambos Sexos.",""))</f>
        <v/>
      </c>
      <c r="CI125" s="196">
        <f>IF(AND($D125&gt;0,AW125="")," * No olvide digitar la variable Migrantes. Digite Cero si no tiene.",IF(AW125&gt;$D125," * La variable Migrantes no puede ser mayor al Total Ambos Sexos.",""))</f>
        <v/>
      </c>
      <c r="CJ125" s="196">
        <f>IF(AND($D125&gt;0,AX125="")," * No olvide digitar la variable Flujo digital. Digite Cero si no tiene.",IF(AX125&gt;$D125," * La variable Flujo digital no puede ser mayor al Total Ambos Sexos.",""))</f>
        <v/>
      </c>
      <c r="CO125" s="200" t="n"/>
      <c r="CP125" s="197">
        <f>IF(AND($F125&gt;0,AP125=""),1,IF(AP125&gt;$F125,1,0))</f>
        <v/>
      </c>
      <c r="CQ125" s="197">
        <f>IF(AND($D125&gt;0,AQ125=""),1,IF(AQ125&gt;$D125,1,0))</f>
        <v/>
      </c>
      <c r="CR125" s="197">
        <f>IF(AND(AI125+AJ125&gt;0,AR125=""),1,IF(AR125&gt;AI125+AJ125,1,0))</f>
        <v/>
      </c>
      <c r="CS125" s="197">
        <f>IF(AND($D125&gt;0,AS125=""),1,0)</f>
        <v/>
      </c>
      <c r="CT125" s="197">
        <f>IF(AND($D125&gt;0,AT125=""),1,IF(AT125&gt;$D125,1,0))</f>
        <v/>
      </c>
      <c r="CU125" s="197">
        <f>IF(AND($D125&gt;0,AU125=""),1,IF(AU125&gt;$D125,1,0))</f>
        <v/>
      </c>
      <c r="CV125" s="197">
        <f>IF(AND($D125&gt;0,AV125=""),1,IF(AV125&gt;$D125,1,0))</f>
        <v/>
      </c>
      <c r="CW125" s="197">
        <f>IF(AND($D125&gt;0,AW125=""),1,IF(AW125&gt;$D125,1,0))</f>
        <v/>
      </c>
      <c r="CX125" s="197">
        <f>IF(AND($D125&gt;0,AX125=""),1,IF(AX125&gt;$D125,1,0))</f>
        <v/>
      </c>
    </row>
    <row r="126" ht="15" customHeight="1" s="8286">
      <c r="A126" s="10246" t="inlineStr">
        <is>
          <t xml:space="preserve">Reparación de prótesis </t>
        </is>
      </c>
      <c r="B126" s="10208" t="n"/>
      <c r="C126" s="9644" t="n"/>
      <c r="D126" s="1254">
        <f>SUM(E126:F126)</f>
        <v/>
      </c>
      <c r="E126" s="1486">
        <f>SUM(Q126+S126+U126+W126+Y126+AA126+AC126+AE126+AG126+AI126+AK126+AM126)</f>
        <v/>
      </c>
      <c r="F126" s="894">
        <f>SUM(R126+T126+V126+X126+Z126+AB126+AD126+AF126+AH126+AJ126+AL126+AN126)</f>
        <v/>
      </c>
      <c r="G126" s="1941" t="n"/>
      <c r="H126" s="890" t="n"/>
      <c r="I126" s="1941" t="n"/>
      <c r="J126" s="2827" t="n"/>
      <c r="K126" s="1941" t="n"/>
      <c r="L126" s="890" t="n"/>
      <c r="M126" s="1941" t="n"/>
      <c r="N126" s="890" t="n"/>
      <c r="O126" s="1942" t="n"/>
      <c r="P126" s="890" t="n"/>
      <c r="Q126" s="1174" t="n"/>
      <c r="R126" s="886" t="n"/>
      <c r="S126" s="1174" t="n"/>
      <c r="T126" s="886" t="n"/>
      <c r="U126" s="1174" t="n"/>
      <c r="V126" s="886" t="n"/>
      <c r="W126" s="1174" t="n"/>
      <c r="X126" s="886" t="n"/>
      <c r="Y126" s="1174" t="n"/>
      <c r="Z126" s="886" t="n"/>
      <c r="AA126" s="1174" t="n"/>
      <c r="AB126" s="886" t="n"/>
      <c r="AC126" s="1174" t="n"/>
      <c r="AD126" s="886" t="n"/>
      <c r="AE126" s="1174" t="n"/>
      <c r="AF126" s="886" t="n"/>
      <c r="AG126" s="1174" t="n"/>
      <c r="AH126" s="886" t="n"/>
      <c r="AI126" s="1174" t="n"/>
      <c r="AJ126" s="886" t="n"/>
      <c r="AK126" s="1174" t="n"/>
      <c r="AL126" s="886" t="n"/>
      <c r="AM126" s="1174" t="n"/>
      <c r="AN126" s="1929" t="n"/>
      <c r="AO126" s="887" t="n"/>
      <c r="AP126" s="2001" t="n"/>
      <c r="AQ126" s="2001" t="n"/>
      <c r="AR126" s="2831" t="n"/>
      <c r="AS126" s="2001" t="n"/>
      <c r="AT126" s="885" t="n"/>
      <c r="AU126" s="2495" t="n"/>
      <c r="AV126" s="1100" t="n"/>
      <c r="AW126" s="1174" t="n"/>
      <c r="AX126" s="1173" t="n"/>
      <c r="AY126">
        <f>CA126&amp;CB126&amp;CC126&amp;CD126&amp;CE126&amp;CF126&amp;CG126&amp;CH126&amp;CI126&amp;CJ126</f>
        <v/>
      </c>
      <c r="CA126" s="196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>
        <f>IF(AND($F126&gt;0,AP126="")," * No olvide digitar la variable Gestante. Digite cero si no tiene.",IF(AP126&gt;$F126," * La variable Gestante NO DEBEN ser mayor al Total de Mujeres. ",""))</f>
        <v/>
      </c>
      <c r="CC126" s="196">
        <f>IF(AND(D126&gt;0,AQ126="")," * No olvide digitar la variable  Atención bajo sedación inhalatoria (con óxido nitroso). Digite Cero si no tiene.",IF(AQ126&gt;D126," * La variable  Atención bajo sedación inhalatoria (con óxido nitroso) NO DEBE ser mayor que el Total Ambos Sexos",""))</f>
        <v/>
      </c>
      <c r="CD126" s="196">
        <f>IF(AND((AI126+AJ126)&gt;0,AR126="")," * No olvide digitar la variable 60 años (incluido en grupos de 60-64 años). Digite Cero si no tiene.",IF(AR126&gt;(AI126+AJ126)," * La variable 60 años (incluido en grupos de 60-64 años) NO DEBE ser mayor que el Total de consultas del grupo 60-64 años",""))</f>
        <v/>
      </c>
      <c r="CE126" s="196">
        <f>IF(AND($D126&gt;0,AS126="")," * No olvide digitar la variable Compra de Servicios. Digite Cero si no tiene.","")</f>
        <v/>
      </c>
      <c r="CF126" s="196">
        <f>IF(AND($D126&gt;0,AT126="")," * No olvide digitar la Usuarios con Discapacidad. Digite Cero si no tiene.",IF(AT126&gt;$D126," * La variable Usuarios con Discapacidad No puede ser mayor al Total Ambos Sexos.",""))</f>
        <v/>
      </c>
      <c r="CG126" s="196">
        <f>IF(AND($D126&gt;0,AU126="")," * No olvide digitar la variable "&amp;AU$88&amp;". Digite Cero si no tiene.",IF(AU126&gt;$D126," * La variable "&amp;AU$88&amp;" No puede ser mayor al Total Ambos Sexos.",""))</f>
        <v/>
      </c>
      <c r="CH126" s="196">
        <f>IF(AND($D126&gt;0,AV126="")," * No olvide digitar la variable "&amp;AV$88&amp;" Digite Cero si no tiene.",IF(AV126&gt;$D126," * La variable"&amp;AV$88&amp;"no puede ser mayor al Total Ambos Sexos.",""))</f>
        <v/>
      </c>
      <c r="CI126" s="196">
        <f>IF(AND($D126&gt;0,AW126="")," * No olvide digitar la variable Migrantes. Digite Cero si no tiene.",IF(AW126&gt;$D126," * La variable Migrantes no puede ser mayor al Total Ambos Sexos.",""))</f>
        <v/>
      </c>
      <c r="CJ126" s="196">
        <f>IF(AND($D126&gt;0,AX126="")," * No olvide digitar la variable Flujo digital. Digite Cero si no tiene.",IF(AX126&gt;$D126," * La variable Flujo digital no puede ser mayor al Total Ambos Sexos.",""))</f>
        <v/>
      </c>
      <c r="CO126" s="197">
        <f>IF(AND($D126&gt;0,AO126=""),1,IF(AO126&gt;D126,1,0))</f>
        <v/>
      </c>
      <c r="CP126" s="197">
        <f>IF(AND($F126&gt;0,AP126=""),1,IF(AP126&gt;$F126,1,0))</f>
        <v/>
      </c>
      <c r="CQ126" s="197">
        <f>IF(AND($D126&gt;0,AQ126=""),1,IF(AQ126&gt;$D126,1,0))</f>
        <v/>
      </c>
      <c r="CR126" s="197">
        <f>IF(AND(AI126+AJ126&gt;0,AR126=""),1,IF(AR126&gt;AI126+AJ126,1,0))</f>
        <v/>
      </c>
      <c r="CS126" s="197">
        <f>IF(AND($D126&gt;0,AS126=""),1,0)</f>
        <v/>
      </c>
      <c r="CT126" s="197">
        <f>IF(AND($D126&gt;0,AT126=""),1,IF(AT126&gt;$D126,1,0))</f>
        <v/>
      </c>
      <c r="CU126" s="197">
        <f>IF(AND($D126&gt;0,AU126=""),1,IF(AU126&gt;$D126,1,0))</f>
        <v/>
      </c>
      <c r="CV126" s="197">
        <f>IF(AND($D126&gt;0,AV126=""),1,IF(AV126&gt;$D126,1,0))</f>
        <v/>
      </c>
      <c r="CW126" s="197">
        <f>IF(AND($D126&gt;0,AW126=""),1,IF(AW126&gt;$D126,1,0))</f>
        <v/>
      </c>
      <c r="CX126" s="197">
        <f>IF(AND($D126&gt;0,AX126=""),1,IF(AX126&gt;$D126,1,0))</f>
        <v/>
      </c>
    </row>
    <row r="127" ht="15" customHeight="1" s="8286">
      <c r="A127" s="10246" t="inlineStr">
        <is>
          <t xml:space="preserve">Implantología etapa protésica </t>
        </is>
      </c>
      <c r="B127" s="10208" t="n"/>
      <c r="C127" s="9644" t="n"/>
      <c r="D127" s="1254">
        <f>SUM(E127:F127)</f>
        <v/>
      </c>
      <c r="E127" s="1486">
        <f>SUM(Y127+AA127+AC127+AE127+AG127+AI127+AK127+AM127)</f>
        <v/>
      </c>
      <c r="F127" s="894">
        <f>SUM(Z127+AB127+AD127+AF127+AH127+AJ127+AL127+AN127)</f>
        <v/>
      </c>
      <c r="G127" s="1941" t="n"/>
      <c r="H127" s="890" t="n"/>
      <c r="I127" s="1941" t="n"/>
      <c r="J127" s="2827" t="n"/>
      <c r="K127" s="1941" t="n"/>
      <c r="L127" s="890" t="n"/>
      <c r="M127" s="1941" t="n"/>
      <c r="N127" s="890" t="n"/>
      <c r="O127" s="1942" t="n"/>
      <c r="P127" s="890" t="n"/>
      <c r="Q127" s="1942" t="n"/>
      <c r="R127" s="890" t="n"/>
      <c r="S127" s="1942" t="n"/>
      <c r="T127" s="890" t="n"/>
      <c r="U127" s="1942" t="n"/>
      <c r="V127" s="890" t="n"/>
      <c r="W127" s="1942" t="n"/>
      <c r="X127" s="890" t="n"/>
      <c r="Y127" s="1174" t="n"/>
      <c r="Z127" s="886" t="n"/>
      <c r="AA127" s="1174" t="n"/>
      <c r="AB127" s="886" t="n"/>
      <c r="AC127" s="1174" t="n"/>
      <c r="AD127" s="886" t="n"/>
      <c r="AE127" s="1174" t="n"/>
      <c r="AF127" s="886" t="n"/>
      <c r="AG127" s="1174" t="n"/>
      <c r="AH127" s="886" t="n"/>
      <c r="AI127" s="1174" t="n"/>
      <c r="AJ127" s="886" t="n"/>
      <c r="AK127" s="1174" t="n"/>
      <c r="AL127" s="886" t="n"/>
      <c r="AM127" s="1174" t="n"/>
      <c r="AN127" s="1929" t="n"/>
      <c r="AO127" s="896" t="n"/>
      <c r="AP127" s="2001" t="n"/>
      <c r="AQ127" s="2001" t="n"/>
      <c r="AR127" s="2831" t="n"/>
      <c r="AS127" s="2001" t="n"/>
      <c r="AT127" s="885" t="n"/>
      <c r="AU127" s="2495" t="n"/>
      <c r="AV127" s="1100" t="n"/>
      <c r="AW127" s="1174" t="n"/>
      <c r="AX127" s="1173" t="n"/>
      <c r="AY127">
        <f>CA127&amp;CB127&amp;CC127&amp;CD127&amp;CE127&amp;CF127&amp;CG127&amp;CH127&amp;CI127&amp;CJ127</f>
        <v/>
      </c>
      <c r="CA127" s="198" t="n"/>
      <c r="CB127" s="196">
        <f>IF(AND($F127&gt;0,AP127="")," * No olvide digitar la variable Gestante. Digite cero si no tiene.",IF(AP127&gt;$F127," * La variable Gestante NO DEBEN ser mayor al Total de Mujeres. ",""))</f>
        <v/>
      </c>
      <c r="CC127" s="196">
        <f>IF(AND(D127&gt;0,AQ127="")," * No olvide digitar la variable  Atención bajo sedación inhalatoria (con óxido nitroso). Digite Cero si no tiene.",IF(AQ127&gt;D127," * La variable  Atención bajo sedación inhalatoria (con óxido nitroso) NO DEBE ser mayor que el Total Ambos Sexos",""))</f>
        <v/>
      </c>
      <c r="CD127" s="196">
        <f>IF(AND((AI127+AJ127)&gt;0,AR127="")," * No olvide digitar la variable 60 años (incluido en grupos de 60-64 años). Digite Cero si no tiene.",IF(AR127&gt;(AI127+AJ127)," * La variable 60 años (incluido en grupos de 60-64 años) NO DEBE ser mayor que el Total de consultas del grupo 60-64 años",""))</f>
        <v/>
      </c>
      <c r="CE127" s="196">
        <f>IF(AND($D127&gt;0,AS127="")," * No olvide digitar la variable Compra de Servicios. Digite Cero si no tiene.","")</f>
        <v/>
      </c>
      <c r="CF127" s="196">
        <f>IF(AND($D127&gt;0,AT127="")," * No olvide digitar la Usuarios con Discapacidad. Digite Cero si no tiene.",IF(AT127&gt;$D127," * La variable Usuarios con Discapacidad No puede ser mayor al Total Ambos Sexos.",""))</f>
        <v/>
      </c>
      <c r="CG127" s="196">
        <f>IF(AND($D127&gt;0,AU127="")," * No olvide digitar la variable "&amp;AU$88&amp;". Digite Cero si no tiene.",IF(AU127&gt;$D127," * La variable "&amp;AU$88&amp;" No puede ser mayor al Total Ambos Sexos.",""))</f>
        <v/>
      </c>
      <c r="CH127" s="196">
        <f>IF(AND($D127&gt;0,AV127="")," * No olvide digitar la variable "&amp;AV$88&amp;" Digite Cero si no tiene.",IF(AV127&gt;$D127," * La variable"&amp;AV$88&amp;"no puede ser mayor al Total Ambos Sexos.",""))</f>
        <v/>
      </c>
      <c r="CI127" s="196">
        <f>IF(AND($D127&gt;0,AW127="")," * No olvide digitar la variable Migrantes. Digite Cero si no tiene.",IF(AW127&gt;$D127," * La variable Migrantes no puede ser mayor al Total Ambos Sexos.",""))</f>
        <v/>
      </c>
      <c r="CJ127" s="196">
        <f>IF(AND($D127&gt;0,AX127="")," * No olvide digitar la variable Flujo digital. Digite Cero si no tiene.",IF(AX127&gt;$D127," * La variable Flujo digital no puede ser mayor al Total Ambos Sexos.",""))</f>
        <v/>
      </c>
      <c r="CO127" s="198" t="n"/>
      <c r="CP127" s="197">
        <f>IF(AND($F127&gt;0,AP127=""),1,IF(AP127&gt;$F127,1,0))</f>
        <v/>
      </c>
      <c r="CQ127" s="197">
        <f>IF(AND($D127&gt;0,AQ127=""),1,IF(AQ127&gt;$D127,1,0))</f>
        <v/>
      </c>
      <c r="CR127" s="197">
        <f>IF(AND(AI127+AJ127&gt;0,AR127=""),1,IF(AR127&gt;AI127+AJ127,1,0))</f>
        <v/>
      </c>
      <c r="CS127" s="197">
        <f>IF(AND($D127&gt;0,AS127=""),1,0)</f>
        <v/>
      </c>
      <c r="CT127" s="197">
        <f>IF(AND($D127&gt;0,AT127=""),1,IF(AT127&gt;$D127,1,0))</f>
        <v/>
      </c>
      <c r="CU127" s="197">
        <f>IF(AND($D127&gt;0,AU127=""),1,IF(AU127&gt;$D127,1,0))</f>
        <v/>
      </c>
      <c r="CV127" s="197">
        <f>IF(AND($D127&gt;0,AV127=""),1,IF(AV127&gt;$D127,1,0))</f>
        <v/>
      </c>
      <c r="CW127" s="197">
        <f>IF(AND($D127&gt;0,AW127=""),1,IF(AW127&gt;$D127,1,0))</f>
        <v/>
      </c>
      <c r="CX127" s="197">
        <f>IF(AND($D127&gt;0,AX127=""),1,IF(AX127&gt;$D127,1,0))</f>
        <v/>
      </c>
    </row>
    <row r="128" ht="15" customHeight="1" s="8286">
      <c r="A128" s="10246" t="inlineStr">
        <is>
          <t xml:space="preserve">Estudio hispatológico </t>
        </is>
      </c>
      <c r="B128" s="10208" t="n"/>
      <c r="C128" s="9644" t="n"/>
      <c r="D128" s="1254">
        <f>SUM(E128:F128)</f>
        <v/>
      </c>
      <c r="E128" s="1486">
        <f>SUM(G128+I128+K128+M128+O128+Q128+S128+U128+W128+Y128+AA128+AC128+AE128+AG128+AI128+AK128+AM128)</f>
        <v/>
      </c>
      <c r="F128" s="894">
        <f>SUM(H128+J128+L128+N128+P128+R128+T128+V128+X128+Z128+AB128+AD128+AF128+AH128+AJ128+AL128+AN128)</f>
        <v/>
      </c>
      <c r="G128" s="1242" t="n"/>
      <c r="H128" s="2830" t="n"/>
      <c r="I128" s="1242" t="n"/>
      <c r="J128" s="2832" t="n"/>
      <c r="K128" s="1242" t="n"/>
      <c r="L128" s="2830" t="n"/>
      <c r="M128" s="1242" t="n"/>
      <c r="N128" s="2830" t="n"/>
      <c r="O128" s="1302" t="n"/>
      <c r="P128" s="886" t="n"/>
      <c r="Q128" s="1174" t="n"/>
      <c r="R128" s="886" t="n"/>
      <c r="S128" s="1174" t="n"/>
      <c r="T128" s="2830" t="n"/>
      <c r="U128" s="1302" t="n"/>
      <c r="V128" s="886" t="n"/>
      <c r="W128" s="1174" t="n"/>
      <c r="X128" s="886" t="n"/>
      <c r="Y128" s="1174" t="n"/>
      <c r="Z128" s="886" t="n"/>
      <c r="AA128" s="1174" t="n"/>
      <c r="AB128" s="886" t="n"/>
      <c r="AC128" s="1174" t="n"/>
      <c r="AD128" s="886" t="n"/>
      <c r="AE128" s="1174" t="n"/>
      <c r="AF128" s="886" t="n"/>
      <c r="AG128" s="1174" t="n"/>
      <c r="AH128" s="886" t="n"/>
      <c r="AI128" s="1174" t="n"/>
      <c r="AJ128" s="886" t="n"/>
      <c r="AK128" s="1174" t="n"/>
      <c r="AL128" s="886" t="n"/>
      <c r="AM128" s="1174" t="n"/>
      <c r="AN128" s="1929" t="n"/>
      <c r="AO128" s="887" t="n"/>
      <c r="AP128" s="2831" t="n"/>
      <c r="AQ128" s="2831" t="n"/>
      <c r="AR128" s="2831" t="n"/>
      <c r="AS128" s="2001" t="n"/>
      <c r="AT128" s="885" t="n"/>
      <c r="AU128" s="2495" t="n"/>
      <c r="AV128" s="1100" t="n"/>
      <c r="AW128" s="1174" t="n"/>
      <c r="AX128" s="1948" t="n"/>
      <c r="AY128">
        <f>CA128&amp;CB128&amp;CC128&amp;CD128&amp;CE128&amp;CF128&amp;CG128&amp;CH128&amp;CI128&amp;CJ128</f>
        <v/>
      </c>
      <c r="CA128" s="196">
        <f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>
        <f>IF(AND($F128&gt;0,AP128="")," * No olvide digitar la variable Gestante. Digite cero si no tiene.",IF(AP128&gt;$F128," * La variable Gestante NO DEBEN ser mayor al Total de Mujeres. ",""))</f>
        <v/>
      </c>
      <c r="CC128" s="196">
        <f>IF(AND(D128&gt;0,AQ128="")," * No olvide digitar la variable  Atención bajo sedación inhalatoria (con óxido nitroso). Digite Cero si no tiene.",IF(AQ128&gt;D128," * La variable  Atención bajo sedación inhalatoria (con óxido nitroso) NO DEBE ser mayor que el Total Ambos Sexos",""))</f>
        <v/>
      </c>
      <c r="CD128" s="196">
        <f>IF(AND((AI128+AJ128)&gt;0,AR128="")," * No olvide digitar la variable 60 años (incluido en grupos de 60-64 años). Digite Cero si no tiene.",IF(AR128&gt;(AI128+AJ128)," * La variable 60 años (incluido en grupos de 60-64 años) NO DEBE ser mayor que el Total de consultas del grupo 60-64 años",""))</f>
        <v/>
      </c>
      <c r="CE128" s="196">
        <f>IF(AND($D128&gt;0,AS128="")," * No olvide digitar la variable Compra de Servicios. Digite Cero si no tiene.","")</f>
        <v/>
      </c>
      <c r="CF128" s="196">
        <f>IF(AND($D128&gt;0,AT128="")," * No olvide digitar la Usuarios con Discapacidad. Digite Cero si no tiene.",IF(AT128&gt;$D128," * La variable Usuarios con Discapacidad No puede ser mayor al Total Ambos Sexos.",""))</f>
        <v/>
      </c>
      <c r="CG128" s="196">
        <f>IF(AND($D128&gt;0,AU128="")," * No olvide digitar la variable "&amp;AU$88&amp;". Digite Cero si no tiene.",IF(AU128&gt;$D128," * La variable "&amp;AU$88&amp;" No puede ser mayor al Total Ambos Sexos.",""))</f>
        <v/>
      </c>
      <c r="CH128" s="196">
        <f>IF(AND($D128&gt;0,AV128="")," * No olvide digitar la variable "&amp;AV$88&amp;" Digite Cero si no tiene.",IF(AV128&gt;$D128," * La variable"&amp;AV$88&amp;"no puede ser mayor al Total Ambos Sexos.",""))</f>
        <v/>
      </c>
      <c r="CI128" s="196">
        <f>IF(AND($D128&gt;0,AW128="")," * No olvide digitar la variable Migrantes. Digite Cero si no tiene.",IF(AW128&gt;$D128," * La variable Migrantes no puede ser mayor al Total Ambos Sexos.",""))</f>
        <v/>
      </c>
      <c r="CJ128" s="198" t="n"/>
      <c r="CO128" s="197">
        <f>IF(AND($D128&gt;0,AO128=""),1,IF(AO128&gt;$D128,1,0))</f>
        <v/>
      </c>
      <c r="CP128" s="197">
        <f>IF(AND($F128&gt;0,AP128=""),1,IF(AP128&gt;$F128,1,0))</f>
        <v/>
      </c>
      <c r="CQ128" s="197">
        <f>IF(AND($D128&gt;0,AQ128=""),1,IF(AQ128&gt;$D128,1,0))</f>
        <v/>
      </c>
      <c r="CR128" s="197">
        <f>IF(AND(AI128+AJ128&gt;0,AR128=""),1,IF(AR128&gt;AI128+AJ128,1,0))</f>
        <v/>
      </c>
      <c r="CS128" s="197">
        <f>IF(AND($D128&gt;0,AS128=""),1,0)</f>
        <v/>
      </c>
      <c r="CT128" s="197">
        <f>IF(AND($D128&gt;0,AT128=""),1,IF(AT128&gt;$D128,1,0))</f>
        <v/>
      </c>
      <c r="CU128" s="197">
        <f>IF(AND($D128&gt;0,AU128=""),1,IF(AU128&gt;$D128,1,0))</f>
        <v/>
      </c>
      <c r="CV128" s="197">
        <f>IF(AND($D128&gt;0,AV128=""),1,IF(AV128&gt;$D128,1,0))</f>
        <v/>
      </c>
      <c r="CW128" s="197">
        <f>IF(AND($D128&gt;0,AW128=""),1,IF(AW128&gt;$D128,1,0))</f>
        <v/>
      </c>
      <c r="CX128" s="198" t="n"/>
    </row>
    <row r="129" ht="15" customHeight="1" s="8286">
      <c r="A129" s="10246" t="inlineStr">
        <is>
          <t xml:space="preserve">Sialometría </t>
        </is>
      </c>
      <c r="B129" s="10208" t="n"/>
      <c r="C129" s="9644" t="n"/>
      <c r="D129" s="1254">
        <f>SUM(E129:F129)</f>
        <v/>
      </c>
      <c r="E129" s="1486">
        <f>SUM(G129+I129+K129+M129+O129+Q129+S129+U129+W129+Y129+AA129+AC129+AE129+AG129+AI129+AK129+AM129)</f>
        <v/>
      </c>
      <c r="F129" s="894">
        <f>SUM(H129+J129+L129+N129+P129+R129+T129+V129+X129+Z129+AB129+AD129+AF129+AH129+AJ129+AL129+AN129)</f>
        <v/>
      </c>
      <c r="G129" s="1242" t="n"/>
      <c r="H129" s="2830" t="n"/>
      <c r="I129" s="1242" t="n"/>
      <c r="J129" s="2832" t="n"/>
      <c r="K129" s="1242" t="n"/>
      <c r="L129" s="2830" t="n"/>
      <c r="M129" s="1242" t="n"/>
      <c r="N129" s="2830" t="n"/>
      <c r="O129" s="1302" t="n"/>
      <c r="P129" s="886" t="n"/>
      <c r="Q129" s="1174" t="n"/>
      <c r="R129" s="886" t="n"/>
      <c r="S129" s="1174" t="n"/>
      <c r="T129" s="2830" t="n"/>
      <c r="U129" s="1302" t="n"/>
      <c r="V129" s="886" t="n"/>
      <c r="W129" s="1174" t="n"/>
      <c r="X129" s="886" t="n"/>
      <c r="Y129" s="1174" t="n"/>
      <c r="Z129" s="886" t="n"/>
      <c r="AA129" s="1174" t="n"/>
      <c r="AB129" s="886" t="n"/>
      <c r="AC129" s="1174" t="n"/>
      <c r="AD129" s="886" t="n"/>
      <c r="AE129" s="1174" t="n"/>
      <c r="AF129" s="886" t="n"/>
      <c r="AG129" s="1174" t="n"/>
      <c r="AH129" s="886" t="n"/>
      <c r="AI129" s="1174" t="n"/>
      <c r="AJ129" s="886" t="n"/>
      <c r="AK129" s="1174" t="n"/>
      <c r="AL129" s="886" t="n"/>
      <c r="AM129" s="1174" t="n"/>
      <c r="AN129" s="1929" t="n"/>
      <c r="AO129" s="887" t="n"/>
      <c r="AP129" s="2831" t="n"/>
      <c r="AQ129" s="2831" t="n"/>
      <c r="AR129" s="2831" t="n"/>
      <c r="AS129" s="2001" t="n"/>
      <c r="AT129" s="885" t="n"/>
      <c r="AU129" s="2495" t="n"/>
      <c r="AV129" s="1100" t="n"/>
      <c r="AW129" s="1174" t="n"/>
      <c r="AX129" s="1948" t="n"/>
      <c r="AY129">
        <f>CA129&amp;CB129&amp;CC129&amp;CD129&amp;CE129&amp;CF129&amp;CG129&amp;CH129&amp;CI129&amp;CJ129</f>
        <v/>
      </c>
      <c r="CA129" s="196">
        <f>IF(AND((W129+X129)&gt;0,AO129="")," * No olvide digitar la variable 12 años (incluido en el grupo de 10-14 años). Digite Cero si no tiene.",IF(AO129&gt;(W129+X129),"* Las Consultas de 12 años (incluido en el grupo de 10-14 años) NO DEBEN ser mayor que el total de Consultas entre 10-14 años",""))</f>
        <v/>
      </c>
      <c r="CB129" s="196">
        <f>IF(AND($F129&gt;0,AP129="")," * No olvide digitar la variable Gestante. Digite cero si no tiene.",IF(AP129&gt;$F129," * La variable Gestante NO DEBEN ser mayor al Total de Mujeres. ",""))</f>
        <v/>
      </c>
      <c r="CC129" s="196">
        <f>IF(AND(D129&gt;0,AQ129="")," * No olvide digitar la variable  Atención bajo sedación inhalatoria (con óxido nitroso). Digite Cero si no tiene.",IF(AQ129&gt;D129," * La variable  Atención bajo sedación inhalatoria (con óxido nitroso) NO DEBE ser mayor que el Total Ambos Sexos",""))</f>
        <v/>
      </c>
      <c r="CD129" s="196">
        <f>IF(AND((AI129+AJ129)&gt;0,AR129="")," * No olvide digitar la variable 60 años (incluido en grupos de 60-64 años). Digite Cero si no tiene.",IF(AR129&gt;(AI129+AJ129)," * La variable 60 años (incluido en grupos de 60-64 años) NO DEBE ser mayor que el Total de consultas del grupo 60-64 años",""))</f>
        <v/>
      </c>
      <c r="CE129" s="196">
        <f>IF(AND($D129&gt;0,AS129="")," * No olvide digitar la variable Compra de Servicios. Digite Cero si no tiene.","")</f>
        <v/>
      </c>
      <c r="CF129" s="196">
        <f>IF(AND($D129&gt;0,AT129="")," * No olvide digitar la Usuarios con Discapacidad. Digite Cero si no tiene.",IF(AT129&gt;$D129," * La variable Usuarios con Discapacidad No puede ser mayor al Total Ambos Sexos.",""))</f>
        <v/>
      </c>
      <c r="CG129" s="196">
        <f>IF(AND($D129&gt;0,AU129="")," * No olvide digitar la variable "&amp;AU$88&amp;". Digite Cero si no tiene.",IF(AU129&gt;$D129," * La variable "&amp;AU$88&amp;" No puede ser mayor al Total Ambos Sexos.",""))</f>
        <v/>
      </c>
      <c r="CH129" s="196">
        <f>IF(AND($D129&gt;0,AV129="")," * No olvide digitar la variable "&amp;AV$88&amp;" Digite Cero si no tiene.",IF(AV129&gt;$D129," * La variable"&amp;AV$88&amp;"no puede ser mayor al Total Ambos Sexos.",""))</f>
        <v/>
      </c>
      <c r="CI129" s="196">
        <f>IF(AND($D129&gt;0,AW129="")," * No olvide digitar la variable Migrantes. Digite Cero si no tiene.",IF(AW129&gt;$D129," * La variable Migrantes no puede ser mayor al Total Ambos Sexos.",""))</f>
        <v/>
      </c>
      <c r="CJ129" s="198" t="n"/>
      <c r="CO129" s="197">
        <f>IF(AND($D129&gt;0,AO129=""),1,IF(AO129&gt;$D129,1,0))</f>
        <v/>
      </c>
      <c r="CP129" s="197">
        <f>IF(AND($F129&gt;0,AP129=""),1,IF(AP129&gt;$F129,1,0))</f>
        <v/>
      </c>
      <c r="CQ129" s="197">
        <f>IF(AND($D129&gt;0,AQ129=""),1,IF(AQ129&gt;$D129,1,0))</f>
        <v/>
      </c>
      <c r="CR129" s="197">
        <f>IF(AND(AI129+AJ129&gt;0,AR129=""),1,IF(AR129&gt;AI129+AJ129,1,0))</f>
        <v/>
      </c>
      <c r="CS129" s="197">
        <f>IF(AND($D129&gt;0,AS129=""),1,0)</f>
        <v/>
      </c>
      <c r="CT129" s="197">
        <f>IF(AND($D129&gt;0,AT129=""),1,IF(AT129&gt;$D129,1,0))</f>
        <v/>
      </c>
      <c r="CU129" s="197">
        <f>IF(AND($D129&gt;0,AU129=""),1,IF(AU129&gt;$D129,1,0))</f>
        <v/>
      </c>
      <c r="CV129" s="197">
        <f>IF(AND($D129&gt;0,AV129=""),1,IF(AV129&gt;$D129,1,0))</f>
        <v/>
      </c>
      <c r="CW129" s="197">
        <f>IF(AND($D129&gt;0,AW129=""),1,IF(AW129&gt;$D129,1,0))</f>
        <v/>
      </c>
      <c r="CX129" s="198" t="n"/>
    </row>
    <row r="130" ht="15" customHeight="1" s="8286">
      <c r="A130" s="10246" t="inlineStr">
        <is>
          <t xml:space="preserve">Terapia farmacológica de lesiones del territorio oral y maxilofacial </t>
        </is>
      </c>
      <c r="B130" s="10208" t="n"/>
      <c r="C130" s="9644" t="n"/>
      <c r="D130" s="1254">
        <f>SUM(E130:F130)</f>
        <v/>
      </c>
      <c r="E130" s="1486">
        <f>SUM(G130+I130+K130+M130+O130+Q130+S130+U130+W130+Y130+AA130+AC130+AE130+AG130+AI130+AK130+AM130)</f>
        <v/>
      </c>
      <c r="F130" s="894">
        <f>SUM(H130+J130+L130+N130+P130+R130+T130+V130+X130+Z130+AB130+AD130+AF130+AH130+AJ130+AL130+AN130)</f>
        <v/>
      </c>
      <c r="G130" s="1242" t="n"/>
      <c r="H130" s="2830" t="n"/>
      <c r="I130" s="1242" t="n"/>
      <c r="J130" s="2832" t="n"/>
      <c r="K130" s="1242" t="n"/>
      <c r="L130" s="2830" t="n"/>
      <c r="M130" s="1242" t="n"/>
      <c r="N130" s="2830" t="n"/>
      <c r="O130" s="1302" t="n"/>
      <c r="P130" s="886" t="n"/>
      <c r="Q130" s="1174" t="n"/>
      <c r="R130" s="886" t="n"/>
      <c r="S130" s="1174" t="n"/>
      <c r="T130" s="2830" t="n"/>
      <c r="U130" s="1302" t="n"/>
      <c r="V130" s="886" t="n"/>
      <c r="W130" s="1174" t="n"/>
      <c r="X130" s="886" t="n"/>
      <c r="Y130" s="1174" t="n"/>
      <c r="Z130" s="886" t="n"/>
      <c r="AA130" s="1174" t="n"/>
      <c r="AB130" s="886" t="n"/>
      <c r="AC130" s="1174" t="n"/>
      <c r="AD130" s="886" t="n"/>
      <c r="AE130" s="1174" t="n"/>
      <c r="AF130" s="886" t="n"/>
      <c r="AG130" s="1174" t="n"/>
      <c r="AH130" s="886" t="n"/>
      <c r="AI130" s="1174" t="n"/>
      <c r="AJ130" s="886" t="n"/>
      <c r="AK130" s="1174" t="n"/>
      <c r="AL130" s="886" t="n"/>
      <c r="AM130" s="1174" t="n"/>
      <c r="AN130" s="1929" t="n"/>
      <c r="AO130" s="887" t="n"/>
      <c r="AP130" s="2831" t="n"/>
      <c r="AQ130" s="2831" t="n"/>
      <c r="AR130" s="2831" t="n"/>
      <c r="AS130" s="2001" t="n"/>
      <c r="AT130" s="885" t="n"/>
      <c r="AU130" s="2495" t="n"/>
      <c r="AV130" s="1100" t="n"/>
      <c r="AW130" s="1174" t="n"/>
      <c r="AX130" s="1948" t="n"/>
      <c r="AY130">
        <f>CA130&amp;CB130&amp;CC130&amp;CD130&amp;CE130&amp;CF130&amp;CG130&amp;CH130&amp;CI130&amp;CJ130</f>
        <v/>
      </c>
      <c r="CA130" s="196">
        <f>IF(AND((W130+X130)&gt;0,AO130="")," * No olvide digitar la variable 12 años (incluido en el grupo de 10-14 años). Digite Cero si no tiene.",IF(AO130&gt;(W130+X130),"* Las Consultas de 12 años (incluido en el grupo de 10-14 años) NO DEBEN ser mayor que el total de Consultas entre 10-14 años",""))</f>
        <v/>
      </c>
      <c r="CB130" s="196">
        <f>IF(AND($F130&gt;0,AP130="")," * No olvide digitar la variable Gestante. Digite cero si no tiene.",IF(AP130&gt;$F130," * La variable Gestante NO DEBEN ser mayor al Total de Mujeres. ",""))</f>
        <v/>
      </c>
      <c r="CC130" s="196">
        <f>IF(AND(D130&gt;0,AQ130="")," * No olvide digitar la variable  Atención bajo sedación inhalatoria (con óxido nitroso). Digite Cero si no tiene.",IF(AQ130&gt;D130," * La variable  Atención bajo sedación inhalatoria (con óxido nitroso) NO DEBE ser mayor que el Total Ambos Sexos",""))</f>
        <v/>
      </c>
      <c r="CD130" s="196">
        <f>IF(AND((AI130+AJ130)&gt;0,AR130="")," * No olvide digitar la variable 60 años (incluido en grupos de 60-64 años). Digite Cero si no tiene.",IF(AR130&gt;(AI130+AJ130)," * La variable 60 años (incluido en grupos de 60-64 años) NO DEBE ser mayor que el Total de consultas del grupo 60-64 años",""))</f>
        <v/>
      </c>
      <c r="CE130" s="196">
        <f>IF(AND($D130&gt;0,AS130="")," * No olvide digitar la variable Compra de Servicios. Digite Cero si no tiene.","")</f>
        <v/>
      </c>
      <c r="CF130" s="196">
        <f>IF(AND($D130&gt;0,AT130="")," * No olvide digitar la Usuarios con Discapacidad. Digite Cero si no tiene.",IF(AT130&gt;$D130," * La variable Usuarios con Discapacidad No puede ser mayor al Total Ambos Sexos.",""))</f>
        <v/>
      </c>
      <c r="CG130" s="196">
        <f>IF(AND($D130&gt;0,AU130="")," * No olvide digitar la variable "&amp;AU$88&amp;". Digite Cero si no tiene.",IF(AU130&gt;$D130," * La variable "&amp;AU$88&amp;" No puede ser mayor al Total Ambos Sexos.",""))</f>
        <v/>
      </c>
      <c r="CH130" s="196">
        <f>IF(AND($D130&gt;0,AV130="")," * No olvide digitar la variable "&amp;AV$88&amp;" Digite Cero si no tiene.",IF(AV130&gt;$D130," * La variable"&amp;AV$88&amp;"no puede ser mayor al Total Ambos Sexos.",""))</f>
        <v/>
      </c>
      <c r="CI130" s="196">
        <f>IF(AND($D130&gt;0,AW130="")," * No olvide digitar la variable Migrantes. Digite Cero si no tiene.",IF(AW130&gt;$D130," * La variable Migrantes no puede ser mayor al Total Ambos Sexos.",""))</f>
        <v/>
      </c>
      <c r="CJ130" s="198" t="n"/>
      <c r="CO130" s="197">
        <f>IF(AND($D130&gt;0,AO130=""),1,IF(AO130&gt;D130,1,0))</f>
        <v/>
      </c>
      <c r="CP130" s="197">
        <f>IF(AND($F130&gt;0,AP130=""),1,IF(AP130&gt;$F130,1,0))</f>
        <v/>
      </c>
      <c r="CQ130" s="197">
        <f>IF(AND($D130&gt;0,AQ130=""),1,IF(AQ130&gt;$D130,1,0))</f>
        <v/>
      </c>
      <c r="CR130" s="197">
        <f>IF(AND(AI130+AJ130&gt;0,AR130=""),1,IF(AR130&gt;AI130+AJ130,1,0))</f>
        <v/>
      </c>
      <c r="CS130" s="197">
        <f>IF(AND($D130&gt;0,AS130=""),1,0)</f>
        <v/>
      </c>
      <c r="CT130" s="197">
        <f>IF(AND($D130&gt;0,AT130=""),1,IF(AT130&gt;$D130,1,0))</f>
        <v/>
      </c>
      <c r="CU130" s="197">
        <f>IF(AND($D130&gt;0,AU130=""),1,IF(AU130&gt;$D130,1,0))</f>
        <v/>
      </c>
      <c r="CV130" s="197">
        <f>IF(AND($D130&gt;0,AV130=""),1,IF(AV130&gt;$D130,1,0))</f>
        <v/>
      </c>
      <c r="CW130" s="197">
        <f>IF(AND($D130&gt;0,AW130=""),1,IF(AW130&gt;$D130,1,0))</f>
        <v/>
      </c>
      <c r="CX130" s="198" t="n"/>
    </row>
    <row r="131" ht="15" customHeight="1" s="8286">
      <c r="A131" s="10246" t="inlineStr">
        <is>
          <t xml:space="preserve">Terapia no farmacológica de lesiones del territorio oral y maxilofacial </t>
        </is>
      </c>
      <c r="B131" s="10208" t="n"/>
      <c r="C131" s="9644" t="n"/>
      <c r="D131" s="1254">
        <f>SUM(E131:F131)</f>
        <v/>
      </c>
      <c r="E131" s="1486">
        <f>SUM(G131+I131+K131+M131+O131+Q131+S131+U131+W131+Y131+AA131+AC131+AE131+AG131+AI131+AK131+AM131)</f>
        <v/>
      </c>
      <c r="F131" s="894">
        <f>SUM(H131+J131+L131+N131+P131+R131+T131+V131+X131+Z131+AB131+AD131+AF131+AH131+AJ131+AL131+AN131)</f>
        <v/>
      </c>
      <c r="G131" s="1242" t="n"/>
      <c r="H131" s="2830" t="n"/>
      <c r="I131" s="1242" t="n"/>
      <c r="J131" s="2832" t="n"/>
      <c r="K131" s="1242" t="n"/>
      <c r="L131" s="2830" t="n"/>
      <c r="M131" s="1242" t="n"/>
      <c r="N131" s="2830" t="n"/>
      <c r="O131" s="1302" t="n"/>
      <c r="P131" s="886" t="n"/>
      <c r="Q131" s="1174" t="n"/>
      <c r="R131" s="886" t="n"/>
      <c r="S131" s="1174" t="n"/>
      <c r="T131" s="2830" t="n"/>
      <c r="U131" s="1302" t="n"/>
      <c r="V131" s="886" t="n"/>
      <c r="W131" s="1174" t="n"/>
      <c r="X131" s="886" t="n"/>
      <c r="Y131" s="1174" t="n"/>
      <c r="Z131" s="886" t="n"/>
      <c r="AA131" s="1174" t="n"/>
      <c r="AB131" s="886" t="n"/>
      <c r="AC131" s="1174" t="n"/>
      <c r="AD131" s="886" t="n"/>
      <c r="AE131" s="1174" t="n"/>
      <c r="AF131" s="886" t="n"/>
      <c r="AG131" s="1174" t="n"/>
      <c r="AH131" s="886" t="n"/>
      <c r="AI131" s="1174" t="n"/>
      <c r="AJ131" s="886" t="n"/>
      <c r="AK131" s="1174" t="n"/>
      <c r="AL131" s="886" t="n"/>
      <c r="AM131" s="1174" t="n"/>
      <c r="AN131" s="1929" t="n"/>
      <c r="AO131" s="887" t="n"/>
      <c r="AP131" s="2831" t="n"/>
      <c r="AQ131" s="2831" t="n"/>
      <c r="AR131" s="2831" t="n"/>
      <c r="AS131" s="2001" t="n"/>
      <c r="AT131" s="885" t="n"/>
      <c r="AU131" s="2495" t="n"/>
      <c r="AV131" s="1100" t="n"/>
      <c r="AW131" s="1174" t="n"/>
      <c r="AX131" s="1948" t="n"/>
      <c r="AY131">
        <f>CA131&amp;CB131&amp;CC131&amp;CD131&amp;CE131&amp;CF131&amp;CG131&amp;CH131&amp;CI131&amp;CJ131</f>
        <v/>
      </c>
      <c r="CA131" s="196">
        <f>IF(AND((W131+X131)&gt;0,AO131="")," * No olvide digitar la variable 12 años (incluido en el grupo de 10-14 años). Digite Cero si no tiene.",IF(AO131&gt;(W131+X131),"* Las Consultas de 12 años (incluido en el grupo de 10-14 años) NO DEBEN ser mayor que el total de Consultas entre 10-14 años",""))</f>
        <v/>
      </c>
      <c r="CB131" s="196">
        <f>IF(AND($F131&gt;0,AP131="")," * No olvide digitar la variable Gestante. Digite cero si no tiene.",IF(AP131&gt;$F131," * La variable Gestante NO DEBEN ser mayor al Total de Mujeres. ",""))</f>
        <v/>
      </c>
      <c r="CC131" s="196">
        <f>IF(AND(D131&gt;0,AQ131="")," * No olvide digitar la variable  Atención bajo sedación inhalatoria (con óxido nitroso). Digite Cero si no tiene.",IF(AQ131&gt;D131," * La variable  Atención bajo sedación inhalatoria (con óxido nitroso) NO DEBE ser mayor que el Total Ambos Sexos",""))</f>
        <v/>
      </c>
      <c r="CD131" s="196">
        <f>IF(AND((AI131+AJ131)&gt;0,AR131="")," * No olvide digitar la variable 60 años (incluido en grupos de 60-64 años). Digite Cero si no tiene.",IF(AR131&gt;(AI131+AJ131)," * La variable 60 años (incluido en grupos de 60-64 años) NO DEBE ser mayor que el Total de consultas del grupo 60-64 años",""))</f>
        <v/>
      </c>
      <c r="CE131" s="196">
        <f>IF(AND($D131&gt;0,AS131="")," * No olvide digitar la variable Compra de Servicios. Digite Cero si no tiene.","")</f>
        <v/>
      </c>
      <c r="CF131" s="196">
        <f>IF(AND($D131&gt;0,AT131="")," * No olvide digitar la Usuarios con Discapacidad. Digite Cero si no tiene.",IF(AT131&gt;$D131," * La variable Usuarios con Discapacidad No puede ser mayor al Total Ambos Sexos.",""))</f>
        <v/>
      </c>
      <c r="CG131" s="196">
        <f>IF(AND($D131&gt;0,AU131="")," * No olvide digitar la variable "&amp;AU$88&amp;". Digite Cero si no tiene.",IF(AU131&gt;$D131," * La variable "&amp;AU$88&amp;" No puede ser mayor al Total Ambos Sexos.",""))</f>
        <v/>
      </c>
      <c r="CH131" s="196">
        <f>IF(AND($D131&gt;0,AV131="")," * No olvide digitar la variable "&amp;AV$88&amp;" Digite Cero si no tiene.",IF(AV131&gt;$D131," * La variable"&amp;AV$88&amp;"no puede ser mayor al Total Ambos Sexos.",""))</f>
        <v/>
      </c>
      <c r="CI131" s="196">
        <f>IF(AND($D131&gt;0,AW131="")," * No olvide digitar la variable Migrantes. Digite Cero si no tiene.",IF(AW131&gt;$D131," * La variable Migrantes no puede ser mayor al Total Ambos Sexos.",""))</f>
        <v/>
      </c>
      <c r="CJ131" s="198" t="n"/>
      <c r="CO131" s="197">
        <f>IF(AND($D131&gt;0,AO131=""),1,IF(AO131&gt;D131,1,0))</f>
        <v/>
      </c>
      <c r="CP131" s="197">
        <f>IF(AND($F131&gt;0,AP131=""),1,IF(AP131&gt;$F131,1,0))</f>
        <v/>
      </c>
      <c r="CQ131" s="197">
        <f>IF(AND($D131&gt;0,AQ131=""),1,IF(AQ131&gt;$D131,1,0))</f>
        <v/>
      </c>
      <c r="CR131" s="197">
        <f>IF(AND(AI131+AJ131&gt;0,AR131=""),1,IF(AR131&gt;AI131+AJ131,1,0))</f>
        <v/>
      </c>
      <c r="CS131" s="197">
        <f>IF(AND($D131&gt;0,AS131=""),1,0)</f>
        <v/>
      </c>
      <c r="CT131" s="197">
        <f>IF(AND($D131&gt;0,AT131=""),1,IF(AT131&gt;$D131,1,0))</f>
        <v/>
      </c>
      <c r="CU131" s="197">
        <f>IF(AND($D131&gt;0,AU131=""),1,IF(AU131&gt;$D131,1,0))</f>
        <v/>
      </c>
      <c r="CV131" s="197">
        <f>IF(AND($D131&gt;0,AV131=""),1,IF(AV131&gt;$D131,1,0))</f>
        <v/>
      </c>
      <c r="CW131" s="197">
        <f>IF(AND($D131&gt;0,AW131=""),1,IF(AW131&gt;$D131,1,0))</f>
        <v/>
      </c>
      <c r="CX131" s="198" t="n"/>
    </row>
    <row r="132" ht="15" customHeight="1" s="8286">
      <c r="A132" s="10246" t="inlineStr">
        <is>
          <t xml:space="preserve">Estudio clínico lesiones del territorio oral maxilofacial </t>
        </is>
      </c>
      <c r="B132" s="10208" t="n"/>
      <c r="C132" s="9644" t="n"/>
      <c r="D132" s="1254">
        <f>SUM(E132:F132)</f>
        <v/>
      </c>
      <c r="E132" s="1486">
        <f>SUM(G132+I132+K132+M132+O132+Q132+S132+U132+W132+Y132+AA132+AC132+AE132+AG132+AI132+AK132+AM132)</f>
        <v/>
      </c>
      <c r="F132" s="894">
        <f>SUM(H132+J132+L132+N132+P132+R132+T132+V132+X132+Z132+AB132+AD132+AF132+AH132+AJ132+AL132+AN132)</f>
        <v/>
      </c>
      <c r="G132" s="1242" t="n"/>
      <c r="H132" s="2830" t="n"/>
      <c r="I132" s="1242" t="n"/>
      <c r="J132" s="2832" t="n"/>
      <c r="K132" s="1242" t="n"/>
      <c r="L132" s="2830" t="n"/>
      <c r="M132" s="1242" t="n"/>
      <c r="N132" s="2830" t="n"/>
      <c r="O132" s="1302" t="n"/>
      <c r="P132" s="886" t="n"/>
      <c r="Q132" s="1174" t="n"/>
      <c r="R132" s="886" t="n"/>
      <c r="S132" s="1174" t="n"/>
      <c r="T132" s="2830" t="n"/>
      <c r="U132" s="1302" t="n"/>
      <c r="V132" s="886" t="n"/>
      <c r="W132" s="1174" t="n"/>
      <c r="X132" s="886" t="n"/>
      <c r="Y132" s="1174" t="n"/>
      <c r="Z132" s="886" t="n"/>
      <c r="AA132" s="1174" t="n"/>
      <c r="AB132" s="886" t="n"/>
      <c r="AC132" s="1174" t="n"/>
      <c r="AD132" s="886" t="n"/>
      <c r="AE132" s="1174" t="n"/>
      <c r="AF132" s="886" t="n"/>
      <c r="AG132" s="1174" t="n"/>
      <c r="AH132" s="886" t="n"/>
      <c r="AI132" s="1174" t="n"/>
      <c r="AJ132" s="886" t="n"/>
      <c r="AK132" s="1174" t="n"/>
      <c r="AL132" s="886" t="n"/>
      <c r="AM132" s="1174" t="n"/>
      <c r="AN132" s="1929" t="n"/>
      <c r="AO132" s="887" t="n"/>
      <c r="AP132" s="2831" t="n"/>
      <c r="AQ132" s="2831" t="n"/>
      <c r="AR132" s="2831" t="n"/>
      <c r="AS132" s="2001" t="n"/>
      <c r="AT132" s="885" t="n"/>
      <c r="AU132" s="2495" t="n"/>
      <c r="AV132" s="1100" t="n"/>
      <c r="AW132" s="1174" t="n"/>
      <c r="AX132" s="1948" t="n"/>
      <c r="AY132">
        <f>CA132&amp;CB132&amp;CC132&amp;CD132&amp;CE132&amp;CF132&amp;CG132&amp;CH132&amp;CI132&amp;CJ132</f>
        <v/>
      </c>
      <c r="CA132" s="196">
        <f>IF(AND((W132+X132)&gt;0,AO132="")," * No olvide digitar la variable 12 años (incluido en el grupo de 10-14 años). Digite Cero si no tiene.",IF(AO132&gt;(W132+X132),"* Las Consultas de 12 años (incluido en el grupo de 10-14 años) NO DEBEN ser mayor que el total de Consultas entre 10-14 años",""))</f>
        <v/>
      </c>
      <c r="CB132" s="196">
        <f>IF(AND($F132&gt;0,AP132="")," * No olvide digitar la variable Gestante. Digite cero si no tiene.",IF(AP132&gt;$F132," * La variable Gestante NO DEBEN ser mayor al Total de Mujeres. ",""))</f>
        <v/>
      </c>
      <c r="CC132" s="196">
        <f>IF(AND(D132&gt;0,AQ132="")," * No olvide digitar la variable  Atención bajo sedación inhalatoria (con óxido nitroso). Digite Cero si no tiene.",IF(AQ132&gt;D132," * La variable  Atención bajo sedación inhalatoria (con óxido nitroso) NO DEBE ser mayor que el Total Ambos Sexos",""))</f>
        <v/>
      </c>
      <c r="CD132" s="196">
        <f>IF(AND((AI132+AJ132)&gt;0,AR132="")," * No olvide digitar la variable 60 años (incluido en grupos de 60-64 años). Digite Cero si no tiene.",IF(AR132&gt;(AI132+AJ132)," * La variable 60 años (incluido en grupos de 60-64 años) NO DEBE ser mayor que el Total de consultas del grupo 60-64 años",""))</f>
        <v/>
      </c>
      <c r="CE132" s="196">
        <f>IF(AND($D132&gt;0,AS132="")," * No olvide digitar la variable Compra de Servicios. Digite Cero si no tiene.","")</f>
        <v/>
      </c>
      <c r="CF132" s="196">
        <f>IF(AND($D132&gt;0,AT132="")," * No olvide digitar la Usuarios con Discapacidad. Digite Cero si no tiene.",IF(AT132&gt;$D132," * La variable Usuarios con Discapacidad No puede ser mayor al Total Ambos Sexos.",""))</f>
        <v/>
      </c>
      <c r="CG132" s="196">
        <f>IF(AND($D132&gt;0,AU132="")," * No olvide digitar la variable "&amp;AU$88&amp;". Digite Cero si no tiene.",IF(AU132&gt;$D132," * La variable "&amp;AU$88&amp;" No puede ser mayor al Total Ambos Sexos.",""))</f>
        <v/>
      </c>
      <c r="CH132" s="196">
        <f>IF(AND($D132&gt;0,AV132="")," * No olvide digitar la variable "&amp;AV$88&amp;" Digite Cero si no tiene.",IF(AV132&gt;$D132," * La variable"&amp;AV$88&amp;"no puede ser mayor al Total Ambos Sexos.",""))</f>
        <v/>
      </c>
      <c r="CI132" s="196">
        <f>IF(AND($D132&gt;0,AW132="")," * No olvide digitar la variable Migrantes. Digite Cero si no tiene.",IF(AW132&gt;$D132," * La variable Migrantes no puede ser mayor al Total Ambos Sexos.",""))</f>
        <v/>
      </c>
      <c r="CJ132" s="198" t="n"/>
      <c r="CO132" s="197">
        <f>IF(AND($D132&gt;0,AO132=""),1,IF(AO132&gt;D132,1,0))</f>
        <v/>
      </c>
      <c r="CP132" s="197">
        <f>IF(AND($F132&gt;0,AP132=""),1,IF(AP132&gt;$F132,1,0))</f>
        <v/>
      </c>
      <c r="CQ132" s="197">
        <f>IF(AND($D132&gt;0,AQ132=""),1,IF(AQ132&gt;$D132,1,0))</f>
        <v/>
      </c>
      <c r="CR132" s="197">
        <f>IF(AND(AI132+AJ132&gt;0,AR132=""),1,IF(AR132&gt;AI132+AJ132,1,0))</f>
        <v/>
      </c>
      <c r="CS132" s="197">
        <f>IF(AND($D132&gt;0,AS132=""),1,0)</f>
        <v/>
      </c>
      <c r="CT132" s="197">
        <f>IF(AND($D132&gt;0,AT132=""),1,IF(AT132&gt;$D132,1,0))</f>
        <v/>
      </c>
      <c r="CU132" s="197">
        <f>IF(AND($D132&gt;0,AU132=""),1,IF(AU132&gt;$D132,1,0))</f>
        <v/>
      </c>
      <c r="CV132" s="197">
        <f>IF(AND($D132&gt;0,AV132=""),1,IF(AV132&gt;$D132,1,0))</f>
        <v/>
      </c>
      <c r="CW132" s="197">
        <f>IF(AND($D132&gt;0,AW132=""),1,IF(AW132&gt;$D132,1,0))</f>
        <v/>
      </c>
      <c r="CX132" s="198" t="n"/>
    </row>
    <row r="133" ht="15" customHeight="1" s="8286">
      <c r="A133" s="10246" t="inlineStr">
        <is>
          <t>Terapia física en trastornos temporomandibulares (TTM) y dolor orofacial (DOF)</t>
        </is>
      </c>
      <c r="B133" s="10208" t="n"/>
      <c r="C133" s="9644" t="n"/>
      <c r="D133" s="1254">
        <f>SUM(E133:F133)</f>
        <v/>
      </c>
      <c r="E133" s="1486">
        <f>SUM(G133+I133+K133+M133+O133+Q133+S133+U133+W133+Y133+AA133+AC133+AE133+AG133+AI133+AK133+AM133)</f>
        <v/>
      </c>
      <c r="F133" s="894">
        <f>SUM(H133+J133+L133+N133+P133+R133+T133+V133+X133+Z133+AB133+AD133+AF133+AH133+AJ133+AL133+AN133)</f>
        <v/>
      </c>
      <c r="G133" s="1172" t="n"/>
      <c r="H133" s="886" t="n"/>
      <c r="I133" s="1172" t="n"/>
      <c r="J133" s="885" t="n"/>
      <c r="K133" s="1172" t="n"/>
      <c r="L133" s="886" t="n"/>
      <c r="M133" s="1172" t="n"/>
      <c r="N133" s="886" t="n"/>
      <c r="O133" s="1174" t="n"/>
      <c r="P133" s="886" t="n"/>
      <c r="Q133" s="1174" t="n"/>
      <c r="R133" s="886" t="n"/>
      <c r="S133" s="1174" t="n"/>
      <c r="T133" s="886" t="n"/>
      <c r="U133" s="1174" t="n"/>
      <c r="V133" s="886" t="n"/>
      <c r="W133" s="1174" t="n"/>
      <c r="X133" s="886" t="n"/>
      <c r="Y133" s="1174" t="n"/>
      <c r="Z133" s="886" t="n"/>
      <c r="AA133" s="1174" t="n"/>
      <c r="AB133" s="886" t="n"/>
      <c r="AC133" s="1174" t="n"/>
      <c r="AD133" s="886" t="n"/>
      <c r="AE133" s="1174" t="n"/>
      <c r="AF133" s="886" t="n"/>
      <c r="AG133" s="1174" t="n"/>
      <c r="AH133" s="886" t="n"/>
      <c r="AI133" s="1174" t="n"/>
      <c r="AJ133" s="886" t="n"/>
      <c r="AK133" s="1174" t="n"/>
      <c r="AL133" s="886" t="n"/>
      <c r="AM133" s="1174" t="n"/>
      <c r="AN133" s="1929" t="n"/>
      <c r="AO133" s="887" t="n"/>
      <c r="AP133" s="2001" t="n"/>
      <c r="AQ133" s="2001" t="n"/>
      <c r="AR133" s="2001" t="n"/>
      <c r="AS133" s="2001" t="n"/>
      <c r="AT133" s="885" t="n"/>
      <c r="AU133" s="2495" t="n"/>
      <c r="AV133" s="1100" t="n"/>
      <c r="AW133" s="1174" t="n"/>
      <c r="AX133" s="1948" t="n"/>
      <c r="AY133">
        <f>CA133&amp;CB133&amp;CC133&amp;CD133&amp;CE133&amp;CF133&amp;CG133&amp;CH133&amp;CI133&amp;CJ133</f>
        <v/>
      </c>
      <c r="CA133" s="196">
        <f>IF(AND((W133+X133)&gt;0,AO133="")," * No olvide digitar la variable 12 años (incluido en el grupo de 10-14 años). Digite Cero si no tiene.",IF(AO133&gt;(W133+X133),"* Las Consultas de 12 años (incluido en el grupo de 10-14 años) NO DEBEN ser mayor que el total de Consultas entre 10-14 años",""))</f>
        <v/>
      </c>
      <c r="CB133" s="196">
        <f>IF(AND($F133&gt;0,AP133="")," * No olvide digitar la variable Gestante. Digite cero si no tiene.",IF(AP133&gt;$F133," * La variable Gestante NO DEBEN ser mayor al Total de Mujeres. ",""))</f>
        <v/>
      </c>
      <c r="CC133" s="196">
        <f>IF(AND(D133&gt;0,AQ133="")," * No olvide digitar la variable  Atención bajo sedación inhalatoria (con óxido nitroso). Digite Cero si no tiene.",IF(AQ133&gt;D133," * La variable  Atención bajo sedación inhalatoria (con óxido nitroso) NO DEBE ser mayor que el Total Ambos Sexos",""))</f>
        <v/>
      </c>
      <c r="CD133" s="196">
        <f>IF(AND((AI133+AJ133)&gt;0,AR133="")," * No olvide digitar la variable 60 años (incluido en grupos de 60-64 años). Digite Cero si no tiene.",IF(AR133&gt;(AI133+AJ133)," * La variable 60 años (incluido en grupos de 60-64 años) NO DEBE ser mayor que el Total de consultas del grupo 60-64 años",""))</f>
        <v/>
      </c>
      <c r="CE133" s="196">
        <f>IF(AND($D133&gt;0,AS133="")," * No olvide digitar la variable Compra de Servicios. Digite Cero si no tiene.","")</f>
        <v/>
      </c>
      <c r="CF133" s="196">
        <f>IF(AND($D133&gt;0,AT133="")," * No olvide digitar la Usuarios con Discapacidad. Digite Cero si no tiene.",IF(AT133&gt;$D133," * La variable Usuarios con Discapacidad No puede ser mayor al Total Ambos Sexos.",""))</f>
        <v/>
      </c>
      <c r="CG133" s="196">
        <f>IF(AND($D133&gt;0,AU133="")," * No olvide digitar la variable "&amp;AU$88&amp;". Digite Cero si no tiene.",IF(AU133&gt;$D133," * La variable "&amp;AU$88&amp;" No puede ser mayor al Total Ambos Sexos.",""))</f>
        <v/>
      </c>
      <c r="CH133" s="196">
        <f>IF(AND($D133&gt;0,AV133="")," * No olvide digitar la variable "&amp;AV$88&amp;" Digite Cero si no tiene.",IF(AV133&gt;$D133," * La variable"&amp;AV$88&amp;"no puede ser mayor al Total Ambos Sexos.",""))</f>
        <v/>
      </c>
      <c r="CI133" s="196">
        <f>IF(AND($D133&gt;0,AW133="")," * No olvide digitar la variable Migrantes. Digite Cero si no tiene.",IF(AW133&gt;$D133," * La variable Migrantes no puede ser mayor al Total Ambos Sexos.",""))</f>
        <v/>
      </c>
      <c r="CJ133" s="198" t="n"/>
      <c r="CO133" s="197">
        <f>IF(AND($D133&gt;0,AO133=""),1,IF(AO133&gt;D133,1,0))</f>
        <v/>
      </c>
      <c r="CP133" s="197">
        <f>IF(AND($F133&gt;0,AP133=""),1,IF(AP133&gt;$F133,1,0))</f>
        <v/>
      </c>
      <c r="CQ133" s="197">
        <f>IF(AND($D133&gt;0,AQ133=""),1,IF(AQ133&gt;$D133,1,0))</f>
        <v/>
      </c>
      <c r="CR133" s="197">
        <f>IF(AND(AI133+AJ133&gt;0,AR133=""),1,IF(AR133&gt;AI133+AJ133,1,0))</f>
        <v/>
      </c>
      <c r="CS133" s="197">
        <f>IF(AND($D133&gt;0,AS133=""),1,0)</f>
        <v/>
      </c>
      <c r="CT133" s="197">
        <f>IF(AND($D133&gt;0,AT133=""),1,IF(AT133&gt;$D133,1,0))</f>
        <v/>
      </c>
      <c r="CU133" s="197">
        <f>IF(AND($D133&gt;0,AU133=""),1,IF(AU133&gt;$D133,1,0))</f>
        <v/>
      </c>
      <c r="CV133" s="197">
        <f>IF(AND($D133&gt;0,AV133=""),1,IF(AV133&gt;$D133,1,0))</f>
        <v/>
      </c>
      <c r="CW133" s="197">
        <f>IF(AND($D133&gt;0,AW133=""),1,IF(AW133&gt;$D133,1,0))</f>
        <v/>
      </c>
      <c r="CX133" s="198" t="n"/>
    </row>
    <row r="134" ht="15" customHeight="1" s="8286">
      <c r="A134" s="10246" t="inlineStr">
        <is>
          <t>Infiltración en articulación temporo mandibular (ATM)</t>
        </is>
      </c>
      <c r="B134" s="10208" t="n"/>
      <c r="C134" s="9644" t="n"/>
      <c r="D134" s="1254">
        <f>SUM(E134:F134)</f>
        <v/>
      </c>
      <c r="E134" s="1486">
        <f>SUM(G134+I134+K134+M134+O134+Q134+S134+U134+W134+Y134+AA134+AC134+AE134+AG134+AI134+AK134+AM134)</f>
        <v/>
      </c>
      <c r="F134" s="894">
        <f>SUM(H134+J134+L134+N134+P134+R134+T134+V134+X134+Z134+AB134+AD134+AF134+AH134+AJ134+AL134+AN134)</f>
        <v/>
      </c>
      <c r="G134" s="1172" t="n"/>
      <c r="H134" s="886" t="n"/>
      <c r="I134" s="1172" t="n"/>
      <c r="J134" s="885" t="n"/>
      <c r="K134" s="1172" t="n"/>
      <c r="L134" s="886" t="n"/>
      <c r="M134" s="1172" t="n"/>
      <c r="N134" s="886" t="n"/>
      <c r="O134" s="1174" t="n"/>
      <c r="P134" s="886" t="n"/>
      <c r="Q134" s="1174" t="n"/>
      <c r="R134" s="886" t="n"/>
      <c r="S134" s="1174" t="n"/>
      <c r="T134" s="886" t="n"/>
      <c r="U134" s="1174" t="n"/>
      <c r="V134" s="886" t="n"/>
      <c r="W134" s="1174" t="n"/>
      <c r="X134" s="886" t="n"/>
      <c r="Y134" s="1174" t="n"/>
      <c r="Z134" s="886" t="n"/>
      <c r="AA134" s="1174" t="n"/>
      <c r="AB134" s="886" t="n"/>
      <c r="AC134" s="1174" t="n"/>
      <c r="AD134" s="886" t="n"/>
      <c r="AE134" s="1174" t="n"/>
      <c r="AF134" s="886" t="n"/>
      <c r="AG134" s="1174" t="n"/>
      <c r="AH134" s="886" t="n"/>
      <c r="AI134" s="1174" t="n"/>
      <c r="AJ134" s="886" t="n"/>
      <c r="AK134" s="1174" t="n"/>
      <c r="AL134" s="886" t="n"/>
      <c r="AM134" s="1174" t="n"/>
      <c r="AN134" s="1929" t="n"/>
      <c r="AO134" s="887" t="n"/>
      <c r="AP134" s="2001" t="n"/>
      <c r="AQ134" s="2001" t="n"/>
      <c r="AR134" s="2001" t="n"/>
      <c r="AS134" s="2001" t="n"/>
      <c r="AT134" s="885" t="n"/>
      <c r="AU134" s="2495" t="n"/>
      <c r="AV134" s="1100" t="n"/>
      <c r="AW134" s="1174" t="n"/>
      <c r="AX134" s="1948" t="n"/>
      <c r="AY134">
        <f>CA134&amp;CB134&amp;CC134&amp;CD134&amp;CE134&amp;CF134&amp;CG134&amp;CH134&amp;CI134&amp;CJ134</f>
        <v/>
      </c>
      <c r="CA134" s="196">
        <f>IF(AND((W134+X134)&gt;0,AO134="")," * No olvide digitar la variable 12 años (incluido en el grupo de 10-14 años). Digite Cero si no tiene.",IF(AO134&gt;(W134+X134),"* Las Consultas de 12 años (incluido en el grupo de 10-14 años) NO DEBEN ser mayor que el total de Consultas entre 10-14 años",""))</f>
        <v/>
      </c>
      <c r="CB134" s="196">
        <f>IF(AND($F134&gt;0,AP134="")," * No olvide digitar la variable Gestante. Digite cero si no tiene.",IF(AP134&gt;$F134," * La variable Gestante NO DEBEN ser mayor al Total de Mujeres. ",""))</f>
        <v/>
      </c>
      <c r="CC134" s="196">
        <f>IF(AND(D134&gt;0,AQ134="")," * No olvide digitar la variable  Atención bajo sedación inhalatoria (con óxido nitroso). Digite Cero si no tiene.",IF(AQ134&gt;D134," * La variable  Atención bajo sedación inhalatoria (con óxido nitroso) NO DEBE ser mayor que el Total Ambos Sexos",""))</f>
        <v/>
      </c>
      <c r="CD134" s="196">
        <f>IF(AND((AI134+AJ134)&gt;0,AR134="")," * No olvide digitar la variable 60 años (incluido en grupos de 60-64 años). Digite Cero si no tiene.",IF(AR134&gt;(AI134+AJ134)," * La variable 60 años (incluido en grupos de 60-64 años) NO DEBE ser mayor que el Total de consultas del grupo 60-64 años",""))</f>
        <v/>
      </c>
      <c r="CE134" s="196">
        <f>IF(AND($D134&gt;0,AS134="")," * No olvide digitar la variable Compra de Servicios. Digite Cero si no tiene.","")</f>
        <v/>
      </c>
      <c r="CF134" s="196">
        <f>IF(AND($D134&gt;0,AT134="")," * No olvide digitar la Usuarios con Discapacidad. Digite Cero si no tiene.",IF(AT134&gt;$D134," * La variable Usuarios con Discapacidad No puede ser mayor al Total Ambos Sexos.",""))</f>
        <v/>
      </c>
      <c r="CG134" s="196">
        <f>IF(AND($D134&gt;0,AU134="")," * No olvide digitar la variable "&amp;AU$88&amp;". Digite Cero si no tiene.",IF(AU134&gt;$D134," * La variable "&amp;AU$88&amp;" No puede ser mayor al Total Ambos Sexos.",""))</f>
        <v/>
      </c>
      <c r="CH134" s="196">
        <f>IF(AND($D134&gt;0,AV134="")," * No olvide digitar la variable "&amp;AV$88&amp;" Digite Cero si no tiene.",IF(AV134&gt;$D134," * La variable"&amp;AV$88&amp;"no puede ser mayor al Total Ambos Sexos.",""))</f>
        <v/>
      </c>
      <c r="CI134" s="196">
        <f>IF(AND($D134&gt;0,AW134="")," * No olvide digitar la variable Migrantes. Digite Cero si no tiene.",IF(AW134&gt;$D134," * La variable Migrantes no puede ser mayor al Total Ambos Sexos.",""))</f>
        <v/>
      </c>
      <c r="CJ134" s="198" t="n"/>
      <c r="CO134" s="197">
        <f>IF(AND($D134&gt;0,AO134=""),1,IF(AO134&gt;D134,1,0))</f>
        <v/>
      </c>
      <c r="CP134" s="197">
        <f>IF(AND($F134&gt;0,AP134=""),1,IF(AP134&gt;$F134,1,0))</f>
        <v/>
      </c>
      <c r="CQ134" s="197">
        <f>IF(AND($D134&gt;0,AQ134=""),1,IF(AQ134&gt;$D134,1,0))</f>
        <v/>
      </c>
      <c r="CR134" s="197">
        <f>IF(AND(AI134+AJ134&gt;0,AR134=""),1,IF(AR134&gt;AI134+AJ134,1,0))</f>
        <v/>
      </c>
      <c r="CS134" s="197">
        <f>IF(AND($D134&gt;0,AS134=""),1,0)</f>
        <v/>
      </c>
      <c r="CT134" s="197">
        <f>IF(AND($D134&gt;0,AT134=""),1,IF(AT134&gt;$D134,1,0))</f>
        <v/>
      </c>
      <c r="CU134" s="197">
        <f>IF(AND($D134&gt;0,AU134=""),1,IF(AU134&gt;$D134,1,0))</f>
        <v/>
      </c>
      <c r="CV134" s="197">
        <f>IF(AND($D134&gt;0,AV134=""),1,IF(AV134&gt;$D134,1,0))</f>
        <v/>
      </c>
      <c r="CW134" s="197">
        <f>IF(AND($D134&gt;0,AW134=""),1,IF(AW134&gt;$D134,1,0))</f>
        <v/>
      </c>
      <c r="CX134" s="198" t="n"/>
    </row>
    <row r="135" ht="15" customHeight="1" s="8286">
      <c r="A135" s="10246" t="inlineStr">
        <is>
          <t>Bloqueo anestésico y/o medicamentoso en TTM y DOF</t>
        </is>
      </c>
      <c r="B135" s="10208" t="n"/>
      <c r="C135" s="9644" t="n"/>
      <c r="D135" s="1254">
        <f>SUM(E135:F135)</f>
        <v/>
      </c>
      <c r="E135" s="1486">
        <f>SUM(G135+I135+K135+M135+O135+Q135+S135+U135+W135+Y135+AA135+AC135+AE135+AG135+AI135+AK135+AM135)</f>
        <v/>
      </c>
      <c r="F135" s="894">
        <f>SUM(H135+J135+L135+N135+P135+R135+T135+V135+X135+Z135+AB135+AD135+AF135+AH135+AJ135+AL135+AN135)</f>
        <v/>
      </c>
      <c r="G135" s="1179" t="n"/>
      <c r="H135" s="1183" t="n"/>
      <c r="I135" s="1179" t="n"/>
      <c r="J135" s="1182" t="n"/>
      <c r="K135" s="1179" t="n"/>
      <c r="L135" s="886" t="n"/>
      <c r="M135" s="1172" t="n"/>
      <c r="N135" s="886" t="n"/>
      <c r="O135" s="1174" t="n"/>
      <c r="P135" s="886" t="n"/>
      <c r="Q135" s="1174" t="n"/>
      <c r="R135" s="886" t="n"/>
      <c r="S135" s="1174" t="n"/>
      <c r="T135" s="886" t="n"/>
      <c r="U135" s="1174" t="n"/>
      <c r="V135" s="886" t="n"/>
      <c r="W135" s="1174" t="n"/>
      <c r="X135" s="886" t="n"/>
      <c r="Y135" s="1174" t="n"/>
      <c r="Z135" s="886" t="n"/>
      <c r="AA135" s="1174" t="n"/>
      <c r="AB135" s="886" t="n"/>
      <c r="AC135" s="1174" t="n"/>
      <c r="AD135" s="886" t="n"/>
      <c r="AE135" s="1174" t="n"/>
      <c r="AF135" s="886" t="n"/>
      <c r="AG135" s="1174" t="n"/>
      <c r="AH135" s="886" t="n"/>
      <c r="AI135" s="1174" t="n"/>
      <c r="AJ135" s="886" t="n"/>
      <c r="AK135" s="1174" t="n"/>
      <c r="AL135" s="886" t="n"/>
      <c r="AM135" s="1174" t="n"/>
      <c r="AN135" s="1929" t="n"/>
      <c r="AO135" s="887" t="n"/>
      <c r="AP135" s="1228" t="n"/>
      <c r="AQ135" s="2001" t="n"/>
      <c r="AR135" s="2001" t="n"/>
      <c r="AS135" s="1228" t="n"/>
      <c r="AT135" s="885" t="n"/>
      <c r="AU135" s="2495" t="n"/>
      <c r="AV135" s="1100" t="n"/>
      <c r="AW135" s="1174" t="n"/>
      <c r="AX135" s="1948" t="n"/>
      <c r="AY135">
        <f>CA135&amp;CB135&amp;CC135&amp;CD135&amp;CE135&amp;CF135&amp;CG135&amp;CH135&amp;CI135&amp;CJ135</f>
        <v/>
      </c>
      <c r="CA135" s="196">
        <f>IF(AND((W135+X135)&gt;0,AO135="")," * No olvide digitar la variable 12 años (incluido en el grupo de 10-14 años). Digite Cero si no tiene.",IF(AO135&gt;(W135+X135),"* Las Consultas de 12 años (incluido en el grupo de 10-14 años) NO DEBEN ser mayor que el total de Consultas entre 10-14 años",""))</f>
        <v/>
      </c>
      <c r="CB135" s="196">
        <f>IF(AND($F135&gt;0,AP135="")," * No olvide digitar la variable Gestante. Digite cero si no tiene.",IF(AP135&gt;$F135," * La variable Gestante NO DEBEN ser mayor al Total de Mujeres. ",""))</f>
        <v/>
      </c>
      <c r="CC135" s="196">
        <f>IF(AND(D135&gt;0,AQ135="")," * No olvide digitar la variable  Atención bajo sedación inhalatoria (con óxido nitroso). Digite Cero si no tiene.",IF(AQ135&gt;D135," * La variable  Atención bajo sedación inhalatoria (con óxido nitroso) NO DEBE ser mayor que el Total Ambos Sexos",""))</f>
        <v/>
      </c>
      <c r="CD135" s="196">
        <f>IF(AND((AI135+AJ135)&gt;0,AR135="")," * No olvide digitar la variable 60 años (incluido en grupos de 60-64 años). Digite Cero si no tiene.",IF(AR135&gt;(AI135+AJ135)," * La variable 60 años (incluido en grupos de 60-64 años) NO DEBE ser mayor que el Total de consultas del grupo 60-64 años",""))</f>
        <v/>
      </c>
      <c r="CE135" s="196">
        <f>IF(AND($D135&gt;0,AS135="")," * No olvide digitar la variable Compra de Servicios. Digite Cero si no tiene.","")</f>
        <v/>
      </c>
      <c r="CF135" s="196">
        <f>IF(AND($D135&gt;0,AT135="")," * No olvide digitar la Usuarios con Discapacidad. Digite Cero si no tiene.",IF(AT135&gt;$D135," * La variable Usuarios con Discapacidad No puede ser mayor al Total Ambos Sexos.",""))</f>
        <v/>
      </c>
      <c r="CG135" s="196">
        <f>IF(AND($D135&gt;0,AU135="")," * No olvide digitar la variable "&amp;AU$88&amp;". Digite Cero si no tiene.",IF(AU135&gt;$D135," * La variable "&amp;AU$88&amp;" No puede ser mayor al Total Ambos Sexos.",""))</f>
        <v/>
      </c>
      <c r="CH135" s="196">
        <f>IF(AND($D135&gt;0,AV135="")," * No olvide digitar la variable "&amp;AV$88&amp;" Digite Cero si no tiene.",IF(AV135&gt;$D135," * La variable"&amp;AV$88&amp;"no puede ser mayor al Total Ambos Sexos.",""))</f>
        <v/>
      </c>
      <c r="CI135" s="196">
        <f>IF(AND($D135&gt;0,AW135="")," * No olvide digitar la variable Migrantes. Digite Cero si no tiene.",IF(AW135&gt;$D135," * La variable Migrantes no puede ser mayor al Total Ambos Sexos.",""))</f>
        <v/>
      </c>
      <c r="CJ135" s="198" t="n"/>
      <c r="CO135" s="197">
        <f>IF(AND($D135&gt;0,AO135=""),1,IF(AO135&gt;D135,1,0))</f>
        <v/>
      </c>
      <c r="CP135" s="197">
        <f>IF(AND($F135&gt;0,AP135=""),1,IF(AP135&gt;$F135,1,0))</f>
        <v/>
      </c>
      <c r="CQ135" s="197">
        <f>IF(AND($D135&gt;0,AQ135=""),1,IF(AQ135&gt;$D135,1,0))</f>
        <v/>
      </c>
      <c r="CR135" s="197">
        <f>IF(AND(AI135+AJ135&gt;0,AR135=""),1,IF(AR135&gt;AI135+AJ135,1,0))</f>
        <v/>
      </c>
      <c r="CS135" s="197">
        <f>IF(AND($D135&gt;0,AS135=""),1,0)</f>
        <v/>
      </c>
      <c r="CT135" s="197">
        <f>IF(AND($D135&gt;0,AT135=""),1,IF(AT135&gt;$D135,1,0))</f>
        <v/>
      </c>
      <c r="CU135" s="197">
        <f>IF(AND($D135&gt;0,AU135=""),1,IF(AU135&gt;$D135,1,0))</f>
        <v/>
      </c>
      <c r="CV135" s="197">
        <f>IF(AND($D135&gt;0,AV135=""),1,IF(AV135&gt;$D135,1,0))</f>
        <v/>
      </c>
      <c r="CW135" s="197">
        <f>IF(AND($D135&gt;0,AW135=""),1,IF(AW135&gt;$D135,1,0))</f>
        <v/>
      </c>
      <c r="CX135" s="198" t="n"/>
    </row>
    <row r="136" ht="15" customHeight="1" s="8286">
      <c r="A136" s="10246" t="inlineStr">
        <is>
          <t>Artrocentesis en ATM</t>
        </is>
      </c>
      <c r="B136" s="10208" t="n"/>
      <c r="C136" s="9644" t="n"/>
      <c r="D136" s="1254">
        <f>SUM(E136:F136)</f>
        <v/>
      </c>
      <c r="E136" s="1486">
        <f>SUM(G136+I136+K136+M136+O136+Q136+S136+U136+W136+Y136+AA136+AC136+AE136+AG136+AI136+AK136+AM136)</f>
        <v/>
      </c>
      <c r="F136" s="894">
        <f>SUM(H136+J136+L136+N136+P136+R136+T136+V136+X136+Z136+AB136+AD136+AF136+AH136+AJ136+AL136+AN136)</f>
        <v/>
      </c>
      <c r="G136" s="1179" t="n"/>
      <c r="H136" s="1183" t="n"/>
      <c r="I136" s="1179" t="n"/>
      <c r="J136" s="1182" t="n"/>
      <c r="K136" s="1179" t="n"/>
      <c r="L136" s="886" t="n"/>
      <c r="M136" s="1172" t="n"/>
      <c r="N136" s="886" t="n"/>
      <c r="O136" s="1174" t="n"/>
      <c r="P136" s="886" t="n"/>
      <c r="Q136" s="1174" t="n"/>
      <c r="R136" s="886" t="n"/>
      <c r="S136" s="1174" t="n"/>
      <c r="T136" s="886" t="n"/>
      <c r="U136" s="1174" t="n"/>
      <c r="V136" s="886" t="n"/>
      <c r="W136" s="1174" t="n"/>
      <c r="X136" s="886" t="n"/>
      <c r="Y136" s="1174" t="n"/>
      <c r="Z136" s="886" t="n"/>
      <c r="AA136" s="1174" t="n"/>
      <c r="AB136" s="886" t="n"/>
      <c r="AC136" s="1174" t="n"/>
      <c r="AD136" s="886" t="n"/>
      <c r="AE136" s="1174" t="n"/>
      <c r="AF136" s="886" t="n"/>
      <c r="AG136" s="1174" t="n"/>
      <c r="AH136" s="886" t="n"/>
      <c r="AI136" s="1174" t="n"/>
      <c r="AJ136" s="886" t="n"/>
      <c r="AK136" s="1174" t="n"/>
      <c r="AL136" s="886" t="n"/>
      <c r="AM136" s="1174" t="n"/>
      <c r="AN136" s="1929" t="n"/>
      <c r="AO136" s="887" t="n"/>
      <c r="AP136" s="1228" t="n"/>
      <c r="AQ136" s="2001" t="n"/>
      <c r="AR136" s="2001" t="n"/>
      <c r="AS136" s="1228" t="n"/>
      <c r="AT136" s="885" t="n"/>
      <c r="AU136" s="2495" t="n"/>
      <c r="AV136" s="1100" t="n"/>
      <c r="AW136" s="1174" t="n"/>
      <c r="AX136" s="1948" t="n"/>
      <c r="AY136">
        <f>CA136&amp;CB136&amp;CC136&amp;CD136&amp;CE136&amp;CF136&amp;CG136&amp;CH136&amp;CI136&amp;CJ136</f>
        <v/>
      </c>
      <c r="CA136" s="196">
        <f>IF(AND((W136+X136)&gt;0,AO136="")," * No olvide digitar la variable 12 años (incluido en el grupo de 10-14 años). Digite Cero si no tiene.",IF(AO136&gt;(W136+X136),"* Las Consultas de 12 años (incluido en el grupo de 10-14 años) NO DEBEN ser mayor que el total de Consultas entre 10-14 años",""))</f>
        <v/>
      </c>
      <c r="CB136" s="196">
        <f>IF(AND($F136&gt;0,AP136="")," * No olvide digitar la variable Gestante. Digite cero si no tiene.",IF(AP136&gt;$F136," * La variable Gestante NO DEBEN ser mayor al Total de Mujeres. ",""))</f>
        <v/>
      </c>
      <c r="CC136" s="196">
        <f>IF(AND(D136&gt;0,AQ136="")," * No olvide digitar la variable  Atención bajo sedación inhalatoria (con óxido nitroso). Digite Cero si no tiene.",IF(AQ136&gt;D136," * La variable  Atención bajo sedación inhalatoria (con óxido nitroso) NO DEBE ser mayor que el Total Ambos Sexos",""))</f>
        <v/>
      </c>
      <c r="CD136" s="196">
        <f>IF(AND((AI136+AJ136)&gt;0,AR136="")," * No olvide digitar la variable 60 años (incluido en grupos de 60-64 años). Digite Cero si no tiene.",IF(AR136&gt;(AI136+AJ136)," * La variable 60 años (incluido en grupos de 60-64 años) NO DEBE ser mayor que el Total de consultas del grupo 60-64 años",""))</f>
        <v/>
      </c>
      <c r="CE136" s="196">
        <f>IF(AND($D136&gt;0,AS136="")," * No olvide digitar la variable Compra de Servicios. Digite Cero si no tiene.","")</f>
        <v/>
      </c>
      <c r="CF136" s="196">
        <f>IF(AND($D136&gt;0,AT136="")," * No olvide digitar la Usuarios con Discapacidad. Digite Cero si no tiene.",IF(AT136&gt;$D136," * La variable Usuarios con Discapacidad No puede ser mayor al Total Ambos Sexos.",""))</f>
        <v/>
      </c>
      <c r="CG136" s="196">
        <f>IF(AND($D136&gt;0,AU136="")," * No olvide digitar la variable "&amp;AU$88&amp;". Digite Cero si no tiene.",IF(AU136&gt;$D136," * La variable "&amp;AU$88&amp;" No puede ser mayor al Total Ambos Sexos.",""))</f>
        <v/>
      </c>
      <c r="CH136" s="196">
        <f>IF(AND($D136&gt;0,AV136="")," * No olvide digitar la variable "&amp;AV$88&amp;" Digite Cero si no tiene.",IF(AV136&gt;$D136," * La variable"&amp;AV$88&amp;"no puede ser mayor al Total Ambos Sexos.",""))</f>
        <v/>
      </c>
      <c r="CI136" s="196">
        <f>IF(AND($D136&gt;0,AW136="")," * No olvide digitar la variable Migrantes. Digite Cero si no tiene.",IF(AW136&gt;$D136," * La variable Migrantes no puede ser mayor al Total Ambos Sexos.",""))</f>
        <v/>
      </c>
      <c r="CJ136" s="198" t="n"/>
      <c r="CO136" s="197">
        <f>IF(AND($D136&gt;0,AO136=""),1,IF(AO136&gt;D136,1,0))</f>
        <v/>
      </c>
      <c r="CP136" s="197">
        <f>IF(AND($F136&gt;0,AP136=""),1,IF(AP136&gt;$F136,1,0))</f>
        <v/>
      </c>
      <c r="CQ136" s="197">
        <f>IF(AND($D136&gt;0,AQ136=""),1,IF(AQ136&gt;$D136,1,0))</f>
        <v/>
      </c>
      <c r="CR136" s="197">
        <f>IF(AND(AI136+AJ136&gt;0,AR136=""),1,IF(AR136&gt;AI136+AJ136,1,0))</f>
        <v/>
      </c>
      <c r="CS136" s="197">
        <f>IF(AND($D136&gt;0,AS136=""),1,0)</f>
        <v/>
      </c>
      <c r="CT136" s="197">
        <f>IF(AND($D136&gt;0,AT136=""),1,IF(AT136&gt;$D136,1,0))</f>
        <v/>
      </c>
      <c r="CU136" s="197">
        <f>IF(AND($D136&gt;0,AU136=""),1,IF(AU136&gt;$D136,1,0))</f>
        <v/>
      </c>
      <c r="CV136" s="197">
        <f>IF(AND($D136&gt;0,AV136=""),1,IF(AV136&gt;$D136,1,0))</f>
        <v/>
      </c>
      <c r="CW136" s="197">
        <f>IF(AND($D136&gt;0,AW136=""),1,IF(AW136&gt;$D136,1,0))</f>
        <v/>
      </c>
      <c r="CX136" s="198" t="n"/>
    </row>
    <row r="137" ht="15" customHeight="1" s="8286">
      <c r="A137" s="10246" t="inlineStr">
        <is>
          <t xml:space="preserve">Terapia bioconductual </t>
        </is>
      </c>
      <c r="B137" s="10208" t="n"/>
      <c r="C137" s="9644" t="n"/>
      <c r="D137" s="1254">
        <f>SUM(E137:F137)</f>
        <v/>
      </c>
      <c r="E137" s="1486">
        <f>SUM(G137+I137+K137+M137+O137+Q137+S137+U137+W137+Y137+AA137+AC137+AE137+AG137+AI137+AK137+AM137)</f>
        <v/>
      </c>
      <c r="F137" s="894">
        <f>SUM(H137+J137+L137+N137+P137+R137+T137+V137+X137+Z137+AB137+AD137+AF137+AH137+AJ137+AL137+AN137)</f>
        <v/>
      </c>
      <c r="G137" s="1179" t="n"/>
      <c r="H137" s="1183" t="n"/>
      <c r="I137" s="1179" t="n"/>
      <c r="J137" s="1182" t="n"/>
      <c r="K137" s="1179" t="n"/>
      <c r="L137" s="886" t="n"/>
      <c r="M137" s="1172" t="n"/>
      <c r="N137" s="886" t="n"/>
      <c r="O137" s="1174" t="n"/>
      <c r="P137" s="886" t="n"/>
      <c r="Q137" s="1174" t="n"/>
      <c r="R137" s="886" t="n"/>
      <c r="S137" s="1174" t="n"/>
      <c r="T137" s="886" t="n"/>
      <c r="U137" s="1174" t="n"/>
      <c r="V137" s="886" t="n"/>
      <c r="W137" s="1174" t="n"/>
      <c r="X137" s="886" t="n"/>
      <c r="Y137" s="1174" t="n"/>
      <c r="Z137" s="886" t="n"/>
      <c r="AA137" s="1174" t="n"/>
      <c r="AB137" s="886" t="n"/>
      <c r="AC137" s="1174" t="n"/>
      <c r="AD137" s="886" t="n"/>
      <c r="AE137" s="1174" t="n"/>
      <c r="AF137" s="886" t="n"/>
      <c r="AG137" s="1174" t="n"/>
      <c r="AH137" s="886" t="n"/>
      <c r="AI137" s="1174" t="n"/>
      <c r="AJ137" s="886" t="n"/>
      <c r="AK137" s="1174" t="n"/>
      <c r="AL137" s="886" t="n"/>
      <c r="AM137" s="1174" t="n"/>
      <c r="AN137" s="1929" t="n"/>
      <c r="AO137" s="887" t="n"/>
      <c r="AP137" s="1228" t="n"/>
      <c r="AQ137" s="2001" t="n"/>
      <c r="AR137" s="2001" t="n"/>
      <c r="AS137" s="1228" t="n"/>
      <c r="AT137" s="885" t="n"/>
      <c r="AU137" s="2495" t="n"/>
      <c r="AV137" s="1100" t="n"/>
      <c r="AW137" s="1174" t="n"/>
      <c r="AX137" s="1948" t="n"/>
      <c r="AY137">
        <f>CA137&amp;CB137&amp;CC137&amp;CD137&amp;CE137&amp;CF137&amp;CG137&amp;CH137&amp;CI137&amp;CJ137</f>
        <v/>
      </c>
      <c r="CA137" s="196">
        <f>IF(AND((W137+X137)&gt;0,AO137="")," * No olvide digitar la variable 12 años (incluido en el grupo de 10-14 años). Digite Cero si no tiene.",IF(AO137&gt;(W137+X137),"* Las Consultas de 12 años (incluido en el grupo de 10-14 años) NO DEBEN ser mayor que el total de Consultas entre 10-14 años",""))</f>
        <v/>
      </c>
      <c r="CB137" s="196">
        <f>IF(AND($F137&gt;0,AP137="")," * No olvide digitar la variable Gestante. Digite cero si no tiene.",IF(AP137&gt;$F137," * La variable Gestante NO DEBEN ser mayor al Total de Mujeres. ",""))</f>
        <v/>
      </c>
      <c r="CC137" s="196">
        <f>IF(AND(D137&gt;0,AQ137="")," * No olvide digitar la variable  Atención bajo sedación inhalatoria (con óxido nitroso). Digite Cero si no tiene.",IF(AQ137&gt;D137," * La variable  Atención bajo sedación inhalatoria (con óxido nitroso) NO DEBE ser mayor que el Total Ambos Sexos",""))</f>
        <v/>
      </c>
      <c r="CD137" s="196">
        <f>IF(AND((AI137+AJ137)&gt;0,AR137="")," * No olvide digitar la variable 60 años (incluido en grupos de 60-64 años). Digite Cero si no tiene.",IF(AR137&gt;(AI137+AJ137)," * La variable 60 años (incluido en grupos de 60-64 años) NO DEBE ser mayor que el Total de consultas del grupo 60-64 años",""))</f>
        <v/>
      </c>
      <c r="CE137" s="196">
        <f>IF(AND($D137&gt;0,AS137="")," * No olvide digitar la variable Compra de Servicios. Digite Cero si no tiene.","")</f>
        <v/>
      </c>
      <c r="CF137" s="196">
        <f>IF(AND($D137&gt;0,AT137="")," * No olvide digitar la Usuarios con Discapacidad. Digite Cero si no tiene.",IF(AT137&gt;$D137," * La variable Usuarios con Discapacidad No puede ser mayor al Total Ambos Sexos.",""))</f>
        <v/>
      </c>
      <c r="CG137" s="196">
        <f>IF(AND($D137&gt;0,AU137="")," * No olvide digitar la variable "&amp;AU$88&amp;". Digite Cero si no tiene.",IF(AU137&gt;$D137," * La variable "&amp;AU$88&amp;" No puede ser mayor al Total Ambos Sexos.",""))</f>
        <v/>
      </c>
      <c r="CH137" s="196">
        <f>IF(AND($D137&gt;0,AV137="")," * No olvide digitar la variable "&amp;AV$88&amp;" Digite Cero si no tiene.",IF(AV137&gt;$D137," * La variable"&amp;AV$88&amp;"no puede ser mayor al Total Ambos Sexos.",""))</f>
        <v/>
      </c>
      <c r="CI137" s="196">
        <f>IF(AND($D137&gt;0,AW137="")," * No olvide digitar la variable Migrantes. Digite Cero si no tiene.",IF(AW137&gt;$D137," * La variable Migrantes no puede ser mayor al Total Ambos Sexos.",""))</f>
        <v/>
      </c>
      <c r="CJ137" s="198" t="n"/>
      <c r="CO137" s="197">
        <f>IF(AND($D137&gt;0,AO137=""),1,IF(AO137&gt;D137,1,0))</f>
        <v/>
      </c>
      <c r="CP137" s="197">
        <f>IF(AND($F137&gt;0,AP137=""),1,IF(AP137&gt;$F137,1,0))</f>
        <v/>
      </c>
      <c r="CQ137" s="197">
        <f>IF(AND($D137&gt;0,AQ137=""),1,IF(AQ137&gt;$D137,1,0))</f>
        <v/>
      </c>
      <c r="CR137" s="197">
        <f>IF(AND(AI137+AJ137&gt;0,AR137=""),1,IF(AR137&gt;AI137+AJ137,1,0))</f>
        <v/>
      </c>
      <c r="CS137" s="197">
        <f>IF(AND($D137&gt;0,AS137=""),1,0)</f>
        <v/>
      </c>
      <c r="CT137" s="197">
        <f>IF(AND($D137&gt;0,AT137=""),1,IF(AT137&gt;$D137,1,0))</f>
        <v/>
      </c>
      <c r="CU137" s="197">
        <f>IF(AND($D137&gt;0,AU137=""),1,IF(AU137&gt;$D137,1,0))</f>
        <v/>
      </c>
      <c r="CV137" s="197">
        <f>IF(AND($D137&gt;0,AV137=""),1,IF(AV137&gt;$D137,1,0))</f>
        <v/>
      </c>
      <c r="CW137" s="197">
        <f>IF(AND($D137&gt;0,AW137=""),1,IF(AW137&gt;$D137,1,0))</f>
        <v/>
      </c>
      <c r="CX137" s="198" t="n"/>
    </row>
    <row r="138" ht="15" customHeight="1" s="8286">
      <c r="A138" s="10246" t="inlineStr">
        <is>
          <t xml:space="preserve">Desgaste selectivo </t>
        </is>
      </c>
      <c r="B138" s="10208" t="n"/>
      <c r="C138" s="9644" t="n"/>
      <c r="D138" s="1254">
        <f>SUM(E138:F138)</f>
        <v/>
      </c>
      <c r="E138" s="1486">
        <f>SUM(G138+I138+K138+M138+O138+Q138+S138+U138+W138+Y138+AA138+AC138+AE138+AG138+AI138+AK138+AM138)</f>
        <v/>
      </c>
      <c r="F138" s="894">
        <f>SUM(H138+J138+L138+N138+P138+R138+T138+V138+X138+Z138+AB138+AD138+AF138+AH138+AJ138+AL138+AN138)</f>
        <v/>
      </c>
      <c r="G138" s="1179" t="n"/>
      <c r="H138" s="1183" t="n"/>
      <c r="I138" s="1179" t="n"/>
      <c r="J138" s="1182" t="n"/>
      <c r="K138" s="1179" t="n"/>
      <c r="L138" s="886" t="n"/>
      <c r="M138" s="1172" t="n"/>
      <c r="N138" s="886" t="n"/>
      <c r="O138" s="1174" t="n"/>
      <c r="P138" s="886" t="n"/>
      <c r="Q138" s="1174" t="n"/>
      <c r="R138" s="886" t="n"/>
      <c r="S138" s="1174" t="n"/>
      <c r="T138" s="886" t="n"/>
      <c r="U138" s="1174" t="n"/>
      <c r="V138" s="886" t="n"/>
      <c r="W138" s="1174" t="n"/>
      <c r="X138" s="886" t="n"/>
      <c r="Y138" s="1174" t="n"/>
      <c r="Z138" s="886" t="n"/>
      <c r="AA138" s="1174" t="n"/>
      <c r="AB138" s="886" t="n"/>
      <c r="AC138" s="1174" t="n"/>
      <c r="AD138" s="886" t="n"/>
      <c r="AE138" s="1174" t="n"/>
      <c r="AF138" s="886" t="n"/>
      <c r="AG138" s="1174" t="n"/>
      <c r="AH138" s="886" t="n"/>
      <c r="AI138" s="1174" t="n"/>
      <c r="AJ138" s="886" t="n"/>
      <c r="AK138" s="1174" t="n"/>
      <c r="AL138" s="886" t="n"/>
      <c r="AM138" s="1174" t="n"/>
      <c r="AN138" s="1929" t="n"/>
      <c r="AO138" s="887" t="n"/>
      <c r="AP138" s="1228" t="n"/>
      <c r="AQ138" s="2001" t="n"/>
      <c r="AR138" s="2001" t="n"/>
      <c r="AS138" s="1228" t="n"/>
      <c r="AT138" s="885" t="n"/>
      <c r="AU138" s="2495" t="n"/>
      <c r="AV138" s="1100" t="n"/>
      <c r="AW138" s="1174" t="n"/>
      <c r="AX138" s="1173" t="n"/>
      <c r="AY138">
        <f>CA138&amp;CB138&amp;CC138&amp;CD138&amp;CE138&amp;CF138&amp;CG138&amp;CH138&amp;CI138&amp;CJ138</f>
        <v/>
      </c>
      <c r="CA138" s="196">
        <f>IF(AND((W138+X138)&gt;0,AO138="")," * No olvide digitar la variable 12 años (incluido en el grupo de 10-14 años). Digite Cero si no tiene.",IF(AO138&gt;(W138+X138),"* Las Consultas de 12 años (incluido en el grupo de 10-14 años) NO DEBEN ser mayor que el total de Consultas entre 10-14 años",""))</f>
        <v/>
      </c>
      <c r="CB138" s="196">
        <f>IF(AND($F138&gt;0,AP138="")," * No olvide digitar la variable Gestante. Digite cero si no tiene.",IF(AP138&gt;$F138," * La variable Gestante NO DEBEN ser mayor al Total de Mujeres. ",""))</f>
        <v/>
      </c>
      <c r="CC138" s="196">
        <f>IF(AND(D138&gt;0,AQ138="")," * No olvide digitar la variable  Atención bajo sedación inhalatoria (con óxido nitroso). Digite Cero si no tiene.",IF(AQ138&gt;D138," * La variable  Atención bajo sedación inhalatoria (con óxido nitroso) NO DEBE ser mayor que el Total Ambos Sexos",""))</f>
        <v/>
      </c>
      <c r="CD138" s="196">
        <f>IF(AND((AI138+AJ138)&gt;0,AR138="")," * No olvide digitar la variable 60 años (incluido en grupos de 60-64 años). Digite Cero si no tiene.",IF(AR138&gt;(AI138+AJ138)," * La variable 60 años (incluido en grupos de 60-64 años) NO DEBE ser mayor que el Total de consultas del grupo 60-64 años",""))</f>
        <v/>
      </c>
      <c r="CE138" s="196">
        <f>IF(AND($D138&gt;0,AS138="")," * No olvide digitar la variable Compra de Servicios. Digite Cero si no tiene.","")</f>
        <v/>
      </c>
      <c r="CF138" s="196">
        <f>IF(AND($D138&gt;0,AT138="")," * No olvide digitar la Usuarios con Discapacidad. Digite Cero si no tiene.",IF(AT138&gt;$D138," * La variable Usuarios con Discapacidad No puede ser mayor al Total Ambos Sexos.",""))</f>
        <v/>
      </c>
      <c r="CG138" s="196">
        <f>IF(AND($D138&gt;0,AU138="")," * No olvide digitar la variable "&amp;AU$88&amp;". Digite Cero si no tiene.",IF(AU138&gt;$D138," * La variable "&amp;AU$88&amp;" No puede ser mayor al Total Ambos Sexos.",""))</f>
        <v/>
      </c>
      <c r="CH138" s="196">
        <f>IF(AND($D138&gt;0,AV138="")," * No olvide digitar la variable "&amp;AV$88&amp;" Digite Cero si no tiene.",IF(AV138&gt;$D138," * La variable"&amp;AV$88&amp;"no puede ser mayor al Total Ambos Sexos.",""))</f>
        <v/>
      </c>
      <c r="CI138" s="196">
        <f>IF(AND($D138&gt;0,AW138="")," * No olvide digitar la variable Migrantes. Digite Cero si no tiene.",IF(AW138&gt;$D138," * La variable Migrantes no puede ser mayor al Total Ambos Sexos.",""))</f>
        <v/>
      </c>
      <c r="CJ138" s="196">
        <f>IF(AND($D138&gt;0,AX138="")," * No olvide digitar la variable Flujo digital. Digite Cero si no tiene.",IF(AX138&gt;$D138," * La variable Flujo digital no puede ser mayor al Total Ambos Sexos.",""))</f>
        <v/>
      </c>
      <c r="CO138" s="197">
        <f>IF(AND($D138&gt;0,AO138=""),1,IF(AO138&gt;D138,1,0))</f>
        <v/>
      </c>
      <c r="CP138" s="197">
        <f>IF(AND($F138&gt;0,AP138=""),1,IF(AP138&gt;$F138,1,0))</f>
        <v/>
      </c>
      <c r="CQ138" s="197">
        <f>IF(AND($D138&gt;0,AQ138=""),1,IF(AQ138&gt;$D138,1,0))</f>
        <v/>
      </c>
      <c r="CR138" s="197">
        <f>IF(AND(AI138+AJ138&gt;0,AR138=""),1,IF(AR138&gt;AI138+AJ138,1,0))</f>
        <v/>
      </c>
      <c r="CS138" s="197">
        <f>IF(AND($D138&gt;0,AS138=""),1,0)</f>
        <v/>
      </c>
      <c r="CT138" s="197">
        <f>IF(AND($D138&gt;0,AT138=""),1,IF(AT138&gt;$D138,1,0))</f>
        <v/>
      </c>
      <c r="CU138" s="197">
        <f>IF(AND($D138&gt;0,AU138=""),1,IF(AU138&gt;$D138,1,0))</f>
        <v/>
      </c>
      <c r="CV138" s="197">
        <f>IF(AND($D138&gt;0,AV138=""),1,IF(AV138&gt;$D138,1,0))</f>
        <v/>
      </c>
      <c r="CW138" s="197">
        <f>IF(AND($D138&gt;0,AW138=""),1,IF(AW138&gt;$D138,1,0))</f>
        <v/>
      </c>
      <c r="CX138" s="197">
        <f>IF(AND($D138&gt;0,AX138=""),1,IF(AX138&gt;$D138,1,0))</f>
        <v/>
      </c>
    </row>
    <row r="139" ht="15" customHeight="1" s="8286">
      <c r="A139" s="10246" t="inlineStr">
        <is>
          <t xml:space="preserve">Instalación en dispositivo ortopédico </t>
        </is>
      </c>
      <c r="B139" s="10208" t="n"/>
      <c r="C139" s="9644" t="n"/>
      <c r="D139" s="1254">
        <f>SUM(E139:F139)</f>
        <v/>
      </c>
      <c r="E139" s="1486">
        <f>SUM(G139+I139+K139+M139+O139+Q139+S139+U139+W139+Y139+AA139+AC139+AE139+AG139+AI139+AK139+AM139)</f>
        <v/>
      </c>
      <c r="F139" s="894">
        <f>SUM(H139+J139+L139+N139+P139+R139+T139+V139+X139+Z139+AB139+AD139+AF139+AH139+AJ139+AL139+AN139)</f>
        <v/>
      </c>
      <c r="G139" s="2833" t="n"/>
      <c r="H139" s="1183" t="n"/>
      <c r="I139" s="1179" t="n"/>
      <c r="J139" s="1182" t="n"/>
      <c r="K139" s="1179" t="n"/>
      <c r="L139" s="886" t="n"/>
      <c r="M139" s="1172" t="n"/>
      <c r="N139" s="886" t="n"/>
      <c r="O139" s="1174" t="n"/>
      <c r="P139" s="886" t="n"/>
      <c r="Q139" s="1174" t="n"/>
      <c r="R139" s="886" t="n"/>
      <c r="S139" s="1174" t="n"/>
      <c r="T139" s="886" t="n"/>
      <c r="U139" s="1174" t="n"/>
      <c r="V139" s="886" t="n"/>
      <c r="W139" s="1174" t="n"/>
      <c r="X139" s="886" t="n"/>
      <c r="Y139" s="1174" t="n"/>
      <c r="Z139" s="886" t="n"/>
      <c r="AA139" s="1174" t="n"/>
      <c r="AB139" s="886" t="n"/>
      <c r="AC139" s="1174" t="n"/>
      <c r="AD139" s="886" t="n"/>
      <c r="AE139" s="1174" t="n"/>
      <c r="AF139" s="886" t="n"/>
      <c r="AG139" s="1174" t="n"/>
      <c r="AH139" s="886" t="n"/>
      <c r="AI139" s="1174" t="n"/>
      <c r="AJ139" s="886" t="n"/>
      <c r="AK139" s="1174" t="n"/>
      <c r="AL139" s="886" t="n"/>
      <c r="AM139" s="1174" t="n"/>
      <c r="AN139" s="1929" t="n"/>
      <c r="AO139" s="887" t="n"/>
      <c r="AP139" s="1228" t="n"/>
      <c r="AQ139" s="2001" t="n"/>
      <c r="AR139" s="2001" t="n"/>
      <c r="AS139" s="1228" t="n"/>
      <c r="AT139" s="885" t="n"/>
      <c r="AU139" s="2495" t="n"/>
      <c r="AV139" s="1100" t="n"/>
      <c r="AW139" s="1174" t="n"/>
      <c r="AX139" s="1173" t="n"/>
      <c r="AY139">
        <f>CA139&amp;CB139&amp;CC139&amp;CD139&amp;CE139&amp;CF139&amp;CG139&amp;CH139&amp;CI139&amp;CJ139</f>
        <v/>
      </c>
      <c r="CA139" s="196">
        <f>IF(AND((W139+X139)&gt;0,AO139="")," * No olvide digitar la variable 12 años (incluido en el grupo de 10-14 años). Digite Cero si no tiene.",IF(AO139&gt;(W139+X139),"* Las Consultas de 12 años (incluido en el grupo de 10-14 años) NO DEBEN ser mayor que el total de Consultas entre 10-14 años",""))</f>
        <v/>
      </c>
      <c r="CB139" s="196">
        <f>IF(AND($F139&gt;0,AP139="")," * No olvide digitar la variable Gestante. Digite cero si no tiene.",IF(AP139&gt;$F139," * La variable Gestante NO DEBEN ser mayor al Total de Mujeres. ",""))</f>
        <v/>
      </c>
      <c r="CC139" s="196">
        <f>IF(AND(D139&gt;0,AQ139="")," * No olvide digitar la variable  Atención bajo sedación inhalatoria (con óxido nitroso). Digite Cero si no tiene.",IF(AQ139&gt;D139," * La variable  Atención bajo sedación inhalatoria (con óxido nitroso) NO DEBE ser mayor que el Total Ambos Sexos",""))</f>
        <v/>
      </c>
      <c r="CD139" s="196">
        <f>IF(AND((AI139+AJ139)&gt;0,AR139="")," * No olvide digitar la variable 60 años (incluido en grupos de 60-64 años). Digite Cero si no tiene.",IF(AR139&gt;(AI139+AJ139)," * La variable 60 años (incluido en grupos de 60-64 años) NO DEBE ser mayor que el Total de consultas del grupo 60-64 años",""))</f>
        <v/>
      </c>
      <c r="CE139" s="196">
        <f>IF(AND($D139&gt;0,AS139="")," * No olvide digitar la variable Compra de Servicios. Digite Cero si no tiene.","")</f>
        <v/>
      </c>
      <c r="CF139" s="196">
        <f>IF(AND($D139&gt;0,AT139="")," * No olvide digitar la Usuarios con Discapacidad. Digite Cero si no tiene.",IF(AT139&gt;$D139," * La variable Usuarios con Discapacidad No puede ser mayor al Total Ambos Sexos.",""))</f>
        <v/>
      </c>
      <c r="CG139" s="196">
        <f>IF(AND($D139&gt;0,AU139="")," * No olvide digitar la variable "&amp;AU$88&amp;". Digite Cero si no tiene.",IF(AU139&gt;$D139," * La variable "&amp;AU$88&amp;" No puede ser mayor al Total Ambos Sexos.",""))</f>
        <v/>
      </c>
      <c r="CH139" s="196">
        <f>IF(AND($D139&gt;0,AV139="")," * No olvide digitar la variable "&amp;AV$88&amp;" Digite Cero si no tiene.",IF(AV139&gt;$D139," * La variable"&amp;AV$88&amp;"no puede ser mayor al Total Ambos Sexos.",""))</f>
        <v/>
      </c>
      <c r="CI139" s="196">
        <f>IF(AND($D139&gt;0,AW139="")," * No olvide digitar la variable Migrantes. Digite Cero si no tiene.",IF(AW139&gt;$D139," * La variable Migrantes no puede ser mayor al Total Ambos Sexos.",""))</f>
        <v/>
      </c>
      <c r="CJ139" s="196">
        <f>IF(AND($D139&gt;0,AX139="")," * No olvide digitar la variable Flujo digital. Digite Cero si no tiene.",IF(AX139&gt;$D139," * La variable Flujo digital no puede ser mayor al Total Ambos Sexos.",""))</f>
        <v/>
      </c>
      <c r="CO139" s="197">
        <f>IF(AND($D139&gt;0,AO139=""),1,IF(AO139&gt;D139,1,0))</f>
        <v/>
      </c>
      <c r="CP139" s="197">
        <f>IF(AND($F139&gt;0,AP139=""),1,IF(AP139&gt;$F139,1,0))</f>
        <v/>
      </c>
      <c r="CQ139" s="197">
        <f>IF(AND($D139&gt;0,AQ139=""),1,IF(AQ139&gt;$D139,1,0))</f>
        <v/>
      </c>
      <c r="CR139" s="197">
        <f>IF(AND(AI139+AJ139&gt;0,AR139=""),1,IF(AR139&gt;AI139+AJ139,1,0))</f>
        <v/>
      </c>
      <c r="CS139" s="197">
        <f>IF(AND($D139&gt;0,AS139=""),1,0)</f>
        <v/>
      </c>
      <c r="CT139" s="197">
        <f>IF(AND($D139&gt;0,AT139=""),1,IF(AT139&gt;$D139,1,0))</f>
        <v/>
      </c>
      <c r="CU139" s="197">
        <f>IF(AND($D139&gt;0,AU139=""),1,IF(AU139&gt;$D139,1,0))</f>
        <v/>
      </c>
      <c r="CV139" s="197">
        <f>IF(AND($D139&gt;0,AV139=""),1,IF(AV139&gt;$D139,1,0))</f>
        <v/>
      </c>
      <c r="CW139" s="197">
        <f>IF(AND($D139&gt;0,AW139=""),1,IF(AW139&gt;$D139,1,0))</f>
        <v/>
      </c>
      <c r="CX139" s="197">
        <f>IF(AND($D139&gt;0,AX139=""),1,IF(AX139&gt;$D139,1,0))</f>
        <v/>
      </c>
    </row>
    <row r="140" ht="15" customHeight="1" s="8286">
      <c r="A140" s="8380" t="inlineStr">
        <is>
          <t>Terapia farmacológica TTM</t>
        </is>
      </c>
      <c r="B140" s="8381" t="n"/>
      <c r="C140" s="8382" t="n"/>
      <c r="D140" s="1254">
        <f>SUM(E140:F140)</f>
        <v/>
      </c>
      <c r="E140" s="1486">
        <f>SUM(G140+I140+K140+M140+O140+Q140+S140+U140+W140+Y140+AA140+AC140+AE140+AG140+AI140+AK140+AM140)</f>
        <v/>
      </c>
      <c r="F140" s="894">
        <f>SUM(H140+J140+L140+N140+P140+R140+T140+V140+X140+Z140+AB140+AD140+AF140+AH140+AJ140+AL140+AN140)</f>
        <v/>
      </c>
      <c r="G140" s="1179" t="n"/>
      <c r="H140" s="1183" t="n"/>
      <c r="I140" s="1179" t="n"/>
      <c r="J140" s="1182" t="n"/>
      <c r="K140" s="1179" t="n"/>
      <c r="L140" s="886" t="n"/>
      <c r="M140" s="1172" t="n"/>
      <c r="N140" s="886" t="n"/>
      <c r="O140" s="1174" t="n"/>
      <c r="P140" s="886" t="n"/>
      <c r="Q140" s="1174" t="n"/>
      <c r="R140" s="886" t="n"/>
      <c r="S140" s="1174" t="n"/>
      <c r="T140" s="886" t="n"/>
      <c r="U140" s="1174" t="n"/>
      <c r="V140" s="886" t="n"/>
      <c r="W140" s="1174" t="n"/>
      <c r="X140" s="886" t="n"/>
      <c r="Y140" s="1174" t="n"/>
      <c r="Z140" s="886" t="n"/>
      <c r="AA140" s="1174" t="n"/>
      <c r="AB140" s="886" t="n"/>
      <c r="AC140" s="1174" t="n"/>
      <c r="AD140" s="886" t="n"/>
      <c r="AE140" s="1174" t="n"/>
      <c r="AF140" s="886" t="n"/>
      <c r="AG140" s="1174" t="n"/>
      <c r="AH140" s="886" t="n"/>
      <c r="AI140" s="1174" t="n"/>
      <c r="AJ140" s="886" t="n"/>
      <c r="AK140" s="1174" t="n"/>
      <c r="AL140" s="886" t="n"/>
      <c r="AM140" s="1174" t="n"/>
      <c r="AN140" s="1929" t="n"/>
      <c r="AO140" s="887" t="n"/>
      <c r="AP140" s="1228" t="n"/>
      <c r="AQ140" s="2001" t="n"/>
      <c r="AR140" s="2001" t="n"/>
      <c r="AS140" s="1228" t="n"/>
      <c r="AT140" s="885" t="n"/>
      <c r="AU140" s="2495" t="n"/>
      <c r="AV140" s="1100" t="n"/>
      <c r="AW140" s="1174" t="n"/>
      <c r="AX140" s="1948" t="n"/>
      <c r="AY140">
        <f>CA140&amp;CB140&amp;CC140&amp;CD140&amp;CE140&amp;CF140&amp;CG140&amp;CH140&amp;CI140&amp;CJ140</f>
        <v/>
      </c>
      <c r="CA140" s="196">
        <f>IF(AND((W140+X140)&gt;0,AO140="")," * No olvide digitar la variable 12 años (incluido en el grupo de 10-14 años). Digite Cero si no tiene.",IF(AO140&gt;(W140+X140),"* Las Consultas de 12 años (incluido en el grupo de 10-14 años) NO DEBEN ser mayor que el total de Consultas entre 10-14 años",""))</f>
        <v/>
      </c>
      <c r="CB140" s="196">
        <f>IF(AND($F140&gt;0,AP140="")," * No olvide digitar la variable Gestante. Digite cero si no tiene.",IF(AP140&gt;$F140," * La variable Gestante NO DEBEN ser mayor al Total de Mujeres. ",""))</f>
        <v/>
      </c>
      <c r="CC140" s="196">
        <f>IF(AND(D140&gt;0,AQ140="")," * No olvide digitar la variable  Atención bajo sedación inhalatoria (con óxido nitroso). Digite Cero si no tiene.",IF(AQ140&gt;D140," * La variable  Atención bajo sedación inhalatoria (con óxido nitroso) NO DEBE ser mayor que el Total Ambos Sexos",""))</f>
        <v/>
      </c>
      <c r="CD140" s="196">
        <f>IF(AND((AI140+AJ140)&gt;0,AR140="")," * No olvide digitar la variable 60 años (incluido en grupos de 60-64 años). Digite Cero si no tiene.",IF(AR140&gt;(AI140+AJ140)," * La variable 60 años (incluido en grupos de 60-64 años) NO DEBE ser mayor que el Total de consultas del grupo 60-64 años",""))</f>
        <v/>
      </c>
      <c r="CE140" s="196">
        <f>IF(AND($D140&gt;0,AS140="")," * No olvide digitar la variable Compra de Servicios. Digite Cero si no tiene.","")</f>
        <v/>
      </c>
      <c r="CF140" s="196">
        <f>IF(AND($D140&gt;0,AT140="")," * No olvide digitar la Usuarios con Discapacidad. Digite Cero si no tiene.",IF(AT140&gt;$D140," * La variable Usuarios con Discapacidad No puede ser mayor al Total Ambos Sexos.",""))</f>
        <v/>
      </c>
      <c r="CG140" s="196">
        <f>IF(AND($D140&gt;0,AU140="")," * No olvide digitar la variable "&amp;AU$88&amp;". Digite Cero si no tiene.",IF(AU140&gt;$D140," * La variable "&amp;AU$88&amp;" No puede ser mayor al Total Ambos Sexos.",""))</f>
        <v/>
      </c>
      <c r="CH140" s="196">
        <f>IF(AND($D140&gt;0,AV140="")," * No olvide digitar la variable "&amp;AV$88&amp;" Digite Cero si no tiene.",IF(AV140&gt;$D140," * La variable"&amp;AV$88&amp;"no puede ser mayor al Total Ambos Sexos.",""))</f>
        <v/>
      </c>
      <c r="CI140" s="196">
        <f>IF(AND($D140&gt;0,AW140="")," * No olvide digitar la variable Migrantes. Digite Cero si no tiene.",IF(AW140&gt;$D140," * La variable Migrantes no puede ser mayor al Total Ambos Sexos.",""))</f>
        <v/>
      </c>
      <c r="CJ140" s="198" t="n"/>
      <c r="CO140" s="197">
        <f>IF(AND($D140&gt;0,AO140=""),1,IF(AO140&gt;D140,1,0))</f>
        <v/>
      </c>
      <c r="CP140" s="197">
        <f>IF(AND($F140&gt;0,AP140=""),1,IF(AP140&gt;$F140,1,0))</f>
        <v/>
      </c>
      <c r="CQ140" s="197">
        <f>IF(AND($D140&gt;0,AQ140=""),1,IF(AQ140&gt;$D140,1,0))</f>
        <v/>
      </c>
      <c r="CR140" s="197">
        <f>IF(AND(AI140+AJ140&gt;0,AR140=""),1,IF(AR140&gt;AI140+AJ140,1,0))</f>
        <v/>
      </c>
      <c r="CS140" s="197">
        <f>IF(AND($D140&gt;0,AS140=""),1,0)</f>
        <v/>
      </c>
      <c r="CT140" s="197">
        <f>IF(AND($D140&gt;0,AT140=""),1,IF(AT140&gt;$D140,1,0))</f>
        <v/>
      </c>
      <c r="CU140" s="197">
        <f>IF(AND($D140&gt;0,AU140=""),1,IF(AU140&gt;$D140,1,0))</f>
        <v/>
      </c>
      <c r="CV140" s="197">
        <f>IF(AND($D140&gt;0,AV140=""),1,IF(AV140&gt;$D140,1,0))</f>
        <v/>
      </c>
      <c r="CW140" s="197">
        <f>IF(AND($D140&gt;0,AW140=""),1,IF(AW140&gt;$D140,1,0))</f>
        <v/>
      </c>
      <c r="CX140" s="198" t="n"/>
    </row>
    <row r="141" ht="15" customHeight="1" s="8286">
      <c r="A141" s="10246" t="inlineStr">
        <is>
          <t xml:space="preserve">Actividades somatoprótesis </t>
        </is>
      </c>
      <c r="B141" s="10208" t="n"/>
      <c r="C141" s="9644" t="n"/>
      <c r="D141" s="1254">
        <f>SUM(E141:F141)</f>
        <v/>
      </c>
      <c r="E141" s="1486">
        <f>SUM(G141+I141+K141+M141+O141+Q141+S141+U141+W141+Y141+AA141+AC141+AE141+AG141+AI141+AK141+AM141)</f>
        <v/>
      </c>
      <c r="F141" s="894">
        <f>SUM(H141+J141+L141+N141+P141+R141+T141+V141+X141+Z141+AB141+AD141+AF141+AH141+AJ141+AL141+AN141)</f>
        <v/>
      </c>
      <c r="G141" s="1242" t="n"/>
      <c r="H141" s="2830" t="n"/>
      <c r="I141" s="1242" t="n"/>
      <c r="J141" s="885" t="n"/>
      <c r="K141" s="1172" t="n"/>
      <c r="L141" s="886" t="n"/>
      <c r="M141" s="1172" t="n"/>
      <c r="N141" s="886" t="n"/>
      <c r="O141" s="1174" t="n"/>
      <c r="P141" s="886" t="n"/>
      <c r="Q141" s="1174" t="n"/>
      <c r="R141" s="886" t="n"/>
      <c r="S141" s="1174" t="n"/>
      <c r="T141" s="886" t="n"/>
      <c r="U141" s="1174" t="n"/>
      <c r="V141" s="886" t="n"/>
      <c r="W141" s="1174" t="n"/>
      <c r="X141" s="886" t="n"/>
      <c r="Y141" s="1174" t="n"/>
      <c r="Z141" s="886" t="n"/>
      <c r="AA141" s="1174" t="n"/>
      <c r="AB141" s="886" t="n"/>
      <c r="AC141" s="1174" t="n"/>
      <c r="AD141" s="886" t="n"/>
      <c r="AE141" s="1174" t="n"/>
      <c r="AF141" s="886" t="n"/>
      <c r="AG141" s="1174" t="n"/>
      <c r="AH141" s="886" t="n"/>
      <c r="AI141" s="1174" t="n"/>
      <c r="AJ141" s="886" t="n"/>
      <c r="AK141" s="1174" t="n"/>
      <c r="AL141" s="886" t="n"/>
      <c r="AM141" s="1174" t="n"/>
      <c r="AN141" s="1929" t="n"/>
      <c r="AO141" s="887" t="n"/>
      <c r="AP141" s="2001" t="n"/>
      <c r="AQ141" s="2001" t="n"/>
      <c r="AR141" s="2001" t="n"/>
      <c r="AS141" s="2001" t="n"/>
      <c r="AT141" s="885" t="n"/>
      <c r="AU141" s="2495" t="n"/>
      <c r="AV141" s="1100" t="n"/>
      <c r="AW141" s="1174" t="n"/>
      <c r="AX141" s="1173" t="n"/>
      <c r="AY141">
        <f>CA141&amp;CB141&amp;CC141&amp;CD141&amp;CE141&amp;CF141&amp;CG141&amp;CH141&amp;CI141&amp;CJ141</f>
        <v/>
      </c>
      <c r="CA141" s="196">
        <f>IF(AND((W141+X141)&gt;0,AO141="")," * No olvide digitar la variable 12 años (incluido en el grupo de 10-14 años). Digite Cero si no tiene.",IF(AO141&gt;(W141+X141),"* Las Consultas de 12 años (incluido en el grupo de 10-14 años) NO DEBEN ser mayor que el total de Consultas entre 10-14 años",""))</f>
        <v/>
      </c>
      <c r="CB141" s="196">
        <f>IF(AND($F141&gt;0,AP141="")," * No olvide digitar la variable Gestante. Digite cero si no tiene.",IF(AP141&gt;$F141," * La variable Gestante NO DEBEN ser mayor al Total de Mujeres. ",""))</f>
        <v/>
      </c>
      <c r="CC141" s="196">
        <f>IF(AND(D141&gt;0,AQ141="")," * No olvide digitar la variable  Atención bajo sedación inhalatoria (con óxido nitroso). Digite Cero si no tiene.",IF(AQ141&gt;D141," * La variable  Atención bajo sedación inhalatoria (con óxido nitroso) NO DEBE ser mayor que el Total Ambos Sexos",""))</f>
        <v/>
      </c>
      <c r="CD141" s="196">
        <f>IF(AND((AI141+AJ141)&gt;0,AR141="")," * No olvide digitar la variable 60 años (incluido en grupos de 60-64 años). Digite Cero si no tiene.",IF(AR141&gt;(AI141+AJ141)," * La variable 60 años (incluido en grupos de 60-64 años) NO DEBE ser mayor que el Total de consultas del grupo 60-64 años",""))</f>
        <v/>
      </c>
      <c r="CE141" s="196">
        <f>IF(AND($D141&gt;0,AS141="")," * No olvide digitar la variable Compra de Servicios. Digite Cero si no tiene.","")</f>
        <v/>
      </c>
      <c r="CF141" s="196">
        <f>IF(AND($D141&gt;0,AT141="")," * No olvide digitar la Usuarios con Discapacidad. Digite Cero si no tiene.",IF(AT141&gt;$D141," * La variable Usuarios con Discapacidad No puede ser mayor al Total Ambos Sexos.",""))</f>
        <v/>
      </c>
      <c r="CG141" s="196">
        <f>IF(AND($D141&gt;0,AU141="")," * No olvide digitar la variable "&amp;AU$88&amp;". Digite Cero si no tiene.",IF(AU141&gt;$D141," * La variable "&amp;AU$88&amp;" No puede ser mayor al Total Ambos Sexos.",""))</f>
        <v/>
      </c>
      <c r="CH141" s="196">
        <f>IF(AND($D141&gt;0,AV141="")," * No olvide digitar la variable "&amp;AV$88&amp;" Digite Cero si no tiene.",IF(AV141&gt;$D141," * La variable"&amp;AV$88&amp;"no puede ser mayor al Total Ambos Sexos.",""))</f>
        <v/>
      </c>
      <c r="CI141" s="196">
        <f>IF(AND($D141&gt;0,AW141="")," * No olvide digitar la variable Migrantes. Digite Cero si no tiene.",IF(AW141&gt;$D141," * La variable Migrantes no puede ser mayor al Total Ambos Sexos.",""))</f>
        <v/>
      </c>
      <c r="CJ141" s="196">
        <f>IF(AND($D141&gt;0,AX141="")," * No olvide digitar la variable Flujo digital. Digite Cero si no tiene.",IF(AX141&gt;$D141," * La variable Flujo digital no puede ser mayor al Total Ambos Sexos.",""))</f>
        <v/>
      </c>
      <c r="CO141" s="197">
        <f>IF(AND($D141&gt;0,AO141=""),1,IF(AO141&gt;D141,1,0))</f>
        <v/>
      </c>
      <c r="CP141" s="197">
        <f>IF(AND($F141&gt;0,AP141=""),1,IF(AP141&gt;$F141,1,0))</f>
        <v/>
      </c>
      <c r="CQ141" s="197">
        <f>IF(AND($D141&gt;0,AQ141=""),1,IF(AQ141&gt;$D141,1,0))</f>
        <v/>
      </c>
      <c r="CR141" s="197">
        <f>IF(AND(AI141+AJ141&gt;0,AR141=""),1,IF(AR141&gt;AI141+AJ141,1,0))</f>
        <v/>
      </c>
      <c r="CS141" s="197">
        <f>IF(AND($D141&gt;0,AS141=""),1,0)</f>
        <v/>
      </c>
      <c r="CT141" s="197">
        <f>IF(AND($D141&gt;0,AT141=""),1,IF(AT141&gt;$D141,1,0))</f>
        <v/>
      </c>
      <c r="CU141" s="197">
        <f>IF(AND($D141&gt;0,AU141=""),1,IF(AU141&gt;$D141,1,0))</f>
        <v/>
      </c>
      <c r="CV141" s="197">
        <f>IF(AND($D141&gt;0,AV141=""),1,IF(AV141&gt;$D141,1,0))</f>
        <v/>
      </c>
      <c r="CW141" s="197">
        <f>IF(AND($D141&gt;0,AW141=""),1,IF(AW141&gt;$D141,1,0))</f>
        <v/>
      </c>
      <c r="CX141" s="197">
        <f>IF(AND($D141&gt;0,AX141=""),1,IF(AX141&gt;$D141,1,0))</f>
        <v/>
      </c>
    </row>
    <row r="142" ht="15" customHeight="1" s="8286">
      <c r="A142" s="10223" t="inlineStr">
        <is>
          <t xml:space="preserve">Cirugía Ortognática </t>
        </is>
      </c>
      <c r="B142" s="9817" t="n"/>
      <c r="C142" s="9720" t="n"/>
      <c r="D142" s="1252">
        <f>SUM(E142:F142)</f>
        <v/>
      </c>
      <c r="E142" s="1379">
        <f>SUM(G142+I142+K142+M142+O142+Q142+S142+U142+W142+Y142+AA142+AC142+AE142+AG142+AI142+AK142+AM142)</f>
        <v/>
      </c>
      <c r="F142" s="1359">
        <f>SUM(H142+J142+L142+N142+P142+R142+T142+V142+X142+Z142+AB142+AD142+AF142+AH142+AJ142+AL142+AN142)</f>
        <v/>
      </c>
      <c r="G142" s="664" t="n"/>
      <c r="H142" s="2834" t="n"/>
      <c r="I142" s="664" t="n"/>
      <c r="J142" s="2556" t="n"/>
      <c r="K142" s="645" t="n"/>
      <c r="L142" s="1119" t="n"/>
      <c r="M142" s="1188" t="n"/>
      <c r="N142" s="1119" t="n"/>
      <c r="O142" s="1193" t="n"/>
      <c r="P142" s="1119" t="n"/>
      <c r="Q142" s="1193" t="n"/>
      <c r="R142" s="1119" t="n"/>
      <c r="S142" s="1193" t="n"/>
      <c r="T142" s="1119" t="n"/>
      <c r="U142" s="1193" t="n"/>
      <c r="V142" s="1119" t="n"/>
      <c r="W142" s="1193" t="n"/>
      <c r="X142" s="1119" t="n"/>
      <c r="Y142" s="1193" t="n"/>
      <c r="Z142" s="1119" t="n"/>
      <c r="AA142" s="1193" t="n"/>
      <c r="AB142" s="1119" t="n"/>
      <c r="AC142" s="1193" t="n"/>
      <c r="AD142" s="1119" t="n"/>
      <c r="AE142" s="1193" t="n"/>
      <c r="AF142" s="1119" t="n"/>
      <c r="AG142" s="1193" t="n"/>
      <c r="AH142" s="1119" t="n"/>
      <c r="AI142" s="1193" t="n"/>
      <c r="AJ142" s="1119" t="n"/>
      <c r="AK142" s="1193" t="n"/>
      <c r="AL142" s="1119" t="n"/>
      <c r="AM142" s="1193" t="n"/>
      <c r="AN142" s="1224" t="n"/>
      <c r="AO142" s="1225" t="n"/>
      <c r="AP142" s="2001" t="n"/>
      <c r="AQ142" s="2001" t="n"/>
      <c r="AR142" s="2001" t="n"/>
      <c r="AS142" s="2001" t="n"/>
      <c r="AT142" s="885" t="n"/>
      <c r="AU142" s="742" t="n"/>
      <c r="AV142" s="1112" t="n"/>
      <c r="AW142" s="204" t="n"/>
      <c r="AX142" s="2057" t="n"/>
      <c r="AY142">
        <f>CA142&amp;CB142&amp;CC142&amp;CD142&amp;CE142&amp;CF142&amp;CG142&amp;CH142&amp;CI142&amp;CJ142</f>
        <v/>
      </c>
      <c r="CA142" s="196">
        <f>IF(AND((W142+X142)&gt;0,AO142="")," * No olvide digitar la variable 12 años (incluido en el grupo de 10-14 años). Digite Cero si no tiene.",IF(AO142&gt;(W142+X142),"* Las Consultas de 12 años (incluido en el grupo de 10-14 años) NO DEBEN ser mayor que el total de Consultas entre 10-14 años",""))</f>
        <v/>
      </c>
      <c r="CB142" s="196">
        <f>IF(AND($F142&gt;0,AP142="")," * No olvide digitar la variable Gestante. Digite cero si no tiene.",IF(AP142&gt;$F142," * La variable Gestante NO DEBEN ser mayor al Total de Mujeres. ",""))</f>
        <v/>
      </c>
      <c r="CC142" s="196">
        <f>IF(AND(D142&gt;0,AQ142="")," * No olvide digitar la variable  Atención bajo sedación inhalatoria (con óxido nitroso). Digite Cero si no tiene.",IF(AQ142&gt;D142," * La variable  Atención bajo sedación inhalatoria (con óxido nitroso) NO DEBE ser mayor que el Total Ambos Sexos",""))</f>
        <v/>
      </c>
      <c r="CD142" s="196">
        <f>IF(AND((AI142+AJ142)&gt;0,AR142="")," * No olvide digitar la variable 60 años (incluido en grupos de 60-64 años). Digite Cero si no tiene.",IF(AR142&gt;(AI142+AJ142)," * La variable 60 años (incluido en grupos de 60-64 años) NO DEBE ser mayor que el Total de consultas del grupo 60-64 años",""))</f>
        <v/>
      </c>
      <c r="CE142" s="196">
        <f>IF(AND($D142&gt;0,AS142="")," * No olvide digitar la variable Compra de Servicios. Digite Cero si no tiene.","")</f>
        <v/>
      </c>
      <c r="CF142" s="196">
        <f>IF(AND($D142&gt;0,AT142="")," * No olvide digitar la Usuarios con Discapacidad. Digite Cero si no tiene.",IF(AT142&gt;$D142," * La variable Usuarios con Discapacidad No puede ser mayor al Total Ambos Sexos.",""))</f>
        <v/>
      </c>
      <c r="CG142" s="196">
        <f>IF(AND($D142&gt;0,AU142="")," * No olvide digitar la variable "&amp;AU$88&amp;". Digite Cero si no tiene.",IF(AU142&gt;$D142," * La variable "&amp;AU$88&amp;" No puede ser mayor al Total Ambos Sexos.",""))</f>
        <v/>
      </c>
      <c r="CH142" s="196">
        <f>IF(AND($D142&gt;0,AV142="")," * No olvide digitar la variable "&amp;AV$88&amp;" Digite Cero si no tiene.",IF(AV142&gt;$D142," * La variable"&amp;AV$88&amp;"no puede ser mayor al Total Ambos Sexos.",""))</f>
        <v/>
      </c>
      <c r="CI142" s="196">
        <f>IF(AND($D142&gt;0,AW142="")," * No olvide digitar la variable Migrantes. Digite Cero si no tiene.",IF(AW142&gt;$D142," * La variable Migrantes no puede ser mayor al Total Ambos Sexos.",""))</f>
        <v/>
      </c>
      <c r="CJ142" s="196">
        <f>IF(AND($D142&gt;0,AX142="")," * No olvide digitar la variable Flujo digital. Digite Cero si no tiene.",IF(AX142&gt;$D142," * La variable Flujo digital no puede ser mayor al Total Ambos Sexos.",""))</f>
        <v/>
      </c>
      <c r="CO142" s="197">
        <f>IF(AND($D142&gt;0,AO142=""),1,IF(AO142&gt;D142,1,0))</f>
        <v/>
      </c>
      <c r="CP142" s="197">
        <f>IF(AND($F142&gt;0,AP142=""),1,IF(AP142&gt;$F142,1,0))</f>
        <v/>
      </c>
      <c r="CQ142" s="197">
        <f>IF(AND($D142&gt;0,AQ142=""),1,IF(AQ142&gt;$D142,1,0))</f>
        <v/>
      </c>
      <c r="CR142" s="197">
        <f>IF(AND(AI142+AJ142&gt;0,AR142=""),1,IF(AR142&gt;AI142+AJ142,1,0))</f>
        <v/>
      </c>
      <c r="CS142" s="197">
        <f>IF(AND($D142&gt;0,AS142=""),1,0)</f>
        <v/>
      </c>
      <c r="CT142" s="197">
        <f>IF(AND($D142&gt;0,AT142=""),1,IF(AT142&gt;$D142,1,0))</f>
        <v/>
      </c>
      <c r="CU142" s="197">
        <f>IF(AND($D142&gt;0,AU142=""),1,IF(AU142&gt;$D142,1,0))</f>
        <v/>
      </c>
      <c r="CV142" s="197">
        <f>IF(AND($D142&gt;0,AV142=""),1,IF(AV142&gt;$D142,1,0))</f>
        <v/>
      </c>
      <c r="CW142" s="197">
        <f>IF(AND($D142&gt;0,AW142=""),1,IF(AW142&gt;$D142,1,0))</f>
        <v/>
      </c>
      <c r="CX142" s="197">
        <f>IF(AND($D142&gt;0,AX142=""),1,IF(AX142&gt;$D142,1,0))</f>
        <v/>
      </c>
    </row>
    <row r="143" ht="15" customHeight="1" s="8286">
      <c r="A143" s="9240" t="inlineStr">
        <is>
          <t>TOTAL</t>
        </is>
      </c>
      <c r="B143" s="9584" t="n"/>
      <c r="C143" s="9647" t="n"/>
      <c r="D143" s="2835">
        <f>SUM(E143:F143)</f>
        <v/>
      </c>
      <c r="E143" s="2709">
        <f>SUM(G143+I143+K143+M143+O143+Q143+S143+U143+W143+Y143+AA143+AC143+AE143+AG143+AI143+AK143+AM143)</f>
        <v/>
      </c>
      <c r="F143" s="2836">
        <f>SUM(H143+J143+L143+N143+P143+R143+T143+V143+X143+Z143+AB143+AD143+AF143+AH143+AJ143+AL143+AN143)</f>
        <v/>
      </c>
      <c r="G143" s="2835">
        <f>SUM(G91:G103,G105:G109,G115:G117,G120,G128:G142)</f>
        <v/>
      </c>
      <c r="H143" s="2837">
        <f>SUM(H91:H103,H105:H109,H115:H117,H120,H128:H142)</f>
        <v/>
      </c>
      <c r="I143" s="2835">
        <f>SUM(I91:I103,I105:I109,I115:I117,I120,I128:I142)</f>
        <v/>
      </c>
      <c r="J143" s="2838">
        <f>SUM(J91:J103,J105:J109,J115:J117,J120,J128:J142)</f>
        <v/>
      </c>
      <c r="K143" s="2835">
        <f>SUM(K91:K103,K105:K109,K115:K117,K119:K120,K128:K142)</f>
        <v/>
      </c>
      <c r="L143" s="2837">
        <f>SUM(L91:L103,L105:L109,L115:L117,L119:L120,L128:L142)</f>
        <v/>
      </c>
      <c r="M143" s="2681">
        <f>SUM(M91:M103,M105:M109,M115:M117,M119:M120,M128:M142)</f>
        <v/>
      </c>
      <c r="N143" s="2839">
        <f>SUM(N91:N103,N105:N109,N115:N117,N119:N120,N128:N142)</f>
        <v/>
      </c>
      <c r="O143" s="2681">
        <f>SUM(O91:O103,O105:O109,O115:O117,O119:O120,O128:O142)</f>
        <v/>
      </c>
      <c r="P143" s="2839">
        <f>SUM(P91:P103,P105:P109,P115:P117,P119:P120,P128:P142)</f>
        <v/>
      </c>
      <c r="Q143" s="2681">
        <f>SUM(Q91:Q103,Q105:Q117,Q119:Q121,Q126,Q128:Q142)</f>
        <v/>
      </c>
      <c r="R143" s="2840">
        <f>SUM(R91:R103,R105:R117,R119:R121,R126,R128:R142)</f>
        <v/>
      </c>
      <c r="S143" s="2681">
        <f>SUM(S91:S103,S105:S121,S126,S128:S142)</f>
        <v/>
      </c>
      <c r="T143" s="2839">
        <f>SUM(T91:T103,T105:T121,T126,T128:T142)</f>
        <v/>
      </c>
      <c r="U143" s="2681">
        <f>SUM(U91:U103,U105:U121,U126,U128:U142)</f>
        <v/>
      </c>
      <c r="V143" s="2839">
        <f>SUM(V91:V103,V105:V121,V126,V128:V142)</f>
        <v/>
      </c>
      <c r="W143" s="2681">
        <f>SUM(W91:W103,W105:W121,W126,W128:W142)</f>
        <v/>
      </c>
      <c r="X143" s="2839">
        <f>SUM(X91:X103,X105:X121,X126,X128:X142)</f>
        <v/>
      </c>
      <c r="Y143" s="2681">
        <f>SUM(Y91:Y142)</f>
        <v/>
      </c>
      <c r="Z143" s="2839">
        <f>SUM(Z91:Z142)</f>
        <v/>
      </c>
      <c r="AA143" s="2681">
        <f>SUM(AA91:AA104,AA106:AA112,AA114:AA142)</f>
        <v/>
      </c>
      <c r="AB143" s="2839">
        <f>SUM(AB91:AB104,AB106:AB112,AB114:AB142)</f>
        <v/>
      </c>
      <c r="AC143" s="2681">
        <f>SUM(AC91:AC104,AC106:AC112,AC114:AC142)</f>
        <v/>
      </c>
      <c r="AD143" s="2839">
        <f>SUM(AD91:AD104,AD106:AD112,AD114:AD142)</f>
        <v/>
      </c>
      <c r="AE143" s="2681">
        <f>SUM(AE91:AE104,AE106:AE112,AE114:AE142)</f>
        <v/>
      </c>
      <c r="AF143" s="2839">
        <f>SUM(AF91:AF104,AF106:AF112,AF114:AF142)</f>
        <v/>
      </c>
      <c r="AG143" s="2681">
        <f>SUM(AG91:AG104,AG106:AG112,AG114:AG142)</f>
        <v/>
      </c>
      <c r="AH143" s="2839">
        <f>SUM(AH91:AH104,AH106:AH112,AH114:AH142)</f>
        <v/>
      </c>
      <c r="AI143" s="2681">
        <f>SUM(AI91:AI104,AI106:AI112,AI114:AI142)</f>
        <v/>
      </c>
      <c r="AJ143" s="2839">
        <f>SUM(AJ91:AJ104,AJ106:AJ112,AJ114:AJ142)</f>
        <v/>
      </c>
      <c r="AK143" s="2681">
        <f>SUM(AK91:AK104,AK106:AK112,AK114:AK142)</f>
        <v/>
      </c>
      <c r="AL143" s="2839">
        <f>SUM(AL91:AL104,AL106:AL112,AL114:AL142)</f>
        <v/>
      </c>
      <c r="AM143" s="2681">
        <f>SUM(AM91:AM104,AM106:AM112,AM114:AM142)</f>
        <v/>
      </c>
      <c r="AN143" s="2839">
        <f>SUM(AN91:AN104,AN106:AN112,AN114:AN142)</f>
        <v/>
      </c>
      <c r="AO143" s="2841">
        <f>SUM(AO91:AO103,AO105:AO120,AO128:AO142,AO126)</f>
        <v/>
      </c>
      <c r="AP143" s="2682">
        <f>SUM(AP91:AP142)</f>
        <v/>
      </c>
      <c r="AQ143" s="2682">
        <f>SUM(AQ91:AQ142)</f>
        <v/>
      </c>
      <c r="AR143" s="2682">
        <f>SUM(AR91:AR104,AR106:AR112,AR114:AR142)</f>
        <v/>
      </c>
      <c r="AS143" s="2682">
        <f>SUM(AS91:AS142)</f>
        <v/>
      </c>
      <c r="AT143" s="2842">
        <f>SUM(AT91:AT142)</f>
        <v/>
      </c>
      <c r="AU143" s="2843">
        <f>SUM(AU91:AU142)</f>
        <v/>
      </c>
      <c r="AV143" s="2844">
        <f>SUM(AV91:AV142)</f>
        <v/>
      </c>
      <c r="AW143" s="2840">
        <f>SUM(AW91:AW142)</f>
        <v/>
      </c>
      <c r="AX143" s="2839">
        <f>SUM(AX104,AX116,AX121:AX127,AX138:AX139,AX141:AX142)</f>
        <v/>
      </c>
    </row>
    <row r="144" ht="18" customHeight="1" s="8286">
      <c r="A144" s="2" t="inlineStr">
        <is>
          <t>SECCIÓN F.1 : ACTIVIDADES  QUIRÚRGICAS POR ESPECIALIDAD  ODONTOLÓGICA</t>
        </is>
      </c>
      <c r="B144" s="7672" t="n"/>
      <c r="C144" s="7672" t="n"/>
      <c r="D144" s="356" t="n"/>
      <c r="E144" s="8347" t="n"/>
      <c r="F144" s="8347" t="n"/>
      <c r="G144" s="356" t="n"/>
      <c r="H144" s="356" t="n"/>
      <c r="I144" s="356" t="n"/>
      <c r="J144" s="356" t="n"/>
      <c r="K144" s="356" t="n"/>
      <c r="L144" s="356" t="n"/>
      <c r="M144" s="357" t="n"/>
      <c r="N144" s="357" t="n"/>
      <c r="O144" s="8" t="n"/>
      <c r="P144" s="8" t="n"/>
      <c r="Q144" s="8" t="n"/>
      <c r="R144" s="8" t="n"/>
      <c r="S144" s="8" t="n"/>
      <c r="T144" s="8" t="n"/>
      <c r="U144" s="8" t="n"/>
      <c r="V144" s="8" t="n"/>
      <c r="W144" s="8" t="n"/>
      <c r="X144" s="8" t="n"/>
      <c r="Y144" s="8" t="n"/>
      <c r="Z144" s="8" t="n"/>
      <c r="AA144" s="8" t="n"/>
      <c r="AB144" s="8" t="n"/>
      <c r="AC144" s="8" t="n"/>
      <c r="AD144" s="8" t="n"/>
      <c r="AE144" s="8" t="n"/>
      <c r="AF144" s="8" t="n"/>
      <c r="AG144" s="8" t="n"/>
      <c r="AH144" s="8" t="n"/>
      <c r="AI144" s="8" t="n"/>
      <c r="AJ144" s="8" t="n"/>
      <c r="AK144" s="8" t="n"/>
      <c r="AL144" s="8" t="n"/>
      <c r="AM144" s="8" t="n"/>
      <c r="AN144" s="8" t="n"/>
      <c r="AO144" s="8" t="n"/>
      <c r="AP144" s="8" t="n"/>
      <c r="AQ144" s="8" t="n"/>
      <c r="AR144" s="8" t="n"/>
      <c r="AS144" s="8" t="n"/>
      <c r="AT144" s="8" t="n"/>
      <c r="AU144" s="8" t="n"/>
      <c r="AV144" s="8" t="n"/>
      <c r="AW144" s="8" t="n"/>
      <c r="AX144" s="8" t="n"/>
    </row>
    <row r="145" ht="21.75" customHeight="1" s="8286">
      <c r="A145" s="10247" t="inlineStr">
        <is>
          <t>ESPECIALIDAD</t>
        </is>
      </c>
      <c r="B145" s="9690" t="inlineStr">
        <is>
          <t xml:space="preserve"> Total Cirugía Menor</t>
        </is>
      </c>
      <c r="C145" s="10248" t="inlineStr">
        <is>
          <t>Cirugía Menor en Sala de procedimiento invasivo</t>
        </is>
      </c>
      <c r="D145" s="9981" t="inlineStr">
        <is>
          <t>Cirugía Menor en Quirófano de menor complejidad</t>
        </is>
      </c>
      <c r="E145" s="9925" t="inlineStr">
        <is>
          <t>Cirugía menor Quirófano de mayor complejidad</t>
        </is>
      </c>
      <c r="F145" s="10002" t="inlineStr">
        <is>
          <t>Implantes dentales</t>
        </is>
      </c>
      <c r="G145" s="9981" t="inlineStr">
        <is>
          <t xml:space="preserve"> Cirugía Tercer molar </t>
        </is>
      </c>
      <c r="H145" s="10249" t="inlineStr">
        <is>
          <t>Discapacidad</t>
        </is>
      </c>
      <c r="I145" s="9920" t="inlineStr">
        <is>
          <t>Total de cirugias mayores en Quirófano de mayor  complejidad</t>
        </is>
      </c>
      <c r="J145" s="9498" t="inlineStr">
        <is>
          <t>Cirugía Mayor Ambulatoria Electiva/Urgencia en quirófano de mayor complejidad</t>
        </is>
      </c>
      <c r="K145" s="4821" t="inlineStr">
        <is>
          <t xml:space="preserve"> Cirugía Mayor No Ambulatoria Electiva/Urgencia en quirófano de mayor complejidad</t>
        </is>
      </c>
      <c r="L145" s="9980" t="inlineStr">
        <is>
          <t>Implantes dentales</t>
        </is>
      </c>
      <c r="M145" s="9981" t="inlineStr">
        <is>
          <t xml:space="preserve"> Cirugía Tercer molar </t>
        </is>
      </c>
      <c r="N145" s="10250" t="inlineStr">
        <is>
          <t>Discapacidad</t>
        </is>
      </c>
      <c r="O145" s="115" t="n"/>
      <c r="P145" s="115" t="n"/>
      <c r="Q145" s="115" t="n"/>
      <c r="R145" s="115" t="n"/>
      <c r="S145" s="115" t="n"/>
      <c r="T145" s="115" t="n"/>
      <c r="U145" s="115" t="n"/>
      <c r="V145" s="115" t="n"/>
      <c r="W145" s="115" t="n"/>
      <c r="X145" s="115" t="n"/>
      <c r="Y145" s="115" t="n"/>
      <c r="Z145" s="115" t="n"/>
      <c r="AA145" s="115" t="n"/>
      <c r="AB145" s="115" t="n"/>
      <c r="AC145" s="115" t="n"/>
      <c r="AD145" s="115" t="n"/>
      <c r="AE145" s="115" t="n"/>
      <c r="AF145" s="115" t="n"/>
      <c r="AG145" s="115" t="n"/>
      <c r="AH145" s="115" t="n"/>
      <c r="AI145" s="115" t="n"/>
      <c r="AJ145" s="115" t="n"/>
      <c r="AK145" s="115" t="n"/>
      <c r="AL145" s="115" t="n"/>
      <c r="AM145" s="115" t="n"/>
      <c r="AN145" s="115" t="n"/>
      <c r="AO145" s="115" t="n"/>
      <c r="AP145" s="115" t="n"/>
      <c r="AQ145" s="7672" t="n"/>
      <c r="AR145" s="7672" t="n"/>
      <c r="AS145" s="7672" t="n"/>
      <c r="AT145" s="7672" t="n"/>
      <c r="AU145" s="7672" t="n"/>
      <c r="AV145" s="7672" t="n"/>
      <c r="AW145" s="7672" t="n"/>
      <c r="AX145" s="7672" t="n"/>
    </row>
    <row r="146" ht="27" customHeight="1" s="8286">
      <c r="A146" s="9588" t="n"/>
      <c r="B146" s="9588" t="n"/>
      <c r="C146" s="9852" t="n"/>
      <c r="D146" s="10017" t="n"/>
      <c r="E146" s="10251" t="n"/>
      <c r="F146" s="9687" t="n"/>
      <c r="G146" s="10017" t="n"/>
      <c r="H146" s="9704" t="n"/>
      <c r="I146" s="9625" t="n"/>
      <c r="J146" s="10158" t="n"/>
      <c r="K146" s="10251" t="n"/>
      <c r="L146" s="9683" t="n"/>
      <c r="M146" s="10017" t="n"/>
      <c r="N146" s="9625" t="n"/>
      <c r="O146" s="115" t="n"/>
      <c r="P146" s="115" t="n"/>
      <c r="Q146" s="115" t="n"/>
      <c r="R146" s="115" t="n"/>
      <c r="S146" s="115" t="n"/>
      <c r="T146" s="115" t="n"/>
      <c r="U146" s="115" t="n"/>
      <c r="V146" s="115" t="n"/>
      <c r="W146" s="115" t="n"/>
      <c r="X146" s="115" t="n"/>
      <c r="Y146" s="115" t="n"/>
      <c r="Z146" s="116" t="n"/>
      <c r="AA146" s="115" t="n"/>
      <c r="AB146" s="116" t="n"/>
      <c r="AC146" s="115" t="n"/>
      <c r="AD146" s="116" t="n"/>
      <c r="AE146" s="115" t="n"/>
      <c r="AF146" s="116" t="n"/>
      <c r="AG146" s="115" t="n"/>
      <c r="AH146" s="116" t="n"/>
      <c r="AI146" s="115" t="n"/>
      <c r="AJ146" s="116" t="n"/>
      <c r="AK146" s="115" t="n"/>
      <c r="AL146" s="116" t="n"/>
      <c r="AM146" s="115" t="n"/>
      <c r="AN146" s="116" t="n"/>
      <c r="AO146" s="115" t="n"/>
      <c r="AP146" s="116" t="n"/>
    </row>
    <row r="147" ht="22.5" customHeight="1" s="8286">
      <c r="A147" s="9589" t="n"/>
      <c r="B147" s="9589" t="n"/>
      <c r="C147" s="9800" t="n"/>
      <c r="D147" s="9912" t="n"/>
      <c r="E147" s="9926" t="n"/>
      <c r="F147" s="9688" t="n"/>
      <c r="G147" s="9912" t="n"/>
      <c r="H147" s="9705" t="n"/>
      <c r="I147" s="9641" t="n"/>
      <c r="J147" s="10055" t="n"/>
      <c r="K147" s="10252" t="n"/>
      <c r="L147" s="9604" t="n"/>
      <c r="M147" s="9912" t="n"/>
      <c r="N147" s="9641" t="n"/>
      <c r="O147" s="7672" t="n"/>
      <c r="P147" s="7672" t="n"/>
      <c r="Q147" s="7672" t="n"/>
      <c r="R147" s="7672" t="n"/>
      <c r="S147" s="7672" t="n"/>
      <c r="T147" s="7672" t="n"/>
      <c r="U147" s="7672" t="n"/>
      <c r="V147" s="7672" t="n"/>
      <c r="W147" s="7672" t="n"/>
      <c r="X147" s="7672" t="n"/>
      <c r="Y147" s="7672" t="n"/>
      <c r="Z147" s="7672" t="n"/>
      <c r="AA147" s="7672" t="n"/>
      <c r="AB147" s="7672" t="n"/>
      <c r="AC147" s="7672" t="n"/>
      <c r="AD147" s="7672" t="n"/>
      <c r="AE147" s="7672" t="n"/>
      <c r="AF147" s="7672" t="n"/>
      <c r="AG147" s="7672" t="n"/>
      <c r="AH147" s="7672" t="n"/>
      <c r="AI147" s="7672" t="n"/>
      <c r="AJ147" s="7672" t="n"/>
      <c r="AK147" s="7672" t="n"/>
      <c r="AL147" s="7672" t="n"/>
      <c r="AM147" s="7672" t="n"/>
      <c r="AN147" s="7672" t="n"/>
      <c r="AO147" s="7672" t="n"/>
      <c r="AP147" s="7672" t="n"/>
    </row>
    <row r="148" ht="15" customHeight="1" s="8286">
      <c r="A148" s="2848" t="inlineStr">
        <is>
          <t xml:space="preserve">Endodoncia </t>
        </is>
      </c>
      <c r="B148" s="2849">
        <f>SUM(C148:E148)</f>
        <v/>
      </c>
      <c r="C148" s="2850" t="n"/>
      <c r="D148" s="846" t="n"/>
      <c r="E148" s="2851" t="n"/>
      <c r="F148" s="1942" t="n"/>
      <c r="G148" s="846" t="n"/>
      <c r="H148" s="2852" t="n"/>
      <c r="I148" s="2288">
        <f>SUM(J148:K148)</f>
        <v/>
      </c>
      <c r="J148" s="2853" t="n"/>
      <c r="K148" s="2851" t="n"/>
      <c r="L148" s="896" t="n"/>
      <c r="M148" s="846" t="n"/>
      <c r="N148" s="2854" t="n"/>
      <c r="P148" s="331" t="n"/>
      <c r="Q148" s="331" t="n"/>
      <c r="R148" s="331" t="n"/>
      <c r="S148" s="331" t="n"/>
      <c r="T148" s="331" t="n"/>
      <c r="U148" s="331" t="n"/>
      <c r="V148" s="331" t="n"/>
      <c r="W148" s="331" t="n"/>
      <c r="X148" s="331" t="n"/>
      <c r="Y148" s="331" t="n"/>
      <c r="Z148" s="331" t="n"/>
      <c r="AA148" s="331" t="n"/>
      <c r="AB148" s="331" t="n"/>
      <c r="AC148" s="331" t="n"/>
      <c r="AD148" s="331" t="n"/>
      <c r="AE148" s="331" t="n"/>
      <c r="AF148" s="331" t="n"/>
      <c r="AG148" s="331" t="n"/>
      <c r="AH148" s="331" t="n"/>
      <c r="AI148" s="331" t="n"/>
      <c r="AJ148" s="331" t="n"/>
      <c r="AK148" s="331" t="n"/>
      <c r="AL148" s="331" t="n"/>
      <c r="AM148" s="331" t="n"/>
      <c r="AN148" s="331" t="n"/>
      <c r="AO148" s="331" t="n"/>
      <c r="AP148" s="331" t="n"/>
      <c r="AQ148" s="331" t="n"/>
      <c r="AR148" s="331" t="n"/>
      <c r="AS148" s="331" t="n"/>
      <c r="AT148" s="331" t="n"/>
      <c r="AU148" s="331" t="n"/>
      <c r="AV148" s="331" t="n"/>
      <c r="AW148" s="331" t="n"/>
      <c r="AX148" s="331" t="n"/>
    </row>
    <row r="149" ht="15" customHeight="1" s="8286">
      <c r="A149" s="2848" t="inlineStr">
        <is>
          <t>Rehabilitación oral</t>
        </is>
      </c>
      <c r="B149" s="2555">
        <f>SUM(C149:E149)</f>
        <v/>
      </c>
      <c r="C149" s="2855" t="n"/>
      <c r="D149" s="2831" t="n"/>
      <c r="E149" s="2856" t="n"/>
      <c r="F149" s="1302" t="n"/>
      <c r="G149" s="2831" t="n"/>
      <c r="H149" s="2857" t="n"/>
      <c r="I149" s="2288">
        <f>SUM(J149:K149)</f>
        <v/>
      </c>
      <c r="J149" s="1242" t="n"/>
      <c r="K149" s="2856" t="n"/>
      <c r="L149" s="888" t="n"/>
      <c r="M149" s="2831" t="n"/>
      <c r="N149" s="1396" t="n"/>
      <c r="P149" s="331" t="n"/>
      <c r="Q149" s="331" t="n"/>
      <c r="R149" s="331" t="n"/>
      <c r="S149" s="331" t="n"/>
      <c r="T149" s="331" t="n"/>
      <c r="U149" s="331" t="n"/>
      <c r="V149" s="331" t="n"/>
      <c r="W149" s="331" t="n"/>
      <c r="X149" s="331" t="n"/>
      <c r="Y149" s="331" t="n"/>
      <c r="Z149" s="331" t="n"/>
      <c r="AA149" s="331" t="n"/>
      <c r="AB149" s="331" t="n"/>
      <c r="AC149" s="331" t="n"/>
      <c r="AD149" s="331" t="n"/>
      <c r="AE149" s="331" t="n"/>
      <c r="AF149" s="331" t="n"/>
      <c r="AG149" s="331" t="n"/>
      <c r="AH149" s="331" t="n"/>
      <c r="AI149" s="331" t="n"/>
      <c r="AJ149" s="331" t="n"/>
      <c r="AK149" s="331" t="n"/>
      <c r="AL149" s="331" t="n"/>
      <c r="AM149" s="331" t="n"/>
      <c r="AN149" s="331" t="n"/>
      <c r="AO149" s="331" t="n"/>
      <c r="AP149" s="331" t="n"/>
      <c r="AQ149" s="331" t="n"/>
      <c r="AR149" s="331" t="n"/>
      <c r="AS149" s="331" t="n"/>
      <c r="AT149" s="331" t="n"/>
      <c r="AU149" s="331" t="n"/>
      <c r="AV149" s="331" t="n"/>
      <c r="AW149" s="331" t="n"/>
      <c r="AX149" s="331" t="n"/>
    </row>
    <row r="150" ht="15" customHeight="1" s="8286">
      <c r="A150" s="2848" t="inlineStr">
        <is>
          <t xml:space="preserve">Cirugía y Traumatología Maxilofacial </t>
        </is>
      </c>
      <c r="B150" s="2555">
        <f>SUM(C150:E150)</f>
        <v/>
      </c>
      <c r="C150" s="2858" t="n"/>
      <c r="D150" s="2831" t="n"/>
      <c r="E150" s="2856" t="n"/>
      <c r="F150" s="1302" t="n"/>
      <c r="G150" s="2831" t="n"/>
      <c r="H150" s="2857" t="n"/>
      <c r="I150" s="2288">
        <f>SUM(J150:K150)</f>
        <v/>
      </c>
      <c r="J150" s="1242" t="n"/>
      <c r="K150" s="2856" t="n"/>
      <c r="L150" s="888" t="n"/>
      <c r="M150" s="2831" t="n"/>
      <c r="N150" s="1396" t="n"/>
      <c r="P150" s="331" t="n"/>
      <c r="Q150" s="331" t="n"/>
      <c r="R150" s="331" t="n"/>
      <c r="S150" s="331" t="n"/>
      <c r="T150" s="331" t="n"/>
      <c r="U150" s="331" t="n"/>
      <c r="V150" s="331" t="n"/>
      <c r="W150" s="331" t="n"/>
      <c r="X150" s="331" t="n"/>
      <c r="Y150" s="331" t="n"/>
      <c r="Z150" s="331" t="n"/>
      <c r="AA150" s="331" t="n"/>
      <c r="AB150" s="331" t="n"/>
      <c r="AC150" s="331" t="n"/>
      <c r="AD150" s="331" t="n"/>
      <c r="AE150" s="331" t="n"/>
      <c r="AF150" s="331" t="n"/>
      <c r="AG150" s="331" t="n"/>
      <c r="AH150" s="331" t="n"/>
      <c r="AI150" s="331" t="n"/>
      <c r="AJ150" s="331" t="n"/>
      <c r="AK150" s="331" t="n"/>
      <c r="AL150" s="331" t="n"/>
      <c r="AM150" s="331" t="n"/>
      <c r="AN150" s="331" t="n"/>
      <c r="AO150" s="331" t="n"/>
      <c r="AP150" s="331" t="n"/>
      <c r="AQ150" s="331" t="n"/>
      <c r="AR150" s="331" t="n"/>
      <c r="AS150" s="331" t="n"/>
      <c r="AT150" s="331" t="n"/>
      <c r="AU150" s="331" t="n"/>
      <c r="AV150" s="331" t="n"/>
      <c r="AW150" s="331" t="n"/>
      <c r="AX150" s="331" t="n"/>
    </row>
    <row r="151" ht="15" customHeight="1" s="8286">
      <c r="A151" s="2848" t="inlineStr">
        <is>
          <t xml:space="preserve">Odontopediatría </t>
        </is>
      </c>
      <c r="B151" s="2555">
        <f>SUM(C151:E151)</f>
        <v/>
      </c>
      <c r="C151" s="2855" t="n"/>
      <c r="D151" s="2831" t="n"/>
      <c r="E151" s="2856" t="n"/>
      <c r="F151" s="1942" t="n"/>
      <c r="G151" s="2831" t="n"/>
      <c r="H151" s="2857" t="n"/>
      <c r="I151" s="2288">
        <f>SUM(J151:K151)</f>
        <v/>
      </c>
      <c r="J151" s="1242" t="n"/>
      <c r="K151" s="2856" t="n"/>
      <c r="L151" s="896" t="n"/>
      <c r="M151" s="2831" t="n"/>
      <c r="N151" s="1396" t="n"/>
      <c r="P151" s="331" t="n"/>
      <c r="Q151" s="331" t="n"/>
      <c r="R151" s="331" t="n"/>
      <c r="S151" s="331" t="n"/>
      <c r="T151" s="331" t="n"/>
      <c r="U151" s="331" t="n"/>
      <c r="V151" s="331" t="n"/>
      <c r="W151" s="331" t="n"/>
      <c r="X151" s="331" t="n"/>
      <c r="Y151" s="331" t="n"/>
      <c r="Z151" s="331" t="n"/>
      <c r="AA151" s="331" t="n"/>
      <c r="AB151" s="331" t="n"/>
      <c r="AC151" s="331" t="n"/>
      <c r="AD151" s="331" t="n"/>
      <c r="AE151" s="331" t="n"/>
      <c r="AF151" s="331" t="n"/>
      <c r="AG151" s="331" t="n"/>
      <c r="AH151" s="331" t="n"/>
      <c r="AI151" s="331" t="n"/>
      <c r="AJ151" s="331" t="n"/>
      <c r="AK151" s="331" t="n"/>
      <c r="AL151" s="331" t="n"/>
      <c r="AM151" s="331" t="n"/>
      <c r="AN151" s="331" t="n"/>
      <c r="AO151" s="331" t="n"/>
      <c r="AP151" s="331" t="n"/>
      <c r="AQ151" s="331" t="n"/>
      <c r="AR151" s="331" t="n"/>
      <c r="AS151" s="331" t="n"/>
      <c r="AT151" s="331" t="n"/>
      <c r="AU151" s="331" t="n"/>
      <c r="AV151" s="331" t="n"/>
      <c r="AW151" s="331" t="n"/>
      <c r="AX151" s="331" t="n"/>
    </row>
    <row r="152" ht="15" customHeight="1" s="8286">
      <c r="A152" s="2848" t="inlineStr">
        <is>
          <t>Ortodoncia y Ortopedia Dentomaxilofacial</t>
        </is>
      </c>
      <c r="B152" s="2555">
        <f>SUM(C152:E152)</f>
        <v/>
      </c>
      <c r="C152" s="2858" t="n"/>
      <c r="D152" s="2831" t="n"/>
      <c r="E152" s="2856" t="n"/>
      <c r="F152" s="1942" t="n"/>
      <c r="G152" s="2831" t="n"/>
      <c r="H152" s="2857" t="n"/>
      <c r="I152" s="2288">
        <f>SUM(J152:K152)</f>
        <v/>
      </c>
      <c r="J152" s="1242" t="n"/>
      <c r="K152" s="2856" t="n"/>
      <c r="L152" s="896" t="n"/>
      <c r="M152" s="2831" t="n"/>
      <c r="N152" s="1396" t="n"/>
      <c r="P152" s="331" t="n"/>
      <c r="Q152" s="331" t="n"/>
      <c r="R152" s="331" t="n"/>
      <c r="S152" s="331" t="n"/>
      <c r="T152" s="331" t="n"/>
      <c r="U152" s="331" t="n"/>
      <c r="V152" s="331" t="n"/>
      <c r="W152" s="331" t="n"/>
      <c r="X152" s="331" t="n"/>
      <c r="Y152" s="331" t="n"/>
      <c r="Z152" s="331" t="n"/>
      <c r="AA152" s="331" t="n"/>
      <c r="AB152" s="331" t="n"/>
      <c r="AC152" s="331" t="n"/>
      <c r="AD152" s="331" t="n"/>
      <c r="AE152" s="331" t="n"/>
      <c r="AF152" s="331" t="n"/>
      <c r="AG152" s="331" t="n"/>
      <c r="AH152" s="331" t="n"/>
      <c r="AI152" s="331" t="n"/>
      <c r="AJ152" s="331" t="n"/>
      <c r="AK152" s="331" t="n"/>
      <c r="AL152" s="331" t="n"/>
      <c r="AM152" s="331" t="n"/>
      <c r="AN152" s="331" t="n"/>
      <c r="AO152" s="331" t="n"/>
      <c r="AP152" s="331" t="n"/>
      <c r="AQ152" s="331" t="n"/>
      <c r="AR152" s="331" t="n"/>
      <c r="AS152" s="331" t="n"/>
      <c r="AT152" s="331" t="n"/>
      <c r="AU152" s="331" t="n"/>
      <c r="AV152" s="331" t="n"/>
      <c r="AW152" s="331" t="n"/>
      <c r="AX152" s="331" t="n"/>
    </row>
    <row r="153" ht="15" customHeight="1" s="8286">
      <c r="A153" s="2848" t="inlineStr">
        <is>
          <t xml:space="preserve">Periodoncia </t>
        </is>
      </c>
      <c r="B153" s="2555">
        <f>SUM(C153:E153)</f>
        <v/>
      </c>
      <c r="C153" s="2855" t="n"/>
      <c r="D153" s="2831" t="n"/>
      <c r="E153" s="2856" t="n"/>
      <c r="F153" s="1302" t="n"/>
      <c r="G153" s="2831" t="n"/>
      <c r="H153" s="2857" t="n"/>
      <c r="I153" s="2288">
        <f>SUM(J153:K153)</f>
        <v/>
      </c>
      <c r="J153" s="1242" t="n"/>
      <c r="K153" s="2856" t="n"/>
      <c r="L153" s="888" t="n"/>
      <c r="M153" s="2831" t="n"/>
      <c r="N153" s="1396" t="n"/>
      <c r="P153" s="331" t="n"/>
      <c r="Q153" s="331" t="n"/>
      <c r="R153" s="331" t="n"/>
      <c r="S153" s="331" t="n"/>
      <c r="T153" s="331" t="n"/>
      <c r="U153" s="331" t="n"/>
      <c r="V153" s="331" t="n"/>
      <c r="W153" s="331" t="n"/>
      <c r="X153" s="331" t="n"/>
      <c r="Y153" s="331" t="n"/>
      <c r="Z153" s="331" t="n"/>
      <c r="AA153" s="331" t="n"/>
      <c r="AB153" s="331" t="n"/>
      <c r="AC153" s="331" t="n"/>
      <c r="AD153" s="331" t="n"/>
      <c r="AE153" s="331" t="n"/>
      <c r="AF153" s="331" t="n"/>
      <c r="AG153" s="331" t="n"/>
      <c r="AH153" s="331" t="n"/>
      <c r="AI153" s="331" t="n"/>
      <c r="AJ153" s="331" t="n"/>
      <c r="AK153" s="331" t="n"/>
      <c r="AL153" s="331" t="n"/>
      <c r="AM153" s="331" t="n"/>
      <c r="AN153" s="331" t="n"/>
      <c r="AO153" s="331" t="n"/>
      <c r="AP153" s="331" t="n"/>
      <c r="AQ153" s="331" t="n"/>
      <c r="AR153" s="331" t="n"/>
      <c r="AS153" s="331" t="n"/>
      <c r="AT153" s="331" t="n"/>
      <c r="AU153" s="331" t="n"/>
      <c r="AV153" s="331" t="n"/>
      <c r="AW153" s="331" t="n"/>
      <c r="AX153" s="331" t="n"/>
    </row>
    <row r="154" ht="15" customHeight="1" s="8286">
      <c r="A154" s="2848" t="inlineStr">
        <is>
          <t xml:space="preserve">Patología oral </t>
        </is>
      </c>
      <c r="B154" s="2555">
        <f>SUM(C154:E154)</f>
        <v/>
      </c>
      <c r="C154" s="2855" t="n"/>
      <c r="D154" s="2831" t="n"/>
      <c r="E154" s="2856" t="n"/>
      <c r="F154" s="1942" t="n"/>
      <c r="G154" s="2831" t="n"/>
      <c r="H154" s="2857" t="n"/>
      <c r="I154" s="2288">
        <f>SUM(J154:K154)</f>
        <v/>
      </c>
      <c r="J154" s="1242" t="n"/>
      <c r="K154" s="2856" t="n"/>
      <c r="L154" s="896" t="n"/>
      <c r="M154" s="2831" t="n"/>
      <c r="N154" s="1396" t="n"/>
      <c r="P154" s="331" t="n"/>
      <c r="Q154" s="331" t="n"/>
      <c r="R154" s="331" t="n"/>
      <c r="S154" s="331" t="n"/>
      <c r="T154" s="331" t="n"/>
      <c r="U154" s="331" t="n"/>
      <c r="V154" s="331" t="n"/>
      <c r="W154" s="331" t="n"/>
      <c r="X154" s="331" t="n"/>
      <c r="Y154" s="331" t="n"/>
      <c r="Z154" s="331" t="n"/>
      <c r="AA154" s="331" t="n"/>
      <c r="AB154" s="331" t="n"/>
      <c r="AC154" s="331" t="n"/>
      <c r="AD154" s="331" t="n"/>
      <c r="AE154" s="331" t="n"/>
      <c r="AF154" s="331" t="n"/>
      <c r="AG154" s="331" t="n"/>
      <c r="AH154" s="331" t="n"/>
      <c r="AI154" s="331" t="n"/>
      <c r="AJ154" s="331" t="n"/>
      <c r="AK154" s="331" t="n"/>
      <c r="AL154" s="331" t="n"/>
      <c r="AM154" s="331" t="n"/>
      <c r="AN154" s="331" t="n"/>
      <c r="AO154" s="331" t="n"/>
      <c r="AP154" s="331" t="n"/>
      <c r="AQ154" s="331" t="n"/>
      <c r="AR154" s="331" t="n"/>
      <c r="AS154" s="331" t="n"/>
      <c r="AT154" s="331" t="n"/>
      <c r="AU154" s="331" t="n"/>
      <c r="AV154" s="331" t="n"/>
      <c r="AW154" s="331" t="n"/>
      <c r="AX154" s="331" t="n"/>
    </row>
    <row r="155" ht="15" customHeight="1" s="8286">
      <c r="A155" s="2848" t="inlineStr">
        <is>
          <t xml:space="preserve">Implantología buco Maxilofacial </t>
        </is>
      </c>
      <c r="B155" s="2555">
        <f>SUM(C155:E155)</f>
        <v/>
      </c>
      <c r="C155" s="2855" t="n"/>
      <c r="D155" s="2831" t="n"/>
      <c r="E155" s="2856" t="n"/>
      <c r="F155" s="1302" t="n"/>
      <c r="G155" s="2831" t="n"/>
      <c r="H155" s="2857" t="n"/>
      <c r="I155" s="2288">
        <f>SUM(J155:K155)</f>
        <v/>
      </c>
      <c r="J155" s="1242" t="n"/>
      <c r="K155" s="2856" t="n"/>
      <c r="L155" s="888" t="n"/>
      <c r="M155" s="2831" t="n"/>
      <c r="N155" s="1396" t="n"/>
      <c r="P155" s="331" t="n"/>
      <c r="Q155" s="331" t="n"/>
      <c r="R155" s="331" t="n"/>
      <c r="S155" s="331" t="n"/>
      <c r="T155" s="331" t="n"/>
      <c r="U155" s="331" t="n"/>
      <c r="V155" s="331" t="n"/>
      <c r="W155" s="331" t="n"/>
      <c r="X155" s="331" t="n"/>
      <c r="Y155" s="331" t="n"/>
      <c r="Z155" s="331" t="n"/>
      <c r="AA155" s="331" t="n"/>
      <c r="AB155" s="331" t="n"/>
      <c r="AC155" s="331" t="n"/>
      <c r="AD155" s="331" t="n"/>
      <c r="AE155" s="331" t="n"/>
      <c r="AF155" s="331" t="n"/>
      <c r="AG155" s="331" t="n"/>
      <c r="AH155" s="331" t="n"/>
      <c r="AI155" s="331" t="n"/>
      <c r="AJ155" s="331" t="n"/>
      <c r="AK155" s="331" t="n"/>
      <c r="AL155" s="331" t="n"/>
      <c r="AM155" s="331" t="n"/>
      <c r="AN155" s="331" t="n"/>
      <c r="AO155" s="331" t="n"/>
      <c r="AP155" s="331" t="n"/>
      <c r="AQ155" s="331" t="n"/>
      <c r="AR155" s="331" t="n"/>
      <c r="AS155" s="331" t="n"/>
      <c r="AT155" s="331" t="n"/>
      <c r="AU155" s="331" t="n"/>
      <c r="AV155" s="331" t="n"/>
      <c r="AW155" s="331" t="n"/>
      <c r="AX155" s="331" t="n"/>
    </row>
    <row r="156" ht="21" customHeight="1" s="8286">
      <c r="A156" s="2859" t="inlineStr">
        <is>
          <t xml:space="preserve">Trastornos temporomandibulares y dolor orofacial </t>
        </is>
      </c>
      <c r="B156" s="2555">
        <f>SUM(C156:E156)</f>
        <v/>
      </c>
      <c r="C156" s="2855" t="n"/>
      <c r="D156" s="2831" t="n"/>
      <c r="E156" s="2856" t="n"/>
      <c r="F156" s="1942" t="n"/>
      <c r="G156" s="2831" t="n"/>
      <c r="H156" s="2857" t="n"/>
      <c r="I156" s="2288">
        <f>SUM(J156:K156)</f>
        <v/>
      </c>
      <c r="J156" s="1242" t="n"/>
      <c r="K156" s="2856" t="n"/>
      <c r="L156" s="896" t="n"/>
      <c r="M156" s="2831" t="n"/>
      <c r="N156" s="1396" t="n"/>
      <c r="P156" s="331" t="n"/>
      <c r="Q156" s="331" t="n"/>
      <c r="R156" s="331" t="n"/>
      <c r="S156" s="331" t="n"/>
      <c r="T156" s="331" t="n"/>
      <c r="U156" s="331" t="n"/>
      <c r="V156" s="331" t="n"/>
      <c r="W156" s="331" t="n"/>
      <c r="X156" s="331" t="n"/>
      <c r="Y156" s="331" t="n"/>
      <c r="Z156" s="331" t="n"/>
      <c r="AA156" s="331" t="n"/>
      <c r="AB156" s="331" t="n"/>
      <c r="AC156" s="331" t="n"/>
      <c r="AD156" s="331" t="n"/>
      <c r="AE156" s="331" t="n"/>
      <c r="AF156" s="331" t="n"/>
      <c r="AG156" s="331" t="n"/>
      <c r="AH156" s="331" t="n"/>
      <c r="AI156" s="331" t="n"/>
      <c r="AJ156" s="331" t="n"/>
      <c r="AK156" s="331" t="n"/>
      <c r="AL156" s="331" t="n"/>
      <c r="AM156" s="331" t="n"/>
      <c r="AN156" s="331" t="n"/>
      <c r="AO156" s="331" t="n"/>
      <c r="AP156" s="331" t="n"/>
      <c r="AQ156" s="331" t="n"/>
      <c r="AR156" s="331" t="n"/>
      <c r="AS156" s="331" t="n"/>
      <c r="AT156" s="331" t="n"/>
      <c r="AU156" s="331" t="n"/>
      <c r="AV156" s="331" t="n"/>
      <c r="AW156" s="331" t="n"/>
      <c r="AX156" s="331" t="n"/>
    </row>
    <row r="157">
      <c r="A157" s="2848" t="inlineStr">
        <is>
          <t xml:space="preserve">Somatoprótesis </t>
        </is>
      </c>
      <c r="B157" s="1354">
        <f>SUM(C157:E157)</f>
        <v/>
      </c>
      <c r="C157" s="2860" t="n"/>
      <c r="D157" s="2861" t="n"/>
      <c r="E157" s="2862" t="n"/>
      <c r="F157" s="1302" t="n"/>
      <c r="G157" s="2861" t="n"/>
      <c r="H157" s="2863" t="n"/>
      <c r="I157" s="2288">
        <f>SUM(J157:K157)</f>
        <v/>
      </c>
      <c r="J157" s="1245" t="n"/>
      <c r="K157" s="2864" t="n"/>
      <c r="L157" s="888" t="n"/>
      <c r="M157" s="2861" t="n"/>
      <c r="N157" s="1396" t="n"/>
      <c r="P157" s="357" t="n"/>
      <c r="Q157" s="357" t="n"/>
      <c r="R157" s="357" t="n"/>
      <c r="S157" s="357" t="n"/>
      <c r="T157" s="357" t="n"/>
      <c r="U157" s="357" t="n"/>
      <c r="V157" s="357" t="n"/>
      <c r="W157" s="357" t="n"/>
      <c r="X157" s="357" t="n"/>
      <c r="Y157" s="357" t="n"/>
      <c r="Z157" s="357" t="n"/>
      <c r="AA157" s="357" t="n"/>
      <c r="AB157" s="357" t="n"/>
      <c r="AC157" s="357" t="n"/>
      <c r="AD157" s="357" t="n"/>
      <c r="AE157" s="357" t="n"/>
      <c r="AF157" s="357" t="n"/>
      <c r="AG157" s="357" t="n"/>
      <c r="AH157" s="357" t="n"/>
      <c r="AI157" s="357" t="n"/>
      <c r="AJ157" s="357" t="n"/>
      <c r="AK157" s="357" t="n"/>
      <c r="AL157" s="357" t="n"/>
      <c r="AM157" s="357" t="n"/>
      <c r="AN157" s="357" t="n"/>
      <c r="AO157" s="357" t="n"/>
      <c r="AP157" s="357" t="n"/>
      <c r="AQ157" s="357" t="n"/>
      <c r="AR157" s="357" t="n"/>
      <c r="AS157" s="357" t="n"/>
      <c r="AT157" s="357" t="n"/>
      <c r="AU157" s="357" t="n"/>
      <c r="AV157" s="357" t="n"/>
      <c r="AW157" s="357" t="n"/>
      <c r="AX157" s="357" t="n"/>
    </row>
    <row r="158">
      <c r="A158" s="8315" t="inlineStr">
        <is>
          <t>TOTAL</t>
        </is>
      </c>
      <c r="B158" s="2865">
        <f>SUM(B148:B157)</f>
        <v/>
      </c>
      <c r="C158" s="2748">
        <f>SUM(C148:C157)</f>
        <v/>
      </c>
      <c r="D158" s="2749">
        <f>SUM(D148:D157)</f>
        <v/>
      </c>
      <c r="E158" s="2788">
        <f>SUM(E148:E157)</f>
        <v/>
      </c>
      <c r="F158" s="2787">
        <f>SUM(F149,F150,F153,F155,F157)</f>
        <v/>
      </c>
      <c r="G158" s="2749">
        <f>SUM(G148:G157)</f>
        <v/>
      </c>
      <c r="H158" s="2801">
        <f>SUM(H148:H157)</f>
        <v/>
      </c>
      <c r="I158" s="2750">
        <f>SUM(I148:I157)</f>
        <v/>
      </c>
      <c r="J158" s="2748">
        <f>SUM(J148:J157)</f>
        <v/>
      </c>
      <c r="K158" s="2788">
        <f>SUM(K148:K157)</f>
        <v/>
      </c>
      <c r="L158" s="2789">
        <f t="array" ref="L158">SUM(L149:L150+L153+L155+L157)</f>
        <v/>
      </c>
      <c r="M158" s="2749">
        <f>SUM(M148:M157)</f>
        <v/>
      </c>
      <c r="N158" s="2750">
        <f>SUM(N148:N157)</f>
        <v/>
      </c>
      <c r="O158" s="357" t="n"/>
      <c r="P158" s="357" t="n"/>
      <c r="Q158" s="357" t="n"/>
      <c r="R158" s="357" t="n"/>
      <c r="S158" s="357" t="n"/>
      <c r="T158" s="357" t="n"/>
      <c r="U158" s="357" t="n"/>
      <c r="V158" s="357" t="n"/>
      <c r="W158" s="357" t="n"/>
      <c r="X158" s="357" t="n"/>
      <c r="Y158" s="357" t="n"/>
      <c r="Z158" s="357" t="n"/>
      <c r="AA158" s="357" t="n"/>
      <c r="AB158" s="357" t="n"/>
      <c r="AC158" s="357" t="n"/>
      <c r="AD158" s="357" t="n"/>
      <c r="AE158" s="357" t="n"/>
      <c r="AF158" s="357" t="n"/>
      <c r="AG158" s="357" t="n"/>
      <c r="AH158" s="357" t="n"/>
      <c r="AI158" s="357" t="n"/>
      <c r="AJ158" s="357" t="n"/>
      <c r="AK158" s="357" t="n"/>
      <c r="AL158" s="357" t="n"/>
      <c r="AM158" s="357" t="n"/>
      <c r="AN158" s="357" t="n"/>
      <c r="AO158" s="357" t="n"/>
      <c r="AP158" s="357" t="n"/>
      <c r="AQ158" s="357" t="n"/>
      <c r="AR158" s="357" t="n"/>
      <c r="AS158" s="357" t="n"/>
      <c r="AT158" s="358" t="n"/>
      <c r="AU158" s="358" t="n"/>
      <c r="AV158" s="358" t="n"/>
      <c r="AW158" s="358" t="n"/>
      <c r="AX158" s="358" t="n"/>
    </row>
    <row r="159" ht="18" customHeight="1" s="8286">
      <c r="A159" s="2" t="inlineStr">
        <is>
          <t>SECCIÓN F.2:  ACTIVIDADES DE IMAGENOLOGÍA ORAL Y MAXILOFACIAL</t>
        </is>
      </c>
      <c r="B159" s="4" t="n"/>
      <c r="C159" s="4" t="n"/>
      <c r="D159" s="8" t="n"/>
      <c r="E159" s="8" t="n"/>
      <c r="F159" s="8" t="n"/>
      <c r="G159" s="8" t="n"/>
      <c r="H159" s="8" t="n"/>
      <c r="I159" s="8" t="n"/>
      <c r="J159" s="8" t="n"/>
      <c r="K159" s="8" t="n"/>
      <c r="L159" s="8" t="n"/>
      <c r="M159" s="8" t="n"/>
      <c r="N159" s="8" t="n"/>
      <c r="O159" s="8" t="n"/>
      <c r="P159" s="8" t="n"/>
      <c r="Q159" s="8" t="n"/>
      <c r="R159" s="8" t="n"/>
      <c r="S159" s="8" t="n"/>
      <c r="T159" s="8" t="n"/>
      <c r="U159" s="8" t="n"/>
      <c r="V159" s="8" t="n"/>
      <c r="W159" s="8" t="n"/>
      <c r="X159" s="8" t="n"/>
      <c r="Y159" s="8" t="n"/>
      <c r="Z159" s="8" t="n"/>
      <c r="AA159" s="8" t="n"/>
      <c r="AB159" s="8" t="n"/>
      <c r="AC159" s="8" t="n"/>
      <c r="AD159" s="8" t="n"/>
      <c r="AE159" s="8" t="n"/>
      <c r="AF159" s="8" t="n"/>
      <c r="AG159" s="8" t="n"/>
      <c r="AH159" s="8" t="n"/>
      <c r="AI159" s="8" t="n"/>
      <c r="AJ159" s="8" t="n"/>
      <c r="AK159" s="8" t="n"/>
      <c r="AL159" s="8" t="n"/>
      <c r="AM159" s="8" t="n"/>
      <c r="AN159" s="8" t="n"/>
      <c r="AO159" s="8" t="n"/>
      <c r="AP159" s="8" t="n"/>
      <c r="AQ159" s="8" t="n"/>
      <c r="AR159" s="8" t="n"/>
      <c r="AS159" s="8" t="n"/>
      <c r="AT159" s="8" t="n"/>
      <c r="AU159" s="8" t="n"/>
      <c r="AV159" s="8" t="n"/>
      <c r="AW159" s="8" t="n"/>
      <c r="AX159" s="8" t="n"/>
    </row>
    <row r="160">
      <c r="A160" s="10253" t="inlineStr">
        <is>
          <t>ACTIVIDADES DE APOYO</t>
        </is>
      </c>
      <c r="B160" s="9602" t="n"/>
      <c r="C160" s="9630" t="n"/>
      <c r="D160" s="9939" t="inlineStr">
        <is>
          <t>TOTAL</t>
        </is>
      </c>
      <c r="E160" s="9602" t="n"/>
      <c r="F160" s="9630" t="n"/>
      <c r="G160" s="9976" t="inlineStr">
        <is>
          <t>GRUPO ETARIO Y SEXO</t>
        </is>
      </c>
      <c r="H160" s="9584" t="n"/>
      <c r="I160" s="9584" t="n"/>
      <c r="J160" s="9584" t="n"/>
      <c r="K160" s="9584" t="n"/>
      <c r="L160" s="9584" t="n"/>
      <c r="M160" s="9584" t="n"/>
      <c r="N160" s="9584" t="n"/>
      <c r="O160" s="9584" t="n"/>
      <c r="P160" s="9584" t="n"/>
      <c r="Q160" s="9584" t="n"/>
      <c r="R160" s="9584" t="n"/>
      <c r="S160" s="9584" t="n"/>
      <c r="T160" s="9584" t="n"/>
      <c r="U160" s="9584" t="n"/>
      <c r="V160" s="9584" t="n"/>
      <c r="W160" s="9584" t="n"/>
      <c r="X160" s="9584" t="n"/>
      <c r="Y160" s="9584" t="n"/>
      <c r="Z160" s="9584" t="n"/>
      <c r="AA160" s="9584" t="n"/>
      <c r="AB160" s="9584" t="n"/>
      <c r="AC160" s="9584" t="n"/>
      <c r="AD160" s="9584" t="n"/>
      <c r="AE160" s="9584" t="n"/>
      <c r="AF160" s="9584" t="n"/>
      <c r="AG160" s="9584" t="n"/>
      <c r="AH160" s="9584" t="n"/>
      <c r="AI160" s="9584" t="n"/>
      <c r="AJ160" s="9584" t="n"/>
      <c r="AK160" s="9584" t="n"/>
      <c r="AL160" s="9584" t="n"/>
      <c r="AM160" s="9584" t="n"/>
      <c r="AN160" s="9584" t="n"/>
      <c r="AO160" s="9584" t="n"/>
      <c r="AP160" s="9595" t="n"/>
      <c r="AQ160" s="8404" t="inlineStr">
        <is>
          <t>12 años (incluidos en  grupo de 10-14 años)</t>
        </is>
      </c>
      <c r="AR160" s="8400" t="inlineStr">
        <is>
          <t>Gestantes</t>
        </is>
      </c>
      <c r="AS160" s="5448" t="inlineStr">
        <is>
          <t>60 años (incluido en grupos de 60-64 años)</t>
        </is>
      </c>
      <c r="AT160" s="8400" t="inlineStr">
        <is>
          <t>Compra de Servicio</t>
        </is>
      </c>
      <c r="AU160" s="10254" t="inlineStr">
        <is>
          <t xml:space="preserve">Usuarios con Discapacidad </t>
        </is>
      </c>
      <c r="AV160" s="10255" t="inlineStr">
        <is>
          <t xml:space="preserve">SENAME/ Servicio Nacional de Reinserción social Juvenil </t>
        </is>
      </c>
      <c r="AW160" s="8473" t="inlineStr">
        <is>
          <t>Servicio Nacional Protección Especializada a la Niñez y Adolescencia</t>
        </is>
      </c>
      <c r="AX160" s="8451" t="inlineStr">
        <is>
          <t>Migrantes</t>
        </is>
      </c>
    </row>
    <row r="161" ht="18" customHeight="1" s="8286">
      <c r="A161" s="642" t="n"/>
      <c r="C161" s="9718" t="n"/>
      <c r="D161" s="9638" t="n"/>
      <c r="E161" s="9697" t="n"/>
      <c r="F161" s="9639" t="n"/>
      <c r="G161" s="10202" t="inlineStr">
        <is>
          <t>Menos de 1 año</t>
        </is>
      </c>
      <c r="H161" s="9647" t="n"/>
      <c r="I161" s="9240" t="inlineStr">
        <is>
          <t>1 año</t>
        </is>
      </c>
      <c r="J161" s="9647" t="n"/>
      <c r="K161" s="10203" t="inlineStr">
        <is>
          <t>2 años</t>
        </is>
      </c>
      <c r="L161" s="10191" t="n"/>
      <c r="M161" s="9240" t="inlineStr">
        <is>
          <t>3 años</t>
        </is>
      </c>
      <c r="N161" s="9647" t="n"/>
      <c r="O161" s="9240" t="inlineStr">
        <is>
          <t>4 años</t>
        </is>
      </c>
      <c r="P161" s="9647" t="n"/>
      <c r="Q161" s="9240" t="inlineStr">
        <is>
          <t>5 años</t>
        </is>
      </c>
      <c r="R161" s="9647" t="n"/>
      <c r="S161" s="9240" t="inlineStr">
        <is>
          <t>6 años</t>
        </is>
      </c>
      <c r="T161" s="9647" t="n"/>
      <c r="U161" s="9240" t="inlineStr">
        <is>
          <t>7 años</t>
        </is>
      </c>
      <c r="V161" s="9647" t="n"/>
      <c r="W161" s="9240" t="inlineStr">
        <is>
          <t>8-9 años</t>
        </is>
      </c>
      <c r="X161" s="9647" t="n"/>
      <c r="Y161" s="9240" t="inlineStr">
        <is>
          <t>10-14 años</t>
        </is>
      </c>
      <c r="Z161" s="9647" t="n"/>
      <c r="AA161" s="9240" t="inlineStr">
        <is>
          <t>15-19 años</t>
        </is>
      </c>
      <c r="AB161" s="9647" t="n"/>
      <c r="AC161" s="9240" t="inlineStr">
        <is>
          <t xml:space="preserve">20-29 años </t>
        </is>
      </c>
      <c r="AD161" s="9647" t="n"/>
      <c r="AE161" s="9240" t="inlineStr">
        <is>
          <t>30-39 años</t>
        </is>
      </c>
      <c r="AF161" s="9647" t="n"/>
      <c r="AG161" s="9240" t="inlineStr">
        <is>
          <t>40-49 años</t>
        </is>
      </c>
      <c r="AH161" s="9647" t="n"/>
      <c r="AI161" s="9240" t="inlineStr">
        <is>
          <t>50-59 años</t>
        </is>
      </c>
      <c r="AJ161" s="9647" t="n"/>
      <c r="AK161" s="9240" t="inlineStr">
        <is>
          <t>60-64 años</t>
        </is>
      </c>
      <c r="AL161" s="9647" t="n"/>
      <c r="AM161" s="9240" t="inlineStr">
        <is>
          <t>65-74 años</t>
        </is>
      </c>
      <c r="AN161" s="9647" t="n"/>
      <c r="AO161" s="9976" t="inlineStr">
        <is>
          <t>75 y más años</t>
        </is>
      </c>
      <c r="AP161" s="9595" t="n"/>
      <c r="AQ161" s="9656" t="n"/>
      <c r="AR161" s="9614" t="n"/>
      <c r="AT161" s="9614" t="n"/>
      <c r="AV161" s="9727" t="n"/>
      <c r="AW161" s="9614" t="n"/>
      <c r="AX161" s="9718" t="n"/>
    </row>
    <row r="162" ht="36.75" customHeight="1" s="8286">
      <c r="A162" s="9638" t="n"/>
      <c r="B162" s="9697" t="n"/>
      <c r="C162" s="9639" t="n"/>
      <c r="D162" s="8471" t="inlineStr">
        <is>
          <t xml:space="preserve">Total </t>
        </is>
      </c>
      <c r="E162" s="2679" t="inlineStr">
        <is>
          <t>Hombres</t>
        </is>
      </c>
      <c r="F162" s="8299" t="inlineStr">
        <is>
          <t>Mujeres</t>
        </is>
      </c>
      <c r="G162" s="8471" t="inlineStr">
        <is>
          <t>Hombres</t>
        </is>
      </c>
      <c r="H162" s="8299" t="inlineStr">
        <is>
          <t>Mujeres</t>
        </is>
      </c>
      <c r="I162" s="8471" t="inlineStr">
        <is>
          <t>Hombres</t>
        </is>
      </c>
      <c r="J162" s="8299" t="inlineStr">
        <is>
          <t>Mujeres</t>
        </is>
      </c>
      <c r="K162" s="8471" t="inlineStr">
        <is>
          <t>Hombres</t>
        </is>
      </c>
      <c r="L162" s="8299" t="inlineStr">
        <is>
          <t>Mujeres</t>
        </is>
      </c>
      <c r="M162" s="8471" t="inlineStr">
        <is>
          <t>Hombres</t>
        </is>
      </c>
      <c r="N162" s="8299" t="inlineStr">
        <is>
          <t>Mujeres</t>
        </is>
      </c>
      <c r="O162" s="8471" t="inlineStr">
        <is>
          <t>Hombres</t>
        </is>
      </c>
      <c r="P162" s="8299" t="inlineStr">
        <is>
          <t>Mujeres</t>
        </is>
      </c>
      <c r="Q162" s="8471" t="inlineStr">
        <is>
          <t>Hombres</t>
        </is>
      </c>
      <c r="R162" s="8299" t="inlineStr">
        <is>
          <t>Mujeres</t>
        </is>
      </c>
      <c r="S162" s="8471" t="inlineStr">
        <is>
          <t>Hombres</t>
        </is>
      </c>
      <c r="T162" s="8299" t="inlineStr">
        <is>
          <t>Mujeres</t>
        </is>
      </c>
      <c r="U162" s="8471" t="inlineStr">
        <is>
          <t>Hombres</t>
        </is>
      </c>
      <c r="V162" s="8299" t="inlineStr">
        <is>
          <t>Mujeres</t>
        </is>
      </c>
      <c r="W162" s="8471" t="inlineStr">
        <is>
          <t>Hombres</t>
        </is>
      </c>
      <c r="X162" s="8299" t="inlineStr">
        <is>
          <t>Mujeres</t>
        </is>
      </c>
      <c r="Y162" s="8471" t="inlineStr">
        <is>
          <t>Hombres</t>
        </is>
      </c>
      <c r="Z162" s="8299" t="inlineStr">
        <is>
          <t>Mujeres</t>
        </is>
      </c>
      <c r="AA162" s="8471" t="inlineStr">
        <is>
          <t>Hombres</t>
        </is>
      </c>
      <c r="AB162" s="8299" t="inlineStr">
        <is>
          <t>Mujeres</t>
        </is>
      </c>
      <c r="AC162" s="8471" t="inlineStr">
        <is>
          <t>Hombres</t>
        </is>
      </c>
      <c r="AD162" s="8299" t="inlineStr">
        <is>
          <t>Mujeres</t>
        </is>
      </c>
      <c r="AE162" s="8471" t="inlineStr">
        <is>
          <t>Hombres</t>
        </is>
      </c>
      <c r="AF162" s="8299" t="inlineStr">
        <is>
          <t>Mujeres</t>
        </is>
      </c>
      <c r="AG162" s="8471" t="inlineStr">
        <is>
          <t>Hombres</t>
        </is>
      </c>
      <c r="AH162" s="8299" t="inlineStr">
        <is>
          <t>Mujeres</t>
        </is>
      </c>
      <c r="AI162" s="8471" t="inlineStr">
        <is>
          <t>Hombres</t>
        </is>
      </c>
      <c r="AJ162" s="8299" t="inlineStr">
        <is>
          <t>Mujeres</t>
        </is>
      </c>
      <c r="AK162" s="8471" t="inlineStr">
        <is>
          <t>Hombres</t>
        </is>
      </c>
      <c r="AL162" s="8299" t="inlineStr">
        <is>
          <t>Mujeres</t>
        </is>
      </c>
      <c r="AM162" s="8471" t="inlineStr">
        <is>
          <t>Hombres</t>
        </is>
      </c>
      <c r="AN162" s="8299" t="inlineStr">
        <is>
          <t>Mujeres</t>
        </is>
      </c>
      <c r="AO162" s="8471" t="inlineStr">
        <is>
          <t>Hombres</t>
        </is>
      </c>
      <c r="AP162" s="8290" t="inlineStr">
        <is>
          <t>Mujeres</t>
        </is>
      </c>
      <c r="AQ162" s="9640" t="n"/>
      <c r="AR162" s="9610" t="n"/>
      <c r="AS162" s="9591" t="n"/>
      <c r="AT162" s="9610" t="n"/>
      <c r="AU162" s="9591" t="n"/>
      <c r="AV162" s="9729" t="n"/>
      <c r="AW162" s="9610" t="n"/>
      <c r="AX162" s="9639" t="n"/>
    </row>
    <row r="163" ht="15" customHeight="1" s="8286">
      <c r="A163" s="10256" t="inlineStr">
        <is>
          <t>Radiografía intraoral periapical (por placa)</t>
        </is>
      </c>
      <c r="B163" s="9814" t="n"/>
      <c r="C163" s="9643" t="n"/>
      <c r="D163" s="2375">
        <f>E163+F163</f>
        <v/>
      </c>
      <c r="E163" s="2375">
        <f>SUM(G163+I163+K163+M163+O163+Q163+S163+U163+W163+Y163+AA163+AC163+AE163+AG163+AI163+AK163+AM163+AO163)</f>
        <v/>
      </c>
      <c r="F163" s="2705">
        <f>SUM(H163+J163+L163+N163+P163+R163+T163+V163+X163+Z163+AB163+AD163+AF163+AH163+AJ163+AL163+AN163+AP163)</f>
        <v/>
      </c>
      <c r="G163" s="2266" t="n"/>
      <c r="H163" s="2337" t="n"/>
      <c r="I163" s="2267" t="n"/>
      <c r="J163" s="2337" t="n"/>
      <c r="K163" s="2267" t="n"/>
      <c r="L163" s="2337" t="n"/>
      <c r="M163" s="2267" t="n"/>
      <c r="N163" s="2337" t="n"/>
      <c r="O163" s="835" t="n"/>
      <c r="P163" s="2337" t="n"/>
      <c r="Q163" s="835" t="n"/>
      <c r="R163" s="2337" t="n"/>
      <c r="S163" s="835" t="n"/>
      <c r="T163" s="2337" t="n"/>
      <c r="U163" s="2267" t="n"/>
      <c r="V163" s="2337" t="n"/>
      <c r="W163" s="2267" t="n"/>
      <c r="X163" s="2337" t="n"/>
      <c r="Y163" s="2267" t="n"/>
      <c r="Z163" s="2337" t="n"/>
      <c r="AA163" s="2267" t="n"/>
      <c r="AB163" s="2337" t="n"/>
      <c r="AC163" s="2267" t="n"/>
      <c r="AD163" s="2337" t="n"/>
      <c r="AE163" s="2267" t="n"/>
      <c r="AF163" s="2337" t="n"/>
      <c r="AG163" s="2267" t="n"/>
      <c r="AH163" s="2337" t="n"/>
      <c r="AI163" s="2267" t="n"/>
      <c r="AJ163" s="2337" t="n"/>
      <c r="AK163" s="2267" t="n"/>
      <c r="AL163" s="2337" t="n"/>
      <c r="AM163" s="2267" t="n"/>
      <c r="AN163" s="2337" t="n"/>
      <c r="AO163" s="2267" t="n"/>
      <c r="AP163" s="1940" t="n"/>
      <c r="AQ163" s="5213" t="n"/>
      <c r="AR163" s="1964" t="n"/>
      <c r="AS163" s="36" t="n"/>
      <c r="AT163" s="1964" t="n"/>
      <c r="AU163" s="36" t="n"/>
      <c r="AV163" s="5281" t="n"/>
      <c r="AW163" s="1964" t="n"/>
      <c r="AX163" s="1186" t="n"/>
      <c r="AY163">
        <f>CA163&amp;CB163&amp;CC163&amp;CD163&amp;CE163&amp;CF163&amp;CG163&amp;CH163</f>
        <v/>
      </c>
      <c r="CA163" s="196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>
        <f>IF(AND(F163&gt;0,AR163="")," * No olvide digitar la variable Gestante. Digite Cero si no tiene.",IF(AR163&gt;F163," * La variable Gestante no pueden superar el Total Mujeres.",""))</f>
        <v/>
      </c>
      <c r="CC163" s="196">
        <f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>
        <f>IF(AND($D163&gt;0,AT163=""),"  * No olvide digitar la variable Compra de servicio. Digite Cero si no tiene.","")</f>
        <v/>
      </c>
      <c r="CE163" s="196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>
        <f>IF(AND($D163&gt;0,AV163=""),"  * No olvide digitar la variable "&amp;AV$160&amp;". Digite Cero si no tiene.",IF(AV163&gt;$D163," * La variable "&amp;AV$160&amp;" no pueden superar el Total Ambos Sexos.",""))</f>
        <v/>
      </c>
      <c r="CG163" s="196">
        <f>IF(AND($D163&gt;0,AW163=""),"  * No olvide digitar la variable "&amp;AW$160&amp;". Digite Cero si no tiene.",IF(AW163&gt;$D163," * La variable "&amp;AW$160&amp;" no pueden superar el Total Ambos Sexos.",""))</f>
        <v/>
      </c>
      <c r="CH163" s="196">
        <f>IF(AND($D163&gt;0,AX163=""),"  * No olvide digitar la variable Migrantes. Digite Cero si no tiene.",IF(AX163&gt;$D163," * La variable Migrantes no pueden superar el Total Ambos Sexos.",""))</f>
        <v/>
      </c>
      <c r="CO163" s="197">
        <f>IF(AND(Y163+Z163&gt;0,AQ163=""),1,IF(AQ163&gt;Y163+Z163,1,0))</f>
        <v/>
      </c>
      <c r="CP163" s="197">
        <f>IF(AND(F163&gt;0,AR163=""),1,IF(AR163&gt;F163,1,0))</f>
        <v/>
      </c>
      <c r="CQ163" s="197">
        <f>IF(AND(AK163+AL163&gt;0,AS163=""),1,IF(AS163&gt;AK163+AL163,1,0))</f>
        <v/>
      </c>
      <c r="CR163" s="197">
        <f>IF(AND(D163&gt;0,AT163=""),1,0)</f>
        <v/>
      </c>
      <c r="CS163" s="197">
        <f>IF(AND($D163&gt;0,AU163=""),1,IF(AU163&gt;$D163,1,0))</f>
        <v/>
      </c>
      <c r="CT163" s="197">
        <f>IF(AND($D163&gt;0,AV163=""),1,IF(AV163&gt;$D163,1,0))</f>
        <v/>
      </c>
      <c r="CU163" s="197">
        <f>IF(AND($D163&gt;0,AW163=""),1,IF(AW163&gt;$D163,1,0))</f>
        <v/>
      </c>
      <c r="CV163" s="197">
        <f>IF(AND($D163&gt;0,AX163=""),1,IF(AX163&gt;$D163,1,0))</f>
        <v/>
      </c>
    </row>
    <row r="164">
      <c r="A164" s="10246" t="inlineStr">
        <is>
          <t xml:space="preserve">Radiografía intraoral mediante técnicas Bite Wing  bilateral </t>
        </is>
      </c>
      <c r="B164" s="10208" t="n"/>
      <c r="C164" s="9644" t="n"/>
      <c r="D164" s="1486">
        <f>E164+F164</f>
        <v/>
      </c>
      <c r="E164" s="1486">
        <f>SUM(G164+I164+K164+M164+O164+Q164+S164+U164+W164+Y164+AA164+AC164+AE164+AG164+AI164+AK164+AM164+AO164)</f>
        <v/>
      </c>
      <c r="F164" s="894">
        <f>SUM(H164+J164+L164+N164+P164+R164+T164+V164+X164+Z164+AB164+AD164+AF164+AH164+AJ164+AL164+AN164+AP164)</f>
        <v/>
      </c>
      <c r="G164" s="1172" t="n"/>
      <c r="H164" s="886" t="n"/>
      <c r="I164" s="1174" t="n"/>
      <c r="J164" s="886" t="n"/>
      <c r="K164" s="1174" t="n"/>
      <c r="L164" s="886" t="n"/>
      <c r="M164" s="1174" t="n"/>
      <c r="N164" s="886" t="n"/>
      <c r="O164" s="2001" t="n"/>
      <c r="P164" s="886" t="n"/>
      <c r="Q164" s="2001" t="n"/>
      <c r="R164" s="886" t="n"/>
      <c r="S164" s="2001" t="n"/>
      <c r="T164" s="886" t="n"/>
      <c r="U164" s="1174" t="n"/>
      <c r="V164" s="886" t="n"/>
      <c r="W164" s="1174" t="n"/>
      <c r="X164" s="886" t="n"/>
      <c r="Y164" s="1174" t="n"/>
      <c r="Z164" s="886" t="n"/>
      <c r="AA164" s="1174" t="n"/>
      <c r="AB164" s="886" t="n"/>
      <c r="AC164" s="1174" t="n"/>
      <c r="AD164" s="886" t="n"/>
      <c r="AE164" s="1174" t="n"/>
      <c r="AF164" s="886" t="n"/>
      <c r="AG164" s="1174" t="n"/>
      <c r="AH164" s="886" t="n"/>
      <c r="AI164" s="1174" t="n"/>
      <c r="AJ164" s="886" t="n"/>
      <c r="AK164" s="1174" t="n"/>
      <c r="AL164" s="886" t="n"/>
      <c r="AM164" s="1174" t="n"/>
      <c r="AN164" s="886" t="n"/>
      <c r="AO164" s="1174" t="n"/>
      <c r="AP164" s="1929" t="n"/>
      <c r="AQ164" s="5215" t="n"/>
      <c r="AR164" s="1964" t="n"/>
      <c r="AS164" s="36" t="n"/>
      <c r="AT164" s="1964" t="n"/>
      <c r="AU164" s="36" t="n"/>
      <c r="AV164" s="5281" t="n"/>
      <c r="AW164" s="1964" t="n"/>
      <c r="AX164" s="1186" t="n"/>
      <c r="AY164">
        <f>CA164&amp;CB164&amp;CC164&amp;CD164&amp;CE164&amp;CF164&amp;CG164&amp;CH164</f>
        <v/>
      </c>
      <c r="CA164" s="196">
        <f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>
        <f>IF(AND(F164&gt;0,AR164="")," * No olvide digitar la variable Gestante. Digite Cero si no tiene.",IF(AR164&gt;F164," * La variable Gestante no pueden superar el Total Mujeres.",""))</f>
        <v/>
      </c>
      <c r="CC164" s="196">
        <f>IF(AND(AK164+AL164&gt;0,AS164="")," * No olvide digitar la variable 60 años (incluido en grupos de 60-64 años). Digite Cero si no tiene.",IF(AS164&gt;AK164+AL164," * La variable 60 años (incluido en grupos de 60-64 años) no pueden superar la suma del Grupo 60-64 años.",""))</f>
        <v/>
      </c>
      <c r="CD164" s="196">
        <f>IF(AND($D164&gt;0,AT164=""),"  * No olvide digitar la variable Compra de servicio. Digite Cero si no tiene.","")</f>
        <v/>
      </c>
      <c r="CE164" s="196">
        <f>IF(AND($D164&gt;0,AU164="")," * No olvide digitar la variable Usuario con Discapacidad. Digite Cero si no tiene.",IF(AU164&gt;$D164," * La variable Usuario con Discapacidad no pueden superar el Total Ambos Sexos.",""))</f>
        <v/>
      </c>
      <c r="CF164" s="196">
        <f>IF(AND($D164&gt;0,AV164=""),"  * No olvide digitar la variable "&amp;AV$160&amp;". Digite Cero si no tiene.",IF(AV164&gt;$D164," * La variable "&amp;AV$160&amp;" no pueden superar el Total Ambos Sexos.",""))</f>
        <v/>
      </c>
      <c r="CG164" s="196">
        <f>IF(AND($D164&gt;0,AW164=""),"  * No olvide digitar la variable "&amp;AW$160&amp;". Digite Cero si no tiene.",IF(AW164&gt;$D164," * La variable "&amp;AW$160&amp;" no pueden superar el Total Ambos Sexos.",""))</f>
        <v/>
      </c>
      <c r="CH164" s="196">
        <f>IF(AND($D164&gt;0,AX164=""),"  * No olvide digitar la variable Migrantes. Digite Cero si no tiene.",IF(AX164&gt;$D164," * La variable Migrantes no pueden superar el Total Ambos Sexos.",""))</f>
        <v/>
      </c>
      <c r="CO164" s="197">
        <f>IF(AND(Y164+Z164&gt;0,AQ164=""),1,IF(AQ164&gt;Y164+Z164,1,0))</f>
        <v/>
      </c>
      <c r="CP164" s="197">
        <f>IF(AND(F164&gt;0,AR164=""),1,IF(AR164&gt;F164,1,0))</f>
        <v/>
      </c>
      <c r="CQ164" s="197">
        <f>IF(AND(AK164+AL164&gt;0,AS164=""),1,IF(AS164&gt;AK164+AL164,1,0))</f>
        <v/>
      </c>
      <c r="CR164" s="197">
        <f>IF(AND(D164&gt;0,AT164=""),1,0)</f>
        <v/>
      </c>
      <c r="CS164" s="197">
        <f>IF(AND($D164&gt;0,AU164=""),1,IF(AU164&gt;$D164,1,0))</f>
        <v/>
      </c>
      <c r="CT164" s="197">
        <f>IF(AND($D164&gt;0,AV164=""),1,IF(AV164&gt;$D164,1,0))</f>
        <v/>
      </c>
      <c r="CU164" s="197">
        <f>IF(AND($D164&gt;0,AW164=""),1,IF(AW164&gt;$D164,1,0))</f>
        <v/>
      </c>
      <c r="CV164" s="197">
        <f>IF(AND($D164&gt;0,AX164=""),1,IF(AX164&gt;$D164,1,0))</f>
        <v/>
      </c>
    </row>
    <row r="165" ht="15" customHeight="1" s="8286">
      <c r="A165" s="3877" t="inlineStr">
        <is>
          <t xml:space="preserve">Radiografía oclusal </t>
        </is>
      </c>
      <c r="B165" s="10208" t="n"/>
      <c r="C165" s="9644" t="n"/>
      <c r="D165" s="1486">
        <f>E165+F165</f>
        <v/>
      </c>
      <c r="E165" s="1486">
        <f>SUM(G165+I165+K165+M165+O165+Q165+S165+U165+W165+Y165+AA165+AC165+AE165+AG165+AI165+AK165+AM165+AO165)</f>
        <v/>
      </c>
      <c r="F165" s="894">
        <f>SUM(H165+J165+L165+N165+P165+R165+T165+V165+X165+Z165+AB165+AD165+AF165+AH165+AJ165+AL165+AN165+AP165)</f>
        <v/>
      </c>
      <c r="G165" s="1172" t="n"/>
      <c r="H165" s="886" t="n"/>
      <c r="I165" s="1174" t="n"/>
      <c r="J165" s="886" t="n"/>
      <c r="K165" s="1174" t="n"/>
      <c r="L165" s="886" t="n"/>
      <c r="M165" s="1174" t="n"/>
      <c r="N165" s="886" t="n"/>
      <c r="O165" s="2001" t="n"/>
      <c r="P165" s="886" t="n"/>
      <c r="Q165" s="2001" t="n"/>
      <c r="R165" s="886" t="n"/>
      <c r="S165" s="2001" t="n"/>
      <c r="T165" s="886" t="n"/>
      <c r="U165" s="1174" t="n"/>
      <c r="V165" s="886" t="n"/>
      <c r="W165" s="1174" t="n"/>
      <c r="X165" s="886" t="n"/>
      <c r="Y165" s="1174" t="n"/>
      <c r="Z165" s="886" t="n"/>
      <c r="AA165" s="1174" t="n"/>
      <c r="AB165" s="886" t="n"/>
      <c r="AC165" s="1174" t="n"/>
      <c r="AD165" s="886" t="n"/>
      <c r="AE165" s="1174" t="n"/>
      <c r="AF165" s="886" t="n"/>
      <c r="AG165" s="1174" t="n"/>
      <c r="AH165" s="886" t="n"/>
      <c r="AI165" s="1174" t="n"/>
      <c r="AJ165" s="886" t="n"/>
      <c r="AK165" s="1174" t="n"/>
      <c r="AL165" s="886" t="n"/>
      <c r="AM165" s="1174" t="n"/>
      <c r="AN165" s="886" t="n"/>
      <c r="AO165" s="1174" t="n"/>
      <c r="AP165" s="1929" t="n"/>
      <c r="AQ165" s="5215" t="n"/>
      <c r="AR165" s="1964" t="n"/>
      <c r="AS165" s="36" t="n"/>
      <c r="AT165" s="1964" t="n"/>
      <c r="AU165" s="36" t="n"/>
      <c r="AV165" s="5281" t="n"/>
      <c r="AW165" s="1964" t="n"/>
      <c r="AX165" s="1186" t="n"/>
      <c r="AY165">
        <f>CA165&amp;CB165&amp;CC165&amp;CD165&amp;CE165&amp;CF165&amp;CG165&amp;CH165</f>
        <v/>
      </c>
      <c r="CA165" s="196">
        <f>IF(AND(Y165+Z165&gt;0,AQ165="")," * No olvide digitar la variable 12 años (incluidos en  grupo de 10-14 años). Digite Cero si no tiene.",IF(AQ165&gt;Y165+Z165," * La variable 12 años (incluidos en  grupo de 10-14 años) no pueden superar la suma del Grupo 10-14 años.",""))</f>
        <v/>
      </c>
      <c r="CB165" s="196">
        <f>IF(AND(F165&gt;0,AR165="")," * No olvide digitar la variable Gestante. Digite Cero si no tiene.",IF(AR165&gt;F165," * La variable Gestante no pueden superar el Total Mujeres.",""))</f>
        <v/>
      </c>
      <c r="CC165" s="196">
        <f>IF(AND(AK165+AL165&gt;0,AS165="")," * No olvide digitar la variable 60 años (incluido en grupos de 60-64 años). Digite Cero si no tiene.",IF(AS165&gt;AK165+AL165," * La variable 60 años (incluido en grupos de 60-64 años) no pueden superar la suma del Grupo 60-64 años.",""))</f>
        <v/>
      </c>
      <c r="CD165" s="196">
        <f>IF(AND($D165&gt;0,AT165=""),"  * No olvide digitar la variable Compra de servicio. Digite Cero si no tiene.","")</f>
        <v/>
      </c>
      <c r="CE165" s="196">
        <f>IF(AND($D165&gt;0,AU165="")," * No olvide digitar la variable Usuario con Discapacidad. Digite Cero si no tiene.",IF(AU165&gt;$D165," * La variable Usuario con Discapacidad no pueden superar el Total Ambos Sexos.",""))</f>
        <v/>
      </c>
      <c r="CF165" s="196">
        <f>IF(AND($D165&gt;0,AV165=""),"  * No olvide digitar la variable "&amp;AV$160&amp;". Digite Cero si no tiene.",IF(AV165&gt;$D165," * La variable "&amp;AV$160&amp;" no pueden superar el Total Ambos Sexos.",""))</f>
        <v/>
      </c>
      <c r="CG165" s="196">
        <f>IF(AND($D165&gt;0,AW165=""),"  * No olvide digitar la variable "&amp;AW$160&amp;". Digite Cero si no tiene.",IF(AW165&gt;$D165," * La variable "&amp;AW$160&amp;" no pueden superar el Total Ambos Sexos.",""))</f>
        <v/>
      </c>
      <c r="CH165" s="196">
        <f>IF(AND($D165&gt;0,AX165=""),"  * No olvide digitar la variable Migrantes. Digite Cero si no tiene.",IF(AX165&gt;$D165," * La variable Migrantes no pueden superar el Total Ambos Sexos.",""))</f>
        <v/>
      </c>
      <c r="CO165" s="197">
        <f>IF(AND(Y165+Z165&gt;0,AQ165=""),1,IF(AQ165&gt;Y165+Z165,1,0))</f>
        <v/>
      </c>
      <c r="CP165" s="197">
        <f>IF(AND(F165&gt;0,AR165=""),1,IF(AR165&gt;F165,1,0))</f>
        <v/>
      </c>
      <c r="CQ165" s="197">
        <f>IF(AND(AK165+AL165&gt;0,AS165=""),1,IF(AS165&gt;AK165+AL165,1,0))</f>
        <v/>
      </c>
      <c r="CR165" s="197">
        <f>IF(AND(D165&gt;0,AT165=""),1,0)</f>
        <v/>
      </c>
      <c r="CS165" s="197">
        <f>IF(AND($D165&gt;0,AU165=""),1,IF(AU165&gt;$D165,1,0))</f>
        <v/>
      </c>
      <c r="CT165" s="197">
        <f>IF(AND($D165&gt;0,AV165=""),1,IF(AV165&gt;$D165,1,0))</f>
        <v/>
      </c>
      <c r="CU165" s="197">
        <f>IF(AND($D165&gt;0,AW165=""),1,IF(AW165&gt;$D165,1,0))</f>
        <v/>
      </c>
      <c r="CV165" s="197">
        <f>IF(AND($D165&gt;0,AX165=""),1,IF(AX165&gt;$D165,1,0))</f>
        <v/>
      </c>
    </row>
    <row r="166" ht="15" customHeight="1" s="8286">
      <c r="A166" s="8748" t="inlineStr">
        <is>
          <t xml:space="preserve">Telerradiografía </t>
        </is>
      </c>
      <c r="B166" s="10208" t="n"/>
      <c r="C166" s="9644" t="n"/>
      <c r="D166" s="1486">
        <f>E166+F166</f>
        <v/>
      </c>
      <c r="E166" s="1486">
        <f>SUM(G166+I166+K166+M166+O166+Q166+S166+U166+W166+Y166+AA166+AC166+AE166+AG166+AI166+AK166+AM166+AO166)</f>
        <v/>
      </c>
      <c r="F166" s="894">
        <f>SUM(H166+J166+L166+N166+P166+R166+T166+V166+X166+Z166+AB166+AD166+AF166+AH166+AJ166+AL166+AN166+AP166)</f>
        <v/>
      </c>
      <c r="G166" s="1172" t="n"/>
      <c r="H166" s="886" t="n"/>
      <c r="I166" s="1174" t="n"/>
      <c r="J166" s="886" t="n"/>
      <c r="K166" s="1174" t="n"/>
      <c r="L166" s="886" t="n"/>
      <c r="M166" s="1174" t="n"/>
      <c r="N166" s="886" t="n"/>
      <c r="O166" s="2001" t="n"/>
      <c r="P166" s="886" t="n"/>
      <c r="Q166" s="2001" t="n"/>
      <c r="R166" s="886" t="n"/>
      <c r="S166" s="2001" t="n"/>
      <c r="T166" s="886" t="n"/>
      <c r="U166" s="1174" t="n"/>
      <c r="V166" s="886" t="n"/>
      <c r="W166" s="1174" t="n"/>
      <c r="X166" s="886" t="n"/>
      <c r="Y166" s="1174" t="n"/>
      <c r="Z166" s="886" t="n"/>
      <c r="AA166" s="1174" t="n"/>
      <c r="AB166" s="886" t="n"/>
      <c r="AC166" s="1174" t="n"/>
      <c r="AD166" s="886" t="n"/>
      <c r="AE166" s="1174" t="n"/>
      <c r="AF166" s="886" t="n"/>
      <c r="AG166" s="1174" t="n"/>
      <c r="AH166" s="886" t="n"/>
      <c r="AI166" s="1174" t="n"/>
      <c r="AJ166" s="886" t="n"/>
      <c r="AK166" s="1174" t="n"/>
      <c r="AL166" s="886" t="n"/>
      <c r="AM166" s="1174" t="n"/>
      <c r="AN166" s="886" t="n"/>
      <c r="AO166" s="1174" t="n"/>
      <c r="AP166" s="1929" t="n"/>
      <c r="AQ166" s="5215" t="n"/>
      <c r="AR166" s="1964" t="n"/>
      <c r="AS166" s="36" t="n"/>
      <c r="AT166" s="1964" t="n"/>
      <c r="AU166" s="36" t="n"/>
      <c r="AV166" s="5281" t="n"/>
      <c r="AW166" s="1964" t="n"/>
      <c r="AX166" s="1186" t="n"/>
      <c r="AY166">
        <f>CA166&amp;CB166&amp;CC166&amp;CD166&amp;CE166&amp;CF166&amp;CG166&amp;CH166</f>
        <v/>
      </c>
      <c r="CA166" s="196">
        <f>IF(AND(Y166+Z166&gt;0,AQ166="")," * No olvide digitar la variable 12 años (incluidos en  grupo de 10-14 años). Digite Cero si no tiene.",IF(AQ166&gt;Y166+Z166," * La variable 12 años (incluidos en  grupo de 10-14 años) no pueden superar la suma del Grupo 10-14 años.",""))</f>
        <v/>
      </c>
      <c r="CB166" s="196">
        <f>IF(AND(F166&gt;0,AR166="")," * No olvide digitar la variable Gestante. Digite Cero si no tiene.",IF(AR166&gt;F166," * La variable Gestante no pueden superar el Total Mujeres.",""))</f>
        <v/>
      </c>
      <c r="CC166" s="196">
        <f>IF(AND(AK166+AL166&gt;0,AS166="")," * No olvide digitar la variable 60 años (incluido en grupos de 60-64 años). Digite Cero si no tiene.",IF(AS166&gt;AK166+AL166," * La variable 60 años (incluido en grupos de 60-64 años) no pueden superar la suma del Grupo 60-64 años.",""))</f>
        <v/>
      </c>
      <c r="CD166" s="196">
        <f>IF(AND($D166&gt;0,AT166=""),"  * No olvide digitar la variable Compra de servicio. Digite Cero si no tiene.","")</f>
        <v/>
      </c>
      <c r="CE166" s="196">
        <f>IF(AND($D166&gt;0,AU166="")," * No olvide digitar la variable Usuario con Discapacidad. Digite Cero si no tiene.",IF(AU166&gt;$D166," * La variable Usuario con Discapacidad no pueden superar el Total Ambos Sexos.",""))</f>
        <v/>
      </c>
      <c r="CF166" s="196">
        <f>IF(AND($D166&gt;0,AV166=""),"  * No olvide digitar la variable "&amp;AV$160&amp;". Digite Cero si no tiene.",IF(AV166&gt;$D166," * La variable "&amp;AV$160&amp;" no pueden superar el Total Ambos Sexos.",""))</f>
        <v/>
      </c>
      <c r="CG166" s="196">
        <f>IF(AND($D166&gt;0,AW166=""),"  * No olvide digitar la variable "&amp;AW$160&amp;". Digite Cero si no tiene.",IF(AW166&gt;$D166," * La variable "&amp;AW$160&amp;" no pueden superar el Total Ambos Sexos.",""))</f>
        <v/>
      </c>
      <c r="CH166" s="196">
        <f>IF(AND($D166&gt;0,AX166=""),"  * No olvide digitar la variable Migrantes. Digite Cero si no tiene.",IF(AX166&gt;$D166," * La variable Migrantes no pueden superar el Total Ambos Sexos.",""))</f>
        <v/>
      </c>
      <c r="CO166" s="197">
        <f>IF(AND(Y166+Z166&gt;0,AQ166=""),1,IF(AQ166&gt;Y166+Z166,1,0))</f>
        <v/>
      </c>
      <c r="CP166" s="197">
        <f>IF(AND(F166&gt;0,AR166=""),1,IF(AR166&gt;F166,1,0))</f>
        <v/>
      </c>
      <c r="CQ166" s="197">
        <f>IF(AND(AK166+AL166&gt;0,AS166=""),1,IF(AS166&gt;AK166+AL166,1,0))</f>
        <v/>
      </c>
      <c r="CR166" s="197">
        <f>IF(AND(D166&gt;0,AT166=""),1,0)</f>
        <v/>
      </c>
      <c r="CS166" s="197">
        <f>IF(AND($D166&gt;0,AU166=""),1,IF(AU166&gt;$D166,1,0))</f>
        <v/>
      </c>
      <c r="CT166" s="197">
        <f>IF(AND($D166&gt;0,AV166=""),1,IF(AV166&gt;$D166,1,0))</f>
        <v/>
      </c>
      <c r="CU166" s="197">
        <f>IF(AND($D166&gt;0,AW166=""),1,IF(AW166&gt;$D166,1,0))</f>
        <v/>
      </c>
      <c r="CV166" s="197">
        <f>IF(AND($D166&gt;0,AX166=""),1,IF(AX166&gt;$D166,1,0))</f>
        <v/>
      </c>
    </row>
    <row r="167" ht="15" customHeight="1" s="8286">
      <c r="A167" s="8748" t="inlineStr">
        <is>
          <t xml:space="preserve">Radiografía panorámica </t>
        </is>
      </c>
      <c r="B167" s="10208" t="n"/>
      <c r="C167" s="9644" t="n"/>
      <c r="D167" s="1486">
        <f>E167+F167</f>
        <v/>
      </c>
      <c r="E167" s="1486">
        <f>SUM(G167+I167+K167+M167+O167+Q167+S167+U167+W167+Y167+AA167+AC167+AE167+AG167+AI167+AK167+AM167+AO167)</f>
        <v/>
      </c>
      <c r="F167" s="894">
        <f>SUM(H167+J167+L167+N167+P167+R167+T167+V167+X167+Z167+AB167+AD167+AF167+AH167+AJ167+AL167+AN167+AP167)</f>
        <v/>
      </c>
      <c r="G167" s="1172" t="n"/>
      <c r="H167" s="886" t="n"/>
      <c r="I167" s="1174" t="n"/>
      <c r="J167" s="886" t="n"/>
      <c r="K167" s="1174" t="n"/>
      <c r="L167" s="886" t="n"/>
      <c r="M167" s="1174" t="n"/>
      <c r="N167" s="886" t="n"/>
      <c r="O167" s="2001" t="n"/>
      <c r="P167" s="886" t="n"/>
      <c r="Q167" s="2001" t="n"/>
      <c r="R167" s="886" t="n"/>
      <c r="S167" s="2001" t="n"/>
      <c r="T167" s="886" t="n"/>
      <c r="U167" s="1174" t="n"/>
      <c r="V167" s="886" t="n"/>
      <c r="W167" s="1174" t="n"/>
      <c r="X167" s="886" t="n"/>
      <c r="Y167" s="1174" t="n"/>
      <c r="Z167" s="886" t="n"/>
      <c r="AA167" s="1174" t="n"/>
      <c r="AB167" s="886" t="n"/>
      <c r="AC167" s="1174" t="n"/>
      <c r="AD167" s="886" t="n"/>
      <c r="AE167" s="1174" t="n"/>
      <c r="AF167" s="886" t="n"/>
      <c r="AG167" s="1174" t="n"/>
      <c r="AH167" s="886" t="n"/>
      <c r="AI167" s="1174" t="n"/>
      <c r="AJ167" s="886" t="n"/>
      <c r="AK167" s="1174" t="n"/>
      <c r="AL167" s="886" t="n"/>
      <c r="AM167" s="1174" t="n"/>
      <c r="AN167" s="886" t="n"/>
      <c r="AO167" s="1174" t="n"/>
      <c r="AP167" s="1929" t="n"/>
      <c r="AQ167" s="5215" t="n"/>
      <c r="AR167" s="1964" t="n"/>
      <c r="AS167" s="36" t="n"/>
      <c r="AT167" s="1964" t="n"/>
      <c r="AU167" s="36" t="n"/>
      <c r="AV167" s="5281" t="n"/>
      <c r="AW167" s="1964" t="n"/>
      <c r="AX167" s="1186" t="n"/>
      <c r="AY167">
        <f>CA167&amp;CB167&amp;CC167&amp;CD167&amp;CE167&amp;CF167&amp;CG167&amp;CH167</f>
        <v/>
      </c>
      <c r="CA167" s="196">
        <f>IF(AND(Y167+Z167&gt;0,AQ167="")," * No olvide digitar la variable 12 años (incluidos en  grupo de 10-14 años). Digite Cero si no tiene.",IF(AQ167&gt;Y167+Z167," * La variable 12 años (incluidos en  grupo de 10-14 años) no pueden superar la suma del Grupo 10-14 años.",""))</f>
        <v/>
      </c>
      <c r="CB167" s="196">
        <f>IF(AND(F167&gt;0,AR167="")," * No olvide digitar la variable Gestante. Digite Cero si no tiene.",IF(AR167&gt;F167," * La variable Gestante no pueden superar el Total Mujeres.",""))</f>
        <v/>
      </c>
      <c r="CC167" s="196">
        <f>IF(AND(AK167+AL167&gt;0,AS167="")," * No olvide digitar la variable 60 años (incluido en grupos de 60-64 años). Digite Cero si no tiene.",IF(AS167&gt;AK167+AL167," * La variable 60 años (incluido en grupos de 60-64 años) no pueden superar la suma del Grupo 60-64 años.",""))</f>
        <v/>
      </c>
      <c r="CD167" s="196">
        <f>IF(AND($D167&gt;0,AT167=""),"  * No olvide digitar la variable Compra de servicio. Digite Cero si no tiene.","")</f>
        <v/>
      </c>
      <c r="CE167" s="196">
        <f>IF(AND($D167&gt;0,AU167="")," * No olvide digitar la variable Usuario con Discapacidad. Digite Cero si no tiene.",IF(AU167&gt;$D167," * La variable Usuario con Discapacidad no pueden superar el Total Ambos Sexos.",""))</f>
        <v/>
      </c>
      <c r="CF167" s="196">
        <f>IF(AND($D167&gt;0,AV167=""),"  * No olvide digitar la variable "&amp;AV$160&amp;". Digite Cero si no tiene.",IF(AV167&gt;$D167," * La variable "&amp;AV$160&amp;" no pueden superar el Total Ambos Sexos.",""))</f>
        <v/>
      </c>
      <c r="CG167" s="196">
        <f>IF(AND($D167&gt;0,AW167=""),"  * No olvide digitar la variable "&amp;AW$160&amp;". Digite Cero si no tiene.",IF(AW167&gt;$D167," * La variable "&amp;AW$160&amp;" no pueden superar el Total Ambos Sexos.",""))</f>
        <v/>
      </c>
      <c r="CH167" s="196">
        <f>IF(AND($D167&gt;0,AX167=""),"  * No olvide digitar la variable Migrantes. Digite Cero si no tiene.",IF(AX167&gt;$D167," * La variable Migrantes no pueden superar el Total Ambos Sexos.",""))</f>
        <v/>
      </c>
      <c r="CO167" s="197">
        <f>IF(AND(Y167+Z167&gt;0,AQ167=""),1,IF(AQ167&gt;Y167+Z167,1,0))</f>
        <v/>
      </c>
      <c r="CP167" s="197">
        <f>IF(AND(F167&gt;0,AR167=""),1,IF(AR167&gt;F167,1,0))</f>
        <v/>
      </c>
      <c r="CQ167" s="197">
        <f>IF(AND(AK167+AL167&gt;0,AS167=""),1,IF(AS167&gt;AK167+AL167,1,0))</f>
        <v/>
      </c>
      <c r="CR167" s="197">
        <f>IF(AND(D167&gt;0,AT167=""),1,0)</f>
        <v/>
      </c>
      <c r="CS167" s="197">
        <f>IF(AND($D167&gt;0,AU167=""),1,IF(AU167&gt;$D167,1,0))</f>
        <v/>
      </c>
      <c r="CT167" s="197">
        <f>IF(AND($D167&gt;0,AV167=""),1,IF(AV167&gt;$D167,1,0))</f>
        <v/>
      </c>
      <c r="CU167" s="197">
        <f>IF(AND($D167&gt;0,AW167=""),1,IF(AW167&gt;$D167,1,0))</f>
        <v/>
      </c>
      <c r="CV167" s="197">
        <f>IF(AND($D167&gt;0,AX167=""),1,IF(AX167&gt;$D167,1,0))</f>
        <v/>
      </c>
    </row>
    <row r="168" ht="15" customHeight="1" s="8286">
      <c r="A168" s="8748" t="inlineStr">
        <is>
          <t>Tomografía computacional maxilo facial Cone Beam craneofacial</t>
        </is>
      </c>
      <c r="B168" s="10208" t="n"/>
      <c r="C168" s="9644" t="n"/>
      <c r="D168" s="1486">
        <f>E168+F168</f>
        <v/>
      </c>
      <c r="E168" s="1486">
        <f>SUM(G168+I168+K168+M168+O168+Q168+S168+U168+W168+Y168+AA168+AC168+AE168+AG168+AI168+AK168+AM168+AO168)</f>
        <v/>
      </c>
      <c r="F168" s="894">
        <f>SUM(H168+J168+L168+N168+P168+R168+T168+V168+X168+Z168+AB168+AD168+AF168+AH168+AJ168+AL168+AN168+AP168)</f>
        <v/>
      </c>
      <c r="G168" s="1172" t="n"/>
      <c r="H168" s="886" t="n"/>
      <c r="I168" s="1174" t="n"/>
      <c r="J168" s="886" t="n"/>
      <c r="K168" s="1174" t="n"/>
      <c r="L168" s="886" t="n"/>
      <c r="M168" s="1174" t="n"/>
      <c r="N168" s="886" t="n"/>
      <c r="O168" s="2001" t="n"/>
      <c r="P168" s="886" t="n"/>
      <c r="Q168" s="2001" t="n"/>
      <c r="R168" s="886" t="n"/>
      <c r="S168" s="2001" t="n"/>
      <c r="T168" s="886" t="n"/>
      <c r="U168" s="1174" t="n"/>
      <c r="V168" s="886" t="n"/>
      <c r="W168" s="1174" t="n"/>
      <c r="X168" s="886" t="n"/>
      <c r="Y168" s="1174" t="n"/>
      <c r="Z168" s="886" t="n"/>
      <c r="AA168" s="1174" t="n"/>
      <c r="AB168" s="886" t="n"/>
      <c r="AC168" s="1174" t="n"/>
      <c r="AD168" s="886" t="n"/>
      <c r="AE168" s="1174" t="n"/>
      <c r="AF168" s="886" t="n"/>
      <c r="AG168" s="1174" t="n"/>
      <c r="AH168" s="886" t="n"/>
      <c r="AI168" s="1174" t="n"/>
      <c r="AJ168" s="886" t="n"/>
      <c r="AK168" s="1174" t="n"/>
      <c r="AL168" s="886" t="n"/>
      <c r="AM168" s="1174" t="n"/>
      <c r="AN168" s="886" t="n"/>
      <c r="AO168" s="1174" t="n"/>
      <c r="AP168" s="1929" t="n"/>
      <c r="AQ168" s="5215" t="n"/>
      <c r="AR168" s="1964" t="n"/>
      <c r="AS168" s="36" t="n"/>
      <c r="AT168" s="1964" t="n"/>
      <c r="AU168" s="36" t="n"/>
      <c r="AV168" s="5281" t="n"/>
      <c r="AW168" s="1964" t="n"/>
      <c r="AX168" s="1186" t="n"/>
      <c r="AY168">
        <f>CA168&amp;CB168&amp;CC168&amp;CD168&amp;CE168&amp;CF168&amp;CG168&amp;CH168</f>
        <v/>
      </c>
      <c r="CA168" s="196">
        <f>IF(AND(Y168+Z168&gt;0,AQ168="")," * No olvide digitar la variable 12 años (incluidos en  grupo de 10-14 años). Digite Cero si no tiene.",IF(AQ168&gt;Y168+Z168," * La variable 12 años (incluidos en  grupo de 10-14 años) no pueden superar la suma del Grupo 10-14 años.",""))</f>
        <v/>
      </c>
      <c r="CB168" s="196">
        <f>IF(AND(F168&gt;0,AR168="")," * No olvide digitar la variable Gestante. Digite Cero si no tiene.",IF(AR168&gt;F168," * La variable Gestante no pueden superar el Total Mujeres.",""))</f>
        <v/>
      </c>
      <c r="CC168" s="196">
        <f>IF(AND(AK168+AL168&gt;0,AS168="")," * No olvide digitar la variable 60 años (incluido en grupos de 60-64 años). Digite Cero si no tiene.",IF(AS168&gt;AK168+AL168," * La variable 60 años (incluido en grupos de 60-64 años) no pueden superar la suma del Grupo 60-64 años.",""))</f>
        <v/>
      </c>
      <c r="CD168" s="196">
        <f>IF(AND($D168&gt;0,AT168=""),"  * No olvide digitar la variable Compra de servicio. Digite Cero si no tiene.","")</f>
        <v/>
      </c>
      <c r="CE168" s="196">
        <f>IF(AND($D168&gt;0,AU168="")," * No olvide digitar la variable Usuario con Discapacidad. Digite Cero si no tiene.",IF(AU168&gt;$D168," * La variable Usuario con Discapacidad no pueden superar el Total Ambos Sexos.",""))</f>
        <v/>
      </c>
      <c r="CF168" s="196">
        <f>IF(AND($D168&gt;0,AV168=""),"  * No olvide digitar la variable "&amp;AV$160&amp;". Digite Cero si no tiene.",IF(AV168&gt;$D168," * La variable "&amp;AV$160&amp;" no pueden superar el Total Ambos Sexos.",""))</f>
        <v/>
      </c>
      <c r="CG168" s="196">
        <f>IF(AND($D168&gt;0,AW168=""),"  * No olvide digitar la variable "&amp;AW$160&amp;". Digite Cero si no tiene.",IF(AW168&gt;$D168," * La variable "&amp;AW$160&amp;" no pueden superar el Total Ambos Sexos.",""))</f>
        <v/>
      </c>
      <c r="CH168" s="196">
        <f>IF(AND($D168&gt;0,AX168=""),"  * No olvide digitar la variable Migrantes. Digite Cero si no tiene.",IF(AX168&gt;$D168," * La variable Migrantes no pueden superar el Total Ambos Sexos.",""))</f>
        <v/>
      </c>
      <c r="CO168" s="197">
        <f>IF(AND(Y168+Z168&gt;0,AQ168=""),1,IF(AQ168&gt;Y168+Z168,1,0))</f>
        <v/>
      </c>
      <c r="CP168" s="197">
        <f>IF(AND(F168&gt;0,AR168=""),1,IF(AR168&gt;F168,1,0))</f>
        <v/>
      </c>
      <c r="CQ168" s="197">
        <f>IF(AND(AK168+AL168&gt;0,AS168=""),1,IF(AS168&gt;AK168+AL168,1,0))</f>
        <v/>
      </c>
      <c r="CR168" s="197">
        <f>IF(AND(D168&gt;0,AT168=""),1,0)</f>
        <v/>
      </c>
      <c r="CS168" s="197">
        <f>IF(AND($D168&gt;0,AU168=""),1,IF(AU168&gt;$D168,1,0))</f>
        <v/>
      </c>
      <c r="CT168" s="197">
        <f>IF(AND($D168&gt;0,AV168=""),1,IF(AV168&gt;$D168,1,0))</f>
        <v/>
      </c>
      <c r="CU168" s="197">
        <f>IF(AND($D168&gt;0,AW168=""),1,IF(AW168&gt;$D168,1,0))</f>
        <v/>
      </c>
      <c r="CV168" s="197">
        <f>IF(AND($D168&gt;0,AX168=""),1,IF(AX168&gt;$D168,1,0))</f>
        <v/>
      </c>
    </row>
    <row r="169" ht="15" customHeight="1" s="8286">
      <c r="A169" s="8748" t="inlineStr">
        <is>
          <t>Tomografía computacional Cone Beam unimaxilar</t>
        </is>
      </c>
      <c r="B169" s="10208" t="n"/>
      <c r="C169" s="9644" t="n"/>
      <c r="D169" s="1486">
        <f>E169+F169</f>
        <v/>
      </c>
      <c r="E169" s="1486">
        <f>SUM(G169+I169+K169+M169+O169+Q169+S169+U169+W169+Y169+AA169+AC169+AE169+AG169+AI169+AK169+AM169+AO169)</f>
        <v/>
      </c>
      <c r="F169" s="894">
        <f>SUM(H169+J169+L169+N169+P169+R169+T169+V169+X169+Z169+AB169+AD169+AF169+AH169+AJ169+AL169+AN169+AP169)</f>
        <v/>
      </c>
      <c r="G169" s="1172" t="n"/>
      <c r="H169" s="886" t="n"/>
      <c r="I169" s="1174" t="n"/>
      <c r="J169" s="886" t="n"/>
      <c r="K169" s="1174" t="n"/>
      <c r="L169" s="886" t="n"/>
      <c r="M169" s="1174" t="n"/>
      <c r="N169" s="886" t="n"/>
      <c r="O169" s="2001" t="n"/>
      <c r="P169" s="886" t="n"/>
      <c r="Q169" s="2001" t="n"/>
      <c r="R169" s="886" t="n"/>
      <c r="S169" s="2001" t="n"/>
      <c r="T169" s="886" t="n"/>
      <c r="U169" s="1174" t="n"/>
      <c r="V169" s="886" t="n"/>
      <c r="W169" s="1174" t="n"/>
      <c r="X169" s="886" t="n"/>
      <c r="Y169" s="1174" t="n"/>
      <c r="Z169" s="886" t="n"/>
      <c r="AA169" s="1174" t="n"/>
      <c r="AB169" s="886" t="n"/>
      <c r="AC169" s="1174" t="n"/>
      <c r="AD169" s="886" t="n"/>
      <c r="AE169" s="1174" t="n"/>
      <c r="AF169" s="886" t="n"/>
      <c r="AG169" s="1174" t="n"/>
      <c r="AH169" s="886" t="n"/>
      <c r="AI169" s="1174" t="n"/>
      <c r="AJ169" s="886" t="n"/>
      <c r="AK169" s="1174" t="n"/>
      <c r="AL169" s="886" t="n"/>
      <c r="AM169" s="1174" t="n"/>
      <c r="AN169" s="886" t="n"/>
      <c r="AO169" s="1174" t="n"/>
      <c r="AP169" s="1929" t="n"/>
      <c r="AQ169" s="5215" t="n"/>
      <c r="AR169" s="1964" t="n"/>
      <c r="AS169" s="36" t="n"/>
      <c r="AT169" s="1964" t="n"/>
      <c r="AU169" s="36" t="n"/>
      <c r="AV169" s="5281" t="n"/>
      <c r="AW169" s="1964" t="n"/>
      <c r="AX169" s="1186" t="n"/>
      <c r="AY169">
        <f>CA169&amp;CB169&amp;CC169&amp;CD169&amp;CE169&amp;CF169&amp;CG169&amp;CH169</f>
        <v/>
      </c>
      <c r="CA169" s="196">
        <f>IF(AND(Y169+Z169&gt;0,AQ169="")," * No olvide digitar la variable 12 años (incluidos en  grupo de 10-14 años). Digite Cero si no tiene.",IF(AQ169&gt;Y169+Z169," * La variable 12 años (incluidos en  grupo de 10-14 años) no pueden superar la suma del Grupo 10-14 años.",""))</f>
        <v/>
      </c>
      <c r="CB169" s="196">
        <f>IF(AND(F169&gt;0,AR169="")," * No olvide digitar la variable Gestante. Digite Cero si no tiene.",IF(AR169&gt;F169," * La variable Gestante no pueden superar el Total Mujeres.",""))</f>
        <v/>
      </c>
      <c r="CC169" s="196">
        <f>IF(AND(AK169+AL169&gt;0,AS169="")," * No olvide digitar la variable 60 años (incluido en grupos de 60-64 años). Digite Cero si no tiene.",IF(AS169&gt;AK169+AL169," * La variable 60 años (incluido en grupos de 60-64 años) no pueden superar la suma del Grupo 60-64 años.",""))</f>
        <v/>
      </c>
      <c r="CD169" s="196">
        <f>IF(AND($D169&gt;0,AT169=""),"  * No olvide digitar la variable Compra de servicio. Digite Cero si no tiene.","")</f>
        <v/>
      </c>
      <c r="CE169" s="196">
        <f>IF(AND($D169&gt;0,AU169="")," * No olvide digitar la variable Usuario con Discapacidad. Digite Cero si no tiene.",IF(AU169&gt;$D169," * La variable Usuario con Discapacidad no pueden superar el Total Ambos Sexos.",""))</f>
        <v/>
      </c>
      <c r="CF169" s="196">
        <f>IF(AND($D169&gt;0,AV169=""),"  * No olvide digitar la variable "&amp;AV$160&amp;". Digite Cero si no tiene.",IF(AV169&gt;$D169," * La variable "&amp;AV$160&amp;" no pueden superar el Total Ambos Sexos.",""))</f>
        <v/>
      </c>
      <c r="CG169" s="196">
        <f>IF(AND($D169&gt;0,AW169=""),"  * No olvide digitar la variable "&amp;AW$160&amp;". Digite Cero si no tiene.",IF(AW169&gt;$D169," * La variable "&amp;AW$160&amp;" no pueden superar el Total Ambos Sexos.",""))</f>
        <v/>
      </c>
      <c r="CH169" s="196">
        <f>IF(AND($D169&gt;0,AX169=""),"  * No olvide digitar la variable Migrantes. Digite Cero si no tiene.",IF(AX169&gt;$D169," * La variable Migrantes no pueden superar el Total Ambos Sexos.",""))</f>
        <v/>
      </c>
      <c r="CO169" s="197">
        <f>IF(AND(Y169+Z169&gt;0,AQ169=""),1,IF(AQ169&gt;Y169+Z169,1,0))</f>
        <v/>
      </c>
      <c r="CP169" s="197">
        <f>IF(AND(F169&gt;0,AR169=""),1,IF(AR169&gt;F169,1,0))</f>
        <v/>
      </c>
      <c r="CQ169" s="197">
        <f>IF(AND(AK169+AL169&gt;0,AS169=""),1,IF(AS169&gt;AK169+AL169,1,0))</f>
        <v/>
      </c>
      <c r="CR169" s="197">
        <f>IF(AND(D169&gt;0,AT169=""),1,0)</f>
        <v/>
      </c>
      <c r="CS169" s="197">
        <f>IF(AND($D169&gt;0,AU169=""),1,IF(AU169&gt;$D169,1,0))</f>
        <v/>
      </c>
      <c r="CT169" s="197">
        <f>IF(AND($D169&gt;0,AV169=""),1,IF(AV169&gt;$D169,1,0))</f>
        <v/>
      </c>
      <c r="CU169" s="197">
        <f>IF(AND($D169&gt;0,AW169=""),1,IF(AW169&gt;$D169,1,0))</f>
        <v/>
      </c>
      <c r="CV169" s="197">
        <f>IF(AND($D169&gt;0,AX169=""),1,IF(AX169&gt;$D169,1,0))</f>
        <v/>
      </c>
    </row>
    <row r="170" ht="15" customHeight="1" s="8286">
      <c r="A170" s="10257" t="inlineStr">
        <is>
          <t>Tomografía computacional Cone Beam zona dentaria</t>
        </is>
      </c>
      <c r="B170" s="10208" t="n"/>
      <c r="C170" s="8335" t="n"/>
      <c r="D170" s="1486">
        <f>E170+F170</f>
        <v/>
      </c>
      <c r="E170" s="1486">
        <f>SUM(G170+I170+K170+M170+O170+Q170+S170+U170+W170+Y170+AA170+AC170+AE170+AG170+AI170+AK170+AM170+AO170)</f>
        <v/>
      </c>
      <c r="F170" s="894">
        <f>SUM(H170+J170+L170+N170+P170+R170+T170+V170+X170+Z170+AB170+AD170+AF170+AH170+AJ170+AL170+AN170+AP170)</f>
        <v/>
      </c>
      <c r="G170" s="1172" t="n"/>
      <c r="H170" s="886" t="n"/>
      <c r="I170" s="1174" t="n"/>
      <c r="J170" s="886" t="n"/>
      <c r="K170" s="1174" t="n"/>
      <c r="L170" s="886" t="n"/>
      <c r="M170" s="1174" t="n"/>
      <c r="N170" s="886" t="n"/>
      <c r="O170" s="2001" t="n"/>
      <c r="P170" s="886" t="n"/>
      <c r="Q170" s="2001" t="n"/>
      <c r="R170" s="886" t="n"/>
      <c r="S170" s="2001" t="n"/>
      <c r="T170" s="886" t="n"/>
      <c r="U170" s="1174" t="n"/>
      <c r="V170" s="886" t="n"/>
      <c r="W170" s="1174" t="n"/>
      <c r="X170" s="886" t="n"/>
      <c r="Y170" s="1174" t="n"/>
      <c r="Z170" s="886" t="n"/>
      <c r="AA170" s="1174" t="n"/>
      <c r="AB170" s="886" t="n"/>
      <c r="AC170" s="1174" t="n"/>
      <c r="AD170" s="886" t="n"/>
      <c r="AE170" s="1174" t="n"/>
      <c r="AF170" s="886" t="n"/>
      <c r="AG170" s="1174" t="n"/>
      <c r="AH170" s="886" t="n"/>
      <c r="AI170" s="1174" t="n"/>
      <c r="AJ170" s="886" t="n"/>
      <c r="AK170" s="1174" t="n"/>
      <c r="AL170" s="886" t="n"/>
      <c r="AM170" s="1174" t="n"/>
      <c r="AN170" s="886" t="n"/>
      <c r="AO170" s="1174" t="n"/>
      <c r="AP170" s="1929" t="n"/>
      <c r="AQ170" s="5215" t="n"/>
      <c r="AR170" s="1964" t="n"/>
      <c r="AS170" s="36" t="n"/>
      <c r="AT170" s="1964" t="n"/>
      <c r="AU170" s="36" t="n"/>
      <c r="AV170" s="5281" t="n"/>
      <c r="AW170" s="1964" t="n"/>
      <c r="AX170" s="1186" t="n"/>
      <c r="AY170">
        <f>CA170&amp;CB170&amp;CC170&amp;CD170&amp;CE170&amp;CF170&amp;CG170&amp;CH170</f>
        <v/>
      </c>
      <c r="CA170" s="196">
        <f>IF(AND(Y170+Z170&gt;0,AQ170="")," * No olvide digitar la variable 12 años (incluidos en  grupo de 10-14 años). Digite Cero si no tiene.",IF(AQ170&gt;Y170+Z170," * La variable 12 años (incluidos en  grupo de 10-14 años) no pueden superar la suma del Grupo 10-14 años.",""))</f>
        <v/>
      </c>
      <c r="CB170" s="196">
        <f>IF(AND(F170&gt;0,AR170="")," * No olvide digitar la variable Gestante. Digite Cero si no tiene.",IF(AR170&gt;F170," * La variable Gestante no pueden superar el Total Mujeres.",""))</f>
        <v/>
      </c>
      <c r="CC170" s="196">
        <f>IF(AND(AK170+AL170&gt;0,AS170="")," * No olvide digitar la variable 60 años (incluido en grupos de 60-64 años). Digite Cero si no tiene.",IF(AS170&gt;AK170+AL170," * La variable 60 años (incluido en grupos de 60-64 años) no pueden superar la suma del Grupo 60-64 años.",""))</f>
        <v/>
      </c>
      <c r="CD170" s="196">
        <f>IF(AND($D170&gt;0,AT170=""),"  * No olvide digitar la variable Compra de servicio. Digite Cero si no tiene.","")</f>
        <v/>
      </c>
      <c r="CE170" s="196">
        <f>IF(AND($D170&gt;0,AU170="")," * No olvide digitar la variable Usuario con Discapacidad. Digite Cero si no tiene.",IF(AU170&gt;$D170," * La variable Usuario con Discapacidad no pueden superar el Total Ambos Sexos.",""))</f>
        <v/>
      </c>
      <c r="CF170" s="196">
        <f>IF(AND($D170&gt;0,AV170=""),"  * No olvide digitar la variable "&amp;AV$160&amp;". Digite Cero si no tiene.",IF(AV170&gt;$D170," * La variable "&amp;AV$160&amp;" no pueden superar el Total Ambos Sexos.",""))</f>
        <v/>
      </c>
      <c r="CG170" s="196">
        <f>IF(AND($D170&gt;0,AW170=""),"  * No olvide digitar la variable "&amp;AW$160&amp;". Digite Cero si no tiene.",IF(AW170&gt;$D170," * La variable "&amp;AW$160&amp;" no pueden superar el Total Ambos Sexos.",""))</f>
        <v/>
      </c>
      <c r="CH170" s="196">
        <f>IF(AND($D170&gt;0,AX170=""),"  * No olvide digitar la variable Migrantes. Digite Cero si no tiene.",IF(AX170&gt;$D170," * La variable Migrantes no pueden superar el Total Ambos Sexos.",""))</f>
        <v/>
      </c>
      <c r="CO170" s="197">
        <f>IF(AND(Y170+Z170&gt;0,AQ170=""),1,IF(AQ170&gt;Y170+Z170,1,0))</f>
        <v/>
      </c>
      <c r="CP170" s="197">
        <f>IF(AND(F170&gt;0,AR170=""),1,IF(AR170&gt;F170,1,0))</f>
        <v/>
      </c>
      <c r="CQ170" s="197">
        <f>IF(AND(AK170+AL170&gt;0,AS170=""),1,IF(AS170&gt;AK170+AL170,1,0))</f>
        <v/>
      </c>
      <c r="CR170" s="197">
        <f>IF(AND(D170&gt;0,AT170=""),1,0)</f>
        <v/>
      </c>
      <c r="CS170" s="197">
        <f>IF(AND($D170&gt;0,AU170=""),1,IF(AU170&gt;$D170,1,0))</f>
        <v/>
      </c>
      <c r="CT170" s="197">
        <f>IF(AND($D170&gt;0,AV170=""),1,IF(AV170&gt;$D170,1,0))</f>
        <v/>
      </c>
      <c r="CU170" s="197">
        <f>IF(AND($D170&gt;0,AW170=""),1,IF(AW170&gt;$D170,1,0))</f>
        <v/>
      </c>
      <c r="CV170" s="197">
        <f>IF(AND($D170&gt;0,AX170=""),1,IF(AX170&gt;$D170,1,0))</f>
        <v/>
      </c>
    </row>
    <row r="171" ht="15" customHeight="1" s="8286">
      <c r="A171" s="3877" t="inlineStr">
        <is>
          <t>Sialografías (por procedimiento)</t>
        </is>
      </c>
      <c r="B171" s="10208" t="n"/>
      <c r="C171" s="9644" t="n"/>
      <c r="D171" s="1486">
        <f>E171+F171</f>
        <v/>
      </c>
      <c r="E171" s="1486">
        <f>SUM(G171+I171+K171+M171+O171+Q171+S171+U171+W171+Y171+AA171+AC171+AE171+AG171+AI171+AK171+AM171+AO171)</f>
        <v/>
      </c>
      <c r="F171" s="894">
        <f>SUM(H171+J171+L171+N171+P171+R171+T171+V171+X171+Z171+AB171+AD171+AF171+AH171+AJ171+AL171+AN171+AP171)</f>
        <v/>
      </c>
      <c r="G171" s="1172" t="n"/>
      <c r="H171" s="886" t="n"/>
      <c r="I171" s="1174" t="n"/>
      <c r="J171" s="886" t="n"/>
      <c r="K171" s="1174" t="n"/>
      <c r="L171" s="886" t="n"/>
      <c r="M171" s="1174" t="n"/>
      <c r="N171" s="886" t="n"/>
      <c r="O171" s="2001" t="n"/>
      <c r="P171" s="886" t="n"/>
      <c r="Q171" s="2001" t="n"/>
      <c r="R171" s="886" t="n"/>
      <c r="S171" s="2001" t="n"/>
      <c r="T171" s="886" t="n"/>
      <c r="U171" s="1174" t="n"/>
      <c r="V171" s="886" t="n"/>
      <c r="W171" s="1174" t="n"/>
      <c r="X171" s="886" t="n"/>
      <c r="Y171" s="1174" t="n"/>
      <c r="Z171" s="886" t="n"/>
      <c r="AA171" s="1174" t="n"/>
      <c r="AB171" s="886" t="n"/>
      <c r="AC171" s="1174" t="n"/>
      <c r="AD171" s="886" t="n"/>
      <c r="AE171" s="1174" t="n"/>
      <c r="AF171" s="886" t="n"/>
      <c r="AG171" s="1174" t="n"/>
      <c r="AH171" s="886" t="n"/>
      <c r="AI171" s="1174" t="n"/>
      <c r="AJ171" s="886" t="n"/>
      <c r="AK171" s="1174" t="n"/>
      <c r="AL171" s="886" t="n"/>
      <c r="AM171" s="1174" t="n"/>
      <c r="AN171" s="886" t="n"/>
      <c r="AO171" s="1174" t="n"/>
      <c r="AP171" s="1929" t="n"/>
      <c r="AQ171" s="5215" t="n"/>
      <c r="AR171" s="1964" t="n"/>
      <c r="AS171" s="36" t="n"/>
      <c r="AT171" s="1229" t="n"/>
      <c r="AU171" s="35" t="n"/>
      <c r="AV171" s="5282" t="n"/>
      <c r="AW171" s="1229" t="n"/>
      <c r="AX171" s="1180" t="n"/>
      <c r="AY171">
        <f>CA171&amp;CB171&amp;CC171&amp;CD171&amp;CE171&amp;CF171&amp;CG171&amp;CH171</f>
        <v/>
      </c>
      <c r="CA171" s="196">
        <f>IF(AND(Y171+Z171&gt;0,AQ171="")," * No olvide digitar la variable 12 años (incluidos en  grupo de 10-14 años). Digite Cero si no tiene.",IF(AQ171&gt;Y171+Z171," * La variable 12 años (incluidos en  grupo de 10-14 años) no pueden superar la suma del Grupo 10-14 años.",""))</f>
        <v/>
      </c>
      <c r="CB171" s="196">
        <f>IF(AND(F171&gt;0,AR171="")," * No olvide digitar la variable Gestante. Digite Cero si no tiene.",IF(AR171&gt;F171," * La variable Gestante no pueden superar el Total Mujeres.",""))</f>
        <v/>
      </c>
      <c r="CC171" s="196">
        <f>IF(AND(AK171+AL171&gt;0,AS171="")," * No olvide digitar la variable 60 años (incluido en grupos de 60-64 años). Digite Cero si no tiene.",IF(AS171&gt;AK171+AL171," * La variable 60 años (incluido en grupos de 60-64 años) no pueden superar la suma del Grupo 60-64 años.",""))</f>
        <v/>
      </c>
      <c r="CD171" s="196">
        <f>IF(AND($D171&gt;0,AT171=""),"  * No olvide digitar la variable Compra de servicio. Digite Cero si no tiene.","")</f>
        <v/>
      </c>
      <c r="CE171" s="196">
        <f>IF(AND($D171&gt;0,AU171="")," * No olvide digitar la variable Usuario con Discapacidad. Digite Cero si no tiene.",IF(AU171&gt;$D171," * La variable Usuario con Discapacidad no pueden superar el Total Ambos Sexos.",""))</f>
        <v/>
      </c>
      <c r="CF171" s="196">
        <f>IF(AND($D171&gt;0,AV171=""),"  * No olvide digitar la variable "&amp;AV$160&amp;". Digite Cero si no tiene.",IF(AV171&gt;$D171," * La variable "&amp;AV$160&amp;" no pueden superar el Total Ambos Sexos.",""))</f>
        <v/>
      </c>
      <c r="CG171" s="196">
        <f>IF(AND($D171&gt;0,AW171=""),"  * No olvide digitar la variable "&amp;AW$160&amp;". Digite Cero si no tiene.",IF(AW171&gt;$D171," * La variable "&amp;AW$160&amp;" no pueden superar el Total Ambos Sexos.",""))</f>
        <v/>
      </c>
      <c r="CH171" s="196">
        <f>IF(AND($D171&gt;0,AX171=""),"  * No olvide digitar la variable Migrantes. Digite Cero si no tiene.",IF(AX171&gt;$D171," * La variable Migrantes no pueden superar el Total Ambos Sexos.",""))</f>
        <v/>
      </c>
      <c r="CO171" s="197">
        <f>IF(AND(Y171+Z171&gt;0,AQ171=""),1,IF(AQ171&gt;Y171+Z171,1,0))</f>
        <v/>
      </c>
      <c r="CP171" s="197">
        <f>IF(AND(F171&gt;0,AR171=""),1,IF(AR171&gt;F171,1,0))</f>
        <v/>
      </c>
      <c r="CQ171" s="197">
        <f>IF(AND(AK171+AL171&gt;0,AS171=""),1,IF(AS171&gt;AK171+AL171,1,0))</f>
        <v/>
      </c>
      <c r="CR171" s="197">
        <f>IF(AND(D171&gt;0,AT171=""),1,0)</f>
        <v/>
      </c>
      <c r="CS171" s="197">
        <f>IF(AND($D171&gt;0,AU171=""),1,IF(AU171&gt;$D171,1,0))</f>
        <v/>
      </c>
      <c r="CT171" s="197">
        <f>IF(AND($D171&gt;0,AV171=""),1,IF(AV171&gt;$D171,1,0))</f>
        <v/>
      </c>
      <c r="CU171" s="197">
        <f>IF(AND($D171&gt;0,AW171=""),1,IF(AW171&gt;$D171,1,0))</f>
        <v/>
      </c>
      <c r="CV171" s="197">
        <f>IF(AND($D171&gt;0,AX171=""),1,IF(AX171&gt;$D171,1,0))</f>
        <v/>
      </c>
    </row>
    <row r="172" ht="15" customHeight="1" s="8286">
      <c r="A172" s="10258" t="inlineStr">
        <is>
          <t>Procedimiento imagenológico complejo (por procedimiento)</t>
        </is>
      </c>
      <c r="B172" s="10208" t="n"/>
      <c r="C172" s="9644" t="n"/>
      <c r="D172" s="1485">
        <f>E172+F172</f>
        <v/>
      </c>
      <c r="E172" s="1486">
        <f>SUM(G172+I172+K172+M172+O172+Q172+S172+U172+W172+Y172+AA172+AC172+AE172+AG172+AI172+AK172+AM172+AO172)</f>
        <v/>
      </c>
      <c r="F172" s="894">
        <f>SUM(H172+J172+L172+N172+P172+R172+T172+V172+X172+Z172+AB172+AD172+AF172+AH172+AJ172+AL172+AN172+AP172)</f>
        <v/>
      </c>
      <c r="G172" s="1172" t="n"/>
      <c r="H172" s="886" t="n"/>
      <c r="I172" s="1172" t="n"/>
      <c r="J172" s="886" t="n"/>
      <c r="K172" s="1172" t="n"/>
      <c r="L172" s="886" t="n"/>
      <c r="M172" s="1172" t="n"/>
      <c r="N172" s="886" t="n"/>
      <c r="O172" s="1172" t="n"/>
      <c r="P172" s="886" t="n"/>
      <c r="Q172" s="1172" t="n"/>
      <c r="R172" s="886" t="n"/>
      <c r="S172" s="1172" t="n"/>
      <c r="T172" s="886" t="n"/>
      <c r="U172" s="1172" t="n"/>
      <c r="V172" s="886" t="n"/>
      <c r="W172" s="1172" t="n"/>
      <c r="X172" s="886" t="n"/>
      <c r="Y172" s="1172" t="n"/>
      <c r="Z172" s="886" t="n"/>
      <c r="AA172" s="1172" t="n"/>
      <c r="AB172" s="886" t="n"/>
      <c r="AC172" s="1172" t="n"/>
      <c r="AD172" s="886" t="n"/>
      <c r="AE172" s="1172" t="n"/>
      <c r="AF172" s="886" t="n"/>
      <c r="AG172" s="1172" t="n"/>
      <c r="AH172" s="886" t="n"/>
      <c r="AI172" s="1172" t="n"/>
      <c r="AJ172" s="886" t="n"/>
      <c r="AK172" s="1172" t="n"/>
      <c r="AL172" s="886" t="n"/>
      <c r="AM172" s="1172" t="n"/>
      <c r="AN172" s="886" t="n"/>
      <c r="AO172" s="1172" t="n"/>
      <c r="AP172" s="1929" t="n"/>
      <c r="AQ172" s="5248" t="n"/>
      <c r="AR172" s="3892" t="n"/>
      <c r="AS172" s="36" t="n"/>
      <c r="AT172" s="1229" t="n"/>
      <c r="AU172" s="35" t="n"/>
      <c r="AV172" s="5282" t="n"/>
      <c r="AW172" s="1229" t="n"/>
      <c r="AX172" s="1180" t="n"/>
      <c r="AY172">
        <f>CA172&amp;CB172&amp;CC172&amp;CD172&amp;CE172&amp;CF172&amp;CG172&amp;CH172</f>
        <v/>
      </c>
      <c r="CA172" s="196">
        <f>IF(AND(Y172+Z172&gt;0,AQ172="")," * No olvide digitar la variable 12 años (incluidos en  grupo de 10-14 años). Digite Cero si no tiene.",IF(AQ172&gt;Y172+Z172," * La variable 12 años (incluidos en  grupo de 10-14 años) no pueden superar la suma del Grupo 10-14 años.",""))</f>
        <v/>
      </c>
      <c r="CB172" s="196">
        <f>IF(AND(F172&gt;0,AR172="")," * No olvide digitar la variable Gestante. Digite Cero si no tiene.",IF(AR172&gt;F172," * La variable Gestante no pueden superar el Total Mujeres.",""))</f>
        <v/>
      </c>
      <c r="CC172" s="196">
        <f>IF(AND(AK172+AL172&gt;0,AS172="")," * No olvide digitar la variable 60 años (incluido en grupos de 60-64 años). Digite Cero si no tiene.",IF(AS172&gt;AK172+AL172," * La variable 60 años (incluido en grupos de 60-64 años) no pueden superar la suma del Grupo 60-64 años.",""))</f>
        <v/>
      </c>
      <c r="CD172" s="196">
        <f>IF(AND($D172&gt;0,AT172=""),"  * No olvide digitar la variable Compra de servicio. Digite Cero si no tiene.","")</f>
        <v/>
      </c>
      <c r="CE172" s="196">
        <f>IF(AND($D172&gt;0,AU172="")," * No olvide digitar la variable Usuario con Discapacidad. Digite Cero si no tiene.",IF(AU172&gt;$D172," * La variable Usuario con Discapacidad no pueden superar el Total Ambos Sexos.",""))</f>
        <v/>
      </c>
      <c r="CF172" s="196">
        <f>IF(AND($D172&gt;0,AV172=""),"  * No olvide digitar la variable "&amp;AV$160&amp;". Digite Cero si no tiene.",IF(AV172&gt;$D172," * La variable "&amp;AV$160&amp;" no pueden superar el Total Ambos Sexos.",""))</f>
        <v/>
      </c>
      <c r="CG172" s="196">
        <f>IF(AND($D172&gt;0,AW172=""),"  * No olvide digitar la variable "&amp;AW$160&amp;". Digite Cero si no tiene.",IF(AW172&gt;$D172," * La variable "&amp;AW$160&amp;" no pueden superar el Total Ambos Sexos.",""))</f>
        <v/>
      </c>
      <c r="CH172" s="196">
        <f>IF(AND($D172&gt;0,AX172=""),"  * No olvide digitar la variable Migrantes. Digite Cero si no tiene.",IF(AX172&gt;$D172," * La variable Migrantes no pueden superar el Total Ambos Sexos.",""))</f>
        <v/>
      </c>
      <c r="CO172" s="197">
        <f>IF(AND(Y172+Z172&gt;0,AQ172=""),1,IF(AQ172&gt;Y172+Z172,1,0))</f>
        <v/>
      </c>
      <c r="CP172" s="197">
        <f>IF(AND(F172&gt;0,AR172=""),1,IF(AR172&gt;F172,1,0))</f>
        <v/>
      </c>
      <c r="CQ172" s="197">
        <f>IF(AND(AK172+AL172&gt;0,AS172=""),1,IF(AS172&gt;AK172+AL172,1,0))</f>
        <v/>
      </c>
      <c r="CR172" s="197">
        <f>IF(AND(D172&gt;0,AT172=""),1,0)</f>
        <v/>
      </c>
      <c r="CS172" s="197">
        <f>IF(AND($D172&gt;0,AU172=""),1,IF(AU172&gt;$D172,1,0))</f>
        <v/>
      </c>
      <c r="CT172" s="197">
        <f>IF(AND($D172&gt;0,AV172=""),1,IF(AV172&gt;$D172,1,0))</f>
        <v/>
      </c>
      <c r="CU172" s="197">
        <f>IF(AND($D172&gt;0,AW172=""),1,IF(AW172&gt;$D172,1,0))</f>
        <v/>
      </c>
      <c r="CV172" s="197">
        <f>IF(AND($D172&gt;0,AX172=""),1,IF(AX172&gt;$D172,1,0))</f>
        <v/>
      </c>
    </row>
    <row r="173" ht="15" customHeight="1" s="8286">
      <c r="A173" s="2866" t="inlineStr">
        <is>
          <t>Procedimiento en glándula salival</t>
        </is>
      </c>
      <c r="B173" s="2866" t="n"/>
      <c r="C173" s="1232" t="n"/>
      <c r="D173" s="1383">
        <f>E173+F173</f>
        <v/>
      </c>
      <c r="E173" s="1381">
        <f>SUM(G173+I173+K173+M173+O173+Q173+S173+U173+W173+Y173+AA173+AC173+AE173+AG173+AI173+AK173+AM173+AO173)</f>
        <v/>
      </c>
      <c r="F173" s="1382">
        <f>SUM(H173+J173+L173+N173+P173+R173+T173+V173+X173+Z173+AB173+AD173+AF173+AH173+AJ173+AL173+AN173+AP173)</f>
        <v/>
      </c>
      <c r="G173" s="1172" t="n"/>
      <c r="H173" s="886" t="n"/>
      <c r="I173" s="1172" t="n"/>
      <c r="J173" s="886" t="n"/>
      <c r="K173" s="1172" t="n"/>
      <c r="L173" s="886" t="n"/>
      <c r="M173" s="1172" t="n"/>
      <c r="N173" s="886" t="n"/>
      <c r="O173" s="1172" t="n"/>
      <c r="P173" s="886" t="n"/>
      <c r="Q173" s="1172" t="n"/>
      <c r="R173" s="886" t="n"/>
      <c r="S173" s="1172" t="n"/>
      <c r="T173" s="886" t="n"/>
      <c r="U173" s="1172" t="n"/>
      <c r="V173" s="886" t="n"/>
      <c r="W173" s="1172" t="n"/>
      <c r="X173" s="886" t="n"/>
      <c r="Y173" s="1172" t="n"/>
      <c r="Z173" s="886" t="n"/>
      <c r="AA173" s="1172" t="n"/>
      <c r="AB173" s="886" t="n"/>
      <c r="AC173" s="1172" t="n"/>
      <c r="AD173" s="886" t="n"/>
      <c r="AE173" s="1172" t="n"/>
      <c r="AF173" s="886" t="n"/>
      <c r="AG173" s="1172" t="n"/>
      <c r="AH173" s="886" t="n"/>
      <c r="AI173" s="1172" t="n"/>
      <c r="AJ173" s="886" t="n"/>
      <c r="AK173" s="1172" t="n"/>
      <c r="AL173" s="886" t="n"/>
      <c r="AM173" s="1172" t="n"/>
      <c r="AN173" s="886" t="n"/>
      <c r="AO173" s="1188" t="n"/>
      <c r="AP173" s="1224" t="n"/>
      <c r="AQ173" s="5215" t="n"/>
      <c r="AR173" s="1223" t="n"/>
      <c r="AS173" s="36" t="n"/>
      <c r="AT173" s="1223" t="n"/>
      <c r="AU173" s="35" t="n"/>
      <c r="AV173" s="5282" t="n"/>
      <c r="AW173" s="1223" t="n"/>
      <c r="AX173" s="1180" t="n"/>
      <c r="AY173">
        <f>CA173&amp;CB173&amp;CC173&amp;CD173&amp;CE173&amp;CF173&amp;CG173&amp;CH173</f>
        <v/>
      </c>
      <c r="CA173" s="196">
        <f>IF(AND(Y173+Z173&gt;0,AQ173="")," * No olvide digitar la variable 12 años (incluidos en  grupo de 10-14 años). Digite Cero si no tiene.",IF(AQ173&gt;Y173+Z173," * La variable 12 años (incluidos en  grupo de 10-14 años) no pueden superar la suma del Grupo 10-14 años.",""))</f>
        <v/>
      </c>
      <c r="CB173" s="196">
        <f>IF(AND(F173&gt;0,AR173="")," * No olvide digitar la variable Gestante. Digite Cero si no tiene.",IF(AR173&gt;F173," * La variable Gestante no pueden superar el Total Mujeres.",""))</f>
        <v/>
      </c>
      <c r="CC173" s="196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>
        <f>IF(AND($D173&gt;0,AT173=""),"  * No olvide digitar la variable Compra de servicio. Digite Cero si no tiene.","")</f>
        <v/>
      </c>
      <c r="CE173" s="196">
        <f>IF(AND($D173&gt;0,AU173="")," * No olvide digitar la variable Usuario con Discapacidad. Digite Cero si no tiene.",IF(AU173&gt;$D173," * La variable Usuario con Discapacidad no pueden superar el Total Ambos Sexos.",""))</f>
        <v/>
      </c>
      <c r="CF173" s="196">
        <f>IF(AND($D173&gt;0,AV173=""),"  * No olvide digitar la variable "&amp;AV$160&amp;". Digite Cero si no tiene.",IF(AV173&gt;$D173," * La variable "&amp;AV$160&amp;" no pueden superar el Total Ambos Sexos.",""))</f>
        <v/>
      </c>
      <c r="CG173" s="196">
        <f>IF(AND($D173&gt;0,AW173=""),"  * No olvide digitar la variable "&amp;AW$160&amp;". Digite Cero si no tiene.",IF(AW173&gt;$D173," * La variable "&amp;AW$160&amp;" no pueden superar el Total Ambos Sexos.",""))</f>
        <v/>
      </c>
      <c r="CH173" s="196">
        <f>IF(AND($D173&gt;0,AX173=""),"  * No olvide digitar la variable Migrantes. Digite Cero si no tiene.",IF(AX173&gt;$D173," * La variable Migrantes no pueden superar el Total Ambos Sexos.",""))</f>
        <v/>
      </c>
      <c r="CO173" s="197">
        <f>IF(AND(Y173+Z173&gt;0,AQ173=""),1,IF(AQ173&gt;Y173+Z173,1,0))</f>
        <v/>
      </c>
      <c r="CP173" s="197">
        <f>IF(AND(F173&gt;0,AR173=""),1,IF(AR173&gt;F173,1,0))</f>
        <v/>
      </c>
      <c r="CQ173" s="197">
        <f>IF(AND(AK173+AL173&gt;0,AS173=""),1,IF(AS173&gt;AK173+AL173,1,0))</f>
        <v/>
      </c>
      <c r="CR173" s="197">
        <f>IF(AND(D173&gt;0,AT173=""),1,0)</f>
        <v/>
      </c>
      <c r="CS173" s="197">
        <f>IF(AND($D173&gt;0,AU173=""),1,IF(AU173&gt;$D173,1,0))</f>
        <v/>
      </c>
      <c r="CT173" s="197">
        <f>IF(AND($D173&gt;0,AV173=""),1,IF(AV173&gt;$D173,1,0))</f>
        <v/>
      </c>
      <c r="CU173" s="197">
        <f>IF(AND($D173&gt;0,AW173=""),1,IF(AW173&gt;$D173,1,0))</f>
        <v/>
      </c>
      <c r="CV173" s="197">
        <f>IF(AND($D173&gt;0,AX173=""),1,IF(AX173&gt;$D173,1,0))</f>
        <v/>
      </c>
    </row>
    <row r="174" ht="15" customHeight="1" s="8286">
      <c r="A174" s="9240" t="inlineStr">
        <is>
          <t>TOTAL</t>
        </is>
      </c>
      <c r="B174" s="9584" t="n"/>
      <c r="C174" s="9647" t="n"/>
      <c r="D174" s="2835">
        <f>SUM(D163:D173)</f>
        <v/>
      </c>
      <c r="E174" s="2867">
        <f>SUM(E163:E173)</f>
        <v/>
      </c>
      <c r="F174" s="2839">
        <f>SUM(F163:F173)</f>
        <v/>
      </c>
      <c r="G174" s="2681">
        <f>SUM(G163:G173)</f>
        <v/>
      </c>
      <c r="H174" s="2839">
        <f>SUM(H163:H173)</f>
        <v/>
      </c>
      <c r="I174" s="2681">
        <f>SUM(I163:I173)</f>
        <v/>
      </c>
      <c r="J174" s="2839">
        <f>SUM(J163:J173)</f>
        <v/>
      </c>
      <c r="K174" s="2681">
        <f>SUM(K163:K173)</f>
        <v/>
      </c>
      <c r="L174" s="2839">
        <f>SUM(L163:L173)</f>
        <v/>
      </c>
      <c r="M174" s="2681">
        <f>SUM(M163:M173)</f>
        <v/>
      </c>
      <c r="N174" s="2839">
        <f>SUM(N163:N173)</f>
        <v/>
      </c>
      <c r="O174" s="2681">
        <f>SUM(O163:O173)</f>
        <v/>
      </c>
      <c r="P174" s="2839">
        <f>SUM(P163:P173)</f>
        <v/>
      </c>
      <c r="Q174" s="2681">
        <f>SUM(Q163:Q173)</f>
        <v/>
      </c>
      <c r="R174" s="2839">
        <f>SUM(R163:R173)</f>
        <v/>
      </c>
      <c r="S174" s="2681">
        <f>SUM(S163:S173)</f>
        <v/>
      </c>
      <c r="T174" s="2839">
        <f>SUM(T163:T173)</f>
        <v/>
      </c>
      <c r="U174" s="2681">
        <f>SUM(U163:U173)</f>
        <v/>
      </c>
      <c r="V174" s="2839">
        <f>SUM(V163:V173)</f>
        <v/>
      </c>
      <c r="W174" s="2681">
        <f>SUM(W163:W173)</f>
        <v/>
      </c>
      <c r="X174" s="2839">
        <f>SUM(X163:X173)</f>
        <v/>
      </c>
      <c r="Y174" s="2681">
        <f>SUM(Y163:Y173)</f>
        <v/>
      </c>
      <c r="Z174" s="2839">
        <f>SUM(Z163:Z173)</f>
        <v/>
      </c>
      <c r="AA174" s="2681">
        <f>SUM(AA163:AA173)</f>
        <v/>
      </c>
      <c r="AB174" s="2839">
        <f>SUM(AB163:AB173)</f>
        <v/>
      </c>
      <c r="AC174" s="2681">
        <f>SUM(AC163:AC173)</f>
        <v/>
      </c>
      <c r="AD174" s="2839">
        <f>SUM(AD163:AD173)</f>
        <v/>
      </c>
      <c r="AE174" s="2681">
        <f>SUM(AE163:AE173)</f>
        <v/>
      </c>
      <c r="AF174" s="2839">
        <f>SUM(AF163:AF173)</f>
        <v/>
      </c>
      <c r="AG174" s="2681">
        <f>SUM(AG163:AG173)</f>
        <v/>
      </c>
      <c r="AH174" s="2839">
        <f>SUM(AH163:AH173)</f>
        <v/>
      </c>
      <c r="AI174" s="2681">
        <f>SUM(AI163:AI173)</f>
        <v/>
      </c>
      <c r="AJ174" s="2839">
        <f>SUM(AJ163:AJ173)</f>
        <v/>
      </c>
      <c r="AK174" s="2681">
        <f>SUM(AK163:AK173)</f>
        <v/>
      </c>
      <c r="AL174" s="2839">
        <f>SUM(AL163:AL173)</f>
        <v/>
      </c>
      <c r="AM174" s="2681">
        <f>SUM(AM163:AM173)</f>
        <v/>
      </c>
      <c r="AN174" s="2839">
        <f>SUM(AN163:AN173)</f>
        <v/>
      </c>
      <c r="AO174" s="2681">
        <f>SUM(AO163:AO173)</f>
        <v/>
      </c>
      <c r="AP174" s="2686">
        <f>SUM(AP163:AP173)</f>
        <v/>
      </c>
      <c r="AQ174" s="2841">
        <f>SUM(AQ163:AQ173)</f>
        <v/>
      </c>
      <c r="AR174" s="2682">
        <f>SUM(AR163:AR173)</f>
        <v/>
      </c>
      <c r="AS174" s="2682">
        <f>SUM(AS163:AS173)</f>
        <v/>
      </c>
      <c r="AT174" s="2868">
        <f>SUM(AT163:AT173)</f>
        <v/>
      </c>
      <c r="AU174" s="2869">
        <f>SUM(AU163:AU173)</f>
        <v/>
      </c>
      <c r="AV174" s="2870">
        <f>SUM(AV163:AV173)</f>
        <v/>
      </c>
      <c r="AW174" s="2871">
        <f>SUM(AW163:AW173)</f>
        <v/>
      </c>
      <c r="AX174" s="2872">
        <f>SUM(AX163:AX173)</f>
        <v/>
      </c>
    </row>
    <row r="175" ht="18" customHeight="1" s="8286">
      <c r="A175" s="2" t="inlineStr">
        <is>
          <t>SECCIÓN G: ESTRATEGIAS DE SALUD BUCAL Y PROGRAMA GES (Actividades incluidas en Sección B)</t>
        </is>
      </c>
      <c r="B175" s="359" t="n"/>
      <c r="C175" s="359" t="n"/>
      <c r="D175" s="359" t="n"/>
      <c r="E175" s="7" t="n"/>
      <c r="F175" s="7" t="n"/>
      <c r="G175" s="7" t="n"/>
      <c r="H175" s="7" t="n"/>
      <c r="I175" s="7" t="n"/>
      <c r="J175" s="7" t="n"/>
      <c r="K175" s="7" t="n"/>
      <c r="L175" s="7" t="n"/>
      <c r="M175" s="7" t="n"/>
      <c r="N175" s="7" t="n"/>
      <c r="O175" s="7" t="n"/>
      <c r="P175" s="7" t="n"/>
      <c r="Q175" s="330" t="n"/>
      <c r="R175" s="3" t="n"/>
      <c r="S175" s="217" t="n"/>
      <c r="T175" s="217" t="n"/>
      <c r="U175" s="217" t="n"/>
      <c r="V175" s="217" t="n"/>
      <c r="W175" s="217" t="n"/>
      <c r="X175" s="4" t="n"/>
      <c r="Y175" s="217" t="n"/>
      <c r="Z175" s="217" t="n"/>
      <c r="AA175" s="217" t="n"/>
      <c r="AB175" s="217" t="n"/>
      <c r="AC175" s="217" t="n"/>
      <c r="AD175" s="217" t="n"/>
      <c r="AE175" s="217" t="n"/>
      <c r="AF175" s="217" t="n"/>
      <c r="AG175" s="8" t="n"/>
      <c r="AH175" s="8" t="n"/>
      <c r="AI175" s="8" t="n"/>
      <c r="AJ175" s="8" t="n"/>
      <c r="AK175" s="8" t="n"/>
      <c r="AL175" s="8" t="n"/>
      <c r="AM175" s="8" t="n"/>
      <c r="AN175" s="8" t="n"/>
      <c r="AO175" s="8" t="n"/>
      <c r="AP175" s="8" t="n"/>
      <c r="AQ175" s="8" t="n"/>
      <c r="AR175" s="8" t="n"/>
      <c r="AS175" s="8" t="n"/>
      <c r="AT175" s="8" t="n"/>
      <c r="AU175" s="8" t="n"/>
      <c r="AV175" s="8" t="n"/>
      <c r="AW175" s="8" t="n"/>
    </row>
    <row r="176" ht="15" customHeight="1" s="8286">
      <c r="A176" s="10004" t="inlineStr">
        <is>
          <t>PROGRAMA - ACTIVIDAD</t>
        </is>
      </c>
      <c r="B176" s="9602" t="n"/>
      <c r="C176" s="9630" t="n"/>
      <c r="D176" s="9914" t="inlineStr">
        <is>
          <t>TOTAL</t>
        </is>
      </c>
      <c r="E176" s="9602" t="n"/>
      <c r="F176" s="9630" t="n"/>
      <c r="G176" s="10099" t="inlineStr">
        <is>
          <t>RANGO ETARIO Y SEXO</t>
        </is>
      </c>
      <c r="H176" s="9584" t="n"/>
      <c r="I176" s="9584" t="n"/>
      <c r="J176" s="9584" t="n"/>
      <c r="K176" s="9584" t="n"/>
      <c r="L176" s="9584" t="n"/>
      <c r="M176" s="9584" t="n"/>
      <c r="N176" s="9584" t="n"/>
      <c r="O176" s="9584" t="n"/>
      <c r="P176" s="9584" t="n"/>
      <c r="Q176" s="9584" t="n"/>
      <c r="R176" s="9584" t="n"/>
      <c r="S176" s="9584" t="n"/>
      <c r="T176" s="9584" t="n"/>
      <c r="U176" s="9584" t="n"/>
      <c r="V176" s="9584" t="n"/>
      <c r="W176" s="9584" t="n"/>
      <c r="X176" s="9584" t="n"/>
      <c r="Y176" s="9584" t="n"/>
      <c r="Z176" s="9584" t="n"/>
      <c r="AA176" s="9584" t="n"/>
      <c r="AB176" s="9584" t="n"/>
      <c r="AC176" s="9584" t="n"/>
      <c r="AD176" s="9584" t="n"/>
      <c r="AE176" s="9584" t="n"/>
      <c r="AF176" s="9584" t="n"/>
      <c r="AG176" s="9584" t="n"/>
      <c r="AH176" s="9584" t="n"/>
      <c r="AI176" s="9584" t="n"/>
      <c r="AJ176" s="9584" t="n"/>
      <c r="AK176" s="9584" t="n"/>
      <c r="AL176" s="9584" t="n"/>
      <c r="AM176" s="9584" t="n"/>
      <c r="AN176" s="9584" t="n"/>
      <c r="AO176" s="9584" t="n"/>
      <c r="AP176" s="9873" t="n"/>
      <c r="AQ176" s="7829" t="inlineStr">
        <is>
          <t>Compra de Servicio</t>
        </is>
      </c>
      <c r="AR176" s="8490" t="inlineStr">
        <is>
          <t>Usuarios con Discapacidad</t>
        </is>
      </c>
      <c r="AS176" s="10254" t="inlineStr">
        <is>
          <t xml:space="preserve">SENAME/ Servicio Nacional de Reinserción social Juvenil </t>
        </is>
      </c>
      <c r="AT176" s="8473" t="inlineStr">
        <is>
          <t>Servicio Nacional Protección Especializada a la Niñez y Adolescencia</t>
        </is>
      </c>
      <c r="AU176" s="8473" t="inlineStr">
        <is>
          <t>Migrantes</t>
        </is>
      </c>
      <c r="AV176" s="10259" t="inlineStr">
        <is>
          <t>Egreso por Abandono</t>
        </is>
      </c>
      <c r="AW176" s="8473" t="inlineStr">
        <is>
          <t>Persona con ingreso integral y condición crónica</t>
        </is>
      </c>
      <c r="AX176" s="10260" t="inlineStr">
        <is>
          <t>Pueblos originarios</t>
        </is>
      </c>
    </row>
    <row r="177" ht="15" customHeight="1" s="8286">
      <c r="A177" s="642" t="n"/>
      <c r="C177" s="9718" t="n"/>
      <c r="D177" s="642" t="n"/>
      <c r="F177" s="9718" t="n"/>
      <c r="G177" s="10202" t="inlineStr">
        <is>
          <t>Menos de 1 año</t>
        </is>
      </c>
      <c r="H177" s="9647" t="n"/>
      <c r="I177" s="9240" t="inlineStr">
        <is>
          <t>1 año</t>
        </is>
      </c>
      <c r="J177" s="9647" t="n"/>
      <c r="K177" s="10203" t="inlineStr">
        <is>
          <t>2 años</t>
        </is>
      </c>
      <c r="L177" s="10191" t="n"/>
      <c r="M177" s="9240" t="inlineStr">
        <is>
          <t>3 años</t>
        </is>
      </c>
      <c r="N177" s="9647" t="n"/>
      <c r="O177" s="9240" t="inlineStr">
        <is>
          <t>4 años</t>
        </is>
      </c>
      <c r="P177" s="9647" t="n"/>
      <c r="Q177" s="9240" t="inlineStr">
        <is>
          <t>5 años</t>
        </is>
      </c>
      <c r="R177" s="9647" t="n"/>
      <c r="S177" s="9240" t="inlineStr">
        <is>
          <t>6 años</t>
        </is>
      </c>
      <c r="T177" s="9647" t="n"/>
      <c r="U177" s="9240" t="inlineStr">
        <is>
          <t>7 años</t>
        </is>
      </c>
      <c r="V177" s="9647" t="n"/>
      <c r="W177" s="9240" t="inlineStr">
        <is>
          <t>8-9 años</t>
        </is>
      </c>
      <c r="X177" s="9647" t="n"/>
      <c r="Y177" s="9240" t="inlineStr">
        <is>
          <t>10-14 años</t>
        </is>
      </c>
      <c r="Z177" s="9647" t="n"/>
      <c r="AA177" s="9240" t="inlineStr">
        <is>
          <t>15-19 años</t>
        </is>
      </c>
      <c r="AB177" s="9647" t="n"/>
      <c r="AC177" s="10261" t="inlineStr">
        <is>
          <t xml:space="preserve">20-29 años </t>
        </is>
      </c>
      <c r="AD177" s="9647" t="n"/>
      <c r="AE177" s="10261" t="inlineStr">
        <is>
          <t>30-39 años</t>
        </is>
      </c>
      <c r="AF177" s="9647" t="n"/>
      <c r="AG177" s="10261" t="inlineStr">
        <is>
          <t>40-49 años</t>
        </is>
      </c>
      <c r="AH177" s="9647" t="n"/>
      <c r="AI177" s="10261" t="inlineStr">
        <is>
          <t>50-59 años</t>
        </is>
      </c>
      <c r="AJ177" s="9647" t="n"/>
      <c r="AK177" s="9240" t="inlineStr">
        <is>
          <t>60-64 años</t>
        </is>
      </c>
      <c r="AL177" s="9647" t="n"/>
      <c r="AM177" s="9240" t="inlineStr">
        <is>
          <t>65-74 años</t>
        </is>
      </c>
      <c r="AN177" s="9647" t="n"/>
      <c r="AO177" s="10099" t="inlineStr">
        <is>
          <t>75 y más años</t>
        </is>
      </c>
      <c r="AP177" s="9873" t="n"/>
      <c r="AR177" s="9614" t="n"/>
      <c r="AT177" s="9614" t="n"/>
      <c r="AU177" s="9614" t="n"/>
      <c r="AW177" s="9614" t="n"/>
      <c r="AX177" s="9625" t="n"/>
    </row>
    <row r="178" ht="33.75" customHeight="1" s="8286">
      <c r="A178" s="9638" t="n"/>
      <c r="B178" s="9697" t="n"/>
      <c r="C178" s="9639" t="n"/>
      <c r="D178" s="2680" t="inlineStr">
        <is>
          <t>Ambos Sexos</t>
        </is>
      </c>
      <c r="E178" s="2696" t="inlineStr">
        <is>
          <t>Hombres</t>
        </is>
      </c>
      <c r="F178" s="8299" t="inlineStr">
        <is>
          <t>Mujeres</t>
        </is>
      </c>
      <c r="G178" s="2679" t="inlineStr">
        <is>
          <t>Hombres</t>
        </is>
      </c>
      <c r="H178" s="2874" t="inlineStr">
        <is>
          <t>Mujeres</t>
        </is>
      </c>
      <c r="I178" s="2679" t="inlineStr">
        <is>
          <t>Hombres</t>
        </is>
      </c>
      <c r="J178" s="2874" t="inlineStr">
        <is>
          <t>Mujeres</t>
        </is>
      </c>
      <c r="K178" s="2679" t="inlineStr">
        <is>
          <t>Hombres</t>
        </is>
      </c>
      <c r="L178" s="2874" t="inlineStr">
        <is>
          <t>Mujeres</t>
        </is>
      </c>
      <c r="M178" s="2679" t="inlineStr">
        <is>
          <t>Hombres</t>
        </is>
      </c>
      <c r="N178" s="2874" t="inlineStr">
        <is>
          <t>Mujeres</t>
        </is>
      </c>
      <c r="O178" s="2679" t="inlineStr">
        <is>
          <t>Hombres</t>
        </is>
      </c>
      <c r="P178" s="2874" t="inlineStr">
        <is>
          <t>Mujeres</t>
        </is>
      </c>
      <c r="Q178" s="2679" t="inlineStr">
        <is>
          <t>Hombres</t>
        </is>
      </c>
      <c r="R178" s="8299" t="inlineStr">
        <is>
          <t>Mujeres</t>
        </is>
      </c>
      <c r="S178" s="8471" t="inlineStr">
        <is>
          <t>Hombres</t>
        </is>
      </c>
      <c r="T178" s="8299" t="inlineStr">
        <is>
          <t>Mujeres</t>
        </is>
      </c>
      <c r="U178" s="8471" t="inlineStr">
        <is>
          <t>Hombres</t>
        </is>
      </c>
      <c r="V178" s="8299" t="inlineStr">
        <is>
          <t>Mujeres</t>
        </is>
      </c>
      <c r="W178" s="8471" t="inlineStr">
        <is>
          <t>Hombres</t>
        </is>
      </c>
      <c r="X178" s="8299" t="inlineStr">
        <is>
          <t>Mujeres</t>
        </is>
      </c>
      <c r="Y178" s="8471" t="inlineStr">
        <is>
          <t>Hombres</t>
        </is>
      </c>
      <c r="Z178" s="8299" t="inlineStr">
        <is>
          <t>Mujeres</t>
        </is>
      </c>
      <c r="AA178" s="8471" t="inlineStr">
        <is>
          <t>Hombres</t>
        </is>
      </c>
      <c r="AB178" s="8299" t="inlineStr">
        <is>
          <t>Mujeres</t>
        </is>
      </c>
      <c r="AC178" s="8471" t="inlineStr">
        <is>
          <t>Hombres</t>
        </is>
      </c>
      <c r="AD178" s="8299" t="inlineStr">
        <is>
          <t>Mujeres</t>
        </is>
      </c>
      <c r="AE178" s="8471" t="inlineStr">
        <is>
          <t>Hombres</t>
        </is>
      </c>
      <c r="AF178" s="8299" t="inlineStr">
        <is>
          <t>Mujeres</t>
        </is>
      </c>
      <c r="AG178" s="8471" t="inlineStr">
        <is>
          <t>Hombres</t>
        </is>
      </c>
      <c r="AH178" s="8299" t="inlineStr">
        <is>
          <t>Mujeres</t>
        </is>
      </c>
      <c r="AI178" s="8471" t="inlineStr">
        <is>
          <t>Hombres</t>
        </is>
      </c>
      <c r="AJ178" s="8299" t="inlineStr">
        <is>
          <t>Mujeres</t>
        </is>
      </c>
      <c r="AK178" s="8471" t="inlineStr">
        <is>
          <t>Hombres</t>
        </is>
      </c>
      <c r="AL178" s="8299" t="inlineStr">
        <is>
          <t>Mujeres</t>
        </is>
      </c>
      <c r="AM178" s="8471" t="inlineStr">
        <is>
          <t>Hombres</t>
        </is>
      </c>
      <c r="AN178" s="8299" t="inlineStr">
        <is>
          <t>Mujeres</t>
        </is>
      </c>
      <c r="AO178" s="8471" t="inlineStr">
        <is>
          <t>Hombres</t>
        </is>
      </c>
      <c r="AP178" s="8431" t="inlineStr">
        <is>
          <t>Mujeres</t>
        </is>
      </c>
      <c r="AQ178" s="9591" t="n"/>
      <c r="AR178" s="9610" t="n"/>
      <c r="AS178" s="9591" t="n"/>
      <c r="AT178" s="9610" t="n"/>
      <c r="AU178" s="9610" t="n"/>
      <c r="AV178" s="9591" t="n"/>
      <c r="AW178" s="9610" t="n"/>
      <c r="AX178" s="9671" t="n"/>
    </row>
    <row r="179" ht="15" customHeight="1" s="8286">
      <c r="A179" s="908" t="n"/>
      <c r="B179" s="10262" t="inlineStr">
        <is>
          <t>N°Auditorías clínicas realizadas</t>
        </is>
      </c>
      <c r="C179" s="9643" t="n"/>
      <c r="D179" s="2875">
        <f>SUM(F179)</f>
        <v/>
      </c>
      <c r="E179" s="2876" t="n"/>
      <c r="F179" s="2877">
        <f>SUM(AD179+AF179+AH179+AJ179+AL179+AN179+AP179)</f>
        <v/>
      </c>
      <c r="G179" s="2878" t="n"/>
      <c r="H179" s="2879" t="n"/>
      <c r="I179" s="2878" t="n"/>
      <c r="J179" s="2879" t="n"/>
      <c r="K179" s="2878" t="n"/>
      <c r="L179" s="2879" t="n"/>
      <c r="M179" s="2878" t="n"/>
      <c r="N179" s="2879" t="n"/>
      <c r="O179" s="2878" t="n"/>
      <c r="P179" s="2879" t="n"/>
      <c r="Q179" s="2878" t="n"/>
      <c r="R179" s="2879" t="n"/>
      <c r="S179" s="2878" t="n"/>
      <c r="T179" s="2879" t="n"/>
      <c r="U179" s="2878" t="n"/>
      <c r="V179" s="2879" t="n"/>
      <c r="W179" s="2878" t="n"/>
      <c r="X179" s="2879" t="n"/>
      <c r="Y179" s="2878" t="n"/>
      <c r="Z179" s="2879" t="n"/>
      <c r="AA179" s="2878" t="n"/>
      <c r="AB179" s="2879" t="n"/>
      <c r="AC179" s="2878" t="n"/>
      <c r="AD179" s="2880" t="n"/>
      <c r="AE179" s="2192" t="n"/>
      <c r="AF179" s="2880" t="n"/>
      <c r="AG179" s="2192" t="n"/>
      <c r="AH179" s="2880" t="n"/>
      <c r="AI179" s="2192" t="n"/>
      <c r="AJ179" s="2880" t="n"/>
      <c r="AK179" s="2192" t="n"/>
      <c r="AL179" s="2880" t="n"/>
      <c r="AM179" s="2192" t="n"/>
      <c r="AN179" s="2880" t="n"/>
      <c r="AO179" s="2192" t="n"/>
      <c r="AP179" s="2880" t="n"/>
      <c r="AQ179" s="5250" t="n"/>
      <c r="AR179" s="5259" t="n"/>
      <c r="AS179" s="5267" t="n"/>
      <c r="AT179" s="5259" t="n"/>
      <c r="AU179" s="5259" t="n"/>
      <c r="AV179" s="5272" t="n"/>
      <c r="AW179" s="5260" t="n"/>
      <c r="AX179" s="2881" t="n"/>
      <c r="CA179" s="200" t="n"/>
      <c r="CB179" s="200" t="n"/>
      <c r="CC179" s="200" t="n"/>
      <c r="CD179" s="200" t="n"/>
      <c r="CE179" s="200" t="n"/>
      <c r="CF179" s="200" t="n"/>
      <c r="CG179" s="200" t="n"/>
      <c r="CH179" s="200" t="n"/>
      <c r="CO179" s="200" t="n"/>
      <c r="CP179" s="200" t="n"/>
      <c r="CQ179" s="200" t="n"/>
      <c r="CR179" s="200" t="n"/>
      <c r="CS179" s="200" t="n"/>
      <c r="CT179" s="200" t="n"/>
      <c r="CU179" s="200" t="n"/>
      <c r="CV179" s="200" t="n"/>
    </row>
    <row r="180" ht="15" customHeight="1" s="8286">
      <c r="A180" s="746" t="n"/>
      <c r="B180" s="10263" t="inlineStr">
        <is>
          <t xml:space="preserve">Prótesis removibles </t>
        </is>
      </c>
      <c r="C180" s="9644" t="n"/>
      <c r="D180" s="2882">
        <f>SUM(F180)</f>
        <v/>
      </c>
      <c r="E180" s="2883" t="n"/>
      <c r="F180" s="2884">
        <f>SUM(AD180+AF180+AH180+AJ180+AL180+AN180+AP180)</f>
        <v/>
      </c>
      <c r="G180" s="1942" t="n"/>
      <c r="H180" s="890" t="n"/>
      <c r="I180" s="1942" t="n"/>
      <c r="J180" s="890" t="n"/>
      <c r="K180" s="1942" t="n"/>
      <c r="L180" s="890" t="n"/>
      <c r="M180" s="1942" t="n"/>
      <c r="N180" s="890" t="n"/>
      <c r="O180" s="1942" t="n"/>
      <c r="P180" s="890" t="n"/>
      <c r="Q180" s="1942" t="n"/>
      <c r="R180" s="890" t="n"/>
      <c r="S180" s="1942" t="n"/>
      <c r="T180" s="890" t="n"/>
      <c r="U180" s="1942" t="n"/>
      <c r="V180" s="890" t="n"/>
      <c r="W180" s="1942" t="n"/>
      <c r="X180" s="890" t="n"/>
      <c r="Y180" s="1942" t="n"/>
      <c r="Z180" s="890" t="n"/>
      <c r="AA180" s="1942" t="n"/>
      <c r="AB180" s="890" t="n"/>
      <c r="AC180" s="1942" t="n"/>
      <c r="AD180" s="762" t="n"/>
      <c r="AE180" s="1941" t="n"/>
      <c r="AF180" s="762" t="n"/>
      <c r="AG180" s="1941" t="n"/>
      <c r="AH180" s="762" t="n"/>
      <c r="AI180" s="1941" t="n"/>
      <c r="AJ180" s="762" t="n"/>
      <c r="AK180" s="1941" t="n"/>
      <c r="AL180" s="762" t="n"/>
      <c r="AM180" s="1941" t="n"/>
      <c r="AN180" s="762" t="n"/>
      <c r="AO180" s="1941" t="n"/>
      <c r="AP180" s="762" t="n"/>
      <c r="AQ180" s="5251" t="n"/>
      <c r="AR180" s="5260" t="n"/>
      <c r="AS180" s="5268" t="n"/>
      <c r="AT180" s="5260" t="n"/>
      <c r="AU180" s="5261" t="n"/>
      <c r="AV180" s="363" t="n"/>
      <c r="AW180" s="5260" t="n"/>
      <c r="AX180" s="2881" t="n"/>
      <c r="CA180" s="200" t="n"/>
      <c r="CB180" s="200" t="n"/>
      <c r="CC180" s="200" t="n"/>
      <c r="CD180" s="200" t="n"/>
      <c r="CE180" s="200" t="n"/>
      <c r="CF180" s="200" t="n"/>
      <c r="CG180" s="200" t="n"/>
      <c r="CH180" s="200" t="n"/>
      <c r="CO180" s="200" t="n"/>
      <c r="CP180" s="200" t="n"/>
      <c r="CQ180" s="200" t="n"/>
      <c r="CR180" s="200" t="n"/>
      <c r="CS180" s="200" t="n"/>
      <c r="CT180" s="200" t="n"/>
      <c r="CU180" s="200" t="n"/>
      <c r="CV180" s="200" t="n"/>
    </row>
    <row r="181" ht="15" customHeight="1" s="8286">
      <c r="A181" s="746" t="n"/>
      <c r="B181" s="10264" t="inlineStr">
        <is>
          <t xml:space="preserve">Endodoncia </t>
        </is>
      </c>
      <c r="C181" s="9644" t="n"/>
      <c r="D181" s="2882">
        <f>SUM(F181)</f>
        <v/>
      </c>
      <c r="E181" s="2883" t="n"/>
      <c r="F181" s="2884">
        <f>SUM(AD181+AF181+AH181+AJ181+AL181+AN181+AP181)</f>
        <v/>
      </c>
      <c r="G181" s="1942" t="n"/>
      <c r="H181" s="890" t="n"/>
      <c r="I181" s="1942" t="n"/>
      <c r="J181" s="890" t="n"/>
      <c r="K181" s="1942" t="n"/>
      <c r="L181" s="890" t="n"/>
      <c r="M181" s="1942" t="n"/>
      <c r="N181" s="890" t="n"/>
      <c r="O181" s="1942" t="n"/>
      <c r="P181" s="890" t="n"/>
      <c r="Q181" s="1942" t="n"/>
      <c r="R181" s="890" t="n"/>
      <c r="S181" s="1942" t="n"/>
      <c r="T181" s="890" t="n"/>
      <c r="U181" s="1942" t="n"/>
      <c r="V181" s="890" t="n"/>
      <c r="W181" s="1942" t="n"/>
      <c r="X181" s="890" t="n"/>
      <c r="Y181" s="1942" t="n"/>
      <c r="Z181" s="890" t="n"/>
      <c r="AA181" s="1942" t="n"/>
      <c r="AB181" s="890" t="n"/>
      <c r="AC181" s="1942" t="n"/>
      <c r="AD181" s="2885" t="n"/>
      <c r="AE181" s="1941" t="n"/>
      <c r="AF181" s="2885" t="n"/>
      <c r="AG181" s="1941" t="n"/>
      <c r="AH181" s="2885" t="n"/>
      <c r="AI181" s="1941" t="n"/>
      <c r="AJ181" s="2885" t="n"/>
      <c r="AK181" s="1941" t="n"/>
      <c r="AL181" s="2885" t="n"/>
      <c r="AM181" s="1941" t="n"/>
      <c r="AN181" s="2885" t="n"/>
      <c r="AO181" s="1941" t="n"/>
      <c r="AP181" s="2885" t="n"/>
      <c r="AQ181" s="5252" t="n"/>
      <c r="AR181" s="5261" t="n"/>
      <c r="AS181" s="5269" t="n"/>
      <c r="AT181" s="5261" t="n"/>
      <c r="AU181" s="5261" t="n"/>
      <c r="AV181" s="273" t="n"/>
      <c r="AW181" s="5280" t="n"/>
      <c r="AX181" s="2886" t="n"/>
      <c r="CA181" s="200" t="n"/>
      <c r="CB181" s="200" t="n"/>
      <c r="CC181" s="200" t="n"/>
      <c r="CD181" s="200" t="n"/>
      <c r="CE181" s="200" t="n"/>
      <c r="CF181" s="200" t="n"/>
      <c r="CG181" s="200" t="n"/>
      <c r="CH181" s="200" t="n"/>
      <c r="CO181" s="200" t="n"/>
      <c r="CP181" s="200" t="n"/>
      <c r="CQ181" s="200" t="n"/>
      <c r="CR181" s="200" t="n"/>
      <c r="CS181" s="200" t="n"/>
      <c r="CT181" s="200" t="n"/>
      <c r="CU181" s="200" t="n"/>
      <c r="CV181" s="200" t="n"/>
    </row>
    <row r="182" ht="15" customHeight="1" s="8286">
      <c r="A182" s="10265" t="inlineStr">
        <is>
          <t xml:space="preserve"> Estrategia más Sonrisas para Chile</t>
        </is>
      </c>
      <c r="B182" s="10266" t="inlineStr">
        <is>
          <t xml:space="preserve">Reparación de prótesis </t>
        </is>
      </c>
      <c r="C182" s="9720" t="n"/>
      <c r="D182" s="2887">
        <f>SUM(F182)</f>
        <v/>
      </c>
      <c r="E182" s="2888" t="n"/>
      <c r="F182" s="1936">
        <f>SUM(AD182+AF182+AH182+AJ182+AL182+AN182+AP182)</f>
        <v/>
      </c>
      <c r="G182" s="1947" t="n"/>
      <c r="H182" s="1318" t="n"/>
      <c r="I182" s="1947" t="n"/>
      <c r="J182" s="1318" t="n"/>
      <c r="K182" s="1947" t="n"/>
      <c r="L182" s="1318" t="n"/>
      <c r="M182" s="1947" t="n"/>
      <c r="N182" s="1318" t="n"/>
      <c r="O182" s="1947" t="n"/>
      <c r="P182" s="1318" t="n"/>
      <c r="Q182" s="1947" t="n"/>
      <c r="R182" s="1318" t="n"/>
      <c r="S182" s="1947" t="n"/>
      <c r="T182" s="1318" t="n"/>
      <c r="U182" s="1947" t="n"/>
      <c r="V182" s="1318" t="n"/>
      <c r="W182" s="1947" t="n"/>
      <c r="X182" s="1318" t="n"/>
      <c r="Y182" s="1947" t="n"/>
      <c r="Z182" s="1318" t="n"/>
      <c r="AA182" s="1947" t="n"/>
      <c r="AB182" s="1318" t="n"/>
      <c r="AC182" s="1394" t="n"/>
      <c r="AD182" s="1183" t="n"/>
      <c r="AE182" s="1395" t="n"/>
      <c r="AF182" s="1183" t="n"/>
      <c r="AG182" s="1395" t="n"/>
      <c r="AH182" s="1183" t="n"/>
      <c r="AI182" s="1395" t="n"/>
      <c r="AJ182" s="1183" t="n"/>
      <c r="AK182" s="1395" t="n"/>
      <c r="AL182" s="1183" t="n"/>
      <c r="AM182" s="1395" t="n"/>
      <c r="AN182" s="1183" t="n"/>
      <c r="AO182" s="1395" t="n"/>
      <c r="AP182" s="1183" t="n"/>
      <c r="AQ182" s="5248" t="n"/>
      <c r="AR182" s="1229" t="n"/>
      <c r="AS182" s="35" t="n"/>
      <c r="AT182" s="1229" t="n"/>
      <c r="AU182" s="1229" t="n"/>
      <c r="AV182" s="273" t="n"/>
      <c r="AW182" s="1964" t="n"/>
      <c r="AX182" s="1186" t="n"/>
      <c r="AY182">
        <f>CA182&amp;CB182&amp;CC182&amp;CD182&amp;CE182&amp;CF182&amp;CG182&amp;CH182</f>
        <v/>
      </c>
      <c r="CA182" s="196">
        <f>IF(AND($D182&gt;0,AQ182=""),"  * No olvide digitar la variable "&amp;AQ$176&amp;". Digite Cero si no tiene.",IF(AQ182&gt;$D182," * La variable "&amp;AQ$176&amp;" no pueden superar el Total Ambos Sexos.",""))</f>
        <v/>
      </c>
      <c r="CB182" s="196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>
        <f>IF(AND($D182&gt;0,AS182="")," *No olvide digitar la variable "&amp;AS$176&amp;". Digite Cero si no tiene.",IF(AS182&gt;D182," *La variable "&amp;AS$176&amp;"no pueden superar el Total Ambos Sexos.",""))</f>
        <v/>
      </c>
      <c r="CD182" s="196">
        <f>IF(AND($D182&gt;0,AT182="")," * No olvide digitar la variable "&amp;AT$176&amp;". Digite Cero si no tiene.",IF(AT182&gt;$D182," * La variable "&amp;AT$176&amp;" no pueden superar el Total Ambos Sexos.",""))</f>
        <v/>
      </c>
      <c r="CE182" s="196">
        <f>IF(AND($D182&gt;0,AU182="")," * No olvide digitar la variable Migrantes. Digite Cero si no tiene.",IF(AU182&gt;$D182," * La variable Migrantes no pueden superar el Total Ambos Sexos.",""))</f>
        <v/>
      </c>
      <c r="CF182" s="198" t="n"/>
      <c r="CG182" s="196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>IF(AND($D182&gt;0,AQ182=""),1,0)</f>
        <v/>
      </c>
      <c r="CP182" s="197">
        <f>IF(AND($D182&gt;0,AR182=""),1,IF(AR182&gt;$D182,1,0))</f>
        <v/>
      </c>
      <c r="CQ182" s="197">
        <f>IF(AND($D182&gt;0,AS182=""),1,IF(AS182&gt;$D182,1,0))</f>
        <v/>
      </c>
      <c r="CR182" s="197">
        <f>IF(AND(D182&gt;0,AT182=""),1,IF(AT182&gt;D182,1,0))</f>
        <v/>
      </c>
      <c r="CS182" s="197">
        <f>IF(AND($D182&gt;0,AU182=""),1,IF(AU182&gt;$D182,1,0))</f>
        <v/>
      </c>
      <c r="CT182" s="200" t="n"/>
      <c r="CU182" s="197">
        <f>IF(AND($D182&gt;0,AW182=""),1,IF(AW182&gt;$D182,1,0))</f>
        <v/>
      </c>
      <c r="CV182" s="197">
        <f>IF(AND($D182&gt;0,AX182=""),1,IF(AX182&gt;$D182,1,0))</f>
        <v/>
      </c>
    </row>
    <row r="183" ht="15" customHeight="1" s="8286">
      <c r="A183" s="9588" t="n"/>
      <c r="B183" s="10265" t="inlineStr">
        <is>
          <t xml:space="preserve">Altas integrales </t>
        </is>
      </c>
      <c r="C183" s="2680" t="inlineStr">
        <is>
          <t>TOTAL</t>
        </is>
      </c>
      <c r="D183" s="2889">
        <f>SUM(F183)</f>
        <v/>
      </c>
      <c r="E183" s="2890" t="n"/>
      <c r="F183" s="2872">
        <f>SUM(AD183+AF183+AH183+AJ183+AL183+AN183+AP183)</f>
        <v/>
      </c>
      <c r="G183" s="2891" t="n"/>
      <c r="H183" s="2892" t="n"/>
      <c r="I183" s="2891" t="n"/>
      <c r="J183" s="2892" t="n"/>
      <c r="K183" s="2891" t="n"/>
      <c r="L183" s="2892" t="n"/>
      <c r="M183" s="2891" t="n"/>
      <c r="N183" s="2892" t="n"/>
      <c r="O183" s="2891" t="n"/>
      <c r="P183" s="2892" t="n"/>
      <c r="Q183" s="2891" t="n"/>
      <c r="R183" s="2892" t="n"/>
      <c r="S183" s="2891" t="n"/>
      <c r="T183" s="2892" t="n"/>
      <c r="U183" s="2891" t="n"/>
      <c r="V183" s="2892" t="n"/>
      <c r="W183" s="2891" t="n"/>
      <c r="X183" s="2892" t="n"/>
      <c r="Y183" s="2891" t="n"/>
      <c r="Z183" s="2892" t="n"/>
      <c r="AA183" s="2891" t="n"/>
      <c r="AB183" s="2892" t="n"/>
      <c r="AC183" s="2893" t="n"/>
      <c r="AD183" s="2836">
        <f>SUM(AD184:AD189)</f>
        <v/>
      </c>
      <c r="AE183" s="2894" t="n"/>
      <c r="AF183" s="2836">
        <f>SUM(AF184:AF189)</f>
        <v/>
      </c>
      <c r="AG183" s="2894" t="n"/>
      <c r="AH183" s="2836">
        <f>SUM(AH184:AH189)</f>
        <v/>
      </c>
      <c r="AI183" s="2894" t="n"/>
      <c r="AJ183" s="2836">
        <f>SUM(AJ184:AJ189)</f>
        <v/>
      </c>
      <c r="AK183" s="2894" t="n"/>
      <c r="AL183" s="2836">
        <f>SUM(AL184:AL189)</f>
        <v/>
      </c>
      <c r="AM183" s="2894" t="n"/>
      <c r="AN183" s="2836">
        <f>SUM(AN184:AN189)</f>
        <v/>
      </c>
      <c r="AO183" s="2894" t="n"/>
      <c r="AP183" s="2836">
        <f>SUM(AP184:AP189)</f>
        <v/>
      </c>
      <c r="AQ183" s="5253">
        <f>SUM(AQ184:AQ189)</f>
        <v/>
      </c>
      <c r="AR183" s="5262">
        <f>SUM(AR184:AR189)</f>
        <v/>
      </c>
      <c r="AS183" s="5270">
        <f>SUM(AS184:AS189)</f>
        <v/>
      </c>
      <c r="AT183" s="5262">
        <f>SUM(AT184:AT189)</f>
        <v/>
      </c>
      <c r="AU183" s="5262">
        <f>SUM(AU184:AU189)</f>
        <v/>
      </c>
      <c r="AV183" s="5270">
        <f>SUM(AV184:AV189)</f>
        <v/>
      </c>
      <c r="AW183" s="5262">
        <f>SUM(AW184:AW189)</f>
        <v/>
      </c>
      <c r="AX183" s="2710">
        <f>SUM(AX184:AX189)</f>
        <v/>
      </c>
      <c r="CA183" s="20">
        <f>IF(AND($D183&gt;0,AQ183=""),"  * No olvide digitar la variable Compra de servicio. Digite Cero si no tiene.","")</f>
        <v/>
      </c>
      <c r="CC183" s="20">
        <f>IF(AND($D183&gt;0,AS183=""),"  * No olvide digitar la variable "&amp;AS$176&amp;". Digite Cero si no tiene.",IF(AS183&gt;D183," * La variable "&amp;AS$176&amp;"no pueden superar el Total Ambos Sexos.",""))</f>
        <v/>
      </c>
    </row>
    <row r="184" ht="15" customHeight="1" s="8286">
      <c r="A184" s="9588" t="n"/>
      <c r="B184" s="9588" t="n"/>
      <c r="C184" s="9234" t="inlineStr">
        <is>
          <t>JUNJI-INTEGRA-MINEDUC</t>
        </is>
      </c>
      <c r="D184" s="2896">
        <f>SUM(F184)</f>
        <v/>
      </c>
      <c r="E184" s="2897" t="n"/>
      <c r="F184" s="1933">
        <f>SUM(AD184+AF184+AH184+AJ184+AL184+AN184+AP184)</f>
        <v/>
      </c>
      <c r="G184" s="2898" t="n"/>
      <c r="H184" s="763" t="n"/>
      <c r="I184" s="2898" t="n"/>
      <c r="J184" s="763" t="n"/>
      <c r="K184" s="2898" t="n"/>
      <c r="L184" s="763" t="n"/>
      <c r="M184" s="2898" t="n"/>
      <c r="N184" s="763" t="n"/>
      <c r="O184" s="2898" t="n"/>
      <c r="P184" s="763" t="n"/>
      <c r="Q184" s="2898" t="n"/>
      <c r="R184" s="763" t="n"/>
      <c r="S184" s="2898" t="n"/>
      <c r="T184" s="763" t="n"/>
      <c r="U184" s="2898" t="n"/>
      <c r="V184" s="763" t="n"/>
      <c r="W184" s="2898" t="n"/>
      <c r="X184" s="763" t="n"/>
      <c r="Y184" s="2898" t="n"/>
      <c r="Z184" s="763" t="n"/>
      <c r="AA184" s="2898" t="n"/>
      <c r="AB184" s="763" t="n"/>
      <c r="AC184" s="2074" t="n"/>
      <c r="AD184" s="755" t="n"/>
      <c r="AE184" s="1951" t="n"/>
      <c r="AF184" s="755" t="n"/>
      <c r="AG184" s="1951" t="n"/>
      <c r="AH184" s="755" t="n"/>
      <c r="AI184" s="1951" t="n"/>
      <c r="AJ184" s="755" t="n"/>
      <c r="AK184" s="1951" t="n"/>
      <c r="AL184" s="755" t="n"/>
      <c r="AM184" s="1951" t="n"/>
      <c r="AN184" s="755" t="n"/>
      <c r="AO184" s="1951" t="n"/>
      <c r="AP184" s="755" t="n"/>
      <c r="AQ184" s="5214" t="n"/>
      <c r="AR184" s="1964" t="n"/>
      <c r="AS184" s="36" t="n"/>
      <c r="AT184" s="1964" t="n"/>
      <c r="AU184" s="1964" t="n"/>
      <c r="AV184" s="36" t="n"/>
      <c r="AW184" s="1964" t="n"/>
      <c r="AX184" s="1186" t="n"/>
      <c r="AY184">
        <f>CA184&amp;CB184&amp;CC184&amp;CD184&amp;CE184&amp;CF184&amp;CG184&amp;CH184</f>
        <v/>
      </c>
      <c r="CA184" s="196">
        <f>IF(AND($D184&gt;0,AQ184=""),"  * No olvide digitar la variable "&amp;AQ$176&amp;". Digite Cero si no tiene.",IF(AQ184&gt;$D184," * La variable "&amp;AQ$176&amp;" no pueden superar el Total Ambos Sexos.",""))</f>
        <v/>
      </c>
      <c r="CB184" s="196">
        <f>IF(AND($D184&gt;0,AR184="")," * No olvide digitar la variable Usuario con Discapacidad. Digite Cero si no tiene.",IF(AR184&gt;$D184," * La variable Usuario con Discapacidad no pueden superar el Total Ambos Sexos.",""))</f>
        <v/>
      </c>
      <c r="CC184" s="196">
        <f>IF(AND($D184&gt;0,AS184=""),"  * No olvide digitar la variable "&amp;AS$176&amp;". Digite Cero si no tiene.",IF(AS184&gt;D184," * La variable "&amp;AS$176&amp;"no pueden superar el Total Ambos Sexos.",""))</f>
        <v/>
      </c>
      <c r="CD184" s="196">
        <f>IF(AND($D184&gt;0,AT184="")," * No olvide digitar la variable "&amp;AT$176&amp;". Digite Cero si no tiene.",IF(AT184&gt;$D184," * La variable "&amp;AT$176&amp;" no pueden superar el Total Ambos Sexos.",""))</f>
        <v/>
      </c>
      <c r="CE184" s="196">
        <f>IF(AND($D184&gt;0,AU184="")," * No olvide digitar la variable Migrantes. Digite Cero si no tiene.",IF(AU184&gt;$D184," * La variable Migrantes no pueden superar el Total Ambos Sexos.",""))</f>
        <v/>
      </c>
      <c r="CF184" s="196">
        <f>IF(AND($D184&gt;0,AV184="")," * No olvide digitar la variable Egreso por Abandono. Digite Cero si no tiene.",IF(AV184&gt;$D184," * La variable Egreso por Abandono no pueden superar el Total Ambos Sexos.",""))</f>
        <v/>
      </c>
      <c r="CG184" s="196">
        <f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>
        <f>IF(AND($D184&gt;0,AX184=""),"  * No olvide digitar la variable Pueblos Originarios. Digite Cero si no tiene.",IF(AX184&gt;$D184," * La variable Pueblos Originarios no pueden superar el Total Ambos Sexos.",""))</f>
        <v/>
      </c>
      <c r="CO184" s="197">
        <f>IF(AND($D184&gt;0,AQ184=""),1,0)</f>
        <v/>
      </c>
      <c r="CP184" s="197">
        <f>IF(AND($D184&gt;0,AR184=""),1,IF(AR184&gt;$D184,1,0))</f>
        <v/>
      </c>
      <c r="CQ184" s="197">
        <f>IF(AND($D184&gt;0,AS184=""),1,IF(AS184&gt;$D184,1,0))</f>
        <v/>
      </c>
      <c r="CR184" s="197">
        <f>IF(AND(D184&gt;0,AT184=""),1,IF(AT184&gt;D184,1,0))</f>
        <v/>
      </c>
      <c r="CS184" s="197">
        <f>IF(AND($D184&gt;0,AU184=""),1,IF(AU184&gt;$D184,1,0))</f>
        <v/>
      </c>
      <c r="CT184" s="197">
        <f>IF(AND($D184&gt;0,AV184=""),1,IF(AV184&gt;$D184,1,0))</f>
        <v/>
      </c>
      <c r="CU184" s="197">
        <f>IF(AND($D184&gt;0,AW184=""),1,IF(AW184&gt;$D184,1,0))</f>
        <v/>
      </c>
      <c r="CV184" s="197">
        <f>IF(AND($D184&gt;0,AX184=""),1,IF(AX184&gt;$D184,1,0))</f>
        <v/>
      </c>
    </row>
    <row r="185" ht="15" customHeight="1" s="8286">
      <c r="A185" s="9588" t="n"/>
      <c r="B185" s="9588" t="n"/>
      <c r="C185" s="8091" t="inlineStr">
        <is>
          <t>SERNAMEG</t>
        </is>
      </c>
      <c r="D185" s="2896">
        <f>SUM(F185)</f>
        <v/>
      </c>
      <c r="E185" s="2883" t="n"/>
      <c r="F185" s="1207">
        <f>SUM(AD185+AF185+AH185+AJ185+AL185+AN185+AP185)</f>
        <v/>
      </c>
      <c r="G185" s="1319" t="n"/>
      <c r="H185" s="877" t="n"/>
      <c r="I185" s="1319" t="n"/>
      <c r="J185" s="877" t="n"/>
      <c r="K185" s="1319" t="n"/>
      <c r="L185" s="877" t="n"/>
      <c r="M185" s="1319" t="n"/>
      <c r="N185" s="877" t="n"/>
      <c r="O185" s="1319" t="n"/>
      <c r="P185" s="877" t="n"/>
      <c r="Q185" s="1319" t="n"/>
      <c r="R185" s="877" t="n"/>
      <c r="S185" s="1319" t="n"/>
      <c r="T185" s="877" t="n"/>
      <c r="U185" s="1319" t="n"/>
      <c r="V185" s="877" t="n"/>
      <c r="W185" s="1319" t="n"/>
      <c r="X185" s="877" t="n"/>
      <c r="Y185" s="1319" t="n"/>
      <c r="Z185" s="877" t="n"/>
      <c r="AA185" s="1319" t="n"/>
      <c r="AB185" s="877" t="n"/>
      <c r="AC185" s="1942" t="n"/>
      <c r="AD185" s="755" t="n"/>
      <c r="AE185" s="1941" t="n"/>
      <c r="AF185" s="755" t="n"/>
      <c r="AG185" s="1941" t="n"/>
      <c r="AH185" s="755" t="n"/>
      <c r="AI185" s="1941" t="n"/>
      <c r="AJ185" s="755" t="n"/>
      <c r="AK185" s="1941" t="n"/>
      <c r="AL185" s="755" t="n"/>
      <c r="AM185" s="1941" t="n"/>
      <c r="AN185" s="755" t="n"/>
      <c r="AO185" s="1941" t="n"/>
      <c r="AP185" s="755" t="n"/>
      <c r="AQ185" s="5214" t="n"/>
      <c r="AR185" s="1964" t="n"/>
      <c r="AS185" s="36" t="n"/>
      <c r="AT185" s="1964" t="n"/>
      <c r="AU185" s="1964" t="n"/>
      <c r="AV185" s="36" t="n"/>
      <c r="AW185" s="1964" t="n"/>
      <c r="AX185" s="1186" t="n"/>
      <c r="AY185">
        <f>CA185&amp;CB185&amp;CC185&amp;CD185&amp;CE185&amp;CF185&amp;CG185&amp;CH185</f>
        <v/>
      </c>
      <c r="CA185" s="196">
        <f>IF(AND($D185&gt;0,AQ185=""),"  * No olvide digitar la variable "&amp;AQ$176&amp;". Digite Cero si no tiene.",IF(AQ185&gt;$D185," * La variable "&amp;AQ$176&amp;" no pueden superar el Total Ambos Sexos.",""))</f>
        <v/>
      </c>
      <c r="CB185" s="196">
        <f>IF(AND($D185&gt;0,AR185="")," * No olvide digitar la variable Usuario con Discapacidad. Digite Cero si no tiene.",IF(AR185&gt;$D185," * La variable Usuario con Discapacidad no pueden superar el Total Ambos Sexos.",""))</f>
        <v/>
      </c>
      <c r="CC185" s="196">
        <f>IF(AND($D185&gt;0,AS185=""),"  * No olvide digitar la variable "&amp;AS$176&amp;". Digite Cero si no tiene.",IF(AS185&gt;D185," * La variable "&amp;AS$176&amp;"no pueden superar el Total Ambos Sexos.",""))</f>
        <v/>
      </c>
      <c r="CD185" s="196">
        <f>IF(AND($D185&gt;0,AT185="")," * No olvide digitar la variable "&amp;AT$176&amp;". Digite Cero si no tiene.",IF(AT185&gt;$D185," * La variable "&amp;AT$176&amp;" no pueden superar el Total Ambos Sexos.",""))</f>
        <v/>
      </c>
      <c r="CE185" s="196">
        <f>IF(AND($D185&gt;0,AU185="")," * No olvide digitar la variable Migrantes. Digite Cero si no tiene.",IF(AU185&gt;$D185," * La variable Migrantes no pueden superar el Total Ambos Sexos.",""))</f>
        <v/>
      </c>
      <c r="CF185" s="196">
        <f>IF(AND($D185&gt;0,AV185="")," * No olvide digitar la variable Egreso por Abandono. Digite Cero si no tiene.",IF(AV185&gt;$D185," * La variable Egreso por Abandono no pueden superar el Total Ambos Sexos.",""))</f>
        <v/>
      </c>
      <c r="CG185" s="196">
        <f>IF(AND($D185&gt;0,AW185=""),"  * No olvide digitar la variable Persona con ingreso integral y condición crónica. Digite Cero si no tiene.",IF(AW185&gt;$D185," * La variable Persona con ingreso integral y condición crónica no pueden superar el Total Ambos Sexos.",""))</f>
        <v/>
      </c>
      <c r="CH185" s="196">
        <f>IF(AND($D185&gt;0,AX185=""),"  * No olvide digitar la variable Pueblos Originarios. Digite Cero si no tiene.",IF(AX185&gt;$D185," * La variable Pueblos Originarios no pueden superar el Total Ambos Sexos.",""))</f>
        <v/>
      </c>
      <c r="CO185" s="197">
        <f>IF(AND($D185&gt;0,AQ185=""),1,0)</f>
        <v/>
      </c>
      <c r="CP185" s="197">
        <f>IF(AND($D185&gt;0,AR185=""),1,IF(AR185&gt;$D185,1,0))</f>
        <v/>
      </c>
      <c r="CQ185" s="197">
        <f>IF(AND($D185&gt;0,AS185=""),1,IF(AS185&gt;$D185,1,0))</f>
        <v/>
      </c>
      <c r="CR185" s="197">
        <f>IF(AND(D185&gt;0,AT185=""),1,IF(AT185&gt;D185,1,0))</f>
        <v/>
      </c>
      <c r="CS185" s="197">
        <f>IF(AND($D185&gt;0,AU185=""),1,IF(AU185&gt;$D185,1,0))</f>
        <v/>
      </c>
      <c r="CT185" s="197">
        <f>IF(AND($D185&gt;0,AV185=""),1,IF(AV185&gt;$D185,1,0))</f>
        <v/>
      </c>
      <c r="CU185" s="197">
        <f>IF(AND($D185&gt;0,AW185=""),1,IF(AW185&gt;$D185,1,0))</f>
        <v/>
      </c>
      <c r="CV185" s="197">
        <f>IF(AND($D185&gt;0,AX185=""),1,IF(AX185&gt;$D185,1,0))</f>
        <v/>
      </c>
    </row>
    <row r="186" ht="15.75" customHeight="1" s="8286">
      <c r="A186" s="9588" t="n"/>
      <c r="B186" s="9588" t="n"/>
      <c r="C186" s="9234" t="inlineStr">
        <is>
          <t>PRODEMU</t>
        </is>
      </c>
      <c r="D186" s="2896">
        <f>SUM(F186)</f>
        <v/>
      </c>
      <c r="E186" s="2883" t="n"/>
      <c r="F186" s="1207">
        <f>SUM(AD186+AF186+AH186+AJ186+AL186+AN186+AP186)</f>
        <v/>
      </c>
      <c r="G186" s="1319" t="n"/>
      <c r="H186" s="877" t="n"/>
      <c r="I186" s="1319" t="n"/>
      <c r="J186" s="877" t="n"/>
      <c r="K186" s="1319" t="n"/>
      <c r="L186" s="877" t="n"/>
      <c r="M186" s="1319" t="n"/>
      <c r="N186" s="877" t="n"/>
      <c r="O186" s="1319" t="n"/>
      <c r="P186" s="877" t="n"/>
      <c r="Q186" s="1319" t="n"/>
      <c r="R186" s="877" t="n"/>
      <c r="S186" s="1319" t="n"/>
      <c r="T186" s="877" t="n"/>
      <c r="U186" s="1319" t="n"/>
      <c r="V186" s="877" t="n"/>
      <c r="W186" s="1319" t="n"/>
      <c r="X186" s="877" t="n"/>
      <c r="Y186" s="1319" t="n"/>
      <c r="Z186" s="877" t="n"/>
      <c r="AA186" s="1319" t="n"/>
      <c r="AB186" s="877" t="n"/>
      <c r="AC186" s="1942" t="n"/>
      <c r="AD186" s="755" t="n"/>
      <c r="AE186" s="1941" t="n"/>
      <c r="AF186" s="755" t="n"/>
      <c r="AG186" s="1941" t="n"/>
      <c r="AH186" s="755" t="n"/>
      <c r="AI186" s="1941" t="n"/>
      <c r="AJ186" s="755" t="n"/>
      <c r="AK186" s="1941" t="n"/>
      <c r="AL186" s="755" t="n"/>
      <c r="AM186" s="1941" t="n"/>
      <c r="AN186" s="755" t="n"/>
      <c r="AO186" s="1941" t="n"/>
      <c r="AP186" s="755" t="n"/>
      <c r="AQ186" s="5214" t="n"/>
      <c r="AR186" s="1964" t="n"/>
      <c r="AS186" s="36" t="n"/>
      <c r="AT186" s="1964" t="n"/>
      <c r="AU186" s="1964" t="n"/>
      <c r="AV186" s="36" t="n"/>
      <c r="AW186" s="1964" t="n"/>
      <c r="AX186" s="1186" t="n"/>
      <c r="AY186">
        <f>CA186&amp;CB186&amp;CC186&amp;CD186&amp;CE186&amp;CF186&amp;CG186&amp;CH186</f>
        <v/>
      </c>
      <c r="CA186" s="196">
        <f>IF(AND($D186&gt;0,AQ186=""),"  * No olvide digitar la variable "&amp;AQ$176&amp;". Digite Cero si no tiene.",IF(AQ186&gt;$D186," * La variable "&amp;AQ$176&amp;" no pueden superar el Total Ambos Sexos.",""))</f>
        <v/>
      </c>
      <c r="CB186" s="196">
        <f>IF(AND($D186&gt;0,AR186="")," * No olvide digitar la variable Usuario con Discapacidad. Digite Cero si no tiene.",IF(AR186&gt;$D186," * La variable Usuario con Discapacidad no pueden superar el Total Ambos Sexos.",""))</f>
        <v/>
      </c>
      <c r="CC186" s="196">
        <f>IF(AND($D186&gt;0,AS186=""),"  * No olvide digitar la variable "&amp;AS$176&amp;". Digite Cero si no tiene.",IF(AS186&gt;D186," * La variable "&amp;AS$176&amp;"no pueden superar el Total Ambos Sexos.",""))</f>
        <v/>
      </c>
      <c r="CD186" s="196">
        <f>IF(AND($D186&gt;0,AT186="")," * No olvide digitar la variable "&amp;AT$176&amp;". Digite Cero si no tiene.",IF(AT186&gt;$D186," * La variable "&amp;AT$176&amp;" no pueden superar el Total Ambos Sexos.",""))</f>
        <v/>
      </c>
      <c r="CE186" s="196">
        <f>IF(AND($D186&gt;0,AU186="")," * No olvide digitar la variable Migrantes. Digite Cero si no tiene.",IF(AU186&gt;$D186," * La variable Migrantes no pueden superar el Total Ambos Sexos.",""))</f>
        <v/>
      </c>
      <c r="CF186" s="196">
        <f>IF(AND($D186&gt;0,AV186="")," * No olvide digitar la variable Egreso por Abandono. Digite Cero si no tiene.",IF(AV186&gt;$D186," * La variable Egreso por Abandono no pueden superar el Total Ambos Sexos.",""))</f>
        <v/>
      </c>
      <c r="CG186" s="196">
        <f>IF(AND($D186&gt;0,AW186=""),"  * No olvide digitar la variable Persona con ingreso integral y condición crónica. Digite Cero si no tiene.",IF(AW186&gt;$D186," * La variable Persona con ingreso integral y condición crónica no pueden superar el Total Ambos Sexos.",""))</f>
        <v/>
      </c>
      <c r="CH186" s="196">
        <f>IF(AND($D186&gt;0,AX186=""),"  * No olvide digitar la variable Pueblos Originarios. Digite Cero si no tiene.",IF(AX186&gt;$D186," * La variable Pueblos Originarios no pueden superar el Total Ambos Sexos.",""))</f>
        <v/>
      </c>
      <c r="CO186" s="197">
        <f>IF(AND($D186&gt;0,AQ186=""),1,0)</f>
        <v/>
      </c>
      <c r="CP186" s="197">
        <f>IF(AND($D186&gt;0,AR186=""),1,IF(AR186&gt;$D186,1,0))</f>
        <v/>
      </c>
      <c r="CQ186" s="197">
        <f>IF(AND($D186&gt;0,AS186=""),1,IF(AS186&gt;$D186,1,0))</f>
        <v/>
      </c>
      <c r="CR186" s="197">
        <f>IF(AND(D186&gt;0,AT186=""),1,IF(AT186&gt;D186,1,0))</f>
        <v/>
      </c>
      <c r="CS186" s="197">
        <f>IF(AND($D186&gt;0,AU186=""),1,IF(AU186&gt;$D186,1,0))</f>
        <v/>
      </c>
      <c r="CT186" s="197">
        <f>IF(AND($D186&gt;0,AV186=""),1,IF(AV186&gt;$D186,1,0))</f>
        <v/>
      </c>
      <c r="CU186" s="197">
        <f>IF(AND($D186&gt;0,AW186=""),1,IF(AW186&gt;$D186,1,0))</f>
        <v/>
      </c>
      <c r="CV186" s="197">
        <f>IF(AND($D186&gt;0,AX186=""),1,IF(AX186&gt;$D186,1,0))</f>
        <v/>
      </c>
    </row>
    <row r="187" ht="29.25" customHeight="1" s="8286">
      <c r="A187" s="9588" t="n"/>
      <c r="B187" s="9588" t="n"/>
      <c r="C187" s="8383" t="inlineStr">
        <is>
          <t>Subsistema Seguridades y Oportunidades</t>
        </is>
      </c>
      <c r="D187" s="2896">
        <f>SUM(F187)</f>
        <v/>
      </c>
      <c r="E187" s="2883" t="n"/>
      <c r="F187" s="1207">
        <f>SUM(AD187+AF187+AH187+AJ187+AL187+AN187+AP187)</f>
        <v/>
      </c>
      <c r="G187" s="1319" t="n"/>
      <c r="H187" s="877" t="n"/>
      <c r="I187" s="1319" t="n"/>
      <c r="J187" s="877" t="n"/>
      <c r="K187" s="1319" t="n"/>
      <c r="L187" s="877" t="n"/>
      <c r="M187" s="1319" t="n"/>
      <c r="N187" s="877" t="n"/>
      <c r="O187" s="1319" t="n"/>
      <c r="P187" s="877" t="n"/>
      <c r="Q187" s="1319" t="n"/>
      <c r="R187" s="877" t="n"/>
      <c r="S187" s="1319" t="n"/>
      <c r="T187" s="877" t="n"/>
      <c r="U187" s="1319" t="n"/>
      <c r="V187" s="877" t="n"/>
      <c r="W187" s="1319" t="n"/>
      <c r="X187" s="877" t="n"/>
      <c r="Y187" s="1319" t="n"/>
      <c r="Z187" s="877" t="n"/>
      <c r="AA187" s="1319" t="n"/>
      <c r="AB187" s="877" t="n"/>
      <c r="AC187" s="1942" t="n"/>
      <c r="AD187" s="755" t="n"/>
      <c r="AE187" s="1941" t="n"/>
      <c r="AF187" s="755" t="n"/>
      <c r="AG187" s="1941" t="n"/>
      <c r="AH187" s="755" t="n"/>
      <c r="AI187" s="1941" t="n"/>
      <c r="AJ187" s="755" t="n"/>
      <c r="AK187" s="1941" t="n"/>
      <c r="AL187" s="755" t="n"/>
      <c r="AM187" s="1941" t="n"/>
      <c r="AN187" s="755" t="n"/>
      <c r="AO187" s="1941" t="n"/>
      <c r="AP187" s="755" t="n"/>
      <c r="AQ187" s="5214" t="n"/>
      <c r="AR187" s="3892" t="n"/>
      <c r="AS187" s="36" t="n"/>
      <c r="AT187" s="1964" t="n"/>
      <c r="AU187" s="1964" t="n"/>
      <c r="AV187" s="36" t="n"/>
      <c r="AW187" s="1964" t="n"/>
      <c r="AX187" s="1186" t="n"/>
      <c r="AY187">
        <f>CA187&amp;CB187&amp;CC187&amp;CD187&amp;CE187&amp;CF187&amp;CG187&amp;CH187</f>
        <v/>
      </c>
      <c r="CA187" s="196">
        <f>IF(AND($D187&gt;0,AQ187=""),"  * No olvide digitar la variable "&amp;AQ$176&amp;". Digite Cero si no tiene.",IF(AQ187&gt;$D187," * La variable "&amp;AQ$176&amp;" no pueden superar el Total Ambos Sexos.",""))</f>
        <v/>
      </c>
      <c r="CB187" s="196">
        <f>IF(AND($D187&gt;0,AR187="")," * No olvide digitar la variable Usuario con Discapacidad. Digite Cero si no tiene.",IF(AR187&gt;$D187," * La variable Usuario con Discapacidad no pueden superar el Total Ambos Sexos.",""))</f>
        <v/>
      </c>
      <c r="CC187" s="196">
        <f>IF(AND($D187&gt;0,AS187=""),"  * No olvide digitar la variable "&amp;AS$176&amp;". Digite Cero si no tiene.",IF(AS187&gt;D187," * La variable "&amp;AS$176&amp;"no pueden superar el Total Ambos Sexos.",""))</f>
        <v/>
      </c>
      <c r="CD187" s="196">
        <f>IF(AND($D187&gt;0,AT187="")," * No olvide digitar la variable "&amp;AT$176&amp;". Digite Cero si no tiene.",IF(AT187&gt;$D187," * La variable "&amp;AT$176&amp;" no pueden superar el Total Ambos Sexos.",""))</f>
        <v/>
      </c>
      <c r="CE187" s="196">
        <f>IF(AND($D187&gt;0,AU187="")," * No olvide digitar la variable Migrantes. Digite Cero si no tiene.",IF(AU187&gt;$D187," * La variable Migrantes no pueden superar el Total Ambos Sexos.",""))</f>
        <v/>
      </c>
      <c r="CF187" s="196">
        <f>IF(AND($D187&gt;0,AV187="")," * No olvide digitar la variable Egreso por Abandono. Digite Cero si no tiene.",IF(AV187&gt;$D187," * La variable Egreso por Abandono no pueden superar el Total Ambos Sexos.",""))</f>
        <v/>
      </c>
      <c r="CG187" s="196">
        <f>IF(AND($D187&gt;0,AW187=""),"  * No olvide digitar la variable Persona con ingreso integral y condición crónica. Digite Cero si no tiene.",IF(AW187&gt;$D187," * La variable Persona con ingreso integral y condición crónica no pueden superar el Total Ambos Sexos.",""))</f>
        <v/>
      </c>
      <c r="CH187" s="196">
        <f>IF(AND($D187&gt;0,AX187=""),"  * No olvide digitar la variable Pueblos Originarios. Digite Cero si no tiene.",IF(AX187&gt;$D187," * La variable Pueblos Originarios no pueden superar el Total Ambos Sexos.",""))</f>
        <v/>
      </c>
      <c r="CO187" s="197">
        <f>IF(AND($D187&gt;0,AQ187=""),1,0)</f>
        <v/>
      </c>
      <c r="CP187" s="197">
        <f>IF(AND($D187&gt;0,AR187=""),1,IF(AR187&gt;$D187,1,0))</f>
        <v/>
      </c>
      <c r="CQ187" s="197">
        <f>IF(AND($D187&gt;0,AS187=""),1,IF(AS187&gt;$D187,1,0))</f>
        <v/>
      </c>
      <c r="CR187" s="197">
        <f>IF(AND(D187&gt;0,AT187=""),1,IF(AT187&gt;D187,1,0))</f>
        <v/>
      </c>
      <c r="CS187" s="197">
        <f>IF(AND($D187&gt;0,AU187=""),1,IF(AU187&gt;$D187,1,0))</f>
        <v/>
      </c>
      <c r="CT187" s="197">
        <f>IF(AND($D187&gt;0,AV187=""),1,IF(AV187&gt;$D187,1,0))</f>
        <v/>
      </c>
      <c r="CU187" s="197">
        <f>IF(AND($D187&gt;0,AW187=""),1,IF(AW187&gt;$D187,1,0))</f>
        <v/>
      </c>
      <c r="CV187" s="197">
        <f>IF(AND($D187&gt;0,AX187=""),1,IF(AX187&gt;$D187,1,0))</f>
        <v/>
      </c>
    </row>
    <row r="188" ht="15" customHeight="1" s="8286">
      <c r="A188" s="9588" t="n"/>
      <c r="B188" s="9588" t="n"/>
      <c r="C188" s="8053" t="inlineStr">
        <is>
          <t>MINVU</t>
        </is>
      </c>
      <c r="D188" s="2896">
        <f>SUM(F188)</f>
        <v/>
      </c>
      <c r="E188" s="2883" t="n"/>
      <c r="F188" s="1207">
        <f>SUM(AD188+AF188+AH188+AJ188+AL188+AN188+AP188)</f>
        <v/>
      </c>
      <c r="G188" s="1319" t="n"/>
      <c r="H188" s="877" t="n"/>
      <c r="I188" s="1319" t="n"/>
      <c r="J188" s="877" t="n"/>
      <c r="K188" s="1319" t="n"/>
      <c r="L188" s="877" t="n"/>
      <c r="M188" s="1319" t="n"/>
      <c r="N188" s="877" t="n"/>
      <c r="O188" s="1319" t="n"/>
      <c r="P188" s="877" t="n"/>
      <c r="Q188" s="1319" t="n"/>
      <c r="R188" s="877" t="n"/>
      <c r="S188" s="1319" t="n"/>
      <c r="T188" s="877" t="n"/>
      <c r="U188" s="1319" t="n"/>
      <c r="V188" s="877" t="n"/>
      <c r="W188" s="1319" t="n"/>
      <c r="X188" s="877" t="n"/>
      <c r="Y188" s="1319" t="n"/>
      <c r="Z188" s="877" t="n"/>
      <c r="AA188" s="1319" t="n"/>
      <c r="AB188" s="877" t="n"/>
      <c r="AC188" s="1942" t="n"/>
      <c r="AD188" s="755" t="n"/>
      <c r="AE188" s="2054" t="n"/>
      <c r="AF188" s="755" t="n"/>
      <c r="AG188" s="1941" t="n"/>
      <c r="AH188" s="755" t="n"/>
      <c r="AI188" s="2054" t="n"/>
      <c r="AJ188" s="755" t="n"/>
      <c r="AK188" s="2054" t="n"/>
      <c r="AL188" s="755" t="n"/>
      <c r="AM188" s="1941" t="n"/>
      <c r="AN188" s="755" t="n"/>
      <c r="AO188" s="1941" t="n"/>
      <c r="AP188" s="755" t="n"/>
      <c r="AQ188" s="5215" t="n"/>
      <c r="AR188" s="1964" t="n"/>
      <c r="AS188" s="3895" t="n"/>
      <c r="AT188" s="3892" t="n"/>
      <c r="AU188" s="1964" t="n"/>
      <c r="AV188" s="36" t="n"/>
      <c r="AW188" s="1964" t="n"/>
      <c r="AX188" s="1186" t="n"/>
      <c r="AY188">
        <f>CA188&amp;CB188&amp;CC188&amp;CD188&amp;CE188&amp;CF188&amp;CG188&amp;CH188</f>
        <v/>
      </c>
      <c r="CA188" s="196">
        <f>IF(AND($D188&gt;0,AQ188=""),"  * No olvide digitar la variable "&amp;AQ$176&amp;". Digite Cero si no tiene.",IF(AQ188&gt;$D188," * La variable "&amp;AQ$176&amp;" no pueden superar el Total Ambos Sexos.",""))</f>
        <v/>
      </c>
      <c r="CB188" s="196">
        <f>IF(AND($D188&gt;0,AR188="")," * No olvide digitar la variable Usuario con Discapacidad. Digite Cero si no tiene.",IF(AR188&gt;$D188," * La variable Usuario con Discapacidad no pueden superar el Total Ambos Sexos.",""))</f>
        <v/>
      </c>
      <c r="CC188" s="196">
        <f>IF(AND($D188&gt;0,AS188=""),"  * No olvide digitar la variable "&amp;AS$176&amp;". Digite Cero si no tiene.",IF(AS188&gt;D188," * La variable "&amp;AS$176&amp;"no pueden superar el Total Ambos Sexos.",""))</f>
        <v/>
      </c>
      <c r="CD188" s="196">
        <f>IF(AND($D188&gt;0,AT188="")," * No olvide digitar la variable "&amp;AT$176&amp;". Digite Cero si no tiene.",IF(AT188&gt;$D188," * La variable "&amp;AT$176&amp;" no pueden superar el Total Ambos Sexos.",""))</f>
        <v/>
      </c>
      <c r="CE188" s="196">
        <f>IF(AND($D188&gt;0,AU188="")," * No olvide digitar la variable Migrantes. Digite Cero si no tiene.",IF(AU188&gt;$D188," * La variable Migrantes no pueden superar el Total Ambos Sexos.",""))</f>
        <v/>
      </c>
      <c r="CF188" s="196">
        <f>IF(AND($D188&gt;0,AV188="")," * No olvide digitar la variable Egreso por Abandono. Digite Cero si no tiene.",IF(AV188&gt;$D188," * La variable Egreso por Abandono no pueden superar el Total Ambos Sexos.",""))</f>
        <v/>
      </c>
      <c r="CG188" s="196">
        <f>IF(AND($D188&gt;0,AW188=""),"  * No olvide digitar la variable Persona con ingreso integral y condición crónica. Digite Cero si no tiene.",IF(AW188&gt;$D188," * La variable Persona con ingreso integral y condición crónica no pueden superar el Total Ambos Sexos.",""))</f>
        <v/>
      </c>
      <c r="CH188" s="196">
        <f>IF(AND($D188&gt;0,AX188=""),"  * No olvide digitar la variable Pueblos Originarios. Digite Cero si no tiene.",IF(AX188&gt;$D188," * La variable Pueblos Originarios no pueden superar el Total Ambos Sexos.",""))</f>
        <v/>
      </c>
      <c r="CO188" s="197">
        <f>IF(AND($D188&gt;0,AQ188=""),1,0)</f>
        <v/>
      </c>
      <c r="CP188" s="197">
        <f>IF(AND($D188&gt;0,AR188=""),1,IF(AR188&gt;$D188,1,0))</f>
        <v/>
      </c>
      <c r="CQ188" s="197">
        <f>IF(AND($D188&gt;0,AS188=""),1,IF(AS188&gt;$D188,1,0))</f>
        <v/>
      </c>
      <c r="CR188" s="197">
        <f>IF(AND(D188&gt;0,AT188=""),1,IF(AT188&gt;D188,1,0))</f>
        <v/>
      </c>
      <c r="CS188" s="197">
        <f>IF(AND($D188&gt;0,AU188=""),1,IF(AU188&gt;$D188,1,0))</f>
        <v/>
      </c>
      <c r="CT188" s="197">
        <f>IF(AND($D188&gt;0,AV188=""),1,IF(AV188&gt;$D188,1,0))</f>
        <v/>
      </c>
      <c r="CU188" s="197">
        <f>IF(AND($D188&gt;0,AW188=""),1,IF(AW188&gt;$D188,1,0))</f>
        <v/>
      </c>
      <c r="CV188" s="197">
        <f>IF(AND($D188&gt;0,AX188=""),1,IF(AX188&gt;$D188,1,0))</f>
        <v/>
      </c>
    </row>
    <row r="189" ht="15" customHeight="1" s="8286">
      <c r="A189" s="9588" t="n"/>
      <c r="B189" s="9588" t="n"/>
      <c r="C189" s="9234" t="inlineStr">
        <is>
          <t xml:space="preserve">Demanda local </t>
        </is>
      </c>
      <c r="D189" s="2896">
        <f>SUM(F189)</f>
        <v/>
      </c>
      <c r="E189" s="2883" t="n"/>
      <c r="F189" s="1207">
        <f>SUM(AD189+AF189+AH189+AJ189+AL189+AN189+AP189)</f>
        <v/>
      </c>
      <c r="G189" s="1319" t="n"/>
      <c r="H189" s="877" t="n"/>
      <c r="I189" s="1319" t="n"/>
      <c r="J189" s="877" t="n"/>
      <c r="K189" s="1319" t="n"/>
      <c r="L189" s="877" t="n"/>
      <c r="M189" s="1319" t="n"/>
      <c r="N189" s="877" t="n"/>
      <c r="O189" s="1319" t="n"/>
      <c r="P189" s="877" t="n"/>
      <c r="Q189" s="1319" t="n"/>
      <c r="R189" s="877" t="n"/>
      <c r="S189" s="1319" t="n"/>
      <c r="T189" s="877" t="n"/>
      <c r="U189" s="1319" t="n"/>
      <c r="V189" s="877" t="n"/>
      <c r="W189" s="1319" t="n"/>
      <c r="X189" s="877" t="n"/>
      <c r="Y189" s="1319" t="n"/>
      <c r="Z189" s="877" t="n"/>
      <c r="AA189" s="1319" t="n"/>
      <c r="AB189" s="877" t="n"/>
      <c r="AC189" s="1942" t="n"/>
      <c r="AD189" s="755" t="n"/>
      <c r="AE189" s="2054" t="n"/>
      <c r="AF189" s="755" t="n"/>
      <c r="AG189" s="2054" t="n"/>
      <c r="AH189" s="755" t="n"/>
      <c r="AI189" s="2054" t="n"/>
      <c r="AJ189" s="755" t="n"/>
      <c r="AK189" s="2054" t="n"/>
      <c r="AL189" s="755" t="n"/>
      <c r="AM189" s="1941" t="n"/>
      <c r="AN189" s="755" t="n"/>
      <c r="AO189" s="1941" t="n"/>
      <c r="AP189" s="755" t="n"/>
      <c r="AQ189" s="5215" t="n"/>
      <c r="AR189" s="1964" t="n"/>
      <c r="AS189" s="36" t="n"/>
      <c r="AT189" s="1964" t="n"/>
      <c r="AU189" s="1964" t="n"/>
      <c r="AV189" s="36" t="n"/>
      <c r="AW189" s="1964" t="n"/>
      <c r="AX189" s="1186" t="n"/>
      <c r="AY189">
        <f>CA189&amp;CB189&amp;CC189&amp;CD189&amp;CE189&amp;CF189&amp;CG189&amp;CH189</f>
        <v/>
      </c>
      <c r="CA189" s="196">
        <f>IF(AND($D189&gt;0,AQ189=""),"  * No olvide digitar la variable "&amp;AQ$176&amp;". Digite Cero si no tiene.",IF(AQ189&gt;$D189," * La variable "&amp;AQ$176&amp;" no pueden superar el Total Ambos Sexos.",""))</f>
        <v/>
      </c>
      <c r="CB189" s="196">
        <f>IF(AND($D189&gt;0,AR189="")," * No olvide digitar la variable Usuario con Discapacidad. Digite Cero si no tiene.",IF(AR189&gt;$D189," * La variable Usuario con Discapacidad no pueden superar el Total Ambos Sexos.",""))</f>
        <v/>
      </c>
      <c r="CC189" s="196">
        <f>IF(AND($D189&gt;0,AS189=""),"  * No olvide digitar la variable "&amp;AS$176&amp;". Digite Cero si no tiene.",IF(AS189&gt;D189," * La variable "&amp;AS$176&amp;"no pueden superar el Total Ambos Sexos.",""))</f>
        <v/>
      </c>
      <c r="CD189" s="196">
        <f>IF(AND($D189&gt;0,AT189="")," * No olvide digitar la variable "&amp;AT$176&amp;". Digite Cero si no tiene.",IF(AT189&gt;$D189," * La variable "&amp;AT$176&amp;" no pueden superar el Total Ambos Sexos.",""))</f>
        <v/>
      </c>
      <c r="CE189" s="196">
        <f>IF(AND($D189&gt;0,AU189="")," * No olvide digitar la variable Migrantes. Digite Cero si no tiene.",IF(AU189&gt;$D189," * La variable Migrantes no pueden superar el Total Ambos Sexos.",""))</f>
        <v/>
      </c>
      <c r="CF189" s="196">
        <f>IF(AND($D189&gt;0,AV189="")," * No olvide digitar la variable Egreso por Abandono. Digite Cero si no tiene.",IF(AV189&gt;$D189," * La variable Egreso por Abandono no pueden superar el Total Ambos Sexos.",""))</f>
        <v/>
      </c>
      <c r="CG189" s="196">
        <f>IF(AND($D189&gt;0,AW189=""),"  * No olvide digitar la variable Persona con ingreso integral y condición crónica. Digite Cero si no tiene.",IF(AW189&gt;$D189," * La variable Persona con ingreso integral y condición crónica no pueden superar el Total Ambos Sexos.",""))</f>
        <v/>
      </c>
      <c r="CH189" s="196">
        <f>IF(AND($D189&gt;0,AX189=""),"  * No olvide digitar la variable Pueblos Originarios. Digite Cero si no tiene.",IF(AX189&gt;$D189," * La variable Pueblos Originarios no pueden superar el Total Ambos Sexos.",""))</f>
        <v/>
      </c>
      <c r="CO189" s="197">
        <f>IF(AND($D189&gt;0,AQ189=""),1,0)</f>
        <v/>
      </c>
      <c r="CP189" s="197">
        <f>IF(AND($D189&gt;0,AR189=""),1,IF(AR189&gt;$D189,1,0))</f>
        <v/>
      </c>
      <c r="CQ189" s="197">
        <f>IF(AND($D189&gt;0,AS189=""),1,IF(AS189&gt;$D189,1,0))</f>
        <v/>
      </c>
      <c r="CR189" s="197">
        <f>IF(AND(D189&gt;0,AT189=""),1,IF(AT189&gt;D189,1,0))</f>
        <v/>
      </c>
      <c r="CS189" s="197">
        <f>IF(AND($D189&gt;0,AU189=""),1,IF(AU189&gt;$D189,1,0))</f>
        <v/>
      </c>
      <c r="CT189" s="197">
        <f>IF(AND($D189&gt;0,AV189=""),1,IF(AV189&gt;$D189,1,0))</f>
        <v/>
      </c>
      <c r="CU189" s="197">
        <f>IF(AND($D189&gt;0,AW189=""),1,IF(AW189&gt;$D189,1,0))</f>
        <v/>
      </c>
      <c r="CV189" s="197">
        <f>IF(AND($D189&gt;0,AX189=""),1,IF(AX189&gt;$D189,1,0))</f>
        <v/>
      </c>
    </row>
    <row r="190" ht="25.5" customHeight="1" s="8286">
      <c r="A190" s="746" t="n"/>
      <c r="B190" s="746" t="n"/>
      <c r="C190" s="2650" t="inlineStr">
        <is>
          <t>Total Egresos/Altas integrales (incluye Prótesis Removible)</t>
        </is>
      </c>
      <c r="D190" s="2655">
        <f>SUM(F190)</f>
        <v/>
      </c>
      <c r="E190" s="2883" t="n"/>
      <c r="F190" s="2651">
        <f>SUM(AD190+AF190+AH190+AJ190+AL190+AN190+AP190)</f>
        <v/>
      </c>
      <c r="G190" s="2074" t="n"/>
      <c r="H190" s="753" t="n"/>
      <c r="I190" s="2074" t="n"/>
      <c r="J190" s="753" t="n"/>
      <c r="K190" s="2074" t="n"/>
      <c r="L190" s="753" t="n"/>
      <c r="M190" s="2074" t="n"/>
      <c r="N190" s="753" t="n"/>
      <c r="O190" s="2074" t="n"/>
      <c r="P190" s="753" t="n"/>
      <c r="Q190" s="2074" t="n"/>
      <c r="R190" s="753" t="n"/>
      <c r="S190" s="2074" t="n"/>
      <c r="T190" s="753" t="n"/>
      <c r="U190" s="2074" t="n"/>
      <c r="V190" s="753" t="n"/>
      <c r="W190" s="2074" t="n"/>
      <c r="X190" s="753" t="n"/>
      <c r="Y190" s="2074" t="n"/>
      <c r="Z190" s="753" t="n"/>
      <c r="AA190" s="2074" t="n"/>
      <c r="AB190" s="753" t="n"/>
      <c r="AC190" s="1942" t="n"/>
      <c r="AD190" s="753" t="n"/>
      <c r="AE190" s="2054" t="n"/>
      <c r="AF190" s="753" t="n"/>
      <c r="AG190" s="2054" t="n"/>
      <c r="AH190" s="753" t="n"/>
      <c r="AI190" s="2054" t="n"/>
      <c r="AJ190" s="753" t="n"/>
      <c r="AK190" s="2054" t="n"/>
      <c r="AL190" s="753" t="n"/>
      <c r="AM190" s="2054" t="n"/>
      <c r="AN190" s="753" t="n"/>
      <c r="AO190" s="2054" t="n"/>
      <c r="AP190" s="753" t="n"/>
      <c r="AQ190" s="5254" t="n"/>
      <c r="AR190" s="2907" t="n"/>
      <c r="AS190" s="4615" t="n"/>
      <c r="AT190" s="5265" t="n"/>
      <c r="AU190" s="2907" t="n"/>
      <c r="AV190" s="363" t="n"/>
      <c r="AW190" s="2907" t="n"/>
      <c r="AX190" s="1234" t="n"/>
      <c r="AY190">
        <f>CA190&amp;CB190&amp;CC190&amp;CD190&amp;CE190&amp;CF190&amp;CG190&amp;CH190</f>
        <v/>
      </c>
      <c r="CA190" s="200" t="n"/>
      <c r="CB190" s="200" t="n"/>
      <c r="CC190" s="200" t="n"/>
      <c r="CD190" s="200" t="n"/>
      <c r="CE190" s="200" t="n"/>
      <c r="CF190" s="200" t="n"/>
      <c r="CG190" s="200" t="n"/>
      <c r="CH190" s="200" t="n"/>
      <c r="CO190" s="200" t="n"/>
      <c r="CP190" s="200" t="n"/>
      <c r="CQ190" s="200" t="n"/>
      <c r="CR190" s="200" t="n"/>
      <c r="CS190" s="200" t="n"/>
      <c r="CT190" s="200" t="n"/>
      <c r="CU190" s="200" t="n"/>
      <c r="CV190" s="200" t="n"/>
    </row>
    <row r="191" ht="25.5" customHeight="1" s="8286">
      <c r="A191" s="2899" t="n"/>
      <c r="B191" s="2899" t="n"/>
      <c r="C191" s="2900" t="inlineStr">
        <is>
          <t>Total Egresos/Altas integrales (no Incluye Prótesis Removible)</t>
        </is>
      </c>
      <c r="D191" s="2901">
        <f>SUM(F191)</f>
        <v/>
      </c>
      <c r="E191" s="2888" t="n"/>
      <c r="F191" s="2902">
        <f>SUM(AD191+AF191+AH191+AJ191+AL191+AN191+AP191)</f>
        <v/>
      </c>
      <c r="G191" s="203" t="n"/>
      <c r="H191" s="2903" t="n"/>
      <c r="I191" s="203" t="n"/>
      <c r="J191" s="2903" t="n"/>
      <c r="K191" s="203" t="n"/>
      <c r="L191" s="2903" t="n"/>
      <c r="M191" s="203" t="n"/>
      <c r="N191" s="2903" t="n"/>
      <c r="O191" s="203" t="n"/>
      <c r="P191" s="2903" t="n"/>
      <c r="Q191" s="203" t="n"/>
      <c r="R191" s="2903" t="n"/>
      <c r="S191" s="203" t="n"/>
      <c r="T191" s="2903" t="n"/>
      <c r="U191" s="203" t="n"/>
      <c r="V191" s="2903" t="n"/>
      <c r="W191" s="203" t="n"/>
      <c r="X191" s="2903" t="n"/>
      <c r="Y191" s="203" t="n"/>
      <c r="Z191" s="2903" t="n"/>
      <c r="AA191" s="203" t="n"/>
      <c r="AB191" s="526" t="n"/>
      <c r="AC191" s="203" t="n"/>
      <c r="AD191" s="2903" t="n"/>
      <c r="AE191" s="1395" t="n"/>
      <c r="AF191" s="2903" t="n"/>
      <c r="AG191" s="1395" t="n"/>
      <c r="AH191" s="2903" t="n"/>
      <c r="AI191" s="1395" t="n"/>
      <c r="AJ191" s="2903" t="n"/>
      <c r="AK191" s="1395" t="n"/>
      <c r="AL191" s="2903" t="n"/>
      <c r="AM191" s="1395" t="n"/>
      <c r="AN191" s="2903" t="n"/>
      <c r="AO191" s="1395" t="n"/>
      <c r="AP191" s="2903" t="n"/>
      <c r="AQ191" s="5220" t="n"/>
      <c r="AR191" s="5263" t="n"/>
      <c r="AS191" s="5271" t="n"/>
      <c r="AT191" s="2910" t="n"/>
      <c r="AU191" s="5263" t="n"/>
      <c r="AV191" s="273" t="n"/>
      <c r="AW191" s="5263" t="n"/>
      <c r="AX191" s="2194" t="n"/>
      <c r="AY191">
        <f>CA191&amp;CB191&amp;CC191&amp;CD191&amp;CE191&amp;CF191&amp;CG191&amp;CH191</f>
        <v/>
      </c>
      <c r="CA191" s="200" t="n"/>
      <c r="CB191" s="200" t="n"/>
      <c r="CC191" s="200" t="n"/>
      <c r="CD191" s="200" t="n"/>
      <c r="CE191" s="200" t="n"/>
      <c r="CF191" s="200" t="n"/>
      <c r="CG191" s="200" t="n"/>
      <c r="CH191" s="200" t="n"/>
      <c r="CO191" s="200" t="n"/>
      <c r="CP191" s="200" t="n"/>
      <c r="CQ191" s="200" t="n"/>
      <c r="CR191" s="200" t="n"/>
      <c r="CS191" s="200" t="n"/>
      <c r="CT191" s="200" t="n"/>
      <c r="CU191" s="200" t="n"/>
      <c r="CV191" s="200" t="n"/>
    </row>
    <row r="192" ht="15" customHeight="1" s="8286">
      <c r="A192" s="908" t="n"/>
      <c r="B192" s="10264" t="inlineStr">
        <is>
          <t xml:space="preserve">Prótesis removibles </t>
        </is>
      </c>
      <c r="C192" s="9644" t="n"/>
      <c r="D192" s="2875">
        <f>SUM(E192)</f>
        <v/>
      </c>
      <c r="E192" s="2876">
        <f>SUM(AC192+AE192+AG192+AI192+AK192+AM192+AO192)</f>
        <v/>
      </c>
      <c r="F192" s="2904" t="n"/>
      <c r="G192" s="2192" t="n"/>
      <c r="H192" s="2879" t="n"/>
      <c r="I192" s="2878" t="n"/>
      <c r="J192" s="2879" t="n"/>
      <c r="K192" s="2878" t="n"/>
      <c r="L192" s="2879" t="n"/>
      <c r="M192" s="2878" t="n"/>
      <c r="N192" s="2879" t="n"/>
      <c r="O192" s="2878" t="n"/>
      <c r="P192" s="2879" t="n"/>
      <c r="Q192" s="2878" t="n"/>
      <c r="R192" s="2879" t="n"/>
      <c r="S192" s="2878" t="n"/>
      <c r="T192" s="2879" t="n"/>
      <c r="U192" s="2878" t="n"/>
      <c r="V192" s="2879" t="n"/>
      <c r="W192" s="2878" t="n"/>
      <c r="X192" s="2879" t="n"/>
      <c r="Y192" s="2878" t="n"/>
      <c r="Z192" s="2879" t="n"/>
      <c r="AA192" s="2878" t="n"/>
      <c r="AB192" s="2879" t="n"/>
      <c r="AC192" s="2192" t="n"/>
      <c r="AD192" s="2193" t="n"/>
      <c r="AE192" s="2192" t="n"/>
      <c r="AF192" s="2193" t="n"/>
      <c r="AG192" s="2192" t="n"/>
      <c r="AH192" s="2193" t="n"/>
      <c r="AI192" s="2192" t="n"/>
      <c r="AJ192" s="2193" t="n"/>
      <c r="AK192" s="2192" t="n"/>
      <c r="AL192" s="2193" t="n"/>
      <c r="AM192" s="2265" t="n"/>
      <c r="AN192" s="2905" t="n"/>
      <c r="AO192" s="2905" t="n"/>
      <c r="AP192" s="2193" t="n"/>
      <c r="AQ192" s="3924" t="n"/>
      <c r="AR192" s="5264" t="n"/>
      <c r="AS192" s="5272" t="n"/>
      <c r="AT192" s="5264" t="n"/>
      <c r="AU192" s="5264" t="n"/>
      <c r="AV192" s="5272" t="n"/>
      <c r="AW192" s="5264" t="n"/>
      <c r="AX192" s="2193" t="n"/>
      <c r="AY192">
        <f>CA192&amp;CB192&amp;CC192&amp;CD192&amp;CE192&amp;CF192&amp;CG192&amp;CH192</f>
        <v/>
      </c>
      <c r="CA192" s="200" t="n"/>
      <c r="CB192" s="200" t="n"/>
      <c r="CC192" s="200" t="n"/>
      <c r="CD192" s="200" t="n"/>
      <c r="CE192" s="200" t="n"/>
      <c r="CF192" s="200" t="n"/>
      <c r="CG192" s="200" t="n"/>
      <c r="CH192" s="200" t="n"/>
      <c r="CO192" s="200" t="n"/>
      <c r="CP192" s="200" t="n"/>
      <c r="CQ192" s="200" t="n"/>
      <c r="CR192" s="200" t="n"/>
      <c r="CS192" s="200" t="n"/>
      <c r="CT192" s="200" t="n"/>
      <c r="CU192" s="200" t="n"/>
      <c r="CV192" s="200" t="n"/>
    </row>
    <row r="193" ht="15" customHeight="1" s="8286">
      <c r="A193" s="746" t="n"/>
      <c r="B193" s="10263" t="inlineStr">
        <is>
          <t xml:space="preserve">Nº de auditorías clínicas realizadas </t>
        </is>
      </c>
      <c r="C193" s="9644" t="n"/>
      <c r="D193" s="2906">
        <f>SUM(E193)</f>
        <v/>
      </c>
      <c r="E193" s="2883">
        <f>SUM(AC193+AE193+AG193+AI193+AK193+AM193+AO193)</f>
        <v/>
      </c>
      <c r="F193" s="2651" t="n"/>
      <c r="G193" s="1941" t="n"/>
      <c r="H193" s="890" t="n"/>
      <c r="I193" s="1942" t="n"/>
      <c r="J193" s="890" t="n"/>
      <c r="K193" s="1942" t="n"/>
      <c r="L193" s="890" t="n"/>
      <c r="M193" s="1942" t="n"/>
      <c r="N193" s="890" t="n"/>
      <c r="O193" s="1942" t="n"/>
      <c r="P193" s="890" t="n"/>
      <c r="Q193" s="1942" t="n"/>
      <c r="R193" s="890" t="n"/>
      <c r="S193" s="1942" t="n"/>
      <c r="T193" s="890" t="n"/>
      <c r="U193" s="1942" t="n"/>
      <c r="V193" s="890" t="n"/>
      <c r="W193" s="1942" t="n"/>
      <c r="X193" s="890" t="n"/>
      <c r="Y193" s="1942" t="n"/>
      <c r="Z193" s="890" t="n"/>
      <c r="AA193" s="1942" t="n"/>
      <c r="AB193" s="890" t="n"/>
      <c r="AC193" s="1941" t="n"/>
      <c r="AD193" s="1234" t="n"/>
      <c r="AE193" s="1941" t="n"/>
      <c r="AF193" s="1234" t="n"/>
      <c r="AG193" s="1941" t="n"/>
      <c r="AH193" s="1234" t="n"/>
      <c r="AI193" s="1941" t="n"/>
      <c r="AJ193" s="1234" t="n"/>
      <c r="AK193" s="1941" t="n"/>
      <c r="AL193" s="1234" t="n"/>
      <c r="AM193" s="2649" t="n"/>
      <c r="AN193" s="2907" t="n"/>
      <c r="AO193" s="2908" t="n"/>
      <c r="AP193" s="1234" t="n"/>
      <c r="AQ193" s="5254" t="n"/>
      <c r="AR193" s="5265" t="n"/>
      <c r="AS193" s="4615" t="n"/>
      <c r="AT193" s="5265" t="n"/>
      <c r="AU193" s="2907" t="n"/>
      <c r="AV193" s="363" t="n"/>
      <c r="AW193" s="2907" t="n"/>
      <c r="AX193" s="1234" t="n"/>
      <c r="AY193">
        <f>CA193&amp;CB193&amp;CC193&amp;CD193&amp;CE193&amp;CF193&amp;CG193&amp;CH193</f>
        <v/>
      </c>
      <c r="CA193" s="200" t="n"/>
      <c r="CB193" s="200" t="n"/>
      <c r="CC193" s="200" t="n"/>
      <c r="CD193" s="200" t="n"/>
      <c r="CE193" s="200" t="n"/>
      <c r="CF193" s="200" t="n"/>
      <c r="CG193" s="200" t="n"/>
      <c r="CH193" s="200" t="n"/>
      <c r="CO193" s="200" t="n"/>
      <c r="CP193" s="200" t="n"/>
      <c r="CQ193" s="200" t="n"/>
      <c r="CR193" s="200" t="n"/>
      <c r="CS193" s="200" t="n"/>
      <c r="CT193" s="200" t="n"/>
      <c r="CU193" s="200" t="n"/>
      <c r="CV193" s="200" t="n"/>
    </row>
    <row r="194" ht="15" customHeight="1" s="8286">
      <c r="A194" s="746" t="n"/>
      <c r="B194" s="10263" t="inlineStr">
        <is>
          <t xml:space="preserve">Endodoncia </t>
        </is>
      </c>
      <c r="C194" s="9644" t="n"/>
      <c r="D194" s="2906">
        <f>SUM(E194)</f>
        <v/>
      </c>
      <c r="E194" s="2883">
        <f>SUM(AC194+AE194+AG194+AI194+AK194+AM194+AO194)</f>
        <v/>
      </c>
      <c r="F194" s="2651" t="n"/>
      <c r="G194" s="1941" t="n"/>
      <c r="H194" s="890" t="n"/>
      <c r="I194" s="1942" t="n"/>
      <c r="J194" s="890" t="n"/>
      <c r="K194" s="1942" t="n"/>
      <c r="L194" s="890" t="n"/>
      <c r="M194" s="1942" t="n"/>
      <c r="N194" s="890" t="n"/>
      <c r="O194" s="1942" t="n"/>
      <c r="P194" s="890" t="n"/>
      <c r="Q194" s="1942" t="n"/>
      <c r="R194" s="890" t="n"/>
      <c r="S194" s="1942" t="n"/>
      <c r="T194" s="890" t="n"/>
      <c r="U194" s="1942" t="n"/>
      <c r="V194" s="890" t="n"/>
      <c r="W194" s="1942" t="n"/>
      <c r="X194" s="890" t="n"/>
      <c r="Y194" s="1942" t="n"/>
      <c r="Z194" s="890" t="n"/>
      <c r="AA194" s="1942" t="n"/>
      <c r="AB194" s="890" t="n"/>
      <c r="AC194" s="1395" t="n"/>
      <c r="AD194" s="2194" t="n"/>
      <c r="AE194" s="1395" t="n"/>
      <c r="AF194" s="2194" t="n"/>
      <c r="AG194" s="1395" t="n"/>
      <c r="AH194" s="2194" t="n"/>
      <c r="AI194" s="1395" t="n"/>
      <c r="AJ194" s="2194" t="n"/>
      <c r="AK194" s="1395" t="n"/>
      <c r="AL194" s="2194" t="n"/>
      <c r="AM194" s="2909" t="n"/>
      <c r="AN194" s="2907" t="n"/>
      <c r="AO194" s="2910" t="n"/>
      <c r="AP194" s="2194" t="n"/>
      <c r="AQ194" s="5220" t="n"/>
      <c r="AR194" s="2910" t="n"/>
      <c r="AS194" s="5271" t="n"/>
      <c r="AT194" s="2910" t="n"/>
      <c r="AU194" s="2907" t="n"/>
      <c r="AV194" s="273" t="n"/>
      <c r="AW194" s="2907" t="n"/>
      <c r="AX194" s="1234" t="n"/>
      <c r="AY194">
        <f>CA194&amp;CB194&amp;CC194&amp;CD194&amp;CE194&amp;CF194&amp;CG194&amp;CH194</f>
        <v/>
      </c>
      <c r="CA194" s="200" t="n"/>
      <c r="CB194" s="200" t="n"/>
      <c r="CC194" s="200" t="n"/>
      <c r="CD194" s="200" t="n"/>
      <c r="CE194" s="200" t="n"/>
      <c r="CF194" s="200" t="n"/>
      <c r="CG194" s="200" t="n"/>
      <c r="CH194" s="200" t="n"/>
      <c r="CO194" s="200" t="n"/>
      <c r="CP194" s="200" t="n"/>
      <c r="CQ194" s="200" t="n"/>
      <c r="CR194" s="200" t="n"/>
      <c r="CS194" s="200" t="n"/>
      <c r="CT194" s="200" t="n"/>
      <c r="CU194" s="200" t="n"/>
      <c r="CV194" s="200" t="n"/>
    </row>
    <row r="195" ht="15" customHeight="1" s="8286">
      <c r="A195" s="10265" t="inlineStr">
        <is>
          <t>Estrategia Atención odontológica integral a hombres</t>
        </is>
      </c>
      <c r="B195" s="10266" t="inlineStr">
        <is>
          <t xml:space="preserve">Reparación de prótesis </t>
        </is>
      </c>
      <c r="C195" s="9720" t="n"/>
      <c r="D195" s="2911">
        <f>SUM(E195)</f>
        <v/>
      </c>
      <c r="E195" s="2912">
        <f>SUM(AC195+AE195+AG195+AI195+AK195+AM195+AO195)</f>
        <v/>
      </c>
      <c r="F195" s="1314" t="n"/>
      <c r="G195" s="1312" t="n"/>
      <c r="H195" s="1323" t="n"/>
      <c r="I195" s="1322" t="n"/>
      <c r="J195" s="1323" t="n"/>
      <c r="K195" s="1322" t="n"/>
      <c r="L195" s="1323" t="n"/>
      <c r="M195" s="1322" t="n"/>
      <c r="N195" s="1323" t="n"/>
      <c r="O195" s="1322" t="n"/>
      <c r="P195" s="1323" t="n"/>
      <c r="Q195" s="1322" t="n"/>
      <c r="R195" s="1323" t="n"/>
      <c r="S195" s="1322" t="n"/>
      <c r="T195" s="1323" t="n"/>
      <c r="U195" s="1322" t="n"/>
      <c r="V195" s="1323" t="n"/>
      <c r="W195" s="1322" t="n"/>
      <c r="X195" s="1323" t="n"/>
      <c r="Y195" s="1322" t="n"/>
      <c r="Z195" s="1323" t="n"/>
      <c r="AA195" s="1322" t="n"/>
      <c r="AB195" s="1313" t="n"/>
      <c r="AC195" s="1188" t="n"/>
      <c r="AD195" s="2825" t="n"/>
      <c r="AE195" s="1188" t="n"/>
      <c r="AF195" s="2825" t="n"/>
      <c r="AG195" s="1188" t="n"/>
      <c r="AH195" s="2825" t="n"/>
      <c r="AI195" s="1188" t="n"/>
      <c r="AJ195" s="2825" t="n"/>
      <c r="AK195" s="1188" t="n"/>
      <c r="AL195" s="2825" t="n"/>
      <c r="AM195" s="1195" t="n"/>
      <c r="AN195" s="2913" t="n"/>
      <c r="AO195" s="1223" t="n"/>
      <c r="AP195" s="2914" t="n"/>
      <c r="AQ195" s="35" t="n"/>
      <c r="AR195" s="1229" t="n"/>
      <c r="AS195" s="35" t="n"/>
      <c r="AT195" s="1229" t="n"/>
      <c r="AU195" s="670" t="n"/>
      <c r="AV195" s="4615" t="n"/>
      <c r="AW195" s="670" t="n"/>
      <c r="AX195" s="2057" t="n"/>
      <c r="AY195">
        <f>CA195&amp;CB195&amp;CC195&amp;CD195&amp;CE195&amp;CF195&amp;CG195&amp;CH195</f>
        <v/>
      </c>
      <c r="CA195" s="196">
        <f>IF(AND($D195&gt;0,AQ195=""),"  * No olvide digitar la variable "&amp;AQ$176&amp;". Digite Cero si no tiene.",IF(AQ195&gt;$D195," * La variable "&amp;AQ$176&amp;" no pueden superar el Total Ambos Sexos.",""))</f>
        <v/>
      </c>
      <c r="CB195" s="196">
        <f>IF(AND($D195&gt;0,AR195="")," * No olvide digitar la variable Usuario con Discapacidad. Digite Cero si no tiene.",IF(AR195&gt;$D195," * La variable Usuario con Discapacidad no pueden superar el Total Ambos Sexos.",""))</f>
        <v/>
      </c>
      <c r="CC195" s="196">
        <f>IF(AND($D195&gt;0,AS195=""),"  * No olvide digitar la variable "&amp;AS$176&amp;". Digite Cero si no tiene.",IF(AS195&gt;D195," * La variable "&amp;AS$176&amp;"no pueden superar el Total Ambos Sexos.",""))</f>
        <v/>
      </c>
      <c r="CD195" s="196">
        <f>IF(AND($D195&gt;0,AT195="")," * No olvide digitar la variable "&amp;AT$176&amp;". Digite Cero si no tiene.",IF(AT195&gt;$D195," * La variable "&amp;AT$176&amp;" no pueden superar el Total Ambos Sexos.",""))</f>
        <v/>
      </c>
      <c r="CE195" s="196">
        <f>IF(AND($D195&gt;0,AU195="")," * No olvide digitar la variable Migrantes. Digite Cero si no tiene.",IF(AU195&gt;$D195," * La variable Migrantes no pueden superar el Total Ambos Sexos.",""))</f>
        <v/>
      </c>
      <c r="CF195" s="198" t="n"/>
      <c r="CG195" s="196">
        <f>IF(AND($D195&gt;0,AW195=""),"  * No olvide digitar la variable Persona con ingreso integral y condición crónica. Digite Cero si no tiene.",IF(AW195&gt;$D195," * La variable Persona con ingreso integral y condición crónica no pueden superar el Total Ambos Sexos.",""))</f>
        <v/>
      </c>
      <c r="CH195" s="196">
        <f>IF(AND($D195&gt;0,AX195=""),"  * No olvide digitar la variable Pueblos Originarios. Digite Cero si no tiene.",IF(AX195&gt;$D195," * La variable Pueblos Originarios no pueden superar el Total Ambos Sexos.",""))</f>
        <v/>
      </c>
      <c r="CO195" s="197">
        <f>IF(AND($D195&gt;0,AQ195=""),1,0)</f>
        <v/>
      </c>
      <c r="CP195" s="197">
        <f>IF(AND($D195&gt;0,AR195=""),1,IF(AR195&gt;$D195,1,0))</f>
        <v/>
      </c>
      <c r="CQ195" s="197">
        <f>IF(AND($D195&gt;0,AS195=""),1,IF(AS195&gt;$D195,1,0))</f>
        <v/>
      </c>
      <c r="CR195" s="197">
        <f>IF(AND(D195&gt;0,AT195=""),1,IF(AT195&gt;D195,1,0))</f>
        <v/>
      </c>
      <c r="CS195" s="197">
        <f>IF(AND($D195&gt;0,AU195=""),1,IF(AU195&gt;$D195,1,0))</f>
        <v/>
      </c>
      <c r="CT195" s="198" t="n"/>
      <c r="CU195" s="197">
        <f>IF(AND($D195&gt;0,AW195=""),1,IF(AW195&gt;$D195,1,0))</f>
        <v/>
      </c>
      <c r="CV195" s="197">
        <f>IF(AND($D195&gt;0,AX195=""),1,IF(AX195&gt;$D195,1,0))</f>
        <v/>
      </c>
    </row>
    <row r="196" ht="15" customHeight="1" s="8286">
      <c r="A196" s="9588" t="n"/>
      <c r="B196" s="7857" t="inlineStr">
        <is>
          <t>Altas integrales/actividades</t>
        </is>
      </c>
      <c r="C196" s="2915" t="inlineStr">
        <is>
          <t>TOTAL</t>
        </is>
      </c>
      <c r="D196" s="2916">
        <f>SUM(E196)</f>
        <v/>
      </c>
      <c r="E196" s="2917">
        <f>SUM(AC196+AE196+AG196+AI196+AK196+AM196+AO196)</f>
        <v/>
      </c>
      <c r="F196" s="2918" t="n"/>
      <c r="G196" s="2919" t="n"/>
      <c r="H196" s="2920" t="n"/>
      <c r="I196" s="2921" t="n"/>
      <c r="J196" s="2922" t="n"/>
      <c r="K196" s="2921" t="n"/>
      <c r="L196" s="2920" t="n"/>
      <c r="M196" s="2921" t="n"/>
      <c r="N196" s="2922" t="n"/>
      <c r="O196" s="2921" t="n"/>
      <c r="P196" s="2920" t="n"/>
      <c r="Q196" s="2921" t="n"/>
      <c r="R196" s="2922" t="n"/>
      <c r="S196" s="2921" t="n"/>
      <c r="T196" s="2920" t="n"/>
      <c r="U196" s="2921" t="n"/>
      <c r="V196" s="2922" t="n"/>
      <c r="W196" s="2921" t="n"/>
      <c r="X196" s="2920" t="n"/>
      <c r="Y196" s="2921" t="n"/>
      <c r="Z196" s="2922" t="n"/>
      <c r="AA196" s="2921" t="n"/>
      <c r="AB196" s="2922" t="n"/>
      <c r="AC196" s="2923">
        <f>SUM(AC197:AC198)</f>
        <v/>
      </c>
      <c r="AD196" s="2924" t="n"/>
      <c r="AE196" s="2923">
        <f>SUM(AE197:AE198)</f>
        <v/>
      </c>
      <c r="AF196" s="2924" t="n"/>
      <c r="AG196" s="2923">
        <f>SUM(AG197:AG198)</f>
        <v/>
      </c>
      <c r="AH196" s="2924" t="n"/>
      <c r="AI196" s="2923">
        <f>SUM(AI197:AI198)</f>
        <v/>
      </c>
      <c r="AJ196" s="2924" t="n"/>
      <c r="AK196" s="2923">
        <f>SUM(AK197:AK198)</f>
        <v/>
      </c>
      <c r="AL196" s="2924" t="n"/>
      <c r="AM196" s="2925">
        <f>SUM(AM197:AM198)</f>
        <v/>
      </c>
      <c r="AN196" s="2926" t="n"/>
      <c r="AO196" s="2925">
        <f>SUM(AO197:AO198)</f>
        <v/>
      </c>
      <c r="AP196" s="2927" t="n"/>
      <c r="AQ196" s="5255">
        <f>SUM(AQ197:AQ198)</f>
        <v/>
      </c>
      <c r="AR196" s="5266">
        <f>SUM(AR197:AR198)</f>
        <v/>
      </c>
      <c r="AS196" s="5273">
        <f>SUM(AS197:AS198)</f>
        <v/>
      </c>
      <c r="AT196" s="5266">
        <f>SUM(AT197:AT198)</f>
        <v/>
      </c>
      <c r="AU196" s="5266">
        <f>SUM(AU197:AU198)</f>
        <v/>
      </c>
      <c r="AV196" s="5273">
        <f>SUM(AV197:AV198)</f>
        <v/>
      </c>
      <c r="AW196" s="5266">
        <f>SUM(AW197:AW198)</f>
        <v/>
      </c>
      <c r="AX196" s="2928">
        <f>SUM(AX197:AX198)</f>
        <v/>
      </c>
      <c r="AY196">
        <f>CA196&amp;CB196&amp;CC196&amp;CD196&amp;CE196&amp;CF196&amp;CG196&amp;CH196</f>
        <v/>
      </c>
      <c r="CA196" s="196">
        <f>IF(AND($D196&gt;0,AQ196=""),"  * No olvide digitar la variable "&amp;AQ$176&amp;". Digite Cero si no tiene.",IF(AQ196&gt;$D196," * La variable "&amp;AQ$176&amp;" no pueden superar el Total Ambos Sexos.",""))</f>
        <v/>
      </c>
      <c r="CB196" s="196">
        <f>IF(AND($D196&gt;0,AR196="")," * No olvide digitar la variable Usuario con Discapacidad. Digite Cero si no tiene.",IF(AR196&gt;$D196," * La variable Usuario con Discapacidad no pueden superar el Total Ambos Sexos.",""))</f>
        <v/>
      </c>
      <c r="CC196" s="196">
        <f>IF(AND($D196&gt;0,AS196=""),"  * No olvide digitar la variable "&amp;AS$176&amp;". Digite Cero si no tiene.",IF(AS196&gt;D196," * La variable "&amp;AS$176&amp;"no pueden superar el Total Ambos Sexos.",""))</f>
        <v/>
      </c>
      <c r="CD196" s="196">
        <f>IF(AND($D196&gt;0,AT196="")," * No olvide digitar la variable "&amp;AT$176&amp;". Digite Cero si no tiene.",IF(AT196&gt;$D196," * La variable "&amp;AT$176&amp;" no pueden superar el Total Ambos Sexos.",""))</f>
        <v/>
      </c>
      <c r="CE196" s="196">
        <f>IF(AND($D196&gt;0,AU196="")," * No olvide digitar la variable Migrantes. Digite Cero si no tiene.",IF(AU196&gt;$D196," * La variable Migrantes no pueden superar el Total Ambos Sexos.",""))</f>
        <v/>
      </c>
      <c r="CF196" s="196">
        <f>IF(AND($D196&gt;0,AV196="")," * No olvide digitar la variable Egreso por Abandono. Digite Cero si no tiene.",IF(AV196&gt;$D196," * La variable Egreso por Abandono no pueden superar el Total Ambos Sexos.",""))</f>
        <v/>
      </c>
      <c r="CG196" s="196">
        <f>IF(AND($D196&gt;0,AW196=""),"  * No olvide digitar la variable Persona con ingreso integral y condición crónica. Digite Cero si no tiene.",IF(AW196&gt;$D196," * La variable Persona con ingreso integral y condición crónica no pueden superar el Total Ambos Sexos.",""))</f>
        <v/>
      </c>
      <c r="CH196" s="196">
        <f>IF(AND($D196&gt;0,AX196=""),"  * No olvide digitar la variable Pueblos Originarios. Digite Cero si no tiene.",IF(AX196&gt;$D196," * La variable Pueblos Originarios no pueden superar el Total Ambos Sexos.",""))</f>
        <v/>
      </c>
      <c r="CO196" s="197">
        <f>IF(AND($D196&gt;0,AQ196=""),1,0)</f>
        <v/>
      </c>
      <c r="CP196" s="197">
        <f>IF(AND($D196&gt;0,AR196=""),1,IF(AR196&gt;$D196,1,0))</f>
        <v/>
      </c>
      <c r="CQ196" s="197">
        <f>IF(AND($D196&gt;0,AS196=""),1,IF(AS196&gt;$D196,1,0))</f>
        <v/>
      </c>
      <c r="CR196" s="197">
        <f>IF(AND(D196&gt;0,AT196=""),1,IF(AT196&gt;D196,1,0))</f>
        <v/>
      </c>
      <c r="CS196" s="197">
        <f>IF(AND($D196&gt;0,AU196=""),1,IF(AU196&gt;$D196,1,0))</f>
        <v/>
      </c>
      <c r="CT196" s="197">
        <f>IF(AND($D196&gt;0,AV196=""),1,IF(AV196&gt;$D196,1,0))</f>
        <v/>
      </c>
      <c r="CU196" s="197">
        <f>IF(AND($D196&gt;0,AW196=""),1,IF(AW196&gt;$D196,1,0))</f>
        <v/>
      </c>
      <c r="CV196" s="197">
        <f>IF(AND($D196&gt;0,AX196=""),1,IF(AX196&gt;$D196,1,0))</f>
        <v/>
      </c>
    </row>
    <row r="197" ht="21.75" customHeight="1" s="8286">
      <c r="A197" s="9588" t="n"/>
      <c r="B197" s="642" t="n"/>
      <c r="C197" s="8383" t="inlineStr">
        <is>
          <t>Subsistema Seguridades y Oportunidades</t>
        </is>
      </c>
      <c r="D197" s="2896">
        <f>SUM(E197)</f>
        <v/>
      </c>
      <c r="E197" s="2929">
        <f>SUM(AC197+AE197+AG197+AI197+AK197+AM197+AO197)</f>
        <v/>
      </c>
      <c r="F197" s="1250" t="n"/>
      <c r="G197" s="1938" t="n"/>
      <c r="H197" s="763" t="n"/>
      <c r="I197" s="2898" t="n"/>
      <c r="J197" s="763" t="n"/>
      <c r="K197" s="2898" t="n"/>
      <c r="L197" s="763" t="n"/>
      <c r="M197" s="2898" t="n"/>
      <c r="N197" s="763" t="n"/>
      <c r="O197" s="2898" t="n"/>
      <c r="P197" s="763" t="n"/>
      <c r="Q197" s="2898" t="n"/>
      <c r="R197" s="763" t="n"/>
      <c r="S197" s="2898" t="n"/>
      <c r="T197" s="763" t="n"/>
      <c r="U197" s="2898" t="n"/>
      <c r="V197" s="763" t="n"/>
      <c r="W197" s="2898" t="n"/>
      <c r="X197" s="763" t="n"/>
      <c r="Y197" s="2898" t="n"/>
      <c r="Z197" s="763" t="n"/>
      <c r="AA197" s="2898" t="n"/>
      <c r="AB197" s="802" t="n"/>
      <c r="AC197" s="1935" t="n"/>
      <c r="AD197" s="1234" t="n"/>
      <c r="AE197" s="1935" t="n"/>
      <c r="AF197" s="1234" t="n"/>
      <c r="AG197" s="1935" t="n"/>
      <c r="AH197" s="1234" t="n"/>
      <c r="AI197" s="645" t="n"/>
      <c r="AJ197" s="1234" t="n"/>
      <c r="AK197" s="1935" t="n"/>
      <c r="AL197" s="1234" t="n"/>
      <c r="AM197" s="2164" t="n"/>
      <c r="AN197" s="2907" t="n"/>
      <c r="AO197" s="670" t="n"/>
      <c r="AP197" s="2930" t="n"/>
      <c r="AQ197" s="36" t="n"/>
      <c r="AR197" s="1964" t="n"/>
      <c r="AS197" s="36" t="n"/>
      <c r="AT197" s="1964" t="n"/>
      <c r="AU197" s="1964" t="n"/>
      <c r="AV197" s="36" t="n"/>
      <c r="AW197" s="1964" t="n"/>
      <c r="AX197" s="1186" t="n"/>
      <c r="AY197">
        <f>CA197&amp;CB197&amp;CC197&amp;CD197&amp;CE197&amp;CF197&amp;CG197&amp;CH197</f>
        <v/>
      </c>
      <c r="CA197" s="196">
        <f>IF(AND($D197&gt;0,AQ197=""),"  * No olvide digitar la variable "&amp;AQ$176&amp;". Digite Cero si no tiene.",IF(AQ197&gt;$D197," * La variable "&amp;AQ$176&amp;" no pueden superar el Total Ambos Sexos.",""))</f>
        <v/>
      </c>
      <c r="CB197" s="196">
        <f>IF(AND($D197&gt;0,AR197="")," * No olvide digitar la variable Usuario con Discapacidad. Digite Cero si no tiene.",IF(AR197&gt;$D197," * La variable Usuario con Discapacidad no pueden superar el Total Ambos Sexos.",""))</f>
        <v/>
      </c>
      <c r="CC197" s="196">
        <f>IF(AND($D197&gt;0,AS197=""),"  * No olvide digitar la variable "&amp;AS$176&amp;". Digite Cero si no tiene.",IF(AS197&gt;D197," * La variable "&amp;AS$176&amp;"no pueden superar el Total Ambos Sexos.",""))</f>
        <v/>
      </c>
      <c r="CD197" s="196">
        <f>IF(AND($D197&gt;0,AT197="")," * No olvide digitar la variable "&amp;AT$176&amp;". Digite Cero si no tiene.",IF(AT197&gt;$D197," * La variable "&amp;AT$176&amp;" no pueden superar el Total Ambos Sexos.",""))</f>
        <v/>
      </c>
      <c r="CE197" s="196">
        <f>IF(AND($D197&gt;0,AU197="")," * No olvide digitar la variable Migrantes. Digite Cero si no tiene.",IF(AU197&gt;$D197," * La variable Migrantes no pueden superar el Total Ambos Sexos.",""))</f>
        <v/>
      </c>
      <c r="CF197" s="196">
        <f>IF(AND($D197&gt;0,AV197="")," * No olvide digitar la variable Egreso por Abandono. Digite Cero si no tiene.",IF(AV197&gt;$D197," * La variable Egreso por Abandono no pueden superar el Total Ambos Sexos.",""))</f>
        <v/>
      </c>
      <c r="CG197" s="196">
        <f>IF(AND($D197&gt;0,AW197=""),"  * No olvide digitar la variable Persona con ingreso integral y condición crónica. Digite Cero si no tiene.",IF(AW197&gt;$D197," * La variable Persona con ingreso integral y condición crónica no pueden superar el Total Ambos Sexos.",""))</f>
        <v/>
      </c>
      <c r="CH197" s="196">
        <f>IF(AND($D197&gt;0,AX197=""),"  * No olvide digitar la variable Pueblos Originarios. Digite Cero si no tiene.",IF(AX197&gt;$D197," * La variable Pueblos Originarios no pueden superar el Total Ambos Sexos.",""))</f>
        <v/>
      </c>
      <c r="CO197" s="197">
        <f>IF(AND($D197&gt;0,AQ197=""),1,0)</f>
        <v/>
      </c>
      <c r="CP197" s="197">
        <f>IF(AND($D197&gt;0,AR197=""),1,IF(AR197&gt;$D197,1,0))</f>
        <v/>
      </c>
      <c r="CQ197" s="197">
        <f>IF(AND($D197&gt;0,AS197=""),1,IF(AS197&gt;$D197,1,0))</f>
        <v/>
      </c>
      <c r="CR197" s="197">
        <f>IF(AND(D197&gt;0,AT197=""),1,IF(AT197&gt;D197,1,0))</f>
        <v/>
      </c>
      <c r="CS197" s="197">
        <f>IF(AND($D197&gt;0,AU197=""),1,IF(AU197&gt;$D197,1,0))</f>
        <v/>
      </c>
      <c r="CT197" s="197">
        <f>IF(AND($D197&gt;0,AV197=""),1,IF(AV197&gt;$D197,1,0))</f>
        <v/>
      </c>
      <c r="CU197" s="197">
        <f>IF(AND($D197&gt;0,AW197=""),1,IF(AW197&gt;$D197,1,0))</f>
        <v/>
      </c>
      <c r="CV197" s="197">
        <f>IF(AND($D197&gt;0,AX197=""),1,IF(AX197&gt;$D197,1,0))</f>
        <v/>
      </c>
    </row>
    <row r="198" ht="15" customHeight="1" s="8286">
      <c r="A198" s="9588" t="n"/>
      <c r="B198" s="642" t="n"/>
      <c r="C198" s="8383" t="inlineStr">
        <is>
          <t xml:space="preserve">Demanda local </t>
        </is>
      </c>
      <c r="D198" s="2896">
        <f>SUM(E198)</f>
        <v/>
      </c>
      <c r="E198" s="2929">
        <f>SUM(AC198+AE198+AG198+AI198+AK198+AM198+AO198)</f>
        <v/>
      </c>
      <c r="F198" s="2651" t="n"/>
      <c r="G198" s="1325" t="n"/>
      <c r="H198" s="877" t="n"/>
      <c r="I198" s="1319" t="n"/>
      <c r="J198" s="890" t="n"/>
      <c r="K198" s="1319" t="n"/>
      <c r="L198" s="877" t="n"/>
      <c r="M198" s="1319" t="n"/>
      <c r="N198" s="890" t="n"/>
      <c r="O198" s="1319" t="n"/>
      <c r="P198" s="877" t="n"/>
      <c r="Q198" s="1319" t="n"/>
      <c r="R198" s="890" t="n"/>
      <c r="S198" s="1319" t="n"/>
      <c r="T198" s="877" t="n"/>
      <c r="U198" s="1319" t="n"/>
      <c r="V198" s="890" t="n"/>
      <c r="W198" s="1319" t="n"/>
      <c r="X198" s="877" t="n"/>
      <c r="Y198" s="1319" t="n"/>
      <c r="Z198" s="890" t="n"/>
      <c r="AA198" s="1319" t="n"/>
      <c r="AB198" s="890" t="n"/>
      <c r="AC198" s="1172" t="n"/>
      <c r="AD198" s="1234" t="n"/>
      <c r="AE198" s="1172" t="n"/>
      <c r="AF198" s="1234" t="n"/>
      <c r="AG198" s="1172" t="n"/>
      <c r="AH198" s="1234" t="n"/>
      <c r="AI198" s="1179" t="n"/>
      <c r="AJ198" s="1234" t="n"/>
      <c r="AK198" s="1172" t="n"/>
      <c r="AL198" s="1234" t="n"/>
      <c r="AM198" s="1175" t="n"/>
      <c r="AN198" s="2907" t="n"/>
      <c r="AO198" s="1229" t="n"/>
      <c r="AP198" s="1234" t="n"/>
      <c r="AQ198" s="5215" t="n"/>
      <c r="AR198" s="1964" t="n"/>
      <c r="AS198" s="3895" t="n"/>
      <c r="AT198" s="3892" t="n"/>
      <c r="AU198" s="1964" t="n"/>
      <c r="AV198" s="36" t="n"/>
      <c r="AW198" s="1964" t="n"/>
      <c r="AX198" s="1186" t="n"/>
      <c r="AY198">
        <f>CA198&amp;CB198&amp;CC198&amp;CD198&amp;CE198&amp;CF198&amp;CG198&amp;CH198</f>
        <v/>
      </c>
      <c r="CA198" s="196">
        <f>IF(AND($D198&gt;0,AQ198=""),"  * No olvide digitar la variable "&amp;AQ$176&amp;". Digite Cero si no tiene.",IF(AQ198&gt;$D198," * La variable "&amp;AQ$176&amp;" no pueden superar el Total Ambos Sexos.",""))</f>
        <v/>
      </c>
      <c r="CB198" s="196">
        <f>IF(AND($D198&gt;0,AR198="")," * No olvide digitar la variable Usuario con Discapacidad. Digite Cero si no tiene.",IF(AR198&gt;$D198," * La variable Usuario con Discapacidad no pueden superar el Total Ambos Sexos.",""))</f>
        <v/>
      </c>
      <c r="CC198" s="196">
        <f>IF(AND($D198&gt;0,AS198=""),"  * No olvide digitar la variable "&amp;AS$176&amp;". Digite Cero si no tiene.",IF(AS198&gt;D198," * La variable "&amp;AS$176&amp;"no pueden superar el Total Ambos Sexos.",""))</f>
        <v/>
      </c>
      <c r="CD198" s="196">
        <f>IF(AND($D198&gt;0,AT198="")," * No olvide digitar la variable "&amp;AT$176&amp;". Digite Cero si no tiene.",IF(AT198&gt;$D198," * La variable "&amp;AT$176&amp;" no pueden superar el Total Ambos Sexos.",""))</f>
        <v/>
      </c>
      <c r="CE198" s="196">
        <f>IF(AND($D198&gt;0,AU198="")," * No olvide digitar la variable Migrantes. Digite Cero si no tiene.",IF(AU198&gt;$D198," * La variable Migrantes no pueden superar el Total Ambos Sexos.",""))</f>
        <v/>
      </c>
      <c r="CF198" s="196">
        <f>IF(AND($D198&gt;0,AV198="")," * No olvide digitar la variable Egreso por Abandono. Digite Cero si no tiene.",IF(AV198&gt;$D198," * La variable Egreso por Abandono no pueden superar el Total Ambos Sexos.",""))</f>
        <v/>
      </c>
      <c r="CG198" s="196">
        <f>IF(AND($D198&gt;0,AW198=""),"  * No olvide digitar la variable Persona con ingreso integral y condición crónica. Digite Cero si no tiene.",IF(AW198&gt;$D198," * La variable Persona con ingreso integral y condición crónica no pueden superar el Total Ambos Sexos.",""))</f>
        <v/>
      </c>
      <c r="CH198" s="196">
        <f>IF(AND($D198&gt;0,AX198=""),"  * No olvide digitar la variable Pueblos Originarios. Digite Cero si no tiene.",IF(AX198&gt;$D198," * La variable Pueblos Originarios no pueden superar el Total Ambos Sexos.",""))</f>
        <v/>
      </c>
      <c r="CO198" s="197">
        <f>IF(AND($D198&gt;0,AQ198=""),1,0)</f>
        <v/>
      </c>
      <c r="CP198" s="197">
        <f>IF(AND($D198&gt;0,AR198=""),1,IF(AR198&gt;$D198,1,0))</f>
        <v/>
      </c>
      <c r="CQ198" s="197">
        <f>IF(AND($D198&gt;0,AS198=""),1,IF(AS198&gt;$D198,1,0))</f>
        <v/>
      </c>
      <c r="CR198" s="197">
        <f>IF(AND(D198&gt;0,AT198=""),1,IF(AT198&gt;D198,1,0))</f>
        <v/>
      </c>
      <c r="CS198" s="197">
        <f>IF(AND($D198&gt;0,AU198=""),1,IF(AU198&gt;$D198,1,0))</f>
        <v/>
      </c>
      <c r="CT198" s="197">
        <f>IF(AND($D198&gt;0,AV198=""),1,IF(AV198&gt;$D198,1,0))</f>
        <v/>
      </c>
      <c r="CU198" s="197">
        <f>IF(AND($D198&gt;0,AW198=""),1,IF(AW198&gt;$D198,1,0))</f>
        <v/>
      </c>
      <c r="CV198" s="197">
        <f>IF(AND($D198&gt;0,AX198=""),1,IF(AX198&gt;$D198,1,0))</f>
        <v/>
      </c>
    </row>
    <row r="199" ht="23.25" customHeight="1" s="8286">
      <c r="A199" s="746" t="n"/>
      <c r="B199" s="746" t="n"/>
      <c r="C199" s="2931" t="inlineStr">
        <is>
          <t>Total Egresos/Altas integrales (incluye Prótesis Removible)</t>
        </is>
      </c>
      <c r="D199" s="2906">
        <f>SUM(E199)</f>
        <v/>
      </c>
      <c r="E199" s="2897">
        <f>SUM(AC199+AE199+AG199+AI199+AK199+AM199+AO199)</f>
        <v/>
      </c>
      <c r="F199" s="2655" t="n"/>
      <c r="G199" s="1941" t="n"/>
      <c r="H199" s="890" t="n"/>
      <c r="I199" s="1942" t="n"/>
      <c r="J199" s="890" t="n"/>
      <c r="K199" s="1942" t="n"/>
      <c r="L199" s="890" t="n"/>
      <c r="M199" s="1942" t="n"/>
      <c r="N199" s="890" t="n"/>
      <c r="O199" s="1942" t="n"/>
      <c r="P199" s="890" t="n"/>
      <c r="Q199" s="1942" t="n"/>
      <c r="R199" s="890" t="n"/>
      <c r="S199" s="1942" t="n"/>
      <c r="T199" s="890" t="n"/>
      <c r="U199" s="1942" t="n"/>
      <c r="V199" s="890" t="n"/>
      <c r="W199" s="1942" t="n"/>
      <c r="X199" s="890" t="n"/>
      <c r="Y199" s="1942" t="n"/>
      <c r="Z199" s="890" t="n"/>
      <c r="AA199" s="1942" t="n"/>
      <c r="AB199" s="890" t="n"/>
      <c r="AC199" s="1941" t="n"/>
      <c r="AD199" s="1234" t="n"/>
      <c r="AE199" s="1941" t="n"/>
      <c r="AF199" s="1234" t="n"/>
      <c r="AG199" s="1941" t="n"/>
      <c r="AH199" s="1234" t="n"/>
      <c r="AI199" s="1395" t="n"/>
      <c r="AJ199" s="1234" t="n"/>
      <c r="AK199" s="1941" t="n"/>
      <c r="AL199" s="1234" t="n"/>
      <c r="AM199" s="2649" t="n"/>
      <c r="AN199" s="2907" t="n"/>
      <c r="AO199" s="2910" t="n"/>
      <c r="AP199" s="1234" t="n"/>
      <c r="AQ199" s="5254" t="n"/>
      <c r="AR199" s="2907" t="n"/>
      <c r="AS199" s="4615" t="n"/>
      <c r="AT199" s="5265" t="n"/>
      <c r="AU199" s="2907" t="n"/>
      <c r="AV199" s="363" t="n"/>
      <c r="AW199" s="2907" t="n"/>
      <c r="AX199" s="1234" t="n"/>
      <c r="AY199">
        <f>CA199&amp;CB199&amp;CC199&amp;CD199&amp;CE199&amp;CF199&amp;CG199&amp;CH199</f>
        <v/>
      </c>
      <c r="CA199" s="200" t="n"/>
      <c r="CB199" s="200" t="n"/>
      <c r="CC199" s="200" t="n"/>
      <c r="CD199" s="200" t="n"/>
      <c r="CE199" s="200" t="n"/>
      <c r="CF199" s="200" t="n"/>
      <c r="CG199" s="200" t="n"/>
      <c r="CH199" s="200" t="n"/>
      <c r="CO199" s="200" t="n"/>
      <c r="CP199" s="200" t="n"/>
      <c r="CQ199" s="200" t="n"/>
      <c r="CR199" s="200" t="n"/>
      <c r="CS199" s="200" t="n"/>
      <c r="CT199" s="200" t="n"/>
      <c r="CU199" s="200" t="n"/>
      <c r="CV199" s="200" t="n"/>
    </row>
    <row r="200" ht="24" customHeight="1" s="8286">
      <c r="A200" s="2899" t="n"/>
      <c r="B200" s="2899" t="n"/>
      <c r="C200" s="2931" t="inlineStr">
        <is>
          <t>Total Egreso/Altas integrales (no Incluye Prótesis Removible)</t>
        </is>
      </c>
      <c r="D200" s="2932">
        <f>SUM(E200)</f>
        <v/>
      </c>
      <c r="E200" s="2933">
        <f>SUM(AC200+AE200+AG200+AI200+AK200+AM200+AO200)</f>
        <v/>
      </c>
      <c r="F200" s="2934" t="n"/>
      <c r="G200" s="1372" t="n"/>
      <c r="H200" s="1317" t="n"/>
      <c r="I200" s="2071" t="n"/>
      <c r="J200" s="1317" t="n"/>
      <c r="K200" s="2071" t="n"/>
      <c r="L200" s="1317" t="n"/>
      <c r="M200" s="2071" t="n"/>
      <c r="N200" s="1317" t="n"/>
      <c r="O200" s="2071" t="n"/>
      <c r="P200" s="1317" t="n"/>
      <c r="Q200" s="2071" t="n"/>
      <c r="R200" s="1317" t="n"/>
      <c r="S200" s="2071" t="n"/>
      <c r="T200" s="1317" t="n"/>
      <c r="U200" s="2071" t="n"/>
      <c r="V200" s="1317" t="n"/>
      <c r="W200" s="2071" t="n"/>
      <c r="X200" s="1317" t="n"/>
      <c r="Y200" s="2071" t="n"/>
      <c r="Z200" s="1317" t="n"/>
      <c r="AA200" s="2071" t="n"/>
      <c r="AB200" s="1317" t="n"/>
      <c r="AC200" s="2935" t="n"/>
      <c r="AD200" s="2825" t="n"/>
      <c r="AE200" s="2935" t="n"/>
      <c r="AF200" s="2825" t="n"/>
      <c r="AG200" s="2935" t="n"/>
      <c r="AH200" s="2825" t="n"/>
      <c r="AI200" s="2935" t="n"/>
      <c r="AJ200" s="2825" t="n"/>
      <c r="AK200" s="2935" t="n"/>
      <c r="AL200" s="2825" t="n"/>
      <c r="AM200" s="2936" t="n"/>
      <c r="AN200" s="2913" t="n"/>
      <c r="AO200" s="2937" t="n"/>
      <c r="AP200" s="2825" t="n"/>
      <c r="AQ200" s="5221" t="n"/>
      <c r="AR200" s="2913" t="n"/>
      <c r="AS200" s="5274" t="n"/>
      <c r="AT200" s="2937" t="n"/>
      <c r="AU200" s="2913" t="n"/>
      <c r="AV200" s="5278" t="n"/>
      <c r="AW200" s="2913" t="n"/>
      <c r="AX200" s="2825" t="n"/>
      <c r="AY200">
        <f>CA200&amp;CB200&amp;CC200&amp;CD200&amp;CE200&amp;CF200&amp;CG200&amp;CH200</f>
        <v/>
      </c>
      <c r="CA200" s="200" t="n"/>
      <c r="CB200" s="200" t="n"/>
      <c r="CC200" s="200" t="n"/>
      <c r="CD200" s="200" t="n"/>
      <c r="CE200" s="200" t="n"/>
      <c r="CF200" s="200" t="n"/>
      <c r="CG200" s="200" t="n"/>
      <c r="CH200" s="200" t="n"/>
      <c r="CO200" s="200" t="n"/>
      <c r="CP200" s="200" t="n"/>
      <c r="CQ200" s="200" t="n"/>
      <c r="CR200" s="200" t="n"/>
      <c r="CS200" s="200" t="n"/>
      <c r="CT200" s="200" t="n"/>
      <c r="CU200" s="200" t="n"/>
      <c r="CV200" s="200" t="n"/>
    </row>
    <row r="201" ht="15" customHeight="1" s="8286">
      <c r="A201" s="10267" t="inlineStr">
        <is>
          <t xml:space="preserve">Estrategia atención odontológica en domicilio </t>
        </is>
      </c>
      <c r="B201" s="10268" t="inlineStr">
        <is>
          <t xml:space="preserve">Altas odontológicas </t>
        </is>
      </c>
      <c r="C201" s="2938" t="inlineStr">
        <is>
          <t xml:space="preserve">TOTAL ALTAS </t>
        </is>
      </c>
      <c r="D201" s="2939">
        <f>SUM(E201:F201)</f>
        <v/>
      </c>
      <c r="E201" s="2912">
        <f>+G201+I201+K201+M201+O201+Q201+S201+U201+W201+Y201+AA201+AC201+AE201+AG201+AI201+AK201+AM201+AO201</f>
        <v/>
      </c>
      <c r="F201" s="2674">
        <f>+H201+J201+L201+N201+P201+R201+T201+V201+X201+Z201+AB201+AD201+AF201+AH201+AJ201+AL201+AN201+AP201</f>
        <v/>
      </c>
      <c r="G201" s="2940">
        <f>SUM(G202:G203)</f>
        <v/>
      </c>
      <c r="H201" s="361">
        <f>SUM(H202:H203)</f>
        <v/>
      </c>
      <c r="I201" s="2940">
        <f>SUM(I202:I203)</f>
        <v/>
      </c>
      <c r="J201" s="361">
        <f>SUM(J202:J203)</f>
        <v/>
      </c>
      <c r="K201" s="2940">
        <f>SUM(K202:K203)</f>
        <v/>
      </c>
      <c r="L201" s="361">
        <f>SUM(L202:L203)</f>
        <v/>
      </c>
      <c r="M201" s="2940">
        <f>SUM(M202:M203)</f>
        <v/>
      </c>
      <c r="N201" s="361">
        <f>SUM(N202:N203)</f>
        <v/>
      </c>
      <c r="O201" s="2940">
        <f>SUM(O202:O203)</f>
        <v/>
      </c>
      <c r="P201" s="361">
        <f>SUM(P202:P203)</f>
        <v/>
      </c>
      <c r="Q201" s="2940">
        <f>SUM(Q202:Q203)</f>
        <v/>
      </c>
      <c r="R201" s="361">
        <f>SUM(R202:R203)</f>
        <v/>
      </c>
      <c r="S201" s="2940">
        <f>SUM(S202:S203)</f>
        <v/>
      </c>
      <c r="T201" s="361">
        <f>SUM(T202:T203)</f>
        <v/>
      </c>
      <c r="U201" s="2940">
        <f>SUM(U202:U203)</f>
        <v/>
      </c>
      <c r="V201" s="361">
        <f>SUM(V202:V203)</f>
        <v/>
      </c>
      <c r="W201" s="2940">
        <f>SUM(W202:W203)</f>
        <v/>
      </c>
      <c r="X201" s="361">
        <f>SUM(X202:X203)</f>
        <v/>
      </c>
      <c r="Y201" s="2940">
        <f>SUM(Y202:Y203)</f>
        <v/>
      </c>
      <c r="Z201" s="361">
        <f>SUM(Z202:Z203)</f>
        <v/>
      </c>
      <c r="AA201" s="2940">
        <f>SUM(AA202:AA203)</f>
        <v/>
      </c>
      <c r="AB201" s="2941">
        <f>SUM(AB202:AB203)</f>
        <v/>
      </c>
      <c r="AC201" s="2942">
        <f>SUM(AC202:AC203)</f>
        <v/>
      </c>
      <c r="AD201" s="2941">
        <f>SUM(AD202:AD203)</f>
        <v/>
      </c>
      <c r="AE201" s="2942">
        <f>SUM(AE202:AE203)</f>
        <v/>
      </c>
      <c r="AF201" s="2941">
        <f>SUM(AF202:AF203)</f>
        <v/>
      </c>
      <c r="AG201" s="2942">
        <f>SUM(AG202:AG203)</f>
        <v/>
      </c>
      <c r="AH201" s="2941">
        <f>SUM(AH202:AH203)</f>
        <v/>
      </c>
      <c r="AI201" s="2942">
        <f>SUM(AI202:AI203)</f>
        <v/>
      </c>
      <c r="AJ201" s="2941">
        <f>SUM(AJ202:AJ203)</f>
        <v/>
      </c>
      <c r="AK201" s="2942">
        <f>SUM(AK202:AK203)</f>
        <v/>
      </c>
      <c r="AL201" s="2941">
        <f>SUM(AL202:AL203)</f>
        <v/>
      </c>
      <c r="AM201" s="2942">
        <f>SUM(AM202:AM203)</f>
        <v/>
      </c>
      <c r="AN201" s="2941">
        <f>SUM(AN202:AN203)</f>
        <v/>
      </c>
      <c r="AO201" s="2942">
        <f>SUM(AO202:AO203)</f>
        <v/>
      </c>
      <c r="AP201" s="2941">
        <f>SUM(AP202:AP203)</f>
        <v/>
      </c>
      <c r="AQ201" s="5256">
        <f>SUM(AQ202:AQ203)</f>
        <v/>
      </c>
      <c r="AR201" s="3922">
        <f>SUM(AR202:AR203)</f>
        <v/>
      </c>
      <c r="AS201" s="5275">
        <f>SUM(AS202:AS203)</f>
        <v/>
      </c>
      <c r="AT201" s="3922">
        <f>SUM(AT202:AT203)</f>
        <v/>
      </c>
      <c r="AU201" s="3922">
        <f>SUM(AU202:AU203)</f>
        <v/>
      </c>
      <c r="AV201" s="5275">
        <f>SUM(AV202:AV203)</f>
        <v/>
      </c>
      <c r="AW201" s="3922">
        <f>SUM(AW202:AW203)</f>
        <v/>
      </c>
      <c r="AX201" s="2941">
        <f>SUM(AX202:AX203)</f>
        <v/>
      </c>
      <c r="CA201" s="20">
        <f>IF(AND($D201&gt;0,AQ201=""),"  * No olvide digitar la variable Compra de servicio. Digite Cero si no tiene.","")</f>
        <v/>
      </c>
      <c r="CC201" s="20">
        <f>IF(AND($D201&gt;0,AS201=""),"  * No olvide digitar la variable "&amp;AS$176&amp;". Digite Cero si no tiene.",IF(AS201&gt;D201," * La variable "&amp;AS$176&amp;"no pueden superar el Total Ambos Sexos.",""))</f>
        <v/>
      </c>
    </row>
    <row r="202" ht="15" customHeight="1" s="8286">
      <c r="A202" s="9588" t="n"/>
      <c r="B202" s="9588" t="n"/>
      <c r="C202" s="2943" t="inlineStr">
        <is>
          <t xml:space="preserve">Altas personas con dependencia severa </t>
        </is>
      </c>
      <c r="D202" s="2896">
        <f>SUM(E202:F202)</f>
        <v/>
      </c>
      <c r="E202" s="2929">
        <f>+G202+I202+K202+M202+O202+Q202+S202+U202+W202+Y202+AA202+AC202+AE202+AG202+AI202+AK202+AM202+AO202</f>
        <v/>
      </c>
      <c r="F202" s="2944">
        <f>+H202+J202+L202+N202+P202+R202+T202+V202+X202+Z202+AB202+AD202+AF202+AH202+AJ202+AL202+AN202+AP202</f>
        <v/>
      </c>
      <c r="G202" s="2267" t="n"/>
      <c r="H202" s="2337" t="n"/>
      <c r="I202" s="2266" t="n"/>
      <c r="J202" s="2336" t="n"/>
      <c r="K202" s="2266" t="n"/>
      <c r="L202" s="2399" t="n"/>
      <c r="M202" s="2266" t="n"/>
      <c r="N202" s="2337" t="n"/>
      <c r="O202" s="2266" t="n"/>
      <c r="P202" s="1186" t="n"/>
      <c r="Q202" s="2266" t="n"/>
      <c r="R202" s="1186" t="n"/>
      <c r="S202" s="2266" t="n"/>
      <c r="T202" s="1186" t="n"/>
      <c r="U202" s="2266" t="n"/>
      <c r="V202" s="1186" t="n"/>
      <c r="W202" s="2266" t="n"/>
      <c r="X202" s="1186" t="n"/>
      <c r="Y202" s="2266" t="n"/>
      <c r="Z202" s="1186" t="n"/>
      <c r="AA202" s="1935" t="n"/>
      <c r="AB202" s="1186" t="n"/>
      <c r="AC202" s="1935" t="n"/>
      <c r="AD202" s="1186" t="n"/>
      <c r="AE202" s="1935" t="n"/>
      <c r="AF202" s="1186" t="n"/>
      <c r="AG202" s="1935" t="n"/>
      <c r="AH202" s="1186" t="n"/>
      <c r="AI202" s="1935" t="n"/>
      <c r="AJ202" s="1186" t="n"/>
      <c r="AK202" s="1935" t="n"/>
      <c r="AL202" s="1186" t="n"/>
      <c r="AM202" s="1935" t="n"/>
      <c r="AN202" s="1186" t="n"/>
      <c r="AO202" s="1935" t="n"/>
      <c r="AP202" s="1186" t="n"/>
      <c r="AQ202" s="5214" t="n"/>
      <c r="AR202" s="1964" t="n"/>
      <c r="AS202" s="36" t="n"/>
      <c r="AT202" s="1964" t="n"/>
      <c r="AU202" s="1964" t="n"/>
      <c r="AV202" s="36" t="n"/>
      <c r="AW202" s="1964" t="n"/>
      <c r="AX202" s="1186" t="n"/>
      <c r="AY202">
        <f>CA202&amp;CB202&amp;CC202&amp;CD202&amp;CE202&amp;CF202&amp;CG202&amp;CH202</f>
        <v/>
      </c>
      <c r="CA202" s="196">
        <f>IF(AND($D202&gt;0,AQ202=""),"  * No olvide digitar la variable Compra de servicio. Digite Cero si no tiene.","")</f>
        <v/>
      </c>
      <c r="CB202" s="196">
        <f>IF(AND($D202&gt;0,AR202="")," * No olvide digitar la variable Usuario con Discapacidad. Digite Cero si no tiene.",IF(AR202&gt;$D202," * La variable Usuario con Discapacidad no pueden superar el Total Ambos Sexos.",""))</f>
        <v/>
      </c>
      <c r="CC202" s="196">
        <f>IF(AND($D202&gt;0,AS202=""),"  * No olvide digitar la variable "&amp;AS$176&amp;". Digite Cero si no tiene.",IF(AS202&gt;D202," * La variable "&amp;AS$176&amp;"no pueden superar el Total Ambos Sexos.",""))</f>
        <v/>
      </c>
      <c r="CD202" s="196">
        <f>IF(AND($D202&gt;0,AT202="")," * No olvide digitar la variable "&amp;AT$176&amp;". Digite Cero si no tiene.",IF(AT202&gt;$D202," * La variable "&amp;AT$176&amp;" no pueden superar el Total Ambos Sexos.",""))</f>
        <v/>
      </c>
      <c r="CE202" s="196">
        <f>IF(AND($D202&gt;0,AU202="")," * No olvide digitar la variable Migrantes. Digite Cero si no tiene.",IF(AU202&gt;$D202," * La variable Migrantes no pueden superar el Total Ambos Sexos.",""))</f>
        <v/>
      </c>
      <c r="CF202" s="196">
        <f>IF(AND($D202&gt;0,AV202="")," * No olvide digitar la variable Egreso por Abandono. Digite Cero si no tiene.",IF(AV202&gt;$D202," * La variable Egreso por Abandono no pueden superar el Total Ambos Sexos.",""))</f>
        <v/>
      </c>
      <c r="CG202" s="196">
        <f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>
        <f>IF(AND($D202&gt;0,AX202=""),"  * No olvide digitar la variable Pueblos Originarios. Digite Cero si no tiene.",IF(AX202&gt;$D202," * La variable Pueblos Originarios no pueden superar el Total Ambos Sexos.",""))</f>
        <v/>
      </c>
      <c r="CO202" s="197">
        <f>IF(AND($D202&gt;0,AQ202=""),1,0)</f>
        <v/>
      </c>
      <c r="CP202" s="197">
        <f>IF(AND($D202&gt;0,AR202=""),1,IF(AR202&gt;$D202,1,0))</f>
        <v/>
      </c>
      <c r="CQ202" s="197">
        <f>IF(AND($D202&gt;0,AS202=""),1,IF(AS202&gt;$D202,1,0))</f>
        <v/>
      </c>
      <c r="CR202" s="197">
        <f>IF(AND(D202&gt;0,AT202=""),1,IF(AT202&gt;D202,1,0))</f>
        <v/>
      </c>
      <c r="CS202" s="197">
        <f>IF(AND($D202&gt;0,AU202=""),1,IF(AU202&gt;$D202,1,0))</f>
        <v/>
      </c>
      <c r="CT202" s="197">
        <f>IF(AND($D202&gt;0,AV202=""),1,IF(AV202&gt;$D202,1,0))</f>
        <v/>
      </c>
      <c r="CU202" s="197">
        <f>IF(AND($D202&gt;0,AW202=""),1,IF(AW202&gt;$D202,1,0))</f>
        <v/>
      </c>
      <c r="CV202" s="197">
        <f>IF(AND($D202&gt;0,AX202=""),1,IF(AX202&gt;$D202,1,0))</f>
        <v/>
      </c>
    </row>
    <row r="203" ht="21" customHeight="1" s="8286">
      <c r="A203" s="9589" t="n"/>
      <c r="B203" s="9589" t="n"/>
      <c r="C203" s="2945" t="inlineStr">
        <is>
          <t xml:space="preserve">Altas cuidadores personas con dependencia </t>
        </is>
      </c>
      <c r="D203" s="2946">
        <f>SUM(E203:F203)</f>
        <v/>
      </c>
      <c r="E203" s="1203">
        <f>+G203+I203+K203+M203+O203+Q203+S203+U203+W203+Y203+AA203+AC203+AE203+AG203+AI203+AK203+AM203+AO203</f>
        <v/>
      </c>
      <c r="F203" s="2947">
        <f>+H203+J203+L203+N203+P203+R203+T203+V203+X203+Z203+AB203+AD203+AF203+AH203+AJ203+AL203+AN203+AP203</f>
        <v/>
      </c>
      <c r="G203" s="1193" t="n"/>
      <c r="H203" s="1119" t="n"/>
      <c r="I203" s="1188" t="n"/>
      <c r="J203" s="1192" t="n"/>
      <c r="K203" s="1188" t="n"/>
      <c r="L203" s="1227" t="n"/>
      <c r="M203" s="1188" t="n"/>
      <c r="N203" s="1119" t="n"/>
      <c r="O203" s="1188" t="n"/>
      <c r="P203" s="1192" t="n"/>
      <c r="Q203" s="1188" t="n"/>
      <c r="R203" s="1192" t="n"/>
      <c r="S203" s="1188" t="n"/>
      <c r="T203" s="1192" t="n"/>
      <c r="U203" s="1188" t="n"/>
      <c r="V203" s="1192" t="n"/>
      <c r="W203" s="1188" t="n"/>
      <c r="X203" s="1192" t="n"/>
      <c r="Y203" s="1188" t="n"/>
      <c r="Z203" s="1192" t="n"/>
      <c r="AA203" s="1188" t="n"/>
      <c r="AB203" s="1192" t="n"/>
      <c r="AC203" s="1188" t="n"/>
      <c r="AD203" s="1192" t="n"/>
      <c r="AE203" s="1188" t="n"/>
      <c r="AF203" s="1192" t="n"/>
      <c r="AG203" s="1188" t="n"/>
      <c r="AH203" s="1192" t="n"/>
      <c r="AI203" s="1188" t="n"/>
      <c r="AJ203" s="1192" t="n"/>
      <c r="AK203" s="1188" t="n"/>
      <c r="AL203" s="1192" t="n"/>
      <c r="AM203" s="1188" t="n"/>
      <c r="AN203" s="1192" t="n"/>
      <c r="AO203" s="1188" t="n"/>
      <c r="AP203" s="1192" t="n"/>
      <c r="AQ203" s="5249" t="n"/>
      <c r="AR203" s="1223" t="n"/>
      <c r="AS203" s="1227" t="n"/>
      <c r="AT203" s="1223" t="n"/>
      <c r="AU203" s="1223" t="n"/>
      <c r="AV203" s="1227" t="n"/>
      <c r="AW203" s="1223" t="n"/>
      <c r="AX203" s="1192" t="n"/>
      <c r="AY203">
        <f>CA203&amp;CB203&amp;CC203&amp;CD203&amp;CE203&amp;CF203&amp;CG203&amp;CH203</f>
        <v/>
      </c>
      <c r="CA203" s="196">
        <f>IF(AND($D203&gt;0,AQ203=""),"  * No olvide digitar la variable Compra de servicio. Digite Cero si no tiene.","")</f>
        <v/>
      </c>
      <c r="CB203" s="196">
        <f>IF(AND($D203&gt;0,AR203="")," * No olvide digitar la variable Usuario con Discapacidad. Digite Cero si no tiene.",IF(AR203&gt;$D203," * La variable Usuario con Discapacidad no pueden superar el Total Ambos Sexos.",""))</f>
        <v/>
      </c>
      <c r="CC203" s="196">
        <f>IF(AND($D203&gt;0,AS203=""),"  * No olvide digitar la variable "&amp;AS$176&amp;". Digite Cero si no tiene.",IF(AS203&gt;D203," * La variable "&amp;AS$176&amp;"no pueden superar el Total Ambos Sexos.",""))</f>
        <v/>
      </c>
      <c r="CD203" s="196">
        <f>IF(AND($D203&gt;0,AT203="")," * No olvide digitar la variable "&amp;AT$176&amp;". Digite Cero si no tiene.",IF(AT203&gt;$D203," * La variable "&amp;AT$176&amp;" no pueden superar el Total Ambos Sexos.",""))</f>
        <v/>
      </c>
      <c r="CE203" s="196">
        <f>IF(AND($D203&gt;0,AU203="")," * No olvide digitar la variable Migrantes. Digite Cero si no tiene.",IF(AU203&gt;$D203," * La variable Migrantes no pueden superar el Total Ambos Sexos.",""))</f>
        <v/>
      </c>
      <c r="CF203" s="196">
        <f>IF(AND($D203&gt;0,AV203="")," * No olvide digitar la variable Egreso por Abandono. Digite Cero si no tiene.",IF(AV203&gt;$D203," * La variable Egreso por Abandono no pueden superar el Total Ambos Sexos.",""))</f>
        <v/>
      </c>
      <c r="CG203" s="196">
        <f>IF(AND($D203&gt;0,AW203=""),"  * No olvide digitar la variable Persona con ingreso integral y condición crónica. Digite Cero si no tiene.",IF(AW203&gt;$D203," * La variable Persona con ingreso integral y condición crónica no pueden superar el Total Ambos Sexos.",""))</f>
        <v/>
      </c>
      <c r="CH203" s="196">
        <f>IF(AND($D203&gt;0,AX203=""),"  * No olvide digitar la variable Pueblos Originarios. Digite Cero si no tiene.",IF(AX203&gt;$D203," * La variable Pueblos Originarios no pueden superar el Total Ambos Sexos.",""))</f>
        <v/>
      </c>
      <c r="CO203" s="197">
        <f>IF(AND($D203&gt;0,AQ203=""),1,0)</f>
        <v/>
      </c>
      <c r="CP203" s="197">
        <f>IF(AND($D203&gt;0,AR203=""),1,IF(AR203&gt;$D203,1,0))</f>
        <v/>
      </c>
      <c r="CQ203" s="197">
        <f>IF(AND($D203&gt;0,AS203=""),1,IF(AS203&gt;$D203,1,0))</f>
        <v/>
      </c>
      <c r="CR203" s="197">
        <f>IF(AND(D203&gt;0,AT203=""),1,IF(AT203&gt;D203,1,0))</f>
        <v/>
      </c>
      <c r="CS203" s="197">
        <f>IF(AND($D203&gt;0,AU203=""),1,IF(AU203&gt;$D203,1,0))</f>
        <v/>
      </c>
      <c r="CT203" s="197">
        <f>IF(AND($D203&gt;0,AV203=""),1,IF(AV203&gt;$D203,1,0))</f>
        <v/>
      </c>
      <c r="CU203" s="197">
        <f>IF(AND($D203&gt;0,AW203=""),1,IF(AW203&gt;$D203,1,0))</f>
        <v/>
      </c>
      <c r="CV203" s="197">
        <f>IF(AND($D203&gt;0,AX203=""),1,IF(AX203&gt;$D203,1,0))</f>
        <v/>
      </c>
    </row>
    <row r="204" ht="15" customHeight="1" s="8286">
      <c r="A204" s="10267" t="inlineStr">
        <is>
          <t>Estrategia resolución de especialidad en APS</t>
        </is>
      </c>
      <c r="B204" s="10236" t="inlineStr">
        <is>
          <t xml:space="preserve">Tratamiento endodoncia </t>
        </is>
      </c>
      <c r="C204" s="8052" t="inlineStr">
        <is>
          <t xml:space="preserve">N° Pacientes </t>
        </is>
      </c>
      <c r="D204" s="2896">
        <f>SUM(E204+F204)</f>
        <v/>
      </c>
      <c r="E204" s="2929">
        <f>SUM(AA204+AC204+AE204+AG204+AI204+AK204+AM204+AO204)</f>
        <v/>
      </c>
      <c r="F204" s="2948">
        <f>SUM(AB204+AD204+AF204+AH204+AJ204+AL204+AN204+AP204)</f>
        <v/>
      </c>
      <c r="G204" s="2878" t="n"/>
      <c r="H204" s="2879" t="n"/>
      <c r="I204" s="2878" t="n"/>
      <c r="J204" s="2879" t="n"/>
      <c r="K204" s="2878" t="n"/>
      <c r="L204" s="2879" t="n"/>
      <c r="M204" s="2878" t="n"/>
      <c r="N204" s="2879" t="n"/>
      <c r="O204" s="2878" t="n"/>
      <c r="P204" s="2879" t="n"/>
      <c r="Q204" s="2878" t="n"/>
      <c r="R204" s="2879" t="n"/>
      <c r="S204" s="2878" t="n"/>
      <c r="T204" s="2879" t="n"/>
      <c r="U204" s="2878" t="n"/>
      <c r="V204" s="2879" t="n"/>
      <c r="W204" s="2878" t="n"/>
      <c r="X204" s="2879" t="n"/>
      <c r="Y204" s="2878" t="n"/>
      <c r="Z204" s="2879" t="n"/>
      <c r="AA204" s="1432" t="n"/>
      <c r="AB204" s="1186" t="n"/>
      <c r="AC204" s="1935" t="n"/>
      <c r="AD204" s="1186" t="n"/>
      <c r="AE204" s="1935" t="n"/>
      <c r="AF204" s="1186" t="n"/>
      <c r="AG204" s="1935" t="n"/>
      <c r="AH204" s="1186" t="n"/>
      <c r="AI204" s="1935" t="n"/>
      <c r="AJ204" s="1186" t="n"/>
      <c r="AK204" s="1935" t="n"/>
      <c r="AL204" s="1186" t="n"/>
      <c r="AM204" s="1935" t="n"/>
      <c r="AN204" s="1186" t="n"/>
      <c r="AO204" s="1935" t="n"/>
      <c r="AP204" s="1186" t="n"/>
      <c r="AQ204" s="5214" t="n"/>
      <c r="AR204" s="1964" t="n"/>
      <c r="AS204" s="36" t="n"/>
      <c r="AT204" s="1964" t="n"/>
      <c r="AU204" s="1964" t="n"/>
      <c r="AV204" s="36" t="n"/>
      <c r="AW204" s="1964" t="n"/>
      <c r="AX204" s="1186" t="n"/>
      <c r="AY204">
        <f>CA204&amp;CB204&amp;CC204&amp;CD204&amp;CE204&amp;CF204&amp;CG204&amp;CH204</f>
        <v/>
      </c>
      <c r="CA204" s="196">
        <f>IF(AND($D204&gt;0,AQ204=""),"  * No olvide digitar la variable Compra de servicio. Digite Cero si no tiene.","")</f>
        <v/>
      </c>
      <c r="CB204" s="196">
        <f>IF(AND($D204&gt;0,AR204="")," * No olvide digitar la variable Usuario con Discapacidad. Digite Cero si no tiene.",IF(AR204&gt;$D204," * La variable Usuario con Discapacidad no pueden superar el Total Ambos Sexos.",""))</f>
        <v/>
      </c>
      <c r="CC204" s="196">
        <f>IF(AND($D204&gt;0,AS204=""),"  * No olvide digitar la variable "&amp;AS$176&amp;". Digite Cero si no tiene.",IF(AS204&gt;D204," * La variable "&amp;AS$176&amp;"no pueden superar el Total Ambos Sexos.",""))</f>
        <v/>
      </c>
      <c r="CD204" s="196">
        <f>IF(AND($D204&gt;0,AT204="")," * No olvide digitar la variable "&amp;AT$176&amp;". Digite Cero si no tiene.",IF(AT204&gt;$D204," * La variable "&amp;AT$176&amp;" no pueden superar el Total Ambos Sexos.",""))</f>
        <v/>
      </c>
      <c r="CE204" s="196">
        <f>IF(AND($D204&gt;0,AU204="")," * No olvide digitar la variable Migrantes. Digite Cero si no tiene.",IF(AU204&gt;$D204," * La variable Migrantes no pueden superar el Total Ambos Sexos.",""))</f>
        <v/>
      </c>
      <c r="CF204" s="196">
        <f>IF(AND($D204&gt;0,AV204="")," * No olvide digitar la variable Egreso por Abandono. Digite Cero si no tiene.",IF(AV204&gt;$D204," * La variable Egreso por Abandono no pueden superar el Total Ambos Sexos.",""))</f>
        <v/>
      </c>
      <c r="CG204" s="196">
        <f>IF(AND($D204&gt;0,AW204=""),"  * No olvide digitar la variable Persona con ingreso integral y condición crónica. Digite Cero si no tiene.",IF(AW204&gt;$D204," * La variable Persona con ingreso integral y condición crónica no pueden superar el Total Ambos Sexos.",""))</f>
        <v/>
      </c>
      <c r="CH204" s="196">
        <f>IF(AND($D204&gt;0,AX204=""),"  * No olvide digitar la variable Pueblos Originarios. Digite Cero si no tiene.",IF(AX204&gt;$D204," * La variable Pueblos Originarios no pueden superar el Total Ambos Sexos.",""))</f>
        <v/>
      </c>
      <c r="CO204" s="197">
        <f>IF(AND($D204&gt;0,AQ204=""),1,0)</f>
        <v/>
      </c>
      <c r="CP204" s="197">
        <f>IF(AND($D204&gt;0,AR204=""),1,IF(AR204&gt;$D204,1,0))</f>
        <v/>
      </c>
      <c r="CQ204" s="197">
        <f>IF(AND($D204&gt;0,AS204=""),1,IF(AS204&gt;$D204,1,0))</f>
        <v/>
      </c>
      <c r="CR204" s="197">
        <f>IF(AND(D204&gt;0,AT204=""),1,IF(AT204&gt;D204,1,0))</f>
        <v/>
      </c>
      <c r="CS204" s="197">
        <f>IF(AND($D204&gt;0,AU204=""),1,IF(AU204&gt;$D204,1,0))</f>
        <v/>
      </c>
      <c r="CT204" s="197">
        <f>IF(AND($D204&gt;0,AV204=""),1,IF(AV204&gt;$D204,1,0))</f>
        <v/>
      </c>
      <c r="CU204" s="197">
        <f>IF(AND($D204&gt;0,AW204=""),1,IF(AW204&gt;$D204,1,0))</f>
        <v/>
      </c>
      <c r="CV204" s="197">
        <f>IF(AND($D204&gt;0,AX204=""),1,IF(AX204&gt;$D204,1,0))</f>
        <v/>
      </c>
    </row>
    <row r="205" ht="15" customHeight="1" s="8286">
      <c r="A205" s="9588" t="n"/>
      <c r="B205" s="9588" t="n"/>
      <c r="C205" s="8053" t="inlineStr">
        <is>
          <t xml:space="preserve">N° Dientes tratados por odontólogo general </t>
        </is>
      </c>
      <c r="D205" s="2887">
        <f>SUM(E205+F205)</f>
        <v/>
      </c>
      <c r="E205" s="2929">
        <f>SUM(AA205+AC205+AE205+AG205+AI205+AK205+AM205+AO205)</f>
        <v/>
      </c>
      <c r="F205" s="2948">
        <f>SUM(AB205+AD205+AF205+AH205+AJ205+AL205+AN205+AP205)</f>
        <v/>
      </c>
      <c r="G205" s="1942" t="n"/>
      <c r="H205" s="890" t="n"/>
      <c r="I205" s="1942" t="n"/>
      <c r="J205" s="890" t="n"/>
      <c r="K205" s="1942" t="n"/>
      <c r="L205" s="890" t="n"/>
      <c r="M205" s="1942" t="n"/>
      <c r="N205" s="890" t="n"/>
      <c r="O205" s="1942" t="n"/>
      <c r="P205" s="890" t="n"/>
      <c r="Q205" s="1942" t="n"/>
      <c r="R205" s="890" t="n"/>
      <c r="S205" s="1942" t="n"/>
      <c r="T205" s="890" t="n"/>
      <c r="U205" s="1942" t="n"/>
      <c r="V205" s="890" t="n"/>
      <c r="W205" s="1942" t="n"/>
      <c r="X205" s="890" t="n"/>
      <c r="Y205" s="1942" t="n"/>
      <c r="Z205" s="890" t="n"/>
      <c r="AA205" s="204" t="n"/>
      <c r="AB205" s="2057" t="n"/>
      <c r="AC205" s="645" t="n"/>
      <c r="AD205" s="2057" t="n"/>
      <c r="AE205" s="645" t="n"/>
      <c r="AF205" s="2057" t="n"/>
      <c r="AG205" s="645" t="n"/>
      <c r="AH205" s="2057" t="n"/>
      <c r="AI205" s="645" t="n"/>
      <c r="AJ205" s="2057" t="n"/>
      <c r="AK205" s="645" t="n"/>
      <c r="AL205" s="2057" t="n"/>
      <c r="AM205" s="645" t="n"/>
      <c r="AN205" s="2057" t="n"/>
      <c r="AO205" s="645" t="n"/>
      <c r="AP205" s="2057" t="n"/>
      <c r="AQ205" s="5247" t="n"/>
      <c r="AR205" s="670" t="n"/>
      <c r="AS205" s="37" t="n"/>
      <c r="AT205" s="670" t="n"/>
      <c r="AU205" s="670" t="n"/>
      <c r="AV205" s="5271" t="n"/>
      <c r="AW205" s="670" t="n"/>
      <c r="AX205" s="2057" t="n"/>
      <c r="AY205">
        <f>CA205&amp;CB205&amp;CC205&amp;CD205&amp;CE205&amp;CF205&amp;CG205&amp;CH205</f>
        <v/>
      </c>
      <c r="CA205" s="196">
        <f>IF(AND($D205&gt;0,AQ205=""),"  * No olvide digitar la variable Compra de servicio. Digite Cero si no tiene.","")</f>
        <v/>
      </c>
      <c r="CB205" s="196">
        <f>IF(AND($D205&gt;0,AR205="")," * No olvide digitar la variable Usuario con Discapacidad. Digite Cero si no tiene.",IF(AR205&gt;$D205," * La variable Usuario con Discapacidad no pueden superar el Total Ambos Sexos.",""))</f>
        <v/>
      </c>
      <c r="CC205" s="196">
        <f>IF(AND($D205&gt;0,AS205=""),"  * No olvide digitar la variable "&amp;AS$176&amp;". Digite Cero si no tiene.",IF(AS205&gt;D205," * La variable "&amp;AS$176&amp;"no pueden superar el Total Ambos Sexos.",""))</f>
        <v/>
      </c>
      <c r="CD205" s="196">
        <f>IF(AND($D205&gt;0,AT205="")," * No olvide digitar la variable "&amp;AT$176&amp;". Digite Cero si no tiene.",IF(AT205&gt;$D205," * La variable "&amp;AT$176&amp;" no pueden superar el Total Ambos Sexos.",""))</f>
        <v/>
      </c>
      <c r="CE205" s="196">
        <f>IF(AND($D205&gt;0,AU205="")," * No olvide digitar la variable Migrantes. Digite Cero si no tiene.",IF(AU205&gt;$D205," * La variable Migrantes no pueden superar el Total Ambos Sexos.",""))</f>
        <v/>
      </c>
      <c r="CF205" s="201" t="n"/>
      <c r="CG205" s="196">
        <f>IF(AND($D205&gt;0,AW205=""),"  * No olvide digitar la variable Persona con ingreso integral y condición crónica. Digite Cero si no tiene.",IF(AW205&gt;$D205," * La variable Persona con ingreso integral y condición crónica no pueden superar el Total Ambos Sexos.",""))</f>
        <v/>
      </c>
      <c r="CH205" s="196">
        <f>IF(AND($D205&gt;0,AX205=""),"  * No olvide digitar la variable Pueblos Originarios. Digite Cero si no tiene.",IF(AX205&gt;$D205," * La variable Pueblos Originarios no pueden superar el Total Ambos Sexos.",""))</f>
        <v/>
      </c>
      <c r="CO205" s="197">
        <f>IF(AND($D205&gt;0,AQ205=""),1,0)</f>
        <v/>
      </c>
      <c r="CP205" s="197">
        <f>IF(AND($D205&gt;0,AR205=""),1,IF(AR205&gt;$D205,1,0))</f>
        <v/>
      </c>
      <c r="CQ205" s="197">
        <f>IF(AND($D205&gt;0,AS205=""),1,IF(AS205&gt;$D205,1,0))</f>
        <v/>
      </c>
      <c r="CR205" s="197">
        <f>IF(AND(D205&gt;0,AT205=""),1,IF(AT205&gt;D205,1,0))</f>
        <v/>
      </c>
      <c r="CS205" s="197">
        <f>IF(AND($D205&gt;0,AU205=""),1,IF(AU205&gt;$D205,1,0))</f>
        <v/>
      </c>
      <c r="CT205" s="201" t="n"/>
      <c r="CU205" s="197">
        <f>IF(AND($D205&gt;0,AW205=""),1,IF(AW205&gt;$D205,1,0))</f>
        <v/>
      </c>
      <c r="CV205" s="197">
        <f>IF(AND($D205&gt;0,AX205=""),1,IF(AX205&gt;$D205,1,0))</f>
        <v/>
      </c>
    </row>
    <row r="206" ht="15" customHeight="1" s="8286">
      <c r="A206" s="9588" t="n"/>
      <c r="B206" s="9589" t="n"/>
      <c r="C206" s="8770" t="inlineStr">
        <is>
          <t xml:space="preserve">N° Dientes tratados por endodoncista </t>
        </is>
      </c>
      <c r="D206" s="2887">
        <f>SUM(E206+F206)</f>
        <v/>
      </c>
      <c r="E206" s="1203">
        <f>SUM(AA206+AC206+AE206+AG206+AI206+AK206+AM206+AO206)</f>
        <v/>
      </c>
      <c r="F206" s="2947">
        <f>SUM(AB206+AD206+AF206+AH206+AJ206+AL206+AN206+AP206)</f>
        <v/>
      </c>
      <c r="G206" s="1942" t="n"/>
      <c r="H206" s="890" t="n"/>
      <c r="I206" s="1942" t="n"/>
      <c r="J206" s="890" t="n"/>
      <c r="K206" s="1942" t="n"/>
      <c r="L206" s="890" t="n"/>
      <c r="M206" s="1942" t="n"/>
      <c r="N206" s="890" t="n"/>
      <c r="O206" s="1942" t="n"/>
      <c r="P206" s="890" t="n"/>
      <c r="Q206" s="1942" t="n"/>
      <c r="R206" s="890" t="n"/>
      <c r="S206" s="1942" t="n"/>
      <c r="T206" s="890" t="n"/>
      <c r="U206" s="1942" t="n"/>
      <c r="V206" s="890" t="n"/>
      <c r="W206" s="1942" t="n"/>
      <c r="X206" s="890" t="n"/>
      <c r="Y206" s="1942" t="n"/>
      <c r="Z206" s="890" t="n"/>
      <c r="AA206" s="1193" t="n"/>
      <c r="AB206" s="1192" t="n"/>
      <c r="AC206" s="1188" t="n"/>
      <c r="AD206" s="1192" t="n"/>
      <c r="AE206" s="1188" t="n"/>
      <c r="AF206" s="1192" t="n"/>
      <c r="AG206" s="1188" t="n"/>
      <c r="AH206" s="1192" t="n"/>
      <c r="AI206" s="1188" t="n"/>
      <c r="AJ206" s="1192" t="n"/>
      <c r="AK206" s="1188" t="n"/>
      <c r="AL206" s="1192" t="n"/>
      <c r="AM206" s="1188" t="n"/>
      <c r="AN206" s="1192" t="n"/>
      <c r="AO206" s="1188" t="n"/>
      <c r="AP206" s="1192" t="n"/>
      <c r="AQ206" s="5249" t="n"/>
      <c r="AR206" s="1223" t="n"/>
      <c r="AS206" s="1227" t="n"/>
      <c r="AT206" s="1223" t="n"/>
      <c r="AU206" s="1223" t="n"/>
      <c r="AV206" s="5274" t="n"/>
      <c r="AW206" s="1223" t="n"/>
      <c r="AX206" s="1192" t="n"/>
      <c r="AY206">
        <f>CA206&amp;CB206&amp;CC206&amp;CD206&amp;CE206&amp;CF206&amp;CG206&amp;CH206</f>
        <v/>
      </c>
      <c r="CA206" s="196">
        <f>IF(AND($D206&gt;0,AQ206=""),"  * No olvide digitar la variable Compra de servicio. Digite Cero si no tiene.","")</f>
        <v/>
      </c>
      <c r="CB206" s="196">
        <f>IF(AND($D206&gt;0,AR206="")," * No olvide digitar la variable Usuario con Discapacidad. Digite Cero si no tiene.",IF(AR206&gt;$D206," * La variable Usuario con Discapacidad no pueden superar el Total Ambos Sexos.",""))</f>
        <v/>
      </c>
      <c r="CC206" s="196">
        <f>IF(AND($D206&gt;0,AS206=""),"  * No olvide digitar la variable "&amp;AS$176&amp;". Digite Cero si no tiene.",IF(AS206&gt;D206," * La variable "&amp;AS$176&amp;"no pueden superar el Total Ambos Sexos.",""))</f>
        <v/>
      </c>
      <c r="CD206" s="196">
        <f>IF(AND($D206&gt;0,AT206="")," * No olvide digitar la variable "&amp;AT$176&amp;". Digite Cero si no tiene.",IF(AT206&gt;$D206," * La variable "&amp;AT$176&amp;" no pueden superar el Total Ambos Sexos.",""))</f>
        <v/>
      </c>
      <c r="CE206" s="196">
        <f>IF(AND($D206&gt;0,AU206="")," * No olvide digitar la variable Migrantes. Digite Cero si no tiene.",IF(AU206&gt;$D206," * La variable Migrantes no pueden superar el Total Ambos Sexos.",""))</f>
        <v/>
      </c>
      <c r="CF206" s="201" t="n"/>
      <c r="CG206" s="196">
        <f>IF(AND($D206&gt;0,AW206=""),"  * No olvide digitar la variable Persona con ingreso integral y condición crónica. Digite Cero si no tiene.",IF(AW206&gt;$D206," * La variable Persona con ingreso integral y condición crónica no pueden superar el Total Ambos Sexos.",""))</f>
        <v/>
      </c>
      <c r="CH206" s="196">
        <f>IF(AND($D206&gt;0,AX206=""),"  * No olvide digitar la variable Pueblos Originarios. Digite Cero si no tiene.",IF(AX206&gt;$D206," * La variable Pueblos Originarios no pueden superar el Total Ambos Sexos.",""))</f>
        <v/>
      </c>
      <c r="CO206" s="197">
        <f>IF(AND($D206&gt;0,AQ206=""),1,0)</f>
        <v/>
      </c>
      <c r="CP206" s="197">
        <f>IF(AND($D206&gt;0,AR206=""),1,IF(AR206&gt;$D206,1,0))</f>
        <v/>
      </c>
      <c r="CQ206" s="197">
        <f>IF(AND($D206&gt;0,AS206=""),1,IF(AS206&gt;$D206,1,0))</f>
        <v/>
      </c>
      <c r="CR206" s="197">
        <f>IF(AND(D206&gt;0,AT206=""),1,IF(AT206&gt;D206,1,0))</f>
        <v/>
      </c>
      <c r="CS206" s="197">
        <f>IF(AND($D206&gt;0,AU206=""),1,IF(AU206&gt;$D206,1,0))</f>
        <v/>
      </c>
      <c r="CT206" s="201" t="n"/>
      <c r="CU206" s="197">
        <f>IF(AND($D206&gt;0,AW206=""),1,IF(AW206&gt;$D206,1,0))</f>
        <v/>
      </c>
      <c r="CV206" s="197">
        <f>IF(AND($D206&gt;0,AX206=""),1,IF(AX206&gt;$D206,1,0))</f>
        <v/>
      </c>
    </row>
    <row r="207" ht="15" customHeight="1" s="8286">
      <c r="A207" s="9588" t="n"/>
      <c r="B207" s="10268" t="inlineStr">
        <is>
          <t xml:space="preserve">Tratamiento de periodoncia </t>
        </is>
      </c>
      <c r="C207" s="2943" t="inlineStr">
        <is>
          <t xml:space="preserve">N° Pacientes </t>
        </is>
      </c>
      <c r="D207" s="2949">
        <f>SUM(E207+F207)</f>
        <v/>
      </c>
      <c r="E207" s="2929">
        <f>SUM(AA207+AC207+AE207+AG207+AI207+AK207+AM207+AO207)</f>
        <v/>
      </c>
      <c r="F207" s="2948">
        <f>SUM(AB207+AD207+AF207+AH207+AJ207+AL207+AN207+AP207)</f>
        <v/>
      </c>
      <c r="G207" s="1942" t="n"/>
      <c r="H207" s="890" t="n"/>
      <c r="I207" s="1942" t="n"/>
      <c r="J207" s="890" t="n"/>
      <c r="K207" s="1942" t="n"/>
      <c r="L207" s="890" t="n"/>
      <c r="M207" s="1942" t="n"/>
      <c r="N207" s="890" t="n"/>
      <c r="O207" s="1942" t="n"/>
      <c r="P207" s="890" t="n"/>
      <c r="Q207" s="1942" t="n"/>
      <c r="R207" s="890" t="n"/>
      <c r="S207" s="1942" t="n"/>
      <c r="T207" s="890" t="n"/>
      <c r="U207" s="1942" t="n"/>
      <c r="V207" s="890" t="n"/>
      <c r="W207" s="1942" t="n"/>
      <c r="X207" s="890" t="n"/>
      <c r="Y207" s="1942" t="n"/>
      <c r="Z207" s="890" t="n"/>
      <c r="AA207" s="2267" t="n"/>
      <c r="AB207" s="2336" t="n"/>
      <c r="AC207" s="2266" t="n"/>
      <c r="AD207" s="2336" t="n"/>
      <c r="AE207" s="2266" t="n"/>
      <c r="AF207" s="2336" t="n"/>
      <c r="AG207" s="2266" t="n"/>
      <c r="AH207" s="2336" t="n"/>
      <c r="AI207" s="2266" t="n"/>
      <c r="AJ207" s="2336" t="n"/>
      <c r="AK207" s="2266" t="n"/>
      <c r="AL207" s="2336" t="n"/>
      <c r="AM207" s="2266" t="n"/>
      <c r="AN207" s="2336" t="n"/>
      <c r="AO207" s="2266" t="n"/>
      <c r="AP207" s="2336" t="n"/>
      <c r="AQ207" s="5213" t="n"/>
      <c r="AR207" s="5189" t="n"/>
      <c r="AS207" s="4512" t="n"/>
      <c r="AT207" s="5189" t="n"/>
      <c r="AU207" s="5189" t="n"/>
      <c r="AV207" s="4512" t="n"/>
      <c r="AW207" s="5189" t="n"/>
      <c r="AX207" s="2336" t="n"/>
      <c r="AY207">
        <f>CA207&amp;CB207&amp;CC207&amp;CD207&amp;CE207&amp;CF207&amp;CG207&amp;CH207</f>
        <v/>
      </c>
      <c r="CA207" s="196">
        <f>IF(AND($D207&gt;0,AQ207=""),"  * No olvide digitar la variable Compra de servicio. Digite Cero si no tiene.","")</f>
        <v/>
      </c>
      <c r="CB207" s="196">
        <f>IF(AND($D207&gt;0,AR207="")," * No olvide digitar la variable Usuario con Discapacidad. Digite Cero si no tiene.",IF(AR207&gt;$D207," * La variable Usuario con Discapacidad no pueden superar el Total Ambos Sexos.",""))</f>
        <v/>
      </c>
      <c r="CC207" s="196">
        <f>IF(AND($D207&gt;0,AS207=""),"  * No olvide digitar la variable "&amp;AS$176&amp;". Digite Cero si no tiene.",IF(AS207&gt;D207," * La variable "&amp;AS$176&amp;"no pueden superar el Total Ambos Sexos.",""))</f>
        <v/>
      </c>
      <c r="CD207" s="196">
        <f>IF(AND($D207&gt;0,AT207="")," * No olvide digitar la variable "&amp;AT$176&amp;". Digite Cero si no tiene.",IF(AT207&gt;$D207," * La variable "&amp;AT$176&amp;" no pueden superar el Total Ambos Sexos.",""))</f>
        <v/>
      </c>
      <c r="CE207" s="196">
        <f>IF(AND($D207&gt;0,AU207="")," * No olvide digitar la variable Migrantes. Digite Cero si no tiene.",IF(AU207&gt;$D207," * La variable Migrantes no pueden superar el Total Ambos Sexos.",""))</f>
        <v/>
      </c>
      <c r="CF207" s="196">
        <f>IF(AND($D207&gt;0,AV207="")," * No olvide digitar la variable Egreso por Abandono. Digite Cero si no tiene.",IF(AV207&gt;$D207," * La variable Egreso por Abandono no pueden superar el Total Ambos Sexos.",""))</f>
        <v/>
      </c>
      <c r="CG207" s="196">
        <f>IF(AND($D207&gt;0,AW207=""),"  * No olvide digitar la variable Persona con ingreso integral y condición crónica. Digite Cero si no tiene.",IF(AW207&gt;$D207," * La variable Persona con ingreso integral y condición crónica no pueden superar el Total Ambos Sexos.",""))</f>
        <v/>
      </c>
      <c r="CH207" s="196">
        <f>IF(AND($D207&gt;0,AX207=""),"  * No olvide digitar la variable Pueblos Originarios. Digite Cero si no tiene.",IF(AX207&gt;$D207," * La variable Pueblos Originarios no pueden superar el Total Ambos Sexos.",""))</f>
        <v/>
      </c>
      <c r="CO207" s="197">
        <f>IF(AND($D207&gt;0,AQ207=""),1,0)</f>
        <v/>
      </c>
      <c r="CP207" s="197">
        <f>IF(AND($D207&gt;0,AR207=""),1,IF(AR207&gt;$D207,1,0))</f>
        <v/>
      </c>
      <c r="CQ207" s="197">
        <f>IF(AND($D207&gt;0,AS207=""),1,IF(AS207&gt;$D207,1,0))</f>
        <v/>
      </c>
      <c r="CR207" s="197">
        <f>IF(AND(D207&gt;0,AT207=""),1,IF(AT207&gt;D207,1,0))</f>
        <v/>
      </c>
      <c r="CS207" s="197">
        <f>IF(AND($D207&gt;0,AU207=""),1,IF(AU207&gt;$D207,1,0))</f>
        <v/>
      </c>
      <c r="CT207" s="197">
        <f>IF(AND($D207&gt;0,AV207=""),1,IF(AV207&gt;$D207,1,0))</f>
        <v/>
      </c>
      <c r="CU207" s="197">
        <f>IF(AND($D207&gt;0,AW207=""),1,IF(AW207&gt;$D207,1,0))</f>
        <v/>
      </c>
      <c r="CV207" s="197">
        <f>IF(AND($D207&gt;0,AX207=""),1,IF(AX207&gt;$D207,1,0))</f>
        <v/>
      </c>
    </row>
    <row r="208" ht="15" customHeight="1" s="8286">
      <c r="A208" s="9588" t="n"/>
      <c r="B208" s="9589" t="n"/>
      <c r="C208" s="8443" t="inlineStr">
        <is>
          <t xml:space="preserve">N° de sextantes por periodoncista </t>
        </is>
      </c>
      <c r="D208" s="2911">
        <f>SUM(E208+F208)</f>
        <v/>
      </c>
      <c r="E208" s="1203">
        <f>SUM(AA208+AC208+AE208+AG208+AI208+AK208+AM208+AO208)</f>
        <v/>
      </c>
      <c r="F208" s="2947">
        <f>SUM(AB208+AD208+AF208+AH208+AJ208+AL208+AN208+AP208)</f>
        <v/>
      </c>
      <c r="G208" s="1942" t="n"/>
      <c r="H208" s="890" t="n"/>
      <c r="I208" s="1942" t="n"/>
      <c r="J208" s="890" t="n"/>
      <c r="K208" s="1942" t="n"/>
      <c r="L208" s="890" t="n"/>
      <c r="M208" s="1942" t="n"/>
      <c r="N208" s="890" t="n"/>
      <c r="O208" s="1942" t="n"/>
      <c r="P208" s="890" t="n"/>
      <c r="Q208" s="1942" t="n"/>
      <c r="R208" s="890" t="n"/>
      <c r="S208" s="1942" t="n"/>
      <c r="T208" s="890" t="n"/>
      <c r="U208" s="1942" t="n"/>
      <c r="V208" s="890" t="n"/>
      <c r="W208" s="1942" t="n"/>
      <c r="X208" s="890" t="n"/>
      <c r="Y208" s="1942" t="n"/>
      <c r="Z208" s="890" t="n"/>
      <c r="AA208" s="1193" t="n"/>
      <c r="AB208" s="1119" t="n"/>
      <c r="AC208" s="1193" t="n"/>
      <c r="AD208" s="1192" t="n"/>
      <c r="AE208" s="1188" t="n"/>
      <c r="AF208" s="1192" t="n"/>
      <c r="AG208" s="1188" t="n"/>
      <c r="AH208" s="1192" t="n"/>
      <c r="AI208" s="1188" t="n"/>
      <c r="AJ208" s="1192" t="n"/>
      <c r="AK208" s="1188" t="n"/>
      <c r="AL208" s="1192" t="n"/>
      <c r="AM208" s="1188" t="n"/>
      <c r="AN208" s="1192" t="n"/>
      <c r="AO208" s="1188" t="n"/>
      <c r="AP208" s="1192" t="n"/>
      <c r="AQ208" s="5249" t="n"/>
      <c r="AR208" s="1223" t="n"/>
      <c r="AS208" s="1227" t="n"/>
      <c r="AT208" s="1223" t="n"/>
      <c r="AU208" s="1223" t="n"/>
      <c r="AV208" s="5274" t="n"/>
      <c r="AW208" s="1223" t="n"/>
      <c r="AX208" s="1192" t="n"/>
      <c r="AY208">
        <f>CA208&amp;CB208&amp;CC208&amp;CD208&amp;CE208&amp;CF208&amp;CG208&amp;CH208</f>
        <v/>
      </c>
      <c r="CA208" s="196">
        <f>IF(AND($D208&gt;0,AQ208=""),"  * No olvide digitar la variable Compra de servicio. Digite Cero si no tiene.","")</f>
        <v/>
      </c>
      <c r="CB208" s="196">
        <f>IF(AND($D208&gt;0,AR208="")," * No olvide digitar la variable Usuario con Discapacidad. Digite Cero si no tiene.",IF(AR208&gt;$D208," * La variable Usuario con Discapacidad no pueden superar el Total Ambos Sexos.",""))</f>
        <v/>
      </c>
      <c r="CC208" s="196">
        <f>IF(AND($D208&gt;0,AS208=""),"  * No olvide digitar la variable "&amp;AS$176&amp;". Digite Cero si no tiene.",IF(AS208&gt;D208," * La variable "&amp;AS$176&amp;"no pueden superar el Total Ambos Sexos.",""))</f>
        <v/>
      </c>
      <c r="CD208" s="196">
        <f>IF(AND($D208&gt;0,AT208="")," * No olvide digitar la variable "&amp;AT$176&amp;". Digite Cero si no tiene.",IF(AT208&gt;$D208," * La variable "&amp;AT$176&amp;" no pueden superar el Total Ambos Sexos.",""))</f>
        <v/>
      </c>
      <c r="CE208" s="196">
        <f>IF(AND($D208&gt;0,AU208="")," * No olvide digitar la variable Migrantes. Digite Cero si no tiene.",IF(AU208&gt;$D208," * La variable Migrantes no pueden superar el Total Ambos Sexos.",""))</f>
        <v/>
      </c>
      <c r="CF208" s="201" t="n"/>
      <c r="CG208" s="196">
        <f>IF(AND($D208&gt;0,AW208=""),"  * No olvide digitar la variable Persona con ingreso integral y condición crónica. Digite Cero si no tiene.",IF(AW208&gt;$D208," * La variable Persona con ingreso integral y condición crónica no pueden superar el Total Ambos Sexos.",""))</f>
        <v/>
      </c>
      <c r="CH208" s="196">
        <f>IF(AND($D208&gt;0,AX208=""),"  * No olvide digitar la variable Pueblos Originarios. Digite Cero si no tiene.",IF(AX208&gt;$D208," * La variable Pueblos Originarios no pueden superar el Total Ambos Sexos.",""))</f>
        <v/>
      </c>
      <c r="CO208" s="197">
        <f>IF(AND($D208&gt;0,AQ208=""),1,0)</f>
        <v/>
      </c>
      <c r="CP208" s="197">
        <f>IF(AND($D208&gt;0,AR208=""),1,IF(AR208&gt;$D208,1,0))</f>
        <v/>
      </c>
      <c r="CQ208" s="197">
        <f>IF(AND($D208&gt;0,AS208=""),1,IF(AS208&gt;$D208,1,0))</f>
        <v/>
      </c>
      <c r="CR208" s="197">
        <f>IF(AND(D208&gt;0,AT208=""),1,IF(AT208&gt;D208,1,0))</f>
        <v/>
      </c>
      <c r="CS208" s="197">
        <f>IF(AND($D208&gt;0,AU208=""),1,IF(AU208&gt;$D208,1,0))</f>
        <v/>
      </c>
      <c r="CT208" s="201" t="n"/>
      <c r="CU208" s="197">
        <f>IF(AND($D208&gt;0,AW208=""),1,IF(AW208&gt;$D208,1,0))</f>
        <v/>
      </c>
      <c r="CV208" s="197">
        <f>IF(AND($D208&gt;0,AX208=""),1,IF(AX208&gt;$D208,1,0))</f>
        <v/>
      </c>
    </row>
    <row r="209" ht="15" customHeight="1" s="8286">
      <c r="A209" s="9588" t="n"/>
      <c r="B209" s="10269" t="inlineStr">
        <is>
          <t xml:space="preserve">Prótesis removibles </t>
        </is>
      </c>
      <c r="C209" s="8052" t="inlineStr">
        <is>
          <t xml:space="preserve">N° Pacientes </t>
        </is>
      </c>
      <c r="D209" s="2896">
        <f>SUM(E209+F209)</f>
        <v/>
      </c>
      <c r="E209" s="2929">
        <f>SUM(AC209+AE209+AG209+AI209+AK209+AM209+AO209)</f>
        <v/>
      </c>
      <c r="F209" s="2948">
        <f>SUM(AD209+AF209+AH209+AJ209+AL209+AN209+AP209)</f>
        <v/>
      </c>
      <c r="G209" s="1942" t="n"/>
      <c r="H209" s="890" t="n"/>
      <c r="I209" s="1942" t="n"/>
      <c r="J209" s="890" t="n"/>
      <c r="K209" s="1942" t="n"/>
      <c r="L209" s="890" t="n"/>
      <c r="M209" s="1942" t="n"/>
      <c r="N209" s="890" t="n"/>
      <c r="O209" s="1942" t="n"/>
      <c r="P209" s="890" t="n"/>
      <c r="Q209" s="1942" t="n"/>
      <c r="R209" s="890" t="n"/>
      <c r="S209" s="1942" t="n"/>
      <c r="T209" s="890" t="n"/>
      <c r="U209" s="1942" t="n"/>
      <c r="V209" s="890" t="n"/>
      <c r="W209" s="1942" t="n"/>
      <c r="X209" s="890" t="n"/>
      <c r="Y209" s="1942" t="n"/>
      <c r="Z209" s="890" t="n"/>
      <c r="AA209" s="2878" t="n"/>
      <c r="AB209" s="2879" t="n"/>
      <c r="AC209" s="2267" t="n"/>
      <c r="AD209" s="2336" t="n"/>
      <c r="AE209" s="2266" t="n"/>
      <c r="AF209" s="2336" t="n"/>
      <c r="AG209" s="2266" t="n"/>
      <c r="AH209" s="2336" t="n"/>
      <c r="AI209" s="2266" t="n"/>
      <c r="AJ209" s="2336" t="n"/>
      <c r="AK209" s="2266" t="n"/>
      <c r="AL209" s="2336" t="n"/>
      <c r="AM209" s="2266" t="n"/>
      <c r="AN209" s="2336" t="n"/>
      <c r="AO209" s="2266" t="n"/>
      <c r="AP209" s="2336" t="n"/>
      <c r="AQ209" s="5213" t="n"/>
      <c r="AR209" s="5189" t="n"/>
      <c r="AS209" s="4512" t="n"/>
      <c r="AT209" s="5189" t="n"/>
      <c r="AU209" s="5189" t="n"/>
      <c r="AV209" s="4512" t="n"/>
      <c r="AW209" s="5189" t="n"/>
      <c r="AX209" s="2336" t="n"/>
      <c r="AY209">
        <f>CA209&amp;CB209&amp;CC209&amp;CD209&amp;CE209&amp;CF209&amp;CG209&amp;CH209</f>
        <v/>
      </c>
      <c r="CA209" s="196">
        <f>IF(AND($D209&gt;0,AQ209=""),"  * No olvide digitar la variable Compra de servicio. Digite Cero si no tiene.","")</f>
        <v/>
      </c>
      <c r="CB209" s="196">
        <f>IF(AND($D209&gt;0,AR209="")," * No olvide digitar la variable Usuario con Discapacidad. Digite Cero si no tiene.",IF(AR209&gt;$D209," * La variable Usuario con Discapacidad no pueden superar el Total Ambos Sexos.",""))</f>
        <v/>
      </c>
      <c r="CC209" s="196">
        <f>IF(AND($D209&gt;0,AS209=""),"  * No olvide digitar la variable "&amp;AS$176&amp;". Digite Cero si no tiene.",IF(AS209&gt;D209," * La variable "&amp;AS$176&amp;"no pueden superar el Total Ambos Sexos.",""))</f>
        <v/>
      </c>
      <c r="CD209" s="196">
        <f>IF(AND($D209&gt;0,AT209="")," * No olvide digitar la variable "&amp;AT$176&amp;". Digite Cero si no tiene.",IF(AT209&gt;$D209," * La variable "&amp;AT$176&amp;" no pueden superar el Total Ambos Sexos.",""))</f>
        <v/>
      </c>
      <c r="CE209" s="196">
        <f>IF(AND($D209&gt;0,AU209="")," * No olvide digitar la variable Migrantes. Digite Cero si no tiene.",IF(AU209&gt;$D209," * La variable Migrantes no pueden superar el Total Ambos Sexos.",""))</f>
        <v/>
      </c>
      <c r="CF209" s="196">
        <f>IF(AND($D209&gt;0,AV209="")," * No olvide digitar la variable Egreso por Abandono. Digite Cero si no tiene.",IF(AV209&gt;$D209," * La variable Egreso por Abandono no pueden superar el Total Ambos Sexos.",""))</f>
        <v/>
      </c>
      <c r="CG209" s="196">
        <f>IF(AND($D209&gt;0,AW209=""),"  * No olvide digitar la variable Persona con ingreso integral y condición crónica. Digite Cero si no tiene.",IF(AW209&gt;$D209," * La variable Persona con ingreso integral y condición crónica no pueden superar el Total Ambos Sexos.",""))</f>
        <v/>
      </c>
      <c r="CH209" s="196">
        <f>IF(AND($D209&gt;0,AX209=""),"  * No olvide digitar la variable Pueblos Originarios. Digite Cero si no tiene.",IF(AX209&gt;$D209," * La variable Pueblos Originarios no pueden superar el Total Ambos Sexos.",""))</f>
        <v/>
      </c>
      <c r="CO209" s="197">
        <f>IF(AND($D209&gt;0,AQ209=""),1,0)</f>
        <v/>
      </c>
      <c r="CP209" s="197">
        <f>IF(AND($D209&gt;0,AR209=""),1,IF(AR209&gt;$D209,1,0))</f>
        <v/>
      </c>
      <c r="CQ209" s="197">
        <f>IF(AND($D209&gt;0,AS209=""),1,IF(AS209&gt;$D209,1,0))</f>
        <v/>
      </c>
      <c r="CR209" s="197">
        <f>IF(AND(D209&gt;0,AT209=""),1,IF(AT209&gt;D209,1,0))</f>
        <v/>
      </c>
      <c r="CS209" s="197">
        <f>IF(AND($D209&gt;0,AU209=""),1,IF(AU209&gt;$D209,1,0))</f>
        <v/>
      </c>
      <c r="CT209" s="197">
        <f>IF(AND($D209&gt;0,AV209=""),1,IF(AV209&gt;$D209,1,0))</f>
        <v/>
      </c>
      <c r="CU209" s="197">
        <f>IF(AND($D209&gt;0,AW209=""),1,IF(AW209&gt;$D209,1,0))</f>
        <v/>
      </c>
      <c r="CV209" s="197">
        <f>IF(AND($D209&gt;0,AX209=""),1,IF(AX209&gt;$D209,1,0))</f>
        <v/>
      </c>
    </row>
    <row r="210" ht="21" customHeight="1" s="8286">
      <c r="A210" s="9588" t="n"/>
      <c r="B210" s="642" t="n"/>
      <c r="C210" s="1215" t="inlineStr">
        <is>
          <t xml:space="preserve">N° Prótesis realizadas por odontólogo general </t>
        </is>
      </c>
      <c r="D210" s="2887">
        <f>SUM(E210+F210)</f>
        <v/>
      </c>
      <c r="E210" s="2929">
        <f>SUM(AC210+AE210+AG210+AI210+AK210+AM210+AO210)</f>
        <v/>
      </c>
      <c r="F210" s="2948">
        <f>SUM(AD210+AF210+AH210+AJ210+AL210+AN210+AP210)</f>
        <v/>
      </c>
      <c r="G210" s="1942" t="n"/>
      <c r="H210" s="890" t="n"/>
      <c r="I210" s="1942" t="n"/>
      <c r="J210" s="890" t="n"/>
      <c r="K210" s="1942" t="n"/>
      <c r="L210" s="890" t="n"/>
      <c r="M210" s="1942" t="n"/>
      <c r="N210" s="890" t="n"/>
      <c r="O210" s="1942" t="n"/>
      <c r="P210" s="890" t="n"/>
      <c r="Q210" s="1942" t="n"/>
      <c r="R210" s="890" t="n"/>
      <c r="S210" s="1942" t="n"/>
      <c r="T210" s="890" t="n"/>
      <c r="U210" s="1942" t="n"/>
      <c r="V210" s="890" t="n"/>
      <c r="W210" s="1942" t="n"/>
      <c r="X210" s="890" t="n"/>
      <c r="Y210" s="1942" t="n"/>
      <c r="Z210" s="890" t="n"/>
      <c r="AA210" s="1942" t="n"/>
      <c r="AB210" s="890" t="n"/>
      <c r="AC210" s="204" t="n"/>
      <c r="AD210" s="2057" t="n"/>
      <c r="AE210" s="645" t="n"/>
      <c r="AF210" s="2057" t="n"/>
      <c r="AG210" s="645" t="n"/>
      <c r="AH210" s="2057" t="n"/>
      <c r="AI210" s="645" t="n"/>
      <c r="AJ210" s="2057" t="n"/>
      <c r="AK210" s="645" t="n"/>
      <c r="AL210" s="2057" t="n"/>
      <c r="AM210" s="645" t="n"/>
      <c r="AN210" s="2057" t="n"/>
      <c r="AO210" s="645" t="n"/>
      <c r="AP210" s="2057" t="n"/>
      <c r="AQ210" s="5247" t="n"/>
      <c r="AR210" s="670" t="n"/>
      <c r="AS210" s="37" t="n"/>
      <c r="AT210" s="670" t="n"/>
      <c r="AU210" s="670" t="n"/>
      <c r="AV210" s="273" t="n"/>
      <c r="AW210" s="670" t="n"/>
      <c r="AX210" s="2057" t="n"/>
      <c r="AY210">
        <f>CA210&amp;CB210&amp;CC210&amp;CD210&amp;CE210&amp;CF210&amp;CG210&amp;CH210</f>
        <v/>
      </c>
      <c r="CA210" s="196">
        <f>IF(AND($D210&gt;0,AQ210=""),"  * No olvide digitar la variable Compra de servicio. Digite Cero si no tiene.","")</f>
        <v/>
      </c>
      <c r="CB210" s="196">
        <f>IF(AND($D210&gt;0,AR210="")," * No olvide digitar la variable Usuario con Discapacidad. Digite Cero si no tiene.",IF(AR210&gt;$D210," * La variable Usuario con Discapacidad no pueden superar el Total Ambos Sexos.",""))</f>
        <v/>
      </c>
      <c r="CC210" s="196">
        <f>IF(AND($D210&gt;0,AS210=""),"  * No olvide digitar la variable "&amp;AS$176&amp;". Digite Cero si no tiene.",IF(AS210&gt;D210," * La variable "&amp;AS$176&amp;"no pueden superar el Total Ambos Sexos.",""))</f>
        <v/>
      </c>
      <c r="CD210" s="196">
        <f>IF(AND($D210&gt;0,AT210="")," * No olvide digitar la variable "&amp;AT$176&amp;". Digite Cero si no tiene.",IF(AT210&gt;$D210," * La variable "&amp;AT$176&amp;" no pueden superar el Total Ambos Sexos.",""))</f>
        <v/>
      </c>
      <c r="CE210" s="196">
        <f>IF(AND($D210&gt;0,AU210="")," * No olvide digitar la variable Migrantes. Digite Cero si no tiene.",IF(AU210&gt;$D210," * La variable Migrantes no pueden superar el Total Ambos Sexos.",""))</f>
        <v/>
      </c>
      <c r="CF210" s="201" t="n"/>
      <c r="CG210" s="196">
        <f>IF(AND($D210&gt;0,AW210=""),"  * No olvide digitar la variable Persona con ingreso integral y condición crónica. Digite Cero si no tiene.",IF(AW210&gt;$D210," * La variable Persona con ingreso integral y condición crónica no pueden superar el Total Ambos Sexos.",""))</f>
        <v/>
      </c>
      <c r="CH210" s="196">
        <f>IF(AND($D210&gt;0,AX210=""),"  * No olvide digitar la variable Pueblos Originarios. Digite Cero si no tiene.",IF(AX210&gt;$D210," * La variable Pueblos Originarios no pueden superar el Total Ambos Sexos.",""))</f>
        <v/>
      </c>
      <c r="CO210" s="197">
        <f>IF(AND($D210&gt;0,AQ210=""),1,0)</f>
        <v/>
      </c>
      <c r="CP210" s="197">
        <f>IF(AND($D210&gt;0,AR210=""),1,IF(AR210&gt;$D210,1,0))</f>
        <v/>
      </c>
      <c r="CQ210" s="197">
        <f>IF(AND($D210&gt;0,AS210=""),1,IF(AS210&gt;$D210,1,0))</f>
        <v/>
      </c>
      <c r="CR210" s="197">
        <f>IF(AND(D210&gt;0,AT210=""),1,IF(AT210&gt;D210,1,0))</f>
        <v/>
      </c>
      <c r="CS210" s="197">
        <f>IF(AND($D210&gt;0,AU210=""),1,IF(AU210&gt;$D210,1,0))</f>
        <v/>
      </c>
      <c r="CT210" s="201" t="n"/>
      <c r="CU210" s="197">
        <f>IF(AND($D210&gt;0,AW210=""),1,IF(AW210&gt;$D210,1,0))</f>
        <v/>
      </c>
      <c r="CV210" s="197">
        <f>IF(AND($D210&gt;0,AX210=""),1,IF(AX210&gt;$D210,1,0))</f>
        <v/>
      </c>
    </row>
    <row r="211" ht="21" customHeight="1" s="8286">
      <c r="A211" s="9589" t="n"/>
      <c r="B211" s="9698" t="n"/>
      <c r="C211" s="8369" t="inlineStr">
        <is>
          <t xml:space="preserve">N° Prótesis realizadas por rehabilitadores orales </t>
        </is>
      </c>
      <c r="D211" s="2887">
        <f>SUM(E211+F211)</f>
        <v/>
      </c>
      <c r="E211" s="1203">
        <f>SUM(AC211+AE211+AG211+AI211+AK211+AM211+AO211)</f>
        <v/>
      </c>
      <c r="F211" s="2947">
        <f>SUM(AD211+AF211+AH211+AJ211+AL211+AN211+AP211)</f>
        <v/>
      </c>
      <c r="G211" s="1942" t="n"/>
      <c r="H211" s="890" t="n"/>
      <c r="I211" s="1942" t="n"/>
      <c r="J211" s="890" t="n"/>
      <c r="K211" s="1942" t="n"/>
      <c r="L211" s="890" t="n"/>
      <c r="M211" s="1942" t="n"/>
      <c r="N211" s="890" t="n"/>
      <c r="O211" s="1942" t="n"/>
      <c r="P211" s="890" t="n"/>
      <c r="Q211" s="1942" t="n"/>
      <c r="R211" s="890" t="n"/>
      <c r="S211" s="1942" t="n"/>
      <c r="T211" s="890" t="n"/>
      <c r="U211" s="1942" t="n"/>
      <c r="V211" s="890" t="n"/>
      <c r="W211" s="1942" t="n"/>
      <c r="X211" s="890" t="n"/>
      <c r="Y211" s="1942" t="n"/>
      <c r="Z211" s="890" t="n"/>
      <c r="AA211" s="1942" t="n"/>
      <c r="AB211" s="890" t="n"/>
      <c r="AC211" s="1193" t="n"/>
      <c r="AD211" s="1192" t="n"/>
      <c r="AE211" s="1188" t="n"/>
      <c r="AF211" s="1192" t="n"/>
      <c r="AG211" s="1188" t="n"/>
      <c r="AH211" s="1192" t="n"/>
      <c r="AI211" s="1188" t="n"/>
      <c r="AJ211" s="1192" t="n"/>
      <c r="AK211" s="1188" t="n"/>
      <c r="AL211" s="1192" t="n"/>
      <c r="AM211" s="1188" t="n"/>
      <c r="AN211" s="1192" t="n"/>
      <c r="AO211" s="1188" t="n"/>
      <c r="AP211" s="1192" t="n"/>
      <c r="AQ211" s="5249" t="n"/>
      <c r="AR211" s="1223" t="n"/>
      <c r="AS211" s="1227" t="n"/>
      <c r="AT211" s="1223" t="n"/>
      <c r="AU211" s="1223" t="n"/>
      <c r="AV211" s="5274" t="n"/>
      <c r="AW211" s="1223" t="n"/>
      <c r="AX211" s="1192" t="n"/>
      <c r="AY211">
        <f>CA211&amp;CB211&amp;CC211&amp;CD211&amp;CE211&amp;CF211&amp;CG211&amp;CH211</f>
        <v/>
      </c>
      <c r="CA211" s="196">
        <f>IF(AND($D211&gt;0,AQ211=""),"  * No olvide digitar la variable Compra de servicio. Digite Cero si no tiene.","")</f>
        <v/>
      </c>
      <c r="CB211" s="196">
        <f>IF(AND($D211&gt;0,AR211="")," * No olvide digitar la variable Usuario con Discapacidad. Digite Cero si no tiene.",IF(AR211&gt;$D211," * La variable Usuario con Discapacidad no pueden superar el Total Ambos Sexos.",""))</f>
        <v/>
      </c>
      <c r="CC211" s="196">
        <f>IF(AND($D211&gt;0,AS211=""),"  * No olvide digitar la variable "&amp;AS$176&amp;". Digite Cero si no tiene.",IF(AS211&gt;D211," * La variable "&amp;AS$176&amp;"no pueden superar el Total Ambos Sexos.",""))</f>
        <v/>
      </c>
      <c r="CD211" s="196">
        <f>IF(AND($D211&gt;0,AT211="")," * No olvide digitar la variable "&amp;AT$176&amp;". Digite Cero si no tiene.",IF(AT211&gt;$D211," * La variable "&amp;AT$176&amp;" no pueden superar el Total Ambos Sexos.",""))</f>
        <v/>
      </c>
      <c r="CE211" s="196">
        <f>IF(AND($D211&gt;0,AU211="")," * No olvide digitar la variable Migrantes. Digite Cero si no tiene.",IF(AU211&gt;$D211," * La variable Migrantes no pueden superar el Total Ambos Sexos.",""))</f>
        <v/>
      </c>
      <c r="CF211" s="201" t="n"/>
      <c r="CG211" s="196">
        <f>IF(AND($D211&gt;0,AW211=""),"  * No olvide digitar la variable Persona con ingreso integral y condición crónica. Digite Cero si no tiene.",IF(AW211&gt;$D211," * La variable Persona con ingreso integral y condición crónica no pueden superar el Total Ambos Sexos.",""))</f>
        <v/>
      </c>
      <c r="CH211" s="196">
        <f>IF(AND($D211&gt;0,AX211=""),"  * No olvide digitar la variable Pueblos Originarios. Digite Cero si no tiene.",IF(AX211&gt;$D211," * La variable Pueblos Originarios no pueden superar el Total Ambos Sexos.",""))</f>
        <v/>
      </c>
      <c r="CO211" s="197">
        <f>IF(AND($D211&gt;0,AQ211=""),1,0)</f>
        <v/>
      </c>
      <c r="CP211" s="197">
        <f>IF(AND($D211&gt;0,AR211=""),1,IF(AR211&gt;$D211,1,0))</f>
        <v/>
      </c>
      <c r="CQ211" s="197">
        <f>IF(AND($D211&gt;0,AS211=""),1,IF(AS211&gt;$D211,1,0))</f>
        <v/>
      </c>
      <c r="CR211" s="197">
        <f>IF(AND(D211&gt;0,AT211=""),1,IF(AT211&gt;D211,1,0))</f>
        <v/>
      </c>
      <c r="CS211" s="197">
        <f>IF(AND($D211&gt;0,AU211=""),1,IF(AU211&gt;$D211,1,0))</f>
        <v/>
      </c>
      <c r="CT211" s="201" t="n"/>
      <c r="CU211" s="197">
        <f>IF(AND($D211&gt;0,AW211=""),1,IF(AW211&gt;$D211,1,0))</f>
        <v/>
      </c>
      <c r="CV211" s="197">
        <f>IF(AND($D211&gt;0,AX211=""),1,IF(AX211&gt;$D211,1,0))</f>
        <v/>
      </c>
    </row>
    <row r="212" ht="15" customHeight="1" s="8286">
      <c r="A212" s="10236" t="inlineStr">
        <is>
          <t xml:space="preserve">Programa GES odontológico adulto de 60 años </t>
        </is>
      </c>
      <c r="B212" s="4505" t="inlineStr">
        <is>
          <t>ALTAS INTEGRALES</t>
        </is>
      </c>
      <c r="C212" s="9647" t="n"/>
      <c r="D212" s="2889">
        <f>SUM(E212+F212)</f>
        <v/>
      </c>
      <c r="E212" s="2951">
        <f>SUM(AK212)</f>
        <v/>
      </c>
      <c r="F212" s="2952">
        <f>SUM(AL212)</f>
        <v/>
      </c>
      <c r="G212" s="1319" t="n"/>
      <c r="H212" s="877" t="n"/>
      <c r="I212" s="1319" t="n"/>
      <c r="J212" s="877" t="n"/>
      <c r="K212" s="1319" t="n"/>
      <c r="L212" s="877" t="n"/>
      <c r="M212" s="1319" t="n"/>
      <c r="N212" s="877" t="n"/>
      <c r="O212" s="1319" t="n"/>
      <c r="P212" s="877" t="n"/>
      <c r="Q212" s="1319" t="n"/>
      <c r="R212" s="877" t="n"/>
      <c r="S212" s="1319" t="n"/>
      <c r="T212" s="877" t="n"/>
      <c r="U212" s="1319" t="n"/>
      <c r="V212" s="877" t="n"/>
      <c r="W212" s="1319" t="n"/>
      <c r="X212" s="877" t="n"/>
      <c r="Y212" s="1319" t="n"/>
      <c r="Z212" s="877" t="n"/>
      <c r="AA212" s="1319" t="n"/>
      <c r="AB212" s="877" t="n"/>
      <c r="AC212" s="2953" t="n"/>
      <c r="AD212" s="842" t="n"/>
      <c r="AE212" s="842" t="n"/>
      <c r="AF212" s="842" t="n"/>
      <c r="AG212" s="842" t="n"/>
      <c r="AH212" s="842" t="n"/>
      <c r="AI212" s="842" t="n"/>
      <c r="AJ212" s="2415" t="n"/>
      <c r="AK212" s="2266" t="n"/>
      <c r="AL212" s="2336" t="n"/>
      <c r="AM212" s="2412" t="n"/>
      <c r="AN212" s="842" t="n"/>
      <c r="AO212" s="842" t="n"/>
      <c r="AP212" s="2415" t="n"/>
      <c r="AQ212" s="5213" t="n"/>
      <c r="AR212" s="5189" t="n"/>
      <c r="AS212" s="4188" t="n"/>
      <c r="AT212" s="5276" t="n"/>
      <c r="AU212" s="5189" t="n"/>
      <c r="AV212" s="4512" t="n"/>
      <c r="AW212" s="5189" t="n"/>
      <c r="AX212" s="2336" t="n"/>
      <c r="AY212">
        <f>CA212&amp;CB212&amp;CC212&amp;CD212&amp;CE212&amp;CF212&amp;CG212&amp;CH212</f>
        <v/>
      </c>
      <c r="CA212" s="196">
        <f>IF(AND($D212&gt;0,AQ212=""),"  * No olvide digitar la variable Compra de servicio. Digite Cero si no tiene.","")</f>
        <v/>
      </c>
      <c r="CB212" s="196">
        <f>IF(AND($D212&gt;0,AR212="")," * No olvide digitar la variable Usuario con Discapacidad. Digite Cero si no tiene.",IF(AR212&gt;$D212," * La variable Usuario con Discapacidad no pueden superar el Total Ambos Sexos.",""))</f>
        <v/>
      </c>
      <c r="CC212" s="201" t="n"/>
      <c r="CD212" s="201" t="n"/>
      <c r="CE212" s="196">
        <f>IF(AND($D212&gt;0,AU212="")," * No olvide digitar la variable Migrantes. Digite Cero si no tiene.",IF(AU212&gt;$D212," * La variable Migrantes no pueden superar el Total Ambos Sexos.",""))</f>
        <v/>
      </c>
      <c r="CF212" s="196">
        <f>IF(AND($D212&gt;0,AV212="")," * No olvide digitar la variable Egreso por Abandono. Digite Cero si no tiene.",IF(AV212&gt;$D212," * La variable Egreso por Abandono no pueden superar el Total Ambos Sexos.",""))</f>
        <v/>
      </c>
      <c r="CG212" s="196">
        <f>IF(AND($D212&gt;0,AW212=""),"  * No olvide digitar la variable Persona con ingreso integral y condición crónica. Digite Cero si no tiene.",IF(AW212&gt;$D212," * La variable Persona con ingreso integral y condición crónica no pueden superar el Total Ambos Sexos.",""))</f>
        <v/>
      </c>
      <c r="CH212" s="196">
        <f>IF(AND($D212&gt;0,AX212=""),"  * No olvide digitar la variable Pueblos Originarios. Digite Cero si no tiene.",IF(AX212&gt;$D212," * La variable Pueblos Originarios no pueden superar el Total Ambos Sexos.",""))</f>
        <v/>
      </c>
      <c r="CO212" s="197">
        <f>IF(AND($D212&gt;0,AQ212=""),1,0)</f>
        <v/>
      </c>
      <c r="CP212" s="197">
        <f>IF(AND($D212&gt;0,AR212=""),1,IF(AR212&gt;$D212,1,0))</f>
        <v/>
      </c>
      <c r="CQ212" s="201" t="n"/>
      <c r="CR212" s="201" t="n"/>
      <c r="CS212" s="197">
        <f>IF(AND($D212&gt;0,AU212=""),1,IF(AU212&gt;$D212,1,0))</f>
        <v/>
      </c>
      <c r="CT212" s="197">
        <f>IF(AND($D212&gt;0,AV212=""),1,IF(AV212&gt;$D212,1,0))</f>
        <v/>
      </c>
      <c r="CU212" s="197">
        <f>IF(AND($D212&gt;0,AW212=""),1,IF(AW212&gt;$D212,1,0))</f>
        <v/>
      </c>
      <c r="CV212" s="197">
        <f>IF(AND($D212&gt;0,AX212=""),1,IF(AX212&gt;$D212,1,0))</f>
        <v/>
      </c>
    </row>
    <row r="213" ht="15" customHeight="1" s="8286">
      <c r="A213" s="9588" t="n"/>
      <c r="B213" s="7770" t="inlineStr">
        <is>
          <t xml:space="preserve">Tratamiento endodoncia </t>
        </is>
      </c>
      <c r="C213" s="9234" t="inlineStr">
        <is>
          <t xml:space="preserve">N° Pacientes </t>
        </is>
      </c>
      <c r="D213" s="2949">
        <f>SUM(E213+F213)</f>
        <v/>
      </c>
      <c r="E213" s="2954">
        <f>SUM(AK213)</f>
        <v/>
      </c>
      <c r="F213" s="2948">
        <f>SUM(AL213)</f>
        <v/>
      </c>
      <c r="G213" s="1319" t="n"/>
      <c r="H213" s="877" t="n"/>
      <c r="I213" s="1319" t="n"/>
      <c r="J213" s="877" t="n"/>
      <c r="K213" s="1319" t="n"/>
      <c r="L213" s="877" t="n"/>
      <c r="M213" s="1319" t="n"/>
      <c r="N213" s="877" t="n"/>
      <c r="O213" s="1319" t="n"/>
      <c r="P213" s="877" t="n"/>
      <c r="Q213" s="1319" t="n"/>
      <c r="R213" s="877" t="n"/>
      <c r="S213" s="1319" t="n"/>
      <c r="T213" s="877" t="n"/>
      <c r="U213" s="1319" t="n"/>
      <c r="V213" s="877" t="n"/>
      <c r="W213" s="1319" t="n"/>
      <c r="X213" s="877" t="n"/>
      <c r="Y213" s="1319" t="n"/>
      <c r="Z213" s="877" t="n"/>
      <c r="AA213" s="1319" t="n"/>
      <c r="AB213" s="877" t="n"/>
      <c r="AC213" s="1319" t="n"/>
      <c r="AD213" s="2233" t="n"/>
      <c r="AE213" s="2233" t="n"/>
      <c r="AF213" s="2233" t="n"/>
      <c r="AG213" s="2233" t="n"/>
      <c r="AH213" s="2233" t="n"/>
      <c r="AI213" s="2233" t="n"/>
      <c r="AJ213" s="877" t="n"/>
      <c r="AK213" s="1172" t="n"/>
      <c r="AL213" s="1173" t="n"/>
      <c r="AM213" s="1325" t="n"/>
      <c r="AN213" s="2233" t="n"/>
      <c r="AO213" s="2233" t="n"/>
      <c r="AP213" s="877" t="n"/>
      <c r="AQ213" s="5215" t="n"/>
      <c r="AR213" s="3892" t="n"/>
      <c r="AS213" s="4188" t="n"/>
      <c r="AT213" s="5276" t="n"/>
      <c r="AU213" s="3892" t="n"/>
      <c r="AV213" s="3895" t="n"/>
      <c r="AW213" s="3892" t="n"/>
      <c r="AX213" s="1173" t="n"/>
      <c r="AY213">
        <f>CA213&amp;CB213&amp;CC213&amp;CD213&amp;CE213&amp;CF213&amp;CG213&amp;CH213</f>
        <v/>
      </c>
      <c r="CA213" s="196">
        <f>IF(AND($D213&gt;0,AQ213=""),"  * No olvide digitar la variable Compra de servicio. Digite Cero si no tiene.","")</f>
        <v/>
      </c>
      <c r="CB213" s="196">
        <f>IF(AND($D213&gt;0,AR213="")," * No olvide digitar la variable Usuario con Discapacidad. Digite Cero si no tiene.",IF(AR213&gt;$D213," * La variable Usuario con Discapacidad no pueden superar el Total Ambos Sexos.",""))</f>
        <v/>
      </c>
      <c r="CC213" s="201" t="n"/>
      <c r="CD213" s="201" t="n"/>
      <c r="CE213" s="196">
        <f>IF(AND($D213&gt;0,AU213="")," * No olvide digitar la variable Migrantes. Digite Cero si no tiene.",IF(AU213&gt;$D213," * La variable Migrantes no pueden superar el Total Ambos Sexos.",""))</f>
        <v/>
      </c>
      <c r="CF213" s="196">
        <f>IF(AND($D213&gt;0,AV213="")," * No olvide digitar la variable Egreso por Abandono. Digite Cero si no tiene.",IF(AV213&gt;$D213," * La variable Egreso por Abandono no pueden superar el Total Ambos Sexos.",""))</f>
        <v/>
      </c>
      <c r="CG213" s="196">
        <f>IF(AND($D213&gt;0,AW213=""),"  * No olvide digitar la variable Persona con ingreso integral y condición crónica. Digite Cero si no tiene.",IF(AW213&gt;$D213," * La variable Persona con ingreso integral y condición crónica no pueden superar el Total Ambos Sexos.",""))</f>
        <v/>
      </c>
      <c r="CH213" s="196">
        <f>IF(AND($D213&gt;0,AX213=""),"  * No olvide digitar la variable Pueblos Originarios. Digite Cero si no tiene.",IF(AX213&gt;$D213," * La variable Pueblos Originarios no pueden superar el Total Ambos Sexos.",""))</f>
        <v/>
      </c>
      <c r="CO213" s="197">
        <f>IF(AND($D213&gt;0,AQ213=""),1,0)</f>
        <v/>
      </c>
      <c r="CP213" s="197">
        <f>IF(AND($D213&gt;0,AR213=""),1,IF(AR213&gt;$D213,1,0))</f>
        <v/>
      </c>
      <c r="CQ213" s="201" t="n"/>
      <c r="CR213" s="201" t="n"/>
      <c r="CS213" s="197">
        <f>IF(AND($D213&gt;0,AU213=""),1,IF(AU213&gt;$D213,1,0))</f>
        <v/>
      </c>
      <c r="CT213" s="197">
        <f>IF(AND($D213&gt;0,AV213=""),1,IF(AV213&gt;$D213,1,0))</f>
        <v/>
      </c>
      <c r="CU213" s="197">
        <f>IF(AND($D213&gt;0,AW213=""),1,IF(AW213&gt;$D213,1,0))</f>
        <v/>
      </c>
      <c r="CV213" s="197">
        <f>IF(AND($D213&gt;0,AX213=""),1,IF(AX213&gt;$D213,1,0))</f>
        <v/>
      </c>
    </row>
    <row r="214" ht="15" customHeight="1" s="8286">
      <c r="A214" s="9588" t="n"/>
      <c r="B214" s="9614" t="n"/>
      <c r="C214" s="1236" t="inlineStr">
        <is>
          <t>N° Dientes</t>
        </is>
      </c>
      <c r="D214" s="2946">
        <f>SUM(E214+F214)</f>
        <v/>
      </c>
      <c r="E214" s="1203">
        <f>SUM(AK214)</f>
        <v/>
      </c>
      <c r="F214" s="2947">
        <f>SUM(AL214)</f>
        <v/>
      </c>
      <c r="G214" s="1319" t="n"/>
      <c r="H214" s="877" t="n"/>
      <c r="I214" s="1319" t="n"/>
      <c r="J214" s="877" t="n"/>
      <c r="K214" s="1319" t="n"/>
      <c r="L214" s="877" t="n"/>
      <c r="M214" s="1319" t="n"/>
      <c r="N214" s="877" t="n"/>
      <c r="O214" s="1319" t="n"/>
      <c r="P214" s="877" t="n"/>
      <c r="Q214" s="1319" t="n"/>
      <c r="R214" s="877" t="n"/>
      <c r="S214" s="1319" t="n"/>
      <c r="T214" s="877" t="n"/>
      <c r="U214" s="1319" t="n"/>
      <c r="V214" s="877" t="n"/>
      <c r="W214" s="1319" t="n"/>
      <c r="X214" s="877" t="n"/>
      <c r="Y214" s="1319" t="n"/>
      <c r="Z214" s="877" t="n"/>
      <c r="AA214" s="1319" t="n"/>
      <c r="AB214" s="877" t="n"/>
      <c r="AC214" s="1319" t="n"/>
      <c r="AD214" s="2233" t="n"/>
      <c r="AE214" s="2233" t="n"/>
      <c r="AF214" s="2233" t="n"/>
      <c r="AG214" s="2233" t="n"/>
      <c r="AH214" s="2233" t="n"/>
      <c r="AI214" s="2233" t="n"/>
      <c r="AJ214" s="877" t="n"/>
      <c r="AK214" s="1172" t="n"/>
      <c r="AL214" s="1173" t="n"/>
      <c r="AM214" s="1325" t="n"/>
      <c r="AN214" s="2233" t="n"/>
      <c r="AO214" s="2233" t="n"/>
      <c r="AP214" s="877" t="n"/>
      <c r="AQ214" s="5215" t="n"/>
      <c r="AR214" s="3892" t="n"/>
      <c r="AS214" s="4188" t="n"/>
      <c r="AT214" s="5276" t="n"/>
      <c r="AU214" s="3892" t="n"/>
      <c r="AV214" s="4615" t="n"/>
      <c r="AW214" s="3892" t="n"/>
      <c r="AX214" s="1173" t="n"/>
      <c r="AY214">
        <f>CA214&amp;CB214&amp;CC214&amp;CD214&amp;CE214&amp;CF214&amp;CG214&amp;CH214</f>
        <v/>
      </c>
      <c r="CA214" s="196">
        <f>IF(AND($D214&gt;0,AQ214=""),"  * No olvide digitar la variable Compra de servicio. Digite Cero si no tiene.","")</f>
        <v/>
      </c>
      <c r="CB214" s="196">
        <f>IF(AND($D214&gt;0,AR214="")," * No olvide digitar la variable Usuario con Discapacidad. Digite Cero si no tiene.",IF(AR214&gt;$D214," * La variable Usuario con Discapacidad no pueden superar el Total Ambos Sexos.",""))</f>
        <v/>
      </c>
      <c r="CC214" s="201" t="n"/>
      <c r="CD214" s="201" t="n"/>
      <c r="CE214" s="196">
        <f>IF(AND($D214&gt;0,AU214="")," * No olvide digitar la variable Migrantes. Digite Cero si no tiene.",IF(AU214&gt;$D214," * La variable Migrantes no pueden superar el Total Ambos Sexos.",""))</f>
        <v/>
      </c>
      <c r="CF214" s="201" t="n"/>
      <c r="CG214" s="196">
        <f>IF(AND($D214&gt;0,AW214=""),"  * No olvide digitar la variable Persona con ingreso integral y condición crónica. Digite Cero si no tiene.",IF(AW214&gt;$D214," * La variable Persona con ingreso integral y condición crónica no pueden superar el Total Ambos Sexos.",""))</f>
        <v/>
      </c>
      <c r="CH214" s="196">
        <f>IF(AND($D214&gt;0,AX214=""),"  * No olvide digitar la variable Pueblos Originarios. Digite Cero si no tiene.",IF(AX214&gt;$D214," * La variable Pueblos Originarios no pueden superar el Total Ambos Sexos.",""))</f>
        <v/>
      </c>
      <c r="CO214" s="197">
        <f>IF(AND($D214&gt;0,AQ214=""),1,0)</f>
        <v/>
      </c>
      <c r="CP214" s="197">
        <f>IF(AND($D214&gt;0,AR214=""),1,IF(AR214&gt;$D214,1,0))</f>
        <v/>
      </c>
      <c r="CQ214" s="201" t="n"/>
      <c r="CR214" s="201" t="n"/>
      <c r="CS214" s="197">
        <f>IF(AND($D214&gt;0,AU214=""),1,IF(AU214&gt;$D214,1,0))</f>
        <v/>
      </c>
      <c r="CT214" s="201" t="n"/>
      <c r="CU214" s="197">
        <f>IF(AND($D214&gt;0,AW214=""),1,IF(AW214&gt;$D214,1,0))</f>
        <v/>
      </c>
      <c r="CV214" s="197">
        <f>IF(AND($D214&gt;0,AX214=""),1,IF(AX214&gt;$D214,1,0))</f>
        <v/>
      </c>
    </row>
    <row r="215" ht="15" customHeight="1" s="8286">
      <c r="A215" s="9588" t="n"/>
      <c r="B215" s="10236" t="inlineStr">
        <is>
          <t xml:space="preserve">Prótesis removibles </t>
        </is>
      </c>
      <c r="C215" s="8052" t="inlineStr">
        <is>
          <t xml:space="preserve">N° Pacientes </t>
        </is>
      </c>
      <c r="D215" s="2949">
        <f>SUM(E215+F215)</f>
        <v/>
      </c>
      <c r="E215" s="2929">
        <f>SUM(AK215)</f>
        <v/>
      </c>
      <c r="F215" s="2948">
        <f>SUM(AL215)</f>
        <v/>
      </c>
      <c r="G215" s="1319" t="n"/>
      <c r="H215" s="877" t="n"/>
      <c r="I215" s="1319" t="n"/>
      <c r="J215" s="877" t="n"/>
      <c r="K215" s="1319" t="n"/>
      <c r="L215" s="877" t="n"/>
      <c r="M215" s="1319" t="n"/>
      <c r="N215" s="877" t="n"/>
      <c r="O215" s="1319" t="n"/>
      <c r="P215" s="877" t="n"/>
      <c r="Q215" s="1319" t="n"/>
      <c r="R215" s="877" t="n"/>
      <c r="S215" s="1319" t="n"/>
      <c r="T215" s="877" t="n"/>
      <c r="U215" s="1319" t="n"/>
      <c r="V215" s="877" t="n"/>
      <c r="W215" s="1319" t="n"/>
      <c r="X215" s="877" t="n"/>
      <c r="Y215" s="1319" t="n"/>
      <c r="Z215" s="877" t="n"/>
      <c r="AA215" s="1319" t="n"/>
      <c r="AB215" s="877" t="n"/>
      <c r="AC215" s="1319" t="n"/>
      <c r="AD215" s="2233" t="n"/>
      <c r="AE215" s="2233" t="n"/>
      <c r="AF215" s="2233" t="n"/>
      <c r="AG215" s="2233" t="n"/>
      <c r="AH215" s="2233" t="n"/>
      <c r="AI215" s="2233" t="n"/>
      <c r="AJ215" s="877" t="n"/>
      <c r="AK215" s="1935" t="n"/>
      <c r="AL215" s="1186" t="n"/>
      <c r="AM215" s="1325" t="n"/>
      <c r="AN215" s="2233" t="n"/>
      <c r="AO215" s="2233" t="n"/>
      <c r="AP215" s="877" t="n"/>
      <c r="AQ215" s="5214" t="n"/>
      <c r="AR215" s="1964" t="n"/>
      <c r="AS215" s="4188" t="n"/>
      <c r="AT215" s="5276" t="n"/>
      <c r="AU215" s="1964" t="n"/>
      <c r="AV215" s="36" t="n"/>
      <c r="AW215" s="1964" t="n"/>
      <c r="AX215" s="1186" t="n"/>
      <c r="AY215">
        <f>CA215&amp;CB215&amp;CC215&amp;CD215&amp;CE215&amp;CF215&amp;CG215&amp;CH215</f>
        <v/>
      </c>
      <c r="CA215" s="196">
        <f>IF(AND($D215&gt;0,AQ215=""),"  * No olvide digitar la variable Compra de servicio. Digite Cero si no tiene.","")</f>
        <v/>
      </c>
      <c r="CB215" s="196">
        <f>IF(AND($D215&gt;0,AR215="")," * No olvide digitar la variable Usuario con Discapacidad. Digite Cero si no tiene.",IF(AR215&gt;$D215," * La variable Usuario con Discapacidad no pueden superar el Total Ambos Sexos.",""))</f>
        <v/>
      </c>
      <c r="CC215" s="201" t="n"/>
      <c r="CD215" s="201" t="n"/>
      <c r="CE215" s="196">
        <f>IF(AND($D215&gt;0,AU215="")," * No olvide digitar la variable Migrantes. Digite Cero si no tiene.",IF(AU215&gt;$D215," * La variable Migrantes no pueden superar el Total Ambos Sexos.",""))</f>
        <v/>
      </c>
      <c r="CF215" s="196">
        <f>IF(AND($D215&gt;0,AV215="")," * No olvide digitar la variable Egreso por Abandono. Digite Cero si no tiene.",IF(AV215&gt;$D215," * La variable Egreso por Abandono no pueden superar el Total Ambos Sexos.",""))</f>
        <v/>
      </c>
      <c r="CG215" s="196">
        <f>IF(AND($D215&gt;0,AW215=""),"  * No olvide digitar la variable Persona con ingreso integral y condición crónica. Digite Cero si no tiene.",IF(AW215&gt;$D215," * La variable Persona con ingreso integral y condición crónica no pueden superar el Total Ambos Sexos.",""))</f>
        <v/>
      </c>
      <c r="CH215" s="196">
        <f>IF(AND($D215&gt;0,AX215=""),"  * No olvide digitar la variable Pueblos Originarios. Digite Cero si no tiene.",IF(AX215&gt;$D215," * La variable Pueblos Originarios no pueden superar el Total Ambos Sexos.",""))</f>
        <v/>
      </c>
      <c r="CO215" s="197">
        <f>IF(AND($D215&gt;0,AQ215=""),1,0)</f>
        <v/>
      </c>
      <c r="CP215" s="197">
        <f>IF(AND($D215&gt;0,AR215=""),1,IF(AR215&gt;$D215,1,0))</f>
        <v/>
      </c>
      <c r="CQ215" s="201" t="n"/>
      <c r="CR215" s="201" t="n"/>
      <c r="CS215" s="197">
        <f>IF(AND($D215&gt;0,AU215=""),1,IF(AU215&gt;$D215,1,0))</f>
        <v/>
      </c>
      <c r="CT215" s="197">
        <f>IF(AND($D215&gt;0,AV215=""),1,IF(AV215&gt;$D215,1,0))</f>
        <v/>
      </c>
      <c r="CU215" s="197">
        <f>IF(AND($D215&gt;0,AW215=""),1,IF(AW215&gt;$D215,1,0))</f>
        <v/>
      </c>
      <c r="CV215" s="197">
        <f>IF(AND($D215&gt;0,AX215=""),1,IF(AX215&gt;$D215,1,0))</f>
        <v/>
      </c>
    </row>
    <row r="216" ht="15" customHeight="1" s="8286">
      <c r="A216" s="9589" t="n"/>
      <c r="B216" s="9589" t="n"/>
      <c r="C216" s="8054" t="inlineStr">
        <is>
          <t xml:space="preserve">N° Prótesis </t>
        </is>
      </c>
      <c r="D216" s="2946">
        <f>SUM(E216+F216)</f>
        <v/>
      </c>
      <c r="E216" s="2929">
        <f>SUM(AK216)</f>
        <v/>
      </c>
      <c r="F216" s="2948">
        <f>SUM(AL216)</f>
        <v/>
      </c>
      <c r="G216" s="1319" t="n"/>
      <c r="H216" s="877" t="n"/>
      <c r="I216" s="1319" t="n"/>
      <c r="J216" s="877" t="n"/>
      <c r="K216" s="1319" t="n"/>
      <c r="L216" s="877" t="n"/>
      <c r="M216" s="1319" t="n"/>
      <c r="N216" s="877" t="n"/>
      <c r="O216" s="1319" t="n"/>
      <c r="P216" s="877" t="n"/>
      <c r="Q216" s="1319" t="n"/>
      <c r="R216" s="877" t="n"/>
      <c r="S216" s="1319" t="n"/>
      <c r="T216" s="877" t="n"/>
      <c r="U216" s="1319" t="n"/>
      <c r="V216" s="877" t="n"/>
      <c r="W216" s="1319" t="n"/>
      <c r="X216" s="877" t="n"/>
      <c r="Y216" s="1322" t="n"/>
      <c r="Z216" s="1323" t="n"/>
      <c r="AA216" s="1322" t="n"/>
      <c r="AB216" s="1323" t="n"/>
      <c r="AC216" s="1322" t="n"/>
      <c r="AD216" s="1313" t="n"/>
      <c r="AE216" s="1313" t="n"/>
      <c r="AF216" s="1313" t="n"/>
      <c r="AG216" s="1313" t="n"/>
      <c r="AH216" s="1313" t="n"/>
      <c r="AI216" s="1313" t="n"/>
      <c r="AJ216" s="1323" t="n"/>
      <c r="AK216" s="2644" t="n"/>
      <c r="AL216" s="2645" t="n"/>
      <c r="AM216" s="1312" t="n"/>
      <c r="AN216" s="1313" t="n"/>
      <c r="AO216" s="1313" t="n"/>
      <c r="AP216" s="1323" t="n"/>
      <c r="AQ216" s="5257" t="n"/>
      <c r="AR216" s="2670" t="n"/>
      <c r="AS216" s="1389" t="n"/>
      <c r="AT216" s="5219" t="n"/>
      <c r="AU216" s="2670" t="n"/>
      <c r="AV216" s="5274" t="n"/>
      <c r="AW216" s="1223" t="n"/>
      <c r="AX216" s="1192" t="n"/>
      <c r="AY216">
        <f>CA216&amp;CB216&amp;CC216&amp;CD216&amp;CE216&amp;CF216&amp;CG216&amp;CH216</f>
        <v/>
      </c>
      <c r="CA216" s="196">
        <f>IF(AND($D216&gt;0,AQ216=""),"  * No olvide digitar la variable Compra de servicio. Digite Cero si no tiene.","")</f>
        <v/>
      </c>
      <c r="CB216" s="196">
        <f>IF(AND($D216&gt;0,AR216="")," * No olvide digitar la variable Usuario con Discapacidad. Digite Cero si no tiene.",IF(AR216&gt;$D216," * La variable Usuario con Discapacidad no pueden superar el Total Ambos Sexos.",""))</f>
        <v/>
      </c>
      <c r="CC216" s="201" t="n"/>
      <c r="CD216" s="201" t="n"/>
      <c r="CE216" s="196">
        <f>IF(AND($D216&gt;0,AU216="")," * No olvide digitar la variable Migrantes. Digite Cero si no tiene.",IF(AU216&gt;$D216," * La variable Migrantes no pueden superar el Total Ambos Sexos.",""))</f>
        <v/>
      </c>
      <c r="CF216" s="201" t="n"/>
      <c r="CG216" s="196">
        <f>IF(AND($D216&gt;0,AW216=""),"  * No olvide digitar la variable Persona con ingreso integral y condición crónica. Digite Cero si no tiene.",IF(AW216&gt;$D216," * La variable Persona con ingreso integral y condición crónica no pueden superar el Total Ambos Sexos.",""))</f>
        <v/>
      </c>
      <c r="CH216" s="196">
        <f>IF(AND($D216&gt;0,AX216=""),"  * No olvide digitar la variable Pueblos Originarios. Digite Cero si no tiene.",IF(AX216&gt;$D216," * La variable Pueblos Originarios no pueden superar el Total Ambos Sexos.",""))</f>
        <v/>
      </c>
      <c r="CO216" s="197">
        <f>IF(AND($D216&gt;0,AQ216=""),1,0)</f>
        <v/>
      </c>
      <c r="CP216" s="197">
        <f>IF(AND($D216&gt;0,AR216=""),1,IF(AR216&gt;$D216,1,0))</f>
        <v/>
      </c>
      <c r="CQ216" s="201" t="n"/>
      <c r="CR216" s="201" t="n"/>
      <c r="CS216" s="197">
        <f>IF(AND($D216&gt;0,AU216=""),1,IF(AU216&gt;$D216,1,0))</f>
        <v/>
      </c>
      <c r="CT216" s="201" t="n"/>
      <c r="CU216" s="197">
        <f>IF(AND($D216&gt;0,AW216=""),1,IF(AW216&gt;$D216,1,0))</f>
        <v/>
      </c>
      <c r="CV216" s="197">
        <f>IF(AND($D216&gt;0,AX216=""),1,IF(AX216&gt;$D216,1,0))</f>
        <v/>
      </c>
    </row>
    <row r="217" ht="15" customHeight="1" s="8286">
      <c r="A217" s="10267" t="inlineStr">
        <is>
          <t xml:space="preserve">Estrategia estudiantes de enseñanza media </t>
        </is>
      </c>
      <c r="B217" s="10236" t="inlineStr">
        <is>
          <t xml:space="preserve">Altas integrales estudiantes de enseñanza media </t>
        </is>
      </c>
      <c r="C217" s="2213" t="inlineStr">
        <is>
          <t xml:space="preserve">Alta integral en centro de salud </t>
        </is>
      </c>
      <c r="D217" s="2949">
        <f>SUM(E217+F217)</f>
        <v/>
      </c>
      <c r="E217" s="2954">
        <f>SUM(Y217+AA217+AC217+AE217+AG217+AI217+AK217+AM217+AO217)</f>
        <v/>
      </c>
      <c r="F217" s="2672">
        <f>SUM(Z217+AB217+AD217+AF217+AH217+AJ217+AL217+AN217+AP217)</f>
        <v/>
      </c>
      <c r="G217" s="1942" t="n"/>
      <c r="H217" s="890" t="n"/>
      <c r="I217" s="1942" t="n"/>
      <c r="J217" s="890" t="n"/>
      <c r="K217" s="1942" t="n"/>
      <c r="L217" s="890" t="n"/>
      <c r="M217" s="1942" t="n"/>
      <c r="N217" s="890" t="n"/>
      <c r="O217" s="1942" t="n"/>
      <c r="P217" s="890" t="n"/>
      <c r="Q217" s="1942" t="n"/>
      <c r="R217" s="890" t="n"/>
      <c r="S217" s="1942" t="n"/>
      <c r="T217" s="890" t="n"/>
      <c r="U217" s="1942" t="n"/>
      <c r="V217" s="890" t="n"/>
      <c r="W217" s="1942" t="n"/>
      <c r="X217" s="890" t="n"/>
      <c r="Y217" s="1432" t="n"/>
      <c r="Z217" s="755" t="n"/>
      <c r="AA217" s="1432" t="n"/>
      <c r="AB217" s="755" t="n"/>
      <c r="AC217" s="1432" t="n"/>
      <c r="AD217" s="1186" t="n"/>
      <c r="AE217" s="1935" t="n"/>
      <c r="AF217" s="1186" t="n"/>
      <c r="AG217" s="1935" t="n"/>
      <c r="AH217" s="1186" t="n"/>
      <c r="AI217" s="1935" t="n"/>
      <c r="AJ217" s="1186" t="n"/>
      <c r="AK217" s="1935" t="n"/>
      <c r="AL217" s="1186" t="n"/>
      <c r="AM217" s="1935" t="n"/>
      <c r="AN217" s="1186" t="n"/>
      <c r="AO217" s="1935" t="n"/>
      <c r="AP217" s="1186" t="n"/>
      <c r="AQ217" s="5214" t="n"/>
      <c r="AR217" s="1964" t="n"/>
      <c r="AS217" s="36" t="n"/>
      <c r="AT217" s="1964" t="n"/>
      <c r="AU217" s="1964" t="n"/>
      <c r="AV217" s="36" t="n"/>
      <c r="AW217" s="1964" t="n"/>
      <c r="AX217" s="1186" t="n"/>
      <c r="AY217">
        <f>CA217&amp;CB217&amp;CC217&amp;CD217&amp;CE217&amp;CF217&amp;CG217&amp;CH217</f>
        <v/>
      </c>
      <c r="CA217" s="196">
        <f>IF(AND($D217&gt;0,AQ217=""),"  * No olvide digitar la variable Compra de servicio. Digite Cero si no tiene.","")</f>
        <v/>
      </c>
      <c r="CB217" s="196">
        <f>IF(AND($D217&gt;0,AR217="")," * No olvide digitar la variable Usuario con Discapacidad. Digite Cero si no tiene.",IF(AR217&gt;$D217," * La variable Usuario con Discapacidad no pueden superar el Total Ambos Sexos.",""))</f>
        <v/>
      </c>
      <c r="CC217" s="196">
        <f>IF(AND($D217&gt;0,AS217=""),"  * No olvide digitar la variable "&amp;AS$176&amp;". Digite Cero si no tiene.",IF(AS217&gt;D217," * La variable "&amp;AS$176&amp;"no pueden superar el Total Ambos Sexos.",""))</f>
        <v/>
      </c>
      <c r="CD217" s="196">
        <f>IF(AND($D217&gt;0,AT217="")," * No olvide digitar la variable "&amp;AT$176&amp;". Digite Cero si no tiene.",IF(AT217&gt;$D217," * La variable "&amp;AT$176&amp;" no pueden superar el Total Ambos Sexos.",""))</f>
        <v/>
      </c>
      <c r="CE217" s="196">
        <f>IF(AND($D217&gt;0,AU217="")," * No olvide digitar la variable Migrantes. Digite Cero si no tiene.",IF(AU217&gt;$D217," * La variable Migrantes no pueden superar el Total Ambos Sexos.",""))</f>
        <v/>
      </c>
      <c r="CF217" s="196">
        <f>IF(AND($D217&gt;0,AV217="")," * No olvide digitar la variable Egreso por Abandono. Digite Cero si no tiene.",IF(AV217&gt;$D217," * La variable Egreso por Abandono no pueden superar el Total Ambos Sexos.",""))</f>
        <v/>
      </c>
      <c r="CG217" s="196">
        <f>IF(AND($D217&gt;0,AW217=""),"  * No olvide digitar la variable Persona con ingreso integral y condición crónica. Digite Cero si no tiene.",IF(AW217&gt;$D217," * La variable Persona con ingreso integral y condición crónica no pueden superar el Total Ambos Sexos.",""))</f>
        <v/>
      </c>
      <c r="CH217" s="196">
        <f>IF(AND($D217&gt;0,AX217=""),"  * No olvide digitar la variable Pueblos Originarios. Digite Cero si no tiene.",IF(AX217&gt;$D217," * La variable Pueblos Originarios no pueden superar el Total Ambos Sexos.",""))</f>
        <v/>
      </c>
      <c r="CO217" s="197">
        <f>IF(AND($D217&gt;0,AQ217=""),1,0)</f>
        <v/>
      </c>
      <c r="CP217" s="197">
        <f>IF(AND($D217&gt;0,AR217=""),1,IF(AR217&gt;$D217,1,0))</f>
        <v/>
      </c>
      <c r="CQ217" s="197">
        <f>IF(AND($D217&gt;0,AS217=""),1,IF(AS217&gt;$D217,1,0))</f>
        <v/>
      </c>
      <c r="CR217" s="197">
        <f>IF(AND(D217&gt;0,AT217=""),1,IF(AT217&gt;D217,1,0))</f>
        <v/>
      </c>
      <c r="CS217" s="197">
        <f>IF(AND($D217&gt;0,AU217=""),1,IF(AU217&gt;$D217,1,0))</f>
        <v/>
      </c>
      <c r="CT217" s="197">
        <f>IF(AND($D217&gt;0,AV217=""),1,IF(AV217&gt;$D217,1,0))</f>
        <v/>
      </c>
      <c r="CU217" s="197">
        <f>IF(AND($D217&gt;0,AW217=""),1,IF(AW217&gt;$D217,1,0))</f>
        <v/>
      </c>
      <c r="CV217" s="197">
        <f>IF(AND($D217&gt;0,AX217=""),1,IF(AX217&gt;$D217,1,0))</f>
        <v/>
      </c>
    </row>
    <row r="218" ht="22.5" customHeight="1" s="8286">
      <c r="A218" s="9588" t="n"/>
      <c r="B218" s="9588" t="n"/>
      <c r="C218" s="1361" t="inlineStr">
        <is>
          <t xml:space="preserve">Alta integral en unidad dental móvil o portátil </t>
        </is>
      </c>
      <c r="D218" s="2955">
        <f>SUM(E218+F218)</f>
        <v/>
      </c>
      <c r="E218" s="1197">
        <f>SUM(Y218+AA218+AC218+AE218+AG218+AI218+AK218+AM218+AO218)</f>
        <v/>
      </c>
      <c r="F218" s="1207">
        <f>SUM(Z218+AB218+AD218+AF218+AH218+AJ218+AL218+AN218+AP218)</f>
        <v/>
      </c>
      <c r="G218" s="1942" t="n"/>
      <c r="H218" s="890" t="n"/>
      <c r="I218" s="1942" t="n"/>
      <c r="J218" s="890" t="n"/>
      <c r="K218" s="1942" t="n"/>
      <c r="L218" s="890" t="n"/>
      <c r="M218" s="1942" t="n"/>
      <c r="N218" s="890" t="n"/>
      <c r="O218" s="1942" t="n"/>
      <c r="P218" s="890" t="n"/>
      <c r="Q218" s="1942" t="n"/>
      <c r="R218" s="890" t="n"/>
      <c r="S218" s="1942" t="n"/>
      <c r="T218" s="890" t="n"/>
      <c r="U218" s="1942" t="n"/>
      <c r="V218" s="890" t="n"/>
      <c r="W218" s="1942" t="n"/>
      <c r="X218" s="890" t="n"/>
      <c r="Y218" s="204" t="n"/>
      <c r="Z218" s="2196" t="n"/>
      <c r="AA218" s="204" t="n"/>
      <c r="AB218" s="2196" t="n"/>
      <c r="AC218" s="204" t="n"/>
      <c r="AD218" s="2057" t="n"/>
      <c r="AE218" s="645" t="n"/>
      <c r="AF218" s="2057" t="n"/>
      <c r="AG218" s="645" t="n"/>
      <c r="AH218" s="2057" t="n"/>
      <c r="AI218" s="645" t="n"/>
      <c r="AJ218" s="2057" t="n"/>
      <c r="AK218" s="645" t="n"/>
      <c r="AL218" s="2057" t="n"/>
      <c r="AM218" s="645" t="n"/>
      <c r="AN218" s="2057" t="n"/>
      <c r="AO218" s="645" t="n"/>
      <c r="AP218" s="2057" t="n"/>
      <c r="AQ218" s="5247" t="n"/>
      <c r="AR218" s="670" t="n"/>
      <c r="AS218" s="37" t="n"/>
      <c r="AT218" s="670" t="n"/>
      <c r="AU218" s="670" t="n"/>
      <c r="AV218" s="37" t="n"/>
      <c r="AW218" s="670" t="n"/>
      <c r="AX218" s="2057" t="n"/>
      <c r="AY218">
        <f>CA218&amp;CB218&amp;CC218&amp;CD218&amp;CE218&amp;CF218&amp;CG218&amp;CH218</f>
        <v/>
      </c>
      <c r="CA218" s="196">
        <f>IF(AND($D218&gt;0,AQ218=""),"  * No olvide digitar la variable Compra de servicio. Digite Cero si no tiene.","")</f>
        <v/>
      </c>
      <c r="CB218" s="196">
        <f>IF(AND($D218&gt;0,AR218="")," * No olvide digitar la variable Usuario con Discapacidad. Digite Cero si no tiene.",IF(AR218&gt;$D218," * La variable Usuario con Discapacidad no pueden superar el Total Ambos Sexos.",""))</f>
        <v/>
      </c>
      <c r="CC218" s="196">
        <f>IF(AND($D218&gt;0,AS218=""),"  * No olvide digitar la variable "&amp;AS$176&amp;". Digite Cero si no tiene.",IF(AS218&gt;D218," * La variable "&amp;AS$176&amp;"no pueden superar el Total Ambos Sexos.",""))</f>
        <v/>
      </c>
      <c r="CD218" s="196">
        <f>IF(AND($D218&gt;0,AT218="")," * No olvide digitar la variable "&amp;AT$176&amp;". Digite Cero si no tiene.",IF(AT218&gt;$D218," * La variable "&amp;AT$176&amp;" no pueden superar el Total Ambos Sexos.",""))</f>
        <v/>
      </c>
      <c r="CE218" s="196">
        <f>IF(AND($D218&gt;0,AU218="")," * No olvide digitar la variable Migrantes. Digite Cero si no tiene.",IF(AU218&gt;$D218," * La variable Migrantes no pueden superar el Total Ambos Sexos.",""))</f>
        <v/>
      </c>
      <c r="CF218" s="196">
        <f>IF(AND($D218&gt;0,AV218="")," * No olvide digitar la variable Egreso por Abandono. Digite Cero si no tiene.",IF(AV218&gt;$D218," * La variable Egreso por Abandono no pueden superar el Total Ambos Sexos.",""))</f>
        <v/>
      </c>
      <c r="CG218" s="196">
        <f>IF(AND($D218&gt;0,AW218=""),"  * No olvide digitar la variable Persona con ingreso integral y condición crónica. Digite Cero si no tiene.",IF(AW218&gt;$D218," * La variable Persona con ingreso integral y condición crónica no pueden superar el Total Ambos Sexos.",""))</f>
        <v/>
      </c>
      <c r="CH218" s="196">
        <f>IF(AND($D218&gt;0,AX218=""),"  * No olvide digitar la variable Pueblos Originarios. Digite Cero si no tiene.",IF(AX218&gt;$D218," * La variable Pueblos Originarios no pueden superar el Total Ambos Sexos.",""))</f>
        <v/>
      </c>
      <c r="CO218" s="197">
        <f>IF(AND($D218&gt;0,AQ218=""),1,0)</f>
        <v/>
      </c>
      <c r="CP218" s="197">
        <f>IF(AND($D218&gt;0,AR218=""),1,IF(AR218&gt;$D218,1,0))</f>
        <v/>
      </c>
      <c r="CQ218" s="197">
        <f>IF(AND($D218&gt;0,AS218=""),1,IF(AS218&gt;$D218,1,0))</f>
        <v/>
      </c>
      <c r="CR218" s="197">
        <f>IF(AND(D218&gt;0,AT218=""),1,IF(AT218&gt;D218,1,0))</f>
        <v/>
      </c>
      <c r="CS218" s="197">
        <f>IF(AND($D218&gt;0,AU218=""),1,IF(AU218&gt;$D218,1,0))</f>
        <v/>
      </c>
      <c r="CT218" s="197">
        <f>IF(AND($D218&gt;0,AV218=""),1,IF(AV218&gt;$D218,1,0))</f>
        <v/>
      </c>
      <c r="CU218" s="197">
        <f>IF(AND($D218&gt;0,AW218=""),1,IF(AW218&gt;$D218,1,0))</f>
        <v/>
      </c>
      <c r="CV218" s="197">
        <f>IF(AND($D218&gt;0,AX218=""),1,IF(AX218&gt;$D218,1,0))</f>
        <v/>
      </c>
    </row>
    <row r="219" ht="22.5" customHeight="1" s="8286">
      <c r="A219" s="9589" t="n"/>
      <c r="B219" s="9589" t="n"/>
      <c r="C219" s="1240" t="inlineStr">
        <is>
          <t xml:space="preserve">Alta integral en establecimiento educacional </t>
        </is>
      </c>
      <c r="D219" s="2946">
        <f>SUM(E219+F219)</f>
        <v/>
      </c>
      <c r="E219" s="1203">
        <f>SUM(Y219+AA219+AC219+AE219+AG219+AI219+AK219+AM219+AO219)</f>
        <v/>
      </c>
      <c r="F219" s="2956">
        <f>SUM(Z219+AB219+AD219+AF219+AH219+AJ219+AL219+AN219+AP219)</f>
        <v/>
      </c>
      <c r="G219" s="1942" t="n"/>
      <c r="H219" s="890" t="n"/>
      <c r="I219" s="1942" t="n"/>
      <c r="J219" s="890" t="n"/>
      <c r="K219" s="1942" t="n"/>
      <c r="L219" s="890" t="n"/>
      <c r="M219" s="1942" t="n"/>
      <c r="N219" s="890" t="n"/>
      <c r="O219" s="1942" t="n"/>
      <c r="P219" s="890" t="n"/>
      <c r="Q219" s="1942" t="n"/>
      <c r="R219" s="890" t="n"/>
      <c r="S219" s="1942" t="n"/>
      <c r="T219" s="890" t="n"/>
      <c r="U219" s="1942" t="n"/>
      <c r="V219" s="890" t="n"/>
      <c r="W219" s="1942" t="n"/>
      <c r="X219" s="890" t="n"/>
      <c r="Y219" s="1193" t="n"/>
      <c r="Z219" s="1119" t="n"/>
      <c r="AA219" s="1193" t="n"/>
      <c r="AB219" s="1119" t="n"/>
      <c r="AC219" s="1193" t="n"/>
      <c r="AD219" s="1192" t="n"/>
      <c r="AE219" s="1188" t="n"/>
      <c r="AF219" s="1192" t="n"/>
      <c r="AG219" s="1188" t="n"/>
      <c r="AH219" s="1192" t="n"/>
      <c r="AI219" s="1188" t="n"/>
      <c r="AJ219" s="1192" t="n"/>
      <c r="AK219" s="1188" t="n"/>
      <c r="AL219" s="1192" t="n"/>
      <c r="AM219" s="1188" t="n"/>
      <c r="AN219" s="1192" t="n"/>
      <c r="AO219" s="1188" t="n"/>
      <c r="AP219" s="1192" t="n"/>
      <c r="AQ219" s="5249" t="n"/>
      <c r="AR219" s="1223" t="n"/>
      <c r="AS219" s="1227" t="n"/>
      <c r="AT219" s="1223" t="n"/>
      <c r="AU219" s="1223" t="n"/>
      <c r="AV219" s="1227" t="n"/>
      <c r="AW219" s="1223" t="n"/>
      <c r="AX219" s="1192" t="n"/>
      <c r="AY219">
        <f>CA219&amp;CB219&amp;CC219&amp;CD219&amp;CE219&amp;CF219&amp;CG219&amp;CH219</f>
        <v/>
      </c>
      <c r="CA219" s="196">
        <f>IF(AND($D219&gt;0,AQ219=""),"  * No olvide digitar la variable Compra de servicio. Digite Cero si no tiene.","")</f>
        <v/>
      </c>
      <c r="CB219" s="196">
        <f>IF(AND($D219&gt;0,AR219="")," * No olvide digitar la variable Usuario con Discapacidad. Digite Cero si no tiene.",IF(AR219&gt;$D219," * La variable Usuario con Discapacidad no pueden superar el Total Ambos Sexos.",""))</f>
        <v/>
      </c>
      <c r="CC219" s="196">
        <f>IF(AND($D219&gt;0,AS219=""),"  * No olvide digitar la variable "&amp;AS$176&amp;". Digite Cero si no tiene.",IF(AS219&gt;D219," * La variable "&amp;AS$176&amp;"no pueden superar el Total Ambos Sexos.",""))</f>
        <v/>
      </c>
      <c r="CD219" s="196">
        <f>IF(AND($D219&gt;0,AT219="")," * No olvide digitar la variable "&amp;AT$176&amp;". Digite Cero si no tiene.",IF(AT219&gt;$D219," * La variable "&amp;AT$176&amp;" no pueden superar el Total Ambos Sexos.",""))</f>
        <v/>
      </c>
      <c r="CE219" s="196">
        <f>IF(AND($D219&gt;0,AU219="")," * No olvide digitar la variable Migrantes. Digite Cero si no tiene.",IF(AU219&gt;$D219," * La variable Migrantes no pueden superar el Total Ambos Sexos.",""))</f>
        <v/>
      </c>
      <c r="CF219" s="196">
        <f>IF(AND($D219&gt;0,AV219="")," * No olvide digitar la variable Egreso por Abandono. Digite Cero si no tiene.",IF(AV219&gt;$D219," * La variable Egreso por Abandono no pueden superar el Total Ambos Sexos.",""))</f>
        <v/>
      </c>
      <c r="CG219" s="196">
        <f>IF(AND($D219&gt;0,AW219=""),"  * No olvide digitar la variable Persona con ingreso integral y condición crónica. Digite Cero si no tiene.",IF(AW219&gt;$D219," * La variable Persona con ingreso integral y condición crónica no pueden superar el Total Ambos Sexos.",""))</f>
        <v/>
      </c>
      <c r="CH219" s="196">
        <f>IF(AND($D219&gt;0,AX219=""),"  * No olvide digitar la variable Pueblos Originarios. Digite Cero si no tiene.",IF(AX219&gt;$D219," * La variable Pueblos Originarios no pueden superar el Total Ambos Sexos.",""))</f>
        <v/>
      </c>
      <c r="CO219" s="197">
        <f>IF(AND($D219&gt;0,AQ219=""),1,0)</f>
        <v/>
      </c>
      <c r="CP219" s="197">
        <f>IF(AND($D219&gt;0,AR219=""),1,IF(AR219&gt;$D219,1,0))</f>
        <v/>
      </c>
      <c r="CQ219" s="197">
        <f>IF(AND($D219&gt;0,AS219=""),1,IF(AS219&gt;$D219,1,0))</f>
        <v/>
      </c>
      <c r="CR219" s="197">
        <f>IF(AND(D219&gt;0,AT219=""),1,IF(AT219&gt;D219,1,0))</f>
        <v/>
      </c>
      <c r="CS219" s="197">
        <f>IF(AND($D219&gt;0,AU219=""),1,IF(AU219&gt;$D219,1,0))</f>
        <v/>
      </c>
      <c r="CT219" s="197">
        <f>IF(AND($D219&gt;0,AV219=""),1,IF(AV219&gt;$D219,1,0))</f>
        <v/>
      </c>
      <c r="CU219" s="197">
        <f>IF(AND($D219&gt;0,AW219=""),1,IF(AW219&gt;$D219,1,0))</f>
        <v/>
      </c>
      <c r="CV219" s="197">
        <f>IF(AND($D219&gt;0,AX219=""),1,IF(AX219&gt;$D219,1,0))</f>
        <v/>
      </c>
    </row>
    <row r="220" ht="35.25" customHeight="1" s="8286">
      <c r="A220" s="10270" t="inlineStr">
        <is>
          <t xml:space="preserve">Estrategia morbilidad adulto </t>
        </is>
      </c>
      <c r="B220" s="10236" t="inlineStr">
        <is>
          <t xml:space="preserve">Morbilidad adulto </t>
        </is>
      </c>
      <c r="C220" s="2315" t="inlineStr">
        <is>
          <t xml:space="preserve">N° total de actividades recuperativa realizada en &gt;20 años, en extensión horaria </t>
        </is>
      </c>
      <c r="D220" s="2896">
        <f>SUM(E220+F220)</f>
        <v/>
      </c>
      <c r="E220" s="2929">
        <f>SUM(AC220+AE220+AG220+AI220+AK220+AM220+AO220)</f>
        <v/>
      </c>
      <c r="F220" s="1933">
        <f>SUM(AD220+AF220+AH220+AJ220+AL220+AN220+AP220)</f>
        <v/>
      </c>
      <c r="G220" s="1319" t="n"/>
      <c r="H220" s="877" t="n"/>
      <c r="I220" s="1319" t="n"/>
      <c r="J220" s="877" t="n"/>
      <c r="K220" s="1319" t="n"/>
      <c r="L220" s="877" t="n"/>
      <c r="M220" s="1319" t="n"/>
      <c r="N220" s="877" t="n"/>
      <c r="O220" s="1319" t="n"/>
      <c r="P220" s="877" t="n"/>
      <c r="Q220" s="1319" t="n"/>
      <c r="R220" s="877" t="n"/>
      <c r="S220" s="1319" t="n"/>
      <c r="T220" s="877" t="n"/>
      <c r="U220" s="1319" t="n"/>
      <c r="V220" s="877" t="n"/>
      <c r="W220" s="1319" t="n"/>
      <c r="X220" s="877" t="n"/>
      <c r="Y220" s="2953" t="n"/>
      <c r="Z220" s="2415" t="n"/>
      <c r="AA220" s="2953" t="n"/>
      <c r="AB220" s="2415" t="n"/>
      <c r="AC220" s="2267" t="n">
        <v>18</v>
      </c>
      <c r="AD220" s="2336" t="n">
        <v>20</v>
      </c>
      <c r="AE220" s="2266" t="n">
        <v>4</v>
      </c>
      <c r="AF220" s="2336" t="n">
        <v>25</v>
      </c>
      <c r="AG220" s="2266" t="n">
        <v>4</v>
      </c>
      <c r="AH220" s="2336" t="n">
        <v>16</v>
      </c>
      <c r="AI220" s="2266" t="n">
        <v>12</v>
      </c>
      <c r="AJ220" s="2336" t="n">
        <v>42</v>
      </c>
      <c r="AK220" s="2266" t="n">
        <v>13</v>
      </c>
      <c r="AL220" s="2336" t="n">
        <v>28</v>
      </c>
      <c r="AM220" s="2266" t="n">
        <v>20</v>
      </c>
      <c r="AN220" s="2336" t="n">
        <v>21</v>
      </c>
      <c r="AO220" s="2266" t="n">
        <v>4</v>
      </c>
      <c r="AP220" s="2399" t="n">
        <v>1</v>
      </c>
      <c r="AQ220" s="5213" t="n">
        <v>0</v>
      </c>
      <c r="AR220" s="5189" t="n">
        <v>1</v>
      </c>
      <c r="AS220" s="4512" t="n">
        <v>0</v>
      </c>
      <c r="AT220" s="5189" t="n">
        <v>0</v>
      </c>
      <c r="AU220" s="5189" t="n">
        <v>15</v>
      </c>
      <c r="AV220" s="5279" t="n"/>
      <c r="AW220" s="5189" t="n">
        <v>0</v>
      </c>
      <c r="AX220" s="2336" t="n">
        <v>0</v>
      </c>
      <c r="AY220">
        <f>CA220&amp;CB220&amp;CC220&amp;CD220&amp;CE220&amp;CF220&amp;CG220&amp;CH220</f>
        <v/>
      </c>
      <c r="CA220" s="196">
        <f>IF(AND($D220&gt;0,AQ220=""),"  * No olvide digitar la variable Compra de servicio. Digite Cero si no tiene.","")</f>
        <v/>
      </c>
      <c r="CB220" s="196">
        <f>IF(AND($D220&gt;0,AR220="")," * No olvide digitar la variable Usuario con Discapacidad. Digite Cero si no tiene.",IF(AR220&gt;$D220," * La variable Usuario con Discapacidad no pueden superar el Total Ambos Sexos.",""))</f>
        <v/>
      </c>
      <c r="CC220" s="196">
        <f>IF(AND($D220&gt;0,AS220=""),"  * No olvide digitar la variable "&amp;AS$176&amp;". Digite Cero si no tiene.",IF(AS220&gt;D220," * La variable "&amp;AS$176&amp;"no pueden superar el Total Ambos Sexos.",""))</f>
        <v/>
      </c>
      <c r="CD220" s="196">
        <f>IF(AND($D220&gt;0,AT220="")," * No olvide digitar la variable "&amp;AT$176&amp;". Digite Cero si no tiene.",IF(AT220&gt;$D220," * La variable "&amp;AT$176&amp;" no pueden superar el Total Ambos Sexos.",""))</f>
        <v/>
      </c>
      <c r="CE220" s="196">
        <f>IF(AND($D220&gt;0,AU220="")," * No olvide digitar la variable Migrantes. Digite Cero si no tiene.",IF(AU220&gt;$D220," * La variable Migrantes no pueden superar el Total Ambos Sexos.",""))</f>
        <v/>
      </c>
      <c r="CF220" s="201" t="n"/>
      <c r="CG220" s="196">
        <f>IF(AND($D220&gt;0,AW220=""),"  * No olvide digitar la variable Persona con ingreso integral y condición crónica. Digite Cero si no tiene.",IF(AW220&gt;$D220," * La variable Persona con ingreso integral y condición crónica no pueden superar el Total Ambos Sexos.",""))</f>
        <v/>
      </c>
      <c r="CH220" s="196">
        <f>IF(AND($D220&gt;0,AX220=""),"  * No olvide digitar la variable Pueblos Originarios. Digite Cero si no tiene.",IF(AX220&gt;$D220," * La variable Pueblos Originarios no pueden superar el Total Ambos Sexos.",""))</f>
        <v/>
      </c>
      <c r="CO220" s="197">
        <f>IF(AND($D220&gt;0,AQ220=""),1,0)</f>
        <v/>
      </c>
      <c r="CP220" s="197">
        <f>IF(AND($D220&gt;0,AR220=""),1,IF(AR220&gt;$D220,1,0))</f>
        <v/>
      </c>
      <c r="CQ220" s="197">
        <f>IF(AND($D220&gt;0,AS220=""),1,IF(AS220&gt;$D220,1,0))</f>
        <v/>
      </c>
      <c r="CR220" s="197">
        <f>IF(AND(D220&gt;0,AT220=""),1,IF(AT220&gt;D220,1,0))</f>
        <v/>
      </c>
      <c r="CS220" s="197">
        <f>IF(AND($D220&gt;0,AU220=""),1,IF(AU220&gt;$D220,1,0))</f>
        <v/>
      </c>
      <c r="CT220" s="201" t="n"/>
      <c r="CU220" s="197">
        <f>IF(AND($D220&gt;0,AW220=""),1,IF(AW220&gt;$D220,1,0))</f>
        <v/>
      </c>
      <c r="CV220" s="197">
        <f>IF(AND($D220&gt;0,AX220=""),1,IF(AX220&gt;$D220,1,0))</f>
        <v/>
      </c>
    </row>
    <row r="221" ht="28.5" customHeight="1" s="8286">
      <c r="A221" s="9610" t="n"/>
      <c r="B221" s="9589" t="n"/>
      <c r="C221" s="1149" t="inlineStr">
        <is>
          <t xml:space="preserve">N° de consultas de morbilidad realizadas en &gt;20 años, en extensión horaria </t>
        </is>
      </c>
      <c r="D221" s="2946">
        <f>SUM(E221+F221)</f>
        <v/>
      </c>
      <c r="E221" s="1203">
        <f>SUM(AC221+AE221+AG221+AI221+AK221+AM221+AO221)</f>
        <v/>
      </c>
      <c r="F221" s="2956">
        <f>SUM(AD221+AF221+AH221+AJ221+AL221+AN221+AP221)</f>
        <v/>
      </c>
      <c r="G221" s="1322" t="n"/>
      <c r="H221" s="1323" t="n"/>
      <c r="I221" s="1322" t="n"/>
      <c r="J221" s="1323" t="n"/>
      <c r="K221" s="1322" t="n"/>
      <c r="L221" s="1323" t="n"/>
      <c r="M221" s="1322" t="n"/>
      <c r="N221" s="1323" t="n"/>
      <c r="O221" s="1322" t="n"/>
      <c r="P221" s="1323" t="n"/>
      <c r="Q221" s="1322" t="n"/>
      <c r="R221" s="1323" t="n"/>
      <c r="S221" s="1322" t="n"/>
      <c r="T221" s="1323" t="n"/>
      <c r="U221" s="1322" t="n"/>
      <c r="V221" s="1323" t="n"/>
      <c r="W221" s="1322" t="n"/>
      <c r="X221" s="1323" t="n"/>
      <c r="Y221" s="1322" t="n"/>
      <c r="Z221" s="1323" t="n"/>
      <c r="AA221" s="1322" t="n"/>
      <c r="AB221" s="1323" t="n"/>
      <c r="AC221" s="1193" t="n">
        <v>9</v>
      </c>
      <c r="AD221" s="1192" t="n">
        <v>16</v>
      </c>
      <c r="AE221" s="1188" t="n">
        <v>4</v>
      </c>
      <c r="AF221" s="1192" t="n">
        <v>19</v>
      </c>
      <c r="AG221" s="1188" t="n">
        <v>4</v>
      </c>
      <c r="AH221" s="1192" t="n">
        <v>13</v>
      </c>
      <c r="AI221" s="1188" t="n">
        <v>11</v>
      </c>
      <c r="AJ221" s="1192" t="n">
        <v>32</v>
      </c>
      <c r="AK221" s="1188" t="n">
        <v>10</v>
      </c>
      <c r="AL221" s="1192" t="n">
        <v>22</v>
      </c>
      <c r="AM221" s="1188" t="n">
        <v>8</v>
      </c>
      <c r="AN221" s="1192" t="n">
        <v>15</v>
      </c>
      <c r="AO221" s="1188" t="n">
        <v>3</v>
      </c>
      <c r="AP221" s="1227" t="n">
        <v>1</v>
      </c>
      <c r="AQ221" s="5249" t="n">
        <v>0</v>
      </c>
      <c r="AR221" s="1223" t="n">
        <v>1</v>
      </c>
      <c r="AS221" s="1227" t="n">
        <v>0</v>
      </c>
      <c r="AT221" s="1223" t="n">
        <v>0</v>
      </c>
      <c r="AU221" s="1223" t="n">
        <v>12</v>
      </c>
      <c r="AV221" s="1389" t="n"/>
      <c r="AW221" s="1223" t="n">
        <v>0</v>
      </c>
      <c r="AX221" s="1192" t="n">
        <v>0</v>
      </c>
      <c r="AY221">
        <f>CA221&amp;CB221&amp;CC221&amp;CD221&amp;CE221&amp;CF221&amp;CG221&amp;CH221</f>
        <v/>
      </c>
      <c r="CA221" s="196">
        <f>IF(AND($D221&gt;0,AQ221=""),"  * No olvide digitar la variable Compra de servicio. Digite Cero si no tiene.","")</f>
        <v/>
      </c>
      <c r="CB221" s="196">
        <f>IF(AND($D221&gt;0,AR221="")," * No olvide digitar la variable Usuario con Discapacidad. Digite Cero si no tiene.",IF(AR221&gt;$D221," * La variable Usuario con Discapacidad no pueden superar el Total Ambos Sexos.",""))</f>
        <v/>
      </c>
      <c r="CC221" s="196">
        <f>IF(AND($D221&gt;0,AS221=""),"  * No olvide digitar la variable "&amp;AS$176&amp;". Digite Cero si no tiene.",IF(AS221&gt;D221," * La variable "&amp;AS$176&amp;"no pueden superar el Total Ambos Sexos.",""))</f>
        <v/>
      </c>
      <c r="CD221" s="196">
        <f>IF(AND($D221&gt;0,AT221="")," * No olvide digitar la variable "&amp;AT$176&amp;". Digite Cero si no tiene.",IF(AT221&gt;$D221," * La variable "&amp;AT$176&amp;" no pueden superar el Total Ambos Sexos.",""))</f>
        <v/>
      </c>
      <c r="CE221" s="196">
        <f>IF(AND($D221&gt;0,AU221="")," * No olvide digitar la variable Migrantes. Digite Cero si no tiene.",IF(AU221&gt;$D221," * La variable Migrantes no pueden superar el Total Ambos Sexos.",""))</f>
        <v/>
      </c>
      <c r="CF221" s="201" t="n"/>
      <c r="CG221" s="196">
        <f>IF(AND($D221&gt;0,AW221=""),"  * No olvide digitar la variable Persona con ingreso integral y condición crónica. Digite Cero si no tiene.",IF(AW221&gt;$D221," * La variable Persona con ingreso integral y condición crónica no pueden superar el Total Ambos Sexos.",""))</f>
        <v/>
      </c>
      <c r="CH221" s="196">
        <f>IF(AND($D221&gt;0,AX221=""),"  * No olvide digitar la variable Pueblos Originarios. Digite Cero si no tiene.",IF(AX221&gt;$D221," * La variable Pueblos Originarios no pueden superar el Total Ambos Sexos.",""))</f>
        <v/>
      </c>
      <c r="CO221" s="197">
        <f>IF(AND($D221&gt;0,AQ221=""),1,0)</f>
        <v/>
      </c>
      <c r="CP221" s="197">
        <f>IF(AND($D221&gt;0,AR221=""),1,IF(AR221&gt;$D221,1,0))</f>
        <v/>
      </c>
      <c r="CQ221" s="197">
        <f>IF(AND($D221&gt;0,AS221=""),1,IF(AS221&gt;$D221,1,0))</f>
        <v/>
      </c>
      <c r="CR221" s="197">
        <f>IF(AND(D221&gt;0,AT221=""),1,IF(AT221&gt;D221,1,0))</f>
        <v/>
      </c>
      <c r="CS221" s="197">
        <f>IF(AND($D221&gt;0,AU221=""),1,IF(AU221&gt;$D221,1,0))</f>
        <v/>
      </c>
      <c r="CT221" s="201" t="n"/>
      <c r="CU221" s="197">
        <f>IF(AND($D221&gt;0,AW221=""),1,IF(AW221&gt;$D221,1,0))</f>
        <v/>
      </c>
      <c r="CV221" s="197">
        <f>IF(AND($D221&gt;0,AX221=""),1,IF(AX221&gt;$D221,1,0))</f>
        <v/>
      </c>
    </row>
    <row r="222" ht="15" customHeight="1" s="8286">
      <c r="A222" s="10267" t="inlineStr">
        <is>
          <t>Estrategia  ECICEP - Atención Periodontal personas con  Diabetes Mellitus</t>
        </is>
      </c>
      <c r="B222" s="10271" t="inlineStr">
        <is>
          <t>Tratamiento periodoncia Odontólogo APS</t>
        </is>
      </c>
      <c r="C222" s="2315" t="inlineStr">
        <is>
          <t xml:space="preserve">N° Pacientes </t>
        </is>
      </c>
      <c r="D222" s="2949">
        <f>SUM(E222+F222)</f>
        <v/>
      </c>
      <c r="E222" s="2957">
        <f>SUM(AA222+AC222+AE222+AG222+AI222+AK222+AM222+AO222)</f>
        <v/>
      </c>
      <c r="F222" s="2672">
        <f>SUM(AB222+AD222+AF222+AH222+AJ222+AL222+AN222+AP222)</f>
        <v/>
      </c>
      <c r="G222" s="2192" t="n"/>
      <c r="H222" s="877" t="n"/>
      <c r="I222" s="1319" t="n"/>
      <c r="J222" s="877" t="n"/>
      <c r="K222" s="1319" t="n"/>
      <c r="L222" s="877" t="n"/>
      <c r="M222" s="1319" t="n"/>
      <c r="N222" s="877" t="n"/>
      <c r="O222" s="1319" t="n"/>
      <c r="P222" s="877" t="n"/>
      <c r="Q222" s="1319" t="n"/>
      <c r="R222" s="877" t="n"/>
      <c r="S222" s="1319" t="n"/>
      <c r="T222" s="877" t="n"/>
      <c r="U222" s="1319" t="n"/>
      <c r="V222" s="877" t="n"/>
      <c r="W222" s="1319" t="n"/>
      <c r="X222" s="877" t="n"/>
      <c r="Y222" s="1319" t="n"/>
      <c r="Z222" s="2415" t="n"/>
      <c r="AA222" s="2267" t="n"/>
      <c r="AB222" s="2337" t="n"/>
      <c r="AC222" s="2267" t="n"/>
      <c r="AD222" s="2336" t="n"/>
      <c r="AE222" s="2267" t="n"/>
      <c r="AF222" s="2336" t="n"/>
      <c r="AG222" s="2267" t="n"/>
      <c r="AH222" s="2336" t="n"/>
      <c r="AI222" s="2267" t="n"/>
      <c r="AJ222" s="2336" t="n"/>
      <c r="AK222" s="2267" t="n"/>
      <c r="AL222" s="2336" t="n"/>
      <c r="AM222" s="2267" t="n"/>
      <c r="AN222" s="2336" t="n"/>
      <c r="AO222" s="2266" t="n"/>
      <c r="AP222" s="2399" t="n"/>
      <c r="AQ222" s="5213" t="n"/>
      <c r="AR222" s="5189" t="n"/>
      <c r="AS222" s="4512" t="n"/>
      <c r="AT222" s="5189" t="n"/>
      <c r="AU222" s="5189" t="n"/>
      <c r="AV222" s="4512" t="n"/>
      <c r="AW222" s="5189" t="n"/>
      <c r="AX222" s="2336" t="n"/>
      <c r="AY222">
        <f>CA222&amp;CB222&amp;CC222&amp;CD222&amp;CE222&amp;CF222&amp;CG222&amp;CH222</f>
        <v/>
      </c>
      <c r="CA222" s="196">
        <f>IF(AND($D222&gt;0,AQ222=""),"  * No olvide digitar la variable Compra de servicio. Digite Cero si no tiene.","")</f>
        <v/>
      </c>
      <c r="CB222" s="196">
        <f>IF(AND($D222&gt;0,AR222="")," * No olvide digitar la variable Usuario con Discapacidad. Digite Cero si no tiene.",IF(AR222&gt;$D222," * La variable Usuario con Discapacidad no pueden superar el Total Ambos Sexos.",""))</f>
        <v/>
      </c>
      <c r="CC222" s="196">
        <f>IF(AND($D222&gt;0,AS222=""),"  * No olvide digitar la variable "&amp;AS$176&amp;". Digite Cero si no tiene.",IF(AS222&gt;D222," * La variable "&amp;AS$176&amp;"no pueden superar el Total Ambos Sexos.",""))</f>
        <v/>
      </c>
      <c r="CD222" s="196">
        <f>IF(AND($D222&gt;0,AT222="")," * No olvide digitar la variable "&amp;AT$176&amp;". Digite Cero si no tiene.",IF(AT222&gt;$D222," * La variable "&amp;AT$176&amp;" no pueden superar el Total Ambos Sexos.",""))</f>
        <v/>
      </c>
      <c r="CE222" s="196">
        <f>IF(AND($D222&gt;0,AU222="")," * No olvide digitar la variable Migrantes. Digite Cero si no tiene.",IF(AU222&gt;$D222," * La variable Migrantes no pueden superar el Total Ambos Sexos.",""))</f>
        <v/>
      </c>
      <c r="CF222" s="196">
        <f>IF(AND($D222&gt;0,AV222="")," * No olvide digitar la variable Egreso por Abandono. Digite Cero si no tiene.",IF(AV222&gt;$D222," * La variable Egreso por Abandono no pueden superar el Total Ambos Sexos.",""))</f>
        <v/>
      </c>
      <c r="CG222" s="196">
        <f>IF(AND($D222&gt;0,AW222=""),"  * No olvide digitar la variable Persona con ingreso integral y condición crónica. Digite Cero si no tiene.",IF(AW222&gt;$D222," * La variable Persona con ingreso integral y condición crónica no pueden superar el Total Ambos Sexos.",""))</f>
        <v/>
      </c>
      <c r="CH222" s="196">
        <f>IF(AND($D222&gt;0,AX222=""),"  * No olvide digitar la variable Pueblos Originarios. Digite Cero si no tiene.",IF(AX222&gt;$D222," * La variable Pueblos Originarios no pueden superar el Total Ambos Sexos.",""))</f>
        <v/>
      </c>
      <c r="CO222" s="197">
        <f>IF(AND($D222&gt;0,AQ222=""),1,0)</f>
        <v/>
      </c>
      <c r="CP222" s="197">
        <f>IF(AND($D222&gt;0,AR222=""),1,IF(AR222&gt;$D222,1,0))</f>
        <v/>
      </c>
      <c r="CQ222" s="197">
        <f>IF(AND($D222&gt;0,AS222=""),1,IF(AS222&gt;$D222,1,0))</f>
        <v/>
      </c>
      <c r="CR222" s="197">
        <f>IF(AND(D222&gt;0,AT222=""),1,IF(AT222&gt;D222,1,0))</f>
        <v/>
      </c>
      <c r="CS222" s="197">
        <f>IF(AND($D222&gt;0,AU222=""),1,IF(AU222&gt;$D222,1,0))</f>
        <v/>
      </c>
      <c r="CT222" s="197">
        <f>IF(AND($D222&gt;0,AV222=""),1,IF(AV222&gt;$D222,1,0))</f>
        <v/>
      </c>
      <c r="CU222" s="197">
        <f>IF(AND($D222&gt;0,AW222=""),1,IF(AW222&gt;$D222,1,0))</f>
        <v/>
      </c>
      <c r="CV222" s="197">
        <f>IF(AND($D222&gt;0,AX222=""),1,IF(AX222&gt;$D222,1,0))</f>
        <v/>
      </c>
    </row>
    <row r="223" ht="15" customHeight="1" s="8286">
      <c r="A223" s="9588" t="n"/>
      <c r="B223" s="642" t="n"/>
      <c r="C223" s="2958" t="inlineStr">
        <is>
          <t xml:space="preserve">N° de sextantes  </t>
        </is>
      </c>
      <c r="D223" s="699">
        <f>SUM(E223+F223)</f>
        <v/>
      </c>
      <c r="E223" s="2959">
        <f>SUM(AA223+AC223+AE223+AG223+AI223+AK223+AM223+AO223)</f>
        <v/>
      </c>
      <c r="F223" s="2956">
        <f>SUM(AB223+AD223+AF223+AH223+AJ223+AL223+AN223+AP223)</f>
        <v/>
      </c>
      <c r="G223" s="1395" t="n"/>
      <c r="H223" s="1310" t="n"/>
      <c r="I223" s="1394" t="n"/>
      <c r="J223" s="1310" t="n"/>
      <c r="K223" s="1394" t="n"/>
      <c r="L223" s="1310" t="n"/>
      <c r="M223" s="1394" t="n"/>
      <c r="N223" s="1310" t="n"/>
      <c r="O223" s="1394" t="n"/>
      <c r="P223" s="1310" t="n"/>
      <c r="Q223" s="1394" t="n"/>
      <c r="R223" s="1310" t="n"/>
      <c r="S223" s="1394" t="n"/>
      <c r="T223" s="1310" t="n"/>
      <c r="U223" s="1394" t="n"/>
      <c r="V223" s="1310" t="n"/>
      <c r="W223" s="1394" t="n"/>
      <c r="X223" s="1310" t="n"/>
      <c r="Y223" s="1394" t="n"/>
      <c r="Z223" s="1310" t="n"/>
      <c r="AA223" s="1193" t="n"/>
      <c r="AB223" s="1119" t="n"/>
      <c r="AC223" s="1193" t="n"/>
      <c r="AD223" s="1192" t="n"/>
      <c r="AE223" s="1193" t="n"/>
      <c r="AF223" s="1192" t="n"/>
      <c r="AG223" s="1193" t="n"/>
      <c r="AH223" s="1192" t="n"/>
      <c r="AI223" s="1193" t="n"/>
      <c r="AJ223" s="1192" t="n"/>
      <c r="AK223" s="1193" t="n"/>
      <c r="AL223" s="1192" t="n"/>
      <c r="AM223" s="1193" t="n"/>
      <c r="AN223" s="1192" t="n"/>
      <c r="AO223" s="1188" t="n"/>
      <c r="AP223" s="1227" t="n"/>
      <c r="AQ223" s="5249" t="n"/>
      <c r="AR223" s="1223" t="n"/>
      <c r="AS223" s="1227" t="n"/>
      <c r="AT223" s="1223" t="n"/>
      <c r="AU223" s="1223" t="n"/>
      <c r="AV223" s="1389" t="n"/>
      <c r="AW223" s="1223" t="n"/>
      <c r="AX223" s="1192" t="n"/>
      <c r="AY223">
        <f>CA223&amp;CB223&amp;CC223&amp;CD223&amp;CE223&amp;CF223&amp;CG223&amp;CH223</f>
        <v/>
      </c>
      <c r="CA223" s="196">
        <f>IF(AND($D223&gt;0,AQ223=""),"  * No olvide digitar la variable Compra de servicio. Digite Cero si no tiene.","")</f>
        <v/>
      </c>
      <c r="CB223" s="196">
        <f>IF(AND($D223&gt;0,AR223="")," * No olvide digitar la variable Usuario con Discapacidad. Digite Cero si no tiene.",IF(AR223&gt;$D223," * La variable Usuario con Discapacidad no pueden superar el Total Ambos Sexos.",""))</f>
        <v/>
      </c>
      <c r="CC223" s="196">
        <f>IF(AND($D223&gt;0,AS223=""),"  * No olvide digitar la variable "&amp;AS$176&amp;". Digite Cero si no tiene.",IF(AS223&gt;D223," * La variable "&amp;AS$176&amp;"no pueden superar el Total Ambos Sexos.",""))</f>
        <v/>
      </c>
      <c r="CD223" s="196">
        <f>IF(AND($D223&gt;0,AT223="")," * No olvide digitar la variable "&amp;AT$176&amp;". Digite Cero si no tiene.",IF(AT223&gt;$D223," * La variable "&amp;AT$176&amp;" no pueden superar el Total Ambos Sexos.",""))</f>
        <v/>
      </c>
      <c r="CE223" s="196">
        <f>IF(AND($D223&gt;0,AU223="")," * No olvide digitar la variable Migrantes. Digite Cero si no tiene.",IF(AU223&gt;$D223," * La variable Migrantes no pueden superar el Total Ambos Sexos.",""))</f>
        <v/>
      </c>
      <c r="CF223" s="201" t="n"/>
      <c r="CG223" s="196">
        <f>IF(AND($D223&gt;0,AW223=""),"  * No olvide digitar la variable Persona con ingreso integral y condición crónica. Digite Cero si no tiene.",IF(AW223&gt;$D223," * La variable Persona con ingreso integral y condición crónica no pueden superar el Total Ambos Sexos.",""))</f>
        <v/>
      </c>
      <c r="CH223" s="196">
        <f>IF(AND($D223&gt;0,AX223=""),"  * No olvide digitar la variable Pueblos Originarios. Digite Cero si no tiene.",IF(AX223&gt;$D223," * La variable Pueblos Originarios no pueden superar el Total Ambos Sexos.",""))</f>
        <v/>
      </c>
      <c r="CO223" s="197">
        <f>IF(AND($D223&gt;0,AQ223=""),1,0)</f>
        <v/>
      </c>
      <c r="CP223" s="197">
        <f>IF(AND($D223&gt;0,AR223=""),1,IF(AR223&gt;$D223,1,0))</f>
        <v/>
      </c>
      <c r="CQ223" s="197">
        <f>IF(AND($D223&gt;0,AS223=""),1,IF(AS223&gt;$D223,1,0))</f>
        <v/>
      </c>
      <c r="CR223" s="197">
        <f>IF(AND(D223&gt;0,AT223=""),1,IF(AT223&gt;D223,1,0))</f>
        <v/>
      </c>
      <c r="CS223" s="197">
        <f>IF(AND($D223&gt;0,AU223=""),1,IF(AU223&gt;$D223,1,0))</f>
        <v/>
      </c>
      <c r="CT223" s="201" t="n"/>
      <c r="CU223" s="197">
        <f>IF(AND($D223&gt;0,AW223=""),1,IF(AW223&gt;$D223,1,0))</f>
        <v/>
      </c>
      <c r="CV223" s="197">
        <f>IF(AND($D223&gt;0,AX223=""),1,IF(AX223&gt;$D223,1,0))</f>
        <v/>
      </c>
    </row>
    <row r="224" ht="15" customHeight="1" s="8286">
      <c r="A224" s="9588" t="n"/>
      <c r="B224" s="10236" t="inlineStr">
        <is>
          <t>Tratamiento de periodoncia por periodoncista</t>
        </is>
      </c>
      <c r="C224" s="2315" t="inlineStr">
        <is>
          <t xml:space="preserve">N° Pacientes </t>
        </is>
      </c>
      <c r="D224" s="2949">
        <f>SUM(E224+F224)</f>
        <v/>
      </c>
      <c r="E224" s="2929">
        <f>SUM(AA224+AC224+AE224+AG224+AI224+AK224+AM224+AO224)</f>
        <v/>
      </c>
      <c r="F224" s="1933">
        <f>SUM(AB224+AD224+AF224+AH224+AJ224+AL224+AN224+AP224)</f>
        <v/>
      </c>
      <c r="G224" s="2192" t="n"/>
      <c r="H224" s="2415" t="n"/>
      <c r="I224" s="2953" t="n"/>
      <c r="J224" s="2415" t="n"/>
      <c r="K224" s="2953" t="n"/>
      <c r="L224" s="2415" t="n"/>
      <c r="M224" s="2953" t="n"/>
      <c r="N224" s="2415" t="n"/>
      <c r="O224" s="2953" t="n"/>
      <c r="P224" s="2415" t="n"/>
      <c r="Q224" s="2953" t="n"/>
      <c r="R224" s="2415" t="n"/>
      <c r="S224" s="2953" t="n"/>
      <c r="T224" s="2415" t="n"/>
      <c r="U224" s="2953" t="n"/>
      <c r="V224" s="2415" t="n"/>
      <c r="W224" s="2953" t="n"/>
      <c r="X224" s="2415" t="n"/>
      <c r="Y224" s="2953" t="n"/>
      <c r="Z224" s="2415" t="n"/>
      <c r="AA224" s="1432" t="n"/>
      <c r="AB224" s="755" t="n"/>
      <c r="AC224" s="2267" t="n"/>
      <c r="AD224" s="2336" t="n"/>
      <c r="AE224" s="2267" t="n"/>
      <c r="AF224" s="2336" t="n"/>
      <c r="AG224" s="2267" t="n"/>
      <c r="AH224" s="2336" t="n"/>
      <c r="AI224" s="2267" t="n"/>
      <c r="AJ224" s="2336" t="n"/>
      <c r="AK224" s="2267" t="n"/>
      <c r="AL224" s="2336" t="n"/>
      <c r="AM224" s="2267" t="n"/>
      <c r="AN224" s="2336" t="n"/>
      <c r="AO224" s="2266" t="n"/>
      <c r="AP224" s="2336" t="n"/>
      <c r="AQ224" s="5213" t="n"/>
      <c r="AR224" s="5189" t="n"/>
      <c r="AS224" s="4512" t="n"/>
      <c r="AT224" s="5189" t="n"/>
      <c r="AU224" s="5189" t="n"/>
      <c r="AV224" s="4512" t="n"/>
      <c r="AW224" s="5189" t="n"/>
      <c r="AX224" s="2336" t="n"/>
      <c r="AY224">
        <f>CA224&amp;CB224&amp;CC224&amp;CD224&amp;CE224&amp;CF224&amp;CG224&amp;CH224</f>
        <v/>
      </c>
      <c r="CA224" s="196">
        <f>IF(AND($D224&gt;0,AQ224=""),"  * No olvide digitar la variable Compra de servicio. Digite Cero si no tiene.","")</f>
        <v/>
      </c>
      <c r="CB224" s="196">
        <f>IF(AND($D224&gt;0,AR224="")," * No olvide digitar la variable Usuario con Discapacidad. Digite Cero si no tiene.",IF(AR224&gt;$D224," * La variable Usuario con Discapacidad no pueden superar el Total Ambos Sexos.",""))</f>
        <v/>
      </c>
      <c r="CC224" s="196">
        <f>IF(AND($D224&gt;0,AS224=""),"  * No olvide digitar la variable "&amp;AS$176&amp;". Digite Cero si no tiene.",IF(AS224&gt;D224," * La variable "&amp;AS$176&amp;"no pueden superar el Total Ambos Sexos.",""))</f>
        <v/>
      </c>
      <c r="CD224" s="196">
        <f>IF(AND($D224&gt;0,AT224="")," * No olvide digitar la variable "&amp;AT$176&amp;". Digite Cero si no tiene.",IF(AT224&gt;$D224," * La variable "&amp;AT$176&amp;" no pueden superar el Total Ambos Sexos.",""))</f>
        <v/>
      </c>
      <c r="CE224" s="196">
        <f>IF(AND($D224&gt;0,AU224="")," * No olvide digitar la variable Migrantes. Digite Cero si no tiene.",IF(AU224&gt;$D224," * La variable Migrantes no pueden superar el Total Ambos Sexos.",""))</f>
        <v/>
      </c>
      <c r="CF224" s="196">
        <f>IF(AND($D224&gt;0,AV224="")," * No olvide digitar la variable Egreso por Abandono. Digite Cero si no tiene.",IF(AV224&gt;$D224," * La variable Egreso por Abandono no pueden superar el Total Ambos Sexos.",""))</f>
        <v/>
      </c>
      <c r="CG224" s="196">
        <f>IF(AND($D224&gt;0,AW224=""),"  * No olvide digitar la variable Persona con ingreso integral y condición crónica. Digite Cero si no tiene.",IF(AW224&gt;$D224," * La variable Persona con ingreso integral y condición crónica no pueden superar el Total Ambos Sexos.",""))</f>
        <v/>
      </c>
      <c r="CH224" s="196">
        <f>IF(AND($D224&gt;0,AX224=""),"  * No olvide digitar la variable Pueblos Originarios. Digite Cero si no tiene.",IF(AX224&gt;$D224," * La variable Pueblos Originarios no pueden superar el Total Ambos Sexos.",""))</f>
        <v/>
      </c>
      <c r="CO224" s="197">
        <f>IF(AND($D224&gt;0,AQ224=""),1,0)</f>
        <v/>
      </c>
      <c r="CP224" s="197">
        <f>IF(AND($D224&gt;0,AR224=""),1,IF(AR224&gt;$D224,1,0))</f>
        <v/>
      </c>
      <c r="CQ224" s="197">
        <f>IF(AND($D224&gt;0,AS224=""),1,IF(AS224&gt;$D224,1,0))</f>
        <v/>
      </c>
      <c r="CR224" s="197">
        <f>IF(AND(D224&gt;0,AT224=""),1,IF(AT224&gt;D224,1,0))</f>
        <v/>
      </c>
      <c r="CS224" s="197">
        <f>IF(AND($D224&gt;0,AU224=""),1,IF(AU224&gt;$D224,1,0))</f>
        <v/>
      </c>
      <c r="CT224" s="197">
        <f>IF(AND($D224&gt;0,AV224=""),1,IF(AV224&gt;$D224,1,0))</f>
        <v/>
      </c>
      <c r="CU224" s="197">
        <f>IF(AND($D224&gt;0,AW224=""),1,IF(AW224&gt;$D224,1,0))</f>
        <v/>
      </c>
      <c r="CV224" s="197">
        <f>IF(AND($D224&gt;0,AX224=""),1,IF(AX224&gt;$D224,1,0))</f>
        <v/>
      </c>
    </row>
    <row r="225" ht="15" customHeight="1" s="8286">
      <c r="A225" s="9588" t="n"/>
      <c r="B225" s="9588" t="n"/>
      <c r="C225" s="332" t="inlineStr">
        <is>
          <t xml:space="preserve">N° de sextantes por periodoncista </t>
        </is>
      </c>
      <c r="D225" s="2896">
        <f>SUM(E225+F225)</f>
        <v/>
      </c>
      <c r="E225" s="2929">
        <f>SUM(AA225+AC225+AE225+AG225+AI225+AK225+AM225+AO225)</f>
        <v/>
      </c>
      <c r="F225" s="1207">
        <f>SUM(AB225+AD225+AF225+AH225+AJ225+AL225+AN225+AP225)</f>
        <v/>
      </c>
      <c r="G225" s="1941" t="n"/>
      <c r="H225" s="890" t="n"/>
      <c r="I225" s="1942" t="n"/>
      <c r="J225" s="890" t="n"/>
      <c r="K225" s="1942" t="n"/>
      <c r="L225" s="890" t="n"/>
      <c r="M225" s="1942" t="n"/>
      <c r="N225" s="890" t="n"/>
      <c r="O225" s="1942" t="n"/>
      <c r="P225" s="890" t="n"/>
      <c r="Q225" s="1942" t="n"/>
      <c r="R225" s="890" t="n"/>
      <c r="S225" s="1942" t="n"/>
      <c r="T225" s="890" t="n"/>
      <c r="U225" s="1942" t="n"/>
      <c r="V225" s="890" t="n"/>
      <c r="W225" s="1942" t="n"/>
      <c r="X225" s="890" t="n"/>
      <c r="Y225" s="1942" t="n"/>
      <c r="Z225" s="890" t="n"/>
      <c r="AA225" s="204" t="n"/>
      <c r="AB225" s="2196" t="n"/>
      <c r="AC225" s="204" t="n"/>
      <c r="AD225" s="2057" t="n"/>
      <c r="AE225" s="204" t="n"/>
      <c r="AF225" s="2057" t="n"/>
      <c r="AG225" s="204" t="n"/>
      <c r="AH225" s="2057" t="n"/>
      <c r="AI225" s="204" t="n"/>
      <c r="AJ225" s="2057" t="n"/>
      <c r="AK225" s="204" t="n"/>
      <c r="AL225" s="2057" t="n"/>
      <c r="AM225" s="204" t="n"/>
      <c r="AN225" s="2057" t="n"/>
      <c r="AO225" s="645" t="n"/>
      <c r="AP225" s="2057" t="n"/>
      <c r="AQ225" s="5247" t="n"/>
      <c r="AR225" s="670" t="n"/>
      <c r="AS225" s="37" t="n"/>
      <c r="AT225" s="670" t="n"/>
      <c r="AU225" s="670" t="n"/>
      <c r="AV225" s="4188" t="n"/>
      <c r="AW225" s="670" t="n"/>
      <c r="AX225" s="2057" t="n"/>
      <c r="AY225">
        <f>CA225&amp;CB225&amp;CC225&amp;CD225&amp;CE225&amp;CF225&amp;CG225&amp;CH225</f>
        <v/>
      </c>
      <c r="CA225" s="196">
        <f>IF(AND($D225&gt;0,AQ225=""),"  * No olvide digitar la variable Compra de servicio. Digite Cero si no tiene.","")</f>
        <v/>
      </c>
      <c r="CB225" s="196">
        <f>IF(AND($D225&gt;0,AR225="")," * No olvide digitar la variable Usuario con Discapacidad. Digite Cero si no tiene.",IF(AR225&gt;$D225," * La variable Usuario con Discapacidad no pueden superar el Total Ambos Sexos.",""))</f>
        <v/>
      </c>
      <c r="CC225" s="196">
        <f>IF(AND($D225&gt;0,AS225=""),"  * No olvide digitar la variable "&amp;AS$176&amp;". Digite Cero si no tiene.",IF(AS225&gt;D225," * La variable "&amp;AS$176&amp;"no pueden superar el Total Ambos Sexos.",""))</f>
        <v/>
      </c>
      <c r="CD225" s="196">
        <f>IF(AND($D225&gt;0,AT225="")," * No olvide digitar la variable "&amp;AT$176&amp;". Digite Cero si no tiene.",IF(AT225&gt;$D225," * La variable "&amp;AT$176&amp;" no pueden superar el Total Ambos Sexos.",""))</f>
        <v/>
      </c>
      <c r="CE225" s="196">
        <f>IF(AND($D225&gt;0,AU225="")," * No olvide digitar la variable Migrantes. Digite Cero si no tiene.",IF(AU225&gt;$D225," * La variable Migrantes no pueden superar el Total Ambos Sexos.",""))</f>
        <v/>
      </c>
      <c r="CF225" s="201" t="n"/>
      <c r="CG225" s="196">
        <f>IF(AND($D225&gt;0,AW225=""),"  * No olvide digitar la variable Persona con ingreso integral y condición crónica. Digite Cero si no tiene.",IF(AW225&gt;$D225," * La variable Persona con ingreso integral y condición crónica no pueden superar el Total Ambos Sexos.",""))</f>
        <v/>
      </c>
      <c r="CH225" s="196">
        <f>IF(AND($D225&gt;0,AX225=""),"  * No olvide digitar la variable Pueblos Originarios. Digite Cero si no tiene.",IF(AX225&gt;$D225," * La variable Pueblos Originarios no pueden superar el Total Ambos Sexos.",""))</f>
        <v/>
      </c>
      <c r="CO225" s="197">
        <f>IF(AND($D225&gt;0,AQ225=""),1,0)</f>
        <v/>
      </c>
      <c r="CP225" s="197">
        <f>IF(AND($D225&gt;0,AR225=""),1,IF(AR225&gt;$D225,1,0))</f>
        <v/>
      </c>
      <c r="CQ225" s="197">
        <f>IF(AND($D225&gt;0,AS225=""),1,IF(AS225&gt;$D225,1,0))</f>
        <v/>
      </c>
      <c r="CR225" s="197">
        <f>IF(AND(D225&gt;0,AT225=""),1,IF(AT225&gt;D225,1,0))</f>
        <v/>
      </c>
      <c r="CS225" s="197">
        <f>IF(AND($D225&gt;0,AU225=""),1,IF(AU225&gt;$D225,1,0))</f>
        <v/>
      </c>
      <c r="CT225" s="201" t="n"/>
      <c r="CU225" s="197">
        <f>IF(AND($D225&gt;0,AW225=""),1,IF(AW225&gt;$D225,1,0))</f>
        <v/>
      </c>
      <c r="CV225" s="197">
        <f>IF(AND($D225&gt;0,AX225=""),1,IF(AX225&gt;$D225,1,0))</f>
        <v/>
      </c>
    </row>
    <row r="226" ht="15" customHeight="1" s="8286">
      <c r="A226" s="9589" t="n"/>
      <c r="B226" s="9589" t="n"/>
      <c r="C226" s="1149" t="inlineStr">
        <is>
          <t>N° de controles por periodoncista</t>
        </is>
      </c>
      <c r="D226" s="2911">
        <f>SUM(E226+F226)</f>
        <v/>
      </c>
      <c r="E226" s="1202">
        <f>SUM(AA226+AC226+AE226+AG226+AI226+AK226+AM226+AO226)</f>
        <v/>
      </c>
      <c r="F226" s="2956">
        <f>SUM(AB226+AD226+AF226+AH226+AJ226+AL226+AN226+AP226)</f>
        <v/>
      </c>
      <c r="G226" s="1395" t="n"/>
      <c r="H226" s="1318" t="n"/>
      <c r="I226" s="1947" t="n"/>
      <c r="J226" s="1318" t="n"/>
      <c r="K226" s="1947" t="n"/>
      <c r="L226" s="1318" t="n"/>
      <c r="M226" s="1947" t="n"/>
      <c r="N226" s="1318" t="n"/>
      <c r="O226" s="1947" t="n"/>
      <c r="P226" s="1318" t="n"/>
      <c r="Q226" s="1947" t="n"/>
      <c r="R226" s="1318" t="n"/>
      <c r="S226" s="1947" t="n"/>
      <c r="T226" s="1318" t="n"/>
      <c r="U226" s="1947" t="n"/>
      <c r="V226" s="1318" t="n"/>
      <c r="W226" s="1947" t="n"/>
      <c r="X226" s="1318" t="n"/>
      <c r="Y226" s="1947" t="n"/>
      <c r="Z226" s="1318" t="n"/>
      <c r="AA226" s="1181" t="n"/>
      <c r="AB226" s="1183" t="n"/>
      <c r="AC226" s="1181" t="n"/>
      <c r="AD226" s="1180" t="n"/>
      <c r="AE226" s="1181" t="n"/>
      <c r="AF226" s="1180" t="n"/>
      <c r="AG226" s="1181" t="n"/>
      <c r="AH226" s="1180" t="n"/>
      <c r="AI226" s="1193" t="n"/>
      <c r="AJ226" s="1192" t="n"/>
      <c r="AK226" s="1193" t="n"/>
      <c r="AL226" s="1192" t="n"/>
      <c r="AM226" s="1193" t="n"/>
      <c r="AN226" s="1192" t="n"/>
      <c r="AO226" s="1188" t="n"/>
      <c r="AP226" s="1192" t="n"/>
      <c r="AQ226" s="5249" t="n"/>
      <c r="AR226" s="1223" t="n"/>
      <c r="AS226" s="1227" t="n"/>
      <c r="AT226" s="1223" t="n"/>
      <c r="AU226" s="1223" t="n"/>
      <c r="AV226" s="172" t="n"/>
      <c r="AW226" s="1223" t="n"/>
      <c r="AX226" s="1192" t="n"/>
      <c r="AY226">
        <f>CA226&amp;CB226&amp;CC226&amp;CD226&amp;CE226&amp;CF226&amp;CG226&amp;CH226</f>
        <v/>
      </c>
      <c r="CA226" s="196">
        <f>IF(AND($D226&gt;0,AQ226=""),"  * No olvide digitar la variable Compra de servicio. Digite Cero si no tiene.","")</f>
        <v/>
      </c>
      <c r="CB226" s="196">
        <f>IF(AND($D226&gt;0,AR226="")," * No olvide digitar la variable Usuario con Discapacidad. Digite Cero si no tiene.",IF(AR226&gt;$D226," * La variable Usuario con Discapacidad no pueden superar el Total Ambos Sexos.",""))</f>
        <v/>
      </c>
      <c r="CC226" s="196">
        <f>IF(AND($D226&gt;0,AS226=""),"  * No olvide digitar la variable "&amp;AS$176&amp;". Digite Cero si no tiene.",IF(AS226&gt;D226," * La variable "&amp;AS$176&amp;"no pueden superar el Total Ambos Sexos.",""))</f>
        <v/>
      </c>
      <c r="CD226" s="196">
        <f>IF(AND($D226&gt;0,AT226="")," * No olvide digitar la variable "&amp;AT$176&amp;". Digite Cero si no tiene.",IF(AT226&gt;$D226," * La variable "&amp;AT$176&amp;" no pueden superar el Total Ambos Sexos.",""))</f>
        <v/>
      </c>
      <c r="CE226" s="196">
        <f>IF(AND($D226&gt;0,AU226="")," * No olvide digitar la variable Migrantes. Digite Cero si no tiene.",IF(AU226&gt;$D226," * La variable Migrantes no pueden superar el Total Ambos Sexos.",""))</f>
        <v/>
      </c>
      <c r="CF226" s="201" t="n"/>
      <c r="CG226" s="196">
        <f>IF(AND($D226&gt;0,AW226=""),"  * No olvide digitar la variable Persona con ingreso integral y condición crónica. Digite Cero si no tiene.",IF(AW226&gt;$D226," * La variable Persona con ingreso integral y condición crónica no pueden superar el Total Ambos Sexos.",""))</f>
        <v/>
      </c>
      <c r="CH226" s="196">
        <f>IF(AND($D226&gt;0,AX226=""),"  * No olvide digitar la variable Pueblos Originarios. Digite Cero si no tiene.",IF(AX226&gt;$D226," * La variable Pueblos Originarios no pueden superar el Total Ambos Sexos.",""))</f>
        <v/>
      </c>
      <c r="CO226" s="197">
        <f>IF(AND($D226&gt;0,AQ226=""),1,0)</f>
        <v/>
      </c>
      <c r="CP226" s="197">
        <f>IF(AND($D226&gt;0,AR226=""),1,IF(AR226&gt;$D226,1,0))</f>
        <v/>
      </c>
      <c r="CQ226" s="197">
        <f>IF(AND($D226&gt;0,AS226=""),1,IF(AS226&gt;$D226,1,0))</f>
        <v/>
      </c>
      <c r="CR226" s="197">
        <f>IF(AND(D226&gt;0,AT226=""),1,IF(AT226&gt;D226,1,0))</f>
        <v/>
      </c>
      <c r="CS226" s="197">
        <f>IF(AND($D226&gt;0,AU226=""),1,IF(AU226&gt;$D226,1,0))</f>
        <v/>
      </c>
      <c r="CT226" s="201" t="n"/>
      <c r="CU226" s="197">
        <f>IF(AND($D226&gt;0,AW226=""),1,IF(AW226&gt;$D226,1,0))</f>
        <v/>
      </c>
      <c r="CV226" s="197">
        <f>IF(AND($D226&gt;0,AX226=""),1,IF(AX226&gt;$D226,1,0))</f>
        <v/>
      </c>
    </row>
    <row r="227" ht="15" customHeight="1" s="8286">
      <c r="A227" s="10272" t="inlineStr">
        <is>
          <t>Auditorías Clínico-Administrativas</t>
        </is>
      </c>
      <c r="B227" s="9584" t="n"/>
      <c r="C227" s="9647" t="n"/>
      <c r="D227" s="2911">
        <f>SUM(E227+F227)</f>
        <v/>
      </c>
      <c r="E227" s="1202">
        <f>SUM(AA227+AC227+AE227+AG227+AI227+AK227+AM227+AO227)</f>
        <v/>
      </c>
      <c r="F227" s="2003">
        <f>SUM(AB227+AD227+AF227+AH227+AJ227+AL227+AN227+AP227)</f>
        <v/>
      </c>
      <c r="G227" s="5208" t="n"/>
      <c r="H227" s="5209" t="n"/>
      <c r="I227" s="5210" t="n"/>
      <c r="J227" s="5209" t="n"/>
      <c r="K227" s="5210" t="n"/>
      <c r="L227" s="5209" t="n"/>
      <c r="M227" s="5210" t="n"/>
      <c r="N227" s="5209" t="n"/>
      <c r="O227" s="5210" t="n"/>
      <c r="P227" s="5209" t="n"/>
      <c r="Q227" s="5210" t="n"/>
      <c r="R227" s="5209" t="n"/>
      <c r="S227" s="5210" t="n"/>
      <c r="T227" s="5209" t="n"/>
      <c r="U227" s="5210" t="n"/>
      <c r="V227" s="5209" t="n"/>
      <c r="W227" s="5210" t="n"/>
      <c r="X227" s="5209" t="n"/>
      <c r="Y227" s="5210" t="n"/>
      <c r="Z227" s="5209" t="n"/>
      <c r="AA227" s="5211" t="n"/>
      <c r="AB227" s="5212" t="n"/>
      <c r="AC227" s="5211" t="n"/>
      <c r="AD227" s="5212" t="n"/>
      <c r="AE227" s="5211" t="n"/>
      <c r="AF227" s="5212" t="n"/>
      <c r="AG227" s="5211" t="n"/>
      <c r="AH227" s="5212" t="n"/>
      <c r="AI227" s="1193" t="n"/>
      <c r="AJ227" s="1119" t="n"/>
      <c r="AK227" s="1193" t="n"/>
      <c r="AL227" s="1119" t="n"/>
      <c r="AM227" s="1193" t="n"/>
      <c r="AN227" s="1119" t="n"/>
      <c r="AO227" s="1188" t="n"/>
      <c r="AP227" s="1192" t="n"/>
      <c r="AQ227" s="5249" t="n"/>
      <c r="AR227" s="1223" t="n"/>
      <c r="AS227" s="1227" t="n"/>
      <c r="AT227" s="1223" t="n"/>
      <c r="AU227" s="1223" t="n"/>
      <c r="AV227" s="5207" t="n"/>
      <c r="AW227" s="1223" t="n"/>
      <c r="AX227" s="1192" t="n"/>
      <c r="AY227">
        <f>CA227&amp;CB227&amp;CC227&amp;CD227&amp;CE227&amp;CF227&amp;CG227&amp;CH227</f>
        <v/>
      </c>
      <c r="CA227" s="196" t="n"/>
      <c r="CB227" s="196" t="n"/>
      <c r="CC227" s="196" t="n"/>
      <c r="CD227" s="196" t="n"/>
      <c r="CE227" s="196" t="n"/>
      <c r="CF227" s="201" t="n"/>
      <c r="CG227" s="196" t="n"/>
      <c r="CH227" s="196" t="n"/>
      <c r="CO227" s="197" t="n"/>
      <c r="CP227" s="197" t="n"/>
      <c r="CQ227" s="197" t="n"/>
      <c r="CR227" s="197" t="n"/>
      <c r="CS227" s="197" t="n"/>
      <c r="CT227" s="201" t="n"/>
      <c r="CU227" s="197" t="n"/>
      <c r="CV227" s="197" t="n"/>
    </row>
    <row r="228" ht="18" customHeight="1" s="8286">
      <c r="A228" s="2" t="inlineStr">
        <is>
          <t>SECCIÓN G.1: PROGRAMA SEMBRANDO SONRISAS</t>
        </is>
      </c>
      <c r="B228" s="359" t="n"/>
      <c r="C228" s="359" t="n"/>
      <c r="D228" s="359" t="n"/>
      <c r="E228" s="7" t="n"/>
      <c r="F228" s="7" t="n"/>
      <c r="G228" s="7" t="n"/>
      <c r="H228" s="7" t="n"/>
      <c r="I228" s="7" t="n"/>
      <c r="J228" s="7" t="n"/>
      <c r="K228" s="7" t="n"/>
      <c r="L228" s="7" t="n"/>
      <c r="M228" s="7" t="n"/>
      <c r="N228" s="7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217" t="n"/>
      <c r="Z228" s="217" t="n"/>
      <c r="AA228" s="217" t="n"/>
      <c r="AB228" s="217" t="n"/>
      <c r="AC228" s="217" t="n"/>
      <c r="AD228" s="217" t="n"/>
      <c r="AE228" s="217" t="n"/>
      <c r="AF228" s="217" t="n"/>
      <c r="AG228" s="217" t="n"/>
      <c r="AY228">
        <f>CA228&amp;CB228&amp;CC228&amp;CD228&amp;CE228&amp;CF228&amp;CH228</f>
        <v/>
      </c>
    </row>
    <row r="229" ht="15" customHeight="1" s="8286">
      <c r="A229" s="10004" t="inlineStr">
        <is>
          <t>ACTIVIDAD</t>
        </is>
      </c>
      <c r="B229" s="9602" t="n"/>
      <c r="C229" s="9630" t="n"/>
      <c r="D229" s="9914" t="inlineStr">
        <is>
          <t>TOTAL</t>
        </is>
      </c>
      <c r="E229" s="9602" t="n"/>
      <c r="F229" s="9630" t="n"/>
      <c r="G229" s="10099" t="inlineStr">
        <is>
          <t>RANGO ETARIO Y SEXO</t>
        </is>
      </c>
      <c r="H229" s="9584" t="n"/>
      <c r="I229" s="9584" t="n"/>
      <c r="J229" s="9584" t="n"/>
      <c r="K229" s="9584" t="n"/>
      <c r="L229" s="9584" t="n"/>
      <c r="M229" s="9584" t="n"/>
      <c r="N229" s="9584" t="n"/>
      <c r="O229" s="9584" t="n"/>
      <c r="P229" s="9584" t="n"/>
      <c r="Q229" s="9584" t="n"/>
      <c r="R229" s="9584" t="n"/>
      <c r="S229" s="9584" t="n"/>
      <c r="T229" s="9584" t="n"/>
      <c r="U229" s="9584" t="n"/>
      <c r="V229" s="9584" t="n"/>
      <c r="W229" s="9584" t="n"/>
      <c r="X229" s="9584" t="n"/>
      <c r="Y229" s="9584" t="n"/>
      <c r="Z229" s="9584" t="n"/>
      <c r="AA229" s="9584" t="n"/>
      <c r="AB229" s="9873" t="n"/>
      <c r="AC229" s="10273" t="inlineStr">
        <is>
          <t>Usuarios con Discapacidad</t>
        </is>
      </c>
      <c r="AD229" s="8490" t="inlineStr">
        <is>
          <t>Total</t>
        </is>
      </c>
      <c r="AE229" s="8490" t="inlineStr">
        <is>
          <t>JUNJI</t>
        </is>
      </c>
      <c r="AF229" s="8490" t="inlineStr">
        <is>
          <t>INTEGRA</t>
        </is>
      </c>
      <c r="AG229" s="10274" t="inlineStr">
        <is>
          <t>MINEDUC</t>
        </is>
      </c>
      <c r="AH229" s="10275" t="inlineStr">
        <is>
          <t xml:space="preserve">Pueblos originarios </t>
        </is>
      </c>
      <c r="AI229" s="8490" t="inlineStr">
        <is>
          <t xml:space="preserve">Migrantes </t>
        </is>
      </c>
    </row>
    <row r="230" ht="15" customHeight="1" s="8286">
      <c r="A230" s="642" t="n"/>
      <c r="C230" s="9718" t="n"/>
      <c r="D230" s="642" t="n"/>
      <c r="F230" s="9718" t="n"/>
      <c r="G230" s="10202" t="inlineStr">
        <is>
          <t>Menos de 1 año</t>
        </is>
      </c>
      <c r="H230" s="9647" t="n"/>
      <c r="I230" s="9240" t="inlineStr">
        <is>
          <t>1 año</t>
        </is>
      </c>
      <c r="J230" s="9647" t="n"/>
      <c r="K230" s="10203" t="inlineStr">
        <is>
          <t>2 años</t>
        </is>
      </c>
      <c r="L230" s="10191" t="n"/>
      <c r="M230" s="9240" t="inlineStr">
        <is>
          <t>3 años</t>
        </is>
      </c>
      <c r="N230" s="9647" t="n"/>
      <c r="O230" s="9240" t="inlineStr">
        <is>
          <t>4 años</t>
        </is>
      </c>
      <c r="P230" s="9647" t="n"/>
      <c r="Q230" s="9240" t="inlineStr">
        <is>
          <t>5 años</t>
        </is>
      </c>
      <c r="R230" s="9647" t="n"/>
      <c r="S230" s="9240" t="inlineStr">
        <is>
          <t>6 años</t>
        </is>
      </c>
      <c r="T230" s="9647" t="n"/>
      <c r="U230" s="9240" t="inlineStr">
        <is>
          <t>7 años</t>
        </is>
      </c>
      <c r="V230" s="9647" t="n"/>
      <c r="W230" s="9240" t="inlineStr">
        <is>
          <t>8-9 años</t>
        </is>
      </c>
      <c r="X230" s="9647" t="n"/>
      <c r="Y230" s="9240" t="inlineStr">
        <is>
          <t>10-14 años</t>
        </is>
      </c>
      <c r="Z230" s="9647" t="n"/>
      <c r="AA230" s="10099" t="inlineStr">
        <is>
          <t>15-19 años</t>
        </is>
      </c>
      <c r="AB230" s="9873" t="n"/>
      <c r="AD230" s="9614" t="n"/>
      <c r="AE230" s="9614" t="n"/>
      <c r="AF230" s="9614" t="n"/>
      <c r="AG230" s="10097" t="n"/>
      <c r="AH230" s="9656" t="n"/>
      <c r="AI230" s="9614" t="n"/>
    </row>
    <row r="231" ht="15" customHeight="1" s="8286">
      <c r="A231" s="9638" t="n"/>
      <c r="B231" s="9697" t="n"/>
      <c r="C231" s="9639" t="n"/>
      <c r="D231" s="2680" t="inlineStr">
        <is>
          <t>Ambos Sexos</t>
        </is>
      </c>
      <c r="E231" s="2696" t="inlineStr">
        <is>
          <t>Hombres</t>
        </is>
      </c>
      <c r="F231" s="8299" t="inlineStr">
        <is>
          <t>Mujeres</t>
        </is>
      </c>
      <c r="G231" s="8288" t="inlineStr">
        <is>
          <t>Hombres</t>
        </is>
      </c>
      <c r="H231" s="8299" t="inlineStr">
        <is>
          <t>Mujeres</t>
        </is>
      </c>
      <c r="I231" s="8288" t="inlineStr">
        <is>
          <t>Hombres</t>
        </is>
      </c>
      <c r="J231" s="8299" t="inlineStr">
        <is>
          <t>Mujeres</t>
        </is>
      </c>
      <c r="K231" s="8471" t="inlineStr">
        <is>
          <t>Hombres</t>
        </is>
      </c>
      <c r="L231" s="8299" t="inlineStr">
        <is>
          <t>Mujeres</t>
        </is>
      </c>
      <c r="M231" s="8471" t="inlineStr">
        <is>
          <t>Hombres</t>
        </is>
      </c>
      <c r="N231" s="8299" t="inlineStr">
        <is>
          <t>Mujeres</t>
        </is>
      </c>
      <c r="O231" s="8471" t="inlineStr">
        <is>
          <t>Hombres</t>
        </is>
      </c>
      <c r="P231" s="8299" t="inlineStr">
        <is>
          <t>Mujeres</t>
        </is>
      </c>
      <c r="Q231" s="8471" t="inlineStr">
        <is>
          <t>Hombres</t>
        </is>
      </c>
      <c r="R231" s="8299" t="inlineStr">
        <is>
          <t>Mujeres</t>
        </is>
      </c>
      <c r="S231" s="8471" t="inlineStr">
        <is>
          <t>Hombres</t>
        </is>
      </c>
      <c r="T231" s="8299" t="inlineStr">
        <is>
          <t>Mujeres</t>
        </is>
      </c>
      <c r="U231" s="8471" t="inlineStr">
        <is>
          <t>Hombres</t>
        </is>
      </c>
      <c r="V231" s="8299" t="inlineStr">
        <is>
          <t>Mujeres</t>
        </is>
      </c>
      <c r="W231" s="8471" t="inlineStr">
        <is>
          <t>Hombres</t>
        </is>
      </c>
      <c r="X231" s="8299" t="inlineStr">
        <is>
          <t>Mujeres</t>
        </is>
      </c>
      <c r="Y231" s="8471" t="inlineStr">
        <is>
          <t>Hombres</t>
        </is>
      </c>
      <c r="Z231" s="8299" t="inlineStr">
        <is>
          <t>Mujeres</t>
        </is>
      </c>
      <c r="AA231" s="8471" t="inlineStr">
        <is>
          <t>Hombres</t>
        </is>
      </c>
      <c r="AB231" s="8431" t="inlineStr">
        <is>
          <t>Mujeres</t>
        </is>
      </c>
      <c r="AC231" s="9591" t="n"/>
      <c r="AD231" s="9610" t="n"/>
      <c r="AE231" s="9610" t="n"/>
      <c r="AF231" s="9610" t="n"/>
      <c r="AG231" s="9865" t="n"/>
      <c r="AH231" s="9640" t="n"/>
      <c r="AI231" s="9610" t="n"/>
    </row>
    <row r="232" ht="15" customHeight="1" s="8286">
      <c r="A232" s="10221" t="inlineStr">
        <is>
          <t xml:space="preserve">Examen de salud </t>
        </is>
      </c>
      <c r="B232" s="9814" t="n"/>
      <c r="C232" s="9643" t="n"/>
      <c r="D232" s="2949">
        <f>SUM(E232+F232)</f>
        <v/>
      </c>
      <c r="E232" s="2375">
        <f>+K232+M232+O232+Q232+S232</f>
        <v/>
      </c>
      <c r="F232" s="8308">
        <f>+L232+N232+P232+R232+T232</f>
        <v/>
      </c>
      <c r="G232" s="2412" t="n"/>
      <c r="H232" s="2413" t="n"/>
      <c r="I232" s="2412" t="n"/>
      <c r="J232" s="2413" t="n"/>
      <c r="K232" s="2266" t="n"/>
      <c r="L232" s="2336" t="n"/>
      <c r="M232" s="2266" t="n"/>
      <c r="N232" s="2336" t="n"/>
      <c r="O232" s="2266" t="n"/>
      <c r="P232" s="2336" t="n"/>
      <c r="Q232" s="2266" t="n"/>
      <c r="R232" s="2336" t="n"/>
      <c r="S232" s="2266" t="n"/>
      <c r="T232" s="2336" t="n"/>
      <c r="U232" s="2192" t="n"/>
      <c r="V232" s="2193" t="n"/>
      <c r="W232" s="2192" t="n"/>
      <c r="X232" s="2193" t="n"/>
      <c r="Y232" s="2192" t="n"/>
      <c r="Z232" s="2193" t="n"/>
      <c r="AA232" s="2192" t="n"/>
      <c r="AB232" s="2227" t="n"/>
      <c r="AC232" s="5213" t="n"/>
      <c r="AD232" s="5223">
        <f>SUM(AE232:AG232)</f>
        <v/>
      </c>
      <c r="AE232" s="5189" t="n"/>
      <c r="AF232" s="5189" t="n"/>
      <c r="AG232" s="2511" t="n"/>
      <c r="AH232" s="5213" t="n"/>
      <c r="AI232" s="5189" t="n"/>
      <c r="AJ232">
        <f>CA232&amp;CB232&amp;CC232&amp;CD232</f>
        <v/>
      </c>
      <c r="CA232" s="196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>
        <f>IF((AD232)&gt;D232," * El Total de actividades (JUNJI + INTEGRA + MINEDUC) no puede ser mayor al Total Ambos Sexos.","")</f>
        <v/>
      </c>
      <c r="CC232" s="196">
        <f>IF(AND($D232&gt;0,AH232="")," * No olvide ingresar la variable Pueblos Originarios. Digite cero si no tiene.",IF(AH232&gt;$D232," * La variable Pueblos Originarios No puede ser mayor al Total Ambos Sexos.",""))</f>
        <v/>
      </c>
      <c r="CD232" s="196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/>
      </c>
      <c r="CP232" s="199">
        <f>IF((AD232)&gt;D232,1,0)</f>
        <v/>
      </c>
      <c r="CQ232" s="199">
        <f>IF(AND($D232&gt;0,AH232=""),1,IF(AH232&gt;$D232,1,0))</f>
        <v/>
      </c>
      <c r="CR232" s="199">
        <f>IF(AND($D232&gt;0,AI232=""),1,IF(AI232&gt;$D232,1,0))</f>
        <v/>
      </c>
    </row>
    <row r="233" ht="15" customHeight="1" s="8286">
      <c r="A233" s="8748" t="inlineStr">
        <is>
          <t xml:space="preserve">Nº de niños con índice ceod=0 al ingreso </t>
        </is>
      </c>
      <c r="B233" s="10208" t="n"/>
      <c r="C233" s="9644" t="n"/>
      <c r="D233" s="2896">
        <f>SUM(E233+F233)</f>
        <v/>
      </c>
      <c r="E233" s="1486">
        <f>+K233+M233+O233+Q233+S233</f>
        <v/>
      </c>
      <c r="F233" s="8311">
        <f>+L233+N233+P233+R233+T233</f>
        <v/>
      </c>
      <c r="G233" s="1938" t="n"/>
      <c r="H233" s="1250" t="n"/>
      <c r="I233" s="1938" t="n"/>
      <c r="J233" s="1250" t="n"/>
      <c r="K233" s="1935" t="n"/>
      <c r="L233" s="1186" t="n"/>
      <c r="M233" s="1935" t="n"/>
      <c r="N233" s="1186" t="n"/>
      <c r="O233" s="1935" t="n"/>
      <c r="P233" s="1186" t="n"/>
      <c r="Q233" s="1935" t="n"/>
      <c r="R233" s="1186" t="n"/>
      <c r="S233" s="1935" t="n"/>
      <c r="T233" s="1186" t="n"/>
      <c r="U233" s="1951" t="n"/>
      <c r="V233" s="1234" t="n"/>
      <c r="W233" s="1951" t="n"/>
      <c r="X233" s="1234" t="n"/>
      <c r="Y233" s="1951" t="n"/>
      <c r="Z233" s="1234" t="n"/>
      <c r="AA233" s="1951" t="n"/>
      <c r="AB233" s="363" t="n"/>
      <c r="AC233" s="5214" t="n"/>
      <c r="AD233" s="3632">
        <f>SUM(AE233:AG233)</f>
        <v/>
      </c>
      <c r="AE233" s="1964" t="n"/>
      <c r="AF233" s="1964" t="n"/>
      <c r="AG233" s="1297" t="n"/>
      <c r="AH233" s="5214" t="n"/>
      <c r="AI233" s="1964" t="n"/>
      <c r="AJ233">
        <f>CA233&amp;CB233&amp;CC233&amp;CD233</f>
        <v/>
      </c>
      <c r="CA233" s="196">
        <f>IF(AND($D233&gt;0,AC233="")," * No olvide digitar la variable Usuarios con Discapacidad. Digite Cero si no tiene.",IF(AC233&gt;D233," * La variable Usuarios con Discapacidad no puede superar el Total Ambos Sexos.",""))</f>
        <v/>
      </c>
      <c r="CB233" s="196">
        <f>IF((AD233)&gt;D233," * El Total de actividades (JUNJI + INTEGRA + MINEDUC) no puede ser mayor al Total Ambos Sexos.","")</f>
        <v/>
      </c>
      <c r="CC233" s="196">
        <f>IF(AND($D233&gt;0,AH233="")," * No olvide ingresar la variable Pueblos Originarios. Digite cero si no tiene.",IF(AH233&gt;$D233," * La variable Pueblos Originarios No puede ser mayor al Total Ambos Sexos.",""))</f>
        <v/>
      </c>
      <c r="CD233" s="196">
        <f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/>
      </c>
      <c r="CP233" s="199">
        <f>IF((AD233)&gt;D233,1,0)</f>
        <v/>
      </c>
      <c r="CQ233" s="199">
        <f>IF(AND($D233&gt;0,AH233=""),1,IF(AH233&gt;$D233,1,0))</f>
        <v/>
      </c>
      <c r="CR233" s="199">
        <f>IF(AND($D233&gt;0,AI233=""),1,IF(AI233&gt;$D233,1,0))</f>
        <v/>
      </c>
    </row>
    <row r="234" ht="15" customHeight="1" s="8286">
      <c r="A234" s="8748" t="inlineStr">
        <is>
          <t xml:space="preserve">Set de higiene oral entregados </t>
        </is>
      </c>
      <c r="B234" s="10208" t="n"/>
      <c r="C234" s="9644" t="n"/>
      <c r="D234" s="2955">
        <f>SUM(E234+F234)</f>
        <v/>
      </c>
      <c r="E234" s="1163">
        <f>+K234+M234+O234+Q234+S234</f>
        <v/>
      </c>
      <c r="F234" s="1161">
        <f>+L234+N234+P234+R234+T234</f>
        <v/>
      </c>
      <c r="G234" s="1938" t="n"/>
      <c r="H234" s="1250" t="n"/>
      <c r="I234" s="1938" t="n"/>
      <c r="J234" s="1250" t="n"/>
      <c r="K234" s="1935" t="n"/>
      <c r="L234" s="1186" t="n"/>
      <c r="M234" s="1935" t="n"/>
      <c r="N234" s="1186" t="n"/>
      <c r="O234" s="1935" t="n"/>
      <c r="P234" s="1186" t="n"/>
      <c r="Q234" s="1935" t="n"/>
      <c r="R234" s="1186" t="n"/>
      <c r="S234" s="1935" t="n"/>
      <c r="T234" s="1186" t="n"/>
      <c r="U234" s="1951" t="n"/>
      <c r="V234" s="1234" t="n"/>
      <c r="W234" s="1951" t="n"/>
      <c r="X234" s="1234" t="n"/>
      <c r="Y234" s="1951" t="n"/>
      <c r="Z234" s="1234" t="n"/>
      <c r="AA234" s="1951" t="n"/>
      <c r="AB234" s="363" t="n"/>
      <c r="AC234" s="5214" t="n"/>
      <c r="AD234" s="3632">
        <f>SUM(AE234:AG234)</f>
        <v/>
      </c>
      <c r="AE234" s="5224" t="n"/>
      <c r="AF234" s="1964" t="n"/>
      <c r="AG234" s="1297" t="n"/>
      <c r="AH234" s="5214" t="n"/>
      <c r="AI234" s="1964" t="n"/>
      <c r="AJ234">
        <f>CA234&amp;CB234&amp;CC234&amp;CD234</f>
        <v/>
      </c>
      <c r="CA234" s="196">
        <f>IF(AND($D234&gt;0,AC234="")," * No olvide digitar la variable Usuarios con Discapacidad. Digite Cero si no tiene.",IF(AC234&gt;D234," * La variable Usuarios con Discapacidad no puede superar el Total Ambos Sexos.",""))</f>
        <v/>
      </c>
      <c r="CB234" s="196">
        <f>IF((AD234)&gt;D234," * El Total de actividades (JUNJI + INTEGRA + MINEDUC) no puede ser mayor al Total Ambos Sexos.","")</f>
        <v/>
      </c>
      <c r="CC234" s="196">
        <f>IF(AND($D234&gt;0,AH234="")," * No olvide ingresar la variable Pueblos Originarios. Digite cero si no tiene.",IF(AH234&gt;$D234," * La variable Pueblos Originarios No puede ser mayor al Total Ambos Sexos.",""))</f>
        <v/>
      </c>
      <c r="CD234" s="196">
        <f>IF(AND($D234&gt;0,AI234="")," * No olvide ingresar la variable Migrantes. Digite cero si no tiene.",IF(AI234&gt;$D234," * La variable Migrantes No puede ser mayor al Total Ambos Sexos.",""))</f>
        <v/>
      </c>
      <c r="CO234" s="199">
        <f>IF(AND($D234&gt;0,AC234=""),1,IF(AC234&gt;D234,1,0))</f>
        <v/>
      </c>
      <c r="CP234" s="199">
        <f>IF((AD234)&gt;D234,1,0)</f>
        <v/>
      </c>
      <c r="CQ234" s="199">
        <f>IF(AND($D234&gt;0,AH234=""),1,IF(AH234&gt;$D234,1,0))</f>
        <v/>
      </c>
      <c r="CR234" s="199">
        <f>IF(AND($D234&gt;0,AI234=""),1,IF(AI234&gt;$D234,1,0))</f>
        <v/>
      </c>
    </row>
    <row r="235" ht="15" customHeight="1" s="8286">
      <c r="A235" s="8748" t="inlineStr">
        <is>
          <t xml:space="preserve">Nº de aplicaciones flúor barniz </t>
        </is>
      </c>
      <c r="B235" s="10208" t="n"/>
      <c r="C235" s="9644" t="n"/>
      <c r="D235" s="2955">
        <f>SUM(E235+F235)</f>
        <v/>
      </c>
      <c r="E235" s="1163">
        <f>+K235+M235+O235+Q235+S235</f>
        <v/>
      </c>
      <c r="F235" s="1171">
        <f>+L235+N235+P235+R235+T235</f>
        <v/>
      </c>
      <c r="G235" s="1325" t="n"/>
      <c r="H235" s="1289" t="n"/>
      <c r="I235" s="1325" t="n"/>
      <c r="J235" s="1289" t="n"/>
      <c r="K235" s="1172" t="n"/>
      <c r="L235" s="1173" t="n"/>
      <c r="M235" s="1172" t="n"/>
      <c r="N235" s="1173" t="n"/>
      <c r="O235" s="1172" t="n"/>
      <c r="P235" s="1173" t="n"/>
      <c r="Q235" s="1172" t="n"/>
      <c r="R235" s="1173" t="n"/>
      <c r="S235" s="1172" t="n"/>
      <c r="T235" s="1173" t="n"/>
      <c r="U235" s="1941" t="n"/>
      <c r="V235" s="1948" t="n"/>
      <c r="W235" s="1941" t="n"/>
      <c r="X235" s="1948" t="n"/>
      <c r="Y235" s="1941" t="n"/>
      <c r="Z235" s="1948" t="n"/>
      <c r="AA235" s="1941" t="n"/>
      <c r="AB235" s="1943" t="n"/>
      <c r="AC235" s="5215" t="n"/>
      <c r="AD235" s="3632">
        <f>SUM(AE235:AG235)</f>
        <v/>
      </c>
      <c r="AE235" s="3892" t="n"/>
      <c r="AF235" s="3892" t="n"/>
      <c r="AG235" s="1221" t="n"/>
      <c r="AH235" s="5215" t="n"/>
      <c r="AI235" s="3892" t="n"/>
      <c r="AJ235">
        <f>CA235&amp;CB235&amp;CC235&amp;CD235</f>
        <v/>
      </c>
      <c r="CA235" s="196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>
        <f>IF((AD235)&gt;D235," * El Total de actividades (JUNJI + INTEGRA + MINEDUC) no puede ser mayor al Total Ambos Sexos.","")</f>
        <v/>
      </c>
      <c r="CC235" s="196">
        <f>IF(AND($D235&gt;0,AH235="")," * No olvide ingresar la variable Pueblos Originarios. Digite cero si no tiene.",IF(AH235&gt;$D235," * La variable Pueblos Originarios No puede ser mayor al Total Ambos Sexos.",""))</f>
        <v/>
      </c>
      <c r="CD235" s="196">
        <f>IF(AND($D235&gt;0,AI235="")," * No olvide ingresar la variable Migrantes. Digite cero si no tiene.",IF(AI235&gt;$D235," * La variable Migrantes No puede ser mayor al Total Ambos Sexos.",""))</f>
        <v/>
      </c>
      <c r="CO235" s="199">
        <f>IF(AND($D235&gt;0,AC235=""),1,IF(AC235&gt;D235,1,0))</f>
        <v/>
      </c>
      <c r="CP235" s="199">
        <f>IF((AD235)&gt;D235,1,0)</f>
        <v/>
      </c>
      <c r="CQ235" s="199">
        <f>IF(AND($D235&gt;0,AH235=""),1,IF(AH235&gt;$D235,1,0))</f>
        <v/>
      </c>
      <c r="CR235" s="199">
        <f>IF(AND($D235&gt;0,AI235=""),1,IF(AI235&gt;$D235,1,0))</f>
        <v/>
      </c>
    </row>
    <row r="236" ht="15" customHeight="1" s="8286">
      <c r="A236" s="8748" t="inlineStr">
        <is>
          <t xml:space="preserve">Educación grupal en establecimiento de educación </t>
        </is>
      </c>
      <c r="B236" s="10208" t="n"/>
      <c r="C236" s="9644" t="n"/>
      <c r="D236" s="2961" t="n"/>
      <c r="E236" s="2962" t="n"/>
      <c r="F236" s="2963" t="n"/>
      <c r="G236" s="1947" t="n"/>
      <c r="H236" s="1306" t="n"/>
      <c r="I236" s="1304" t="n"/>
      <c r="J236" s="1306" t="n"/>
      <c r="K236" s="1304" t="n"/>
      <c r="L236" s="1306" t="n"/>
      <c r="M236" s="1304" t="n"/>
      <c r="N236" s="1306" t="n"/>
      <c r="O236" s="1304" t="n"/>
      <c r="P236" s="1306" t="n"/>
      <c r="Q236" s="1304" t="n"/>
      <c r="R236" s="1306" t="n"/>
      <c r="S236" s="1304" t="n"/>
      <c r="T236" s="1306" t="n"/>
      <c r="U236" s="1304" t="n"/>
      <c r="V236" s="1306" t="n"/>
      <c r="W236" s="1304" t="n"/>
      <c r="X236" s="1306" t="n"/>
      <c r="Y236" s="1304" t="n"/>
      <c r="Z236" s="1306" t="n"/>
      <c r="AA236" s="1304" t="n"/>
      <c r="AB236" s="1309" t="n"/>
      <c r="AC236" s="5220" t="n"/>
      <c r="AD236" s="1308">
        <f>SUM(AE236:AG236)</f>
        <v/>
      </c>
      <c r="AE236" s="5224" t="n"/>
      <c r="AF236" s="5224" t="n"/>
      <c r="AG236" s="1241" t="n"/>
      <c r="AH236" s="5216" t="n"/>
      <c r="AI236" s="5218" t="n"/>
      <c r="AJ236">
        <f>CA236&amp;CB236&amp;CC236&amp;CD236</f>
        <v/>
      </c>
      <c r="CA236" s="198" t="n"/>
      <c r="CB236" s="198" t="n"/>
      <c r="CC236" s="198" t="n"/>
      <c r="CD236" s="198" t="n"/>
      <c r="CO236" s="198" t="n"/>
      <c r="CP236" s="198" t="n"/>
      <c r="CQ236" s="198" t="n"/>
      <c r="CR236" s="198" t="n"/>
    </row>
    <row r="237" ht="15" customHeight="1" s="8286">
      <c r="A237" s="10276" t="inlineStr">
        <is>
          <t>N° de establecimientos de educación con programa implementado</t>
        </is>
      </c>
      <c r="B237" s="9817" t="n"/>
      <c r="C237" s="9720" t="n"/>
      <c r="D237" s="2932" t="n"/>
      <c r="E237" s="2964" t="n"/>
      <c r="F237" s="1464" t="n"/>
      <c r="G237" s="1312" t="n"/>
      <c r="H237" s="1314" t="n"/>
      <c r="I237" s="1312" t="n"/>
      <c r="J237" s="1314" t="n"/>
      <c r="K237" s="1312" t="n"/>
      <c r="L237" s="1314" t="n"/>
      <c r="M237" s="1312" t="n"/>
      <c r="N237" s="1314" t="n"/>
      <c r="O237" s="1312" t="n"/>
      <c r="P237" s="1314" t="n"/>
      <c r="Q237" s="1312" t="n"/>
      <c r="R237" s="1314" t="n"/>
      <c r="S237" s="1312" t="n"/>
      <c r="T237" s="1314" t="n"/>
      <c r="U237" s="1312" t="n"/>
      <c r="V237" s="1314" t="n"/>
      <c r="W237" s="1312" t="n"/>
      <c r="X237" s="1314" t="n"/>
      <c r="Y237" s="1312" t="n"/>
      <c r="Z237" s="1314" t="n"/>
      <c r="AA237" s="1312" t="n"/>
      <c r="AB237" s="1315" t="n"/>
      <c r="AC237" s="5221" t="n"/>
      <c r="AD237" s="1117">
        <f>SUM(AE237:AG237)</f>
        <v/>
      </c>
      <c r="AE237" s="5225" t="n"/>
      <c r="AF237" s="5225" t="n"/>
      <c r="AG237" s="1246" t="n"/>
      <c r="AH237" s="5217" t="n"/>
      <c r="AI237" s="5219" t="n"/>
      <c r="AJ237">
        <f>CA237&amp;CB237&amp;CC237&amp;CD237</f>
        <v/>
      </c>
      <c r="CA237" s="198" t="n"/>
      <c r="CB237" s="198" t="n"/>
      <c r="CC237" s="198" t="n"/>
      <c r="CD237" s="198" t="n"/>
      <c r="CO237" s="198" t="n"/>
      <c r="CP237" s="198" t="n"/>
      <c r="CQ237" s="198" t="n"/>
      <c r="CR237" s="198" t="n"/>
    </row>
    <row r="238" ht="18" customHeight="1" s="8286">
      <c r="A238" s="2" t="inlineStr">
        <is>
          <t>SECCIÓN H: SEDACIÓN Y ANESTESIA</t>
        </is>
      </c>
      <c r="B238" s="7990" t="n"/>
      <c r="C238" s="340" t="n"/>
      <c r="D238" s="3" t="n"/>
      <c r="E238" s="3" t="n"/>
      <c r="F238" s="2" t="n"/>
      <c r="G238" s="2" t="n"/>
      <c r="H238" s="2" t="n"/>
      <c r="I238" s="3" t="n"/>
      <c r="K238" s="700" t="n"/>
      <c r="L238" s="3" t="n"/>
      <c r="M238" s="2965" t="n"/>
      <c r="N238" s="2965" t="n"/>
      <c r="O238" s="8337" t="n"/>
      <c r="P238" s="8337" t="n"/>
      <c r="Q238" s="8337" t="n"/>
      <c r="R238" s="8337" t="n"/>
      <c r="S238" s="8337" t="n"/>
      <c r="T238" s="8337" t="n"/>
      <c r="U238" s="8337" t="n"/>
      <c r="V238" s="8337" t="n"/>
      <c r="W238" s="8337" t="n"/>
      <c r="X238" s="8337" t="n"/>
      <c r="Y238" s="8337" t="n"/>
      <c r="Z238" s="8337" t="n"/>
      <c r="AA238" s="8337" t="n"/>
      <c r="AB238" s="8337" t="n"/>
      <c r="AC238" s="8337" t="n"/>
      <c r="AD238" s="8337" t="n"/>
      <c r="AE238" s="8337" t="n"/>
      <c r="AF238" s="8337" t="n"/>
      <c r="AG238" s="8337" t="n"/>
      <c r="AH238" s="8337" t="n"/>
      <c r="AI238" s="8337" t="n"/>
      <c r="AJ238" s="8337" t="n"/>
      <c r="AK238" s="8337" t="n"/>
      <c r="AL238" s="341" t="n"/>
      <c r="AM238" s="341" t="n"/>
      <c r="AN238" s="341" t="n"/>
      <c r="AO238" s="341" t="n"/>
      <c r="AP238" s="341" t="n"/>
    </row>
    <row r="239" ht="15" customHeight="1" s="8286">
      <c r="A239" s="10004" t="inlineStr">
        <is>
          <t>ACTIVIDAD</t>
        </is>
      </c>
      <c r="B239" s="9602" t="n"/>
      <c r="C239" s="9630" t="n"/>
      <c r="D239" s="9976" t="inlineStr">
        <is>
          <t>TOTAL</t>
        </is>
      </c>
      <c r="E239" s="9602" t="n"/>
      <c r="F239" s="9886" t="n"/>
      <c r="G239" s="10277" t="inlineStr">
        <is>
          <t>Procedimiento</t>
        </is>
      </c>
      <c r="H239" s="9981" t="inlineStr">
        <is>
          <t>Cirugía menor</t>
        </is>
      </c>
      <c r="I239" s="9981" t="inlineStr">
        <is>
          <t>Cirugía mayor no ambulatoria urgencia/electiva</t>
        </is>
      </c>
      <c r="J239" s="9981" t="inlineStr">
        <is>
          <t>Cirugía mayor ambulatoria urgencia/electiva</t>
        </is>
      </c>
      <c r="K239" s="10278" t="inlineStr">
        <is>
          <t>Usuarios con Discapacidad</t>
        </is>
      </c>
    </row>
    <row r="240" ht="15" customHeight="1" s="8286">
      <c r="A240" s="642" t="n"/>
      <c r="C240" s="9718" t="n"/>
      <c r="D240" s="9698" t="n"/>
      <c r="E240" s="9591" t="n"/>
      <c r="F240" s="9865" t="n"/>
      <c r="G240" s="9683" t="n"/>
      <c r="H240" s="10017" t="n"/>
      <c r="I240" s="10017" t="n"/>
      <c r="J240" s="10017" t="n"/>
      <c r="K240" s="9704" t="n"/>
    </row>
    <row r="241" ht="15" customHeight="1" s="8286">
      <c r="A241" s="9638" t="n"/>
      <c r="B241" s="9697" t="n"/>
      <c r="C241" s="9639" t="n"/>
      <c r="D241" s="2680" t="inlineStr">
        <is>
          <t>Ambos Sexos</t>
        </is>
      </c>
      <c r="E241" s="2696" t="inlineStr">
        <is>
          <t>Hombres</t>
        </is>
      </c>
      <c r="F241" s="8427" t="inlineStr">
        <is>
          <t>Mujeres</t>
        </is>
      </c>
      <c r="G241" s="9604" t="n"/>
      <c r="H241" s="9912" t="n"/>
      <c r="I241" s="9912" t="n"/>
      <c r="J241" s="9912" t="n"/>
      <c r="K241" s="9705" t="n"/>
    </row>
    <row r="242" ht="15" customHeight="1" s="8286">
      <c r="A242" s="10243" t="inlineStr">
        <is>
          <t>Atención bajo sedación inhalatoria (con óxido nitroso)</t>
        </is>
      </c>
      <c r="B242" s="9814" t="n"/>
      <c r="C242" s="9643" t="n"/>
      <c r="D242" s="2967">
        <f>SUM(E242:F242)</f>
        <v/>
      </c>
      <c r="E242" s="2267" t="n"/>
      <c r="F242" s="2968" t="n"/>
      <c r="G242" s="2969" t="n"/>
      <c r="H242" s="835" t="n"/>
      <c r="I242" s="835" t="n"/>
      <c r="J242" s="835" t="n"/>
      <c r="K242" s="755" t="n"/>
      <c r="L242">
        <f>CA242&amp;CB242&amp;CC242&amp;CD242&amp;CE242</f>
        <v/>
      </c>
      <c r="CA242" s="196">
        <f>IF(AND($D242&gt;0,G242="")," * No olvide digitar la variable Procedimiento. Digite Cero si no tiene.",IF(G242&gt;$D242," * La variable Procedimiento no puede superar el Total Ambos Sexos.",""))</f>
        <v/>
      </c>
      <c r="CB242" s="196">
        <f>IF(AND($D242&gt;0,H242="")," * No olvide digitar la variable Cirugía menor. Digite Cero si no tiene.",IF(H242&gt;$D242," * La variable Cirugía menor no puede superar el Total Ambos Sexos.",""))</f>
        <v/>
      </c>
      <c r="CC242" s="196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>IF(AND($D242&gt;0,G242=""),1,IF(G242&gt;$D242,1,0))</f>
        <v/>
      </c>
      <c r="CP242" s="199">
        <f>IF(AND($D242&gt;0,H242=""),1,IF(H242&gt;$D242,1,0))</f>
        <v/>
      </c>
      <c r="CQ242" s="199">
        <f>IF(AND($D242&gt;0,I242=""),1,IF(I242&gt;$D242,1,0))</f>
        <v/>
      </c>
      <c r="CR242" s="199">
        <f>IF(AND($D242&gt;0,J242=""),1,IF(J242&gt;$D242,1,0))</f>
        <v/>
      </c>
      <c r="CS242" s="199">
        <f>IF(AND($D242&gt;0,K242=""),1,IF(K242&gt;$D242,1,0))</f>
        <v/>
      </c>
    </row>
    <row r="243" ht="15" customHeight="1" s="8286">
      <c r="A243" s="3877" t="inlineStr">
        <is>
          <t xml:space="preserve">Atención bajo anestesia general </t>
        </is>
      </c>
      <c r="B243" s="10208" t="n"/>
      <c r="C243" s="9644" t="n"/>
      <c r="D243" s="2970">
        <f>SUM(E243:F243)</f>
        <v/>
      </c>
      <c r="E243" s="1174" t="n"/>
      <c r="F243" s="1243" t="n"/>
      <c r="G243" s="888" t="n"/>
      <c r="H243" s="2001" t="n"/>
      <c r="I243" s="2001" t="n"/>
      <c r="J243" s="2001" t="n"/>
      <c r="K243" s="886" t="n"/>
      <c r="L243">
        <f>CA243&amp;CB243&amp;CC243&amp;CD243&amp;CE243</f>
        <v/>
      </c>
      <c r="CA243" s="196">
        <f>IF(AND($D243&gt;0,G243="")," * No olvide digitar la variable Procedimiento. Digite Cero si no tiene.",IF(G243&gt;$D243," * La variable Procedimiento no puede superar el Total Ambos Sexos.",""))</f>
        <v/>
      </c>
      <c r="CB243" s="196">
        <f>IF(AND($D243&gt;0,H243="")," * No olvide digitar la variable Cirugía menor. Digite Cero si no tiene.",IF(H243&gt;$D243," * La variable Cirugía menor no puede superar el Total Ambos Sexos.",""))</f>
        <v/>
      </c>
      <c r="CC243" s="196">
        <f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>
        <f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>
        <f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>IF(AND($D243&gt;0,G243=""),1,IF(G243&gt;$D243,1,0))</f>
        <v/>
      </c>
      <c r="CP243" s="199">
        <f>IF(AND($D243&gt;0,H243=""),1,IF(H243&gt;$D243,1,0))</f>
        <v/>
      </c>
      <c r="CQ243" s="199">
        <f>IF(AND($D243&gt;0,I243=""),1,IF(I243&gt;$D243,1,0))</f>
        <v/>
      </c>
      <c r="CR243" s="199">
        <f>IF(AND($D243&gt;0,J243=""),1,IF(J243&gt;$D243,1,0))</f>
        <v/>
      </c>
      <c r="CS243" s="199">
        <f>IF(AND($D243&gt;0,K243=""),1,IF(K243&gt;$D243,1,0))</f>
        <v/>
      </c>
    </row>
    <row r="244" ht="15" customHeight="1" s="8286">
      <c r="A244" s="3877" t="inlineStr">
        <is>
          <t xml:space="preserve">Atención bajo sedación oral </t>
        </is>
      </c>
      <c r="B244" s="10208" t="n"/>
      <c r="C244" s="9644" t="n"/>
      <c r="D244" s="2970">
        <f>SUM(E244:F244)</f>
        <v/>
      </c>
      <c r="E244" s="1174" t="n"/>
      <c r="F244" s="1243" t="n"/>
      <c r="G244" s="888" t="n"/>
      <c r="H244" s="2001" t="n"/>
      <c r="I244" s="2001" t="n"/>
      <c r="J244" s="2001" t="n"/>
      <c r="K244" s="886" t="n"/>
      <c r="L244">
        <f>CA244&amp;CB244&amp;CC244&amp;CD244&amp;CE244</f>
        <v/>
      </c>
      <c r="CA244" s="196">
        <f>IF(AND($D244&gt;0,G244="")," * No olvide digitar la variable Procedimiento. Digite Cero si no tiene.",IF(G244&gt;$D244," * La variable Procedimiento no puede superar el Total Ambos Sexos.",""))</f>
        <v/>
      </c>
      <c r="CB244" s="196">
        <f>IF(AND($D244&gt;0,H244="")," * No olvide digitar la variable Cirugía menor. Digite Cero si no tiene.",IF(H244&gt;$D244," * La variable Cirugía menor no puede superar el Total Ambos Sexos.",""))</f>
        <v/>
      </c>
      <c r="CC244" s="196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196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196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199">
        <f>IF(AND($D244&gt;0,G244=""),1,IF(G244&gt;$D244,1,0))</f>
        <v/>
      </c>
      <c r="CP244" s="199">
        <f>IF(AND($D244&gt;0,H244=""),1,IF(H244&gt;$D244,1,0))</f>
        <v/>
      </c>
      <c r="CQ244" s="199">
        <f>IF(AND($D244&gt;0,I244=""),1,IF(I244&gt;$D244,1,0))</f>
        <v/>
      </c>
      <c r="CR244" s="199">
        <f>IF(AND($D244&gt;0,J244=""),1,IF(J244&gt;$D244,1,0))</f>
        <v/>
      </c>
      <c r="CS244" s="199">
        <f>IF(AND($D244&gt;0,K244=""),1,IF(K244&gt;$D244,1,0))</f>
        <v/>
      </c>
    </row>
    <row r="245" ht="15" customHeight="1" s="8286">
      <c r="A245" s="3877" t="inlineStr">
        <is>
          <t>Atención bajo anestesia local</t>
        </is>
      </c>
      <c r="B245" s="10208" t="n"/>
      <c r="C245" s="9644" t="n"/>
      <c r="D245" s="2970">
        <f>SUM(E245:F245)</f>
        <v/>
      </c>
      <c r="E245" s="1174" t="n"/>
      <c r="F245" s="1221" t="n"/>
      <c r="G245" s="887" t="n"/>
      <c r="H245" s="2001" t="n"/>
      <c r="I245" s="2001" t="n"/>
      <c r="J245" s="2001" t="n"/>
      <c r="K245" s="886" t="n"/>
      <c r="L245">
        <f>CA245&amp;CB245&amp;CC245&amp;CD245&amp;CE245</f>
        <v/>
      </c>
      <c r="CA245" s="196">
        <f>IF(AND($D245&gt;0,G245="")," * No olvide digitar la variable Procedimiento. Digite Cero si no tiene.",IF(G245&gt;$D245," * La variable Procedimiento no puede superar el Total Ambos Sexos.",""))</f>
        <v/>
      </c>
      <c r="CB245" s="196">
        <f>IF(AND($D245&gt;0,H245="")," * No olvide digitar la variable Cirugía menor. Digite Cero si no tiene.",IF(H245&gt;$D245," * La variable Cirugía menor no puede superar el Total Ambos Sexos.",""))</f>
        <v/>
      </c>
      <c r="CC245" s="196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>IF(AND($D245&gt;0,G245=""),1,IF(G245&gt;$D245,1,0))</f>
        <v/>
      </c>
      <c r="CP245" s="199">
        <f>IF(AND($D245&gt;0,H245=""),1,IF(H245&gt;$D245,1,0))</f>
        <v/>
      </c>
      <c r="CQ245" s="199">
        <f>IF(AND($D245&gt;0,I245=""),1,IF(I245&gt;$D245,1,0))</f>
        <v/>
      </c>
      <c r="CR245" s="199">
        <f>IF(AND($D245&gt;0,J245=""),1,IF(J245&gt;$D245,1,0))</f>
        <v/>
      </c>
      <c r="CS245" s="199">
        <f>IF(AND($D245&gt;0,K245=""),1,IF(K245&gt;$D245,1,0))</f>
        <v/>
      </c>
    </row>
    <row r="246" ht="15" customHeight="1" s="8286">
      <c r="A246" s="10223" t="inlineStr">
        <is>
          <t>Atención bajo sedación profunda</t>
        </is>
      </c>
      <c r="B246" s="9817" t="n"/>
      <c r="C246" s="9720" t="n"/>
      <c r="D246" s="2971">
        <f>SUM(E246:F246)</f>
        <v/>
      </c>
      <c r="E246" s="1193" t="n"/>
      <c r="F246" s="1246" t="n"/>
      <c r="G246" s="1316" t="n"/>
      <c r="H246" s="1118" t="n"/>
      <c r="I246" s="1118" t="n"/>
      <c r="J246" s="1118" t="n"/>
      <c r="K246" s="1119" t="n"/>
      <c r="L246">
        <f>CA246&amp;CB246&amp;CC246&amp;CD246&amp;CE246</f>
        <v/>
      </c>
      <c r="CA246" s="196">
        <f>IF(AND($D246&gt;0,G246="")," * No olvide digitar la variable Procedimiento. Digite Cero si no tiene.",IF(G246&gt;$D246," * La variable Procedimiento no puede superar el Total Ambos Sexos.",""))</f>
        <v/>
      </c>
      <c r="CB246" s="196">
        <f>IF(AND($D246&gt;0,H246="")," * No olvide digitar la variable Cirugía menor. Digite Cero si no tiene.",IF(H246&gt;$D246," * La variable Cirugía menor no puede superar el Total Ambos Sexos.",""))</f>
        <v/>
      </c>
      <c r="CC246" s="196">
        <f>IF(AND($D246&gt;0,I246="")," * No olvide digitar la variable Cirugía mayor no ambulatoria urgencia/electiva. Digite Cero si no tiene.",IF(I246&gt;$D246," * La variable Cirugía mayor no ambulatoria urgencia/electiva no puede superar el Total Ambos Sexos.",""))</f>
        <v/>
      </c>
      <c r="CD246" s="196">
        <f>IF(AND($D246&gt;0,J246="")," * No olvide digitar la variable Cirugía mayor ambulatoria urgencia/electiva. Digite Cero si no tiene.",IF(J246&gt;$D246," * La variable Cirugía mayor  ambulatoria urgencia/electiva no puede superar el Total Ambos Sexos.",""))</f>
        <v/>
      </c>
      <c r="CE246" s="196">
        <f>IF(AND($D246&gt;0,K246="")," * No olvide digitar la variable Usuarios con Discapacidad. Digite Cero si no tiene.",IF(K246&gt;$D246," * La variable Usuarios con Discapacidad no puede superar el Total Ambos Sexos.",""))</f>
        <v/>
      </c>
      <c r="CO246" s="199">
        <f>IF(AND($D246&gt;0,G246=""),1,IF(G246&gt;$D246,1,0))</f>
        <v/>
      </c>
      <c r="CP246" s="199">
        <f>IF(AND($D246&gt;0,H246=""),1,IF(H246&gt;$D246,1,0))</f>
        <v/>
      </c>
      <c r="CQ246" s="199">
        <f>IF(AND($D246&gt;0,I246=""),1,IF(I246&gt;$D246,1,0))</f>
        <v/>
      </c>
      <c r="CR246" s="199">
        <f>IF(AND($D246&gt;0,J246=""),1,IF(J246&gt;$D246,1,0))</f>
        <v/>
      </c>
      <c r="CS246" s="199">
        <f>IF(AND($D246&gt;0,K246=""),1,IF(K246&gt;$D246,1,0))</f>
        <v/>
      </c>
    </row>
    <row r="247" ht="15" customHeight="1" s="8286">
      <c r="A247" s="2" t="inlineStr">
        <is>
          <t>SECCIÓN I:  CONSULTAS, INGRESOS Y EGRESOS EN ESPECIALIDADES ODONTOLÓGICAS REALIZADOS EN NIVEL PRIMARIO Y SECUNDARIO DE SALUD</t>
        </is>
      </c>
      <c r="B247" s="364" t="n"/>
      <c r="C247" s="364" t="n"/>
      <c r="D247" s="233" t="n"/>
      <c r="E247" s="233" t="n"/>
      <c r="F247" s="233" t="n"/>
      <c r="G247" s="2972" t="n"/>
      <c r="H247" s="2972" t="n"/>
      <c r="I247" s="2972" t="n"/>
      <c r="J247" s="2973" t="n"/>
      <c r="K247" s="2974" t="n"/>
      <c r="L247" s="2972" t="n"/>
      <c r="M247" s="2974" t="n"/>
      <c r="N247" s="2975" t="n"/>
      <c r="O247" s="217" t="n"/>
      <c r="P247" s="217" t="n"/>
      <c r="Q247" s="217" t="n"/>
      <c r="R247" s="217" t="n"/>
      <c r="S247" s="217" t="n"/>
      <c r="T247" s="217" t="n"/>
      <c r="U247" s="217" t="n"/>
      <c r="V247" s="217" t="n"/>
      <c r="W247" s="217" t="n"/>
      <c r="X247" s="8" t="n"/>
      <c r="Y247" s="8" t="n"/>
      <c r="Z247" s="8" t="n"/>
      <c r="AA247" s="8" t="n"/>
      <c r="AB247" s="8" t="n"/>
      <c r="AC247" s="8" t="n"/>
      <c r="AD247" s="8" t="n"/>
      <c r="AE247" s="8" t="n"/>
      <c r="AF247" s="8" t="n"/>
      <c r="AG247" s="8" t="n"/>
      <c r="AH247" s="8" t="n"/>
      <c r="AI247" s="8" t="n"/>
      <c r="AJ247" s="8" t="n"/>
      <c r="AK247" s="8" t="n"/>
      <c r="AL247" s="8" t="n"/>
      <c r="AM247" s="8" t="n"/>
      <c r="AN247" s="8" t="n"/>
      <c r="AO247" s="8" t="n"/>
      <c r="AP247" s="8" t="n"/>
      <c r="AQ247" s="8" t="n"/>
      <c r="AR247" s="8" t="n"/>
      <c r="AS247" s="8" t="n"/>
      <c r="AT247" s="8" t="n"/>
      <c r="AU247" s="8" t="n"/>
      <c r="AV247" s="8" t="n"/>
      <c r="AW247" s="8" t="n"/>
      <c r="AX247" s="8" t="n"/>
      <c r="AY247">
        <f>CA247&amp;CB247&amp;CC247&amp;CD247&amp;CE247&amp;CF247&amp;CH247</f>
        <v/>
      </c>
    </row>
    <row r="248" ht="15" customHeight="1" s="8286">
      <c r="A248" s="10253" t="inlineStr">
        <is>
          <t>ESPECIALIDAD Y TIPO DE INGRESO O EGRESO.</t>
        </is>
      </c>
      <c r="B248" s="9602" t="n"/>
      <c r="C248" s="9630" t="n"/>
      <c r="D248" s="9939" t="inlineStr">
        <is>
          <t xml:space="preserve">TOTAL   </t>
        </is>
      </c>
      <c r="E248" s="9602" t="n"/>
      <c r="F248" s="9630" t="n"/>
      <c r="G248" s="10099" t="inlineStr">
        <is>
          <t>RANGO ETARIO Y SEXO</t>
        </is>
      </c>
      <c r="H248" s="9584" t="n"/>
      <c r="I248" s="9584" t="n"/>
      <c r="J248" s="9584" t="n"/>
      <c r="K248" s="9584" t="n"/>
      <c r="L248" s="9584" t="n"/>
      <c r="M248" s="9584" t="n"/>
      <c r="N248" s="9584" t="n"/>
      <c r="O248" s="9584" t="n"/>
      <c r="P248" s="9584" t="n"/>
      <c r="Q248" s="9584" t="n"/>
      <c r="R248" s="9584" t="n"/>
      <c r="S248" s="9584" t="n"/>
      <c r="T248" s="9584" t="n"/>
      <c r="U248" s="9584" t="n"/>
      <c r="V248" s="9584" t="n"/>
      <c r="W248" s="9584" t="n"/>
      <c r="X248" s="9584" t="n"/>
      <c r="Y248" s="9584" t="n"/>
      <c r="Z248" s="9584" t="n"/>
      <c r="AA248" s="9584" t="n"/>
      <c r="AB248" s="9584" t="n"/>
      <c r="AC248" s="9584" t="n"/>
      <c r="AD248" s="9584" t="n"/>
      <c r="AE248" s="9584" t="n"/>
      <c r="AF248" s="9584" t="n"/>
      <c r="AG248" s="9584" t="n"/>
      <c r="AH248" s="9584" t="n"/>
      <c r="AI248" s="9584" t="n"/>
      <c r="AJ248" s="9584" t="n"/>
      <c r="AK248" s="9584" t="n"/>
      <c r="AL248" s="9873" t="n"/>
      <c r="AM248" s="10002" t="inlineStr">
        <is>
          <t>Gestantes</t>
        </is>
      </c>
      <c r="AN248" s="9931" t="inlineStr">
        <is>
          <t>60 años (incluido en grupos de  60-64 años)</t>
        </is>
      </c>
      <c r="AO248" s="10228" t="inlineStr">
        <is>
          <t>CONSULTAS PERTINENTES</t>
        </is>
      </c>
      <c r="AP248" s="9647" t="n"/>
      <c r="AQ248" s="10006" t="inlineStr">
        <is>
          <t>Inasistente</t>
        </is>
      </c>
      <c r="AR248" s="8473" t="inlineStr">
        <is>
          <t>Compra de Servicio</t>
        </is>
      </c>
      <c r="AS248" s="10239" t="inlineStr">
        <is>
          <t xml:space="preserve">Ortodoncia interceptiva </t>
        </is>
      </c>
      <c r="AT248" s="8490" t="inlineStr">
        <is>
          <t>Usuarios con Discapacidad</t>
        </is>
      </c>
      <c r="AU248" s="8488" t="inlineStr">
        <is>
          <t>Usuarios Oncológicos</t>
        </is>
      </c>
      <c r="AV248" s="9694" t="inlineStr">
        <is>
          <t>Contrarreferencia al alta</t>
        </is>
      </c>
      <c r="AW248" s="8490" t="inlineStr">
        <is>
          <t>Migrantes</t>
        </is>
      </c>
      <c r="AX248" s="10215" t="inlineStr">
        <is>
          <t>Pueblos originarios</t>
        </is>
      </c>
    </row>
    <row r="249" ht="15" customHeight="1" s="8286">
      <c r="A249" s="642" t="n"/>
      <c r="C249" s="9718" t="n"/>
      <c r="D249" s="9638" t="n"/>
      <c r="E249" s="9697" t="n"/>
      <c r="F249" s="9639" t="n"/>
      <c r="G249" s="10202" t="inlineStr">
        <is>
          <t xml:space="preserve">Menor o igual a 2 años </t>
        </is>
      </c>
      <c r="H249" s="9647" t="n"/>
      <c r="I249" s="9240" t="inlineStr">
        <is>
          <t>3 años</t>
        </is>
      </c>
      <c r="J249" s="9647" t="n"/>
      <c r="K249" s="9240" t="inlineStr">
        <is>
          <t>4 años</t>
        </is>
      </c>
      <c r="L249" s="9647" t="n"/>
      <c r="M249" s="9240" t="inlineStr">
        <is>
          <t>5 años</t>
        </is>
      </c>
      <c r="N249" s="9647" t="n"/>
      <c r="O249" s="9240" t="inlineStr">
        <is>
          <t>6 años</t>
        </is>
      </c>
      <c r="P249" s="9647" t="n"/>
      <c r="Q249" s="9240" t="inlineStr">
        <is>
          <t>7 años</t>
        </is>
      </c>
      <c r="R249" s="9647" t="n"/>
      <c r="S249" s="9240" t="inlineStr">
        <is>
          <t>8-9 años</t>
        </is>
      </c>
      <c r="T249" s="9647" t="n"/>
      <c r="U249" s="9240" t="inlineStr">
        <is>
          <t>10-14 años</t>
        </is>
      </c>
      <c r="V249" s="9647" t="n"/>
      <c r="W249" s="9240" t="inlineStr">
        <is>
          <t>15-19 años</t>
        </is>
      </c>
      <c r="X249" s="9647" t="n"/>
      <c r="Y249" s="9240" t="inlineStr">
        <is>
          <t xml:space="preserve">20-24 años </t>
        </is>
      </c>
      <c r="Z249" s="9647" t="n"/>
      <c r="AA249" s="9240" t="inlineStr">
        <is>
          <t>25-34 años</t>
        </is>
      </c>
      <c r="AB249" s="9647" t="n"/>
      <c r="AC249" s="9240" t="inlineStr">
        <is>
          <t>35-44 años</t>
        </is>
      </c>
      <c r="AD249" s="9647" t="n"/>
      <c r="AE249" s="9240" t="inlineStr">
        <is>
          <t>45-59 años</t>
        </is>
      </c>
      <c r="AF249" s="9647" t="n"/>
      <c r="AG249" s="9240" t="inlineStr">
        <is>
          <t>60-64 años</t>
        </is>
      </c>
      <c r="AH249" s="9647" t="n"/>
      <c r="AI249" s="9240" t="inlineStr">
        <is>
          <t>65-74 años</t>
        </is>
      </c>
      <c r="AJ249" s="9647" t="n"/>
      <c r="AK249" s="10099" t="inlineStr">
        <is>
          <t>75 y más años</t>
        </is>
      </c>
      <c r="AL249" s="9873" t="n"/>
      <c r="AM249" s="9687" t="n"/>
      <c r="AN249" s="9704" t="n"/>
      <c r="AO249" s="10248" t="inlineStr">
        <is>
          <t>Según Protocolo de Referencia</t>
        </is>
      </c>
      <c r="AP249" s="10279" t="inlineStr">
        <is>
          <t>Según condición clínica</t>
        </is>
      </c>
      <c r="AQ249" s="642" t="n"/>
      <c r="AR249" s="9614" t="n"/>
      <c r="AS249" s="9687" t="n"/>
      <c r="AT249" s="9614" t="n"/>
      <c r="AU249" s="9718" t="n"/>
      <c r="AV249" s="9588" t="n"/>
      <c r="AW249" s="9614" t="n"/>
      <c r="AX249" s="9625" t="n"/>
    </row>
    <row r="250" ht="20.25" customHeight="1" s="8286">
      <c r="A250" s="9638" t="n"/>
      <c r="B250" s="9697" t="n"/>
      <c r="C250" s="9639" t="n"/>
      <c r="D250" s="2976" t="inlineStr">
        <is>
          <t>Ambos Sexos</t>
        </is>
      </c>
      <c r="E250" s="8685" t="inlineStr">
        <is>
          <t>Hombres</t>
        </is>
      </c>
      <c r="F250" s="7665" t="inlineStr">
        <is>
          <t>Mujeres</t>
        </is>
      </c>
      <c r="G250" s="8471" t="inlineStr">
        <is>
          <t>Hombres</t>
        </is>
      </c>
      <c r="H250" s="8299" t="inlineStr">
        <is>
          <t>Mujeres</t>
        </is>
      </c>
      <c r="I250" s="8471" t="inlineStr">
        <is>
          <t>Hombres</t>
        </is>
      </c>
      <c r="J250" s="8299" t="inlineStr">
        <is>
          <t>Mujeres</t>
        </is>
      </c>
      <c r="K250" s="8471" t="inlineStr">
        <is>
          <t>Hombres</t>
        </is>
      </c>
      <c r="L250" s="8299" t="inlineStr">
        <is>
          <t>Mujeres</t>
        </is>
      </c>
      <c r="M250" s="8471" t="inlineStr">
        <is>
          <t>Hombres</t>
        </is>
      </c>
      <c r="N250" s="8299" t="inlineStr">
        <is>
          <t>Mujeres</t>
        </is>
      </c>
      <c r="O250" s="8471" t="inlineStr">
        <is>
          <t>Hombres</t>
        </is>
      </c>
      <c r="P250" s="8299" t="inlineStr">
        <is>
          <t>Mujeres</t>
        </is>
      </c>
      <c r="Q250" s="8471" t="inlineStr">
        <is>
          <t>Hombres</t>
        </is>
      </c>
      <c r="R250" s="8299" t="inlineStr">
        <is>
          <t>Mujeres</t>
        </is>
      </c>
      <c r="S250" s="8471" t="inlineStr">
        <is>
          <t>Hombres</t>
        </is>
      </c>
      <c r="T250" s="8299" t="inlineStr">
        <is>
          <t>Mujeres</t>
        </is>
      </c>
      <c r="U250" s="8471" t="inlineStr">
        <is>
          <t>Hombres</t>
        </is>
      </c>
      <c r="V250" s="8299" t="inlineStr">
        <is>
          <t>Mujeres</t>
        </is>
      </c>
      <c r="W250" s="8471" t="inlineStr">
        <is>
          <t>Hombres</t>
        </is>
      </c>
      <c r="X250" s="8299" t="inlineStr">
        <is>
          <t>Mujeres</t>
        </is>
      </c>
      <c r="Y250" s="8471" t="inlineStr">
        <is>
          <t>Hombres</t>
        </is>
      </c>
      <c r="Z250" s="8299" t="inlineStr">
        <is>
          <t>Mujeres</t>
        </is>
      </c>
      <c r="AA250" s="8471" t="inlineStr">
        <is>
          <t>Hombres</t>
        </is>
      </c>
      <c r="AB250" s="8299" t="inlineStr">
        <is>
          <t>Mujeres</t>
        </is>
      </c>
      <c r="AC250" s="8471" t="inlineStr">
        <is>
          <t>Hombres</t>
        </is>
      </c>
      <c r="AD250" s="8299" t="inlineStr">
        <is>
          <t>Mujeres</t>
        </is>
      </c>
      <c r="AE250" s="8471" t="inlineStr">
        <is>
          <t>Hombres</t>
        </is>
      </c>
      <c r="AF250" s="8299" t="inlineStr">
        <is>
          <t>Mujeres</t>
        </is>
      </c>
      <c r="AG250" s="8471" t="inlineStr">
        <is>
          <t>Hombres</t>
        </is>
      </c>
      <c r="AH250" s="8299" t="inlineStr">
        <is>
          <t>Mujeres</t>
        </is>
      </c>
      <c r="AI250" s="8471" t="inlineStr">
        <is>
          <t>Hombres</t>
        </is>
      </c>
      <c r="AJ250" s="8299" t="inlineStr">
        <is>
          <t>Mujeres</t>
        </is>
      </c>
      <c r="AK250" s="8471" t="inlineStr">
        <is>
          <t>Hombres</t>
        </is>
      </c>
      <c r="AL250" s="8431" t="inlineStr">
        <is>
          <t>Mujeres</t>
        </is>
      </c>
      <c r="AM250" s="9688" t="n"/>
      <c r="AN250" s="9705" t="n"/>
      <c r="AO250" s="9800" t="n"/>
      <c r="AP250" s="9705" t="n"/>
      <c r="AQ250" s="9698" t="n"/>
      <c r="AR250" s="9610" t="n"/>
      <c r="AS250" s="9688" t="n"/>
      <c r="AT250" s="9610" t="n"/>
      <c r="AU250" s="9639" t="n"/>
      <c r="AV250" s="9589" t="n"/>
      <c r="AW250" s="9610" t="n"/>
      <c r="AX250" s="9641" t="n"/>
    </row>
    <row r="251" ht="15" customHeight="1" s="8286">
      <c r="A251" s="4244" t="inlineStr">
        <is>
          <t xml:space="preserve">Consultas </t>
        </is>
      </c>
      <c r="B251" s="10280" t="inlineStr">
        <is>
          <t>Consultas de urgencia GES</t>
        </is>
      </c>
      <c r="C251" s="9643" t="n"/>
      <c r="D251" s="2978">
        <f>SUM(E251+F251)</f>
        <v/>
      </c>
      <c r="E251" s="845">
        <f>SUM(G251++I251+K251+M251+O251+Q251+S251+U251+W251+Y251+AA251+AC251+AE251+AG251+AI251+AK251)</f>
        <v/>
      </c>
      <c r="F251" s="2715">
        <f>SUM(H251++J251+L251+N251+P251+R251+T251+V251+X251+Z251+AB251+AD251+AF251+AH251+AJ251+AL251)</f>
        <v/>
      </c>
      <c r="G251" s="2427" t="n"/>
      <c r="H251" s="2428" t="n"/>
      <c r="I251" s="2430" t="n"/>
      <c r="J251" s="2428" t="n"/>
      <c r="K251" s="2430" t="n"/>
      <c r="L251" s="2428" t="n"/>
      <c r="M251" s="2430" t="n"/>
      <c r="N251" s="2428" t="n"/>
      <c r="O251" s="2430" t="n"/>
      <c r="P251" s="2428" t="n"/>
      <c r="Q251" s="2430" t="n"/>
      <c r="R251" s="2428" t="n"/>
      <c r="S251" s="2430" t="n"/>
      <c r="T251" s="2401" t="n"/>
      <c r="U251" s="2430" t="n"/>
      <c r="V251" s="2401" t="n"/>
      <c r="W251" s="2430" t="n"/>
      <c r="X251" s="2401" t="n"/>
      <c r="Y251" s="2430" t="n"/>
      <c r="Z251" s="2401" t="n"/>
      <c r="AA251" s="2430" t="n"/>
      <c r="AB251" s="2401" t="n"/>
      <c r="AC251" s="2430" t="n"/>
      <c r="AD251" s="2401" t="n"/>
      <c r="AE251" s="2430" t="n"/>
      <c r="AF251" s="2401" t="n"/>
      <c r="AG251" s="2430" t="n"/>
      <c r="AH251" s="2401" t="n"/>
      <c r="AI251" s="2430" t="n"/>
      <c r="AJ251" s="2401" t="n"/>
      <c r="AK251" s="2430" t="n"/>
      <c r="AL251" s="2401" t="n"/>
      <c r="AM251" s="2400" t="n"/>
      <c r="AN251" s="2979" t="n"/>
      <c r="AO251" s="2980" t="n"/>
      <c r="AP251" s="2981" t="n"/>
      <c r="AQ251" s="5226" t="n"/>
      <c r="AR251" s="5238" t="n"/>
      <c r="AS251" s="5232" t="n"/>
      <c r="AT251" s="5238" t="n"/>
      <c r="AU251" s="2401" t="n"/>
      <c r="AV251" s="2982" t="n"/>
      <c r="AW251" s="5238" t="n"/>
      <c r="AX251" s="2401" t="n"/>
      <c r="AY251">
        <f>CA251&amp;CB251&amp;CC251&amp;CD251&amp;CE251&amp;CF251&amp;CG251&amp;CH251&amp;CI251&amp;CJ251&amp;CK251&amp;CL251</f>
        <v/>
      </c>
      <c r="CA251" s="196">
        <f>IF(AND($F251&gt;0,AM251="")," * No olvide digitar la variable Gestante. Digite cero si no tiene.",IF(AM251&gt;$F251," * La variable Gestante no puede superar el Total Mujeres.",""))</f>
        <v/>
      </c>
      <c r="CB251" s="196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 t="n"/>
      <c r="CD251" s="198" t="n"/>
      <c r="CE251" s="198" t="n"/>
      <c r="CF251" s="196">
        <f>IF(AND($D251&gt;0,AR251="")," * No olvide digitar la variable Compra de Servicio. Digite Cero si no tiene.","")</f>
        <v/>
      </c>
      <c r="CG251" s="198" t="n"/>
      <c r="CH251" s="196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 t="n"/>
      <c r="CK251" s="196">
        <f>IF(AND($D251&gt;0,AW251="")," * No olvide digitar la variable Migrantes. Digite Cero si no tiene.",IF(AW251&gt;$D251," * La variable Migrantes no puede superar el Total Ambos Sexos.",""))</f>
        <v/>
      </c>
      <c r="CL251" s="196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/>
      </c>
      <c r="CP251" s="197">
        <f>IF(AND(AG251+AH251&gt;0,AN251=""),1,IF(AN251&gt;AG251+AH251,1,0))</f>
        <v/>
      </c>
      <c r="CQ251" s="198" t="n"/>
      <c r="CR251" s="198" t="n"/>
      <c r="CS251" s="198" t="n"/>
      <c r="CT251" s="197">
        <f>IF(AND($D251&gt;0,AR251=""),1,0)</f>
        <v/>
      </c>
      <c r="CU251" s="198" t="n"/>
      <c r="CV251" s="197">
        <f>IF(AND($D251&gt;0,AT251=""),1,IF(AT251&gt;$D251,1,0))</f>
        <v/>
      </c>
      <c r="CW251" s="197">
        <f>IF(AND($D251&gt;0,AU251=""),1,IF(AU251&gt;$D251,1,0))</f>
        <v/>
      </c>
      <c r="CX251" s="198" t="n"/>
      <c r="CY251" s="197">
        <f>IF(AND($D251&gt;0,AW251=""),1,IF(AW251&gt;$D251,1,0))</f>
        <v/>
      </c>
      <c r="CZ251" s="197">
        <f>IF(AND($D251&gt;0,AX251=""),1,IF(AX251&gt;$D251,1,0))</f>
        <v/>
      </c>
    </row>
    <row r="252" ht="15" customHeight="1" s="8286">
      <c r="A252" s="10124" t="n"/>
      <c r="B252" s="9929" t="inlineStr">
        <is>
          <t>Consulta de urgencia no GES</t>
        </is>
      </c>
      <c r="C252" s="9720" t="n"/>
      <c r="D252" s="1421">
        <f>SUM(E252+F252)</f>
        <v/>
      </c>
      <c r="E252" s="800">
        <f>SUM(G252++I252+K252+M252+O252+Q252+S252+U252+W252+Y252+AA252+AC252+AE252+AG252+AI252+AK252)</f>
        <v/>
      </c>
      <c r="F252" s="2727">
        <f>SUM(H252++J252+L252+N252+P252+R252+T252+V252+X252+Z252+AB252+AD252+AF252+AH252+AJ252+AL252)</f>
        <v/>
      </c>
      <c r="G252" s="1276" t="n"/>
      <c r="H252" s="2983" t="n"/>
      <c r="I252" s="1348" t="n"/>
      <c r="J252" s="2983" t="n"/>
      <c r="K252" s="1348" t="n"/>
      <c r="L252" s="2983" t="n"/>
      <c r="M252" s="1348" t="n"/>
      <c r="N252" s="2983" t="n"/>
      <c r="O252" s="1348" t="n"/>
      <c r="P252" s="2983" t="n"/>
      <c r="Q252" s="1348" t="n"/>
      <c r="R252" s="2983" t="n"/>
      <c r="S252" s="1348" t="n"/>
      <c r="T252" s="1277" t="n"/>
      <c r="U252" s="1348" t="n"/>
      <c r="V252" s="1277" t="n"/>
      <c r="W252" s="1348" t="n"/>
      <c r="X252" s="1277" t="n"/>
      <c r="Y252" s="1348" t="n"/>
      <c r="Z252" s="1277" t="n"/>
      <c r="AA252" s="1348" t="n"/>
      <c r="AB252" s="1277" t="n"/>
      <c r="AC252" s="1348" t="n"/>
      <c r="AD252" s="1277" t="n"/>
      <c r="AE252" s="1348" t="n"/>
      <c r="AF252" s="1277" t="n"/>
      <c r="AG252" s="1348" t="n"/>
      <c r="AH252" s="1277" t="n"/>
      <c r="AI252" s="1348" t="n"/>
      <c r="AJ252" s="1277" t="n"/>
      <c r="AK252" s="1348" t="n"/>
      <c r="AL252" s="1277" t="n"/>
      <c r="AM252" s="1350" t="n"/>
      <c r="AN252" s="2984" t="n"/>
      <c r="AO252" s="2980" t="n"/>
      <c r="AP252" s="2985" t="n"/>
      <c r="AQ252" s="5226" t="n"/>
      <c r="AR252" s="1967" t="n"/>
      <c r="AS252" s="5233" t="n"/>
      <c r="AT252" s="1967" t="n"/>
      <c r="AU252" s="1277" t="n"/>
      <c r="AV252" s="2985" t="n"/>
      <c r="AW252" s="1967" t="n"/>
      <c r="AX252" s="1277" t="n"/>
      <c r="AY252">
        <f>CA252&amp;CB252&amp;CC252&amp;CD252&amp;CE252&amp;CF252&amp;CG252&amp;CH252&amp;CI252&amp;CJ252&amp;CK252&amp;CL252</f>
        <v/>
      </c>
      <c r="CA252" s="196">
        <f>IF(AND($F252&gt;0,AM252="")," * No olvide digitar la variable Gestante. Digite cero si no tiene.",IF(AM252&gt;$F252," * La variable Gestante no puede superar el Total Mujeres.",""))</f>
        <v/>
      </c>
      <c r="CB252" s="196">
        <f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 t="n"/>
      <c r="CD252" s="198" t="n"/>
      <c r="CE252" s="198" t="n"/>
      <c r="CF252" s="196">
        <f>IF(AND($D252&gt;0,AR252="")," * No olvide digitar la variable Compra de Servicio. Digite Cero si no tiene.","")</f>
        <v/>
      </c>
      <c r="CG252" s="198" t="n"/>
      <c r="CH252" s="196">
        <f>IF(AND($D252&gt;0,AT252="")," * No olvide digitar la variable Usuarios con Discapacidad. Digite Cero si no tiene.",IF(AT252&gt;$D252," * La variable Usuarios con Discapacidad no puede superar el Total Ambos Sexos.",""))</f>
        <v/>
      </c>
      <c r="CI252" s="196">
        <f>IF(AND($D252&gt;0,AU252="")," * No olvide digitar la variable Usuarios Oncológicos. Digite Cero si no tiene.",IF(AU252&gt;$D252," * La variable Usuarios Oncológicos no puede superar el Total Ambos Sexos.",""))</f>
        <v/>
      </c>
      <c r="CJ252" s="198" t="n"/>
      <c r="CK252" s="196">
        <f>IF(AND($D252&gt;0,AW252="")," * No olvide digitar la variable Migrantes. Digite Cero si no tiene.",IF(AW252&gt;$D252," * La variable Migrantes no puede superar el Total Ambos Sexos.",""))</f>
        <v/>
      </c>
      <c r="CL252" s="196">
        <f>IF(AND($D252&gt;0,AX252=""),"  * No olvide digitar la variable Pueblo Originario. Digite Cero si no tiene.",IF(AX252&gt;$D252," * La variable Pueblo Originario no puede superar el Total Ambos Sexos.",""))</f>
        <v/>
      </c>
      <c r="CO252" s="197">
        <f>IF(AND($F252&gt;0,AM252=""),1,IF(AM252&gt;$F252,1,0))</f>
        <v/>
      </c>
      <c r="CP252" s="197">
        <f>IF(AND(AG252+AH252&gt;0,AN252=""),1,IF(AN252&gt;AG252+AH252,1,0))</f>
        <v/>
      </c>
      <c r="CQ252" s="198" t="n"/>
      <c r="CR252" s="198" t="n"/>
      <c r="CS252" s="198" t="n"/>
      <c r="CT252" s="197">
        <f>IF(AND($D252&gt;0,AR252=""),1,0)</f>
        <v/>
      </c>
      <c r="CU252" s="198" t="n"/>
      <c r="CV252" s="197">
        <f>IF(AND($D252&gt;0,AT252=""),1,IF(AT252&gt;$D252,1,0))</f>
        <v/>
      </c>
      <c r="CW252" s="197">
        <f>IF(AND($D252&gt;0,AU252=""),1,IF(AU252&gt;$D252,1,0))</f>
        <v/>
      </c>
      <c r="CX252" s="198" t="n"/>
      <c r="CY252" s="197">
        <f>IF(AND($D252&gt;0,AW252=""),1,IF(AW252&gt;$D252,1,0))</f>
        <v/>
      </c>
      <c r="CZ252" s="197">
        <f>IF(AND($D252&gt;0,AX252=""),1,IF(AX252&gt;$D252,1,0))</f>
        <v/>
      </c>
    </row>
    <row r="253" ht="15" customHeight="1" s="8286">
      <c r="A253" s="10236" t="inlineStr">
        <is>
          <t xml:space="preserve">Cirugía y traumatología maxilofacial </t>
        </is>
      </c>
      <c r="B253" s="8445" t="inlineStr">
        <is>
          <t xml:space="preserve">Consulta nueva  </t>
        </is>
      </c>
      <c r="C253" s="10281" t="n"/>
      <c r="D253" s="2957">
        <f>SUM(E253+F253)</f>
        <v/>
      </c>
      <c r="E253" s="845">
        <f>SUM(G253++I253+K253+M253+O253+Q253+S253+U253+W253+Y253+AA253+AC253+AE253+AG253+AI253+AK253)</f>
        <v/>
      </c>
      <c r="F253" s="2715">
        <f>SUM(H253++J253+L253+N253+P253+R253+T253+V253+X253+Z253+AB253+AD253+AF253+AH253+AJ253+AL253)</f>
        <v/>
      </c>
      <c r="G253" s="2427" t="n"/>
      <c r="H253" s="2428" t="n"/>
      <c r="I253" s="2430" t="n"/>
      <c r="J253" s="2428" t="n"/>
      <c r="K253" s="2430" t="n"/>
      <c r="L253" s="2428" t="n"/>
      <c r="M253" s="2430" t="n"/>
      <c r="N253" s="2428" t="n"/>
      <c r="O253" s="2430" t="n"/>
      <c r="P253" s="2428" t="n"/>
      <c r="Q253" s="2430" t="n"/>
      <c r="R253" s="2428" t="n"/>
      <c r="S253" s="2430" t="n"/>
      <c r="T253" s="2401" t="n"/>
      <c r="U253" s="2987" t="n"/>
      <c r="V253" s="764" t="n"/>
      <c r="W253" s="2987" t="n"/>
      <c r="X253" s="764" t="n"/>
      <c r="Y253" s="2987" t="n"/>
      <c r="Z253" s="764" t="n"/>
      <c r="AA253" s="2987" t="n"/>
      <c r="AB253" s="764" t="n"/>
      <c r="AC253" s="2987" t="n"/>
      <c r="AD253" s="764" t="n"/>
      <c r="AE253" s="2987" t="n"/>
      <c r="AF253" s="764" t="n"/>
      <c r="AG253" s="2987" t="n"/>
      <c r="AH253" s="764" t="n"/>
      <c r="AI253" s="2987" t="n"/>
      <c r="AJ253" s="764" t="n"/>
      <c r="AK253" s="2430" t="n"/>
      <c r="AL253" s="2401" t="n"/>
      <c r="AM253" s="1944" t="n"/>
      <c r="AN253" s="2988" t="n"/>
      <c r="AO253" s="2427" t="n"/>
      <c r="AP253" s="764" t="n"/>
      <c r="AQ253" s="5227" t="n"/>
      <c r="AR253" s="5239" t="n"/>
      <c r="AS253" s="5234" t="n"/>
      <c r="AT253" s="5239" t="n"/>
      <c r="AU253" s="1278" t="n"/>
      <c r="AV253" s="2981" t="n"/>
      <c r="AW253" s="5239" t="n"/>
      <c r="AX253" s="1278" t="n"/>
      <c r="AY253">
        <f>CA253&amp;CB253&amp;CC253&amp;CD253&amp;CE253&amp;CF253&amp;CG253&amp;CH253&amp;CI253&amp;CJ253&amp;CK253&amp;CL253</f>
        <v/>
      </c>
      <c r="CA253" s="196">
        <f>IF(AND($F253&gt;0,AM253="")," * No olvide digitar la variable Gestante. Digite cero si no tiene.",IF(AM253&gt;$F253," * La variable Gestante no puede superar el Total Mujeres.",""))</f>
        <v/>
      </c>
      <c r="CB253" s="196">
        <f>IF(AND(AG253+AH253&gt;0,AN253="")," * No olvide digitar la variable 60 años (incluido en grupos de 60-64 años). Digite Cero si no tiene.",IF(AN253&gt;AG253+AH253," * La variable 60 años (incluido en grupos de 60-64 años) no puede superar la suma del Grupo 60-64 años.",""))</f>
        <v/>
      </c>
      <c r="CC253" s="196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>
        <f>IF(AND($D253&gt;0,AQ253="")," * No olvide digitar la variable Inasistente. Digite cero si no tiene.",IF(AQ253&gt;$D253," * La variable Insasistente no puede superar el Total Ambos Sexos.",""))</f>
        <v/>
      </c>
      <c r="CF253" s="196">
        <f>IF(AND($D253&gt;0,AR253="")," * No olvide digitar la variable Compra de Servicio. Digite Cero si no tiene.","")</f>
        <v/>
      </c>
      <c r="CG253" s="198" t="n"/>
      <c r="CH253" s="196">
        <f>IF(AND($D253&gt;0,AT253="")," * No olvide digitar la variable Usuarios con Discapacidad. Digite Cero si no tiene.",IF(AT253&gt;$D253," * La variable Usuarios con Discapacidad no puede superar el Total Ambos Sexos.",""))</f>
        <v/>
      </c>
      <c r="CI253" s="196">
        <f>IF(AND($D253&gt;0,AU253="")," * No olvide digitar la variable Usuarios Oncológicos. Digite Cero si no tiene.",IF(AU253&gt;$D253," * La variable Usuarios Oncológicos no puede superar el Total Ambos Sexos.",""))</f>
        <v/>
      </c>
      <c r="CJ253" s="198" t="n"/>
      <c r="CK253" s="196">
        <f>IF(AND($D253&gt;0,AW253="")," * No olvide digitar la variable Migrantes. Digite Cero si no tiene.",IF(AW253&gt;$D253," * La variable Migrantes no puede superar el Total Ambos Sexos.",""))</f>
        <v/>
      </c>
      <c r="CL253" s="196">
        <f>IF(AND($D253&gt;0,AX253=""),"  * No olvide digitar la variable Pueblo Originario. Digite Cero si no tiene.",IF(AX253&gt;$D253," * La variable Pueblo Originario no puede superar el Total Ambos Sexos.",""))</f>
        <v/>
      </c>
      <c r="CO253" s="197">
        <f>IF(AND($F253&gt;0,AM253=""),1,IF(AM253&gt;$F253,1,0))</f>
        <v/>
      </c>
      <c r="CP253" s="197">
        <f>IF(AND(AG253+AH253&gt;0,AN253=""),1,IF(AN253&gt;AG253+AH253,1,0))</f>
        <v/>
      </c>
      <c r="CQ253" s="197">
        <f>IF(AND($D253&gt;0,AO253=""),1,IF(AO253&gt;$D253,1,0))</f>
        <v/>
      </c>
      <c r="CR253" s="197">
        <f>IF(AND($D253&gt;0,AP253=""),1,IF(AP253&gt;$D253,1,0))</f>
        <v/>
      </c>
      <c r="CS253" s="197">
        <f>IF(AND($D253&gt;0,AQ253=""),1,IF(AQ253&gt;$D253,1,0))</f>
        <v/>
      </c>
      <c r="CT253" s="197">
        <f>IF(AND($D253&gt;0,AR253=""),1,0)</f>
        <v/>
      </c>
      <c r="CU253" s="198" t="n"/>
      <c r="CV253" s="197">
        <f>IF(AND($D253&gt;0,AT253=""),1,IF(AT253&gt;$D253,1,0))</f>
        <v/>
      </c>
      <c r="CW253" s="197">
        <f>IF(AND($D253&gt;0,AU253=""),1,IF(AU253&gt;$D253,1,0))</f>
        <v/>
      </c>
      <c r="CX253" s="198" t="n"/>
      <c r="CY253" s="197">
        <f>IF(AND($D253&gt;0,AW253=""),1,IF(AW253&gt;$D253,1,0))</f>
        <v/>
      </c>
      <c r="CZ253" s="197">
        <f>IF(AND($D253&gt;0,AX253=""),1,IF(AX253&gt;$D253,1,0))</f>
        <v/>
      </c>
    </row>
    <row r="254" ht="15" customHeight="1" s="8286">
      <c r="A254" s="9588" t="n"/>
      <c r="B254" s="8748" t="inlineStr">
        <is>
          <t xml:space="preserve">Control  </t>
        </is>
      </c>
      <c r="C254" s="9644" t="n"/>
      <c r="D254" s="2989">
        <f>SUM(E254+F254)</f>
        <v/>
      </c>
      <c r="E254" s="2990">
        <f>SUM(G254++I254+K254+M254+O254+Q254+S254+U254+W254+Y254+AA254+AC254+AE254+AG254+AI254+AK254)</f>
        <v/>
      </c>
      <c r="F254" s="2803">
        <f>SUM(H254++J254+L254+N254+P254+R254+T254+V254+X254+Z254+AB254+AD254+AF254+AH254+AJ254+AL254)</f>
        <v/>
      </c>
      <c r="G254" s="2991" t="n"/>
      <c r="H254" s="2992" t="n"/>
      <c r="I254" s="2993" t="n"/>
      <c r="J254" s="2992" t="n"/>
      <c r="K254" s="2993" t="n"/>
      <c r="L254" s="2992" t="n"/>
      <c r="M254" s="2993" t="n"/>
      <c r="N254" s="2992" t="n"/>
      <c r="O254" s="2993" t="n"/>
      <c r="P254" s="2992" t="n"/>
      <c r="Q254" s="2993" t="n"/>
      <c r="R254" s="2992" t="n"/>
      <c r="S254" s="2993" t="n"/>
      <c r="T254" s="1275" t="n"/>
      <c r="U254" s="2991" t="n"/>
      <c r="V254" s="2992" t="n"/>
      <c r="W254" s="2991" t="n"/>
      <c r="X254" s="2992" t="n"/>
      <c r="Y254" s="2991" t="n"/>
      <c r="Z254" s="2992" t="n"/>
      <c r="AA254" s="2991" t="n"/>
      <c r="AB254" s="2992" t="n"/>
      <c r="AC254" s="2991" t="n"/>
      <c r="AD254" s="2992" t="n"/>
      <c r="AE254" s="2991" t="n"/>
      <c r="AF254" s="2992" t="n"/>
      <c r="AG254" s="2991" t="n"/>
      <c r="AH254" s="2992" t="n"/>
      <c r="AI254" s="2991" t="n"/>
      <c r="AJ254" s="2992" t="n"/>
      <c r="AK254" s="2993" t="n"/>
      <c r="AL254" s="1275" t="n"/>
      <c r="AM254" s="2994" t="n"/>
      <c r="AN254" s="2995" t="n"/>
      <c r="AO254" s="2980" t="n"/>
      <c r="AP254" s="2981" t="n"/>
      <c r="AQ254" s="5228" t="n"/>
      <c r="AR254" s="3951" t="n"/>
      <c r="AS254" s="5234" t="n"/>
      <c r="AT254" s="3951" t="n"/>
      <c r="AU254" s="1275" t="n"/>
      <c r="AV254" s="2981" t="n"/>
      <c r="AW254" s="3951" t="n"/>
      <c r="AX254" s="1275" t="n"/>
      <c r="AY254">
        <f>CA254&amp;CB254&amp;CC254&amp;CD254&amp;CE254&amp;CF254&amp;CG254&amp;CH254&amp;CI254&amp;CJ254&amp;CK254&amp;CL254</f>
        <v/>
      </c>
      <c r="CA254" s="196">
        <f>IF(AND($F254&gt;0,AM254="")," * No olvide digitar la variable Gestante. Digite cero si no tiene.",IF(AM254&gt;$F254," * La variable Gestante no puede superar el Total Mujeres.",""))</f>
        <v/>
      </c>
      <c r="CB254" s="196">
        <f>IF(AND(AG254+AH254&gt;0,AN254="")," * No olvide digitar la variable 60 años (incluido en grupos de 60-64 años). Digite Cero si no tiene.",IF(AN254&gt;AG254+AH254," * La variable 60 años (incluido en grupos de 60-64 años) no puede superar la suma del Grupo 60-64 años.",""))</f>
        <v/>
      </c>
      <c r="CC254" s="198" t="n"/>
      <c r="CD254" s="198" t="n"/>
      <c r="CE254" s="196">
        <f>IF(AND($D254&gt;0,AQ254="")," * No olvide digitar la variable Inasistente. Digite cero si no tiene.",IF(AQ254&gt;$D254," * La variable Insasistente no puede superar el Total Ambos Sexos.",""))</f>
        <v/>
      </c>
      <c r="CF254" s="196">
        <f>IF(AND($D254&gt;0,AR254="")," * No olvide digitar la variable Compra de Servicio. Digite Cero si no tiene.","")</f>
        <v/>
      </c>
      <c r="CG254" s="198" t="n"/>
      <c r="CH254" s="196">
        <f>IF(AND($D254&gt;0,AT254="")," * No olvide digitar la variable Usuarios con Discapacidad. Digite Cero si no tiene.",IF(AT254&gt;$D254," * La variable Usuarios con Discapacidad no puede superar el Total Ambos Sexos.",""))</f>
        <v/>
      </c>
      <c r="CI254" s="196">
        <f>IF(AND($D254&gt;0,AU254="")," * No olvide digitar la variable Usuarios Oncológicos. Digite Cero si no tiene.",IF(AU254&gt;$D254," * La variable Usuarios Oncológicos no puede superar el Total Ambos Sexos.",""))</f>
        <v/>
      </c>
      <c r="CJ254" s="198" t="n"/>
      <c r="CK254" s="196">
        <f>IF(AND($D254&gt;0,AW254="")," * No olvide digitar la variable Migrantes. Digite Cero si no tiene.",IF(AW254&gt;$D254," * La variable Migrantes no puede superar el Total Ambos Sexos.",""))</f>
        <v/>
      </c>
      <c r="CL254" s="196">
        <f>IF(AND($D254&gt;0,AX254=""),"  * No olvide digitar la variable Pueblo Originario. Digite Cero si no tiene.",IF(AX254&gt;$D254," * La variable Pueblo Originario no puede superar el Total Ambos Sexos.",""))</f>
        <v/>
      </c>
      <c r="CO254" s="197">
        <f>IF(AND($F254&gt;0,AM254=""),1,IF(AM254&gt;$F254,1,0))</f>
        <v/>
      </c>
      <c r="CP254" s="197">
        <f>IF(AND(AG254+AH254&gt;0,AN254=""),1,IF(AN254&gt;AG254+AH254,1,0))</f>
        <v/>
      </c>
      <c r="CQ254" s="198" t="n"/>
      <c r="CR254" s="198" t="n"/>
      <c r="CS254" s="197">
        <f>IF(AND($D254&gt;0,AQ254=""),1,IF(AQ254&gt;$D254,1,0))</f>
        <v/>
      </c>
      <c r="CT254" s="197">
        <f>IF(AND($D254&gt;0,AR254=""),1,0)</f>
        <v/>
      </c>
      <c r="CU254" s="198" t="n"/>
      <c r="CV254" s="197">
        <f>IF(AND($D254&gt;0,AT254=""),1,IF(AT254&gt;$D254,1,0))</f>
        <v/>
      </c>
      <c r="CW254" s="197">
        <f>IF(AND($D254&gt;0,AU254=""),1,IF(AU254&gt;$D254,1,0))</f>
        <v/>
      </c>
      <c r="CX254" s="198" t="n"/>
      <c r="CY254" s="197">
        <f>IF(AND($D254&gt;0,AW254=""),1,IF(AW254&gt;$D254,1,0))</f>
        <v/>
      </c>
      <c r="CZ254" s="197">
        <f>IF(AND($D254&gt;0,AX254=""),1,IF(AX254&gt;$D254,1,0))</f>
        <v/>
      </c>
    </row>
    <row r="255" ht="15" customHeight="1" s="8286">
      <c r="A255" s="9588" t="n"/>
      <c r="B255" s="8748" t="inlineStr">
        <is>
          <t xml:space="preserve">Ingreso a tratamiento </t>
        </is>
      </c>
      <c r="C255" s="9644" t="n"/>
      <c r="D255" s="2989">
        <f>SUM(E255+F255)</f>
        <v/>
      </c>
      <c r="E255" s="2990">
        <f>SUM(G255++I255+K255+M255+O255+Q255+S255+U255+W255+Y255+AA255+AC255+AE255+AG255+AI255+AK255)</f>
        <v/>
      </c>
      <c r="F255" s="2803">
        <f>SUM(H255++J255+L255+N255+P255+R255+T255+V255+X255+Z255+AB255+AD255+AF255+AH255+AJ255+AL255)</f>
        <v/>
      </c>
      <c r="G255" s="2991" t="n"/>
      <c r="H255" s="2992" t="n"/>
      <c r="I255" s="2993" t="n"/>
      <c r="J255" s="2992" t="n"/>
      <c r="K255" s="2993" t="n"/>
      <c r="L255" s="2992" t="n"/>
      <c r="M255" s="2993" t="n"/>
      <c r="N255" s="2992" t="n"/>
      <c r="O255" s="2993" t="n"/>
      <c r="P255" s="2992" t="n"/>
      <c r="Q255" s="2993" t="n"/>
      <c r="R255" s="2992" t="n"/>
      <c r="S255" s="2993" t="n"/>
      <c r="T255" s="1275" t="n"/>
      <c r="U255" s="2993" t="n"/>
      <c r="V255" s="2992" t="n"/>
      <c r="W255" s="2993" t="n"/>
      <c r="X255" s="2992" t="n"/>
      <c r="Y255" s="2993" t="n"/>
      <c r="Z255" s="2992" t="n"/>
      <c r="AA255" s="2993" t="n"/>
      <c r="AB255" s="2992" t="n"/>
      <c r="AC255" s="2993" t="n"/>
      <c r="AD255" s="2992" t="n"/>
      <c r="AE255" s="2993" t="n"/>
      <c r="AF255" s="2992" t="n"/>
      <c r="AG255" s="2993" t="n"/>
      <c r="AH255" s="2992" t="n"/>
      <c r="AI255" s="2993" t="n"/>
      <c r="AJ255" s="2992" t="n"/>
      <c r="AK255" s="2993" t="n"/>
      <c r="AL255" s="1275" t="n"/>
      <c r="AM255" s="2994" t="n"/>
      <c r="AN255" s="2995" t="n"/>
      <c r="AO255" s="2980" t="n"/>
      <c r="AP255" s="2981" t="n"/>
      <c r="AQ255" s="5226" t="n"/>
      <c r="AR255" s="3951" t="n"/>
      <c r="AS255" s="5234" t="n"/>
      <c r="AT255" s="3951" t="n"/>
      <c r="AU255" s="1275" t="n"/>
      <c r="AV255" s="2981" t="n"/>
      <c r="AW255" s="3951" t="n"/>
      <c r="AX255" s="1275" t="n"/>
      <c r="AY255">
        <f>CA255&amp;CB255&amp;CC255&amp;CD255&amp;CE255&amp;CF255&amp;CG255&amp;CH255&amp;CI255&amp;CJ255&amp;CK255&amp;CL255</f>
        <v/>
      </c>
      <c r="CA255" s="196">
        <f>IF(AND($F255&gt;0,AM255="")," * No olvide digitar la variable Gestante. Digite cero si no tiene.",IF(AM255&gt;$F255," * La variable Gestante no puede superar el Total Mujeres.",""))</f>
        <v/>
      </c>
      <c r="CB255" s="196">
        <f>IF(AND(AG255+AH255&gt;0,AN255="")," * No olvide digitar la variable 60 años (incluido en grupos de 60-64 años). Digite Cero si no tiene.",IF(AN255&gt;AG255+AH255," * La variable 60 años (incluido en grupos de 60-64 años) no puede superar la suma del Grupo 60-64 años.",""))</f>
        <v/>
      </c>
      <c r="CC255" s="198" t="n"/>
      <c r="CD255" s="198" t="n"/>
      <c r="CE255" s="198" t="n"/>
      <c r="CF255" s="196">
        <f>IF(AND($D255&gt;0,AR255="")," * No olvide digitar la variable Compra de Servicio. Digite Cero si no tiene.","")</f>
        <v/>
      </c>
      <c r="CG255" s="198" t="n"/>
      <c r="CH255" s="196">
        <f>IF(AND($D255&gt;0,AT255="")," * No olvide digitar la variable Usuarios con Discapacidad. Digite Cero si no tiene.",IF(AT255&gt;$D255," * La variable Usuarios con Discapacidad no puede superar el Total Ambos Sexos.",""))</f>
        <v/>
      </c>
      <c r="CI255" s="196">
        <f>IF(AND($D255&gt;0,AU255="")," * No olvide digitar la variable Usuarios Oncológicos. Digite Cero si no tiene.",IF(AU255&gt;$D255," * La variable Usuarios Oncológicos no puede superar el Total Ambos Sexos.",""))</f>
        <v/>
      </c>
      <c r="CJ255" s="198" t="n"/>
      <c r="CK255" s="196">
        <f>IF(AND($D255&gt;0,AW255="")," * No olvide digitar la variable Migrantes. Digite Cero si no tiene.",IF(AW255&gt;$D255," * La variable Migrantes no puede superar el Total Ambos Sexos.",""))</f>
        <v/>
      </c>
      <c r="CL255" s="196">
        <f>IF(AND($D255&gt;0,AX255=""),"  * No olvide digitar la variable Pueblo Originario. Digite Cero si no tiene.",IF(AX255&gt;$D255," * La variable Pueblo Originario no puede superar el Total Ambos Sexos.",""))</f>
        <v/>
      </c>
      <c r="CO255" s="197">
        <f>IF(AND($F255&gt;0,AM255=""),1,IF(AM255&gt;$F255,1,0))</f>
        <v/>
      </c>
      <c r="CP255" s="197">
        <f>IF(AND(AG255+AH255&gt;0,AN255=""),1,IF(AN255&gt;AG255+AH255,1,0))</f>
        <v/>
      </c>
      <c r="CQ255" s="198" t="n"/>
      <c r="CR255" s="198" t="n"/>
      <c r="CS255" s="198" t="n"/>
      <c r="CT255" s="197">
        <f>IF(AND($D255&gt;0,AR255=""),1,0)</f>
        <v/>
      </c>
      <c r="CU255" s="198" t="n"/>
      <c r="CV255" s="197">
        <f>IF(AND($D255&gt;0,AT255=""),1,IF(AT255&gt;$D255,1,0))</f>
        <v/>
      </c>
      <c r="CW255" s="197">
        <f>IF(AND($D255&gt;0,AU255=""),1,IF(AU255&gt;$D255,1,0))</f>
        <v/>
      </c>
      <c r="CX255" s="198" t="n"/>
      <c r="CY255" s="197">
        <f>IF(AND($D255&gt;0,AW255=""),1,IF(AW255&gt;$D255,1,0))</f>
        <v/>
      </c>
      <c r="CZ255" s="197">
        <f>IF(AND($D255&gt;0,AX255=""),1,IF(AX255&gt;$D255,1,0))</f>
        <v/>
      </c>
    </row>
    <row r="256" ht="15" customHeight="1" s="8286">
      <c r="A256" s="9588" t="n"/>
      <c r="B256" s="8748" t="inlineStr">
        <is>
          <t xml:space="preserve">Altas de tratamiento </t>
        </is>
      </c>
      <c r="C256" s="9644" t="n"/>
      <c r="D256" s="2989">
        <f>SUM(E256+F256)</f>
        <v/>
      </c>
      <c r="E256" s="2990">
        <f>SUM(G256++I256+K256+M256+O256+Q256+S256+U256+W256+Y256+AA256+AC256+AE256+AG256+AI256+AK256)</f>
        <v/>
      </c>
      <c r="F256" s="2803">
        <f>SUM(H256++J256+L256+N256+P256+R256+T256+V256+X256+Z256+AB256+AD256+AF256+AH256+AJ256+AL256)</f>
        <v/>
      </c>
      <c r="G256" s="2997" t="n"/>
      <c r="H256" s="2998" t="n"/>
      <c r="I256" s="1949" t="n"/>
      <c r="J256" s="2998" t="n"/>
      <c r="K256" s="1949" t="n"/>
      <c r="L256" s="2998" t="n"/>
      <c r="M256" s="1949" t="n"/>
      <c r="N256" s="2998" t="n"/>
      <c r="O256" s="1949" t="n"/>
      <c r="P256" s="2998" t="n"/>
      <c r="Q256" s="1949" t="n"/>
      <c r="R256" s="2998" t="n"/>
      <c r="S256" s="1949" t="n"/>
      <c r="T256" s="1950" t="n"/>
      <c r="U256" s="1949" t="n"/>
      <c r="V256" s="2998" t="n"/>
      <c r="W256" s="1949" t="n"/>
      <c r="X256" s="2998" t="n"/>
      <c r="Y256" s="1949" t="n"/>
      <c r="Z256" s="2998" t="n"/>
      <c r="AA256" s="1949" t="n"/>
      <c r="AB256" s="2998" t="n"/>
      <c r="AC256" s="1949" t="n"/>
      <c r="AD256" s="2998" t="n"/>
      <c r="AE256" s="1949" t="n"/>
      <c r="AF256" s="2998" t="n"/>
      <c r="AG256" s="1949" t="n"/>
      <c r="AH256" s="2998" t="n"/>
      <c r="AI256" s="1949" t="n"/>
      <c r="AJ256" s="2998" t="n"/>
      <c r="AK256" s="1949" t="n"/>
      <c r="AL256" s="1950" t="n"/>
      <c r="AM256" s="1937" t="n"/>
      <c r="AN256" s="2999" t="n"/>
      <c r="AO256" s="2980" t="n"/>
      <c r="AP256" s="2981" t="n"/>
      <c r="AQ256" s="5226" t="n"/>
      <c r="AR256" s="5240" t="n"/>
      <c r="AS256" s="5234" t="n"/>
      <c r="AT256" s="5240" t="n"/>
      <c r="AU256" s="1950" t="n"/>
      <c r="AV256" s="1275" t="n"/>
      <c r="AW256" s="5240" t="n"/>
      <c r="AX256" s="1950" t="n"/>
      <c r="AY256">
        <f>CA256&amp;CB256&amp;CC256&amp;CD256&amp;CE256&amp;CF256&amp;CG256&amp;CH256&amp;CI256&amp;CJ256&amp;CK256&amp;CL256</f>
        <v/>
      </c>
      <c r="CA256" s="196">
        <f>IF(AND($F256&gt;0,AM256="")," * No olvide digitar la variable Gestante. Digite cero si no tiene.",IF(AM256&gt;$F256," * La variable Gestante no puede superar el Total Mujeres.",""))</f>
        <v/>
      </c>
      <c r="CB256" s="196">
        <f>IF(AND(AG256+AH256&gt;0,AN256="")," * No olvide digitar la variable 60 años (incluido en grupos de 60-64 años). Digite Cero si no tiene.",IF(AN256&gt;AG256+AH256," * La variable 60 años (incluido en grupos de 60-64 años) no puede superar la suma del Grupo 60-64 años.",""))</f>
        <v/>
      </c>
      <c r="CC256" s="198" t="n"/>
      <c r="CD256" s="198" t="n"/>
      <c r="CE256" s="198" t="n"/>
      <c r="CF256" s="196">
        <f>IF(AND($D256&gt;0,AR256="")," * No olvide digitar la variable Compra de Servicio. Digite Cero si no tiene.","")</f>
        <v/>
      </c>
      <c r="CG256" s="198" t="n"/>
      <c r="CH256" s="196">
        <f>IF(AND($D256&gt;0,AT256="")," * No olvide digitar la variable Usuarios con Discapacidad. Digite Cero si no tiene.",IF(AT256&gt;$D256," * La variable Usuarios con Discapacidad no puede superar el Total Ambos Sexos.",""))</f>
        <v/>
      </c>
      <c r="CI256" s="196">
        <f>IF(AND($D256&gt;0,AU256="")," * No olvide digitar la variable Usuarios Oncológicos. Digite Cero si no tiene.",IF(AU256&gt;$D256," * La variable Usuarios Oncológicos no puede superar el Total Ambos Sexos.",""))</f>
        <v/>
      </c>
      <c r="CJ256" s="196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>
        <f>IF(AND($D256&gt;0,AW256="")," * No olvide digitar la variable Migrantes. Digite Cero si no tiene.",IF(AW256&gt;$D256," * La variable Migrantes no puede superar el Total Ambos Sexos.",""))</f>
        <v/>
      </c>
      <c r="CL256" s="196">
        <f>IF(AND($D256&gt;0,AX256=""),"  * No olvide digitar la variable Pueblo Originario. Digite Cero si no tiene.",IF(AX256&gt;$D256," * La variable Pueblo Originario no puede superar el Total Ambos Sexos.",""))</f>
        <v/>
      </c>
      <c r="CO256" s="197">
        <f>IF(AND($F256&gt;0,AM256=""),1,IF(AM256&gt;$F256,1,0))</f>
        <v/>
      </c>
      <c r="CP256" s="197">
        <f>IF(AND(AG256+AH256&gt;0,AN256=""),1,IF(AN256&gt;AG256+AH256,1,0))</f>
        <v/>
      </c>
      <c r="CQ256" s="198" t="n"/>
      <c r="CR256" s="198" t="n"/>
      <c r="CS256" s="198" t="n"/>
      <c r="CT256" s="197">
        <f>IF(AND($D256&gt;0,AR256=""),1,0)</f>
        <v/>
      </c>
      <c r="CU256" s="198" t="n"/>
      <c r="CV256" s="197">
        <f>IF(AND($D256&gt;0,AT256=""),1,IF(AT256&gt;$D256,1,0))</f>
        <v/>
      </c>
      <c r="CW256" s="197">
        <f>IF(AND($D256&gt;0,AU256=""),1,IF(AU256&gt;$D256,1,0))</f>
        <v/>
      </c>
      <c r="CX256" s="197">
        <f>IF(AND($D256&gt;0,AV256=""),1,IF(AV256&gt;$D256,1,0))</f>
        <v/>
      </c>
      <c r="CY256" s="197">
        <f>IF(AND($D256&gt;0,AW256=""),1,IF(AW256&gt;$D256,1,0))</f>
        <v/>
      </c>
      <c r="CZ256" s="197">
        <f>IF(AND($D256&gt;0,AX256=""),1,IF(AX256&gt;$D256,1,0))</f>
        <v/>
      </c>
    </row>
    <row r="257" ht="15" customHeight="1" s="8286">
      <c r="A257" s="9588" t="n"/>
      <c r="B257" s="8748" t="inlineStr">
        <is>
          <t xml:space="preserve">Control de especialidad post alta </t>
        </is>
      </c>
      <c r="C257" s="9644" t="n"/>
      <c r="D257" s="2989">
        <f>SUM(E257+F257)</f>
        <v/>
      </c>
      <c r="E257" s="2990">
        <f>SUM(G257++I257+K257+M257+O257+Q257+S257+U257+W257+Y257+AA257+AC257+AE257+AG257+AI257+AK257)</f>
        <v/>
      </c>
      <c r="F257" s="2803">
        <f>SUM(H257++J257+L257+N257+P257+R257+T257+V257+X257+Z257+AB257+AD257+AF257+AH257+AJ257+AL257)</f>
        <v/>
      </c>
      <c r="G257" s="2997" t="n"/>
      <c r="H257" s="2998" t="n"/>
      <c r="I257" s="1949" t="n"/>
      <c r="J257" s="2998" t="n"/>
      <c r="K257" s="1949" t="n"/>
      <c r="L257" s="2998" t="n"/>
      <c r="M257" s="1949" t="n"/>
      <c r="N257" s="2998" t="n"/>
      <c r="O257" s="1949" t="n"/>
      <c r="P257" s="2998" t="n"/>
      <c r="Q257" s="1949" t="n"/>
      <c r="R257" s="2998" t="n"/>
      <c r="S257" s="1949" t="n"/>
      <c r="T257" s="1950" t="n"/>
      <c r="U257" s="1949" t="n"/>
      <c r="V257" s="2998" t="n"/>
      <c r="W257" s="1949" t="n"/>
      <c r="X257" s="2998" t="n"/>
      <c r="Y257" s="1949" t="n"/>
      <c r="Z257" s="2998" t="n"/>
      <c r="AA257" s="1949" t="n"/>
      <c r="AB257" s="2998" t="n"/>
      <c r="AC257" s="1949" t="n"/>
      <c r="AD257" s="2998" t="n"/>
      <c r="AE257" s="1949" t="n"/>
      <c r="AF257" s="2998" t="n"/>
      <c r="AG257" s="1949" t="n"/>
      <c r="AH257" s="2998" t="n"/>
      <c r="AI257" s="1949" t="n"/>
      <c r="AJ257" s="2998" t="n"/>
      <c r="AK257" s="1949" t="n"/>
      <c r="AL257" s="1950" t="n"/>
      <c r="AM257" s="1937" t="n"/>
      <c r="AN257" s="2999" t="n"/>
      <c r="AO257" s="3000" t="n"/>
      <c r="AP257" s="3001" t="n"/>
      <c r="AQ257" s="365" t="n"/>
      <c r="AR257" s="5240" t="n"/>
      <c r="AS257" s="5235" t="n"/>
      <c r="AT257" s="5240" t="n"/>
      <c r="AU257" s="1950" t="n"/>
      <c r="AV257" s="3001" t="n"/>
      <c r="AW257" s="5240" t="n"/>
      <c r="AX257" s="1950" t="n"/>
      <c r="AY257">
        <f>CA257&amp;CB257&amp;CC257&amp;CD257&amp;CE257&amp;CF257&amp;CG257&amp;CH257&amp;CI257&amp;CJ257&amp;CK257&amp;CL257</f>
        <v/>
      </c>
      <c r="CA257" s="196">
        <f>IF(AND($F257&gt;0,AM257="")," * No olvide digitar la variable Gestante. Digite cero si no tiene.",IF(AM257&gt;$F257," * La variable Gestante no puede superar el Total Mujeres.",""))</f>
        <v/>
      </c>
      <c r="CB257" s="196">
        <f>IF(AND(AG257+AH257&gt;0,AN257="")," * No olvide digitar la variable 60 años (incluido en grupos de 60-64 años). Digite Cero si no tiene.",IF(AN257&gt;AG257+AH257," * La variable 60 años (incluido en grupos de 60-64 años) no puede superar la suma del Grupo 60-64 años.",""))</f>
        <v/>
      </c>
      <c r="CC257" s="198" t="n"/>
      <c r="CD257" s="198" t="n"/>
      <c r="CE257" s="198" t="n"/>
      <c r="CF257" s="196">
        <f>IF(AND($D257&gt;0,AR257="")," * No olvide digitar la variable Compra de Servicio. Digite Cero si no tiene.","")</f>
        <v/>
      </c>
      <c r="CG257" s="198" t="n"/>
      <c r="CH257" s="196">
        <f>IF(AND($D257&gt;0,AT257="")," * No olvide digitar la variable Usuarios con Discapacidad. Digite Cero si no tiene.",IF(AT257&gt;$D257," * La variable Usuarios con Discapacidad no puede superar el Total Ambos Sexos.",""))</f>
        <v/>
      </c>
      <c r="CI257" s="196">
        <f>IF(AND($D257&gt;0,AU257="")," * No olvide digitar la variable Usuarios Oncológicos. Digite Cero si no tiene.",IF(AU257&gt;$D257," * La variable Usuarios Oncológicos no puede superar el Total Ambos Sexos.",""))</f>
        <v/>
      </c>
      <c r="CJ257" s="198" t="n"/>
      <c r="CK257" s="196">
        <f>IF(AND($D257&gt;0,AW257="")," * No olvide digitar la variable Migrantes. Digite Cero si no tiene.",IF(AW257&gt;$D257," * La variable Migrantes no puede superar el Total Ambos Sexos.",""))</f>
        <v/>
      </c>
      <c r="CL257" s="196">
        <f>IF(AND($D257&gt;0,AX257=""),"  * No olvide digitar la variable Pueblo Originario. Digite Cero si no tiene.",IF(AX257&gt;$D257," * La variable Pueblo Originario no puede superar el Total Ambos Sexos.",""))</f>
        <v/>
      </c>
      <c r="CO257" s="197">
        <f>IF(AND($F257&gt;0,AM257=""),1,IF(AM257&gt;$F257,1,0))</f>
        <v/>
      </c>
      <c r="CP257" s="197">
        <f>IF(AND(AG257+AH257&gt;0,AN257=""),1,IF(AN257&gt;AG257+AH257,1,0))</f>
        <v/>
      </c>
      <c r="CQ257" s="198" t="n"/>
      <c r="CR257" s="198" t="n"/>
      <c r="CS257" s="198" t="n"/>
      <c r="CT257" s="197">
        <f>IF(AND($D257&gt;0,AR257=""),1,0)</f>
        <v/>
      </c>
      <c r="CU257" s="198" t="n"/>
      <c r="CV257" s="197">
        <f>IF(AND($D257&gt;0,AT257=""),1,IF(AT257&gt;$D257,1,0))</f>
        <v/>
      </c>
      <c r="CW257" s="197">
        <f>IF(AND($D257&gt;0,AU257=""),1,IF(AU257&gt;$D257,1,0))</f>
        <v/>
      </c>
      <c r="CX257" s="198" t="n"/>
      <c r="CY257" s="197">
        <f>IF(AND($D257&gt;0,AW257=""),1,IF(AW257&gt;$D257,1,0))</f>
        <v/>
      </c>
      <c r="CZ257" s="197">
        <f>IF(AND($D257&gt;0,AX257=""),1,IF(AX257&gt;$D257,1,0))</f>
        <v/>
      </c>
    </row>
    <row r="258" ht="15" customHeight="1" s="8286">
      <c r="A258" s="9589" t="n"/>
      <c r="B258" s="10282" t="inlineStr">
        <is>
          <t xml:space="preserve">Altas administrativas </t>
        </is>
      </c>
      <c r="C258" s="9710" t="n"/>
      <c r="D258" s="1202">
        <f>SUM(E258+F258)</f>
        <v/>
      </c>
      <c r="E258" s="800">
        <f>SUM(+I258+K258+M258+O258+Q258+S258+U258+W258+Y258+AA258+AC258+AE258+AG258+AI258+AK258)</f>
        <v/>
      </c>
      <c r="F258" s="2727">
        <f>SUM(+J258+L258+N258+P258+R258+T258+V258+X258+Z258+AB258+AD258+AF258+AH258+AJ258+AL258)</f>
        <v/>
      </c>
      <c r="G258" s="1348" t="n"/>
      <c r="H258" s="2983" t="n"/>
      <c r="I258" s="1348" t="n"/>
      <c r="J258" s="2983" t="n"/>
      <c r="K258" s="1348" t="n"/>
      <c r="L258" s="2983" t="n"/>
      <c r="M258" s="1348" t="n"/>
      <c r="N258" s="2983" t="n"/>
      <c r="O258" s="1348" t="n"/>
      <c r="P258" s="2983" t="n"/>
      <c r="Q258" s="1348" t="n"/>
      <c r="R258" s="2983" t="n"/>
      <c r="S258" s="1348" t="n"/>
      <c r="T258" s="1277" t="n"/>
      <c r="U258" s="1276" t="n"/>
      <c r="V258" s="2983" t="n"/>
      <c r="W258" s="1276" t="n"/>
      <c r="X258" s="2983" t="n"/>
      <c r="Y258" s="1276" t="n"/>
      <c r="Z258" s="2983" t="n"/>
      <c r="AA258" s="1276" t="n"/>
      <c r="AB258" s="2983" t="n"/>
      <c r="AC258" s="1276" t="n"/>
      <c r="AD258" s="2983" t="n"/>
      <c r="AE258" s="1276" t="n"/>
      <c r="AF258" s="2983" t="n"/>
      <c r="AG258" s="1276" t="n"/>
      <c r="AH258" s="2983" t="n"/>
      <c r="AI258" s="1276" t="n"/>
      <c r="AJ258" s="2983" t="n"/>
      <c r="AK258" s="1348" t="n"/>
      <c r="AL258" s="1277" t="n"/>
      <c r="AM258" s="1350" t="n"/>
      <c r="AN258" s="2984" t="n"/>
      <c r="AO258" s="3002" t="n"/>
      <c r="AP258" s="2985" t="n"/>
      <c r="AQ258" s="3003" t="n"/>
      <c r="AR258" s="1967" t="n"/>
      <c r="AS258" s="5233" t="n"/>
      <c r="AT258" s="1967" t="n"/>
      <c r="AU258" s="1277" t="n"/>
      <c r="AV258" s="2985" t="n"/>
      <c r="AW258" s="1967" t="n"/>
      <c r="AX258" s="1277" t="n"/>
      <c r="AY258">
        <f>CA258&amp;CB258&amp;CC258&amp;CD258&amp;CE258&amp;CF258&amp;CG258&amp;CH258&amp;CI258&amp;CJ258&amp;CK258&amp;CL258</f>
        <v/>
      </c>
      <c r="CA258" s="196">
        <f>IF(AND($F258&gt;0,AM258="")," * No olvide digitar la variable Gestante. Digite cero si no tiene.",IF(AM258&gt;$F258," * La variable Gestante no puede superar el Total Mujeres.",""))</f>
        <v/>
      </c>
      <c r="CB258" s="196">
        <f>IF(AND(AG258+AH258&gt;0,AN258="")," * No olvide digitar la variable 60 años (incluido en grupos de 60-64 años). Digite Cero si no tiene.",IF(AN258&gt;AG258+AH258," * La variable 60 años (incluido en grupos de 60-64 años) no puede superar la suma del Grupo 60-64 años.",""))</f>
        <v/>
      </c>
      <c r="CC258" s="198" t="n"/>
      <c r="CD258" s="198" t="n"/>
      <c r="CE258" s="198" t="n"/>
      <c r="CF258" s="196">
        <f>IF(AND($D258&gt;0,AR258="")," * No olvide digitar la variable Compra de Servicio. Digite Cero si no tiene.","")</f>
        <v/>
      </c>
      <c r="CG258" s="198" t="n"/>
      <c r="CH258" s="196">
        <f>IF(AND($D258&gt;0,AT258="")," * No olvide digitar la variable Usuarios con Discapacidad. Digite Cero si no tiene.",IF(AT258&gt;$D258," * La variable Usuarios con Discapacidad no puede superar el Total Ambos Sexos.",""))</f>
        <v/>
      </c>
      <c r="CI258" s="196">
        <f>IF(AND($D258&gt;0,AU258="")," * No olvide digitar la variable Usuarios Oncológicos. Digite Cero si no tiene.",IF(AU258&gt;$D258," * La variable Usuarios Oncológicos no puede superar el Total Ambos Sexos.",""))</f>
        <v/>
      </c>
      <c r="CJ258" s="198" t="n"/>
      <c r="CK258" s="196">
        <f>IF(AND($D258&gt;0,AW258="")," * No olvide digitar la variable Migrantes. Digite Cero si no tiene.",IF(AW258&gt;$D258," * La variable Migrantes no puede superar el Total Ambos Sexos.",""))</f>
        <v/>
      </c>
      <c r="CL258" s="196">
        <f>IF(AND($D258&gt;0,AX258=""),"  * No olvide digitar la variable Pueblo Originario. Digite Cero si no tiene.",IF(AX258&gt;$D258," * La variable Pueblo Originario no puede superar el Total Ambos Sexos.",""))</f>
        <v/>
      </c>
      <c r="CO258" s="197">
        <f>IF(AND($F258&gt;0,AM258=""),1,IF(AM258&gt;$F258,1,0))</f>
        <v/>
      </c>
      <c r="CP258" s="197">
        <f>IF(AND(AG258+AH258&gt;0,AN258=""),1,IF(AN258&gt;AG258+AH258,1,0))</f>
        <v/>
      </c>
      <c r="CQ258" s="198" t="n"/>
      <c r="CR258" s="198" t="n"/>
      <c r="CS258" s="198" t="n"/>
      <c r="CT258" s="197">
        <f>IF(AND($D258&gt;0,AR258=""),1,0)</f>
        <v/>
      </c>
      <c r="CU258" s="198" t="n"/>
      <c r="CV258" s="197">
        <f>IF(AND($D258&gt;0,AT258=""),1,IF(AT258&gt;$D258,1,0))</f>
        <v/>
      </c>
      <c r="CW258" s="197">
        <f>IF(AND($D258&gt;0,AU258=""),1,IF(AU258&gt;$D258,1,0))</f>
        <v/>
      </c>
      <c r="CX258" s="198" t="n"/>
      <c r="CY258" s="197">
        <f>IF(AND($D258&gt;0,AW258=""),1,IF(AW258&gt;$D258,1,0))</f>
        <v/>
      </c>
      <c r="CZ258" s="197">
        <f>IF(AND($D258&gt;0,AX258=""),1,IF(AX258&gt;$D258,1,0))</f>
        <v/>
      </c>
    </row>
    <row r="259" ht="15" customHeight="1" s="8286">
      <c r="A259" s="10236" t="inlineStr">
        <is>
          <t xml:space="preserve">Endodoncia </t>
        </is>
      </c>
      <c r="B259" s="8445" t="inlineStr">
        <is>
          <t xml:space="preserve">Consulta nueva  </t>
        </is>
      </c>
      <c r="C259" s="10281" t="n"/>
      <c r="D259" s="2957">
        <f>SUM(E259+F259)</f>
        <v/>
      </c>
      <c r="E259" s="845">
        <f>SUM(O259+Q259+S259+U259+W259+Y259+AA259+AC259+AE259+AG259+AI259+AK259)</f>
        <v/>
      </c>
      <c r="F259" s="2715">
        <f>SUM(P259+R259+T259+V259+X259+Z259+AB259+AD259+AF259+AH259+AJ259+AL259)</f>
        <v/>
      </c>
      <c r="G259" s="2412" t="n"/>
      <c r="H259" s="2413" t="n"/>
      <c r="I259" s="2412" t="n"/>
      <c r="J259" s="2413" t="n"/>
      <c r="K259" s="2412" t="n"/>
      <c r="L259" s="2413" t="n"/>
      <c r="M259" s="2412" t="n"/>
      <c r="N259" s="2413" t="n"/>
      <c r="O259" s="2430" t="n"/>
      <c r="P259" s="2428" t="n"/>
      <c r="Q259" s="2430" t="n"/>
      <c r="R259" s="2428" t="n"/>
      <c r="S259" s="2430" t="n"/>
      <c r="T259" s="2401" t="n"/>
      <c r="U259" s="3004" t="n"/>
      <c r="V259" s="3005" t="n"/>
      <c r="W259" s="3004" t="n"/>
      <c r="X259" s="3005" t="n"/>
      <c r="Y259" s="3004" t="n"/>
      <c r="Z259" s="3005" t="n"/>
      <c r="AA259" s="3004" t="n"/>
      <c r="AB259" s="3005" t="n"/>
      <c r="AC259" s="3004" t="n"/>
      <c r="AD259" s="3005" t="n"/>
      <c r="AE259" s="3004" t="n"/>
      <c r="AF259" s="3005" t="n"/>
      <c r="AG259" s="3004" t="n"/>
      <c r="AH259" s="3005" t="n"/>
      <c r="AI259" s="3004" t="n"/>
      <c r="AJ259" s="3005" t="n"/>
      <c r="AK259" s="2430" t="n"/>
      <c r="AL259" s="2401" t="n"/>
      <c r="AM259" s="1944" t="n"/>
      <c r="AN259" s="2988" t="n"/>
      <c r="AO259" s="2427" t="n"/>
      <c r="AP259" s="764" t="n"/>
      <c r="AQ259" s="5227" t="n"/>
      <c r="AR259" s="5239" t="n"/>
      <c r="AS259" s="5234" t="n"/>
      <c r="AT259" s="5239" t="n"/>
      <c r="AU259" s="1278" t="n"/>
      <c r="AV259" s="2981" t="n"/>
      <c r="AW259" s="5239" t="n"/>
      <c r="AX259" s="1278" t="n"/>
      <c r="AY259">
        <f>CA259&amp;CB259&amp;CC259&amp;CD259&amp;CE259&amp;CF259&amp;CG259&amp;CH259&amp;CI259&amp;CJ259&amp;CK259&amp;CL259</f>
        <v/>
      </c>
      <c r="CA259" s="196">
        <f>IF(AND($F259&gt;0,AM259="")," * No olvide digitar la variable Gestante. Digite cero si no tiene.",IF(AM259&gt;$F259," * La variable Gestante no puede superar el Total Mujeres.",""))</f>
        <v/>
      </c>
      <c r="CB259" s="196">
        <f>IF(AND(AG259+AH259&gt;0,AN259="")," * No olvide digitar la variable 60 años (incluido en grupos de 60-64 años). Digite Cero si no tiene.",IF(AN259&gt;AG259+AH259," * La variable 60 años (incluido en grupos de 60-64 años) no puede superar la suma del Grupo 60-64 años.",""))</f>
        <v/>
      </c>
      <c r="CC259" s="196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>
        <f>IF(AND($D259&gt;0,AQ259="")," * No olvide digitar la variable Inasistente. Digite cero si no tiene.",IF(AQ259&gt;$D259," * La variable Insasistente no puede superar el Total Ambos Sexos.",""))</f>
        <v/>
      </c>
      <c r="CF259" s="196">
        <f>IF(AND($D259&gt;0,AR259="")," * No olvide digitar la variable Compra de Servicio. Digite Cero si no tiene.","")</f>
        <v/>
      </c>
      <c r="CG259" s="198" t="n"/>
      <c r="CH259" s="196">
        <f>IF(AND($D259&gt;0,AT259="")," * No olvide digitar la variable Usuarios con Discapacidad. Digite Cero si no tiene.",IF(AT259&gt;$D259," * La variable Usuarios con Discapacidad no puede superar el Total Ambos Sexos.",""))</f>
        <v/>
      </c>
      <c r="CI259" s="196">
        <f>IF(AND($D259&gt;0,AU259="")," * No olvide digitar la variable Usuarios Oncológicos. Digite Cero si no tiene.",IF(AU259&gt;$D259," * La variable Usuarios Oncológicos no puede superar el Total Ambos Sexos.",""))</f>
        <v/>
      </c>
      <c r="CJ259" s="198" t="n"/>
      <c r="CK259" s="196">
        <f>IF(AND($D259&gt;0,AW259="")," * No olvide digitar la variable Migrantes. Digite Cero si no tiene.",IF(AW259&gt;$D259," * La variable Migrantes no puede superar el Total Ambos Sexos.",""))</f>
        <v/>
      </c>
      <c r="CL259" s="196">
        <f>IF(AND($D259&gt;0,AX259=""),"  * No olvide digitar la variable Pueblo Originario. Digite Cero si no tiene.",IF(AX259&gt;$D259," * La variable Pueblo Originario no puede superar el Total Ambos Sexos.",""))</f>
        <v/>
      </c>
      <c r="CO259" s="197">
        <f>IF(AND($F259&gt;0,AM259=""),1,IF(AM259&gt;$F259,1,0))</f>
        <v/>
      </c>
      <c r="CP259" s="197">
        <f>IF(AND(AG259+AH259&gt;0,AN259=""),1,IF(AN259&gt;AG259+AH259,1,0))</f>
        <v/>
      </c>
      <c r="CQ259" s="197">
        <f>IF(AND($D259&gt;0,AO259=""),1,IF(AO259&gt;$D259,1,0))</f>
        <v/>
      </c>
      <c r="CR259" s="197">
        <f>IF(AND($D259&gt;0,AP259=""),1,IF(AP259&gt;$D259,1,0))</f>
        <v/>
      </c>
      <c r="CS259" s="197">
        <f>IF(AND($D259&gt;0,AQ259=""),1,IF(AQ259&gt;$D259,1,0))</f>
        <v/>
      </c>
      <c r="CT259" s="197">
        <f>IF(AND($D259&gt;0,AR259=""),1,0)</f>
        <v/>
      </c>
      <c r="CU259" s="198" t="n"/>
      <c r="CV259" s="197">
        <f>IF(AND($D259&gt;0,AT259=""),1,IF(AT259&gt;$D259,1,0))</f>
        <v/>
      </c>
      <c r="CW259" s="197">
        <f>IF(AND($D259&gt;0,AU259=""),1,IF(AU259&gt;$D259,1,0))</f>
        <v/>
      </c>
      <c r="CX259" s="198" t="n"/>
      <c r="CY259" s="197">
        <f>IF(AND($D259&gt;0,AW259=""),1,IF(AW259&gt;$D259,1,0))</f>
        <v/>
      </c>
      <c r="CZ259" s="197">
        <f>IF(AND($D259&gt;0,AX259=""),1,IF(AX259&gt;$D259,1,0))</f>
        <v/>
      </c>
    </row>
    <row r="260" ht="15" customHeight="1" s="8286">
      <c r="A260" s="9588" t="n"/>
      <c r="B260" s="8748" t="inlineStr">
        <is>
          <t xml:space="preserve">Control  </t>
        </is>
      </c>
      <c r="C260" s="9644" t="n"/>
      <c r="D260" s="2989">
        <f>SUM(E260+F260)</f>
        <v/>
      </c>
      <c r="E260" s="2990">
        <f>SUM(O260+Q260+S260+U260+W260+Y260+AA260+AC260+AE260+AG260+AI260+AK260)</f>
        <v/>
      </c>
      <c r="F260" s="2803">
        <f>SUM(N260+P260+R260+T260+V260+X260+Z260+AB260+AD260+AF260+AH260+AJ260+AL260)</f>
        <v/>
      </c>
      <c r="G260" s="1938" t="n"/>
      <c r="H260" s="1250" t="n"/>
      <c r="I260" s="1938" t="n"/>
      <c r="J260" s="1250" t="n"/>
      <c r="K260" s="1938" t="n"/>
      <c r="L260" s="1250" t="n"/>
      <c r="M260" s="1938" t="n"/>
      <c r="N260" s="1250" t="n"/>
      <c r="O260" s="2993" t="n"/>
      <c r="P260" s="2992" t="n"/>
      <c r="Q260" s="2993" t="n"/>
      <c r="R260" s="2992" t="n"/>
      <c r="S260" s="2993" t="n"/>
      <c r="T260" s="1275" t="n"/>
      <c r="U260" s="3006" t="n"/>
      <c r="V260" s="3007" t="n"/>
      <c r="W260" s="3006" t="n"/>
      <c r="X260" s="3007" t="n"/>
      <c r="Y260" s="3006" t="n"/>
      <c r="Z260" s="3007" t="n"/>
      <c r="AA260" s="3006" t="n"/>
      <c r="AB260" s="3007" t="n"/>
      <c r="AC260" s="3006" t="n"/>
      <c r="AD260" s="3007" t="n"/>
      <c r="AE260" s="3006" t="n"/>
      <c r="AF260" s="3007" t="n"/>
      <c r="AG260" s="3006" t="n"/>
      <c r="AH260" s="3007" t="n"/>
      <c r="AI260" s="3006" t="n"/>
      <c r="AJ260" s="3007" t="n"/>
      <c r="AK260" s="2993" t="n"/>
      <c r="AL260" s="1275" t="n"/>
      <c r="AM260" s="2994" t="n"/>
      <c r="AN260" s="2995" t="n"/>
      <c r="AO260" s="2980" t="n"/>
      <c r="AP260" s="2981" t="n"/>
      <c r="AQ260" s="5228" t="n"/>
      <c r="AR260" s="3951" t="n"/>
      <c r="AS260" s="5234" t="n"/>
      <c r="AT260" s="3951" t="n"/>
      <c r="AU260" s="1275" t="n"/>
      <c r="AV260" s="2981" t="n"/>
      <c r="AW260" s="3951" t="n"/>
      <c r="AX260" s="1275" t="n"/>
      <c r="AY260">
        <f>CA260&amp;CB260&amp;CC260&amp;CD260&amp;CE260&amp;CF260&amp;CG260&amp;CH260&amp;CI260&amp;CJ260&amp;CK260&amp;CL260</f>
        <v/>
      </c>
      <c r="CA260" s="196">
        <f>IF(AND($F260&gt;0,AM260="")," * No olvide digitar la variable Gestante. Digite cero si no tiene.",IF(AM260&gt;$F260," * La variable Gestante no puede superar el Total Mujeres.",""))</f>
        <v/>
      </c>
      <c r="CB260" s="196">
        <f>IF(AND(AG260+AH260&gt;0,AN260="")," * No olvide digitar la variable 60 años (incluido en grupos de 60-64 años). Digite Cero si no tiene.",IF(AN260&gt;AG260+AH260," * La variable 60 años (incluido en grupos de 60-64 años) no puede superar la suma del Grupo 60-64 años.",""))</f>
        <v/>
      </c>
      <c r="CC260" s="198" t="n"/>
      <c r="CD260" s="198" t="n"/>
      <c r="CE260" s="196">
        <f>IF(AND($D260&gt;0,AQ260="")," * No olvide digitar la variable Inasistente. Digite cero si no tiene.",IF(AQ260&gt;$D260," * La variable Insasistente no puede superar el Total Ambos Sexos.",""))</f>
        <v/>
      </c>
      <c r="CF260" s="196">
        <f>IF(AND($D260&gt;0,AR260="")," * No olvide digitar la variable Compra de Servicio. Digite Cero si no tiene.","")</f>
        <v/>
      </c>
      <c r="CG260" s="198" t="n"/>
      <c r="CH260" s="196">
        <f>IF(AND($D260&gt;0,AT260="")," * No olvide digitar la variable Usuarios con Discapacidad. Digite Cero si no tiene.",IF(AT260&gt;$D260," * La variable Usuarios con Discapacidad no puede superar el Total Ambos Sexos.",""))</f>
        <v/>
      </c>
      <c r="CI260" s="196">
        <f>IF(AND($D260&gt;0,AU260="")," * No olvide digitar la variable Usuarios Oncológicos. Digite Cero si no tiene.",IF(AU260&gt;$D260," * La variable Usuarios Oncológicos no puede superar el Total Ambos Sexos.",""))</f>
        <v/>
      </c>
      <c r="CJ260" s="198" t="n"/>
      <c r="CK260" s="196">
        <f>IF(AND($D260&gt;0,AW260="")," * No olvide digitar la variable Migrantes. Digite Cero si no tiene.",IF(AW260&gt;$D260," * La variable Migrantes no puede superar el Total Ambos Sexos.",""))</f>
        <v/>
      </c>
      <c r="CL260" s="196">
        <f>IF(AND($D260&gt;0,AX260=""),"  * No olvide digitar la variable Pueblo Originario. Digite Cero si no tiene.",IF(AX260&gt;$D260," * La variable Pueblo Originario no puede superar el Total Ambos Sexos.",""))</f>
        <v/>
      </c>
      <c r="CO260" s="197">
        <f>IF(AND($F260&gt;0,AM260=""),1,IF(AM260&gt;$F260,1,0))</f>
        <v/>
      </c>
      <c r="CP260" s="197">
        <f>IF(AND(AG260+AH260&gt;0,AN260=""),1,IF(AN260&gt;AG260+AH260,1,0))</f>
        <v/>
      </c>
      <c r="CQ260" s="198" t="n"/>
      <c r="CR260" s="198" t="n"/>
      <c r="CS260" s="197">
        <f>IF(AND($D260&gt;0,AQ260=""),1,IF(AQ260&gt;$D260,1,0))</f>
        <v/>
      </c>
      <c r="CT260" s="197">
        <f>IF(AND($D260&gt;0,AR260=""),1,0)</f>
        <v/>
      </c>
      <c r="CU260" s="198" t="n"/>
      <c r="CV260" s="197">
        <f>IF(AND($D260&gt;0,AT260=""),1,IF(AT260&gt;$D260,1,0))</f>
        <v/>
      </c>
      <c r="CW260" s="197">
        <f>IF(AND($D260&gt;0,AU260=""),1,IF(AU260&gt;$D260,1,0))</f>
        <v/>
      </c>
      <c r="CX260" s="198" t="n"/>
      <c r="CY260" s="197">
        <f>IF(AND($D260&gt;0,AW260=""),1,IF(AW260&gt;$D260,1,0))</f>
        <v/>
      </c>
      <c r="CZ260" s="197">
        <f>IF(AND($D260&gt;0,AX260=""),1,IF(AX260&gt;$D260,1,0))</f>
        <v/>
      </c>
    </row>
    <row r="261" ht="15" customHeight="1" s="8286">
      <c r="A261" s="9588" t="n"/>
      <c r="B261" s="8748" t="inlineStr">
        <is>
          <t xml:space="preserve">Ingreso a tratamiento </t>
        </is>
      </c>
      <c r="C261" s="9644" t="n"/>
      <c r="D261" s="2989">
        <f>SUM(E261+F261)</f>
        <v/>
      </c>
      <c r="E261" s="2990">
        <f>SUM(M261+O261+Q261+S261+U261+W261+Y261+AA261+AC261+AE261+AG261+AI261+AK261)</f>
        <v/>
      </c>
      <c r="F261" s="2803">
        <f>SUM(N261+P261+R261+T261+V261+X261+Z261+AB261+AD261+AF261+AH261+AJ261+AL261)</f>
        <v/>
      </c>
      <c r="G261" s="1938" t="n"/>
      <c r="H261" s="1250" t="n"/>
      <c r="I261" s="1938" t="n"/>
      <c r="J261" s="1250" t="n"/>
      <c r="K261" s="1938" t="n"/>
      <c r="L261" s="1250" t="n"/>
      <c r="M261" s="1938" t="n"/>
      <c r="N261" s="1250" t="n"/>
      <c r="O261" s="2993" t="n"/>
      <c r="P261" s="2992" t="n"/>
      <c r="Q261" s="2993" t="n"/>
      <c r="R261" s="2992" t="n"/>
      <c r="S261" s="2993" t="n"/>
      <c r="T261" s="1275" t="n"/>
      <c r="U261" s="3006" t="n"/>
      <c r="V261" s="3007" t="n"/>
      <c r="W261" s="3006" t="n"/>
      <c r="X261" s="3007" t="n"/>
      <c r="Y261" s="3006" t="n"/>
      <c r="Z261" s="3007" t="n"/>
      <c r="AA261" s="3006" t="n"/>
      <c r="AB261" s="3007" t="n"/>
      <c r="AC261" s="3006" t="n"/>
      <c r="AD261" s="3007" t="n"/>
      <c r="AE261" s="3006" t="n"/>
      <c r="AF261" s="3007" t="n"/>
      <c r="AG261" s="3006" t="n"/>
      <c r="AH261" s="3007" t="n"/>
      <c r="AI261" s="3006" t="n"/>
      <c r="AJ261" s="3007" t="n"/>
      <c r="AK261" s="2993" t="n"/>
      <c r="AL261" s="1275" t="n"/>
      <c r="AM261" s="2994" t="n"/>
      <c r="AN261" s="2995" t="n"/>
      <c r="AO261" s="2980" t="n"/>
      <c r="AP261" s="2981" t="n"/>
      <c r="AQ261" s="5226" t="n"/>
      <c r="AR261" s="3951" t="n"/>
      <c r="AS261" s="5234" t="n"/>
      <c r="AT261" s="3951" t="n"/>
      <c r="AU261" s="1275" t="n"/>
      <c r="AV261" s="2981" t="n"/>
      <c r="AW261" s="3951" t="n"/>
      <c r="AX261" s="1275" t="n"/>
      <c r="AY261">
        <f>CA261&amp;CB261&amp;CC261&amp;CD261&amp;CE261&amp;CF261&amp;CG261&amp;CH261&amp;CI261&amp;CJ261&amp;CK261&amp;CL261</f>
        <v/>
      </c>
      <c r="CA261" s="196">
        <f>IF(AND($F261&gt;0,AM261="")," * No olvide digitar la variable Gestante. Digite cero si no tiene.",IF(AM261&gt;$F261," * La variable Gestante no puede superar el Total Mujeres.",""))</f>
        <v/>
      </c>
      <c r="CB261" s="196">
        <f>IF(AND(AG261+AH261&gt;0,AN261="")," * No olvide digitar la variable 60 años (incluido en grupos de 60-64 años). Digite Cero si no tiene.",IF(AN261&gt;AG261+AH261," * La variable 60 años (incluido en grupos de 60-64 años) no puede superar la suma del Grupo 60-64 años.",""))</f>
        <v/>
      </c>
      <c r="CC261" s="198" t="n"/>
      <c r="CD261" s="198" t="n"/>
      <c r="CE261" s="198" t="n"/>
      <c r="CF261" s="196">
        <f>IF(AND($D261&gt;0,AR261="")," * No olvide digitar la variable Compra de Servicio. Digite Cero si no tiene.","")</f>
        <v/>
      </c>
      <c r="CG261" s="198" t="n"/>
      <c r="CH261" s="196">
        <f>IF(AND($D261&gt;0,AT261="")," * No olvide digitar la variable Usuarios con Discapacidad. Digite Cero si no tiene.",IF(AT261&gt;$D261," * La variable Usuarios con Discapacidad no puede superar el Total Ambos Sexos.",""))</f>
        <v/>
      </c>
      <c r="CI261" s="196">
        <f>IF(AND($D261&gt;0,AU261="")," * No olvide digitar la variable Usuarios Oncológicos. Digite Cero si no tiene.",IF(AU261&gt;$D261," * La variable Usuarios Oncológicos no puede superar el Total Ambos Sexos.",""))</f>
        <v/>
      </c>
      <c r="CJ261" s="198" t="n"/>
      <c r="CK261" s="196">
        <f>IF(AND($D261&gt;0,AW261="")," * No olvide digitar la variable Migrantes. Digite Cero si no tiene.",IF(AW261&gt;$D261," * La variable Migrantes no puede superar el Total Ambos Sexos.",""))</f>
        <v/>
      </c>
      <c r="CL261" s="196">
        <f>IF(AND($D261&gt;0,AX261=""),"  * No olvide digitar la variable Pueblo Originario. Digite Cero si no tiene.",IF(AX261&gt;$D261," * La variable Pueblo Originario no puede superar el Total Ambos Sexos.",""))</f>
        <v/>
      </c>
      <c r="CO261" s="197">
        <f>IF(AND($F261&gt;0,AM261=""),1,IF(AM261&gt;$F261,1,0))</f>
        <v/>
      </c>
      <c r="CP261" s="197">
        <f>IF(AND(AG261+AH261&gt;0,AN261=""),1,IF(AN261&gt;AG261+AH261,1,0))</f>
        <v/>
      </c>
      <c r="CQ261" s="198" t="n"/>
      <c r="CR261" s="198" t="n"/>
      <c r="CS261" s="198" t="n"/>
      <c r="CT261" s="197">
        <f>IF(AND($D261&gt;0,AR261=""),1,0)</f>
        <v/>
      </c>
      <c r="CU261" s="198" t="n"/>
      <c r="CV261" s="197">
        <f>IF(AND($D261&gt;0,AT261=""),1,IF(AT261&gt;$D261,1,0))</f>
        <v/>
      </c>
      <c r="CW261" s="197">
        <f>IF(AND($D261&gt;0,AU261=""),1,IF(AU261&gt;$D261,1,0))</f>
        <v/>
      </c>
      <c r="CX261" s="198" t="n"/>
      <c r="CY261" s="197">
        <f>IF(AND($D261&gt;0,AW261=""),1,IF(AW261&gt;$D261,1,0))</f>
        <v/>
      </c>
      <c r="CZ261" s="197">
        <f>IF(AND($D261&gt;0,AX261=""),1,IF(AX261&gt;$D261,1,0))</f>
        <v/>
      </c>
    </row>
    <row r="262" ht="15" customHeight="1" s="8286">
      <c r="A262" s="9588" t="n"/>
      <c r="B262" s="8748" t="inlineStr">
        <is>
          <t xml:space="preserve">Altas de tratamiento </t>
        </is>
      </c>
      <c r="C262" s="9644" t="n"/>
      <c r="D262" s="2989">
        <f>SUM(E262+F262)</f>
        <v/>
      </c>
      <c r="E262" s="2990">
        <f>SUM(M262+O262+Q262+S262+U262+W262+Y262+AA262+AC262+AE262+AG262+AI262+AK262)</f>
        <v/>
      </c>
      <c r="F262" s="2803">
        <f>SUM(N262+P262+R262+T262+V262+X262+Z262+AB262+AD262+AF262+AH262+AJ262+AL262)</f>
        <v/>
      </c>
      <c r="G262" s="1938" t="n"/>
      <c r="H262" s="1250" t="n"/>
      <c r="I262" s="1938" t="n"/>
      <c r="J262" s="1250" t="n"/>
      <c r="K262" s="1938" t="n"/>
      <c r="L262" s="1250" t="n"/>
      <c r="M262" s="1938" t="n"/>
      <c r="N262" s="1250" t="n"/>
      <c r="O262" s="1949" t="n"/>
      <c r="P262" s="2998" t="n"/>
      <c r="Q262" s="1949" t="n"/>
      <c r="R262" s="2998" t="n"/>
      <c r="S262" s="1949" t="n"/>
      <c r="T262" s="1950" t="n"/>
      <c r="U262" s="3008" t="n"/>
      <c r="V262" s="3009" t="n"/>
      <c r="W262" s="3008" t="n"/>
      <c r="X262" s="3009" t="n"/>
      <c r="Y262" s="3008" t="n"/>
      <c r="Z262" s="3009" t="n"/>
      <c r="AA262" s="3008" t="n"/>
      <c r="AB262" s="3009" t="n"/>
      <c r="AC262" s="3008" t="n"/>
      <c r="AD262" s="3009" t="n"/>
      <c r="AE262" s="3008" t="n"/>
      <c r="AF262" s="3009" t="n"/>
      <c r="AG262" s="3008" t="n"/>
      <c r="AH262" s="3009" t="n"/>
      <c r="AI262" s="3008" t="n"/>
      <c r="AJ262" s="3009" t="n"/>
      <c r="AK262" s="1949" t="n"/>
      <c r="AL262" s="1950" t="n"/>
      <c r="AM262" s="1937" t="n"/>
      <c r="AN262" s="2999" t="n"/>
      <c r="AO262" s="2980" t="n"/>
      <c r="AP262" s="2981" t="n"/>
      <c r="AQ262" s="5226" t="n"/>
      <c r="AR262" s="5240" t="n"/>
      <c r="AS262" s="5234" t="n"/>
      <c r="AT262" s="5240" t="n"/>
      <c r="AU262" s="1950" t="n"/>
      <c r="AV262" s="1275" t="n"/>
      <c r="AW262" s="5240" t="n"/>
      <c r="AX262" s="1950" t="n"/>
      <c r="AY262">
        <f>CA262&amp;CB262&amp;CC262&amp;CD262&amp;CE262&amp;CF262&amp;CG262&amp;CH262&amp;CI262&amp;CJ262&amp;CK262&amp;CL262</f>
        <v/>
      </c>
      <c r="CA262" s="196">
        <f>IF(AND($F262&gt;0,AM262="")," * No olvide digitar la variable Gestante. Digite cero si no tiene.",IF(AM262&gt;$F262," * La variable Gestante no puede superar el Total Mujeres.",""))</f>
        <v/>
      </c>
      <c r="CB262" s="196">
        <f>IF(AND(AG262+AH262&gt;0,AN262="")," * No olvide digitar la variable 60 años (incluido en grupos de 60-64 años). Digite Cero si no tiene.",IF(AN262&gt;AG262+AH262," * La variable 60 años (incluido en grupos de 60-64 años) no puede superar la suma del Grupo 60-64 años.",""))</f>
        <v/>
      </c>
      <c r="CC262" s="198" t="n"/>
      <c r="CD262" s="198" t="n"/>
      <c r="CE262" s="198" t="n"/>
      <c r="CF262" s="196">
        <f>IF(AND($D262&gt;0,AR262="")," * No olvide digitar la variable Compra de Servicio. Digite Cero si no tiene.","")</f>
        <v/>
      </c>
      <c r="CG262" s="198" t="n"/>
      <c r="CH262" s="196">
        <f>IF(AND($D262&gt;0,AT262="")," * No olvide digitar la variable Usuarios con Discapacidad. Digite Cero si no tiene.",IF(AT262&gt;$D262," * La variable Usuarios con Discapacidad no puede superar el Total Ambos Sexos.",""))</f>
        <v/>
      </c>
      <c r="CI262" s="196">
        <f>IF(AND($D262&gt;0,AU262="")," * No olvide digitar la variable Usuarios Oncológicos. Digite Cero si no tiene.",IF(AU262&gt;$D262," * La variable Usuarios Oncológicos no puede superar el Total Ambos Sexos.",""))</f>
        <v/>
      </c>
      <c r="CJ262" s="196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>
        <f>IF(AND($D262&gt;0,AW262="")," * No olvide digitar la variable Migrantes. Digite Cero si no tiene.",IF(AW262&gt;$D262," * La variable Migrantes no puede superar el Total Ambos Sexos.",""))</f>
        <v/>
      </c>
      <c r="CL262" s="196">
        <f>IF(AND($D262&gt;0,AX262=""),"  * No olvide digitar la variable Pueblo Originario. Digite Cero si no tiene.",IF(AX262&gt;$D262," * La variable Pueblo Originario no puede superar el Total Ambos Sexos.",""))</f>
        <v/>
      </c>
      <c r="CO262" s="197">
        <f>IF(AND($F262&gt;0,AM262=""),1,IF(AM262&gt;$F262,1,0))</f>
        <v/>
      </c>
      <c r="CP262" s="197">
        <f>IF(AND(AG262+AH262&gt;0,AN262=""),1,IF(AN262&gt;AG262+AH262,1,0))</f>
        <v/>
      </c>
      <c r="CQ262" s="198" t="n"/>
      <c r="CR262" s="198" t="n"/>
      <c r="CS262" s="198" t="n"/>
      <c r="CT262" s="197">
        <f>IF(AND($D262&gt;0,AR262=""),1,0)</f>
        <v/>
      </c>
      <c r="CU262" s="198" t="n"/>
      <c r="CV262" s="197">
        <f>IF(AND($D262&gt;0,AT262=""),1,IF(AT262&gt;$D262,1,0))</f>
        <v/>
      </c>
      <c r="CW262" s="197">
        <f>IF(AND($D262&gt;0,AU262=""),1,IF(AU262&gt;$D262,1,0))</f>
        <v/>
      </c>
      <c r="CX262" s="197">
        <f>IF(AND($D262&gt;0,AV262=""),1,IF(AV262&gt;$D262,1,0))</f>
        <v/>
      </c>
      <c r="CY262" s="197">
        <f>IF(AND($D262&gt;0,AW262=""),1,IF(AW262&gt;$D262,1,0))</f>
        <v/>
      </c>
      <c r="CZ262" s="197">
        <f>IF(AND($D262&gt;0,AX262=""),1,IF(AX262&gt;$D262,1,0))</f>
        <v/>
      </c>
    </row>
    <row r="263" ht="15" customHeight="1" s="8286">
      <c r="A263" s="9588" t="n"/>
      <c r="B263" s="8748" t="inlineStr">
        <is>
          <t xml:space="preserve">Control de especialidad post alta </t>
        </is>
      </c>
      <c r="C263" s="9644" t="n"/>
      <c r="D263" s="2989">
        <f>SUM(E263+F263)</f>
        <v/>
      </c>
      <c r="E263" s="2990">
        <f>SUM(M263+O263+Q263+S263+U263+W263+Y263+AA263+AC263+AE263+AG263+AI263+AK263)</f>
        <v/>
      </c>
      <c r="F263" s="2803">
        <f>SUM(N263+P263+R263+T263+V263+X263+Z263+AB263+AD263+AF263+AH263+AJ263+AL263)</f>
        <v/>
      </c>
      <c r="G263" s="1938" t="n"/>
      <c r="H263" s="1250" t="n"/>
      <c r="I263" s="1938" t="n"/>
      <c r="J263" s="1250" t="n"/>
      <c r="K263" s="1938" t="n"/>
      <c r="L263" s="1250" t="n"/>
      <c r="M263" s="1938" t="n"/>
      <c r="N263" s="1250" t="n"/>
      <c r="O263" s="1949" t="n"/>
      <c r="P263" s="2998" t="n"/>
      <c r="Q263" s="1949" t="n"/>
      <c r="R263" s="2998" t="n"/>
      <c r="S263" s="1949" t="n"/>
      <c r="T263" s="1950" t="n"/>
      <c r="U263" s="3008" t="n"/>
      <c r="V263" s="3009" t="n"/>
      <c r="W263" s="3008" t="n"/>
      <c r="X263" s="3009" t="n"/>
      <c r="Y263" s="3008" t="n"/>
      <c r="Z263" s="3009" t="n"/>
      <c r="AA263" s="3008" t="n"/>
      <c r="AB263" s="3009" t="n"/>
      <c r="AC263" s="3008" t="n"/>
      <c r="AD263" s="3009" t="n"/>
      <c r="AE263" s="3008" t="n"/>
      <c r="AF263" s="3009" t="n"/>
      <c r="AG263" s="3008" t="n"/>
      <c r="AH263" s="3009" t="n"/>
      <c r="AI263" s="3008" t="n"/>
      <c r="AJ263" s="3009" t="n"/>
      <c r="AK263" s="1949" t="n"/>
      <c r="AL263" s="1950" t="n"/>
      <c r="AM263" s="1937" t="n"/>
      <c r="AN263" s="2999" t="n"/>
      <c r="AO263" s="3000" t="n"/>
      <c r="AP263" s="3001" t="n"/>
      <c r="AQ263" s="365" t="n"/>
      <c r="AR263" s="5240" t="n"/>
      <c r="AS263" s="5235" t="n"/>
      <c r="AT263" s="5240" t="n"/>
      <c r="AU263" s="1950" t="n"/>
      <c r="AV263" s="3001" t="n"/>
      <c r="AW263" s="5240" t="n"/>
      <c r="AX263" s="1950" t="n"/>
      <c r="AY263">
        <f>CA263&amp;CB263&amp;CC263&amp;CD263&amp;CE263&amp;CF263&amp;CG263&amp;CH263&amp;CI263&amp;CJ263&amp;CK263&amp;CL263</f>
        <v/>
      </c>
      <c r="CA263" s="196">
        <f>IF(AND($F263&gt;0,AM263="")," * No olvide digitar la variable Gestante. Digite cero si no tiene.",IF(AM263&gt;$F263," * La variable Gestante no puede superar el Total Mujeres.",""))</f>
        <v/>
      </c>
      <c r="CB263" s="196">
        <f>IF(AND(AG263+AH263&gt;0,AN263="")," * No olvide digitar la variable 60 años (incluido en grupos de 60-64 años). Digite Cero si no tiene.",IF(AN263&gt;AG263+AH263," * La variable 60 años (incluido en grupos de 60-64 años) no puede superar la suma del Grupo 60-64 años.",""))</f>
        <v/>
      </c>
      <c r="CC263" s="198" t="n"/>
      <c r="CD263" s="198" t="n"/>
      <c r="CE263" s="198" t="n"/>
      <c r="CF263" s="196">
        <f>IF(AND($D263&gt;0,AR263="")," * No olvide digitar la variable Compra de Servicio. Digite Cero si no tiene.","")</f>
        <v/>
      </c>
      <c r="CG263" s="198" t="n"/>
      <c r="CH263" s="196">
        <f>IF(AND($D263&gt;0,AT263="")," * No olvide digitar la variable Usuarios con Discapacidad. Digite Cero si no tiene.",IF(AT263&gt;$D263," * La variable Usuarios con Discapacidad no puede superar el Total Ambos Sexos.",""))</f>
        <v/>
      </c>
      <c r="CI263" s="196">
        <f>IF(AND($D263&gt;0,AU263="")," * No olvide digitar la variable Usuarios Oncológicos. Digite Cero si no tiene.",IF(AU263&gt;$D263," * La variable Usuarios Oncológicos no puede superar el Total Ambos Sexos.",""))</f>
        <v/>
      </c>
      <c r="CJ263" s="198" t="n"/>
      <c r="CK263" s="196">
        <f>IF(AND($D263&gt;0,AW263="")," * No olvide digitar la variable Migrantes. Digite Cero si no tiene.",IF(AW263&gt;$D263," * La variable Migrantes no puede superar el Total Ambos Sexos.",""))</f>
        <v/>
      </c>
      <c r="CL263" s="196">
        <f>IF(AND($D263&gt;0,AX263=""),"  * No olvide digitar la variable Pueblo Originario. Digite Cero si no tiene.",IF(AX263&gt;$D263," * La variable Pueblo Originario no puede superar el Total Ambos Sexos.",""))</f>
        <v/>
      </c>
      <c r="CO263" s="197">
        <f>IF(AND($F263&gt;0,AM263=""),1,IF(AM263&gt;$F263,1,0))</f>
        <v/>
      </c>
      <c r="CP263" s="197">
        <f>IF(AND(AG263+AH263&gt;0,AN263=""),1,IF(AN263&gt;AG263+AH263,1,0))</f>
        <v/>
      </c>
      <c r="CQ263" s="198" t="n"/>
      <c r="CR263" s="198" t="n"/>
      <c r="CS263" s="198" t="n"/>
      <c r="CT263" s="197">
        <f>IF(AND($D263&gt;0,AR263=""),1,0)</f>
        <v/>
      </c>
      <c r="CU263" s="198" t="n"/>
      <c r="CV263" s="197">
        <f>IF(AND($D263&gt;0,AT263=""),1,IF(AT263&gt;$D263,1,0))</f>
        <v/>
      </c>
      <c r="CW263" s="197">
        <f>IF(AND($D263&gt;0,AU263=""),1,IF(AU263&gt;$D263,1,0))</f>
        <v/>
      </c>
      <c r="CX263" s="198" t="n"/>
      <c r="CY263" s="197">
        <f>IF(AND($D263&gt;0,AW263=""),1,IF(AW263&gt;$D263,1,0))</f>
        <v/>
      </c>
      <c r="CZ263" s="197">
        <f>IF(AND($D263&gt;0,AX263=""),1,IF(AX263&gt;$D263,1,0))</f>
        <v/>
      </c>
    </row>
    <row r="264" ht="15" customHeight="1" s="8286">
      <c r="A264" s="9589" t="n"/>
      <c r="B264" s="10282" t="inlineStr">
        <is>
          <t xml:space="preserve">Altas administrativas </t>
        </is>
      </c>
      <c r="C264" s="9710" t="n"/>
      <c r="D264" s="1202">
        <f>SUM(E264+F264)</f>
        <v/>
      </c>
      <c r="E264" s="800">
        <f>SUM(M264+O264+Q264+S264+U264+W264+Y264+AA264+AC264+AE264+AG264+AI264+AK264)</f>
        <v/>
      </c>
      <c r="F264" s="2727">
        <f>SUM(N264+P264+R264+T264+V264+X264+Z264+AB264+AD264+AF264+AH264+AJ264+AL264)</f>
        <v/>
      </c>
      <c r="G264" s="1312" t="n"/>
      <c r="H264" s="1314" t="n"/>
      <c r="I264" s="1312" t="n"/>
      <c r="J264" s="1314" t="n"/>
      <c r="K264" s="1312" t="n"/>
      <c r="L264" s="1314" t="n"/>
      <c r="M264" s="1312" t="n"/>
      <c r="N264" s="1314" t="n"/>
      <c r="O264" s="1348" t="n"/>
      <c r="P264" s="2983" t="n"/>
      <c r="Q264" s="1348" t="n"/>
      <c r="R264" s="2983" t="n"/>
      <c r="S264" s="1348" t="n"/>
      <c r="T264" s="1277" t="n"/>
      <c r="U264" s="3010" t="n"/>
      <c r="V264" s="3011" t="n"/>
      <c r="W264" s="3010" t="n"/>
      <c r="X264" s="3011" t="n"/>
      <c r="Y264" s="3010" t="n"/>
      <c r="Z264" s="3011" t="n"/>
      <c r="AA264" s="3010" t="n"/>
      <c r="AB264" s="3011" t="n"/>
      <c r="AC264" s="3010" t="n"/>
      <c r="AD264" s="3011" t="n"/>
      <c r="AE264" s="3010" t="n"/>
      <c r="AF264" s="3011" t="n"/>
      <c r="AG264" s="3010" t="n"/>
      <c r="AH264" s="3011" t="n"/>
      <c r="AI264" s="3010" t="n"/>
      <c r="AJ264" s="3011" t="n"/>
      <c r="AK264" s="1348" t="n"/>
      <c r="AL264" s="1277" t="n"/>
      <c r="AM264" s="1350" t="n"/>
      <c r="AN264" s="2984" t="n"/>
      <c r="AO264" s="3002" t="n"/>
      <c r="AP264" s="2985" t="n"/>
      <c r="AQ264" s="3003" t="n"/>
      <c r="AR264" s="1967" t="n"/>
      <c r="AS264" s="5233" t="n"/>
      <c r="AT264" s="1967" t="n"/>
      <c r="AU264" s="1277" t="n"/>
      <c r="AV264" s="2985" t="n"/>
      <c r="AW264" s="1967" t="n"/>
      <c r="AX264" s="1277" t="n"/>
      <c r="AY264">
        <f>CA264&amp;CB264&amp;CC264&amp;CD264&amp;CE264&amp;CF264&amp;CG264&amp;CH264&amp;CI264&amp;CJ264&amp;CK264&amp;CL264</f>
        <v/>
      </c>
      <c r="CA264" s="196">
        <f>IF(AND($F264&gt;0,AM264="")," * No olvide digitar la variable Gestante. Digite cero si no tiene.",IF(AM264&gt;$F264," * La variable Gestante no puede superar el Total Mujeres.",""))</f>
        <v/>
      </c>
      <c r="CB264" s="196">
        <f>IF(AND(AG264+AH264&gt;0,AN264="")," * No olvide digitar la variable 60 años (incluido en grupos de 60-64 años). Digite Cero si no tiene.",IF(AN264&gt;AG264+AH264," * La variable 60 años (incluido en grupos de 60-64 años) no puede superar la suma del Grupo 60-64 años.",""))</f>
        <v/>
      </c>
      <c r="CC264" s="198" t="n"/>
      <c r="CD264" s="198" t="n"/>
      <c r="CE264" s="198" t="n"/>
      <c r="CF264" s="196">
        <f>IF(AND($D264&gt;0,AR264="")," * No olvide digitar la variable Compra de Servicio. Digite Cero si no tiene.","")</f>
        <v/>
      </c>
      <c r="CG264" s="198" t="n"/>
      <c r="CH264" s="196">
        <f>IF(AND($D264&gt;0,AT264="")," * No olvide digitar la variable Usuarios con Discapacidad. Digite Cero si no tiene.",IF(AT264&gt;$D264," * La variable Usuarios con Discapacidad no puede superar el Total Ambos Sexos.",""))</f>
        <v/>
      </c>
      <c r="CI264" s="196">
        <f>IF(AND($D264&gt;0,AU264="")," * No olvide digitar la variable Usuarios Oncológicos. Digite Cero si no tiene.",IF(AU264&gt;$D264," * La variable Usuarios Oncológicos no puede superar el Total Ambos Sexos.",""))</f>
        <v/>
      </c>
      <c r="CJ264" s="198" t="n"/>
      <c r="CK264" s="196">
        <f>IF(AND($D264&gt;0,AW264="")," * No olvide digitar la variable Migrantes. Digite Cero si no tiene.",IF(AW264&gt;$D264," * La variable Migrantes no puede superar el Total Ambos Sexos.",""))</f>
        <v/>
      </c>
      <c r="CL264" s="196">
        <f>IF(AND($D264&gt;0,AX264=""),"  * No olvide digitar la variable Pueblo Originario. Digite Cero si no tiene.",IF(AX264&gt;$D264," * La variable Pueblo Originario no puede superar el Total Ambos Sexos.",""))</f>
        <v/>
      </c>
      <c r="CO264" s="197">
        <f>IF(AND($F264&gt;0,AM264=""),1,IF(AM264&gt;$F264,1,0))</f>
        <v/>
      </c>
      <c r="CP264" s="197">
        <f>IF(AND(AG264+AH264&gt;0,AN264=""),1,IF(AN264&gt;AG264+AH264,1,0))</f>
        <v/>
      </c>
      <c r="CQ264" s="198" t="n"/>
      <c r="CR264" s="198" t="n"/>
      <c r="CS264" s="198" t="n"/>
      <c r="CT264" s="197">
        <f>IF(AND($D264&gt;0,AR264=""),1,0)</f>
        <v/>
      </c>
      <c r="CU264" s="198" t="n"/>
      <c r="CV264" s="197">
        <f>IF(AND($D264&gt;0,AT264=""),1,IF(AT264&gt;$D264,1,0))</f>
        <v/>
      </c>
      <c r="CW264" s="197">
        <f>IF(AND($D264&gt;0,AU264=""),1,IF(AU264&gt;$D264,1,0))</f>
        <v/>
      </c>
      <c r="CX264" s="198" t="n"/>
      <c r="CY264" s="197">
        <f>IF(AND($D264&gt;0,AW264=""),1,IF(AW264&gt;$D264,1,0))</f>
        <v/>
      </c>
      <c r="CZ264" s="197">
        <f>IF(AND($D264&gt;0,AX264=""),1,IF(AX264&gt;$D264,1,0))</f>
        <v/>
      </c>
    </row>
    <row r="265" ht="15" customHeight="1" s="8286">
      <c r="A265" s="10236" t="inlineStr">
        <is>
          <t xml:space="preserve">Odontopediatría </t>
        </is>
      </c>
      <c r="B265" s="8445" t="inlineStr">
        <is>
          <t xml:space="preserve">Consulta nueva  </t>
        </is>
      </c>
      <c r="C265" s="10281" t="n"/>
      <c r="D265" s="2957">
        <f>SUM(E265+F265)</f>
        <v/>
      </c>
      <c r="E265" s="3012">
        <f>SUM(G265++I265+K265+M265+O265+Q265+S265+U265+W265+Y265+AA265+AC265+AE265+AG265+AI265+AK265)</f>
        <v/>
      </c>
      <c r="F265" s="3013">
        <f>SUM(H265++J265+L265+N265+P265+R265+T265+V265+X265+Z265+AB265+AD265+AF265+AH265+AJ265+AL265)</f>
        <v/>
      </c>
      <c r="G265" s="2430" t="n"/>
      <c r="H265" s="2428" t="n"/>
      <c r="I265" s="2430" t="n"/>
      <c r="J265" s="2428" t="n"/>
      <c r="K265" s="2430" t="n"/>
      <c r="L265" s="2428" t="n"/>
      <c r="M265" s="2430" t="n"/>
      <c r="N265" s="2428" t="n"/>
      <c r="O265" s="2430" t="n"/>
      <c r="P265" s="2428" t="n"/>
      <c r="Q265" s="2430" t="n"/>
      <c r="R265" s="2428" t="n"/>
      <c r="S265" s="2430" t="n"/>
      <c r="T265" s="2428" t="n"/>
      <c r="U265" s="3004" t="n"/>
      <c r="V265" s="3005" t="n"/>
      <c r="W265" s="3004" t="n"/>
      <c r="X265" s="3005" t="n"/>
      <c r="Y265" s="3004" t="n"/>
      <c r="Z265" s="3005" t="n"/>
      <c r="AA265" s="3004" t="n"/>
      <c r="AB265" s="3005" t="n"/>
      <c r="AC265" s="3004" t="n"/>
      <c r="AD265" s="3005" t="n"/>
      <c r="AE265" s="3004" t="n"/>
      <c r="AF265" s="3005" t="n"/>
      <c r="AG265" s="3004" t="n"/>
      <c r="AH265" s="3005" t="n"/>
      <c r="AI265" s="3004" t="n"/>
      <c r="AJ265" s="3005" t="n"/>
      <c r="AK265" s="2430" t="n"/>
      <c r="AL265" s="2428" t="n"/>
      <c r="AM265" s="2400" t="n"/>
      <c r="AN265" s="2430" t="n"/>
      <c r="AO265" s="2427" t="n"/>
      <c r="AP265" s="764" t="n"/>
      <c r="AQ265" s="5227" t="n"/>
      <c r="AR265" s="5239" t="n"/>
      <c r="AS265" s="5236" t="n"/>
      <c r="AT265" s="5239" t="n"/>
      <c r="AU265" s="1278" t="n"/>
      <c r="AV265" s="2981" t="n"/>
      <c r="AW265" s="5239" t="n"/>
      <c r="AX265" s="1278" t="n"/>
      <c r="AY265">
        <f>CA265&amp;CB265&amp;CC265&amp;CD265&amp;CE265&amp;CF265&amp;CG265&amp;CH265&amp;CI265&amp;CJ265&amp;CK265&amp;CL265</f>
        <v/>
      </c>
      <c r="CA265" s="196">
        <f>IF(AND($F265&gt;0,AM265="")," * No olvide digitar la variable Gestante. Digite cero si no tiene.",IF(AM265&gt;$F265," * La variable Gestante no puede superar el Total Mujeres.",""))</f>
        <v/>
      </c>
      <c r="CB265" s="198" t="n"/>
      <c r="CC265" s="196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>
        <f>IF(AND($D265&gt;0,AQ265="")," * No olvide digitar la variable Inasistente. Digite cero si no tiene.",IF(AQ265&gt;$D265," * La variable Insasistente no puede superar el Total Ambos Sexos.",""))</f>
        <v/>
      </c>
      <c r="CF265" s="196">
        <f>IF(AND($D265&gt;0,AR265="")," * No olvide digitar la variable Compra de Servicio. Digite Cero si no tiene.","")</f>
        <v/>
      </c>
      <c r="CG265" s="196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>
        <f>IF(AND($D265&gt;0,AT265="")," * No olvide digitar la variable Usuarios con Discapacidad. Digite Cero si no tiene.",IF(AT265&gt;$D265," * La variable Usuarios con Discapacidad no puede superar el Total Ambos Sexos.",""))</f>
        <v/>
      </c>
      <c r="CI265" s="196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 t="n"/>
      <c r="CK265" s="196">
        <f>IF(AND($D265&gt;0,AW265="")," * No olvide digitar la variable Migrantes. Digite Cero si no tiene.",IF(AW265&gt;$D265," * La variable Migrantes no puede superar el Total Ambos Sexos.",""))</f>
        <v/>
      </c>
      <c r="CL265" s="196">
        <f>IF(AND($D265&gt;0,AX265=""),"  * No olvide digitar la variable Pueblo Originario. Digite Cero si no tiene.",IF(AX265&gt;$D265," * La variable Pueblo Originario no puede superar el Total Ambos Sexos.",""))</f>
        <v/>
      </c>
      <c r="CO265" s="197">
        <f>IF(AND($F265&gt;0,AM265=""),1,IF(AM265&gt;$F265,1,0))</f>
        <v/>
      </c>
      <c r="CP265" s="198" t="n"/>
      <c r="CQ265" s="197">
        <f>IF(AND($D265&gt;0,AO265=""),1,IF(AO265&gt;$D265,1,0))</f>
        <v/>
      </c>
      <c r="CR265" s="197">
        <f>IF(AND($D265&gt;0,AP265=""),1,IF(AP265&gt;$D265,1,0))</f>
        <v/>
      </c>
      <c r="CS265" s="197">
        <f>IF(AND($D265&gt;0,AQ265=""),1,IF(AQ265&gt;$D265,1,0))</f>
        <v/>
      </c>
      <c r="CT265" s="197">
        <f>IF(AND($D265&gt;0,AR265=""),1,0)</f>
        <v/>
      </c>
      <c r="CU265" s="197">
        <f>IF(AND($D265&gt;0,AS265=""),1,IF(AS265&gt;$D265,1,0))</f>
        <v/>
      </c>
      <c r="CV265" s="197">
        <f>IF(AND($D265&gt;0,AT265=""),1,IF(AT265&gt;$D265,1,0))</f>
        <v/>
      </c>
      <c r="CW265" s="197">
        <f>IF(AND($D265&gt;0,AU265=""),1,IF(AU265&gt;$D265,1,0))</f>
        <v/>
      </c>
      <c r="CX265" s="198" t="n"/>
      <c r="CY265" s="197">
        <f>IF(AND($D265&gt;0,AW265=""),1,IF(AW265&gt;$D265,1,0))</f>
        <v/>
      </c>
      <c r="CZ265" s="197">
        <f>IF(AND($D265&gt;0,AX265=""),1,IF(AX265&gt;$D265,1,0))</f>
        <v/>
      </c>
    </row>
    <row r="266" ht="15" customHeight="1" s="8286">
      <c r="A266" s="9588" t="n"/>
      <c r="B266" s="8748" t="inlineStr">
        <is>
          <t xml:space="preserve">Control  </t>
        </is>
      </c>
      <c r="C266" s="9644" t="n"/>
      <c r="D266" s="2989">
        <f>SUM(E266+F266)</f>
        <v/>
      </c>
      <c r="E266" s="2990">
        <f>SUM(G266++I266+K266+M266+O266+Q266+S266+U266+W266+Y266+AA266+AC266+AE266+AG266+AI266+AK266)</f>
        <v/>
      </c>
      <c r="F266" s="3014">
        <f>SUM(H266++J266+L266+N266+P266+R266+T266+V266+X266+Z266+AB266+AD266+AF266+AH266+AJ266+AL266)</f>
        <v/>
      </c>
      <c r="G266" s="2993" t="n"/>
      <c r="H266" s="2992" t="n"/>
      <c r="I266" s="2993" t="n"/>
      <c r="J266" s="2992" t="n"/>
      <c r="K266" s="2993" t="n"/>
      <c r="L266" s="2992" t="n"/>
      <c r="M266" s="2993" t="n"/>
      <c r="N266" s="2992" t="n"/>
      <c r="O266" s="2993" t="n"/>
      <c r="P266" s="2992" t="n"/>
      <c r="Q266" s="2993" t="n"/>
      <c r="R266" s="2992" t="n"/>
      <c r="S266" s="2993" t="n"/>
      <c r="T266" s="2992" t="n"/>
      <c r="U266" s="3006" t="n"/>
      <c r="V266" s="3007" t="n"/>
      <c r="W266" s="3006" t="n"/>
      <c r="X266" s="3007" t="n"/>
      <c r="Y266" s="3006" t="n"/>
      <c r="Z266" s="3007" t="n"/>
      <c r="AA266" s="3006" t="n"/>
      <c r="AB266" s="3007" t="n"/>
      <c r="AC266" s="3006" t="n"/>
      <c r="AD266" s="3007" t="n"/>
      <c r="AE266" s="3006" t="n"/>
      <c r="AF266" s="3007" t="n"/>
      <c r="AG266" s="3006" t="n"/>
      <c r="AH266" s="3007" t="n"/>
      <c r="AI266" s="3006" t="n"/>
      <c r="AJ266" s="3007" t="n"/>
      <c r="AK266" s="2993" t="n"/>
      <c r="AL266" s="2992" t="n"/>
      <c r="AM266" s="2994" t="n"/>
      <c r="AN266" s="2993" t="n"/>
      <c r="AO266" s="2980" t="n"/>
      <c r="AP266" s="2981" t="n"/>
      <c r="AQ266" s="5228" t="n"/>
      <c r="AR266" s="3951" t="n"/>
      <c r="AS266" s="3950" t="n"/>
      <c r="AT266" s="3951" t="n"/>
      <c r="AU266" s="1275" t="n"/>
      <c r="AV266" s="2981" t="n"/>
      <c r="AW266" s="3951" t="n"/>
      <c r="AX266" s="1275" t="n"/>
      <c r="AY266">
        <f>CA266&amp;CB266&amp;CC266&amp;CD266&amp;CE266&amp;CF266&amp;CG266&amp;CH266&amp;CI266&amp;CJ266&amp;CK266&amp;CL266</f>
        <v/>
      </c>
      <c r="CA266" s="196">
        <f>IF(AND($F266&gt;0,AM266="")," * No olvide digitar la variable Gestante. Digite cero si no tiene.",IF(AM266&gt;$F266," * La variable Gestante no puede superar el Total Mujeres.",""))</f>
        <v/>
      </c>
      <c r="CB266" s="198" t="n"/>
      <c r="CC266" s="198" t="n"/>
      <c r="CD266" s="198" t="n"/>
      <c r="CE266" s="196">
        <f>IF(AND($D266&gt;0,AQ266="")," * No olvide digitar la variable Inasistente. Digite cero si no tiene.",IF(AQ266&gt;$D266," * La variable Insasistente no puede superar el Total Ambos Sexos.",""))</f>
        <v/>
      </c>
      <c r="CF266" s="196">
        <f>IF(AND($D266&gt;0,AR266="")," * No olvide digitar la variable Compra de Servicio. Digite Cero si no tiene.","")</f>
        <v/>
      </c>
      <c r="CG266" s="196">
        <f>IF(AND($D266&gt;0,AS266="")," * No olvide digitar la variable Ortodoncia interceptiva. Digite Cero si no tiene.",IF(AS266&gt;$D266," * La variable Ortodoncia interceptiva no puede superar el Total Ambos Sexos.",""))</f>
        <v/>
      </c>
      <c r="CH266" s="196">
        <f>IF(AND($D266&gt;0,AT266="")," * No olvide digitar la variable Usuarios con Discapacidad. Digite Cero si no tiene.",IF(AT266&gt;$D266," * La variable Usuarios con Discapacidad no puede superar el Total Ambos Sexos.",""))</f>
        <v/>
      </c>
      <c r="CI266" s="196">
        <f>IF(AND($D266&gt;0,AU266="")," * No olvide digitar la variable Usuarios Oncológicos. Digite Cero si no tiene.",IF(AU266&gt;$D266," * La variable Usuarios Oncológicos no puede superar el Total Ambos Sexos.",""))</f>
        <v/>
      </c>
      <c r="CJ266" s="198" t="n"/>
      <c r="CK266" s="196">
        <f>IF(AND($D266&gt;0,AW266="")," * No olvide digitar la variable Migrantes. Digite Cero si no tiene.",IF(AW266&gt;$D266," * La variable Migrantes no puede superar el Total Ambos Sexos.",""))</f>
        <v/>
      </c>
      <c r="CL266" s="196">
        <f>IF(AND($D266&gt;0,AX266=""),"  * No olvide digitar la variable Pueblo Originario. Digite Cero si no tiene.",IF(AX266&gt;$D266," * La variable Pueblo Originario no puede superar el Total Ambos Sexos.",""))</f>
        <v/>
      </c>
      <c r="CO266" s="197">
        <f>IF(AND($F266&gt;0,AM266=""),1,IF(AM266&gt;$F266,1,0))</f>
        <v/>
      </c>
      <c r="CP266" s="198" t="n"/>
      <c r="CQ266" s="198" t="n"/>
      <c r="CR266" s="198" t="n"/>
      <c r="CS266" s="197">
        <f>IF(AND($D266&gt;0,AQ266=""),1,IF(AQ266&gt;$D266,1,0))</f>
        <v/>
      </c>
      <c r="CT266" s="197">
        <f>IF(AND($D266&gt;0,AR266=""),1,0)</f>
        <v/>
      </c>
      <c r="CU266" s="197">
        <f>IF(AND($D266&gt;0,AS266=""),1,IF(AS266&gt;$D266,1,0))</f>
        <v/>
      </c>
      <c r="CV266" s="197">
        <f>IF(AND($D266&gt;0,AT266=""),1,IF(AT266&gt;$D266,1,0))</f>
        <v/>
      </c>
      <c r="CW266" s="197">
        <f>IF(AND($D266&gt;0,AU266=""),1,IF(AU266&gt;$D266,1,0))</f>
        <v/>
      </c>
      <c r="CX266" s="198" t="n"/>
      <c r="CY266" s="197">
        <f>IF(AND($D266&gt;0,AW266=""),1,IF(AW266&gt;$D266,1,0))</f>
        <v/>
      </c>
      <c r="CZ266" s="197">
        <f>IF(AND($D266&gt;0,AX266=""),1,IF(AX266&gt;$D266,1,0))</f>
        <v/>
      </c>
    </row>
    <row r="267" ht="15" customHeight="1" s="8286">
      <c r="A267" s="9588" t="n"/>
      <c r="B267" s="8748" t="inlineStr">
        <is>
          <t xml:space="preserve">Ingreso a tratamiento </t>
        </is>
      </c>
      <c r="C267" s="9644" t="n"/>
      <c r="D267" s="2989">
        <f>SUM(E267+F267)</f>
        <v/>
      </c>
      <c r="E267" s="2990">
        <f>SUM(G267++I267+K267+M267+O267+Q267+S267+U267+W267+Y267+AA267+AC267+AE267+AG267+AI267+AK267)</f>
        <v/>
      </c>
      <c r="F267" s="3014">
        <f>SUM(H267++J267+L267+N267+P267+R267+T267+V267+X267+Z267+AB267+AD267+AF267+AH267+AJ267+AL267)</f>
        <v/>
      </c>
      <c r="G267" s="2993" t="n"/>
      <c r="H267" s="2992" t="n"/>
      <c r="I267" s="2993" t="n"/>
      <c r="J267" s="2992" t="n"/>
      <c r="K267" s="2993" t="n"/>
      <c r="L267" s="2992" t="n"/>
      <c r="M267" s="2993" t="n"/>
      <c r="N267" s="2992" t="n"/>
      <c r="O267" s="2993" t="n"/>
      <c r="P267" s="2992" t="n"/>
      <c r="Q267" s="2993" t="n"/>
      <c r="R267" s="2992" t="n"/>
      <c r="S267" s="2993" t="n"/>
      <c r="T267" s="2992" t="n"/>
      <c r="U267" s="3006" t="n"/>
      <c r="V267" s="3007" t="n"/>
      <c r="W267" s="3006" t="n"/>
      <c r="X267" s="3007" t="n"/>
      <c r="Y267" s="3006" t="n"/>
      <c r="Z267" s="3007" t="n"/>
      <c r="AA267" s="3006" t="n"/>
      <c r="AB267" s="3007" t="n"/>
      <c r="AC267" s="3006" t="n"/>
      <c r="AD267" s="3007" t="n"/>
      <c r="AE267" s="3006" t="n"/>
      <c r="AF267" s="3007" t="n"/>
      <c r="AG267" s="3006" t="n"/>
      <c r="AH267" s="3007" t="n"/>
      <c r="AI267" s="3006" t="n"/>
      <c r="AJ267" s="3007" t="n"/>
      <c r="AK267" s="2993" t="n"/>
      <c r="AL267" s="2992" t="n"/>
      <c r="AM267" s="2994" t="n"/>
      <c r="AN267" s="2993" t="n"/>
      <c r="AO267" s="2980" t="n"/>
      <c r="AP267" s="2981" t="n"/>
      <c r="AQ267" s="5226" t="n"/>
      <c r="AR267" s="3951" t="n"/>
      <c r="AS267" s="3950" t="n"/>
      <c r="AT267" s="3951" t="n"/>
      <c r="AU267" s="1275" t="n"/>
      <c r="AV267" s="2981" t="n"/>
      <c r="AW267" s="3951" t="n"/>
      <c r="AX267" s="1275" t="n"/>
      <c r="AY267">
        <f>CA267&amp;CB267&amp;CC267&amp;CD267&amp;CE267&amp;CF267&amp;CG267&amp;CH267&amp;CI267&amp;CJ267&amp;CK267&amp;CL267</f>
        <v/>
      </c>
      <c r="CA267" s="196">
        <f>IF(AND($F267&gt;0,AM267="")," * No olvide digitar la variable Gestante. Digite cero si no tiene.",IF(AM267&gt;$F267," * La variable Gestante no puede superar el Total Mujeres.",""))</f>
        <v/>
      </c>
      <c r="CB267" s="198" t="n"/>
      <c r="CC267" s="198" t="n"/>
      <c r="CD267" s="198" t="n"/>
      <c r="CE267" s="198" t="n"/>
      <c r="CF267" s="196">
        <f>IF(AND($D267&gt;0,AR267="")," * No olvide digitar la variable Compra de Servicio. Digite Cero si no tiene.","")</f>
        <v/>
      </c>
      <c r="CG267" s="196">
        <f>IF(AND($D267&gt;0,AS267="")," * No olvide digitar la variable Ortodoncia interceptiva. Digite Cero si no tiene.",IF(AS267&gt;$D267," * La variable Ortodoncia interceptiva no puede superar el Total Ambos Sexos.",""))</f>
        <v/>
      </c>
      <c r="CH267" s="196">
        <f>IF(AND($D267&gt;0,AT267="")," * No olvide digitar la variable Usuarios con Discapacidad. Digite Cero si no tiene.",IF(AT267&gt;$D267," * La variable Usuarios con Discapacidad no puede superar el Total Ambos Sexos.",""))</f>
        <v/>
      </c>
      <c r="CI267" s="196">
        <f>IF(AND($D267&gt;0,AU267="")," * No olvide digitar la variable Usuarios Oncológicos. Digite Cero si no tiene.",IF(AU267&gt;$D267," * La variable Usuarios Oncológicos no puede superar el Total Ambos Sexos.",""))</f>
        <v/>
      </c>
      <c r="CJ267" s="198" t="n"/>
      <c r="CK267" s="196">
        <f>IF(AND($D267&gt;0,AW267="")," * No olvide digitar la variable Migrantes. Digite Cero si no tiene.",IF(AW267&gt;$D267," * La variable Migrantes no puede superar el Total Ambos Sexos.",""))</f>
        <v/>
      </c>
      <c r="CL267" s="196">
        <f>IF(AND($D267&gt;0,AX267=""),"  * No olvide digitar la variable Pueblo Originario. Digite Cero si no tiene.",IF(AX267&gt;$D267," * La variable Pueblo Originario no puede superar el Total Ambos Sexos.",""))</f>
        <v/>
      </c>
      <c r="CO267" s="197">
        <f>IF(AND($F267&gt;0,AM267=""),1,IF(AM267&gt;$F267,1,0))</f>
        <v/>
      </c>
      <c r="CP267" s="198" t="n"/>
      <c r="CQ267" s="198" t="n"/>
      <c r="CR267" s="198" t="n"/>
      <c r="CS267" s="198" t="n"/>
      <c r="CT267" s="197">
        <f>IF(AND($D267&gt;0,AR267=""),1,0)</f>
        <v/>
      </c>
      <c r="CU267" s="197">
        <f>IF(AND($D267&gt;0,AS267=""),1,IF(AS267&gt;$D267,1,0))</f>
        <v/>
      </c>
      <c r="CV267" s="197">
        <f>IF(AND($D267&gt;0,AT267=""),1,IF(AT267&gt;$D267,1,0))</f>
        <v/>
      </c>
      <c r="CW267" s="197">
        <f>IF(AND($D267&gt;0,AU267=""),1,IF(AU267&gt;$D267,1,0))</f>
        <v/>
      </c>
      <c r="CX267" s="198" t="n"/>
      <c r="CY267" s="197">
        <f>IF(AND($D267&gt;0,AW267=""),1,IF(AW267&gt;$D267,1,0))</f>
        <v/>
      </c>
      <c r="CZ267" s="197">
        <f>IF(AND($D267&gt;0,AX267=""),1,IF(AX267&gt;$D267,1,0))</f>
        <v/>
      </c>
    </row>
    <row r="268" ht="15" customHeight="1" s="8286">
      <c r="A268" s="9588" t="n"/>
      <c r="B268" s="8748" t="inlineStr">
        <is>
          <t xml:space="preserve">Altas de tratamiento </t>
        </is>
      </c>
      <c r="C268" s="9644" t="n"/>
      <c r="D268" s="2989">
        <f>SUM(E268+F268)</f>
        <v/>
      </c>
      <c r="E268" s="2990">
        <f>SUM(G268++I268+K268+M268+O268+Q268+S268+U268+W268+Y268+AA268+AC268+AE268+AG268+AI268+AK268)</f>
        <v/>
      </c>
      <c r="F268" s="3014">
        <f>SUM(H268++J268+L268+N268+P268+R268+T268+V268+X268+Z268+AB268+AD268+AF268+AH268+AJ268+AL268)</f>
        <v/>
      </c>
      <c r="G268" s="1949" t="n"/>
      <c r="H268" s="2998" t="n"/>
      <c r="I268" s="1949" t="n"/>
      <c r="J268" s="2998" t="n"/>
      <c r="K268" s="1949" t="n"/>
      <c r="L268" s="2998" t="n"/>
      <c r="M268" s="1949" t="n"/>
      <c r="N268" s="2998" t="n"/>
      <c r="O268" s="1949" t="n"/>
      <c r="P268" s="2998" t="n"/>
      <c r="Q268" s="1949" t="n"/>
      <c r="R268" s="2998" t="n"/>
      <c r="S268" s="1949" t="n"/>
      <c r="T268" s="2998" t="n"/>
      <c r="U268" s="3008" t="n"/>
      <c r="V268" s="3009" t="n"/>
      <c r="W268" s="3008" t="n"/>
      <c r="X268" s="3009" t="n"/>
      <c r="Y268" s="3008" t="n"/>
      <c r="Z268" s="3009" t="n"/>
      <c r="AA268" s="3008" t="n"/>
      <c r="AB268" s="3009" t="n"/>
      <c r="AC268" s="3008" t="n"/>
      <c r="AD268" s="3009" t="n"/>
      <c r="AE268" s="3008" t="n"/>
      <c r="AF268" s="3009" t="n"/>
      <c r="AG268" s="3008" t="n"/>
      <c r="AH268" s="3009" t="n"/>
      <c r="AI268" s="3008" t="n"/>
      <c r="AJ268" s="3009" t="n"/>
      <c r="AK268" s="1949" t="n"/>
      <c r="AL268" s="2998" t="n"/>
      <c r="AM268" s="2994" t="n"/>
      <c r="AN268" s="2993" t="n"/>
      <c r="AO268" s="2980" t="n"/>
      <c r="AP268" s="2981" t="n"/>
      <c r="AQ268" s="5226" t="n"/>
      <c r="AR268" s="5240" t="n"/>
      <c r="AS268" s="1949" t="n"/>
      <c r="AT268" s="5240" t="n"/>
      <c r="AU268" s="1950" t="n"/>
      <c r="AV268" s="1275" t="n"/>
      <c r="AW268" s="5240" t="n"/>
      <c r="AX268" s="1950" t="n"/>
      <c r="AY268">
        <f>CA268&amp;CB268&amp;CC268&amp;CD268&amp;CE268&amp;CF268&amp;CG268&amp;CH268&amp;CI268&amp;CJ268&amp;CK268&amp;CL268</f>
        <v/>
      </c>
      <c r="CA268" s="196">
        <f>IF(AND($F268&gt;0,AM268="")," * No olvide digitar la variable Gestante. Digite cero si no tiene.",IF(AM268&gt;$F268," * La variable Gestante no puede superar el Total Mujeres.",""))</f>
        <v/>
      </c>
      <c r="CB268" s="198" t="n"/>
      <c r="CC268" s="198" t="n"/>
      <c r="CD268" s="198" t="n"/>
      <c r="CE268" s="198" t="n"/>
      <c r="CF268" s="196">
        <f>IF(AND($D268&gt;0,AR268="")," * No olvide digitar la variable Compra de Servicio. Digite Cero si no tiene.","")</f>
        <v/>
      </c>
      <c r="CG268" s="196">
        <f>IF(AND($D268&gt;0,AS268="")," * No olvide digitar la variable Ortodoncia interceptiva. Digite Cero si no tiene.",IF(AS268&gt;$D268," * La variable Ortodoncia interceptiva no puede superar el Total Ambos Sexos.",""))</f>
        <v/>
      </c>
      <c r="CH268" s="196">
        <f>IF(AND($D268&gt;0,AT268="")," * No olvide digitar la variable Usuarios con Discapacidad. Digite Cero si no tiene.",IF(AT268&gt;$D268," * La variable Usuarios con Discapacidad no puede superar el Total Ambos Sexos.",""))</f>
        <v/>
      </c>
      <c r="CI268" s="196">
        <f>IF(AND($D268&gt;0,AU268="")," * No olvide digitar la variable Usuarios Oncológicos. Digite Cero si no tiene.",IF(AU268&gt;$D268," * La variable Usuarios Oncológicos no puede superar el Total Ambos Sexos.",""))</f>
        <v/>
      </c>
      <c r="CJ268" s="196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>
        <f>IF(AND($D268&gt;0,AW268="")," * No olvide digitar la variable Migrantes. Digite Cero si no tiene.",IF(AW268&gt;$D268," * La variable Migrantes no puede superar el Total Ambos Sexos.",""))</f>
        <v/>
      </c>
      <c r="CL268" s="196">
        <f>IF(AND($D268&gt;0,AX268=""),"  * No olvide digitar la variable Pueblo Originario. Digite Cero si no tiene.",IF(AX268&gt;$D268," * La variable Pueblo Originario no puede superar el Total Ambos Sexos.",""))</f>
        <v/>
      </c>
      <c r="CO268" s="197">
        <f>IF(AND($F268&gt;0,AM268=""),1,IF(AM268&gt;$F268,1,0))</f>
        <v/>
      </c>
      <c r="CP268" s="198" t="n"/>
      <c r="CQ268" s="198" t="n"/>
      <c r="CR268" s="198" t="n"/>
      <c r="CS268" s="198" t="n"/>
      <c r="CT268" s="197">
        <f>IF(AND($D268&gt;0,AR268=""),1,0)</f>
        <v/>
      </c>
      <c r="CU268" s="197">
        <f>IF(AND($D268&gt;0,AS268=""),1,IF(AS268&gt;$D268,1,0))</f>
        <v/>
      </c>
      <c r="CV268" s="197">
        <f>IF(AND($D268&gt;0,AT268=""),1,IF(AT268&gt;$D268,1,0))</f>
        <v/>
      </c>
      <c r="CW268" s="197">
        <f>IF(AND($D268&gt;0,AU268=""),1,IF(AU268&gt;$D268,1,0))</f>
        <v/>
      </c>
      <c r="CX268" s="197">
        <f>IF(AND($D268&gt;0,AV268=""),1,IF(AV268&gt;$D268,1,0))</f>
        <v/>
      </c>
      <c r="CY268" s="197">
        <f>IF(AND($D268&gt;0,AW268=""),1,IF(AW268&gt;$D268,1,0))</f>
        <v/>
      </c>
      <c r="CZ268" s="197">
        <f>IF(AND($D268&gt;0,AX268=""),1,IF(AX268&gt;$D268,1,0))</f>
        <v/>
      </c>
    </row>
    <row r="269" ht="15" customHeight="1" s="8286">
      <c r="A269" s="9588" t="n"/>
      <c r="B269" s="8748" t="inlineStr">
        <is>
          <t xml:space="preserve">Control de especialidad post alta </t>
        </is>
      </c>
      <c r="C269" s="9644" t="n"/>
      <c r="D269" s="2989">
        <f>SUM(E269+F269)</f>
        <v/>
      </c>
      <c r="E269" s="2990">
        <f>SUM(G269++I269+K269+M269+O269+Q269+S269+U269+W269+Y269+AA269+AC269+AE269+AG269+AI269+AK269)</f>
        <v/>
      </c>
      <c r="F269" s="2803">
        <f>SUM(H269++J269+L269+N269+P269+R269+T269+V269+X269+Z269+AB269+AD269+AF269+AH269+AJ269+AL269)</f>
        <v/>
      </c>
      <c r="G269" s="2997" t="n"/>
      <c r="H269" s="2998" t="n"/>
      <c r="I269" s="1949" t="n"/>
      <c r="J269" s="2998" t="n"/>
      <c r="K269" s="1949" t="n"/>
      <c r="L269" s="2998" t="n"/>
      <c r="M269" s="1949" t="n"/>
      <c r="N269" s="2998" t="n"/>
      <c r="O269" s="1949" t="n"/>
      <c r="P269" s="2998" t="n"/>
      <c r="Q269" s="1949" t="n"/>
      <c r="R269" s="2998" t="n"/>
      <c r="S269" s="1949" t="n"/>
      <c r="T269" s="2998" t="n"/>
      <c r="U269" s="1949" t="n"/>
      <c r="V269" s="2998" t="n"/>
      <c r="W269" s="1949" t="n"/>
      <c r="X269" s="2998" t="n"/>
      <c r="Y269" s="1949" t="n"/>
      <c r="Z269" s="2998" t="n"/>
      <c r="AA269" s="1949" t="n"/>
      <c r="AB269" s="2998" t="n"/>
      <c r="AC269" s="1949" t="n"/>
      <c r="AD269" s="2998" t="n"/>
      <c r="AE269" s="1949" t="n"/>
      <c r="AF269" s="2998" t="n"/>
      <c r="AG269" s="1949" t="n"/>
      <c r="AH269" s="2998" t="n"/>
      <c r="AI269" s="1949" t="n"/>
      <c r="AJ269" s="2998" t="n"/>
      <c r="AK269" s="1949" t="n"/>
      <c r="AL269" s="2998" t="n"/>
      <c r="AM269" s="1937" t="n"/>
      <c r="AN269" s="1949" t="n"/>
      <c r="AO269" s="2980" t="n"/>
      <c r="AP269" s="2981" t="n"/>
      <c r="AQ269" s="365" t="n"/>
      <c r="AR269" s="5240" t="n"/>
      <c r="AS269" s="1949" t="n"/>
      <c r="AT269" s="5240" t="n"/>
      <c r="AU269" s="1950" t="n"/>
      <c r="AV269" s="3001" t="n"/>
      <c r="AW269" s="5240" t="n"/>
      <c r="AX269" s="1950" t="n"/>
      <c r="AY269">
        <f>CA269&amp;CB269&amp;CC269&amp;CD269&amp;CE269&amp;CF269&amp;CG269&amp;CH269&amp;CI269&amp;CJ269&amp;CK269&amp;CL269</f>
        <v/>
      </c>
      <c r="CA269" s="196">
        <f>IF(AND($F269&gt;0,AM269="")," * No olvide digitar la variable Gestante. Digite cero si no tiene.",IF(AM269&gt;$F269," * La variable Gestante no puede superar el Total Mujeres.",""))</f>
        <v/>
      </c>
      <c r="CB269" s="198" t="n"/>
      <c r="CC269" s="198" t="n"/>
      <c r="CD269" s="198" t="n"/>
      <c r="CE269" s="198" t="n"/>
      <c r="CF269" s="196">
        <f>IF(AND($D269&gt;0,AR269="")," * No olvide digitar la variable Compra de Servicio. Digite Cero si no tiene.","")</f>
        <v/>
      </c>
      <c r="CG269" s="196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196">
        <f>IF(AND($D269&gt;0,AT269="")," * No olvide digitar la variable Usuarios con Discapacidad. Digite Cero si no tiene.",IF(AT269&gt;$D269," * La variable Usuarios con Discapacidad no puede superar el Total Ambos Sexos.",""))</f>
        <v/>
      </c>
      <c r="CI269" s="196">
        <f>IF(AND($D269&gt;0,AU269="")," * No olvide digitar la variable Usuarios Oncológicos. Digite Cero si no tiene.",IF(AU269&gt;$D269," * La variable Usuarios Oncológicos no puede superar el Total Ambos Sexos.",""))</f>
        <v/>
      </c>
      <c r="CJ269" s="198" t="n"/>
      <c r="CK269" s="196">
        <f>IF(AND($D269&gt;0,AW269="")," * No olvide digitar la variable Migrantes. Digite Cero si no tiene.",IF(AW269&gt;$D269," * La variable Migrantes no puede superar el Total Ambos Sexos.",""))</f>
        <v/>
      </c>
      <c r="CL269" s="196">
        <f>IF(AND($D269&gt;0,AX269=""),"  * No olvide digitar la variable Pueblo Originario. Digite Cero si no tiene.",IF(AX269&gt;$D269," * La variable Pueblo Originario no puede superar el Total Ambos Sexos.",""))</f>
        <v/>
      </c>
      <c r="CO269" s="197">
        <f>IF(AND($F269&gt;0,AM269=""),1,IF(AM269&gt;$F269,1,0))</f>
        <v/>
      </c>
      <c r="CP269" s="198" t="n"/>
      <c r="CQ269" s="198" t="n"/>
      <c r="CR269" s="198" t="n"/>
      <c r="CS269" s="198" t="n"/>
      <c r="CT269" s="197">
        <f>IF(AND($D269&gt;0,AR269=""),1,0)</f>
        <v/>
      </c>
      <c r="CU269" s="197">
        <f>IF(AND($D269&gt;0,AS269=""),1,IF(AS269&gt;$D269,1,0))</f>
        <v/>
      </c>
      <c r="CV269" s="197">
        <f>IF(AND($D269&gt;0,AT269=""),1,IF(AT269&gt;$D269,1,0))</f>
        <v/>
      </c>
      <c r="CW269" s="197">
        <f>IF(AND($D269&gt;0,AU269=""),1,IF(AU269&gt;$D269,1,0))</f>
        <v/>
      </c>
      <c r="CX269" s="198" t="n"/>
      <c r="CY269" s="197">
        <f>IF(AND($D269&gt;0,AW269=""),1,IF(AW269&gt;$D269,1,0))</f>
        <v/>
      </c>
      <c r="CZ269" s="197">
        <f>IF(AND($D269&gt;0,AX269=""),1,IF(AX269&gt;$D269,1,0))</f>
        <v/>
      </c>
    </row>
    <row r="270" ht="15" customHeight="1" s="8286">
      <c r="A270" s="9589" t="n"/>
      <c r="B270" s="10282" t="inlineStr">
        <is>
          <t xml:space="preserve">Altas administrativas </t>
        </is>
      </c>
      <c r="C270" s="9710" t="n"/>
      <c r="D270" s="1202">
        <f>SUM(E270+F270)</f>
        <v/>
      </c>
      <c r="E270" s="800">
        <f>SUM(+I270+K270+M270+O270+Q270+S270+U270+W270+Y270+AA270+AC270+AE270+AG270+AI270+AK270)</f>
        <v/>
      </c>
      <c r="F270" s="2727">
        <f>SUM(J270+L270+N270+P270+R270+T270+V270+X270+Z270+AB270+AD270+AF270+AH270+AJ270+AL270)</f>
        <v/>
      </c>
      <c r="G270" s="1348" t="n"/>
      <c r="H270" s="2983" t="n"/>
      <c r="I270" s="1348" t="n"/>
      <c r="J270" s="2983" t="n"/>
      <c r="K270" s="1348" t="n"/>
      <c r="L270" s="2983" t="n"/>
      <c r="M270" s="1348" t="n"/>
      <c r="N270" s="2983" t="n"/>
      <c r="O270" s="1348" t="n"/>
      <c r="P270" s="2983" t="n"/>
      <c r="Q270" s="1348" t="n"/>
      <c r="R270" s="2983" t="n"/>
      <c r="S270" s="1348" t="n"/>
      <c r="T270" s="2983" t="n"/>
      <c r="U270" s="1348" t="n"/>
      <c r="V270" s="2983" t="n"/>
      <c r="W270" s="1348" t="n"/>
      <c r="X270" s="2983" t="n"/>
      <c r="Y270" s="1348" t="n"/>
      <c r="Z270" s="2983" t="n"/>
      <c r="AA270" s="1348" t="n"/>
      <c r="AB270" s="2983" t="n"/>
      <c r="AC270" s="1348" t="n"/>
      <c r="AD270" s="2983" t="n"/>
      <c r="AE270" s="1348" t="n"/>
      <c r="AF270" s="2983" t="n"/>
      <c r="AG270" s="1348" t="n"/>
      <c r="AH270" s="2983" t="n"/>
      <c r="AI270" s="1348" t="n"/>
      <c r="AJ270" s="2983" t="n"/>
      <c r="AK270" s="1348" t="n"/>
      <c r="AL270" s="2983" t="n"/>
      <c r="AM270" s="1350" t="n"/>
      <c r="AN270" s="1348" t="n"/>
      <c r="AO270" s="3002" t="n"/>
      <c r="AP270" s="2985" t="n"/>
      <c r="AQ270" s="3003" t="n"/>
      <c r="AR270" s="1967" t="n"/>
      <c r="AS270" s="1348" t="n"/>
      <c r="AT270" s="1967" t="n"/>
      <c r="AU270" s="1277" t="n"/>
      <c r="AV270" s="2985" t="n"/>
      <c r="AW270" s="1967" t="n"/>
      <c r="AX270" s="1277" t="n"/>
      <c r="AY270">
        <f>CA270&amp;CB270&amp;CC270&amp;CD270&amp;CE270&amp;CF270&amp;CG270&amp;CH270&amp;CI270&amp;CJ270&amp;CK270&amp;CL270</f>
        <v/>
      </c>
      <c r="CA270" s="196">
        <f>IF(AND($F270&gt;0,AM270="")," * No olvide digitar la variable Gestante. Digite cero si no tiene.",IF(AM270&gt;$F270," * La variable Gestante no puede superar el Total Mujeres.",""))</f>
        <v/>
      </c>
      <c r="CB270" s="198" t="n"/>
      <c r="CC270" s="198" t="n"/>
      <c r="CD270" s="198" t="n"/>
      <c r="CE270" s="198" t="n"/>
      <c r="CF270" s="196">
        <f>IF(AND($D270&gt;0,AR270="")," * No olvide digitar la variable Compra de Servicio. Digite Cero si no tiene.","")</f>
        <v/>
      </c>
      <c r="CG270" s="196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>
        <f>IF(AND($D270&gt;0,AT270="")," * No olvide digitar la variable Usuarios con Discapacidad. Digite Cero si no tiene.",IF(AT270&gt;$D270," * La variable Usuarios con Discapacidad no puede superar el Total Ambos Sexos.",""))</f>
        <v/>
      </c>
      <c r="CI270" s="196">
        <f>IF(AND($D270&gt;0,AU270="")," * No olvide digitar la variable Usuarios Oncológicos. Digite Cero si no tiene.",IF(AU270&gt;$D270," * La variable Usuarios Oncológicos no puede superar el Total Ambos Sexos.",""))</f>
        <v/>
      </c>
      <c r="CJ270" s="198" t="n"/>
      <c r="CK270" s="196">
        <f>IF(AND($D270&gt;0,AW270="")," * No olvide digitar la variable Migrantes. Digite Cero si no tiene.",IF(AW270&gt;$D270," * La variable Migrantes no puede superar el Total Ambos Sexos.",""))</f>
        <v/>
      </c>
      <c r="CL270" s="196">
        <f>IF(AND($D270&gt;0,AX270=""),"  * No olvide digitar la variable Pueblo Originario. Digite Cero si no tiene.",IF(AX270&gt;$D270," * La variable Pueblo Originario no puede superar el Total Ambos Sexos.",""))</f>
        <v/>
      </c>
      <c r="CO270" s="197">
        <f>IF(AND($F270&gt;0,AM270=""),1,IF(AM270&gt;$F270,1,0))</f>
        <v/>
      </c>
      <c r="CP270" s="198" t="n"/>
      <c r="CQ270" s="198" t="n"/>
      <c r="CR270" s="198" t="n"/>
      <c r="CS270" s="198" t="n"/>
      <c r="CT270" s="197">
        <f>IF(AND($D270&gt;0,AR270=""),1,0)</f>
        <v/>
      </c>
      <c r="CU270" s="197">
        <f>IF(AND($D270&gt;0,AS270=""),1,IF(AS270&gt;$D270,1,0))</f>
        <v/>
      </c>
      <c r="CV270" s="197">
        <f>IF(AND($D270&gt;0,AT270=""),1,IF(AT270&gt;$D270,1,0))</f>
        <v/>
      </c>
      <c r="CW270" s="197">
        <f>IF(AND($D270&gt;0,AU270=""),1,IF(AU270&gt;$D270,1,0))</f>
        <v/>
      </c>
      <c r="CX270" s="198" t="n"/>
      <c r="CY270" s="197">
        <f>IF(AND($D270&gt;0,AW270=""),1,IF(AW270&gt;$D270,1,0))</f>
        <v/>
      </c>
      <c r="CZ270" s="197">
        <f>IF(AND($D270&gt;0,AX270=""),1,IF(AX270&gt;$D270,1,0))</f>
        <v/>
      </c>
    </row>
    <row r="271" ht="15" customHeight="1" s="8286">
      <c r="A271" s="10236" t="inlineStr">
        <is>
          <t>Ortodoncia y ortopedia dento maxilofacial: Aparatología fija</t>
        </is>
      </c>
      <c r="B271" s="8445" t="inlineStr">
        <is>
          <t xml:space="preserve">Consulta nueva  </t>
        </is>
      </c>
      <c r="C271" s="10281" t="n"/>
      <c r="D271" s="2957">
        <f>SUM(E271+F271)</f>
        <v/>
      </c>
      <c r="E271" s="845">
        <f>SUM(G271++I271+K271+M271+O271+Q271+S271+U271+W271+Y271+AA271+AC271+AE271+AG271+AI271+AK271)</f>
        <v/>
      </c>
      <c r="F271" s="2715">
        <f>SUM(H271++J271+L271+N271+P271+R271+T271+V271+X271+Z271+AB271+AD271+AF271+AH271+AJ271+AL271)</f>
        <v/>
      </c>
      <c r="G271" s="2987" t="n"/>
      <c r="H271" s="764" t="n"/>
      <c r="I271" s="1945" t="n"/>
      <c r="J271" s="764" t="n"/>
      <c r="K271" s="1945" t="n"/>
      <c r="L271" s="764" t="n"/>
      <c r="M271" s="1945" t="n"/>
      <c r="N271" s="764" t="n"/>
      <c r="O271" s="1945" t="n"/>
      <c r="P271" s="764" t="n"/>
      <c r="Q271" s="1945" t="n"/>
      <c r="R271" s="764" t="n"/>
      <c r="S271" s="1945" t="n"/>
      <c r="T271" s="1278" t="n"/>
      <c r="U271" s="2987" t="n"/>
      <c r="V271" s="764" t="n"/>
      <c r="W271" s="2987" t="n"/>
      <c r="X271" s="764" t="n"/>
      <c r="Y271" s="2987" t="n"/>
      <c r="Z271" s="764" t="n"/>
      <c r="AA271" s="2987" t="n"/>
      <c r="AB271" s="764" t="n"/>
      <c r="AC271" s="2987" t="n"/>
      <c r="AD271" s="764" t="n"/>
      <c r="AE271" s="2987" t="n"/>
      <c r="AF271" s="764" t="n"/>
      <c r="AG271" s="2987" t="n"/>
      <c r="AH271" s="764" t="n"/>
      <c r="AI271" s="2987" t="n"/>
      <c r="AJ271" s="764" t="n"/>
      <c r="AK271" s="2430" t="n"/>
      <c r="AL271" s="2429" t="n"/>
      <c r="AM271" s="2430" t="n"/>
      <c r="AN271" s="2401" t="n"/>
      <c r="AO271" s="2427" t="n"/>
      <c r="AP271" s="764" t="n"/>
      <c r="AQ271" s="5227" t="n"/>
      <c r="AR271" s="5239" t="n"/>
      <c r="AS271" s="5234" t="n"/>
      <c r="AT271" s="5239" t="n"/>
      <c r="AU271" s="1278" t="n"/>
      <c r="AV271" s="2981" t="n"/>
      <c r="AW271" s="5239" t="n"/>
      <c r="AX271" s="1278" t="n"/>
      <c r="AY271">
        <f>CA271&amp;CB271&amp;CC271&amp;CD271&amp;CE271&amp;CF271&amp;CG271&amp;CH271&amp;CI271&amp;CJ271&amp;CK271&amp;CL271</f>
        <v/>
      </c>
      <c r="CA271" s="198" t="n"/>
      <c r="CB271" s="198" t="n"/>
      <c r="CC271" s="196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>
        <f>IF(AND($D271&gt;0,AQ271="")," * No olvide digitar la variable Inasistente. Digite cero si no tiene.",IF(AQ271&gt;$D271," * La variable Insasistente no puede superar el Total Ambos Sexos.",""))</f>
        <v/>
      </c>
      <c r="CF271" s="196">
        <f>IF(AND($D271&gt;0,AR271="")," * No olvide digitar la variable Compra de Servicio. Digite Cero si no tiene.","")</f>
        <v/>
      </c>
      <c r="CG271" s="198" t="n"/>
      <c r="CH271" s="196">
        <f>IF(AND($D271&gt;0,AT271="")," * No olvide digitar la variable Usuarios con Discapacidad. Digite Cero si no tiene.",IF(AT271&gt;$D271," * La variable Usuarios con Discapacidad no puede superar el Total Ambos Sexos.",""))</f>
        <v/>
      </c>
      <c r="CI271" s="196">
        <f>IF(AND($D271&gt;0,AU271="")," * No olvide digitar la variable Usuarios Oncológicos. Digite Cero si no tiene.",IF(AU271&gt;$D271," * La variable Usuarios Oncológicos no puede superar el Total Ambos Sexos.",""))</f>
        <v/>
      </c>
      <c r="CJ271" s="198" t="n"/>
      <c r="CK271" s="196">
        <f>IF(AND($D271&gt;0,AW271="")," * No olvide digitar la variable Migrantes. Digite Cero si no tiene.",IF(AW271&gt;$D271," * La variable Migrantes no puede superar el Total Ambos Sexos.",""))</f>
        <v/>
      </c>
      <c r="CL271" s="196">
        <f>IF(AND($D271&gt;0,AX271=""),"  * No olvide digitar la variable Pueblo Originario. Digite Cero si no tiene.",IF(AX271&gt;$D271," * La variable Pueblo Originario no puede superar el Total Ambos Sexos.",""))</f>
        <v/>
      </c>
      <c r="CO271" s="198" t="n"/>
      <c r="CP271" s="198" t="n"/>
      <c r="CQ271" s="197">
        <f>IF(AND($D271&gt;0,AO271=""),1,IF(AO271&gt;$D271,1,0))</f>
        <v/>
      </c>
      <c r="CR271" s="197">
        <f>IF(AND($D271&gt;0,AP271=""),1,IF(AP271&gt;$D271,1,0))</f>
        <v/>
      </c>
      <c r="CS271" s="197">
        <f>IF(AND($D271&gt;0,AQ271=""),1,IF(AQ271&gt;$D271,1,0))</f>
        <v/>
      </c>
      <c r="CT271" s="197">
        <f>IF(AND($D271&gt;0,AR271=""),1,0)</f>
        <v/>
      </c>
      <c r="CU271" s="198" t="n"/>
      <c r="CV271" s="197">
        <f>IF(AND($D271&gt;0,AT271=""),1,IF(AT271&gt;$D271,1,0))</f>
        <v/>
      </c>
      <c r="CW271" s="197">
        <f>IF(AND($D271&gt;0,AU271=""),1,IF(AU271&gt;$D271,1,0))</f>
        <v/>
      </c>
      <c r="CX271" s="198" t="n"/>
      <c r="CY271" s="197">
        <f>IF(AND($D271&gt;0,AW271=""),1,IF(AW271&gt;$D271,1,0))</f>
        <v/>
      </c>
      <c r="CZ271" s="197">
        <f>IF(AND($D271&gt;0,AX271=""),1,IF(AX271&gt;$D271,1,0))</f>
        <v/>
      </c>
    </row>
    <row r="272" ht="15" customHeight="1" s="8286">
      <c r="A272" s="9588" t="n"/>
      <c r="B272" s="8748" t="inlineStr">
        <is>
          <t xml:space="preserve">Control  </t>
        </is>
      </c>
      <c r="C272" s="9644" t="n"/>
      <c r="D272" s="2989">
        <f>SUM(E272+F272)</f>
        <v/>
      </c>
      <c r="E272" s="2990">
        <f>SUM(G272++I272+K272+M272+O272+Q272+S272+U272+W272+Y272+AA272+AC272+AE272+AG272+AI272+AK272)</f>
        <v/>
      </c>
      <c r="F272" s="2803">
        <f>SUM(H272++J272+L272+N272+P272+R272+T272+V272+X272+Z272+AB272+AD272+AF272+AH272+AJ272+AL272)</f>
        <v/>
      </c>
      <c r="G272" s="2991" t="n"/>
      <c r="H272" s="2992" t="n"/>
      <c r="I272" s="2993" t="n"/>
      <c r="J272" s="2992" t="n"/>
      <c r="K272" s="2993" t="n"/>
      <c r="L272" s="2992" t="n"/>
      <c r="M272" s="2993" t="n"/>
      <c r="N272" s="2992" t="n"/>
      <c r="O272" s="2993" t="n"/>
      <c r="P272" s="2992" t="n"/>
      <c r="Q272" s="2993" t="n"/>
      <c r="R272" s="2992" t="n"/>
      <c r="S272" s="2993" t="n"/>
      <c r="T272" s="1275" t="n"/>
      <c r="U272" s="2991" t="n"/>
      <c r="V272" s="2992" t="n"/>
      <c r="W272" s="2991" t="n"/>
      <c r="X272" s="2992" t="n"/>
      <c r="Y272" s="2991" t="n"/>
      <c r="Z272" s="2992" t="n"/>
      <c r="AA272" s="2991" t="n"/>
      <c r="AB272" s="2992" t="n"/>
      <c r="AC272" s="2991" t="n"/>
      <c r="AD272" s="2992" t="n"/>
      <c r="AE272" s="2991" t="n"/>
      <c r="AF272" s="2992" t="n"/>
      <c r="AG272" s="2991" t="n"/>
      <c r="AH272" s="2992" t="n"/>
      <c r="AI272" s="2991" t="n"/>
      <c r="AJ272" s="2992" t="n"/>
      <c r="AK272" s="2993" t="n"/>
      <c r="AL272" s="3015" t="n"/>
      <c r="AM272" s="2993" t="n"/>
      <c r="AN272" s="1275" t="n"/>
      <c r="AO272" s="2980" t="n"/>
      <c r="AP272" s="2981" t="n"/>
      <c r="AQ272" s="5228" t="n"/>
      <c r="AR272" s="3951" t="n"/>
      <c r="AS272" s="5234" t="n"/>
      <c r="AT272" s="3951" t="n"/>
      <c r="AU272" s="1275" t="n"/>
      <c r="AV272" s="2981" t="n"/>
      <c r="AW272" s="3951" t="n"/>
      <c r="AX272" s="1275" t="n"/>
      <c r="AY272">
        <f>CA272&amp;CB272&amp;CC272&amp;CD272&amp;CE272&amp;CF272&amp;CG272&amp;CH272&amp;CI272&amp;CJ272&amp;CK272&amp;CL272</f>
        <v/>
      </c>
      <c r="CA272" s="198" t="n"/>
      <c r="CB272" s="198" t="n"/>
      <c r="CC272" s="198" t="n"/>
      <c r="CD272" s="198" t="n"/>
      <c r="CE272" s="196">
        <f>IF(AND($D272&gt;0,AQ272="")," * No olvide digitar la variable Inasistente. Digite cero si no tiene.",IF(AQ272&gt;$D272," * La variable Insasistente no puede superar el Total Ambos Sexos.",""))</f>
        <v/>
      </c>
      <c r="CF272" s="196">
        <f>IF(AND($D272&gt;0,AR272="")," * No olvide digitar la variable Compra de Servicio. Digite Cero si no tiene.","")</f>
        <v/>
      </c>
      <c r="CG272" s="198" t="n"/>
      <c r="CH272" s="196">
        <f>IF(AND($D272&gt;0,AT272="")," * No olvide digitar la variable Usuarios con Discapacidad. Digite Cero si no tiene.",IF(AT272&gt;$D272," * La variable Usuarios con Discapacidad no puede superar el Total Ambos Sexos.",""))</f>
        <v/>
      </c>
      <c r="CI272" s="196">
        <f>IF(AND($D272&gt;0,AU272="")," * No olvide digitar la variable Usuarios Oncológicos. Digite Cero si no tiene.",IF(AU272&gt;$D272," * La variable Usuarios Oncológicos no puede superar el Total Ambos Sexos.",""))</f>
        <v/>
      </c>
      <c r="CJ272" s="198" t="n"/>
      <c r="CK272" s="196">
        <f>IF(AND($D272&gt;0,AW272="")," * No olvide digitar la variable Migrantes. Digite Cero si no tiene.",IF(AW272&gt;$D272," * La variable Migrantes no puede superar el Total Ambos Sexos.",""))</f>
        <v/>
      </c>
      <c r="CL272" s="196">
        <f>IF(AND($D272&gt;0,AX272=""),"  * No olvide digitar la variable Pueblo Originario. Digite Cero si no tiene.",IF(AX272&gt;$D272," * La variable Pueblo Originario no puede superar el Total Ambos Sexos.",""))</f>
        <v/>
      </c>
      <c r="CO272" s="198" t="n"/>
      <c r="CP272" s="198" t="n"/>
      <c r="CQ272" s="198" t="n"/>
      <c r="CR272" s="198" t="n"/>
      <c r="CS272" s="197">
        <f>IF(AND($D272&gt;0,AQ272=""),1,IF(AQ272&gt;$D272,1,0))</f>
        <v/>
      </c>
      <c r="CT272" s="197">
        <f>IF(AND($D272&gt;0,AR272=""),1,0)</f>
        <v/>
      </c>
      <c r="CU272" s="198" t="n"/>
      <c r="CV272" s="197">
        <f>IF(AND($D272&gt;0,AT272=""),1,IF(AT272&gt;$D272,1,0))</f>
        <v/>
      </c>
      <c r="CW272" s="197">
        <f>IF(AND($D272&gt;0,AU272=""),1,IF(AU272&gt;$D272,1,0))</f>
        <v/>
      </c>
      <c r="CX272" s="198" t="n"/>
      <c r="CY272" s="197">
        <f>IF(AND($D272&gt;0,AW272=""),1,IF(AW272&gt;$D272,1,0))</f>
        <v/>
      </c>
      <c r="CZ272" s="197">
        <f>IF(AND($D272&gt;0,AX272=""),1,IF(AX272&gt;$D272,1,0))</f>
        <v/>
      </c>
    </row>
    <row r="273" ht="15" customHeight="1" s="8286">
      <c r="A273" s="9588" t="n"/>
      <c r="B273" s="8748" t="inlineStr">
        <is>
          <t xml:space="preserve">Ingreso a tratamiento </t>
        </is>
      </c>
      <c r="C273" s="9644" t="n"/>
      <c r="D273" s="2989">
        <f>SUM(E273+F273)</f>
        <v/>
      </c>
      <c r="E273" s="2990">
        <f>SUM(G273++I273+K273+M273+O273+Q273+S273+U273+W273+Y273+AA273+AC273+AE273+AG273+AI273+AK273)</f>
        <v/>
      </c>
      <c r="F273" s="2803">
        <f>SUM(H273++J273+L273+N273+P273+R273+T273+V273+X273+Z273+AB273+AD273+AF273+AH273+AJ273+AL273)</f>
        <v/>
      </c>
      <c r="G273" s="2991" t="n"/>
      <c r="H273" s="2992" t="n"/>
      <c r="I273" s="2993" t="n"/>
      <c r="J273" s="2992" t="n"/>
      <c r="K273" s="2993" t="n"/>
      <c r="L273" s="2992" t="n"/>
      <c r="M273" s="2993" t="n"/>
      <c r="N273" s="2992" t="n"/>
      <c r="O273" s="2993" t="n"/>
      <c r="P273" s="2992" t="n"/>
      <c r="Q273" s="2993" t="n"/>
      <c r="R273" s="2992" t="n"/>
      <c r="S273" s="2993" t="n"/>
      <c r="T273" s="1275" t="n"/>
      <c r="U273" s="2993" t="n"/>
      <c r="V273" s="2992" t="n"/>
      <c r="W273" s="2993" t="n"/>
      <c r="X273" s="2992" t="n"/>
      <c r="Y273" s="2993" t="n"/>
      <c r="Z273" s="2992" t="n"/>
      <c r="AA273" s="2993" t="n"/>
      <c r="AB273" s="2992" t="n"/>
      <c r="AC273" s="2993" t="n"/>
      <c r="AD273" s="2992" t="n"/>
      <c r="AE273" s="2993" t="n"/>
      <c r="AF273" s="2992" t="n"/>
      <c r="AG273" s="2993" t="n"/>
      <c r="AH273" s="2992" t="n"/>
      <c r="AI273" s="2993" t="n"/>
      <c r="AJ273" s="2992" t="n"/>
      <c r="AK273" s="2993" t="n"/>
      <c r="AL273" s="3015" t="n"/>
      <c r="AM273" s="2993" t="n"/>
      <c r="AN273" s="1275" t="n"/>
      <c r="AO273" s="2980" t="n"/>
      <c r="AP273" s="2981" t="n"/>
      <c r="AQ273" s="5226" t="n"/>
      <c r="AR273" s="3951" t="n"/>
      <c r="AS273" s="5234" t="n"/>
      <c r="AT273" s="3951" t="n"/>
      <c r="AU273" s="1275" t="n"/>
      <c r="AV273" s="2981" t="n"/>
      <c r="AW273" s="3951" t="n"/>
      <c r="AX273" s="1275" t="n"/>
      <c r="AY273">
        <f>CA273&amp;CB273&amp;CC273&amp;CD273&amp;CE273&amp;CF273&amp;CG273&amp;CH273&amp;CI273&amp;CJ273&amp;CK273&amp;CL273</f>
        <v/>
      </c>
      <c r="CA273" s="198" t="n"/>
      <c r="CB273" s="198" t="n"/>
      <c r="CC273" s="198" t="n"/>
      <c r="CD273" s="198" t="n"/>
      <c r="CE273" s="198" t="n"/>
      <c r="CF273" s="196">
        <f>IF(AND($D273&gt;0,AR273="")," * No olvide digitar la variable Compra de Servicio. Digite Cero si no tiene.","")</f>
        <v/>
      </c>
      <c r="CG273" s="198" t="n"/>
      <c r="CH273" s="196">
        <f>IF(AND($D273&gt;0,AT273="")," * No olvide digitar la variable Usuarios con Discapacidad. Digite Cero si no tiene.",IF(AT273&gt;$D273," * La variable Usuarios con Discapacidad no puede superar el Total Ambos Sexos.",""))</f>
        <v/>
      </c>
      <c r="CI273" s="196">
        <f>IF(AND($D273&gt;0,AU273="")," * No olvide digitar la variable Usuarios Oncológicos. Digite Cero si no tiene.",IF(AU273&gt;$D273," * La variable Usuarios Oncológicos no puede superar el Total Ambos Sexos.",""))</f>
        <v/>
      </c>
      <c r="CJ273" s="198" t="n"/>
      <c r="CK273" s="196">
        <f>IF(AND($D273&gt;0,AW273="")," * No olvide digitar la variable Migrantes. Digite Cero si no tiene.",IF(AW273&gt;$D273," * La variable Migrantes no puede superar el Total Ambos Sexos.",""))</f>
        <v/>
      </c>
      <c r="CL273" s="196">
        <f>IF(AND($D273&gt;0,AX273=""),"  * No olvide digitar la variable Pueblo Originario. Digite Cero si no tiene.",IF(AX273&gt;$D273," * La variable Pueblo Originario no puede superar el Total Ambos Sexos.",""))</f>
        <v/>
      </c>
      <c r="CO273" s="198" t="n"/>
      <c r="CP273" s="198" t="n"/>
      <c r="CQ273" s="198" t="n"/>
      <c r="CR273" s="198" t="n"/>
      <c r="CS273" s="198" t="n"/>
      <c r="CT273" s="197">
        <f>IF(AND($D273&gt;0,AR273=""),1,0)</f>
        <v/>
      </c>
      <c r="CU273" s="198" t="n"/>
      <c r="CV273" s="197">
        <f>IF(AND($D273&gt;0,AT273=""),1,IF(AT273&gt;$D273,1,0))</f>
        <v/>
      </c>
      <c r="CW273" s="197">
        <f>IF(AND($D273&gt;0,AU273=""),1,IF(AU273&gt;$D273,1,0))</f>
        <v/>
      </c>
      <c r="CX273" s="198" t="n"/>
      <c r="CY273" s="197">
        <f>IF(AND($D273&gt;0,AW273=""),1,IF(AW273&gt;$D273,1,0))</f>
        <v/>
      </c>
      <c r="CZ273" s="197">
        <f>IF(AND($D273&gt;0,AX273=""),1,IF(AX273&gt;$D273,1,0))</f>
        <v/>
      </c>
    </row>
    <row r="274" ht="15" customHeight="1" s="8286">
      <c r="A274" s="9588" t="n"/>
      <c r="B274" s="8748" t="inlineStr">
        <is>
          <t xml:space="preserve">Altas de tratamiento </t>
        </is>
      </c>
      <c r="C274" s="9644" t="n"/>
      <c r="D274" s="2989">
        <f>SUM(E274+F274)</f>
        <v/>
      </c>
      <c r="E274" s="366">
        <f>SUM(G274++I274+K274+M274+O274+Q274+S274+U274+W274+Y274+AA274+AC274+AE274+AG274+AI274+AK274)</f>
        <v/>
      </c>
      <c r="F274" s="3016">
        <f>SUM(H274++J274+L274+N274+P274+R274+T274+V274+X274+Z274+AB274+AD274+AF274+AH274+AJ274+AL274)</f>
        <v/>
      </c>
      <c r="G274" s="2997" t="n"/>
      <c r="H274" s="2998" t="n"/>
      <c r="I274" s="1949" t="n"/>
      <c r="J274" s="2998" t="n"/>
      <c r="K274" s="1949" t="n"/>
      <c r="L274" s="2998" t="n"/>
      <c r="M274" s="1949" t="n"/>
      <c r="N274" s="2998" t="n"/>
      <c r="O274" s="1949" t="n"/>
      <c r="P274" s="2998" t="n"/>
      <c r="Q274" s="1949" t="n"/>
      <c r="R274" s="2998" t="n"/>
      <c r="S274" s="1949" t="n"/>
      <c r="T274" s="1950" t="n"/>
      <c r="U274" s="1949" t="n"/>
      <c r="V274" s="2998" t="n"/>
      <c r="W274" s="1949" t="n"/>
      <c r="X274" s="2998" t="n"/>
      <c r="Y274" s="1949" t="n"/>
      <c r="Z274" s="2998" t="n"/>
      <c r="AA274" s="1949" t="n"/>
      <c r="AB274" s="2998" t="n"/>
      <c r="AC274" s="1949" t="n"/>
      <c r="AD274" s="2998" t="n"/>
      <c r="AE274" s="1949" t="n"/>
      <c r="AF274" s="2998" t="n"/>
      <c r="AG274" s="1949" t="n"/>
      <c r="AH274" s="2998" t="n"/>
      <c r="AI274" s="1949" t="n"/>
      <c r="AJ274" s="2998" t="n"/>
      <c r="AK274" s="1949" t="n"/>
      <c r="AL274" s="3017" t="n"/>
      <c r="AM274" s="1949" t="n"/>
      <c r="AN274" s="1950" t="n"/>
      <c r="AO274" s="2980" t="n"/>
      <c r="AP274" s="2981" t="n"/>
      <c r="AQ274" s="5226" t="n"/>
      <c r="AR274" s="5240" t="n"/>
      <c r="AS274" s="5234" t="n"/>
      <c r="AT274" s="5240" t="n"/>
      <c r="AU274" s="1950" t="n"/>
      <c r="AV274" s="1275" t="n"/>
      <c r="AW274" s="5240" t="n"/>
      <c r="AX274" s="1950" t="n"/>
      <c r="AY274">
        <f>CA274&amp;CB274&amp;CC274&amp;CD274&amp;CE274&amp;CF274&amp;CG274&amp;CH274&amp;CI274&amp;CJ274&amp;CK274&amp;CL274</f>
        <v/>
      </c>
      <c r="CA274" s="198" t="n"/>
      <c r="CB274" s="198" t="n"/>
      <c r="CC274" s="198" t="n"/>
      <c r="CD274" s="198" t="n"/>
      <c r="CE274" s="198" t="n"/>
      <c r="CF274" s="196">
        <f>IF(AND($D274&gt;0,AR274="")," * No olvide digitar la variable Compra de Servicio. Digite Cero si no tiene.","")</f>
        <v/>
      </c>
      <c r="CG274" s="198" t="n"/>
      <c r="CH274" s="196">
        <f>IF(AND($D274&gt;0,AT274="")," * No olvide digitar la variable Usuarios con Discapacidad. Digite Cero si no tiene.",IF(AT274&gt;$D274," * La variable Usuarios con Discapacidad no puede superar el Total Ambos Sexos.",""))</f>
        <v/>
      </c>
      <c r="CI274" s="196">
        <f>IF(AND($D274&gt;0,AU274="")," * No olvide digitar la variable Usuarios Oncológicos. Digite Cero si no tiene.",IF(AU274&gt;$D274," * La variable Usuarios Oncológicos no puede superar el Total Ambos Sexos.",""))</f>
        <v/>
      </c>
      <c r="CJ274" s="196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>
        <f>IF(AND($D274&gt;0,AW274="")," * No olvide digitar la variable Migrantes. Digite Cero si no tiene.",IF(AW274&gt;$D274," * La variable Migrantes no puede superar el Total Ambos Sexos.",""))</f>
        <v/>
      </c>
      <c r="CL274" s="196">
        <f>IF(AND($D274&gt;0,AX274=""),"  * No olvide digitar la variable Pueblo Originario. Digite Cero si no tiene.",IF(AX274&gt;$D274," * La variable Pueblo Originario no puede superar el Total Ambos Sexos.",""))</f>
        <v/>
      </c>
      <c r="CO274" s="198" t="n"/>
      <c r="CP274" s="198" t="n"/>
      <c r="CQ274" s="198" t="n"/>
      <c r="CR274" s="198" t="n"/>
      <c r="CS274" s="198" t="n"/>
      <c r="CT274" s="197">
        <f>IF(AND($D274&gt;0,AR274=""),1,0)</f>
        <v/>
      </c>
      <c r="CU274" s="198" t="n"/>
      <c r="CV274" s="197">
        <f>IF(AND($D274&gt;0,AT274=""),1,IF(AT274&gt;$D274,1,0))</f>
        <v/>
      </c>
      <c r="CW274" s="197">
        <f>IF(AND($D274&gt;0,AU274=""),1,IF(AU274&gt;$D274,1,0))</f>
        <v/>
      </c>
      <c r="CX274" s="197">
        <f>IF(AND($D274&gt;0,AV274=""),1,IF(AV274&gt;$D274,1,0))</f>
        <v/>
      </c>
      <c r="CY274" s="197">
        <f>IF(AND($D274&gt;0,AW274=""),1,IF(AW274&gt;$D274,1,0))</f>
        <v/>
      </c>
      <c r="CZ274" s="197">
        <f>IF(AND($D274&gt;0,AX274=""),1,IF(AX274&gt;$D274,1,0))</f>
        <v/>
      </c>
    </row>
    <row r="275" ht="15" customHeight="1" s="8286">
      <c r="A275" s="9588" t="n"/>
      <c r="B275" s="8748" t="inlineStr">
        <is>
          <t xml:space="preserve">Control de especialidad post alta </t>
        </is>
      </c>
      <c r="C275" s="9644" t="n"/>
      <c r="D275" s="2989">
        <f>SUM(E275+F275)</f>
        <v/>
      </c>
      <c r="E275" s="2990">
        <f>SUM(G275++I275+K275+M275+O275+Q275+S275+U275+W275+Y275+AA275+AC275+AE275+AG275+AI275+AK275)</f>
        <v/>
      </c>
      <c r="F275" s="3014">
        <f>SUM(H275++J275+L275+N275+P275+R275+T275+V275+X275+Z275+AB275+AD275+AF275+AH275+AJ275+AL275)</f>
        <v/>
      </c>
      <c r="G275" s="1949" t="n"/>
      <c r="H275" s="2998" t="n"/>
      <c r="I275" s="1949" t="n"/>
      <c r="J275" s="2998" t="n"/>
      <c r="K275" s="1949" t="n"/>
      <c r="L275" s="2998" t="n"/>
      <c r="M275" s="1949" t="n"/>
      <c r="N275" s="2998" t="n"/>
      <c r="O275" s="1949" t="n"/>
      <c r="P275" s="2998" t="n"/>
      <c r="Q275" s="1949" t="n"/>
      <c r="R275" s="2998" t="n"/>
      <c r="S275" s="1949" t="n"/>
      <c r="T275" s="1950" t="n"/>
      <c r="U275" s="1949" t="n"/>
      <c r="V275" s="2998" t="n"/>
      <c r="W275" s="1949" t="n"/>
      <c r="X275" s="2998" t="n"/>
      <c r="Y275" s="1949" t="n"/>
      <c r="Z275" s="2998" t="n"/>
      <c r="AA275" s="1949" t="n"/>
      <c r="AB275" s="2998" t="n"/>
      <c r="AC275" s="1949" t="n"/>
      <c r="AD275" s="2998" t="n"/>
      <c r="AE275" s="1949" t="n"/>
      <c r="AF275" s="2998" t="n"/>
      <c r="AG275" s="1949" t="n"/>
      <c r="AH275" s="2998" t="n"/>
      <c r="AI275" s="1949" t="n"/>
      <c r="AJ275" s="2998" t="n"/>
      <c r="AK275" s="1949" t="n"/>
      <c r="AL275" s="3017" t="n"/>
      <c r="AM275" s="1949" t="n"/>
      <c r="AN275" s="1950" t="n"/>
      <c r="AO275" s="2980" t="n"/>
      <c r="AP275" s="2981" t="n"/>
      <c r="AQ275" s="365" t="n"/>
      <c r="AR275" s="5240" t="n"/>
      <c r="AS275" s="5235" t="n"/>
      <c r="AT275" s="5240" t="n"/>
      <c r="AU275" s="1950" t="n"/>
      <c r="AV275" s="3001" t="n"/>
      <c r="AW275" s="5240" t="n"/>
      <c r="AX275" s="1950" t="n"/>
      <c r="AY275">
        <f>CA275&amp;CB275&amp;CC275&amp;CD275&amp;CE275&amp;CF275&amp;CG275&amp;CH275&amp;CI275&amp;CJ275&amp;CK275&amp;CL275</f>
        <v/>
      </c>
      <c r="CA275" s="198" t="n"/>
      <c r="CB275" s="198" t="n"/>
      <c r="CC275" s="198" t="n"/>
      <c r="CD275" s="198" t="n"/>
      <c r="CE275" s="198" t="n"/>
      <c r="CF275" s="196">
        <f>IF(AND($D275&gt;0,AR275="")," * No olvide digitar la variable Compra de Servicio. Digite Cero si no tiene.","")</f>
        <v/>
      </c>
      <c r="CG275" s="198" t="n"/>
      <c r="CH275" s="196">
        <f>IF(AND($D275&gt;0,AT275="")," * No olvide digitar la variable Usuarios con Discapacidad. Digite Cero si no tiene.",IF(AT275&gt;$D275," * La variable Usuarios con Discapacidad no puede superar el Total Ambos Sexos.",""))</f>
        <v/>
      </c>
      <c r="CI275" s="196">
        <f>IF(AND($D275&gt;0,AU275="")," * No olvide digitar la variable Usuarios Oncológicos. Digite Cero si no tiene.",IF(AU275&gt;$D275," * La variable Usuarios Oncológicos no puede superar el Total Ambos Sexos.",""))</f>
        <v/>
      </c>
      <c r="CJ275" s="198" t="n"/>
      <c r="CK275" s="196">
        <f>IF(AND($D275&gt;0,AW275="")," * No olvide digitar la variable Migrantes. Digite Cero si no tiene.",IF(AW275&gt;$D275," * La variable Migrantes no puede superar el Total Ambos Sexos.",""))</f>
        <v/>
      </c>
      <c r="CL275" s="196">
        <f>IF(AND($D275&gt;0,AX275=""),"  * No olvide digitar la variable Pueblo Originario. Digite Cero si no tiene.",IF(AX275&gt;$D275," * La variable Pueblo Originario no puede superar el Total Ambos Sexos.",""))</f>
        <v/>
      </c>
      <c r="CO275" s="198" t="n"/>
      <c r="CP275" s="198" t="n"/>
      <c r="CQ275" s="198" t="n"/>
      <c r="CR275" s="198" t="n"/>
      <c r="CS275" s="198" t="n"/>
      <c r="CT275" s="197">
        <f>IF(AND($D275&gt;0,AR275=""),1,0)</f>
        <v/>
      </c>
      <c r="CU275" s="198" t="n"/>
      <c r="CV275" s="197">
        <f>IF(AND($D275&gt;0,AT275=""),1,IF(AT275&gt;$D275,1,0))</f>
        <v/>
      </c>
      <c r="CW275" s="197">
        <f>IF(AND($D275&gt;0,AU275=""),1,IF(AU275&gt;$D275,1,0))</f>
        <v/>
      </c>
      <c r="CX275" s="198" t="n"/>
      <c r="CY275" s="197">
        <f>IF(AND($D275&gt;0,AW275=""),1,IF(AW275&gt;$D275,1,0))</f>
        <v/>
      </c>
      <c r="CZ275" s="197">
        <f>IF(AND($D275&gt;0,AX275=""),1,IF(AX275&gt;$D275,1,0))</f>
        <v/>
      </c>
    </row>
    <row r="276" ht="14.25" customHeight="1" s="8286">
      <c r="A276" s="9589" t="n"/>
      <c r="B276" s="10282" t="inlineStr">
        <is>
          <t xml:space="preserve">Altas administrativas </t>
        </is>
      </c>
      <c r="C276" s="9710" t="n"/>
      <c r="D276" s="1202">
        <f>SUM(E276+F276)</f>
        <v/>
      </c>
      <c r="E276" s="800">
        <f>SUM(G276++I276+K276+M276+O276+Q276+S276+U276+W276+Y276+AA276+AC276+AE276+AG276+AI276+AK276)</f>
        <v/>
      </c>
      <c r="F276" s="765">
        <f>SUM(H276++J276+L276+N276+P276+R276+T276+V276+X276+Z276+AB276+AD276+AF276+AH276+AJ276+AL276)</f>
        <v/>
      </c>
      <c r="G276" s="1348" t="n"/>
      <c r="H276" s="2983" t="n"/>
      <c r="I276" s="1348" t="n"/>
      <c r="J276" s="2983" t="n"/>
      <c r="K276" s="1348" t="n"/>
      <c r="L276" s="2983" t="n"/>
      <c r="M276" s="1348" t="n"/>
      <c r="N276" s="2983" t="n"/>
      <c r="O276" s="1348" t="n"/>
      <c r="P276" s="2983" t="n"/>
      <c r="Q276" s="1348" t="n"/>
      <c r="R276" s="2983" t="n"/>
      <c r="S276" s="1348" t="n"/>
      <c r="T276" s="1277" t="n"/>
      <c r="U276" s="1276" t="n"/>
      <c r="V276" s="2983" t="n"/>
      <c r="W276" s="1276" t="n"/>
      <c r="X276" s="2983" t="n"/>
      <c r="Y276" s="1276" t="n"/>
      <c r="Z276" s="2983" t="n"/>
      <c r="AA276" s="1276" t="n"/>
      <c r="AB276" s="2983" t="n"/>
      <c r="AC276" s="1276" t="n"/>
      <c r="AD276" s="2983" t="n"/>
      <c r="AE276" s="1276" t="n"/>
      <c r="AF276" s="2983" t="n"/>
      <c r="AG276" s="1276" t="n"/>
      <c r="AH276" s="2983" t="n"/>
      <c r="AI276" s="1276" t="n"/>
      <c r="AJ276" s="2983" t="n"/>
      <c r="AK276" s="1348" t="n"/>
      <c r="AL276" s="1349" t="n"/>
      <c r="AM276" s="1348" t="n"/>
      <c r="AN276" s="1277" t="n"/>
      <c r="AO276" s="3002" t="n"/>
      <c r="AP276" s="2985" t="n"/>
      <c r="AQ276" s="3003" t="n"/>
      <c r="AR276" s="1967" t="n"/>
      <c r="AS276" s="5233" t="n"/>
      <c r="AT276" s="1967" t="n"/>
      <c r="AU276" s="1277" t="n"/>
      <c r="AV276" s="2985" t="n"/>
      <c r="AW276" s="1967" t="n"/>
      <c r="AX276" s="1277" t="n"/>
      <c r="AY276">
        <f>CA276&amp;CB276&amp;CC276&amp;CD276&amp;CE276&amp;CF276&amp;CG276&amp;CH276&amp;CI276&amp;CJ276&amp;CK276&amp;CL276</f>
        <v/>
      </c>
      <c r="CA276" s="198" t="n"/>
      <c r="CB276" s="198" t="n"/>
      <c r="CC276" s="198" t="n"/>
      <c r="CD276" s="198" t="n"/>
      <c r="CE276" s="198" t="n"/>
      <c r="CF276" s="196">
        <f>IF(AND($D276&gt;0,AR276="")," * No olvide digitar la variable Compra de Servicio. Digite Cero si no tiene.","")</f>
        <v/>
      </c>
      <c r="CG276" s="198" t="n"/>
      <c r="CH276" s="196">
        <f>IF(AND($D276&gt;0,AT276="")," * No olvide digitar la variable Usuarios con Discapacidad. Digite Cero si no tiene.",IF(AT276&gt;$D276," * La variable Usuarios con Discapacidad no puede superar el Total Ambos Sexos.",""))</f>
        <v/>
      </c>
      <c r="CI276" s="196">
        <f>IF(AND($D276&gt;0,AU276="")," * No olvide digitar la variable Usuarios Oncológicos. Digite Cero si no tiene.",IF(AU276&gt;$D276," * La variable Usuarios Oncológicos no puede superar el Total Ambos Sexos.",""))</f>
        <v/>
      </c>
      <c r="CJ276" s="198" t="n"/>
      <c r="CK276" s="196">
        <f>IF(AND($D276&gt;0,AW276="")," * No olvide digitar la variable Migrantes. Digite Cero si no tiene.",IF(AW276&gt;$D276," * La variable Migrantes no puede superar el Total Ambos Sexos.",""))</f>
        <v/>
      </c>
      <c r="CL276" s="196">
        <f>IF(AND($D276&gt;0,AX276=""),"  * No olvide digitar la variable Pueblo Originario. Digite Cero si no tiene.",IF(AX276&gt;$D276," * La variable Pueblo Originario no puede superar el Total Ambos Sexos.",""))</f>
        <v/>
      </c>
      <c r="CO276" s="198" t="n"/>
      <c r="CP276" s="198" t="n"/>
      <c r="CQ276" s="198" t="n"/>
      <c r="CR276" s="198" t="n"/>
      <c r="CS276" s="198" t="n"/>
      <c r="CT276" s="197">
        <f>IF(AND($D276&gt;0,AR276=""),1,0)</f>
        <v/>
      </c>
      <c r="CU276" s="198" t="n"/>
      <c r="CV276" s="197">
        <f>IF(AND($D276&gt;0,AT276=""),1,IF(AT276&gt;$D276,1,0))</f>
        <v/>
      </c>
      <c r="CW276" s="197">
        <f>IF(AND($D276&gt;0,AU276=""),1,IF(AU276&gt;$D276,1,0))</f>
        <v/>
      </c>
      <c r="CX276" s="198" t="n"/>
      <c r="CY276" s="197">
        <f>IF(AND($D276&gt;0,AW276=""),1,IF(AW276&gt;$D276,1,0))</f>
        <v/>
      </c>
      <c r="CZ276" s="197">
        <f>IF(AND($D276&gt;0,AX276=""),1,IF(AX276&gt;$D276,1,0))</f>
        <v/>
      </c>
    </row>
    <row r="277" ht="15" customHeight="1" s="8286">
      <c r="A277" s="10268" t="inlineStr">
        <is>
          <t>Ortodoncia y ortopedia dento maxilofacial: Aparatología removible</t>
        </is>
      </c>
      <c r="B277" s="8445" t="inlineStr">
        <is>
          <t xml:space="preserve">Consulta nueva  </t>
        </is>
      </c>
      <c r="C277" s="10281" t="n"/>
      <c r="D277" s="2957">
        <f>SUM(E277+F277)</f>
        <v/>
      </c>
      <c r="E277" s="845">
        <f>SUM(G277++I277+K277+M277+O277+Q277+S277+U277+W277+Y277+AA277+AC277+AE277+AG277+AI277+AK277)</f>
        <v/>
      </c>
      <c r="F277" s="2794">
        <f>SUM(H277++J277+L277+N277+P277+R277+T277+V277+X277+Z277+AB277+AD277+AF277+AH277+AJ277+AL277)</f>
        <v/>
      </c>
      <c r="G277" s="1945" t="n"/>
      <c r="H277" s="764" t="n"/>
      <c r="I277" s="1945" t="n"/>
      <c r="J277" s="764" t="n"/>
      <c r="K277" s="1945" t="n"/>
      <c r="L277" s="764" t="n"/>
      <c r="M277" s="1945" t="n"/>
      <c r="N277" s="764" t="n"/>
      <c r="O277" s="1945" t="n"/>
      <c r="P277" s="764" t="n"/>
      <c r="Q277" s="1945" t="n"/>
      <c r="R277" s="764" t="n"/>
      <c r="S277" s="1945" t="n"/>
      <c r="T277" s="1278" t="n"/>
      <c r="U277" s="3004" t="n"/>
      <c r="V277" s="3005" t="n"/>
      <c r="W277" s="3004" t="n"/>
      <c r="X277" s="3005" t="n"/>
      <c r="Y277" s="3004" t="n"/>
      <c r="Z277" s="3005" t="n"/>
      <c r="AA277" s="3004" t="n"/>
      <c r="AB277" s="3005" t="n"/>
      <c r="AC277" s="3004" t="n"/>
      <c r="AD277" s="3005" t="n"/>
      <c r="AE277" s="3004" t="n"/>
      <c r="AF277" s="3005" t="n"/>
      <c r="AG277" s="3004" t="n"/>
      <c r="AH277" s="3005" t="n"/>
      <c r="AI277" s="3004" t="n"/>
      <c r="AJ277" s="3005" t="n"/>
      <c r="AK277" s="2430" t="n"/>
      <c r="AL277" s="2429" t="n"/>
      <c r="AM277" s="2430" t="n"/>
      <c r="AN277" s="2401" t="n"/>
      <c r="AO277" s="2427" t="n"/>
      <c r="AP277" s="764" t="n"/>
      <c r="AQ277" s="5227" t="n"/>
      <c r="AR277" s="5239" t="n"/>
      <c r="AS277" s="5236" t="n"/>
      <c r="AT277" s="5239" t="n"/>
      <c r="AU277" s="1278" t="n"/>
      <c r="AV277" s="2981" t="n"/>
      <c r="AW277" s="5239" t="n"/>
      <c r="AX277" s="1278" t="n"/>
      <c r="AY277">
        <f>CA277&amp;CB277&amp;CC277&amp;CD277&amp;CE277&amp;CF277&amp;CG277&amp;CH277&amp;CI277&amp;CJ277&amp;CK277&amp;CL277</f>
        <v/>
      </c>
      <c r="CA277" s="198" t="n"/>
      <c r="CB277" s="198" t="n"/>
      <c r="CC277" s="196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>
        <f>IF(AND($D277&gt;0,AQ277="")," * No olvide digitar la variable Inasistente. Digite cero si no tiene.",IF(AQ277&gt;$D277," * La variable Insasistente no puede superar el Total Ambos Sexos.",""))</f>
        <v/>
      </c>
      <c r="CF277" s="196">
        <f>IF(AND($D277&gt;0,AR277="")," * No olvide digitar la variable Compra de Servicio. Digite Cero si no tiene.","")</f>
        <v/>
      </c>
      <c r="CG277" s="196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>
        <f>IF(AND($D277&gt;0,AT277="")," * No olvide digitar la variable Usuarios con Discapacidad. Digite Cero si no tiene.",IF(AT277&gt;$D277," * La variable Usuarios con Discapacidad no puede superar el Total Ambos Sexos.",""))</f>
        <v/>
      </c>
      <c r="CI277" s="196">
        <f>IF(AND($D277&gt;0,AU277="")," * No olvide digitar la variable Usuarios Oncológicos. Digite Cero si no tiene.",IF(AU277&gt;$D277," * La variable Usuarios Oncológicos no puede superar el Total Ambos Sexos.",""))</f>
        <v/>
      </c>
      <c r="CJ277" s="198" t="n"/>
      <c r="CK277" s="196">
        <f>IF(AND($D277&gt;0,AW277="")," * No olvide digitar la variable Migrantes. Digite Cero si no tiene.",IF(AW277&gt;$D277," * La variable Migrantes no puede superar el Total Ambos Sexos.",""))</f>
        <v/>
      </c>
      <c r="CL277" s="196">
        <f>IF(AND($D277&gt;0,AX277=""),"  * No olvide digitar la variable Pueblo Originario. Digite Cero si no tiene.",IF(AX277&gt;$D277," * La variable Pueblo Originario no puede superar el Total Ambos Sexos.",""))</f>
        <v/>
      </c>
      <c r="CO277" s="198" t="n"/>
      <c r="CP277" s="198" t="n"/>
      <c r="CQ277" s="197">
        <f>IF(AND($D277&gt;0,AO277=""),1,IF(AO277&gt;$D277,1,0))</f>
        <v/>
      </c>
      <c r="CR277" s="197">
        <f>IF(AND($D277&gt;0,AP277=""),1,IF(AP277&gt;$D277,1,0))</f>
        <v/>
      </c>
      <c r="CS277" s="197">
        <f>IF(AND($D277&gt;0,AQ277=""),1,IF(AQ277&gt;$D277,1,0))</f>
        <v/>
      </c>
      <c r="CT277" s="197">
        <f>IF(AND($D277&gt;0,AR277=""),1,0)</f>
        <v/>
      </c>
      <c r="CU277" s="197">
        <f>IF(AND($D277&gt;0,AS277=""),1,IF(AS277&gt;$D277,1,0))</f>
        <v/>
      </c>
      <c r="CV277" s="197">
        <f>IF(AND($D277&gt;0,AT277=""),1,IF(AT277&gt;$D277,1,0))</f>
        <v/>
      </c>
      <c r="CW277" s="197">
        <f>IF(AND($D277&gt;0,AU277=""),1,IF(AU277&gt;$D277,1,0))</f>
        <v/>
      </c>
      <c r="CX277" s="198" t="n"/>
      <c r="CY277" s="197">
        <f>IF(AND($D277&gt;0,AW277=""),1,IF(AW277&gt;$D277,1,0))</f>
        <v/>
      </c>
      <c r="CZ277" s="197">
        <f>IF(AND($D277&gt;0,AX277=""),1,IF(AX277&gt;$D277,1,0))</f>
        <v/>
      </c>
    </row>
    <row r="278" ht="15" customHeight="1" s="8286">
      <c r="A278" s="9588" t="n"/>
      <c r="B278" s="8748" t="inlineStr">
        <is>
          <t xml:space="preserve">Control  </t>
        </is>
      </c>
      <c r="C278" s="9644" t="n"/>
      <c r="D278" s="2989">
        <f>SUM(E278+F278)</f>
        <v/>
      </c>
      <c r="E278" s="366">
        <f>SUM(G278++I278+K278+M278+O278+Q278+S278+U278+W278+Y278+AA278+AC278+AE278+AG278+AI278+AK278)</f>
        <v/>
      </c>
      <c r="F278" s="3018">
        <f>SUM(H278++J278+L278+N278+P278+R278+T278+V278+X278+Z278+AB278+AD278+AF278+AH278+AJ278+AL278)</f>
        <v/>
      </c>
      <c r="G278" s="2993" t="n"/>
      <c r="H278" s="2992" t="n"/>
      <c r="I278" s="2993" t="n"/>
      <c r="J278" s="2992" t="n"/>
      <c r="K278" s="2993" t="n"/>
      <c r="L278" s="2992" t="n"/>
      <c r="M278" s="2993" t="n"/>
      <c r="N278" s="2992" t="n"/>
      <c r="O278" s="2993" t="n"/>
      <c r="P278" s="2992" t="n"/>
      <c r="Q278" s="2993" t="n"/>
      <c r="R278" s="2992" t="n"/>
      <c r="S278" s="2993" t="n"/>
      <c r="T278" s="1275" t="n"/>
      <c r="U278" s="3006" t="n"/>
      <c r="V278" s="3007" t="n"/>
      <c r="W278" s="3006" t="n"/>
      <c r="X278" s="3007" t="n"/>
      <c r="Y278" s="3006" t="n"/>
      <c r="Z278" s="3007" t="n"/>
      <c r="AA278" s="3006" t="n"/>
      <c r="AB278" s="3007" t="n"/>
      <c r="AC278" s="3006" t="n"/>
      <c r="AD278" s="3007" t="n"/>
      <c r="AE278" s="3006" t="n"/>
      <c r="AF278" s="3007" t="n"/>
      <c r="AG278" s="3006" t="n"/>
      <c r="AH278" s="3007" t="n"/>
      <c r="AI278" s="3006" t="n"/>
      <c r="AJ278" s="3007" t="n"/>
      <c r="AK278" s="2993" t="n"/>
      <c r="AL278" s="3015" t="n"/>
      <c r="AM278" s="2993" t="n"/>
      <c r="AN278" s="1275" t="n"/>
      <c r="AO278" s="2980" t="n"/>
      <c r="AP278" s="2981" t="n"/>
      <c r="AQ278" s="5228" t="n"/>
      <c r="AR278" s="3951" t="n"/>
      <c r="AS278" s="3950" t="n"/>
      <c r="AT278" s="3951" t="n"/>
      <c r="AU278" s="1275" t="n"/>
      <c r="AV278" s="2981" t="n"/>
      <c r="AW278" s="3951" t="n"/>
      <c r="AX278" s="1275" t="n"/>
      <c r="AY278">
        <f>CA278&amp;CB278&amp;CC278&amp;CD278&amp;CE278&amp;CF278&amp;CG278&amp;CH278&amp;CI278&amp;CJ278&amp;CK278&amp;CL278</f>
        <v/>
      </c>
      <c r="CA278" s="198" t="n"/>
      <c r="CB278" s="198" t="n"/>
      <c r="CC278" s="198" t="n"/>
      <c r="CD278" s="198" t="n"/>
      <c r="CE278" s="196">
        <f>IF(AND($D278&gt;0,AQ278="")," * No olvide digitar la variable Inasistente. Digite cero si no tiene.",IF(AQ278&gt;$D278," * La variable Insasistente no puede superar el Total Ambos Sexos.",""))</f>
        <v/>
      </c>
      <c r="CF278" s="196">
        <f>IF(AND($D278&gt;0,AR278="")," * No olvide digitar la variable Compra de Servicio. Digite Cero si no tiene.","")</f>
        <v/>
      </c>
      <c r="CG278" s="196">
        <f>IF(AND($D278&gt;0,AS278="")," * No olvide digitar la variable Ortodoncia interceptiva. Digite Cero si no tiene.",IF(AS278&gt;$D278," * La variable Ortodoncia interceptiva no puede superar el Total Ambos Sexos.",""))</f>
        <v/>
      </c>
      <c r="CH278" s="196">
        <f>IF(AND($D278&gt;0,AT278="")," * No olvide digitar la variable Usuarios con Discapacidad. Digite Cero si no tiene.",IF(AT278&gt;$D278," * La variable Usuarios con Discapacidad no puede superar el Total Ambos Sexos.",""))</f>
        <v/>
      </c>
      <c r="CI278" s="196">
        <f>IF(AND($D278&gt;0,AU278="")," * No olvide digitar la variable Usuarios Oncológicos. Digite Cero si no tiene.",IF(AU278&gt;$D278," * La variable Usuarios Oncológicos no puede superar el Total Ambos Sexos.",""))</f>
        <v/>
      </c>
      <c r="CJ278" s="198" t="n"/>
      <c r="CK278" s="196">
        <f>IF(AND($D278&gt;0,AW278="")," * No olvide digitar la variable Migrantes. Digite Cero si no tiene.",IF(AW278&gt;$D278," * La variable Migrantes no puede superar el Total Ambos Sexos.",""))</f>
        <v/>
      </c>
      <c r="CL278" s="196">
        <f>IF(AND($D278&gt;0,AX278=""),"  * No olvide digitar la variable Pueblo Originario. Digite Cero si no tiene.",IF(AX278&gt;$D278," * La variable Pueblo Originario no puede superar el Total Ambos Sexos.",""))</f>
        <v/>
      </c>
      <c r="CO278" s="198" t="n"/>
      <c r="CP278" s="198" t="n"/>
      <c r="CQ278" s="198" t="n"/>
      <c r="CR278" s="198" t="n"/>
      <c r="CS278" s="197">
        <f>IF(AND($D278&gt;0,AQ278=""),1,IF(AQ278&gt;$D278,1,0))</f>
        <v/>
      </c>
      <c r="CT278" s="197">
        <f>IF(AND($D278&gt;0,AR278=""),1,0)</f>
        <v/>
      </c>
      <c r="CU278" s="197">
        <f>IF(AND($D278&gt;0,AS278=""),1,IF(AS278&gt;$D278,1,0))</f>
        <v/>
      </c>
      <c r="CV278" s="197">
        <f>IF(AND($D278&gt;0,AT278=""),1,IF(AT278&gt;$D278,1,0))</f>
        <v/>
      </c>
      <c r="CW278" s="197">
        <f>IF(AND($D278&gt;0,AU278=""),1,IF(AU278&gt;$D278,1,0))</f>
        <v/>
      </c>
      <c r="CX278" s="198" t="n"/>
      <c r="CY278" s="197">
        <f>IF(AND($D278&gt;0,AW278=""),1,IF(AW278&gt;$D278,1,0))</f>
        <v/>
      </c>
      <c r="CZ278" s="197">
        <f>IF(AND($D278&gt;0,AX278=""),1,IF(AX278&gt;$D278,1,0))</f>
        <v/>
      </c>
    </row>
    <row r="279" ht="15" customHeight="1" s="8286">
      <c r="A279" s="9588" t="n"/>
      <c r="B279" s="8748" t="inlineStr">
        <is>
          <t xml:space="preserve">Ingreso a tratamiento </t>
        </is>
      </c>
      <c r="C279" s="9644" t="n"/>
      <c r="D279" s="2989">
        <f>SUM(E279+F279)</f>
        <v/>
      </c>
      <c r="E279" s="2990">
        <f>SUM(G279++I279+K279+M279+O279+Q279+S279+U279+W279+Y279+AA279+AC279+AE279+AG279+AI279+AK279)</f>
        <v/>
      </c>
      <c r="F279" s="3014">
        <f>SUM(H279++J279+L279+N279+P279+R279+T279+V279+X279+Z279+AB279+AD279+AF279+AH279+AJ279+AL279)</f>
        <v/>
      </c>
      <c r="G279" s="2993" t="n"/>
      <c r="H279" s="2992" t="n"/>
      <c r="I279" s="2993" t="n"/>
      <c r="J279" s="2992" t="n"/>
      <c r="K279" s="2993" t="n"/>
      <c r="L279" s="2992" t="n"/>
      <c r="M279" s="2993" t="n"/>
      <c r="N279" s="2992" t="n"/>
      <c r="O279" s="2993" t="n"/>
      <c r="P279" s="2992" t="n"/>
      <c r="Q279" s="2993" t="n"/>
      <c r="R279" s="2992" t="n"/>
      <c r="S279" s="2993" t="n"/>
      <c r="T279" s="1275" t="n"/>
      <c r="U279" s="3006" t="n"/>
      <c r="V279" s="3007" t="n"/>
      <c r="W279" s="3006" t="n"/>
      <c r="X279" s="3007" t="n"/>
      <c r="Y279" s="3006" t="n"/>
      <c r="Z279" s="3007" t="n"/>
      <c r="AA279" s="3006" t="n"/>
      <c r="AB279" s="3007" t="n"/>
      <c r="AC279" s="3006" t="n"/>
      <c r="AD279" s="3007" t="n"/>
      <c r="AE279" s="3006" t="n"/>
      <c r="AF279" s="3007" t="n"/>
      <c r="AG279" s="3006" t="n"/>
      <c r="AH279" s="3007" t="n"/>
      <c r="AI279" s="3006" t="n"/>
      <c r="AJ279" s="3007" t="n"/>
      <c r="AK279" s="2993" t="n"/>
      <c r="AL279" s="3015" t="n"/>
      <c r="AM279" s="2993" t="n"/>
      <c r="AN279" s="1275" t="n"/>
      <c r="AO279" s="2980" t="n"/>
      <c r="AP279" s="2981" t="n"/>
      <c r="AQ279" s="5226" t="n"/>
      <c r="AR279" s="3951" t="n"/>
      <c r="AS279" s="3950" t="n"/>
      <c r="AT279" s="3951" t="n"/>
      <c r="AU279" s="1275" t="n"/>
      <c r="AV279" s="2981" t="n"/>
      <c r="AW279" s="3951" t="n"/>
      <c r="AX279" s="1275" t="n"/>
      <c r="AY279">
        <f>CA279&amp;CB279&amp;CC279&amp;CD279&amp;CE279&amp;CF279&amp;CG279&amp;CH279&amp;CI279&amp;CJ279&amp;CK279&amp;CL279</f>
        <v/>
      </c>
      <c r="CA279" s="198" t="n"/>
      <c r="CB279" s="198" t="n"/>
      <c r="CC279" s="198" t="n"/>
      <c r="CD279" s="198" t="n"/>
      <c r="CE279" s="198" t="n"/>
      <c r="CF279" s="196">
        <f>IF(AND($D279&gt;0,AR279="")," * No olvide digitar la variable Compra de Servicio. Digite Cero si no tiene.","")</f>
        <v/>
      </c>
      <c r="CG279" s="196">
        <f>IF(AND($D279&gt;0,AS279="")," * No olvide digitar la variable Ortodoncia interceptiva. Digite Cero si no tiene.",IF(AS279&gt;$D279," * La variable Ortodoncia interceptiva no puede superar el Total Ambos Sexos.",""))</f>
        <v/>
      </c>
      <c r="CH279" s="196">
        <f>IF(AND($D279&gt;0,AT279="")," * No olvide digitar la variable Usuarios con Discapacidad. Digite Cero si no tiene.",IF(AT279&gt;$D279," * La variable Usuarios con Discapacidad no puede superar el Total Ambos Sexos.",""))</f>
        <v/>
      </c>
      <c r="CI279" s="196">
        <f>IF(AND($D279&gt;0,AU279="")," * No olvide digitar la variable Usuarios Oncológicos. Digite Cero si no tiene.",IF(AU279&gt;$D279," * La variable Usuarios Oncológicos no puede superar el Total Ambos Sexos.",""))</f>
        <v/>
      </c>
      <c r="CJ279" s="198" t="n"/>
      <c r="CK279" s="196">
        <f>IF(AND($D279&gt;0,AW279="")," * No olvide digitar la variable Migrantes. Digite Cero si no tiene.",IF(AW279&gt;$D279," * La variable Migrantes no puede superar el Total Ambos Sexos.",""))</f>
        <v/>
      </c>
      <c r="CL279" s="196">
        <f>IF(AND($D279&gt;0,AX279=""),"  * No olvide digitar la variable Pueblo Originario. Digite Cero si no tiene.",IF(AX279&gt;$D279," * La variable Pueblo Originario no puede superar el Total Ambos Sexos.",""))</f>
        <v/>
      </c>
      <c r="CO279" s="198" t="n"/>
      <c r="CP279" s="198" t="n"/>
      <c r="CQ279" s="198" t="n"/>
      <c r="CR279" s="198" t="n"/>
      <c r="CS279" s="198" t="n"/>
      <c r="CT279" s="197">
        <f>IF(AND($D279&gt;0,AR279=""),1,0)</f>
        <v/>
      </c>
      <c r="CU279" s="197">
        <f>IF(AND($D279&gt;0,AS279=""),1,IF(AS279&gt;$D279,1,0))</f>
        <v/>
      </c>
      <c r="CV279" s="197">
        <f>IF(AND($D279&gt;0,AT279=""),1,IF(AT279&gt;$D279,1,0))</f>
        <v/>
      </c>
      <c r="CW279" s="197">
        <f>IF(AND($D279&gt;0,AU279=""),1,IF(AU279&gt;$D279,1,0))</f>
        <v/>
      </c>
      <c r="CX279" s="198" t="n"/>
      <c r="CY279" s="197">
        <f>IF(AND($D279&gt;0,AW279=""),1,IF(AW279&gt;$D279,1,0))</f>
        <v/>
      </c>
      <c r="CZ279" s="197">
        <f>IF(AND($D279&gt;0,AX279=""),1,IF(AX279&gt;$D279,1,0))</f>
        <v/>
      </c>
    </row>
    <row r="280" ht="15" customHeight="1" s="8286">
      <c r="A280" s="9588" t="n"/>
      <c r="B280" s="8748" t="inlineStr">
        <is>
          <t xml:space="preserve">Altas de tratamiento </t>
        </is>
      </c>
      <c r="C280" s="9644" t="n"/>
      <c r="D280" s="2989">
        <f>SUM(E280+F280)</f>
        <v/>
      </c>
      <c r="E280" s="2990">
        <f>SUM(G280++I280+K280+M280+O280+Q280+S280+U280+W280+Y280+AA280+AC280+AE280+AG280+AI280+AK280)</f>
        <v/>
      </c>
      <c r="F280" s="3014">
        <f>SUM(H280++J280+L280+N280+P280+R280+T280+V280+X280+Z280+AB280+AD280+AF280+AH280+AJ280+AL280)</f>
        <v/>
      </c>
      <c r="G280" s="1949" t="n"/>
      <c r="H280" s="2998" t="n"/>
      <c r="I280" s="1949" t="n"/>
      <c r="J280" s="2998" t="n"/>
      <c r="K280" s="1949" t="n"/>
      <c r="L280" s="2998" t="n"/>
      <c r="M280" s="1949" t="n"/>
      <c r="N280" s="2998" t="n"/>
      <c r="O280" s="1949" t="n"/>
      <c r="P280" s="2998" t="n"/>
      <c r="Q280" s="1949" t="n"/>
      <c r="R280" s="2998" t="n"/>
      <c r="S280" s="1949" t="n"/>
      <c r="T280" s="1950" t="n"/>
      <c r="U280" s="3008" t="n"/>
      <c r="V280" s="3009" t="n"/>
      <c r="W280" s="3008" t="n"/>
      <c r="X280" s="3009" t="n"/>
      <c r="Y280" s="3008" t="n"/>
      <c r="Z280" s="3009" t="n"/>
      <c r="AA280" s="3008" t="n"/>
      <c r="AB280" s="3009" t="n"/>
      <c r="AC280" s="3008" t="n"/>
      <c r="AD280" s="3009" t="n"/>
      <c r="AE280" s="3008" t="n"/>
      <c r="AF280" s="3009" t="n"/>
      <c r="AG280" s="3008" t="n"/>
      <c r="AH280" s="3009" t="n"/>
      <c r="AI280" s="3008" t="n"/>
      <c r="AJ280" s="3009" t="n"/>
      <c r="AK280" s="2993" t="n"/>
      <c r="AL280" s="3015" t="n"/>
      <c r="AM280" s="2993" t="n"/>
      <c r="AN280" s="1275" t="n"/>
      <c r="AO280" s="2980" t="n"/>
      <c r="AP280" s="2981" t="n"/>
      <c r="AQ280" s="5226" t="n"/>
      <c r="AR280" s="3951" t="n"/>
      <c r="AS280" s="3950" t="n"/>
      <c r="AT280" s="3951" t="n"/>
      <c r="AU280" s="1275" t="n"/>
      <c r="AV280" s="1275" t="n"/>
      <c r="AW280" s="3951" t="n"/>
      <c r="AX280" s="1275" t="n"/>
      <c r="AY280">
        <f>CA280&amp;CB280&amp;CC280&amp;CD280&amp;CE280&amp;CF280&amp;CG280&amp;CH280&amp;CI280&amp;CJ280&amp;CK280&amp;CL280</f>
        <v/>
      </c>
      <c r="CA280" s="198" t="n"/>
      <c r="CB280" s="198" t="n"/>
      <c r="CC280" s="198" t="n"/>
      <c r="CD280" s="198" t="n"/>
      <c r="CE280" s="198" t="n"/>
      <c r="CF280" s="196">
        <f>IF(AND($D280&gt;0,AR280="")," * No olvide digitar la variable Compra de Servicio. Digite Cero si no tiene.","")</f>
        <v/>
      </c>
      <c r="CG280" s="196">
        <f>IF(AND($D280&gt;0,AS280="")," * No olvide digitar la variable Ortodoncia interceptiva. Digite Cero si no tiene.",IF(AS280&gt;$D280," * La variable Ortodoncia interceptiva no puede superar el Total Ambos Sexos.",""))</f>
        <v/>
      </c>
      <c r="CH280" s="196">
        <f>IF(AND($D280&gt;0,AT280="")," * No olvide digitar la variable Usuarios con Discapacidad. Digite Cero si no tiene.",IF(AT280&gt;$D280," * La variable Usuarios con Discapacidad no puede superar el Total Ambos Sexos.",""))</f>
        <v/>
      </c>
      <c r="CI280" s="196">
        <f>IF(AND($D280&gt;0,AU280="")," * No olvide digitar la variable Usuarios Oncológicos. Digite Cero si no tiene.",IF(AU280&gt;$D280," * La variable Usuarios Oncológicos no puede superar el Total Ambos Sexos.",""))</f>
        <v/>
      </c>
      <c r="CJ280" s="196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>
        <f>IF(AND($D280&gt;0,AW280="")," * No olvide digitar la variable Migrantes. Digite Cero si no tiene.",IF(AW280&gt;$D280," * La variable Migrantes no puede superar el Total Ambos Sexos.",""))</f>
        <v/>
      </c>
      <c r="CL280" s="196">
        <f>IF(AND($D280&gt;0,AX280=""),"  * No olvide digitar la variable Pueblo Originario. Digite Cero si no tiene.",IF(AX280&gt;$D280," * La variable Pueblo Originario no puede superar el Total Ambos Sexos.",""))</f>
        <v/>
      </c>
      <c r="CO280" s="198" t="n"/>
      <c r="CP280" s="198" t="n"/>
      <c r="CQ280" s="198" t="n"/>
      <c r="CR280" s="198" t="n"/>
      <c r="CS280" s="198" t="n"/>
      <c r="CT280" s="197">
        <f>IF(AND($D280&gt;0,AR280=""),1,0)</f>
        <v/>
      </c>
      <c r="CU280" s="197">
        <f>IF(AND($D280&gt;0,AS280=""),1,IF(AS280&gt;$D280,1,0))</f>
        <v/>
      </c>
      <c r="CV280" s="197">
        <f>IF(AND($D280&gt;0,AT280=""),1,IF(AT280&gt;$D280,1,0))</f>
        <v/>
      </c>
      <c r="CW280" s="197">
        <f>IF(AND($D280&gt;0,AU280=""),1,IF(AU280&gt;$D280,1,0))</f>
        <v/>
      </c>
      <c r="CX280" s="197">
        <f>IF(AND($D280&gt;0,AV280=""),1,IF(AV280&gt;$D280,1,0))</f>
        <v/>
      </c>
      <c r="CY280" s="197">
        <f>IF(AND($D280&gt;0,AW280=""),1,IF(AW280&gt;$D280,1,0))</f>
        <v/>
      </c>
      <c r="CZ280" s="197">
        <f>IF(AND($D280&gt;0,AX280=""),1,IF(AX280&gt;$D280,1,0))</f>
        <v/>
      </c>
    </row>
    <row r="281" ht="15" customHeight="1" s="8286">
      <c r="A281" s="9588" t="n"/>
      <c r="B281" s="8748" t="inlineStr">
        <is>
          <t xml:space="preserve">Control de especialidad post alta </t>
        </is>
      </c>
      <c r="C281" s="9644" t="n"/>
      <c r="D281" s="2989">
        <f>SUM(E281+F281)</f>
        <v/>
      </c>
      <c r="E281" s="2990">
        <f>SUM(G281++I281+K281+M281+O281+Q281+S281+U281+W281+Y281+AA281+AC281+AE281+AG281+AI281+AK281)</f>
        <v/>
      </c>
      <c r="F281" s="2803">
        <f>SUM(H281++J281+L281+N281+P281+R281+T281+V281+X281+Z281+AB281+AD281+AF281+AH281+AJ281+AL281)</f>
        <v/>
      </c>
      <c r="G281" s="2997" t="n"/>
      <c r="H281" s="2998" t="n"/>
      <c r="I281" s="1949" t="n"/>
      <c r="J281" s="2998" t="n"/>
      <c r="K281" s="1949" t="n"/>
      <c r="L281" s="2998" t="n"/>
      <c r="M281" s="1949" t="n"/>
      <c r="N281" s="2998" t="n"/>
      <c r="O281" s="1949" t="n"/>
      <c r="P281" s="2998" t="n"/>
      <c r="Q281" s="1949" t="n"/>
      <c r="R281" s="2998" t="n"/>
      <c r="S281" s="1949" t="n"/>
      <c r="T281" s="1950" t="n"/>
      <c r="U281" s="3008" t="n"/>
      <c r="V281" s="3009" t="n"/>
      <c r="W281" s="3008" t="n"/>
      <c r="X281" s="3009" t="n"/>
      <c r="Y281" s="3008" t="n"/>
      <c r="Z281" s="3009" t="n"/>
      <c r="AA281" s="3008" t="n"/>
      <c r="AB281" s="3009" t="n"/>
      <c r="AC281" s="3008" t="n"/>
      <c r="AD281" s="3009" t="n"/>
      <c r="AE281" s="3008" t="n"/>
      <c r="AF281" s="3009" t="n"/>
      <c r="AG281" s="3008" t="n"/>
      <c r="AH281" s="3009" t="n"/>
      <c r="AI281" s="3008" t="n"/>
      <c r="AJ281" s="3009" t="n"/>
      <c r="AK281" s="2993" t="n"/>
      <c r="AL281" s="3015" t="n"/>
      <c r="AM281" s="2993" t="n"/>
      <c r="AN281" s="1275" t="n"/>
      <c r="AO281" s="2980" t="n"/>
      <c r="AP281" s="2981" t="n"/>
      <c r="AQ281" s="365" t="n"/>
      <c r="AR281" s="3951" t="n"/>
      <c r="AS281" s="3950" t="n"/>
      <c r="AT281" s="3951" t="n"/>
      <c r="AU281" s="1275" t="n"/>
      <c r="AV281" s="3001" t="n"/>
      <c r="AW281" s="3951" t="n"/>
      <c r="AX281" s="1275" t="n"/>
      <c r="AY281">
        <f>CA281&amp;CB281&amp;CC281&amp;CD281&amp;CE281&amp;CF281&amp;CG281&amp;CH281&amp;CI281&amp;CJ281&amp;CK281&amp;CL281</f>
        <v/>
      </c>
      <c r="CA281" s="198" t="n"/>
      <c r="CB281" s="198" t="n"/>
      <c r="CC281" s="198" t="n"/>
      <c r="CD281" s="198" t="n"/>
      <c r="CE281" s="198" t="n"/>
      <c r="CF281" s="196">
        <f>IF(AND($D281&gt;0,AR281="")," * No olvide digitar la variable Compra de Servicio. Digite Cero si no tiene.","")</f>
        <v/>
      </c>
      <c r="CG281" s="196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196">
        <f>IF(AND($D281&gt;0,AT281="")," * No olvide digitar la variable Usuarios con Discapacidad. Digite Cero si no tiene.",IF(AT281&gt;$D281," * La variable Usuarios con Discapacidad no puede superar el Total Ambos Sexos.",""))</f>
        <v/>
      </c>
      <c r="CI281" s="196">
        <f>IF(AND($D281&gt;0,AU281="")," * No olvide digitar la variable Usuarios Oncológicos. Digite Cero si no tiene.",IF(AU281&gt;$D281," * La variable Usuarios Oncológicos no puede superar el Total Ambos Sexos.",""))</f>
        <v/>
      </c>
      <c r="CJ281" s="198" t="n"/>
      <c r="CK281" s="196">
        <f>IF(AND($D281&gt;0,AW281="")," * No olvide digitar la variable Migrantes. Digite Cero si no tiene.",IF(AW281&gt;$D281," * La variable Migrantes no puede superar el Total Ambos Sexos.",""))</f>
        <v/>
      </c>
      <c r="CL281" s="196">
        <f>IF(AND($D281&gt;0,AX281=""),"  * No olvide digitar la variable Pueblo Originario. Digite Cero si no tiene.",IF(AX281&gt;$D281," * La variable Pueblo Originario no puede superar el Total Ambos Sexos.",""))</f>
        <v/>
      </c>
      <c r="CO281" s="198" t="n"/>
      <c r="CP281" s="198" t="n"/>
      <c r="CQ281" s="198" t="n"/>
      <c r="CR281" s="198" t="n"/>
      <c r="CS281" s="198" t="n"/>
      <c r="CT281" s="197">
        <f>IF(AND($D281&gt;0,AR281=""),1,0)</f>
        <v/>
      </c>
      <c r="CU281" s="197">
        <f>IF(AND($D281&gt;0,AS281=""),1,IF(AS281&gt;$D281,1,0))</f>
        <v/>
      </c>
      <c r="CV281" s="197">
        <f>IF(AND($D281&gt;0,AT281=""),1,IF(AT281&gt;$D281,1,0))</f>
        <v/>
      </c>
      <c r="CW281" s="197">
        <f>IF(AND($D281&gt;0,AU281=""),1,IF(AU281&gt;$D281,1,0))</f>
        <v/>
      </c>
      <c r="CX281" s="198" t="n"/>
      <c r="CY281" s="197">
        <f>IF(AND($D281&gt;0,AW281=""),1,IF(AW281&gt;$D281,1,0))</f>
        <v/>
      </c>
      <c r="CZ281" s="197">
        <f>IF(AND($D281&gt;0,AX281=""),1,IF(AX281&gt;$D281,1,0))</f>
        <v/>
      </c>
    </row>
    <row r="282" ht="15" customHeight="1" s="8286">
      <c r="A282" s="9589" t="n"/>
      <c r="B282" s="10282" t="inlineStr">
        <is>
          <t xml:space="preserve">Altas administrativas </t>
        </is>
      </c>
      <c r="C282" s="9710" t="n"/>
      <c r="D282" s="2959">
        <f>SUM(E282+F282)</f>
        <v/>
      </c>
      <c r="E282" s="800">
        <f>SUM(G282++I282+K282+M282+O282+Q282+S282+U282+W282+Y282+AA282+AC282+AE282+AG282+AI282+AK282)</f>
        <v/>
      </c>
      <c r="F282" s="2727">
        <f>SUM(H282++J282+L282+N282+P282+R282+T282+V282+X282+Z282+AB282+AD282+AF282+AH282+AJ282+AL282)</f>
        <v/>
      </c>
      <c r="G282" s="1276" t="n"/>
      <c r="H282" s="2983" t="n"/>
      <c r="I282" s="1348" t="n"/>
      <c r="J282" s="2983" t="n"/>
      <c r="K282" s="1348" t="n"/>
      <c r="L282" s="2983" t="n"/>
      <c r="M282" s="1348" t="n"/>
      <c r="N282" s="2983" t="n"/>
      <c r="O282" s="1348" t="n"/>
      <c r="P282" s="2983" t="n"/>
      <c r="Q282" s="1348" t="n"/>
      <c r="R282" s="2983" t="n"/>
      <c r="S282" s="1348" t="n"/>
      <c r="T282" s="1277" t="n"/>
      <c r="U282" s="3010" t="n"/>
      <c r="V282" s="3011" t="n"/>
      <c r="W282" s="3010" t="n"/>
      <c r="X282" s="3011" t="n"/>
      <c r="Y282" s="3010" t="n"/>
      <c r="Z282" s="3011" t="n"/>
      <c r="AA282" s="3010" t="n"/>
      <c r="AB282" s="3011" t="n"/>
      <c r="AC282" s="3010" t="n"/>
      <c r="AD282" s="3011" t="n"/>
      <c r="AE282" s="3010" t="n"/>
      <c r="AF282" s="3011" t="n"/>
      <c r="AG282" s="3010" t="n"/>
      <c r="AH282" s="3011" t="n"/>
      <c r="AI282" s="3010" t="n"/>
      <c r="AJ282" s="3011" t="n"/>
      <c r="AK282" s="3019" t="n"/>
      <c r="AL282" s="804" t="n"/>
      <c r="AM282" s="3019" t="n"/>
      <c r="AN282" s="3020" t="n"/>
      <c r="AO282" s="3021" t="n"/>
      <c r="AP282" s="367" t="n"/>
      <c r="AQ282" s="3003" t="n"/>
      <c r="AR282" s="5241" t="n"/>
      <c r="AS282" s="5237" t="n"/>
      <c r="AT282" s="5241" t="n"/>
      <c r="AU282" s="3020" t="n"/>
      <c r="AV282" s="2985" t="n"/>
      <c r="AW282" s="5241" t="n"/>
      <c r="AX282" s="3020" t="n"/>
      <c r="AY282">
        <f>CA282&amp;CB282&amp;CC282&amp;CD282&amp;CE282&amp;CF282&amp;CG282&amp;CH282&amp;CI282&amp;CJ282&amp;CK282&amp;CL282</f>
        <v/>
      </c>
      <c r="CA282" s="198" t="n"/>
      <c r="CB282" s="198" t="n"/>
      <c r="CC282" s="198" t="n"/>
      <c r="CD282" s="198" t="n"/>
      <c r="CE282" s="198" t="n"/>
      <c r="CF282" s="196">
        <f>IF(AND($D282&gt;0,AR282="")," * No olvide digitar la variable Compra de Servicio. Digite Cero si no tiene.","")</f>
        <v/>
      </c>
      <c r="CG282" s="196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>
        <f>IF(AND($D282&gt;0,AT282="")," * No olvide digitar la variable Usuarios con Discapacidad. Digite Cero si no tiene.",IF(AT282&gt;$D282," * La variable Usuarios con Discapacidad no puede superar el Total Ambos Sexos.",""))</f>
        <v/>
      </c>
      <c r="CI282" s="196">
        <f>IF(AND($D282&gt;0,AU282="")," * No olvide digitar la variable Usuarios Oncológicos. Digite Cero si no tiene.",IF(AU282&gt;$D282," * La variable Usuarios Oncológicos no puede superar el Total Ambos Sexos.",""))</f>
        <v/>
      </c>
      <c r="CJ282" s="198" t="n"/>
      <c r="CK282" s="196">
        <f>IF(AND($D282&gt;0,AW282="")," * No olvide digitar la variable Migrantes. Digite Cero si no tiene.",IF(AW282&gt;$D282," * La variable Migrantes no puede superar el Total Ambos Sexos.",""))</f>
        <v/>
      </c>
      <c r="CL282" s="196">
        <f>IF(AND($D282&gt;0,AX282=""),"  * No olvide digitar la variable Pueblo Originario. Digite Cero si no tiene.",IF(AX282&gt;$D282," * La variable Pueblo Originario no puede superar el Total Ambos Sexos.",""))</f>
        <v/>
      </c>
      <c r="CO282" s="198" t="n"/>
      <c r="CP282" s="198" t="n"/>
      <c r="CQ282" s="198" t="n"/>
      <c r="CR282" s="198" t="n"/>
      <c r="CS282" s="198" t="n"/>
      <c r="CT282" s="197">
        <f>IF(AND($D282&gt;0,AR282=""),1,0)</f>
        <v/>
      </c>
      <c r="CU282" s="197">
        <f>IF(AND($D282&gt;0,AS282=""),1,IF(AS282&gt;$D282,1,0))</f>
        <v/>
      </c>
      <c r="CV282" s="197">
        <f>IF(AND($D282&gt;0,AT282=""),1,IF(AT282&gt;$D282,1,0))</f>
        <v/>
      </c>
      <c r="CW282" s="197">
        <f>IF(AND($D282&gt;0,AU282=""),1,IF(AU282&gt;$D282,1,0))</f>
        <v/>
      </c>
      <c r="CX282" s="198" t="n"/>
      <c r="CY282" s="197">
        <f>IF(AND($D282&gt;0,AW282=""),1,IF(AW282&gt;$D282,1,0))</f>
        <v/>
      </c>
      <c r="CZ282" s="197">
        <f>IF(AND($D282&gt;0,AX282=""),1,IF(AX282&gt;$D282,1,0))</f>
        <v/>
      </c>
    </row>
    <row r="283" ht="15" customHeight="1" s="8286">
      <c r="A283" s="10236" t="inlineStr">
        <is>
          <t xml:space="preserve">Periodoncia </t>
        </is>
      </c>
      <c r="B283" s="8445" t="inlineStr">
        <is>
          <t xml:space="preserve">Consulta nueva  </t>
        </is>
      </c>
      <c r="C283" s="10281" t="n"/>
      <c r="D283" s="3022">
        <f>SUM(E283+F283)</f>
        <v/>
      </c>
      <c r="E283" s="3012">
        <f>SUM(G283++I283+K283+M283+O283+Q283+S283+U283+W283+Y283+AA283+AC283+AE283+AG283+AI283+AK283)</f>
        <v/>
      </c>
      <c r="F283" s="3023">
        <f>SUM(H283++J283+L283+N283+P283+R283+T283+V283+X283+Z283+AB283+AD283+AF283+AH283+AJ283+AL283)</f>
        <v/>
      </c>
      <c r="G283" s="2987" t="n"/>
      <c r="H283" s="764" t="n"/>
      <c r="I283" s="1945" t="n"/>
      <c r="J283" s="764" t="n"/>
      <c r="K283" s="1945" t="n"/>
      <c r="L283" s="764" t="n"/>
      <c r="M283" s="1945" t="n"/>
      <c r="N283" s="764" t="n"/>
      <c r="O283" s="1945" t="n"/>
      <c r="P283" s="764" t="n"/>
      <c r="Q283" s="1945" t="n"/>
      <c r="R283" s="764" t="n"/>
      <c r="S283" s="1945" t="n"/>
      <c r="T283" s="1278" t="n"/>
      <c r="U283" s="3004" t="n"/>
      <c r="V283" s="3005" t="n"/>
      <c r="W283" s="3004" t="n"/>
      <c r="X283" s="3005" t="n"/>
      <c r="Y283" s="3004" t="n"/>
      <c r="Z283" s="3005" t="n"/>
      <c r="AA283" s="3004" t="n"/>
      <c r="AB283" s="3005" t="n"/>
      <c r="AC283" s="3004" t="n"/>
      <c r="AD283" s="3005" t="n"/>
      <c r="AE283" s="3004" t="n"/>
      <c r="AF283" s="3005" t="n"/>
      <c r="AG283" s="3004" t="n"/>
      <c r="AH283" s="3005" t="n"/>
      <c r="AI283" s="3004" t="n"/>
      <c r="AJ283" s="3005" t="n"/>
      <c r="AK283" s="1945" t="n"/>
      <c r="AL283" s="1278" t="n"/>
      <c r="AM283" s="1944" t="n"/>
      <c r="AN283" s="2988" t="n"/>
      <c r="AO283" s="2987" t="n"/>
      <c r="AP283" s="764" t="n"/>
      <c r="AQ283" s="5227" t="n"/>
      <c r="AR283" s="5239" t="n"/>
      <c r="AS283" s="5234" t="n"/>
      <c r="AT283" s="5239" t="n"/>
      <c r="AU283" s="1278" t="n"/>
      <c r="AV283" s="2981" t="n"/>
      <c r="AW283" s="5239" t="n"/>
      <c r="AX283" s="1278" t="n"/>
      <c r="AY283">
        <f>CA283&amp;CB283&amp;CC283&amp;CD283&amp;CE283&amp;CF283&amp;CG283&amp;CH283&amp;CI283&amp;CJ283&amp;CK283&amp;CL283</f>
        <v/>
      </c>
      <c r="CA283" s="196">
        <f>IF(AND($F283&gt;0,AM283="")," * No olvide digitar la variable Gestante. Digite cero si no tiene.",IF(AM283&gt;$F283," * La variable Gestante no puede superar el Total Mujeres.",""))</f>
        <v/>
      </c>
      <c r="CB283" s="196">
        <f>IF(AND(AG283+AH283&gt;0,AN283="")," * No olvide digitar la variable 60 años (incluido en grupos de 60-64 años). Digite Cero si no tiene.",IF(AN283&gt;AG283+AH283," * La variable 60 años (incluido en grupos de 60-64 años) no puede superar la suma del Grupo 60-64 años.",""))</f>
        <v/>
      </c>
      <c r="CC283" s="196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>
        <f>IF(AND($D283&gt;0,AQ283="")," * No olvide digitar la variable Inasistente. Digite cero si no tiene.",IF(AQ283&gt;$D283," * La variable Insasistente no puede superar el Total Ambos Sexos.",""))</f>
        <v/>
      </c>
      <c r="CF283" s="196">
        <f>IF(AND($D283&gt;0,AR283="")," * No olvide digitar la variable Compra de Servicio. Digite Cero si no tiene.","")</f>
        <v/>
      </c>
      <c r="CG283" s="198" t="n"/>
      <c r="CH283" s="196">
        <f>IF(AND($D283&gt;0,AT283="")," * No olvide digitar la variable Usuarios con Discapacidad. Digite Cero si no tiene.",IF(AT283&gt;$D283," * La variable Usuarios con Discapacidad no puede superar el Total Ambos Sexos.",""))</f>
        <v/>
      </c>
      <c r="CI283" s="196">
        <f>IF(AND($D283&gt;0,AU283="")," * No olvide digitar la variable Usuarios Oncológicos. Digite Cero si no tiene.",IF(AU283&gt;$D283," * La variable Usuarios Oncológicos no puede superar el Total Ambos Sexos.",""))</f>
        <v/>
      </c>
      <c r="CJ283" s="198" t="n"/>
      <c r="CK283" s="196">
        <f>IF(AND($D283&gt;0,AW283="")," * No olvide digitar la variable Migrantes. Digite Cero si no tiene.",IF(AW283&gt;$D283," * La variable Migrantes no puede superar el Total Ambos Sexos.",""))</f>
        <v/>
      </c>
      <c r="CL283" s="196">
        <f>IF(AND($D283&gt;0,AX283=""),"  * No olvide digitar la variable Pueblo Originario. Digite Cero si no tiene.",IF(AX283&gt;$D283," * La variable Pueblo Originario no puede superar el Total Ambos Sexos.",""))</f>
        <v/>
      </c>
      <c r="CO283" s="197">
        <f>IF(AND($F283&gt;0,AM283=""),1,IF(AM283&gt;$F283,1,0))</f>
        <v/>
      </c>
      <c r="CP283" s="197">
        <f>IF(AND(AG283+AH283&gt;0,AN283=""),1,IF(AN283&gt;AG283+AH283,1,0))</f>
        <v/>
      </c>
      <c r="CQ283" s="197">
        <f>IF(AND($D283&gt;0,AO283=""),1,IF(AO283&gt;$D283,1,0))</f>
        <v/>
      </c>
      <c r="CR283" s="197">
        <f>IF(AND($D283&gt;0,AP283=""),1,IF(AP283&gt;$D283,1,0))</f>
        <v/>
      </c>
      <c r="CS283" s="197">
        <f>IF(AND($D283&gt;0,AQ283=""),1,IF(AQ283&gt;$D283,1,0))</f>
        <v/>
      </c>
      <c r="CT283" s="197">
        <f>IF(AND($D283&gt;0,AR283=""),1,0)</f>
        <v/>
      </c>
      <c r="CU283" s="198" t="n"/>
      <c r="CV283" s="197">
        <f>IF(AND($D283&gt;0,AT283=""),1,IF(AT283&gt;$D283,1,0))</f>
        <v/>
      </c>
      <c r="CW283" s="197">
        <f>IF(AND($D283&gt;0,AU283=""),1,IF(AU283&gt;$D283,1,0))</f>
        <v/>
      </c>
      <c r="CX283" s="198" t="n"/>
      <c r="CY283" s="197">
        <f>IF(AND($D283&gt;0,AW283=""),1,IF(AW283&gt;$D283,1,0))</f>
        <v/>
      </c>
      <c r="CZ283" s="197">
        <f>IF(AND($D283&gt;0,AX283=""),1,IF(AX283&gt;$D283,1,0))</f>
        <v/>
      </c>
    </row>
    <row r="284" ht="15" customHeight="1" s="8286">
      <c r="A284" s="9588" t="n"/>
      <c r="B284" s="8748" t="inlineStr">
        <is>
          <t xml:space="preserve">Control  </t>
        </is>
      </c>
      <c r="C284" s="9644" t="n"/>
      <c r="D284" s="2989">
        <f>SUM(E284+F284)</f>
        <v/>
      </c>
      <c r="E284" s="2990">
        <f>SUM(G284++I284+K284+M284+O284+Q284+S284+U284+W284+Y284+AA284+AC284+AE284+AG284+AI284+AK284)</f>
        <v/>
      </c>
      <c r="F284" s="3014">
        <f>SUM(H284++J284+L284+N284+P284+R284+T284+V284+X284+Z284+AB284+AD284+AF284+AH284+AJ284+AL284)</f>
        <v/>
      </c>
      <c r="G284" s="2993" t="n"/>
      <c r="H284" s="2992" t="n"/>
      <c r="I284" s="2993" t="n"/>
      <c r="J284" s="2992" t="n"/>
      <c r="K284" s="2993" t="n"/>
      <c r="L284" s="2992" t="n"/>
      <c r="M284" s="2993" t="n"/>
      <c r="N284" s="2992" t="n"/>
      <c r="O284" s="2993" t="n"/>
      <c r="P284" s="2992" t="n"/>
      <c r="Q284" s="2993" t="n"/>
      <c r="R284" s="2992" t="n"/>
      <c r="S284" s="2993" t="n"/>
      <c r="T284" s="1275" t="n"/>
      <c r="U284" s="3006" t="n"/>
      <c r="V284" s="3007" t="n"/>
      <c r="W284" s="3006" t="n"/>
      <c r="X284" s="3007" t="n"/>
      <c r="Y284" s="3006" t="n"/>
      <c r="Z284" s="3007" t="n"/>
      <c r="AA284" s="3006" t="n"/>
      <c r="AB284" s="3007" t="n"/>
      <c r="AC284" s="3006" t="n"/>
      <c r="AD284" s="3007" t="n"/>
      <c r="AE284" s="3006" t="n"/>
      <c r="AF284" s="3007" t="n"/>
      <c r="AG284" s="3006" t="n"/>
      <c r="AH284" s="3007" t="n"/>
      <c r="AI284" s="3006" t="n"/>
      <c r="AJ284" s="3007" t="n"/>
      <c r="AK284" s="2993" t="n"/>
      <c r="AL284" s="1275" t="n"/>
      <c r="AM284" s="2994" t="n"/>
      <c r="AN284" s="2995" t="n"/>
      <c r="AO284" s="2980" t="n"/>
      <c r="AP284" s="2981" t="n"/>
      <c r="AQ284" s="5228" t="n"/>
      <c r="AR284" s="3951" t="n"/>
      <c r="AS284" s="5234" t="n"/>
      <c r="AT284" s="3951" t="n"/>
      <c r="AU284" s="1275" t="n"/>
      <c r="AV284" s="2981" t="n"/>
      <c r="AW284" s="3951" t="n"/>
      <c r="AX284" s="1275" t="n"/>
      <c r="AY284">
        <f>CA284&amp;CB284&amp;CC284&amp;CD284&amp;CE284&amp;CF284&amp;CG284&amp;CH284&amp;CI284&amp;CJ284&amp;CK284&amp;CL284</f>
        <v/>
      </c>
      <c r="CA284" s="196">
        <f>IF(AND($F284&gt;0,AM284="")," * No olvide digitar la variable Gestante. Digite cero si no tiene.",IF(AM284&gt;$F284," * La variable Gestante no puede superar el Total Mujeres.",""))</f>
        <v/>
      </c>
      <c r="CB284" s="196">
        <f>IF(AND(AG284+AH284&gt;0,AN284="")," * No olvide digitar la variable 60 años (incluido en grupos de 60-64 años). Digite Cero si no tiene.",IF(AN284&gt;AG284+AH284," * La variable 60 años (incluido en grupos de 60-64 años) no puede superar la suma del Grupo 60-64 años.",""))</f>
        <v/>
      </c>
      <c r="CC284" s="198" t="n"/>
      <c r="CD284" s="198" t="n"/>
      <c r="CE284" s="196">
        <f>IF(AND($D284&gt;0,AQ284="")," * No olvide digitar la variable Inasistente. Digite cero si no tiene.",IF(AQ284&gt;$D284," * La variable Insasistente no puede superar el Total Ambos Sexos.",""))</f>
        <v/>
      </c>
      <c r="CF284" s="196">
        <f>IF(AND($D284&gt;0,AR284="")," * No olvide digitar la variable Compra de Servicio. Digite Cero si no tiene.","")</f>
        <v/>
      </c>
      <c r="CG284" s="198" t="n"/>
      <c r="CH284" s="196">
        <f>IF(AND($D284&gt;0,AT284="")," * No olvide digitar la variable Usuarios con Discapacidad. Digite Cero si no tiene.",IF(AT284&gt;$D284," * La variable Usuarios con Discapacidad no puede superar el Total Ambos Sexos.",""))</f>
        <v/>
      </c>
      <c r="CI284" s="196">
        <f>IF(AND($D284&gt;0,AU284="")," * No olvide digitar la variable Usuarios Oncológicos. Digite Cero si no tiene.",IF(AU284&gt;$D284," * La variable Usuarios Oncológicos no puede superar el Total Ambos Sexos.",""))</f>
        <v/>
      </c>
      <c r="CJ284" s="198" t="n"/>
      <c r="CK284" s="196">
        <f>IF(AND($D284&gt;0,AW284="")," * No olvide digitar la variable Migrantes. Digite Cero si no tiene.",IF(AW284&gt;$D284," * La variable Migrantes no puede superar el Total Ambos Sexos.",""))</f>
        <v/>
      </c>
      <c r="CL284" s="196">
        <f>IF(AND($D284&gt;0,AX284=""),"  * No olvide digitar la variable Pueblo Originario. Digite Cero si no tiene.",IF(AX284&gt;$D284," * La variable Pueblo Originario no puede superar el Total Ambos Sexos.",""))</f>
        <v/>
      </c>
      <c r="CO284" s="197">
        <f>IF(AND($F284&gt;0,AM284=""),1,IF(AM284&gt;$F284,1,0))</f>
        <v/>
      </c>
      <c r="CP284" s="197">
        <f>IF(AND(AG284+AH284&gt;0,AN284=""),1,IF(AN284&gt;AG284+AH284,1,0))</f>
        <v/>
      </c>
      <c r="CQ284" s="198" t="n"/>
      <c r="CR284" s="198" t="n"/>
      <c r="CS284" s="197">
        <f>IF(AND($D284&gt;0,AQ284=""),1,IF(AQ284&gt;$D284,1,0))</f>
        <v/>
      </c>
      <c r="CT284" s="197">
        <f>IF(AND($D284&gt;0,AR284=""),1,0)</f>
        <v/>
      </c>
      <c r="CU284" s="198" t="n"/>
      <c r="CV284" s="197">
        <f>IF(AND($D284&gt;0,AT284=""),1,IF(AT284&gt;$D284,1,0))</f>
        <v/>
      </c>
      <c r="CW284" s="197">
        <f>IF(AND($D284&gt;0,AU284=""),1,IF(AU284&gt;$D284,1,0))</f>
        <v/>
      </c>
      <c r="CX284" s="198" t="n"/>
      <c r="CY284" s="197">
        <f>IF(AND($D284&gt;0,AW284=""),1,IF(AW284&gt;$D284,1,0))</f>
        <v/>
      </c>
      <c r="CZ284" s="197">
        <f>IF(AND($D284&gt;0,AX284=""),1,IF(AX284&gt;$D284,1,0))</f>
        <v/>
      </c>
    </row>
    <row r="285" ht="15" customHeight="1" s="8286">
      <c r="A285" s="9588" t="n"/>
      <c r="B285" s="8748" t="inlineStr">
        <is>
          <t xml:space="preserve">Ingreso a tratamiento </t>
        </is>
      </c>
      <c r="C285" s="9644" t="n"/>
      <c r="D285" s="2989">
        <f>SUM(E285+F285)</f>
        <v/>
      </c>
      <c r="E285" s="2990">
        <f>SUM(G285++I285+K285+M285+O285+Q285+S285+U285+W285+Y285+AA285+AC285+AE285+AG285+AI285+AK285)</f>
        <v/>
      </c>
      <c r="F285" s="3014">
        <f>SUM(H285++J285+L285+N285+P285+R285+T285+V285+X285+Z285+AB285+AD285+AF285+AH285+AJ285+AL285)</f>
        <v/>
      </c>
      <c r="G285" s="2993" t="n"/>
      <c r="H285" s="2992" t="n"/>
      <c r="I285" s="2993" t="n"/>
      <c r="J285" s="2992" t="n"/>
      <c r="K285" s="2993" t="n"/>
      <c r="L285" s="2992" t="n"/>
      <c r="M285" s="2993" t="n"/>
      <c r="N285" s="2992" t="n"/>
      <c r="O285" s="2993" t="n"/>
      <c r="P285" s="2992" t="n"/>
      <c r="Q285" s="2993" t="n"/>
      <c r="R285" s="2992" t="n"/>
      <c r="S285" s="2993" t="n"/>
      <c r="T285" s="1275" t="n"/>
      <c r="U285" s="3006" t="n"/>
      <c r="V285" s="3007" t="n"/>
      <c r="W285" s="3006" t="n"/>
      <c r="X285" s="3007" t="n"/>
      <c r="Y285" s="3006" t="n"/>
      <c r="Z285" s="3007" t="n"/>
      <c r="AA285" s="3006" t="n"/>
      <c r="AB285" s="3007" t="n"/>
      <c r="AC285" s="3006" t="n"/>
      <c r="AD285" s="3007" t="n"/>
      <c r="AE285" s="3006" t="n"/>
      <c r="AF285" s="3007" t="n"/>
      <c r="AG285" s="3006" t="n"/>
      <c r="AH285" s="3007" t="n"/>
      <c r="AI285" s="3006" t="n"/>
      <c r="AJ285" s="3007" t="n"/>
      <c r="AK285" s="2993" t="n"/>
      <c r="AL285" s="1275" t="n"/>
      <c r="AM285" s="2994" t="n"/>
      <c r="AN285" s="2995" t="n"/>
      <c r="AO285" s="2980" t="n"/>
      <c r="AP285" s="2981" t="n"/>
      <c r="AQ285" s="5226" t="n"/>
      <c r="AR285" s="3951" t="n"/>
      <c r="AS285" s="5234" t="n"/>
      <c r="AT285" s="3951" t="n"/>
      <c r="AU285" s="1275" t="n"/>
      <c r="AV285" s="2981" t="n"/>
      <c r="AW285" s="3951" t="n"/>
      <c r="AX285" s="1275" t="n"/>
      <c r="AY285">
        <f>CA285&amp;CB285&amp;CC285&amp;CD285&amp;CE285&amp;CF285&amp;CG285&amp;CH285&amp;CI285&amp;CJ285&amp;CK285&amp;CL285</f>
        <v/>
      </c>
      <c r="CA285" s="196">
        <f>IF(AND($F285&gt;0,AM285="")," * No olvide digitar la variable Gestante. Digite cero si no tiene.",IF(AM285&gt;$F285," * La variable Gestante no puede superar el Total Mujeres.",""))</f>
        <v/>
      </c>
      <c r="CB285" s="196">
        <f>IF(AND(AG285+AH285&gt;0,AN285="")," * No olvide digitar la variable 60 años (incluido en grupos de 60-64 años). Digite Cero si no tiene.",IF(AN285&gt;AG285+AH285," * La variable 60 años (incluido en grupos de 60-64 años) no puede superar la suma del Grupo 60-64 años.",""))</f>
        <v/>
      </c>
      <c r="CC285" s="198" t="n"/>
      <c r="CD285" s="198" t="n"/>
      <c r="CE285" s="198" t="n"/>
      <c r="CF285" s="196">
        <f>IF(AND($D285&gt;0,AR285="")," * No olvide digitar la variable Compra de Servicio. Digite Cero si no tiene.","")</f>
        <v/>
      </c>
      <c r="CG285" s="198" t="n"/>
      <c r="CH285" s="196">
        <f>IF(AND($D285&gt;0,AT285="")," * No olvide digitar la variable Usuarios con Discapacidad. Digite Cero si no tiene.",IF(AT285&gt;$D285," * La variable Usuarios con Discapacidad no puede superar el Total Ambos Sexos.",""))</f>
        <v/>
      </c>
      <c r="CI285" s="196">
        <f>IF(AND($D285&gt;0,AU285="")," * No olvide digitar la variable Usuarios Oncológicos. Digite Cero si no tiene.",IF(AU285&gt;$D285," * La variable Usuarios Oncológicos no puede superar el Total Ambos Sexos.",""))</f>
        <v/>
      </c>
      <c r="CJ285" s="198" t="n"/>
      <c r="CK285" s="196">
        <f>IF(AND($D285&gt;0,AW285="")," * No olvide digitar la variable Migrantes. Digite Cero si no tiene.",IF(AW285&gt;$D285," * La variable Migrantes no puede superar el Total Ambos Sexos.",""))</f>
        <v/>
      </c>
      <c r="CL285" s="196">
        <f>IF(AND($D285&gt;0,AX285=""),"  * No olvide digitar la variable Pueblo Originario. Digite Cero si no tiene.",IF(AX285&gt;$D285," * La variable Pueblo Originario no puede superar el Total Ambos Sexos.",""))</f>
        <v/>
      </c>
      <c r="CO285" s="197">
        <f>IF(AND($F285&gt;0,AM285=""),1,IF(AM285&gt;$F285,1,0))</f>
        <v/>
      </c>
      <c r="CP285" s="197">
        <f>IF(AND(AG285+AH285&gt;0,AN285=""),1,IF(AN285&gt;AG285+AH285,1,0))</f>
        <v/>
      </c>
      <c r="CQ285" s="198" t="n"/>
      <c r="CR285" s="198" t="n"/>
      <c r="CS285" s="198" t="n"/>
      <c r="CT285" s="197">
        <f>IF(AND($D285&gt;0,AR285=""),1,0)</f>
        <v/>
      </c>
      <c r="CU285" s="198" t="n"/>
      <c r="CV285" s="197">
        <f>IF(AND($D285&gt;0,AT285=""),1,IF(AT285&gt;$D285,1,0))</f>
        <v/>
      </c>
      <c r="CW285" s="197">
        <f>IF(AND($D285&gt;0,AU285=""),1,IF(AU285&gt;$D285,1,0))</f>
        <v/>
      </c>
      <c r="CX285" s="198" t="n"/>
      <c r="CY285" s="197">
        <f>IF(AND($D285&gt;0,AW285=""),1,IF(AW285&gt;$D285,1,0))</f>
        <v/>
      </c>
      <c r="CZ285" s="197">
        <f>IF(AND($D285&gt;0,AX285=""),1,IF(AX285&gt;$D285,1,0))</f>
        <v/>
      </c>
    </row>
    <row r="286" ht="15" customHeight="1" s="8286">
      <c r="A286" s="9588" t="n"/>
      <c r="B286" s="8748" t="inlineStr">
        <is>
          <t xml:space="preserve">Altas de tratamiento </t>
        </is>
      </c>
      <c r="C286" s="9644" t="n"/>
      <c r="D286" s="2989">
        <f>SUM(E286+F286)</f>
        <v/>
      </c>
      <c r="E286" s="366">
        <f>SUM(G286++I286+K286+M286+O286+Q286+S286+U286+W286+Y286+AA286+AC286+AE286+AG286+AI286+AK286)</f>
        <v/>
      </c>
      <c r="F286" s="3018">
        <f>SUM(H286++J286+L286+N286+P286+R286+T286+V286+X286+Z286+AB286+AD286+AF286+AH286+AJ286+AL286)</f>
        <v/>
      </c>
      <c r="G286" s="1949" t="n"/>
      <c r="H286" s="2998" t="n"/>
      <c r="I286" s="1949" t="n"/>
      <c r="J286" s="2998" t="n"/>
      <c r="K286" s="1949" t="n"/>
      <c r="L286" s="2998" t="n"/>
      <c r="M286" s="1949" t="n"/>
      <c r="N286" s="2998" t="n"/>
      <c r="O286" s="1949" t="n"/>
      <c r="P286" s="2998" t="n"/>
      <c r="Q286" s="1949" t="n"/>
      <c r="R286" s="2998" t="n"/>
      <c r="S286" s="1949" t="n"/>
      <c r="T286" s="1950" t="n"/>
      <c r="U286" s="3008" t="n"/>
      <c r="V286" s="3009" t="n"/>
      <c r="W286" s="3008" t="n"/>
      <c r="X286" s="3009" t="n"/>
      <c r="Y286" s="3008" t="n"/>
      <c r="Z286" s="3009" t="n"/>
      <c r="AA286" s="3008" t="n"/>
      <c r="AB286" s="3009" t="n"/>
      <c r="AC286" s="3008" t="n"/>
      <c r="AD286" s="3009" t="n"/>
      <c r="AE286" s="3008" t="n"/>
      <c r="AF286" s="3009" t="n"/>
      <c r="AG286" s="3008" t="n"/>
      <c r="AH286" s="3009" t="n"/>
      <c r="AI286" s="3008" t="n"/>
      <c r="AJ286" s="3009" t="n"/>
      <c r="AK286" s="1949" t="n"/>
      <c r="AL286" s="1950" t="n"/>
      <c r="AM286" s="1937" t="n"/>
      <c r="AN286" s="2999" t="n"/>
      <c r="AO286" s="3000" t="n"/>
      <c r="AP286" s="3001" t="n"/>
      <c r="AQ286" s="5226" t="n"/>
      <c r="AR286" s="5240" t="n"/>
      <c r="AS286" s="5234" t="n"/>
      <c r="AT286" s="5240" t="n"/>
      <c r="AU286" s="1950" t="n"/>
      <c r="AV286" s="1275" t="n"/>
      <c r="AW286" s="5240" t="n"/>
      <c r="AX286" s="1950" t="n"/>
      <c r="AY286">
        <f>CA286&amp;CB286&amp;CC286&amp;CD286&amp;CE286&amp;CF286&amp;CG286&amp;CH286&amp;CI286&amp;CJ286&amp;CK286&amp;CL286</f>
        <v/>
      </c>
      <c r="CA286" s="196">
        <f>IF(AND($F286&gt;0,AM286="")," * No olvide digitar la variable Gestante. Digite cero si no tiene.",IF(AM286&gt;$F286," * La variable Gestante no puede superar el Total Mujeres.",""))</f>
        <v/>
      </c>
      <c r="CB286" s="196">
        <f>IF(AND(AG286+AH286&gt;0,AN286="")," * No olvide digitar la variable 60 años (incluido en grupos de 60-64 años). Digite Cero si no tiene.",IF(AN286&gt;AG286+AH286," * La variable 60 años (incluido en grupos de 60-64 años) no puede superar la suma del Grupo 60-64 años.",""))</f>
        <v/>
      </c>
      <c r="CC286" s="198" t="n"/>
      <c r="CD286" s="198" t="n"/>
      <c r="CE286" s="198" t="n"/>
      <c r="CF286" s="196">
        <f>IF(AND($D286&gt;0,AR286="")," * No olvide digitar la variable Compra de Servicio. Digite Cero si no tiene.","")</f>
        <v/>
      </c>
      <c r="CG286" s="198" t="n"/>
      <c r="CH286" s="196">
        <f>IF(AND($D286&gt;0,AT286="")," * No olvide digitar la variable Usuarios con Discapacidad. Digite Cero si no tiene.",IF(AT286&gt;$D286," * La variable Usuarios con Discapacidad no puede superar el Total Ambos Sexos.",""))</f>
        <v/>
      </c>
      <c r="CI286" s="196">
        <f>IF(AND($D286&gt;0,AU286="")," * No olvide digitar la variable Usuarios Oncológicos. Digite Cero si no tiene.",IF(AU286&gt;$D286," * La variable Usuarios Oncológicos no puede superar el Total Ambos Sexos.",""))</f>
        <v/>
      </c>
      <c r="CJ286" s="196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>
        <f>IF(AND($D286&gt;0,AW286="")," * No olvide digitar la variable Migrantes. Digite Cero si no tiene.",IF(AW286&gt;$D286," * La variable Migrantes no puede superar el Total Ambos Sexos.",""))</f>
        <v/>
      </c>
      <c r="CL286" s="196">
        <f>IF(AND($D286&gt;0,AX286=""),"  * No olvide digitar la variable Pueblo Originario. Digite Cero si no tiene.",IF(AX286&gt;$D286," * La variable Pueblo Originario no puede superar el Total Ambos Sexos.",""))</f>
        <v/>
      </c>
      <c r="CO286" s="197">
        <f>IF(AND($F286&gt;0,AM286=""),1,IF(AM286&gt;$F286,1,0))</f>
        <v/>
      </c>
      <c r="CP286" s="197">
        <f>IF(AND(AG286+AH286&gt;0,AN286=""),1,IF(AN286&gt;AG286+AH286,1,0))</f>
        <v/>
      </c>
      <c r="CQ286" s="198" t="n"/>
      <c r="CR286" s="198" t="n"/>
      <c r="CS286" s="198" t="n"/>
      <c r="CT286" s="197">
        <f>IF(AND($D286&gt;0,AR286=""),1,0)</f>
        <v/>
      </c>
      <c r="CU286" s="198" t="n"/>
      <c r="CV286" s="197">
        <f>IF(AND($D286&gt;0,AT286=""),1,IF(AT286&gt;$D286,1,0))</f>
        <v/>
      </c>
      <c r="CW286" s="197">
        <f>IF(AND($D286&gt;0,AU286=""),1,IF(AU286&gt;$D286,1,0))</f>
        <v/>
      </c>
      <c r="CX286" s="197">
        <f>IF(AND($D286&gt;0,AV286=""),1,IF(AV286&gt;$D286,1,0))</f>
        <v/>
      </c>
      <c r="CY286" s="197">
        <f>IF(AND($D286&gt;0,AW286=""),1,IF(AW286&gt;$D286,1,0))</f>
        <v/>
      </c>
      <c r="CZ286" s="197">
        <f>IF(AND($D286&gt;0,AX286=""),1,IF(AX286&gt;$D286,1,0))</f>
        <v/>
      </c>
    </row>
    <row r="287" ht="15" customHeight="1" s="8286">
      <c r="A287" s="9588" t="n"/>
      <c r="B287" s="8748" t="inlineStr">
        <is>
          <t xml:space="preserve">Control de especialidad post alta </t>
        </is>
      </c>
      <c r="C287" s="9644" t="n"/>
      <c r="D287" s="2989">
        <f>SUM(E287+F287)</f>
        <v/>
      </c>
      <c r="E287" s="2990">
        <f>SUM(G287++I287+K287+M287+O287+Q287+S287+U287+W287+Y287+AA287+AC287+AE287+AG287+AI287+AK287)</f>
        <v/>
      </c>
      <c r="F287" s="3014">
        <f>SUM(H287++J287+L287+N287+P287+R287+T287+V287+X287+Z287+AB287+AD287+AF287+AH287+AJ287+AL287)</f>
        <v/>
      </c>
      <c r="G287" s="1949" t="n"/>
      <c r="H287" s="2998" t="n"/>
      <c r="I287" s="1949" t="n"/>
      <c r="J287" s="2998" t="n"/>
      <c r="K287" s="1949" t="n"/>
      <c r="L287" s="2998" t="n"/>
      <c r="M287" s="1949" t="n"/>
      <c r="N287" s="2998" t="n"/>
      <c r="O287" s="1949" t="n"/>
      <c r="P287" s="2998" t="n"/>
      <c r="Q287" s="1949" t="n"/>
      <c r="R287" s="2998" t="n"/>
      <c r="S287" s="1949" t="n"/>
      <c r="T287" s="1950" t="n"/>
      <c r="U287" s="1949" t="n"/>
      <c r="V287" s="1950" t="n"/>
      <c r="W287" s="1949" t="n"/>
      <c r="X287" s="1950" t="n"/>
      <c r="Y287" s="1949" t="n"/>
      <c r="Z287" s="1950" t="n"/>
      <c r="AA287" s="1949" t="n"/>
      <c r="AB287" s="1950" t="n"/>
      <c r="AC287" s="1949" t="n"/>
      <c r="AD287" s="1950" t="n"/>
      <c r="AE287" s="1949" t="n"/>
      <c r="AF287" s="1950" t="n"/>
      <c r="AG287" s="1949" t="n"/>
      <c r="AH287" s="1950" t="n"/>
      <c r="AI287" s="1949" t="n"/>
      <c r="AJ287" s="1950" t="n"/>
      <c r="AK287" s="1949" t="n"/>
      <c r="AL287" s="1950" t="n"/>
      <c r="AM287" s="1937" t="n"/>
      <c r="AN287" s="2999" t="n"/>
      <c r="AO287" s="3000" t="n"/>
      <c r="AP287" s="3001" t="n"/>
      <c r="AQ287" s="365" t="n"/>
      <c r="AR287" s="5240" t="n"/>
      <c r="AS287" s="5235" t="n"/>
      <c r="AT287" s="5240" t="n"/>
      <c r="AU287" s="1950" t="n"/>
      <c r="AV287" s="3001" t="n"/>
      <c r="AW287" s="5240" t="n"/>
      <c r="AX287" s="1950" t="n"/>
      <c r="AY287">
        <f>CA287&amp;CB287&amp;CC287&amp;CD287&amp;CE287&amp;CF287&amp;CG287&amp;CH287&amp;CI287&amp;CJ287&amp;CK287&amp;CL287</f>
        <v/>
      </c>
      <c r="CA287" s="196">
        <f>IF(AND($F287&gt;0,AM287="")," * No olvide digitar la variable Gestante. Digite cero si no tiene.",IF(AM287&gt;$F287," * La variable Gestante no puede superar el Total Mujeres.",""))</f>
        <v/>
      </c>
      <c r="CB287" s="196">
        <f>IF(AND(AG287+AH287&gt;0,AN287="")," * No olvide digitar la variable 60 años (incluido en grupos de 60-64 años). Digite Cero si no tiene.",IF(AN287&gt;AG287+AH287," * La variable 60 años (incluido en grupos de 60-64 años) no puede superar la suma del Grupo 60-64 años.",""))</f>
        <v/>
      </c>
      <c r="CC287" s="198" t="n"/>
      <c r="CD287" s="198" t="n"/>
      <c r="CE287" s="198" t="n"/>
      <c r="CF287" s="196">
        <f>IF(AND($D287&gt;0,AR287="")," * No olvide digitar la variable Compra de Servicio. Digite Cero si no tiene.","")</f>
        <v/>
      </c>
      <c r="CG287" s="198" t="n"/>
      <c r="CH287" s="196">
        <f>IF(AND($D287&gt;0,AT287="")," * No olvide digitar la variable Usuarios con Discapacidad. Digite Cero si no tiene.",IF(AT287&gt;$D287," * La variable Usuarios con Discapacidad no puede superar el Total Ambos Sexos.",""))</f>
        <v/>
      </c>
      <c r="CI287" s="196">
        <f>IF(AND($D287&gt;0,AU287="")," * No olvide digitar la variable Usuarios Oncológicos. Digite Cero si no tiene.",IF(AU287&gt;$D287," * La variable Usuarios Oncológicos no puede superar el Total Ambos Sexos.",""))</f>
        <v/>
      </c>
      <c r="CJ287" s="198" t="n"/>
      <c r="CK287" s="196">
        <f>IF(AND($D287&gt;0,AW287="")," * No olvide digitar la variable Migrantes. Digite Cero si no tiene.",IF(AW287&gt;$D287," * La variable Migrantes no puede superar el Total Ambos Sexos.",""))</f>
        <v/>
      </c>
      <c r="CL287" s="196">
        <f>IF(AND($D287&gt;0,AX287=""),"  * No olvide digitar la variable Pueblo Originario. Digite Cero si no tiene.",IF(AX287&gt;$D287," * La variable Pueblo Originario no puede superar el Total Ambos Sexos.",""))</f>
        <v/>
      </c>
      <c r="CO287" s="197">
        <f>IF(AND($F287&gt;0,AM287=""),1,IF(AM287&gt;$F287,1,0))</f>
        <v/>
      </c>
      <c r="CP287" s="197">
        <f>IF(AND(AG287+AH287&gt;0,AN287=""),1,IF(AN287&gt;AG287+AH287,1,0))</f>
        <v/>
      </c>
      <c r="CQ287" s="198" t="n"/>
      <c r="CR287" s="198" t="n"/>
      <c r="CS287" s="198" t="n"/>
      <c r="CT287" s="197">
        <f>IF(AND($D287&gt;0,AR287=""),1,0)</f>
        <v/>
      </c>
      <c r="CU287" s="198" t="n"/>
      <c r="CV287" s="197">
        <f>IF(AND($D287&gt;0,AT287=""),1,IF(AT287&gt;$D287,1,0))</f>
        <v/>
      </c>
      <c r="CW287" s="197">
        <f>IF(AND($D287&gt;0,AU287=""),1,IF(AU287&gt;$D287,1,0))</f>
        <v/>
      </c>
      <c r="CX287" s="198" t="n"/>
      <c r="CY287" s="197">
        <f>IF(AND($D287&gt;0,AW287=""),1,IF(AW287&gt;$D287,1,0))</f>
        <v/>
      </c>
      <c r="CZ287" s="197">
        <f>IF(AND($D287&gt;0,AX287=""),1,IF(AX287&gt;$D287,1,0))</f>
        <v/>
      </c>
    </row>
    <row r="288" ht="15" customHeight="1" s="8286">
      <c r="A288" s="9589" t="n"/>
      <c r="B288" s="10282" t="inlineStr">
        <is>
          <t xml:space="preserve">Altas administrativas </t>
        </is>
      </c>
      <c r="C288" s="9710" t="n"/>
      <c r="D288" s="2673">
        <f>SUM(E288+F288)</f>
        <v/>
      </c>
      <c r="E288" s="800">
        <f>SUM(G288++I288+K288+M288+O288+Q288+S288+U288+W288+Y288+AA288+AC288+AE288+AG288+AI288+AK288)</f>
        <v/>
      </c>
      <c r="F288" s="2727">
        <f>SUM(H288++J288+L288+N288+P288+R288+T288+V288+X288+Z288+AB288+AD288+AF288+AH288+AJ288+AL288)</f>
        <v/>
      </c>
      <c r="G288" s="2997" t="n"/>
      <c r="H288" s="2998" t="n"/>
      <c r="I288" s="1949" t="n"/>
      <c r="J288" s="2998" t="n"/>
      <c r="K288" s="1949" t="n"/>
      <c r="L288" s="2998" t="n"/>
      <c r="M288" s="1949" t="n"/>
      <c r="N288" s="2998" t="n"/>
      <c r="O288" s="1949" t="n"/>
      <c r="P288" s="2998" t="n"/>
      <c r="Q288" s="1949" t="n"/>
      <c r="R288" s="2998" t="n"/>
      <c r="S288" s="1949" t="n"/>
      <c r="T288" s="1950" t="n"/>
      <c r="U288" s="1949" t="n"/>
      <c r="V288" s="1950" t="n"/>
      <c r="W288" s="1949" t="n"/>
      <c r="X288" s="1950" t="n"/>
      <c r="Y288" s="1949" t="n"/>
      <c r="Z288" s="1950" t="n"/>
      <c r="AA288" s="1949" t="n"/>
      <c r="AB288" s="1950" t="n"/>
      <c r="AC288" s="1949" t="n"/>
      <c r="AD288" s="1950" t="n"/>
      <c r="AE288" s="1949" t="n"/>
      <c r="AF288" s="1950" t="n"/>
      <c r="AG288" s="1949" t="n"/>
      <c r="AH288" s="1950" t="n"/>
      <c r="AI288" s="1949" t="n"/>
      <c r="AJ288" s="1950" t="n"/>
      <c r="AK288" s="1949" t="n"/>
      <c r="AL288" s="1950" t="n"/>
      <c r="AM288" s="1350" t="n"/>
      <c r="AN288" s="2984" t="n"/>
      <c r="AO288" s="3002" t="n"/>
      <c r="AP288" s="2985" t="n"/>
      <c r="AQ288" s="3003" t="n"/>
      <c r="AR288" s="1967" t="n"/>
      <c r="AS288" s="5233" t="n"/>
      <c r="AT288" s="1967" t="n"/>
      <c r="AU288" s="1277" t="n"/>
      <c r="AV288" s="2985" t="n"/>
      <c r="AW288" s="1967" t="n"/>
      <c r="AX288" s="1277" t="n"/>
      <c r="AY288">
        <f>CA288&amp;CB288&amp;CC288&amp;CD288&amp;CE288&amp;CF288&amp;CG288&amp;CH288&amp;CI288&amp;CJ288&amp;CK288&amp;CL288</f>
        <v/>
      </c>
      <c r="CA288" s="196">
        <f>IF(AND($F288&gt;0,AM288="")," * No olvide digitar la variable Gestante. Digite cero si no tiene.",IF(AM288&gt;$F288," * La variable Gestante no puede superar el Total Mujeres.",""))</f>
        <v/>
      </c>
      <c r="CB288" s="196">
        <f>IF(AND(AG288+AH288&gt;0,AN288="")," * No olvide digitar la variable 60 años (incluido en grupos de 60-64 años). Digite Cero si no tiene.",IF(AN288&gt;AG288+AH288," * La variable 60 años (incluido en grupos de 60-64 años) no puede superar la suma del Grupo 60-64 años.",""))</f>
        <v/>
      </c>
      <c r="CC288" s="198" t="n"/>
      <c r="CD288" s="198" t="n"/>
      <c r="CE288" s="198" t="n"/>
      <c r="CF288" s="196">
        <f>IF(AND($D288&gt;0,AR288="")," * No olvide digitar la variable Compra de Servicio. Digite Cero si no tiene.","")</f>
        <v/>
      </c>
      <c r="CG288" s="198" t="n"/>
      <c r="CH288" s="196">
        <f>IF(AND($D288&gt;0,AT288="")," * No olvide digitar la variable Usuarios con Discapacidad. Digite Cero si no tiene.",IF(AT288&gt;$D288," * La variable Usuarios con Discapacidad no puede superar el Total Ambos Sexos.",""))</f>
        <v/>
      </c>
      <c r="CI288" s="196">
        <f>IF(AND($D288&gt;0,AU288="")," * No olvide digitar la variable Usuarios Oncológicos. Digite Cero si no tiene.",IF(AU288&gt;$D288," * La variable Usuarios Oncológicos no puede superar el Total Ambos Sexos.",""))</f>
        <v/>
      </c>
      <c r="CJ288" s="198" t="n"/>
      <c r="CK288" s="196">
        <f>IF(AND($D288&gt;0,AW288="")," * No olvide digitar la variable Migrantes. Digite Cero si no tiene.",IF(AW288&gt;$D288," * La variable Migrantes no puede superar el Total Ambos Sexos.",""))</f>
        <v/>
      </c>
      <c r="CL288" s="196">
        <f>IF(AND($D288&gt;0,AX288=""),"  * No olvide digitar la variable Pueblo Originario. Digite Cero si no tiene.",IF(AX288&gt;$D288," * La variable Pueblo Originario no puede superar el Total Ambos Sexos.",""))</f>
        <v/>
      </c>
      <c r="CO288" s="197">
        <f>IF(AND($F288&gt;0,AM288=""),1,IF(AM288&gt;$F288,1,0))</f>
        <v/>
      </c>
      <c r="CP288" s="197">
        <f>IF(AND(AG288+AH288&gt;0,AN288=""),1,IF(AN288&gt;AG288+AH288,1,0))</f>
        <v/>
      </c>
      <c r="CQ288" s="198" t="n"/>
      <c r="CR288" s="198" t="n"/>
      <c r="CS288" s="198" t="n"/>
      <c r="CT288" s="197">
        <f>IF(AND($D288&gt;0,AR288=""),1,0)</f>
        <v/>
      </c>
      <c r="CU288" s="198" t="n"/>
      <c r="CV288" s="197">
        <f>IF(AND($D288&gt;0,AT288=""),1,IF(AT288&gt;$D288,1,0))</f>
        <v/>
      </c>
      <c r="CW288" s="197">
        <f>IF(AND($D288&gt;0,AU288=""),1,IF(AU288&gt;$D288,1,0))</f>
        <v/>
      </c>
      <c r="CX288" s="198" t="n"/>
      <c r="CY288" s="197">
        <f>IF(AND($D288&gt;0,AW288=""),1,IF(AW288&gt;$D288,1,0))</f>
        <v/>
      </c>
      <c r="CZ288" s="197">
        <f>IF(AND($D288&gt;0,AX288=""),1,IF(AX288&gt;$D288,1,0))</f>
        <v/>
      </c>
    </row>
    <row r="289" ht="15" customHeight="1" s="8286">
      <c r="A289" s="10236" t="inlineStr">
        <is>
          <t xml:space="preserve">Rehabilitación: Prótesis fija </t>
        </is>
      </c>
      <c r="B289" s="8445" t="inlineStr">
        <is>
          <t xml:space="preserve">Consulta nueva  </t>
        </is>
      </c>
      <c r="C289" s="10281" t="n"/>
      <c r="D289" s="2957">
        <f>SUM(E289+F289)</f>
        <v/>
      </c>
      <c r="E289" s="845">
        <f>SUM(W289+Y289+AA289+AC289+AE289+AG289+AI289+AK289)</f>
        <v/>
      </c>
      <c r="F289" s="2715">
        <f>SUM(X289+Z289+AB289+AD289+AF289+AH289+AJ289+AL289)</f>
        <v/>
      </c>
      <c r="G289" s="3024" t="n"/>
      <c r="H289" s="3025" t="n"/>
      <c r="I289" s="3026" t="n"/>
      <c r="J289" s="3025" t="n"/>
      <c r="K289" s="3027" t="n"/>
      <c r="L289" s="2982" t="n"/>
      <c r="M289" s="3028" t="n"/>
      <c r="N289" s="2982" t="n"/>
      <c r="O289" s="3026" t="n"/>
      <c r="P289" s="3025" t="n"/>
      <c r="Q289" s="3026" t="n"/>
      <c r="R289" s="3025" t="n"/>
      <c r="S289" s="3027" t="n"/>
      <c r="T289" s="2982" t="n"/>
      <c r="U289" s="3028" t="n"/>
      <c r="V289" s="2982" t="n"/>
      <c r="W289" s="2430" t="n"/>
      <c r="X289" s="2401" t="n"/>
      <c r="Y289" s="2430" t="n"/>
      <c r="Z289" s="2401" t="n"/>
      <c r="AA289" s="2430" t="n"/>
      <c r="AB289" s="2401" t="n"/>
      <c r="AC289" s="2430" t="n"/>
      <c r="AD289" s="2401" t="n"/>
      <c r="AE289" s="2430" t="n"/>
      <c r="AF289" s="2401" t="n"/>
      <c r="AG289" s="2430" t="n"/>
      <c r="AH289" s="2401" t="n"/>
      <c r="AI289" s="2430" t="n"/>
      <c r="AJ289" s="2401" t="n"/>
      <c r="AK289" s="2430" t="n"/>
      <c r="AL289" s="2401" t="n"/>
      <c r="AM289" s="1944" t="n"/>
      <c r="AN289" s="2988" t="n"/>
      <c r="AO289" s="2427" t="n"/>
      <c r="AP289" s="764" t="n"/>
      <c r="AQ289" s="5227" t="n"/>
      <c r="AR289" s="5239" t="n"/>
      <c r="AS289" s="5234" t="n"/>
      <c r="AT289" s="5239" t="n"/>
      <c r="AU289" s="1278" t="n"/>
      <c r="AV289" s="2981" t="n"/>
      <c r="AW289" s="5239" t="n"/>
      <c r="AX289" s="1278" t="n"/>
      <c r="AY289">
        <f>CA289&amp;CB289&amp;CC289&amp;CD289&amp;CE289&amp;CF289&amp;CG289&amp;CH289&amp;CI289&amp;CJ289&amp;CK289&amp;CL289</f>
        <v/>
      </c>
      <c r="CA289" s="196">
        <f>IF(AND($F289&gt;0,AM289="")," * No olvide digitar la variable Gestante. Digite cero si no tiene.",IF(AM289&gt;$F289," * La variable Gestante no puede superar el Total Mujeres.",""))</f>
        <v/>
      </c>
      <c r="CB289" s="196">
        <f>IF(AND(AG289+AH289&gt;0,AN289="")," * No olvide digitar la variable 60 años (incluido en grupos de 60-64 años). Digite Cero si no tiene.",IF(AN289&gt;AG289+AH289," * La variable 60 años (incluido en grupos de 60-64 años) no puede superar la suma del Grupo 60-64 años.",""))</f>
        <v/>
      </c>
      <c r="CC289" s="196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>
        <f>IF(AND($D289&gt;0,AQ289="")," * No olvide digitar la variable Inasistente. Digite cero si no tiene.",IF(AQ289&gt;$D289," * La variable Insasistente no puede superar el Total Ambos Sexos.",""))</f>
        <v/>
      </c>
      <c r="CF289" s="196">
        <f>IF(AND($D289&gt;0,AR289="")," * No olvide digitar la variable Compra de Servicio. Digite Cero si no tiene.","")</f>
        <v/>
      </c>
      <c r="CG289" s="198" t="n"/>
      <c r="CH289" s="196">
        <f>IF(AND($D289&gt;0,AT289="")," * No olvide digitar la variable Usuarios con Discapacidad. Digite Cero si no tiene.",IF(AT289&gt;$D289," * La variable Usuarios con Discapacidad no puede superar el Total Ambos Sexos.",""))</f>
        <v/>
      </c>
      <c r="CI289" s="196">
        <f>IF(AND($D289&gt;0,AU289="")," * No olvide digitar la variable Usuarios Oncológicos. Digite Cero si no tiene.",IF(AU289&gt;$D289," * La variable Usuarios Oncológicos no puede superar el Total Ambos Sexos.",""))</f>
        <v/>
      </c>
      <c r="CJ289" s="198" t="n"/>
      <c r="CK289" s="196">
        <f>IF(AND($D289&gt;0,AW289="")," * No olvide digitar la variable Migrantes. Digite Cero si no tiene.",IF(AW289&gt;$D289," * La variable Migrantes no puede superar el Total Ambos Sexos.",""))</f>
        <v/>
      </c>
      <c r="CL289" s="196">
        <f>IF(AND($D289&gt;0,AX289=""),"  * No olvide digitar la variable Pueblo Originario. Digite Cero si no tiene.",IF(AX289&gt;$D289," * La variable Pueblo Originario no puede superar el Total Ambos Sexos.",""))</f>
        <v/>
      </c>
      <c r="CO289" s="197">
        <f>IF(AND($F289&gt;0,AM289=""),1,IF(AM289&gt;$F289,1,0))</f>
        <v/>
      </c>
      <c r="CP289" s="197">
        <f>IF(AND(AG289+AH289&gt;0,AN289=""),1,IF(AN289&gt;AG289+AH289,1,0))</f>
        <v/>
      </c>
      <c r="CQ289" s="197">
        <f>IF(AND($D289&gt;0,AO289=""),1,IF(AO289&gt;$D289,1,0))</f>
        <v/>
      </c>
      <c r="CR289" s="197">
        <f>IF(AND($D289&gt;0,AP289=""),1,IF(AP289&gt;$D289,1,0))</f>
        <v/>
      </c>
      <c r="CS289" s="197">
        <f>IF(AND($D289&gt;0,AQ289=""),1,IF(AQ289&gt;$D289,1,0))</f>
        <v/>
      </c>
      <c r="CT289" s="197">
        <f>IF(AND($D289&gt;0,AR289=""),1,0)</f>
        <v/>
      </c>
      <c r="CU289" s="198" t="n"/>
      <c r="CV289" s="197">
        <f>IF(AND($D289&gt;0,AT289=""),1,IF(AT289&gt;$D289,1,0))</f>
        <v/>
      </c>
      <c r="CW289" s="197">
        <f>IF(AND($D289&gt;0,AU289=""),1,IF(AU289&gt;$D289,1,0))</f>
        <v/>
      </c>
      <c r="CX289" s="198" t="n"/>
      <c r="CY289" s="197">
        <f>IF(AND($D289&gt;0,AW289=""),1,IF(AW289&gt;$D289,1,0))</f>
        <v/>
      </c>
      <c r="CZ289" s="197">
        <f>IF(AND($D289&gt;0,AX289=""),1,IF(AX289&gt;$D289,1,0))</f>
        <v/>
      </c>
    </row>
    <row r="290" ht="15" customHeight="1" s="8286">
      <c r="A290" s="9588" t="n"/>
      <c r="B290" s="8748" t="inlineStr">
        <is>
          <t xml:space="preserve">Control  </t>
        </is>
      </c>
      <c r="C290" s="9644" t="n"/>
      <c r="D290" s="2989">
        <f>SUM(E290+F290)</f>
        <v/>
      </c>
      <c r="E290" s="2990">
        <f>SUM(W290+Y290+AA290+AC290+AE290+AG290+AI290+AK290)</f>
        <v/>
      </c>
      <c r="F290" s="3014">
        <f>SUM(X290+Z290+AB290+AD290+AF290+AH290+AJ290+AL290)</f>
        <v/>
      </c>
      <c r="G290" s="3029" t="n"/>
      <c r="H290" s="3030" t="n"/>
      <c r="I290" s="3029" t="n"/>
      <c r="J290" s="3030" t="n"/>
      <c r="K290" s="2996" t="n"/>
      <c r="L290" s="2981" t="n"/>
      <c r="M290" s="2996" t="n"/>
      <c r="N290" s="2981" t="n"/>
      <c r="O290" s="3029" t="n"/>
      <c r="P290" s="3030" t="n"/>
      <c r="Q290" s="3029" t="n"/>
      <c r="R290" s="3030" t="n"/>
      <c r="S290" s="2996" t="n"/>
      <c r="T290" s="2981" t="n"/>
      <c r="U290" s="2996" t="n"/>
      <c r="V290" s="2981" t="n"/>
      <c r="W290" s="2993" t="n"/>
      <c r="X290" s="1275" t="n"/>
      <c r="Y290" s="2993" t="n"/>
      <c r="Z290" s="1275" t="n"/>
      <c r="AA290" s="2993" t="n"/>
      <c r="AB290" s="1275" t="n"/>
      <c r="AC290" s="2993" t="n"/>
      <c r="AD290" s="1275" t="n"/>
      <c r="AE290" s="2993" t="n"/>
      <c r="AF290" s="1275" t="n"/>
      <c r="AG290" s="2993" t="n"/>
      <c r="AH290" s="1275" t="n"/>
      <c r="AI290" s="2993" t="n"/>
      <c r="AJ290" s="1275" t="n"/>
      <c r="AK290" s="2993" t="n"/>
      <c r="AL290" s="1275" t="n"/>
      <c r="AM290" s="2994" t="n"/>
      <c r="AN290" s="2995" t="n"/>
      <c r="AO290" s="2980" t="n"/>
      <c r="AP290" s="2981" t="n"/>
      <c r="AQ290" s="5228" t="n"/>
      <c r="AR290" s="3951" t="n"/>
      <c r="AS290" s="5234" t="n"/>
      <c r="AT290" s="3951" t="n"/>
      <c r="AU290" s="1275" t="n"/>
      <c r="AV290" s="2981" t="n"/>
      <c r="AW290" s="3951" t="n"/>
      <c r="AX290" s="1275" t="n"/>
      <c r="AY290">
        <f>CA290&amp;CB290&amp;CC290&amp;CD290&amp;CE290&amp;CF290&amp;CG290&amp;CH290&amp;CI290&amp;CJ290&amp;CK290&amp;CL290</f>
        <v/>
      </c>
      <c r="CA290" s="196">
        <f>IF(AND($F290&gt;0,AM290="")," * No olvide digitar la variable Gestante. Digite cero si no tiene.",IF(AM290&gt;$F290," * La variable Gestante no puede superar el Total Mujeres.",""))</f>
        <v/>
      </c>
      <c r="CB290" s="196">
        <f>IF(AND(AG290+AH290&gt;0,AN290="")," * No olvide digitar la variable 60 años (incluido en grupos de 60-64 años). Digite Cero si no tiene.",IF(AN290&gt;AG290+AH290," * La variable 60 años (incluido en grupos de 60-64 años) no puede superar la suma del Grupo 60-64 años.",""))</f>
        <v/>
      </c>
      <c r="CC290" s="198" t="n"/>
      <c r="CD290" s="198" t="n"/>
      <c r="CE290" s="196">
        <f>IF(AND($D290&gt;0,AQ290="")," * No olvide digitar la variable Inasistente. Digite cero si no tiene.",IF(AQ290&gt;$D290," * La variable Insasistente no puede superar el Total Ambos Sexos.",""))</f>
        <v/>
      </c>
      <c r="CF290" s="196">
        <f>IF(AND($D290&gt;0,AR290="")," * No olvide digitar la variable Compra de Servicio. Digite Cero si no tiene.","")</f>
        <v/>
      </c>
      <c r="CG290" s="198" t="n"/>
      <c r="CH290" s="196">
        <f>IF(AND($D290&gt;0,AT290="")," * No olvide digitar la variable Usuarios con Discapacidad. Digite Cero si no tiene.",IF(AT290&gt;$D290," * La variable Usuarios con Discapacidad no puede superar el Total Ambos Sexos.",""))</f>
        <v/>
      </c>
      <c r="CI290" s="196">
        <f>IF(AND($D290&gt;0,AU290="")," * No olvide digitar la variable Usuarios Oncológicos. Digite Cero si no tiene.",IF(AU290&gt;$D290," * La variable Usuarios Oncológicos no puede superar el Total Ambos Sexos.",""))</f>
        <v/>
      </c>
      <c r="CJ290" s="198" t="n"/>
      <c r="CK290" s="196">
        <f>IF(AND($D290&gt;0,AW290="")," * No olvide digitar la variable Migrantes. Digite Cero si no tiene.",IF(AW290&gt;$D290," * La variable Migrantes no puede superar el Total Ambos Sexos.",""))</f>
        <v/>
      </c>
      <c r="CL290" s="196">
        <f>IF(AND($D290&gt;0,AX290=""),"  * No olvide digitar la variable Pueblo Originario. Digite Cero si no tiene.",IF(AX290&gt;$D290," * La variable Pueblo Originario no puede superar el Total Ambos Sexos.",""))</f>
        <v/>
      </c>
      <c r="CO290" s="197">
        <f>IF(AND($F290&gt;0,AM290=""),1,IF(AM290&gt;$F290,1,0))</f>
        <v/>
      </c>
      <c r="CP290" s="197">
        <f>IF(AND(AG290+AH290&gt;0,AN290=""),1,IF(AN290&gt;AG290+AH290,1,0))</f>
        <v/>
      </c>
      <c r="CQ290" s="198" t="n"/>
      <c r="CR290" s="198" t="n"/>
      <c r="CS290" s="197">
        <f>IF(AND($D290&gt;0,AQ290=""),1,IF(AQ290&gt;$D290,1,0))</f>
        <v/>
      </c>
      <c r="CT290" s="197">
        <f>IF(AND($D290&gt;0,AR290=""),1,0)</f>
        <v/>
      </c>
      <c r="CU290" s="198" t="n"/>
      <c r="CV290" s="197">
        <f>IF(AND($D290&gt;0,AT290=""),1,IF(AT290&gt;$D290,1,0))</f>
        <v/>
      </c>
      <c r="CW290" s="197">
        <f>IF(AND($D290&gt;0,AU290=""),1,IF(AU290&gt;$D290,1,0))</f>
        <v/>
      </c>
      <c r="CX290" s="198" t="n"/>
      <c r="CY290" s="197">
        <f>IF(AND($D290&gt;0,AW290=""),1,IF(AW290&gt;$D290,1,0))</f>
        <v/>
      </c>
      <c r="CZ290" s="197">
        <f>IF(AND($D290&gt;0,AX290=""),1,IF(AX290&gt;$D290,1,0))</f>
        <v/>
      </c>
    </row>
    <row r="291" ht="15" customHeight="1" s="8286">
      <c r="A291" s="9588" t="n"/>
      <c r="B291" s="8748" t="inlineStr">
        <is>
          <t xml:space="preserve">Ingreso a tratamiento </t>
        </is>
      </c>
      <c r="C291" s="9644" t="n"/>
      <c r="D291" s="2989">
        <f>SUM(E291+F291)</f>
        <v/>
      </c>
      <c r="E291" s="2990">
        <f>SUM(W291+Y291+AA291+AC291+AE291+AG291+AI291+AK291)</f>
        <v/>
      </c>
      <c r="F291" s="3014">
        <f>SUM(X291+Z291+AB291+AD291+AF291+AH291+AJ291+AL291)</f>
        <v/>
      </c>
      <c r="G291" s="3029" t="n"/>
      <c r="H291" s="3030" t="n"/>
      <c r="I291" s="3029" t="n"/>
      <c r="J291" s="3030" t="n"/>
      <c r="K291" s="2996" t="n"/>
      <c r="L291" s="2981" t="n"/>
      <c r="M291" s="2996" t="n"/>
      <c r="N291" s="2981" t="n"/>
      <c r="O291" s="3029" t="n"/>
      <c r="P291" s="3030" t="n"/>
      <c r="Q291" s="3029" t="n"/>
      <c r="R291" s="3030" t="n"/>
      <c r="S291" s="2996" t="n"/>
      <c r="T291" s="2981" t="n"/>
      <c r="U291" s="2996" t="n"/>
      <c r="V291" s="2981" t="n"/>
      <c r="W291" s="2993" t="n"/>
      <c r="X291" s="1275" t="n"/>
      <c r="Y291" s="2993" t="n"/>
      <c r="Z291" s="1275" t="n"/>
      <c r="AA291" s="2993" t="n"/>
      <c r="AB291" s="1275" t="n"/>
      <c r="AC291" s="2993" t="n"/>
      <c r="AD291" s="1275" t="n"/>
      <c r="AE291" s="2993" t="n"/>
      <c r="AF291" s="1275" t="n"/>
      <c r="AG291" s="2993" t="n"/>
      <c r="AH291" s="1275" t="n"/>
      <c r="AI291" s="2993" t="n"/>
      <c r="AJ291" s="1275" t="n"/>
      <c r="AK291" s="2993" t="n"/>
      <c r="AL291" s="1275" t="n"/>
      <c r="AM291" s="2994" t="n"/>
      <c r="AN291" s="2995" t="n"/>
      <c r="AO291" s="2980" t="n"/>
      <c r="AP291" s="2981" t="n"/>
      <c r="AQ291" s="5226" t="n"/>
      <c r="AR291" s="3951" t="n"/>
      <c r="AS291" s="5234" t="n"/>
      <c r="AT291" s="3951" t="n"/>
      <c r="AU291" s="1275" t="n"/>
      <c r="AV291" s="2981" t="n"/>
      <c r="AW291" s="3951" t="n"/>
      <c r="AX291" s="1275" t="n"/>
      <c r="AY291">
        <f>CA291&amp;CB291&amp;CC291&amp;CD291&amp;CE291&amp;CF291&amp;CG291&amp;CH291&amp;CI291&amp;CJ291&amp;CK291&amp;CL291</f>
        <v/>
      </c>
      <c r="CA291" s="196">
        <f>IF(AND($F291&gt;0,AM291="")," * No olvide digitar la variable Gestante. Digite cero si no tiene.",IF(AM291&gt;$F291," * La variable Gestante no puede superar el Total Mujeres.",""))</f>
        <v/>
      </c>
      <c r="CB291" s="196">
        <f>IF(AND(AG291+AH291&gt;0,AN291="")," * No olvide digitar la variable 60 años (incluido en grupos de 60-64 años). Digite Cero si no tiene.",IF(AN291&gt;AG291+AH291," * La variable 60 años (incluido en grupos de 60-64 años) no puede superar la suma del Grupo 60-64 años.",""))</f>
        <v/>
      </c>
      <c r="CC291" s="198" t="n"/>
      <c r="CD291" s="198" t="n"/>
      <c r="CE291" s="198" t="n"/>
      <c r="CF291" s="196">
        <f>IF(AND($D291&gt;0,AR291="")," * No olvide digitar la variable Compra de Servicio. Digite Cero si no tiene.","")</f>
        <v/>
      </c>
      <c r="CG291" s="198" t="n"/>
      <c r="CH291" s="196">
        <f>IF(AND($D291&gt;0,AT291="")," * No olvide digitar la variable Usuarios con Discapacidad. Digite Cero si no tiene.",IF(AT291&gt;$D291," * La variable Usuarios con Discapacidad no puede superar el Total Ambos Sexos.",""))</f>
        <v/>
      </c>
      <c r="CI291" s="196">
        <f>IF(AND($D291&gt;0,AU291="")," * No olvide digitar la variable Usuarios Oncológicos. Digite Cero si no tiene.",IF(AU291&gt;$D291," * La variable Usuarios Oncológicos no puede superar el Total Ambos Sexos.",""))</f>
        <v/>
      </c>
      <c r="CJ291" s="198" t="n"/>
      <c r="CK291" s="196">
        <f>IF(AND($D291&gt;0,AW291="")," * No olvide digitar la variable Migrantes. Digite Cero si no tiene.",IF(AW291&gt;$D291," * La variable Migrantes no puede superar el Total Ambos Sexos.",""))</f>
        <v/>
      </c>
      <c r="CL291" s="196">
        <f>IF(AND($D291&gt;0,AX291=""),"  * No olvide digitar la variable Pueblo Originario. Digite Cero si no tiene.",IF(AX291&gt;$D291," * La variable Pueblo Originario no puede superar el Total Ambos Sexos.",""))</f>
        <v/>
      </c>
      <c r="CO291" s="197">
        <f>IF(AND($F291&gt;0,AM291=""),1,IF(AM291&gt;$F291,1,0))</f>
        <v/>
      </c>
      <c r="CP291" s="197">
        <f>IF(AND(AG291+AH291&gt;0,AN291=""),1,IF(AN291&gt;AG291+AH291,1,0))</f>
        <v/>
      </c>
      <c r="CQ291" s="198" t="n"/>
      <c r="CR291" s="198" t="n"/>
      <c r="CS291" s="198" t="n"/>
      <c r="CT291" s="197">
        <f>IF(AND($D291&gt;0,AR291=""),1,0)</f>
        <v/>
      </c>
      <c r="CU291" s="198" t="n"/>
      <c r="CV291" s="197">
        <f>IF(AND($D291&gt;0,AT291=""),1,IF(AT291&gt;$D291,1,0))</f>
        <v/>
      </c>
      <c r="CW291" s="197">
        <f>IF(AND($D291&gt;0,AU291=""),1,IF(AU291&gt;$D291,1,0))</f>
        <v/>
      </c>
      <c r="CX291" s="198" t="n"/>
      <c r="CY291" s="197">
        <f>IF(AND($D291&gt;0,AW291=""),1,IF(AW291&gt;$D291,1,0))</f>
        <v/>
      </c>
      <c r="CZ291" s="197">
        <f>IF(AND($D291&gt;0,AX291=""),1,IF(AX291&gt;$D291,1,0))</f>
        <v/>
      </c>
    </row>
    <row r="292" ht="15" customHeight="1" s="8286">
      <c r="A292" s="9588" t="n"/>
      <c r="B292" s="8748" t="inlineStr">
        <is>
          <t xml:space="preserve">Altas de tratamiento </t>
        </is>
      </c>
      <c r="C292" s="9644" t="n"/>
      <c r="D292" s="2989">
        <f>SUM(E292+F292)</f>
        <v/>
      </c>
      <c r="E292" s="2990">
        <f>SUM(W292+Y292+AA292+AC292+AE292+AG292+AI292+AK292)</f>
        <v/>
      </c>
      <c r="F292" s="3014">
        <f>SUM(X292+Z292+AB292+AD292+AF292+AH292+AJ292+AL292)</f>
        <v/>
      </c>
      <c r="G292" s="3031" t="n"/>
      <c r="H292" s="3032" t="n"/>
      <c r="I292" s="3031" t="n"/>
      <c r="J292" s="3032" t="n"/>
      <c r="K292" s="2980" t="n"/>
      <c r="L292" s="2981" t="n"/>
      <c r="M292" s="2980" t="n"/>
      <c r="N292" s="2981" t="n"/>
      <c r="O292" s="3031" t="n"/>
      <c r="P292" s="3032" t="n"/>
      <c r="Q292" s="3031" t="n"/>
      <c r="R292" s="3032" t="n"/>
      <c r="S292" s="2980" t="n"/>
      <c r="T292" s="2981" t="n"/>
      <c r="U292" s="2980" t="n"/>
      <c r="V292" s="2981" t="n"/>
      <c r="W292" s="1949" t="n"/>
      <c r="X292" s="1950" t="n"/>
      <c r="Y292" s="1949" t="n"/>
      <c r="Z292" s="1950" t="n"/>
      <c r="AA292" s="1949" t="n"/>
      <c r="AB292" s="1950" t="n"/>
      <c r="AC292" s="1949" t="n"/>
      <c r="AD292" s="1950" t="n"/>
      <c r="AE292" s="1949" t="n"/>
      <c r="AF292" s="1950" t="n"/>
      <c r="AG292" s="1949" t="n"/>
      <c r="AH292" s="1950" t="n"/>
      <c r="AI292" s="1949" t="n"/>
      <c r="AJ292" s="1950" t="n"/>
      <c r="AK292" s="1949" t="n"/>
      <c r="AL292" s="1950" t="n"/>
      <c r="AM292" s="1937" t="n"/>
      <c r="AN292" s="2999" t="n"/>
      <c r="AO292" s="2980" t="n"/>
      <c r="AP292" s="2981" t="n"/>
      <c r="AQ292" s="5226" t="n"/>
      <c r="AR292" s="5240" t="n"/>
      <c r="AS292" s="5234" t="n"/>
      <c r="AT292" s="5240" t="n"/>
      <c r="AU292" s="1950" t="n"/>
      <c r="AV292" s="1275" t="n"/>
      <c r="AW292" s="5240" t="n"/>
      <c r="AX292" s="1950" t="n"/>
      <c r="AY292">
        <f>CA292&amp;CB292&amp;CC292&amp;CD292&amp;CE292&amp;CF292&amp;CG292&amp;CH292&amp;CI292&amp;CJ292&amp;CK292&amp;CL292</f>
        <v/>
      </c>
      <c r="CA292" s="196">
        <f>IF(AND($F292&gt;0,AM292="")," * No olvide digitar la variable Gestante. Digite cero si no tiene.",IF(AM292&gt;$F292," * La variable Gestante no puede superar el Total Mujeres.",""))</f>
        <v/>
      </c>
      <c r="CB292" s="196">
        <f>IF(AND(AG292+AH292&gt;0,AN292="")," * No olvide digitar la variable 60 años (incluido en grupos de 60-64 años). Digite Cero si no tiene.",IF(AN292&gt;AG292+AH292," * La variable 60 años (incluido en grupos de 60-64 años) no puede superar la suma del Grupo 60-64 años.",""))</f>
        <v/>
      </c>
      <c r="CC292" s="198" t="n"/>
      <c r="CD292" s="198" t="n"/>
      <c r="CE292" s="198" t="n"/>
      <c r="CF292" s="196">
        <f>IF(AND($D292&gt;0,AR292="")," * No olvide digitar la variable Compra de Servicio. Digite Cero si no tiene.","")</f>
        <v/>
      </c>
      <c r="CG292" s="198" t="n"/>
      <c r="CH292" s="196">
        <f>IF(AND($D292&gt;0,AT292="")," * No olvide digitar la variable Usuarios con Discapacidad. Digite Cero si no tiene.",IF(AT292&gt;$D292," * La variable Usuarios con Discapacidad no puede superar el Total Ambos Sexos.",""))</f>
        <v/>
      </c>
      <c r="CI292" s="196">
        <f>IF(AND($D292&gt;0,AU292="")," * No olvide digitar la variable Usuarios Oncológicos. Digite Cero si no tiene.",IF(AU292&gt;$D292," * La variable Usuarios Oncológicos no puede superar el Total Ambos Sexos.",""))</f>
        <v/>
      </c>
      <c r="CJ292" s="196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>
        <f>IF(AND($D292&gt;0,AW292="")," * No olvide digitar la variable Migrantes. Digite Cero si no tiene.",IF(AW292&gt;$D292," * La variable Migrantes no puede superar el Total Ambos Sexos.",""))</f>
        <v/>
      </c>
      <c r="CL292" s="196">
        <f>IF(AND($D292&gt;0,AX292=""),"  * No olvide digitar la variable Pueblo Originario. Digite Cero si no tiene.",IF(AX292&gt;$D292," * La variable Pueblo Originario no puede superar el Total Ambos Sexos.",""))</f>
        <v/>
      </c>
      <c r="CO292" s="197">
        <f>IF(AND($F292&gt;0,AM292=""),1,IF(AM292&gt;$F292,1,0))</f>
        <v/>
      </c>
      <c r="CP292" s="197">
        <f>IF(AND(AG292+AH292&gt;0,AN292=""),1,IF(AN292&gt;AG292+AH292,1,0))</f>
        <v/>
      </c>
      <c r="CQ292" s="198" t="n"/>
      <c r="CR292" s="198" t="n"/>
      <c r="CS292" s="198" t="n"/>
      <c r="CT292" s="197">
        <f>IF(AND($D292&gt;0,AR292=""),1,0)</f>
        <v/>
      </c>
      <c r="CU292" s="198" t="n"/>
      <c r="CV292" s="197">
        <f>IF(AND($D292&gt;0,AT292=""),1,IF(AT292&gt;$D292,1,0))</f>
        <v/>
      </c>
      <c r="CW292" s="197">
        <f>IF(AND($D292&gt;0,AU292=""),1,IF(AU292&gt;$D292,1,0))</f>
        <v/>
      </c>
      <c r="CX292" s="197">
        <f>IF(AND($D292&gt;0,AV292=""),1,IF(AV292&gt;$D292,1,0))</f>
        <v/>
      </c>
      <c r="CY292" s="197">
        <f>IF(AND($D292&gt;0,AW292=""),1,IF(AW292&gt;$D292,1,0))</f>
        <v/>
      </c>
      <c r="CZ292" s="197">
        <f>IF(AND($D292&gt;0,AX292=""),1,IF(AX292&gt;$D292,1,0))</f>
        <v/>
      </c>
    </row>
    <row r="293" ht="15" customHeight="1" s="8286">
      <c r="A293" s="9588" t="n"/>
      <c r="B293" s="8748" t="inlineStr">
        <is>
          <t xml:space="preserve">Control de especialidad post alta </t>
        </is>
      </c>
      <c r="C293" s="9644" t="n"/>
      <c r="D293" s="2989">
        <f>SUM(E293+F293)</f>
        <v/>
      </c>
      <c r="E293" s="2990">
        <f>SUM(W293+Y293+AA293+AC293+AE293+AG293+AI293+AK293)</f>
        <v/>
      </c>
      <c r="F293" s="3014">
        <f>SUM(X293+Z293+AB293+AD293+AF293+AH293+AJ293+AL293)</f>
        <v/>
      </c>
      <c r="G293" s="3031" t="n"/>
      <c r="H293" s="3032" t="n"/>
      <c r="I293" s="3031" t="n"/>
      <c r="J293" s="3032" t="n"/>
      <c r="K293" s="3000" t="n"/>
      <c r="L293" s="3001" t="n"/>
      <c r="M293" s="3000" t="n"/>
      <c r="N293" s="3001" t="n"/>
      <c r="O293" s="3031" t="n"/>
      <c r="P293" s="3032" t="n"/>
      <c r="Q293" s="3031" t="n"/>
      <c r="R293" s="3032" t="n"/>
      <c r="S293" s="3000" t="n"/>
      <c r="T293" s="3001" t="n"/>
      <c r="U293" s="3000" t="n"/>
      <c r="V293" s="3001" t="n"/>
      <c r="W293" s="1949" t="n"/>
      <c r="X293" s="1950" t="n"/>
      <c r="Y293" s="1949" t="n"/>
      <c r="Z293" s="1950" t="n"/>
      <c r="AA293" s="1949" t="n"/>
      <c r="AB293" s="1950" t="n"/>
      <c r="AC293" s="1949" t="n"/>
      <c r="AD293" s="1950" t="n"/>
      <c r="AE293" s="1949" t="n"/>
      <c r="AF293" s="1950" t="n"/>
      <c r="AG293" s="1949" t="n"/>
      <c r="AH293" s="1950" t="n"/>
      <c r="AI293" s="1949" t="n"/>
      <c r="AJ293" s="1950" t="n"/>
      <c r="AK293" s="1949" t="n"/>
      <c r="AL293" s="1950" t="n"/>
      <c r="AM293" s="1937" t="n"/>
      <c r="AN293" s="2999" t="n"/>
      <c r="AO293" s="3000" t="n"/>
      <c r="AP293" s="3001" t="n"/>
      <c r="AQ293" s="365" t="n"/>
      <c r="AR293" s="5240" t="n"/>
      <c r="AS293" s="5235" t="n"/>
      <c r="AT293" s="5240" t="n"/>
      <c r="AU293" s="1950" t="n"/>
      <c r="AV293" s="3001" t="n"/>
      <c r="AW293" s="5240" t="n"/>
      <c r="AX293" s="1950" t="n"/>
      <c r="AY293">
        <f>CA293&amp;CB293&amp;CC293&amp;CD293&amp;CE293&amp;CF293&amp;CG293&amp;CH293&amp;CI293&amp;CJ293&amp;CK293&amp;CL293</f>
        <v/>
      </c>
      <c r="CA293" s="196">
        <f>IF(AND($F293&gt;0,AM293="")," * No olvide digitar la variable Gestante. Digite cero si no tiene.",IF(AM293&gt;$F293," * La variable Gestante no puede superar el Total Mujeres.",""))</f>
        <v/>
      </c>
      <c r="CB293" s="196">
        <f>IF(AND(AG293+AH293&gt;0,AN293="")," * No olvide digitar la variable 60 años (incluido en grupos de 60-64 años). Digite Cero si no tiene.",IF(AN293&gt;AG293+AH293," * La variable 60 años (incluido en grupos de 60-64 años) no puede superar la suma del Grupo 60-64 años.",""))</f>
        <v/>
      </c>
      <c r="CC293" s="198" t="n"/>
      <c r="CD293" s="198" t="n"/>
      <c r="CE293" s="198" t="n"/>
      <c r="CF293" s="196">
        <f>IF(AND($D293&gt;0,AR293="")," * No olvide digitar la variable Compra de Servicio. Digite Cero si no tiene.","")</f>
        <v/>
      </c>
      <c r="CG293" s="198" t="n"/>
      <c r="CH293" s="196">
        <f>IF(AND($D293&gt;0,AT293="")," * No olvide digitar la variable Usuarios con Discapacidad. Digite Cero si no tiene.",IF(AT293&gt;$D293," * La variable Usuarios con Discapacidad no puede superar el Total Ambos Sexos.",""))</f>
        <v/>
      </c>
      <c r="CI293" s="196">
        <f>IF(AND($D293&gt;0,AU293="")," * No olvide digitar la variable Usuarios Oncológicos. Digite Cero si no tiene.",IF(AU293&gt;$D293," * La variable Usuarios Oncológicos no puede superar el Total Ambos Sexos.",""))</f>
        <v/>
      </c>
      <c r="CJ293" s="198" t="n"/>
      <c r="CK293" s="196">
        <f>IF(AND($D293&gt;0,AW293="")," * No olvide digitar la variable Migrantes. Digite Cero si no tiene.",IF(AW293&gt;$D293," * La variable Migrantes no puede superar el Total Ambos Sexos.",""))</f>
        <v/>
      </c>
      <c r="CL293" s="196">
        <f>IF(AND($D293&gt;0,AX293=""),"  * No olvide digitar la variable Pueblo Originario. Digite Cero si no tiene.",IF(AX293&gt;$D293," * La variable Pueblo Originario no puede superar el Total Ambos Sexos.",""))</f>
        <v/>
      </c>
      <c r="CO293" s="197">
        <f>IF(AND($F293&gt;0,AM293=""),1,IF(AM293&gt;$F293,1,0))</f>
        <v/>
      </c>
      <c r="CP293" s="197">
        <f>IF(AND(AG293+AH293&gt;0,AN293=""),1,IF(AN293&gt;AG293+AH293,1,0))</f>
        <v/>
      </c>
      <c r="CQ293" s="198" t="n"/>
      <c r="CR293" s="198" t="n"/>
      <c r="CS293" s="198" t="n"/>
      <c r="CT293" s="197">
        <f>IF(AND($D293&gt;0,AR293=""),1,0)</f>
        <v/>
      </c>
      <c r="CU293" s="198" t="n"/>
      <c r="CV293" s="197">
        <f>IF(AND($D293&gt;0,AT293=""),1,IF(AT293&gt;$D293,1,0))</f>
        <v/>
      </c>
      <c r="CW293" s="197">
        <f>IF(AND($D293&gt;0,AU293=""),1,IF(AU293&gt;$D293,1,0))</f>
        <v/>
      </c>
      <c r="CX293" s="198" t="n"/>
      <c r="CY293" s="197">
        <f>IF(AND($D293&gt;0,AW293=""),1,IF(AW293&gt;$D293,1,0))</f>
        <v/>
      </c>
      <c r="CZ293" s="197">
        <f>IF(AND($D293&gt;0,AX293=""),1,IF(AX293&gt;$D293,1,0))</f>
        <v/>
      </c>
    </row>
    <row r="294" ht="15" customHeight="1" s="8286">
      <c r="A294" s="9589" t="n"/>
      <c r="B294" s="10282" t="inlineStr">
        <is>
          <t xml:space="preserve">Altas administrativas </t>
        </is>
      </c>
      <c r="C294" s="9710" t="n"/>
      <c r="D294" s="1202">
        <f>SUM(E294+F294)</f>
        <v/>
      </c>
      <c r="E294" s="800">
        <f>SUM(W294+Y294+AA294+AC294+AE294+AG294+AI294+AK294)</f>
        <v/>
      </c>
      <c r="F294" s="2727">
        <f>SUM(X294+Z294+AB294+AD294+AF294+AH294+AJ294+AL294)</f>
        <v/>
      </c>
      <c r="G294" s="3033" t="n"/>
      <c r="H294" s="3034" t="n"/>
      <c r="I294" s="3035" t="n"/>
      <c r="J294" s="3034" t="n"/>
      <c r="K294" s="3033" t="n"/>
      <c r="L294" s="3034" t="n"/>
      <c r="M294" s="3033" t="n"/>
      <c r="N294" s="3034" t="n"/>
      <c r="O294" s="3035" t="n"/>
      <c r="P294" s="3034" t="n"/>
      <c r="Q294" s="3035" t="n"/>
      <c r="R294" s="3034" t="n"/>
      <c r="S294" s="3033" t="n"/>
      <c r="T294" s="3034" t="n"/>
      <c r="U294" s="3033" t="n"/>
      <c r="V294" s="3034" t="n"/>
      <c r="W294" s="1348" t="n"/>
      <c r="X294" s="1277" t="n"/>
      <c r="Y294" s="1348" t="n"/>
      <c r="Z294" s="1277" t="n"/>
      <c r="AA294" s="1348" t="n"/>
      <c r="AB294" s="1277" t="n"/>
      <c r="AC294" s="1348" t="n"/>
      <c r="AD294" s="1277" t="n"/>
      <c r="AE294" s="1348" t="n"/>
      <c r="AF294" s="1277" t="n"/>
      <c r="AG294" s="1348" t="n"/>
      <c r="AH294" s="1277" t="n"/>
      <c r="AI294" s="1348" t="n"/>
      <c r="AJ294" s="1277" t="n"/>
      <c r="AK294" s="1348" t="n"/>
      <c r="AL294" s="1277" t="n"/>
      <c r="AM294" s="1350" t="n"/>
      <c r="AN294" s="2984" t="n"/>
      <c r="AO294" s="3002" t="n"/>
      <c r="AP294" s="2985" t="n"/>
      <c r="AQ294" s="3003" t="n"/>
      <c r="AR294" s="1967" t="n"/>
      <c r="AS294" s="5233" t="n"/>
      <c r="AT294" s="1967" t="n"/>
      <c r="AU294" s="1277" t="n"/>
      <c r="AV294" s="2985" t="n"/>
      <c r="AW294" s="1967" t="n"/>
      <c r="AX294" s="1277" t="n"/>
      <c r="AY294">
        <f>CA294&amp;CB294&amp;CC294&amp;CD294&amp;CE294&amp;CF294&amp;CG294&amp;CH294&amp;CI294&amp;CJ294&amp;CK294&amp;CL294</f>
        <v/>
      </c>
      <c r="CA294" s="196">
        <f>IF(AND($F294&gt;0,AM294="")," * No olvide digitar la variable Gestante. Digite cero si no tiene.",IF(AM294&gt;$F294," * La variable Gestante no puede superar el Total Mujeres.",""))</f>
        <v/>
      </c>
      <c r="CB294" s="196">
        <f>IF(AND(AG294+AH294&gt;0,AN294="")," * No olvide digitar la variable 60 años (incluido en grupos de 60-64 años). Digite Cero si no tiene.",IF(AN294&gt;AG294+AH294," * La variable 60 años (incluido en grupos de 60-64 años) no puede superar la suma del Grupo 60-64 años.",""))</f>
        <v/>
      </c>
      <c r="CC294" s="198" t="n"/>
      <c r="CD294" s="198" t="n"/>
      <c r="CE294" s="198" t="n"/>
      <c r="CF294" s="196">
        <f>IF(AND($D294&gt;0,AR294="")," * No olvide digitar la variable Compra de Servicio. Digite Cero si no tiene.","")</f>
        <v/>
      </c>
      <c r="CG294" s="198" t="n"/>
      <c r="CH294" s="196">
        <f>IF(AND($D294&gt;0,AT294="")," * No olvide digitar la variable Usuarios con Discapacidad. Digite Cero si no tiene.",IF(AT294&gt;$D294," * La variable Usuarios con Discapacidad no puede superar el Total Ambos Sexos.",""))</f>
        <v/>
      </c>
      <c r="CI294" s="196">
        <f>IF(AND($D294&gt;0,AU294="")," * No olvide digitar la variable Usuarios Oncológicos. Digite Cero si no tiene.",IF(AU294&gt;$D294," * La variable Usuarios Oncológicos no puede superar el Total Ambos Sexos.",""))</f>
        <v/>
      </c>
      <c r="CJ294" s="198" t="n"/>
      <c r="CK294" s="196">
        <f>IF(AND($D294&gt;0,AW294="")," * No olvide digitar la variable Migrantes. Digite Cero si no tiene.",IF(AW294&gt;$D294," * La variable Migrantes no puede superar el Total Ambos Sexos.",""))</f>
        <v/>
      </c>
      <c r="CL294" s="196">
        <f>IF(AND($D294&gt;0,AX294=""),"  * No olvide digitar la variable Pueblo Originario. Digite Cero si no tiene.",IF(AX294&gt;$D294," * La variable Pueblo Originario no puede superar el Total Ambos Sexos.",""))</f>
        <v/>
      </c>
      <c r="CO294" s="197">
        <f>IF(AND($F294&gt;0,AM294=""),1,IF(AM294&gt;$F294,1,0))</f>
        <v/>
      </c>
      <c r="CP294" s="197">
        <f>IF(AND(AG294+AH294&gt;0,AN294=""),1,IF(AN294&gt;AG294+AH294,1,0))</f>
        <v/>
      </c>
      <c r="CQ294" s="198" t="n"/>
      <c r="CR294" s="198" t="n"/>
      <c r="CS294" s="198" t="n"/>
      <c r="CT294" s="197">
        <f>IF(AND($D294&gt;0,AR294=""),1,0)</f>
        <v/>
      </c>
      <c r="CU294" s="198" t="n"/>
      <c r="CV294" s="197">
        <f>IF(AND($D294&gt;0,AT294=""),1,IF(AT294&gt;$D294,1,0))</f>
        <v/>
      </c>
      <c r="CW294" s="197">
        <f>IF(AND($D294&gt;0,AU294=""),1,IF(AU294&gt;$D294,1,0))</f>
        <v/>
      </c>
      <c r="CX294" s="198" t="n"/>
      <c r="CY294" s="197">
        <f>IF(AND($D294&gt;0,AW294=""),1,IF(AW294&gt;$D294,1,0))</f>
        <v/>
      </c>
      <c r="CZ294" s="197">
        <f>IF(AND($D294&gt;0,AX294=""),1,IF(AX294&gt;$D294,1,0))</f>
        <v/>
      </c>
    </row>
    <row r="295" ht="15" customHeight="1" s="8286">
      <c r="A295" s="10236" t="inlineStr">
        <is>
          <t xml:space="preserve">Rehabilitación: Prótesis removible </t>
        </is>
      </c>
      <c r="B295" s="8445" t="inlineStr">
        <is>
          <t xml:space="preserve">Consulta nueva  </t>
        </is>
      </c>
      <c r="C295" s="10281" t="n"/>
      <c r="D295" s="3022">
        <f>SUM(E295+F295)</f>
        <v/>
      </c>
      <c r="E295" s="845">
        <f>SUM(O295+Q295+S295+U295+W295+Y295+AA295+AC295+AE295+AG295+AI295+AK295)</f>
        <v/>
      </c>
      <c r="F295" s="2715">
        <f>SUM(P295+R295+T295+V295+X295+Z295+AB295+AD295+AF295+AH295+AJ295+AL295)</f>
        <v/>
      </c>
      <c r="G295" s="3036" t="n"/>
      <c r="H295" s="766" t="n"/>
      <c r="I295" s="3037" t="n"/>
      <c r="J295" s="766" t="n"/>
      <c r="K295" s="3038" t="n"/>
      <c r="L295" s="767" t="n"/>
      <c r="M295" s="3038" t="n"/>
      <c r="N295" s="767" t="n"/>
      <c r="O295" s="1945" t="n"/>
      <c r="P295" s="764" t="n"/>
      <c r="Q295" s="1945" t="n"/>
      <c r="R295" s="764" t="n"/>
      <c r="S295" s="1945" t="n"/>
      <c r="T295" s="1278" t="n"/>
      <c r="U295" s="2987" t="n"/>
      <c r="V295" s="764" t="n"/>
      <c r="W295" s="2987" t="n"/>
      <c r="X295" s="764" t="n"/>
      <c r="Y295" s="2987" t="n"/>
      <c r="Z295" s="764" t="n"/>
      <c r="AA295" s="2987" t="n"/>
      <c r="AB295" s="764" t="n"/>
      <c r="AC295" s="2987" t="n"/>
      <c r="AD295" s="764" t="n"/>
      <c r="AE295" s="2987" t="n"/>
      <c r="AF295" s="764" t="n"/>
      <c r="AG295" s="2987" t="n"/>
      <c r="AH295" s="764" t="n"/>
      <c r="AI295" s="2987" t="n"/>
      <c r="AJ295" s="764" t="n"/>
      <c r="AK295" s="1945" t="n"/>
      <c r="AL295" s="1278" t="n"/>
      <c r="AM295" s="1944" t="n"/>
      <c r="AN295" s="2988" t="n"/>
      <c r="AO295" s="2987" t="n"/>
      <c r="AP295" s="764" t="n"/>
      <c r="AQ295" s="5227" t="n"/>
      <c r="AR295" s="5239" t="n"/>
      <c r="AS295" s="5234" t="n"/>
      <c r="AT295" s="5239" t="n"/>
      <c r="AU295" s="1278" t="n"/>
      <c r="AV295" s="2981" t="n"/>
      <c r="AW295" s="5239" t="n"/>
      <c r="AX295" s="1278" t="n"/>
      <c r="AY295">
        <f>CA295&amp;CB295&amp;CC295&amp;CD295&amp;CE295&amp;CF295&amp;CG295&amp;CH295&amp;CI295&amp;CJ295&amp;CK295&amp;CL295</f>
        <v/>
      </c>
      <c r="CA295" s="196">
        <f>IF(AND($F295&gt;0,AM295="")," * No olvide digitar la variable Gestante. Digite cero si no tiene.",IF(AM295&gt;$F295," * La variable Gestante no puede superar el Total Mujeres.",""))</f>
        <v/>
      </c>
      <c r="CB295" s="196">
        <f>IF(AND(AG295+AH295&gt;0,AN295="")," * No olvide digitar la variable 60 años (incluido en grupos de 60-64 años). Digite Cero si no tiene.",IF(AN295&gt;AG295+AH295," * La variable 60 años (incluido en grupos de 60-64 años) no puede superar la suma del Grupo 60-64 años.",""))</f>
        <v/>
      </c>
      <c r="CC295" s="196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>
        <f>IF(AND($D295&gt;0,AQ295="")," * No olvide digitar la variable Inasistente. Digite cero si no tiene.",IF(AQ295&gt;$D295," * La variable Insasistente no puede superar el Total Ambos Sexos.",""))</f>
        <v/>
      </c>
      <c r="CF295" s="196">
        <f>IF(AND($D295&gt;0,AR295="")," * No olvide digitar la variable Compra de Servicio. Digite Cero si no tiene.","")</f>
        <v/>
      </c>
      <c r="CG295" s="198" t="n"/>
      <c r="CH295" s="196">
        <f>IF(AND($D295&gt;0,AT295="")," * No olvide digitar la variable Usuarios con Discapacidad. Digite Cero si no tiene.",IF(AT295&gt;$D295," * La variable Usuarios con Discapacidad no puede superar el Total Ambos Sexos.",""))</f>
        <v/>
      </c>
      <c r="CI295" s="196">
        <f>IF(AND($D295&gt;0,AU295="")," * No olvide digitar la variable Usuarios Oncológicos. Digite Cero si no tiene.",IF(AU295&gt;$D295," * La variable Usuarios Oncológicos no puede superar el Total Ambos Sexos.",""))</f>
        <v/>
      </c>
      <c r="CJ295" s="198" t="n"/>
      <c r="CK295" s="196">
        <f>IF(AND($D295&gt;0,AW295="")," * No olvide digitar la variable Migrantes. Digite Cero si no tiene.",IF(AW295&gt;$D295," * La variable Migrantes no puede superar el Total Ambos Sexos.",""))</f>
        <v/>
      </c>
      <c r="CL295" s="196">
        <f>IF(AND($D295&gt;0,AX295=""),"  * No olvide digitar la variable Pueblo Originario. Digite Cero si no tiene.",IF(AX295&gt;$D295," * La variable Pueblo Originario no puede superar el Total Ambos Sexos.",""))</f>
        <v/>
      </c>
      <c r="CO295" s="197">
        <f>IF(AND($F295&gt;0,AM295=""),1,IF(AM295&gt;$F295,1,0))</f>
        <v/>
      </c>
      <c r="CP295" s="197">
        <f>IF(AND(AG295+AH295&gt;0,AN295=""),1,IF(AN295&gt;AG295+AH295,1,0))</f>
        <v/>
      </c>
      <c r="CQ295" s="197">
        <f>IF(AND($D295&gt;0,AO295=""),1,IF(AO295&gt;$D295,1,0))</f>
        <v/>
      </c>
      <c r="CR295" s="197">
        <f>IF(AND($D295&gt;0,AP295=""),1,IF(AP295&gt;$D295,1,0))</f>
        <v/>
      </c>
      <c r="CS295" s="197">
        <f>IF(AND($D295&gt;0,AQ295=""),1,IF(AQ295&gt;$D295,1,0))</f>
        <v/>
      </c>
      <c r="CT295" s="197">
        <f>IF(AND($D295&gt;0,AR295=""),1,0)</f>
        <v/>
      </c>
      <c r="CU295" s="198" t="n"/>
      <c r="CV295" s="197">
        <f>IF(AND($D295&gt;0,AT295=""),1,IF(AT295&gt;$D295,1,0))</f>
        <v/>
      </c>
      <c r="CW295" s="197">
        <f>IF(AND($D295&gt;0,AU295=""),1,IF(AU295&gt;$D295,1,0))</f>
        <v/>
      </c>
      <c r="CX295" s="198" t="n"/>
      <c r="CY295" s="197">
        <f>IF(AND($D295&gt;0,AW295=""),1,IF(AW295&gt;$D295,1,0))</f>
        <v/>
      </c>
      <c r="CZ295" s="197">
        <f>IF(AND($D295&gt;0,AX295=""),1,IF(AX295&gt;$D295,1,0))</f>
        <v/>
      </c>
    </row>
    <row r="296" ht="15" customHeight="1" s="8286">
      <c r="A296" s="9588" t="n"/>
      <c r="B296" s="8748" t="inlineStr">
        <is>
          <t xml:space="preserve">Control  </t>
        </is>
      </c>
      <c r="C296" s="9644" t="n"/>
      <c r="D296" s="2989">
        <f>SUM(E296+F296)</f>
        <v/>
      </c>
      <c r="E296" s="2990">
        <f>SUM(O296+Q296+S296+U296+W296+Y296+AA296+AC296+AE296+AG296+AI296+AK296)</f>
        <v/>
      </c>
      <c r="F296" s="2803">
        <f>SUM(P296+R296+T296+V296+X296+Z296+AB296+AD296+AF296+AH296+AJ296+AL296)</f>
        <v/>
      </c>
      <c r="G296" s="3039" t="n"/>
      <c r="H296" s="3030" t="n"/>
      <c r="I296" s="3029" t="n"/>
      <c r="J296" s="3030" t="n"/>
      <c r="K296" s="2996" t="n"/>
      <c r="L296" s="2981" t="n"/>
      <c r="M296" s="2996" t="n"/>
      <c r="N296" s="2981" t="n"/>
      <c r="O296" s="2993" t="n"/>
      <c r="P296" s="2992" t="n"/>
      <c r="Q296" s="2993" t="n"/>
      <c r="R296" s="2992" t="n"/>
      <c r="S296" s="2993" t="n"/>
      <c r="T296" s="1275" t="n"/>
      <c r="U296" s="2991" t="n"/>
      <c r="V296" s="2992" t="n"/>
      <c r="W296" s="2991" t="n"/>
      <c r="X296" s="2992" t="n"/>
      <c r="Y296" s="2991" t="n"/>
      <c r="Z296" s="2992" t="n"/>
      <c r="AA296" s="2991" t="n"/>
      <c r="AB296" s="2992" t="n"/>
      <c r="AC296" s="2991" t="n"/>
      <c r="AD296" s="2992" t="n"/>
      <c r="AE296" s="2991" t="n"/>
      <c r="AF296" s="2992" t="n"/>
      <c r="AG296" s="2991" t="n"/>
      <c r="AH296" s="2992" t="n"/>
      <c r="AI296" s="2991" t="n"/>
      <c r="AJ296" s="2992" t="n"/>
      <c r="AK296" s="2993" t="n"/>
      <c r="AL296" s="1275" t="n"/>
      <c r="AM296" s="2994" t="n"/>
      <c r="AN296" s="2995" t="n"/>
      <c r="AO296" s="2980" t="n"/>
      <c r="AP296" s="2981" t="n"/>
      <c r="AQ296" s="5228" t="n"/>
      <c r="AR296" s="3951" t="n"/>
      <c r="AS296" s="5234" t="n"/>
      <c r="AT296" s="3951" t="n"/>
      <c r="AU296" s="1275" t="n"/>
      <c r="AV296" s="2981" t="n"/>
      <c r="AW296" s="3951" t="n"/>
      <c r="AX296" s="1275" t="n"/>
      <c r="AY296">
        <f>CA296&amp;CB296&amp;CC296&amp;CD296&amp;CE296&amp;CF296&amp;CG296&amp;CH296&amp;CI296&amp;CJ296&amp;CK296&amp;CL296</f>
        <v/>
      </c>
      <c r="CA296" s="196">
        <f>IF(AND($F296&gt;0,AM296="")," * No olvide digitar la variable Gestante. Digite cero si no tiene.",IF(AM296&gt;$F296," * La variable Gestante no puede superar el Total Mujeres.",""))</f>
        <v/>
      </c>
      <c r="CB296" s="196">
        <f>IF(AND(AG296+AH296&gt;0,AN296="")," * No olvide digitar la variable 60 años (incluido en grupos de 60-64 años). Digite Cero si no tiene.",IF(AN296&gt;AG296+AH296," * La variable 60 años (incluido en grupos de 60-64 años) no puede superar la suma del Grupo 60-64 años.",""))</f>
        <v/>
      </c>
      <c r="CC296" s="198" t="n"/>
      <c r="CD296" s="198" t="n"/>
      <c r="CE296" s="196">
        <f>IF(AND($D296&gt;0,AQ296="")," * No olvide digitar la variable Inasistente. Digite cero si no tiene.",IF(AQ296&gt;$D296," * La variable Insasistente no puede superar el Total Ambos Sexos.",""))</f>
        <v/>
      </c>
      <c r="CF296" s="196">
        <f>IF(AND($D296&gt;0,AR296="")," * No olvide digitar la variable Compra de Servicio. Digite Cero si no tiene.","")</f>
        <v/>
      </c>
      <c r="CG296" s="198" t="n"/>
      <c r="CH296" s="196">
        <f>IF(AND($D296&gt;0,AT296="")," * No olvide digitar la variable Usuarios con Discapacidad. Digite Cero si no tiene.",IF(AT296&gt;$D296," * La variable Usuarios con Discapacidad no puede superar el Total Ambos Sexos.",""))</f>
        <v/>
      </c>
      <c r="CI296" s="196">
        <f>IF(AND($D296&gt;0,AU296="")," * No olvide digitar la variable Usuarios Oncológicos. Digite Cero si no tiene.",IF(AU296&gt;$D296," * La variable Usuarios Oncológicos no puede superar el Total Ambos Sexos.",""))</f>
        <v/>
      </c>
      <c r="CJ296" s="198" t="n"/>
      <c r="CK296" s="196">
        <f>IF(AND($D296&gt;0,AW296="")," * No olvide digitar la variable Migrantes. Digite Cero si no tiene.",IF(AW296&gt;$D296," * La variable Migrantes no puede superar el Total Ambos Sexos.",""))</f>
        <v/>
      </c>
      <c r="CL296" s="196">
        <f>IF(AND($D296&gt;0,AX296=""),"  * No olvide digitar la variable Pueblo Originario. Digite Cero si no tiene.",IF(AX296&gt;$D296," * La variable Pueblo Originario no puede superar el Total Ambos Sexos.",""))</f>
        <v/>
      </c>
      <c r="CO296" s="197">
        <f>IF(AND($F296&gt;0,AM296=""),1,IF(AM296&gt;$F296,1,0))</f>
        <v/>
      </c>
      <c r="CP296" s="197">
        <f>IF(AND(AG296+AH296&gt;0,AN296=""),1,IF(AN296&gt;AG296+AH296,1,0))</f>
        <v/>
      </c>
      <c r="CQ296" s="198" t="n"/>
      <c r="CR296" s="198" t="n"/>
      <c r="CS296" s="197">
        <f>IF(AND($D296&gt;0,AQ296=""),1,IF(AQ296&gt;$D296,1,0))</f>
        <v/>
      </c>
      <c r="CT296" s="197">
        <f>IF(AND($D296&gt;0,AR296=""),1,0)</f>
        <v/>
      </c>
      <c r="CU296" s="198" t="n"/>
      <c r="CV296" s="197">
        <f>IF(AND($D296&gt;0,AT296=""),1,IF(AT296&gt;$D296,1,0))</f>
        <v/>
      </c>
      <c r="CW296" s="197">
        <f>IF(AND($D296&gt;0,AU296=""),1,IF(AU296&gt;$D296,1,0))</f>
        <v/>
      </c>
      <c r="CX296" s="198" t="n"/>
      <c r="CY296" s="197">
        <f>IF(AND($D296&gt;0,AW296=""),1,IF(AW296&gt;$D296,1,0))</f>
        <v/>
      </c>
      <c r="CZ296" s="197">
        <f>IF(AND($D296&gt;0,AX296=""),1,IF(AX296&gt;$D296,1,0))</f>
        <v/>
      </c>
    </row>
    <row r="297" ht="15" customHeight="1" s="8286">
      <c r="A297" s="9588" t="n"/>
      <c r="B297" s="8748" t="inlineStr">
        <is>
          <t xml:space="preserve">Ingreso a tratamiento </t>
        </is>
      </c>
      <c r="C297" s="9644" t="n"/>
      <c r="D297" s="2989">
        <f>SUM(E297+F297)</f>
        <v/>
      </c>
      <c r="E297" s="2990">
        <f>SUM(O297+Q297+S297+U297+W297+Y297+AA297+AC297+AE297+AG297+AI297+AK297)</f>
        <v/>
      </c>
      <c r="F297" s="2803">
        <f>SUM(P297+R297+T297+V297+X297+Z297+AB297+AD297+AF297+AH297+AJ297+AL297)</f>
        <v/>
      </c>
      <c r="G297" s="3039" t="n"/>
      <c r="H297" s="3030" t="n"/>
      <c r="I297" s="3029" t="n"/>
      <c r="J297" s="3030" t="n"/>
      <c r="K297" s="2996" t="n"/>
      <c r="L297" s="2981" t="n"/>
      <c r="M297" s="2996" t="n"/>
      <c r="N297" s="2981" t="n"/>
      <c r="O297" s="2993" t="n"/>
      <c r="P297" s="2992" t="n"/>
      <c r="Q297" s="2993" t="n"/>
      <c r="R297" s="2992" t="n"/>
      <c r="S297" s="2993" t="n"/>
      <c r="T297" s="1275" t="n"/>
      <c r="U297" s="2993" t="n"/>
      <c r="V297" s="2992" t="n"/>
      <c r="W297" s="2993" t="n"/>
      <c r="X297" s="2992" t="n"/>
      <c r="Y297" s="2993" t="n"/>
      <c r="Z297" s="2992" t="n"/>
      <c r="AA297" s="2993" t="n"/>
      <c r="AB297" s="2992" t="n"/>
      <c r="AC297" s="2993" t="n"/>
      <c r="AD297" s="2992" t="n"/>
      <c r="AE297" s="2993" t="n"/>
      <c r="AF297" s="2992" t="n"/>
      <c r="AG297" s="2993" t="n"/>
      <c r="AH297" s="2992" t="n"/>
      <c r="AI297" s="2993" t="n"/>
      <c r="AJ297" s="2992" t="n"/>
      <c r="AK297" s="2993" t="n"/>
      <c r="AL297" s="1275" t="n"/>
      <c r="AM297" s="2994" t="n"/>
      <c r="AN297" s="2995" t="n"/>
      <c r="AO297" s="2980" t="n"/>
      <c r="AP297" s="2981" t="n"/>
      <c r="AQ297" s="5226" t="n"/>
      <c r="AR297" s="3951" t="n"/>
      <c r="AS297" s="5234" t="n"/>
      <c r="AT297" s="3951" t="n"/>
      <c r="AU297" s="1275" t="n"/>
      <c r="AV297" s="2981" t="n"/>
      <c r="AW297" s="3951" t="n"/>
      <c r="AX297" s="1275" t="n"/>
      <c r="AY297">
        <f>CA297&amp;CB297&amp;CC297&amp;CD297&amp;CE297&amp;CF297&amp;CG297&amp;CH297&amp;CI297&amp;CJ297&amp;CK297&amp;CL297</f>
        <v/>
      </c>
      <c r="CA297" s="196">
        <f>IF(AND($F297&gt;0,AM297="")," * No olvide digitar la variable Gestante. Digite cero si no tiene.",IF(AM297&gt;$F297," * La variable Gestante no puede superar el Total Mujeres.",""))</f>
        <v/>
      </c>
      <c r="CB297" s="196">
        <f>IF(AND(AG297+AH297&gt;0,AN297="")," * No olvide digitar la variable 60 años (incluido en grupos de 60-64 años). Digite Cero si no tiene.",IF(AN297&gt;AG297+AH297," * La variable 60 años (incluido en grupos de 60-64 años) no puede superar la suma del Grupo 60-64 años.",""))</f>
        <v/>
      </c>
      <c r="CC297" s="198" t="n"/>
      <c r="CD297" s="198" t="n"/>
      <c r="CE297" s="198" t="n"/>
      <c r="CF297" s="196">
        <f>IF(AND($D297&gt;0,AR297="")," * No olvide digitar la variable Compra de Servicio. Digite Cero si no tiene.","")</f>
        <v/>
      </c>
      <c r="CG297" s="198" t="n"/>
      <c r="CH297" s="196">
        <f>IF(AND($D297&gt;0,AT297="")," * No olvide digitar la variable Usuarios con Discapacidad. Digite Cero si no tiene.",IF(AT297&gt;$D297," * La variable Usuarios con Discapacidad no puede superar el Total Ambos Sexos.",""))</f>
        <v/>
      </c>
      <c r="CI297" s="196">
        <f>IF(AND($D297&gt;0,AU297="")," * No olvide digitar la variable Usuarios Oncológicos. Digite Cero si no tiene.",IF(AU297&gt;$D297," * La variable Usuarios Oncológicos no puede superar el Total Ambos Sexos.",""))</f>
        <v/>
      </c>
      <c r="CJ297" s="198" t="n"/>
      <c r="CK297" s="196">
        <f>IF(AND($D297&gt;0,AW297="")," * No olvide digitar la variable Migrantes. Digite Cero si no tiene.",IF(AW297&gt;$D297," * La variable Migrantes no puede superar el Total Ambos Sexos.",""))</f>
        <v/>
      </c>
      <c r="CL297" s="196">
        <f>IF(AND($D297&gt;0,AX297=""),"  * No olvide digitar la variable Pueblo Originario. Digite Cero si no tiene.",IF(AX297&gt;$D297," * La variable Pueblo Originario no puede superar el Total Ambos Sexos.",""))</f>
        <v/>
      </c>
      <c r="CO297" s="197">
        <f>IF(AND($F297&gt;0,AM297=""),1,IF(AM297&gt;$F297,1,0))</f>
        <v/>
      </c>
      <c r="CP297" s="197">
        <f>IF(AND(AG297+AH297&gt;0,AN297=""),1,IF(AN297&gt;AG297+AH297,1,0))</f>
        <v/>
      </c>
      <c r="CQ297" s="198" t="n"/>
      <c r="CR297" s="198" t="n"/>
      <c r="CS297" s="198" t="n"/>
      <c r="CT297" s="197">
        <f>IF(AND($D297&gt;0,AR297=""),1,0)</f>
        <v/>
      </c>
      <c r="CU297" s="198" t="n"/>
      <c r="CV297" s="197">
        <f>IF(AND($D297&gt;0,AT297=""),1,IF(AT297&gt;$D297,1,0))</f>
        <v/>
      </c>
      <c r="CW297" s="197">
        <f>IF(AND($D297&gt;0,AU297=""),1,IF(AU297&gt;$D297,1,0))</f>
        <v/>
      </c>
      <c r="CX297" s="198" t="n"/>
      <c r="CY297" s="197">
        <f>IF(AND($D297&gt;0,AW297=""),1,IF(AW297&gt;$D297,1,0))</f>
        <v/>
      </c>
      <c r="CZ297" s="197">
        <f>IF(AND($D297&gt;0,AX297=""),1,IF(AX297&gt;$D297,1,0))</f>
        <v/>
      </c>
    </row>
    <row r="298" ht="15" customHeight="1" s="8286">
      <c r="A298" s="9588" t="n"/>
      <c r="B298" s="8748" t="inlineStr">
        <is>
          <t xml:space="preserve">Altas de tratamiento </t>
        </is>
      </c>
      <c r="C298" s="9644" t="n"/>
      <c r="D298" s="2989">
        <f>SUM(E298+F298)</f>
        <v/>
      </c>
      <c r="E298" s="2990">
        <f>SUM(O298+Q298+S298+U298+W298+Y298+AA298+AC298+AE298+AG298+AI298+AK298)</f>
        <v/>
      </c>
      <c r="F298" s="2803">
        <f>SUM(+P298+R298+T298+V298+X298+Z298+AB298+AD298+AF298+AH298+AJ298+AL298)</f>
        <v/>
      </c>
      <c r="G298" s="3040" t="n"/>
      <c r="H298" s="3032" t="n"/>
      <c r="I298" s="3031" t="n"/>
      <c r="J298" s="3032" t="n"/>
      <c r="K298" s="2980" t="n"/>
      <c r="L298" s="2981" t="n"/>
      <c r="M298" s="2980" t="n"/>
      <c r="N298" s="2981" t="n"/>
      <c r="O298" s="1949" t="n"/>
      <c r="P298" s="2998" t="n"/>
      <c r="Q298" s="1949" t="n"/>
      <c r="R298" s="2998" t="n"/>
      <c r="S298" s="1949" t="n"/>
      <c r="T298" s="1950" t="n"/>
      <c r="U298" s="1949" t="n"/>
      <c r="V298" s="2998" t="n"/>
      <c r="W298" s="1949" t="n"/>
      <c r="X298" s="2998" t="n"/>
      <c r="Y298" s="1949" t="n"/>
      <c r="Z298" s="2998" t="n"/>
      <c r="AA298" s="1949" t="n"/>
      <c r="AB298" s="2998" t="n"/>
      <c r="AC298" s="1949" t="n"/>
      <c r="AD298" s="2998" t="n"/>
      <c r="AE298" s="1949" t="n"/>
      <c r="AF298" s="2998" t="n"/>
      <c r="AG298" s="1949" t="n"/>
      <c r="AH298" s="2998" t="n"/>
      <c r="AI298" s="1949" t="n"/>
      <c r="AJ298" s="2998" t="n"/>
      <c r="AK298" s="1949" t="n"/>
      <c r="AL298" s="1950" t="n"/>
      <c r="AM298" s="1937" t="n"/>
      <c r="AN298" s="2999" t="n"/>
      <c r="AO298" s="2980" t="n"/>
      <c r="AP298" s="2981" t="n"/>
      <c r="AQ298" s="5226" t="n"/>
      <c r="AR298" s="5240" t="n"/>
      <c r="AS298" s="5234" t="n"/>
      <c r="AT298" s="5240" t="n"/>
      <c r="AU298" s="1950" t="n"/>
      <c r="AV298" s="1275" t="n"/>
      <c r="AW298" s="5240" t="n"/>
      <c r="AX298" s="1950" t="n"/>
      <c r="AY298">
        <f>CA298&amp;CB298&amp;CC298&amp;CD298&amp;CE298&amp;CF298&amp;CG298&amp;CH298&amp;CI298&amp;CJ298&amp;CK298&amp;CL298</f>
        <v/>
      </c>
      <c r="CA298" s="196">
        <f>IF(AND($F298&gt;0,AM298="")," * No olvide digitar la variable Gestante. Digite cero si no tiene.",IF(AM298&gt;$F298," * La variable Gestante no puede superar el Total Mujeres.",""))</f>
        <v/>
      </c>
      <c r="CB298" s="196">
        <f>IF(AND(AG298+AH298&gt;0,AN298="")," * No olvide digitar la variable 60 años (incluido en grupos de 60-64 años). Digite Cero si no tiene.",IF(AN298&gt;AG298+AH298," * La variable 60 años (incluido en grupos de 60-64 años) no puede superar la suma del Grupo 60-64 años.",""))</f>
        <v/>
      </c>
      <c r="CC298" s="198" t="n"/>
      <c r="CD298" s="198" t="n"/>
      <c r="CE298" s="198" t="n"/>
      <c r="CF298" s="196">
        <f>IF(AND($D298&gt;0,AR298="")," * No olvide digitar la variable Compra de Servicio. Digite Cero si no tiene.","")</f>
        <v/>
      </c>
      <c r="CG298" s="198" t="n"/>
      <c r="CH298" s="196">
        <f>IF(AND($D298&gt;0,AT298="")," * No olvide digitar la variable Usuarios con Discapacidad. Digite Cero si no tiene.",IF(AT298&gt;$D298," * La variable Usuarios con Discapacidad no puede superar el Total Ambos Sexos.",""))</f>
        <v/>
      </c>
      <c r="CI298" s="196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>
        <f>IF(AND($D298&gt;0,AW298="")," * No olvide digitar la variable Migrantes. Digite Cero si no tiene.",IF(AW298&gt;$D298," * La variable Migrantes no puede superar el Total Ambos Sexos.",""))</f>
        <v/>
      </c>
      <c r="CL298" s="196">
        <f>IF(AND($D298&gt;0,AX298=""),"  * No olvide digitar la variable Pueblo Originario. Digite Cero si no tiene.",IF(AX298&gt;$D298," * La variable Pueblo Originario no puede superar el Total Ambos Sexos.",""))</f>
        <v/>
      </c>
      <c r="CO298" s="197">
        <f>IF(AND($F298&gt;0,AM298=""),1,IF(AM298&gt;$F298,1,0))</f>
        <v/>
      </c>
      <c r="CP298" s="197">
        <f>IF(AND(AG298+AH298&gt;0,AN298=""),1,IF(AN298&gt;AG298+AH298,1,0))</f>
        <v/>
      </c>
      <c r="CQ298" s="198" t="n"/>
      <c r="CR298" s="198" t="n"/>
      <c r="CS298" s="198" t="n"/>
      <c r="CT298" s="197">
        <f>IF(AND($D298&gt;0,AR298=""),1,0)</f>
        <v/>
      </c>
      <c r="CU298" s="198" t="n"/>
      <c r="CV298" s="197">
        <f>IF(AND($D298&gt;0,AT298=""),1,IF(AT298&gt;$D298,1,0))</f>
        <v/>
      </c>
      <c r="CW298" s="197">
        <f>IF(AND($D298&gt;0,AU298=""),1,IF(AU298&gt;$D298,1,0))</f>
        <v/>
      </c>
      <c r="CX298" s="197">
        <f>IF(AND($D298&gt;0,AV298=""),1,IF(AV298&gt;$D298,1,0))</f>
        <v/>
      </c>
      <c r="CY298" s="197">
        <f>IF(AND($D298&gt;0,AW298=""),1,IF(AW298&gt;$D298,1,0))</f>
        <v/>
      </c>
      <c r="CZ298" s="197">
        <f>IF(AND($D298&gt;0,AX298=""),1,IF(AX298&gt;$D298,1,0))</f>
        <v/>
      </c>
    </row>
    <row r="299" ht="15" customHeight="1" s="8286">
      <c r="A299" s="9588" t="n"/>
      <c r="B299" s="8748" t="inlineStr">
        <is>
          <t xml:space="preserve">Control de especialidad post alta </t>
        </is>
      </c>
      <c r="C299" s="9644" t="n"/>
      <c r="D299" s="2989">
        <f>SUM(E299+F299)</f>
        <v/>
      </c>
      <c r="E299" s="2990">
        <f>SUM(O299+Q299+S299+U299+W299+Y299+AA299+AC299+AE299+AG299+AI299+AK299)</f>
        <v/>
      </c>
      <c r="F299" s="2803">
        <f>SUM(P299+R299+T299+V299+X299+Z299+AB299+AD299+AF299+AH299+AJ299+AL299)</f>
        <v/>
      </c>
      <c r="G299" s="3040" t="n"/>
      <c r="H299" s="3032" t="n"/>
      <c r="I299" s="3031" t="n"/>
      <c r="J299" s="3032" t="n"/>
      <c r="K299" s="3000" t="n"/>
      <c r="L299" s="3001" t="n"/>
      <c r="M299" s="3000" t="n"/>
      <c r="N299" s="3001" t="n"/>
      <c r="O299" s="1949" t="n"/>
      <c r="P299" s="2998" t="n"/>
      <c r="Q299" s="1949" t="n"/>
      <c r="R299" s="2998" t="n"/>
      <c r="S299" s="1949" t="n"/>
      <c r="T299" s="1950" t="n"/>
      <c r="U299" s="1949" t="n"/>
      <c r="V299" s="1950" t="n"/>
      <c r="W299" s="1949" t="n"/>
      <c r="X299" s="2998" t="n"/>
      <c r="Y299" s="1949" t="n"/>
      <c r="Z299" s="2998" t="n"/>
      <c r="AA299" s="1949" t="n"/>
      <c r="AB299" s="2998" t="n"/>
      <c r="AC299" s="1949" t="n"/>
      <c r="AD299" s="2998" t="n"/>
      <c r="AE299" s="1949" t="n"/>
      <c r="AF299" s="2998" t="n"/>
      <c r="AG299" s="1949" t="n"/>
      <c r="AH299" s="2998" t="n"/>
      <c r="AI299" s="1949" t="n"/>
      <c r="AJ299" s="2998" t="n"/>
      <c r="AK299" s="1949" t="n"/>
      <c r="AL299" s="1950" t="n"/>
      <c r="AM299" s="1937" t="n"/>
      <c r="AN299" s="2999" t="n"/>
      <c r="AO299" s="3000" t="n"/>
      <c r="AP299" s="3001" t="n"/>
      <c r="AQ299" s="365" t="n"/>
      <c r="AR299" s="5240" t="n"/>
      <c r="AS299" s="5235" t="n"/>
      <c r="AT299" s="5240" t="n"/>
      <c r="AU299" s="1950" t="n"/>
      <c r="AV299" s="3001" t="n"/>
      <c r="AW299" s="5240" t="n"/>
      <c r="AX299" s="1950" t="n"/>
      <c r="AY299">
        <f>CA299&amp;CB299&amp;CC299&amp;CD299&amp;CE299&amp;CF299&amp;CG299&amp;CH299&amp;CI299&amp;CJ299&amp;CK299&amp;CL299</f>
        <v/>
      </c>
      <c r="CA299" s="196">
        <f>IF(AND($F299&gt;0,AM299="")," * No olvide digitar la variable Gestante. Digite cero si no tiene.",IF(AM299&gt;$F299," * La variable Gestante no puede superar el Total Mujeres.",""))</f>
        <v/>
      </c>
      <c r="CB299" s="196">
        <f>IF(AND(AG299+AH299&gt;0,AN299="")," * No olvide digitar la variable 60 años (incluido en grupos de 60-64 años). Digite Cero si no tiene.",IF(AN299&gt;AG299+AH299," * La variable 60 años (incluido en grupos de 60-64 años) no puede superar la suma del Grupo 60-64 años.",""))</f>
        <v/>
      </c>
      <c r="CC299" s="198" t="n"/>
      <c r="CD299" s="198" t="n"/>
      <c r="CE299" s="198" t="n"/>
      <c r="CF299" s="196">
        <f>IF(AND($D299&gt;0,AR299="")," * No olvide digitar la variable Compra de Servicio. Digite Cero si no tiene.","")</f>
        <v/>
      </c>
      <c r="CG299" s="198" t="n"/>
      <c r="CH299" s="196">
        <f>IF(AND($D299&gt;0,AT299="")," * No olvide digitar la variable Usuarios con Discapacidad. Digite Cero si no tiene.",IF(AT299&gt;$D299," * La variable Usuarios con Discapacidad no puede superar el Total Ambos Sexos.",""))</f>
        <v/>
      </c>
      <c r="CI299" s="196">
        <f>IF(AND($D299&gt;0,AU299="")," * No olvide digitar la variable Usuarios Oncológicos. Digite Cero si no tiene.",IF(AU299&gt;$D299," * La variable Usuarios Oncológicos no puede superar el Total Ambos Sexos.",""))</f>
        <v/>
      </c>
      <c r="CJ299" s="198" t="n"/>
      <c r="CK299" s="196">
        <f>IF(AND($D299&gt;0,AW299="")," * No olvide digitar la variable Migrantes. Digite Cero si no tiene.",IF(AW299&gt;$D299," * La variable Migrantes no puede superar el Total Ambos Sexos.",""))</f>
        <v/>
      </c>
      <c r="CL299" s="196">
        <f>IF(AND($D299&gt;0,AX299=""),"  * No olvide digitar la variable Pueblo Originario. Digite Cero si no tiene.",IF(AX299&gt;$D299," * La variable Pueblo Originario no puede superar el Total Ambos Sexos.",""))</f>
        <v/>
      </c>
      <c r="CO299" s="197">
        <f>IF(AND($F299&gt;0,AM299=""),1,IF(AM299&gt;$F299,1,0))</f>
        <v/>
      </c>
      <c r="CP299" s="197">
        <f>IF(AND(AG299+AH299&gt;0,AN299=""),1,IF(AN299&gt;AG299+AH299,1,0))</f>
        <v/>
      </c>
      <c r="CQ299" s="198" t="n"/>
      <c r="CR299" s="198" t="n"/>
      <c r="CS299" s="198" t="n"/>
      <c r="CT299" s="197">
        <f>IF(AND($D299&gt;0,AR299=""),1,0)</f>
        <v/>
      </c>
      <c r="CU299" s="198" t="n"/>
      <c r="CV299" s="197">
        <f>IF(AND($D299&gt;0,AT299=""),1,IF(AT299&gt;$D299,1,0))</f>
        <v/>
      </c>
      <c r="CW299" s="197">
        <f>IF(AND($D299&gt;0,AU299=""),1,IF(AU299&gt;$D299,1,0))</f>
        <v/>
      </c>
      <c r="CX299" s="198" t="n"/>
      <c r="CY299" s="197">
        <f>IF(AND($D299&gt;0,AW299=""),1,IF(AW299&gt;$D299,1,0))</f>
        <v/>
      </c>
      <c r="CZ299" s="197">
        <f>IF(AND($D299&gt;0,AX299=""),1,IF(AX299&gt;$D299,1,0))</f>
        <v/>
      </c>
    </row>
    <row r="300" ht="15" customHeight="1" s="8286">
      <c r="A300" s="9589" t="n"/>
      <c r="B300" s="10282" t="inlineStr">
        <is>
          <t xml:space="preserve">Altas administrativas </t>
        </is>
      </c>
      <c r="C300" s="9710" t="n"/>
      <c r="D300" s="1202">
        <f>SUM(E300+F300)</f>
        <v/>
      </c>
      <c r="E300" s="800">
        <f>SUM(O300+Q300+S300+U300+W300+Y300+AA300+AC300+AE300+AG300+AI300+AK300)</f>
        <v/>
      </c>
      <c r="F300" s="2727">
        <f>SUM(P300+R300+T300+V300+X300+Z300+AB300+AD300+AF300+AH300+AJ300+AL300)</f>
        <v/>
      </c>
      <c r="G300" s="3033" t="n"/>
      <c r="H300" s="3034" t="n"/>
      <c r="I300" s="3035" t="n"/>
      <c r="J300" s="3034" t="n"/>
      <c r="K300" s="3033" t="n"/>
      <c r="L300" s="3034" t="n"/>
      <c r="M300" s="3033" t="n"/>
      <c r="N300" s="3034" t="n"/>
      <c r="O300" s="1949" t="n"/>
      <c r="P300" s="2998" t="n"/>
      <c r="Q300" s="1949" t="n"/>
      <c r="R300" s="2998" t="n"/>
      <c r="S300" s="1949" t="n"/>
      <c r="T300" s="1950" t="n"/>
      <c r="U300" s="1949" t="n"/>
      <c r="V300" s="1950" t="n"/>
      <c r="W300" s="1276" t="n"/>
      <c r="X300" s="2983" t="n"/>
      <c r="Y300" s="1276" t="n"/>
      <c r="Z300" s="2983" t="n"/>
      <c r="AA300" s="1276" t="n"/>
      <c r="AB300" s="2983" t="n"/>
      <c r="AC300" s="1276" t="n"/>
      <c r="AD300" s="2983" t="n"/>
      <c r="AE300" s="1276" t="n"/>
      <c r="AF300" s="2983" t="n"/>
      <c r="AG300" s="1276" t="n"/>
      <c r="AH300" s="2983" t="n"/>
      <c r="AI300" s="1276" t="n"/>
      <c r="AJ300" s="2983" t="n"/>
      <c r="AK300" s="1348" t="n"/>
      <c r="AL300" s="1277" t="n"/>
      <c r="AM300" s="1350" t="n"/>
      <c r="AN300" s="2984" t="n"/>
      <c r="AO300" s="3002" t="n"/>
      <c r="AP300" s="2985" t="n"/>
      <c r="AQ300" s="3003" t="n"/>
      <c r="AR300" s="1967" t="n"/>
      <c r="AS300" s="5233" t="n"/>
      <c r="AT300" s="1967" t="n"/>
      <c r="AU300" s="1277" t="n"/>
      <c r="AV300" s="2985" t="n"/>
      <c r="AW300" s="1967" t="n"/>
      <c r="AX300" s="1277" t="n"/>
      <c r="AY300">
        <f>CA300&amp;CB300&amp;CC300&amp;CD300&amp;CE300&amp;CF300&amp;CG300&amp;CH300&amp;CI300&amp;CJ300&amp;CK300&amp;CL300</f>
        <v/>
      </c>
      <c r="CA300" s="196">
        <f>IF(AND($F300&gt;0,AM300="")," * No olvide digitar la variable Gestante. Digite cero si no tiene.",IF(AM300&gt;$F300," * La variable Gestante no puede superar el Total Mujeres.",""))</f>
        <v/>
      </c>
      <c r="CB300" s="196">
        <f>IF(AND(AG300+AH300&gt;0,AN300="")," * No olvide digitar la variable 60 años (incluido en grupos de 60-64 años). Digite Cero si no tiene.",IF(AN300&gt;AG300+AH300," * La variable 60 años (incluido en grupos de 60-64 años) no puede superar la suma del Grupo 60-64 años.",""))</f>
        <v/>
      </c>
      <c r="CC300" s="198" t="n"/>
      <c r="CD300" s="198" t="n"/>
      <c r="CE300" s="198" t="n"/>
      <c r="CF300" s="196">
        <f>IF(AND($D300&gt;0,AR300="")," * No olvide digitar la variable Compra de Servicio. Digite Cero si no tiene.","")</f>
        <v/>
      </c>
      <c r="CG300" s="198" t="n"/>
      <c r="CH300" s="196">
        <f>IF(AND($D300&gt;0,AT300="")," * No olvide digitar la variable Usuarios con Discapacidad. Digite Cero si no tiene.",IF(AT300&gt;$D300," * La variable Usuarios con Discapacidad no puede superar el Total Ambos Sexos.",""))</f>
        <v/>
      </c>
      <c r="CI300" s="196">
        <f>IF(AND($D300&gt;0,AU300="")," * No olvide digitar la variable Usuarios Oncológicos. Digite Cero si no tiene.",IF(AU300&gt;$D300," * La variable Usuarios Oncológicos no puede superar el Total Ambos Sexos.",""))</f>
        <v/>
      </c>
      <c r="CJ300" s="198" t="n"/>
      <c r="CK300" s="196">
        <f>IF(AND($D300&gt;0,AW300="")," * No olvide digitar la variable Migrantes. Digite Cero si no tiene.",IF(AW300&gt;$D300," * La variable Migrantes no puede superar el Total Ambos Sexos.",""))</f>
        <v/>
      </c>
      <c r="CL300" s="196">
        <f>IF(AND($D300&gt;0,AX300=""),"  * No olvide digitar la variable Pueblo Originario. Digite Cero si no tiene.",IF(AX300&gt;$D300," * La variable Pueblo Originario no puede superar el Total Ambos Sexos.",""))</f>
        <v/>
      </c>
      <c r="CO300" s="197">
        <f>IF(AND($F300&gt;0,AM300=""),1,IF(AM300&gt;$F300,1,0))</f>
        <v/>
      </c>
      <c r="CP300" s="197">
        <f>IF(AND(AG300+AH300&gt;0,AN300=""),1,IF(AN300&gt;AG300+AH300,1,0))</f>
        <v/>
      </c>
      <c r="CQ300" s="198" t="n"/>
      <c r="CR300" s="198" t="n"/>
      <c r="CS300" s="198" t="n"/>
      <c r="CT300" s="197">
        <f>IF(AND($D300&gt;0,AR300=""),1,0)</f>
        <v/>
      </c>
      <c r="CU300" s="198" t="n"/>
      <c r="CV300" s="197">
        <f>IF(AND($D300&gt;0,AT300=""),1,IF(AT300&gt;$D300,1,0))</f>
        <v/>
      </c>
      <c r="CW300" s="197">
        <f>IF(AND($D300&gt;0,AU300=""),1,IF(AU300&gt;$D300,1,0))</f>
        <v/>
      </c>
      <c r="CX300" s="198" t="n"/>
      <c r="CY300" s="197">
        <f>IF(AND($D300&gt;0,AW300=""),1,IF(AW300&gt;$D300,1,0))</f>
        <v/>
      </c>
      <c r="CZ300" s="197">
        <f>IF(AND($D300&gt;0,AX300=""),1,IF(AX300&gt;$D300,1,0))</f>
        <v/>
      </c>
    </row>
    <row r="301" ht="15" customHeight="1" s="8286">
      <c r="A301" s="10268" t="inlineStr">
        <is>
          <t xml:space="preserve">Rehabilitación: Prótesis implantoasistida </t>
        </is>
      </c>
      <c r="B301" s="8445" t="inlineStr">
        <is>
          <t xml:space="preserve">Consulta nueva  </t>
        </is>
      </c>
      <c r="C301" s="10281" t="n"/>
      <c r="D301" s="3022">
        <f>SUM(E301+F301)</f>
        <v/>
      </c>
      <c r="E301" s="845">
        <f>SUM(W301+Y301+AA301+AC301+AE301+AG301+AI301+AK301)</f>
        <v/>
      </c>
      <c r="F301" s="2715">
        <f>SUM(X301+Z301+AB301+AD301+AF301+AH301+AJ301+AL301)</f>
        <v/>
      </c>
      <c r="G301" s="3041" t="n"/>
      <c r="H301" s="767" t="n"/>
      <c r="I301" s="3038" t="n"/>
      <c r="J301" s="767" t="n"/>
      <c r="K301" s="3038" t="n"/>
      <c r="L301" s="767" t="n"/>
      <c r="M301" s="3038" t="n"/>
      <c r="N301" s="767" t="n"/>
      <c r="O301" s="3038" t="n"/>
      <c r="P301" s="767" t="n"/>
      <c r="Q301" s="3038" t="n"/>
      <c r="R301" s="767" t="n"/>
      <c r="S301" s="3038" t="n"/>
      <c r="T301" s="767" t="n"/>
      <c r="U301" s="3038" t="n"/>
      <c r="V301" s="767" t="n"/>
      <c r="W301" s="3004" t="n"/>
      <c r="X301" s="3005" t="n"/>
      <c r="Y301" s="3004" t="n"/>
      <c r="Z301" s="3005" t="n"/>
      <c r="AA301" s="3004" t="n"/>
      <c r="AB301" s="3005" t="n"/>
      <c r="AC301" s="3004" t="n"/>
      <c r="AD301" s="3005" t="n"/>
      <c r="AE301" s="3004" t="n"/>
      <c r="AF301" s="3005" t="n"/>
      <c r="AG301" s="3004" t="n"/>
      <c r="AH301" s="3005" t="n"/>
      <c r="AI301" s="3004" t="n"/>
      <c r="AJ301" s="3005" t="n"/>
      <c r="AK301" s="1945" t="n"/>
      <c r="AL301" s="1278" t="n"/>
      <c r="AM301" s="1944" t="n"/>
      <c r="AN301" s="2988" t="n"/>
      <c r="AO301" s="2987" t="n"/>
      <c r="AP301" s="764" t="n"/>
      <c r="AQ301" s="5227" t="n"/>
      <c r="AR301" s="5239" t="n"/>
      <c r="AS301" s="5234" t="n"/>
      <c r="AT301" s="5239" t="n"/>
      <c r="AU301" s="1278" t="n"/>
      <c r="AV301" s="2981" t="n"/>
      <c r="AW301" s="5239" t="n"/>
      <c r="AX301" s="1278" t="n"/>
      <c r="AY301">
        <f>CA301&amp;CB301&amp;CC301&amp;CD301&amp;CE301&amp;CF301&amp;CG301&amp;CH301&amp;CI301&amp;CJ301&amp;CK301&amp;CL301</f>
        <v/>
      </c>
      <c r="CA301" s="196">
        <f>IF(AND($F301&gt;0,AM301="")," * No olvide digitar la variable Gestante. Digite cero si no tiene.",IF(AM301&gt;$F301," * La variable Gestante no puede superar el Total Mujeres.",""))</f>
        <v/>
      </c>
      <c r="CB301" s="196">
        <f>IF(AND(AG301+AH301&gt;0,AN301="")," * No olvide digitar la variable 60 años (incluido en grupos de 60-64 años). Digite Cero si no tiene.",IF(AN301&gt;AG301+AH301," * La variable 60 años (incluido en grupos de 60-64 años) no puede superar la suma del Grupo 60-64 años.",""))</f>
        <v/>
      </c>
      <c r="CC301" s="196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>
        <f>IF(AND($D301&gt;0,AQ301="")," * No olvide digitar la variable Inasistente. Digite cero si no tiene.",IF(AQ301&gt;$D301," * La variable Insasistente no puede superar el Total Ambos Sexos.",""))</f>
        <v/>
      </c>
      <c r="CF301" s="196">
        <f>IF(AND($D301&gt;0,AR301="")," * No olvide digitar la variable Compra de Servicio. Digite Cero si no tiene.","")</f>
        <v/>
      </c>
      <c r="CG301" s="198" t="n"/>
      <c r="CH301" s="196">
        <f>IF(AND($D301&gt;0,AT301="")," * No olvide digitar la variable Usuarios con Discapacidad. Digite Cero si no tiene.",IF(AT301&gt;$D301," * La variable Usuarios con Discapacidad no puede superar el Total Ambos Sexos.",""))</f>
        <v/>
      </c>
      <c r="CI301" s="196">
        <f>IF(AND($D301&gt;0,AU301="")," * No olvide digitar la variable Usuarios Oncológicos. Digite Cero si no tiene.",IF(AU301&gt;$D301," * La variable Usuarios Oncológicos no puede superar el Total Ambos Sexos.",""))</f>
        <v/>
      </c>
      <c r="CJ301" s="198" t="n"/>
      <c r="CK301" s="196">
        <f>IF(AND($D301&gt;0,AW301="")," * No olvide digitar la variable Migrantes. Digite Cero si no tiene.",IF(AW301&gt;$D301," * La variable Migrantes no puede superar el Total Ambos Sexos.",""))</f>
        <v/>
      </c>
      <c r="CL301" s="196">
        <f>IF(AND($D301&gt;0,AX301=""),"  * No olvide digitar la variable Pueblo Originario. Digite Cero si no tiene.",IF(AX301&gt;$D301," * La variable Pueblo Originario no puede superar el Total Ambos Sexos.",""))</f>
        <v/>
      </c>
      <c r="CO301" s="197">
        <f>IF(AND($F301&gt;0,AM301=""),1,IF(AM301&gt;$F301,1,0))</f>
        <v/>
      </c>
      <c r="CP301" s="197">
        <f>IF(AND(AG301+AH301&gt;0,AN301=""),1,IF(AN301&gt;AG301+AH301,1,0))</f>
        <v/>
      </c>
      <c r="CQ301" s="197">
        <f>IF(AND($D301&gt;0,AO301=""),1,IF(AO301&gt;$D301,1,0))</f>
        <v/>
      </c>
      <c r="CR301" s="197">
        <f>IF(AND($D301&gt;0,AP301=""),1,IF(AP301&gt;$D301,1,0))</f>
        <v/>
      </c>
      <c r="CS301" s="197">
        <f>IF(AND($D301&gt;0,AQ301=""),1,IF(AQ301&gt;$D301,1,0))</f>
        <v/>
      </c>
      <c r="CT301" s="197">
        <f>IF(AND($D301&gt;0,AR301=""),1,0)</f>
        <v/>
      </c>
      <c r="CU301" s="198" t="n"/>
      <c r="CV301" s="197">
        <f>IF(AND($D301&gt;0,AT301=""),1,IF(AT301&gt;$D301,1,0))</f>
        <v/>
      </c>
      <c r="CW301" s="197">
        <f>IF(AND($D301&gt;0,AU301=""),1,IF(AU301&gt;$D301,1,0))</f>
        <v/>
      </c>
      <c r="CX301" s="198" t="n"/>
      <c r="CY301" s="197">
        <f>IF(AND($D301&gt;0,AW301=""),1,IF(AW301&gt;$D301,1,0))</f>
        <v/>
      </c>
      <c r="CZ301" s="197">
        <f>IF(AND($D301&gt;0,AX301=""),1,IF(AX301&gt;$D301,1,0))</f>
        <v/>
      </c>
    </row>
    <row r="302" ht="15" customHeight="1" s="8286">
      <c r="A302" s="9588" t="n"/>
      <c r="B302" s="8748" t="inlineStr">
        <is>
          <t xml:space="preserve">Control  </t>
        </is>
      </c>
      <c r="C302" s="9644" t="n"/>
      <c r="D302" s="2989">
        <f>SUM(E302+F302)</f>
        <v/>
      </c>
      <c r="E302" s="2990">
        <f>SUM(W302+Y302+AA302+AC302+AE302+AG302+AI302+AK302)</f>
        <v/>
      </c>
      <c r="F302" s="3014">
        <f>SUM(X302+Z302+AB302+AD302+AF302+AH302+AJ302+AL302)</f>
        <v/>
      </c>
      <c r="G302" s="2980" t="n"/>
      <c r="H302" s="2981" t="n"/>
      <c r="I302" s="2996" t="n"/>
      <c r="J302" s="2981" t="n"/>
      <c r="K302" s="2996" t="n"/>
      <c r="L302" s="2981" t="n"/>
      <c r="M302" s="2996" t="n"/>
      <c r="N302" s="2981" t="n"/>
      <c r="O302" s="2996" t="n"/>
      <c r="P302" s="2981" t="n"/>
      <c r="Q302" s="2996" t="n"/>
      <c r="R302" s="2981" t="n"/>
      <c r="S302" s="2996" t="n"/>
      <c r="T302" s="2981" t="n"/>
      <c r="U302" s="2996" t="n"/>
      <c r="V302" s="2981" t="n"/>
      <c r="W302" s="3006" t="n"/>
      <c r="X302" s="3007" t="n"/>
      <c r="Y302" s="3006" t="n"/>
      <c r="Z302" s="3007" t="n"/>
      <c r="AA302" s="3006" t="n"/>
      <c r="AB302" s="3007" t="n"/>
      <c r="AC302" s="3006" t="n"/>
      <c r="AD302" s="3007" t="n"/>
      <c r="AE302" s="3006" t="n"/>
      <c r="AF302" s="3007" t="n"/>
      <c r="AG302" s="3006" t="n"/>
      <c r="AH302" s="3007" t="n"/>
      <c r="AI302" s="3006" t="n"/>
      <c r="AJ302" s="3007" t="n"/>
      <c r="AK302" s="2993" t="n"/>
      <c r="AL302" s="1275" t="n"/>
      <c r="AM302" s="2994" t="n"/>
      <c r="AN302" s="2995" t="n"/>
      <c r="AO302" s="2980" t="n"/>
      <c r="AP302" s="2981" t="n"/>
      <c r="AQ302" s="5228" t="n"/>
      <c r="AR302" s="3951" t="n"/>
      <c r="AS302" s="5234" t="n"/>
      <c r="AT302" s="3951" t="n"/>
      <c r="AU302" s="1275" t="n"/>
      <c r="AV302" s="2981" t="n"/>
      <c r="AW302" s="3951" t="n"/>
      <c r="AX302" s="1275" t="n"/>
      <c r="AY302">
        <f>CA302&amp;CB302&amp;CC302&amp;CD302&amp;CE302&amp;CF302&amp;CG302&amp;CH302&amp;CI302&amp;CJ302&amp;CK302&amp;CL302</f>
        <v/>
      </c>
      <c r="CA302" s="196">
        <f>IF(AND($F302&gt;0,AM302="")," * No olvide digitar la variable Gestante. Digite cero si no tiene.",IF(AM302&gt;$F302," * La variable Gestante no puede superar el Total Mujeres.",""))</f>
        <v/>
      </c>
      <c r="CB302" s="196">
        <f>IF(AND(AG302+AH302&gt;0,AN302="")," * No olvide digitar la variable 60 años (incluido en grupos de 60-64 años). Digite Cero si no tiene.",IF(AN302&gt;AG302+AH302," * La variable 60 años (incluido en grupos de 60-64 años) no puede superar la suma del Grupo 60-64 años.",""))</f>
        <v/>
      </c>
      <c r="CC302" s="198" t="n"/>
      <c r="CD302" s="198" t="n"/>
      <c r="CE302" s="196">
        <f>IF(AND($D302&gt;0,AQ302="")," * No olvide digitar la variable Inasistente. Digite cero si no tiene.",IF(AQ302&gt;$D302," * La variable Insasistente no puede superar el Total Ambos Sexos.",""))</f>
        <v/>
      </c>
      <c r="CF302" s="196">
        <f>IF(AND($D302&gt;0,AR302="")," * No olvide digitar la variable Compra de Servicio. Digite Cero si no tiene.","")</f>
        <v/>
      </c>
      <c r="CG302" s="198" t="n"/>
      <c r="CH302" s="196">
        <f>IF(AND($D302&gt;0,AT302="")," * No olvide digitar la variable Usuarios con Discapacidad. Digite Cero si no tiene.",IF(AT302&gt;$D302," * La variable Usuarios con Discapacidad no puede superar el Total Ambos Sexos.",""))</f>
        <v/>
      </c>
      <c r="CI302" s="196">
        <f>IF(AND($D302&gt;0,AU302="")," * No olvide digitar la variable Usuarios Oncológicos. Digite Cero si no tiene.",IF(AU302&gt;$D302," * La variable Usuarios Oncológicos no puede superar el Total Ambos Sexos.",""))</f>
        <v/>
      </c>
      <c r="CJ302" s="198" t="n"/>
      <c r="CK302" s="196">
        <f>IF(AND($D302&gt;0,AW302="")," * No olvide digitar la variable Migrantes. Digite Cero si no tiene.",IF(AW302&gt;$D302," * La variable Migrantes no puede superar el Total Ambos Sexos.",""))</f>
        <v/>
      </c>
      <c r="CL302" s="196">
        <f>IF(AND($D302&gt;0,AX302=""),"  * No olvide digitar la variable Pueblo Originario. Digite Cero si no tiene.",IF(AX302&gt;$D302," * La variable Pueblo Originario no puede superar el Total Ambos Sexos.",""))</f>
        <v/>
      </c>
      <c r="CO302" s="197">
        <f>IF(AND($F302&gt;0,AM302=""),1,IF(AM302&gt;$F302,1,0))</f>
        <v/>
      </c>
      <c r="CP302" s="197">
        <f>IF(AND(AG302+AH302&gt;0,AN302=""),1,IF(AN302&gt;AG302+AH302,1,0))</f>
        <v/>
      </c>
      <c r="CQ302" s="198" t="n"/>
      <c r="CR302" s="198" t="n"/>
      <c r="CS302" s="197">
        <f>IF(AND($D302&gt;0,AQ302=""),1,IF(AQ302&gt;$D302,1,0))</f>
        <v/>
      </c>
      <c r="CT302" s="197">
        <f>IF(AND($D302&gt;0,AR302=""),1,0)</f>
        <v/>
      </c>
      <c r="CU302" s="198" t="n"/>
      <c r="CV302" s="197">
        <f>IF(AND($D302&gt;0,AT302=""),1,IF(AT302&gt;$D302,1,0))</f>
        <v/>
      </c>
      <c r="CW302" s="197">
        <f>IF(AND($D302&gt;0,AU302=""),1,IF(AU302&gt;$D302,1,0))</f>
        <v/>
      </c>
      <c r="CX302" s="198" t="n"/>
      <c r="CY302" s="197">
        <f>IF(AND($D302&gt;0,AW302=""),1,IF(AW302&gt;$D302,1,0))</f>
        <v/>
      </c>
      <c r="CZ302" s="197">
        <f>IF(AND($D302&gt;0,AX302=""),1,IF(AX302&gt;$D302,1,0))</f>
        <v/>
      </c>
    </row>
    <row r="303" ht="15" customHeight="1" s="8286">
      <c r="A303" s="9588" t="n"/>
      <c r="B303" s="8748" t="inlineStr">
        <is>
          <t xml:space="preserve">Ingreso a tratamiento </t>
        </is>
      </c>
      <c r="C303" s="9644" t="n"/>
      <c r="D303" s="2989">
        <f>SUM(E303+F303)</f>
        <v/>
      </c>
      <c r="E303" s="2990">
        <f>SUM(W303+Y303+AA303+AC303+AE303+AG303+AI303+AK303)</f>
        <v/>
      </c>
      <c r="F303" s="2803">
        <f>SUM(X303+Z303+AB303+AD303+AF303+AH303+AJ303+AL303)</f>
        <v/>
      </c>
      <c r="G303" s="2980" t="n"/>
      <c r="H303" s="2981" t="n"/>
      <c r="I303" s="2996" t="n"/>
      <c r="J303" s="2981" t="n"/>
      <c r="K303" s="2996" t="n"/>
      <c r="L303" s="2981" t="n"/>
      <c r="M303" s="2996" t="n"/>
      <c r="N303" s="2981" t="n"/>
      <c r="O303" s="2996" t="n"/>
      <c r="P303" s="2981" t="n"/>
      <c r="Q303" s="2996" t="n"/>
      <c r="R303" s="2981" t="n"/>
      <c r="S303" s="2996" t="n"/>
      <c r="T303" s="2981" t="n"/>
      <c r="U303" s="2996" t="n"/>
      <c r="V303" s="2981" t="n"/>
      <c r="W303" s="3006" t="n"/>
      <c r="X303" s="3007" t="n"/>
      <c r="Y303" s="3006" t="n"/>
      <c r="Z303" s="3007" t="n"/>
      <c r="AA303" s="3006" t="n"/>
      <c r="AB303" s="3007" t="n"/>
      <c r="AC303" s="3006" t="n"/>
      <c r="AD303" s="3007" t="n"/>
      <c r="AE303" s="3006" t="n"/>
      <c r="AF303" s="3007" t="n"/>
      <c r="AG303" s="3006" t="n"/>
      <c r="AH303" s="3007" t="n"/>
      <c r="AI303" s="3006" t="n"/>
      <c r="AJ303" s="3007" t="n"/>
      <c r="AK303" s="2993" t="n"/>
      <c r="AL303" s="1275" t="n"/>
      <c r="AM303" s="2994" t="n"/>
      <c r="AN303" s="2995" t="n"/>
      <c r="AO303" s="2980" t="n"/>
      <c r="AP303" s="2981" t="n"/>
      <c r="AQ303" s="5226" t="n"/>
      <c r="AR303" s="3951" t="n"/>
      <c r="AS303" s="5234" t="n"/>
      <c r="AT303" s="3951" t="n"/>
      <c r="AU303" s="1275" t="n"/>
      <c r="AV303" s="2981" t="n"/>
      <c r="AW303" s="3951" t="n"/>
      <c r="AX303" s="1275" t="n"/>
      <c r="AY303">
        <f>CA303&amp;CB303&amp;CC303&amp;CD303&amp;CE303&amp;CF303&amp;CG303&amp;CH303&amp;CI303&amp;CJ303&amp;CK303&amp;CL303</f>
        <v/>
      </c>
      <c r="CA303" s="196">
        <f>IF(AND($F303&gt;0,AM303="")," * No olvide digitar la variable Gestante. Digite cero si no tiene.",IF(AM303&gt;$F303," * La variable Gestante no puede superar el Total Mujeres.",""))</f>
        <v/>
      </c>
      <c r="CB303" s="196">
        <f>IF(AND(AG303+AH303&gt;0,AN303="")," * No olvide digitar la variable 60 años (incluido en grupos de 60-64 años). Digite Cero si no tiene.",IF(AN303&gt;AG303+AH303," * La variable 60 años (incluido en grupos de 60-64 años) no puede superar la suma del Grupo 60-64 años.",""))</f>
        <v/>
      </c>
      <c r="CC303" s="198" t="n"/>
      <c r="CD303" s="198" t="n"/>
      <c r="CE303" s="198" t="n"/>
      <c r="CF303" s="196">
        <f>IF(AND($D303&gt;0,AR303="")," * No olvide digitar la variable Compra de Servicio. Digite Cero si no tiene.","")</f>
        <v/>
      </c>
      <c r="CG303" s="198" t="n"/>
      <c r="CH303" s="196">
        <f>IF(AND($D303&gt;0,AT303="")," * No olvide digitar la variable Usuarios con Discapacidad. Digite Cero si no tiene.",IF(AT303&gt;$D303," * La variable Usuarios con Discapacidad no puede superar el Total Ambos Sexos.",""))</f>
        <v/>
      </c>
      <c r="CI303" s="196">
        <f>IF(AND($D303&gt;0,AU303="")," * No olvide digitar la variable Usuarios Oncológicos. Digite Cero si no tiene.",IF(AU303&gt;$D303," * La variable Usuarios Oncológicos no puede superar el Total Ambos Sexos.",""))</f>
        <v/>
      </c>
      <c r="CJ303" s="198" t="n"/>
      <c r="CK303" s="196">
        <f>IF(AND($D303&gt;0,AW303="")," * No olvide digitar la variable Migrantes. Digite Cero si no tiene.",IF(AW303&gt;$D303," * La variable Migrantes no puede superar el Total Ambos Sexos.",""))</f>
        <v/>
      </c>
      <c r="CL303" s="196">
        <f>IF(AND($D303&gt;0,AX303=""),"  * No olvide digitar la variable Pueblo Originario. Digite Cero si no tiene.",IF(AX303&gt;$D303," * La variable Pueblo Originario no puede superar el Total Ambos Sexos.",""))</f>
        <v/>
      </c>
      <c r="CO303" s="197">
        <f>IF(AND($F303&gt;0,AM303=""),1,IF(AM303&gt;$F303,1,0))</f>
        <v/>
      </c>
      <c r="CP303" s="197">
        <f>IF(AND(AG303+AH303&gt;0,AN303=""),1,IF(AN303&gt;AG303+AH303,1,0))</f>
        <v/>
      </c>
      <c r="CQ303" s="198" t="n"/>
      <c r="CR303" s="198" t="n"/>
      <c r="CS303" s="198" t="n"/>
      <c r="CT303" s="197">
        <f>IF(AND($D303&gt;0,AR303=""),1,0)</f>
        <v/>
      </c>
      <c r="CU303" s="198" t="n"/>
      <c r="CV303" s="197">
        <f>IF(AND($D303&gt;0,AT303=""),1,IF(AT303&gt;$D303,1,0))</f>
        <v/>
      </c>
      <c r="CW303" s="197">
        <f>IF(AND($D303&gt;0,AU303=""),1,IF(AU303&gt;$D303,1,0))</f>
        <v/>
      </c>
      <c r="CX303" s="198" t="n"/>
      <c r="CY303" s="197">
        <f>IF(AND($D303&gt;0,AW303=""),1,IF(AW303&gt;$D303,1,0))</f>
        <v/>
      </c>
      <c r="CZ303" s="197">
        <f>IF(AND($D303&gt;0,AX303=""),1,IF(AX303&gt;$D303,1,0))</f>
        <v/>
      </c>
    </row>
    <row r="304" ht="15" customHeight="1" s="8286">
      <c r="A304" s="9588" t="n"/>
      <c r="B304" s="8748" t="inlineStr">
        <is>
          <t xml:space="preserve">Altas de tratamiento </t>
        </is>
      </c>
      <c r="C304" s="9644" t="n"/>
      <c r="D304" s="2989">
        <f>SUM(E304+F304)</f>
        <v/>
      </c>
      <c r="E304" s="2990">
        <f>SUM(W304+Y304+AA304+AC304+AE304+AG304+AI304+AK304)</f>
        <v/>
      </c>
      <c r="F304" s="2803">
        <f>SUM(X304+Z304+AB304+AD304+AF304+AH304+AJ304+AL304)</f>
        <v/>
      </c>
      <c r="G304" s="2980" t="n"/>
      <c r="H304" s="2981" t="n"/>
      <c r="I304" s="2996" t="n"/>
      <c r="J304" s="2981" t="n"/>
      <c r="K304" s="2996" t="n"/>
      <c r="L304" s="2981" t="n"/>
      <c r="M304" s="2996" t="n"/>
      <c r="N304" s="2981" t="n"/>
      <c r="O304" s="2996" t="n"/>
      <c r="P304" s="2981" t="n"/>
      <c r="Q304" s="2996" t="n"/>
      <c r="R304" s="2981" t="n"/>
      <c r="S304" s="2996" t="n"/>
      <c r="T304" s="2981" t="n"/>
      <c r="U304" s="2996" t="n"/>
      <c r="V304" s="2981" t="n"/>
      <c r="W304" s="3008" t="n"/>
      <c r="X304" s="3009" t="n"/>
      <c r="Y304" s="3008" t="n"/>
      <c r="Z304" s="3009" t="n"/>
      <c r="AA304" s="3008" t="n"/>
      <c r="AB304" s="3009" t="n"/>
      <c r="AC304" s="3008" t="n"/>
      <c r="AD304" s="3009" t="n"/>
      <c r="AE304" s="3008" t="n"/>
      <c r="AF304" s="3009" t="n"/>
      <c r="AG304" s="3008" t="n"/>
      <c r="AH304" s="3009" t="n"/>
      <c r="AI304" s="3008" t="n"/>
      <c r="AJ304" s="3009" t="n"/>
      <c r="AK304" s="2993" t="n"/>
      <c r="AL304" s="1275" t="n"/>
      <c r="AM304" s="1937" t="n"/>
      <c r="AN304" s="2999" t="n"/>
      <c r="AO304" s="2980" t="n"/>
      <c r="AP304" s="2981" t="n"/>
      <c r="AQ304" s="5226" t="n"/>
      <c r="AR304" s="5240" t="n"/>
      <c r="AS304" s="5234" t="n"/>
      <c r="AT304" s="5240" t="n"/>
      <c r="AU304" s="1950" t="n"/>
      <c r="AV304" s="1275" t="n"/>
      <c r="AW304" s="5240" t="n"/>
      <c r="AX304" s="1950" t="n"/>
      <c r="AY304">
        <f>CA304&amp;CB304&amp;CC304&amp;CD304&amp;CE304&amp;CF304&amp;CG304&amp;CH304&amp;CI304&amp;CJ304&amp;CK304&amp;CL304</f>
        <v/>
      </c>
      <c r="CA304" s="196">
        <f>IF(AND($F304&gt;0,AM304="")," * No olvide digitar la variable Gestante. Digite cero si no tiene.",IF(AM304&gt;$F304," * La variable Gestante no puede superar el Total Mujeres.",""))</f>
        <v/>
      </c>
      <c r="CB304" s="196">
        <f>IF(AND(AG304+AH304&gt;0,AN304="")," * No olvide digitar la variable 60 años (incluido en grupos de 60-64 años). Digite Cero si no tiene.",IF(AN304&gt;AG304+AH304," * La variable 60 años (incluido en grupos de 60-64 años) no puede superar la suma del Grupo 60-64 años.",""))</f>
        <v/>
      </c>
      <c r="CC304" s="198" t="n"/>
      <c r="CD304" s="198" t="n"/>
      <c r="CE304" s="198" t="n"/>
      <c r="CF304" s="196">
        <f>IF(AND($D304&gt;0,AR304="")," * No olvide digitar la variable Compra de Servicio. Digite Cero si no tiene.","")</f>
        <v/>
      </c>
      <c r="CG304" s="198" t="n"/>
      <c r="CH304" s="196">
        <f>IF(AND($D304&gt;0,AT304="")," * No olvide digitar la variable Usuarios con Discapacidad. Digite Cero si no tiene.",IF(AT304&gt;$D304," * La variable Usuarios con Discapacidad no puede superar el Total Ambos Sexos.",""))</f>
        <v/>
      </c>
      <c r="CI304" s="196">
        <f>IF(AND($D304&gt;0,AU304="")," * No olvide digitar la variable Usuarios Oncológicos. Digite Cero si no tiene.",IF(AU304&gt;$D304," * La variable Usuarios Oncológicos no puede superar el Total Ambos Sexos.",""))</f>
        <v/>
      </c>
      <c r="CJ304" s="196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>
        <f>IF(AND($D304&gt;0,AW304="")," * No olvide digitar la variable Migrantes. Digite Cero si no tiene.",IF(AW304&gt;$D304," * La variable Migrantes no puede superar el Total Ambos Sexos.",""))</f>
        <v/>
      </c>
      <c r="CL304" s="196">
        <f>IF(AND($D304&gt;0,AX304=""),"  * No olvide digitar la variable Pueblo Originario. Digite Cero si no tiene.",IF(AX304&gt;$D304," * La variable Pueblo Originario no puede superar el Total Ambos Sexos.",""))</f>
        <v/>
      </c>
      <c r="CO304" s="197">
        <f>IF(AND($F304&gt;0,AM304=""),1,IF(AM304&gt;$F304,1,0))</f>
        <v/>
      </c>
      <c r="CP304" s="197">
        <f>IF(AND(AG304+AH304&gt;0,AN304=""),1,IF(AN304&gt;AG304+AH304,1,0))</f>
        <v/>
      </c>
      <c r="CQ304" s="198" t="n"/>
      <c r="CR304" s="198" t="n"/>
      <c r="CS304" s="198" t="n"/>
      <c r="CT304" s="197">
        <f>IF(AND($D304&gt;0,AR304=""),1,0)</f>
        <v/>
      </c>
      <c r="CU304" s="198" t="n"/>
      <c r="CV304" s="197">
        <f>IF(AND($D304&gt;0,AT304=""),1,IF(AT304&gt;$D304,1,0))</f>
        <v/>
      </c>
      <c r="CW304" s="197">
        <f>IF(AND($D304&gt;0,AU304=""),1,IF(AU304&gt;$D304,1,0))</f>
        <v/>
      </c>
      <c r="CX304" s="197">
        <f>IF(AND($D304&gt;0,AV304=""),1,IF(AV304&gt;$D304,1,0))</f>
        <v/>
      </c>
      <c r="CY304" s="197">
        <f>IF(AND($D304&gt;0,AW304=""),1,IF(AW304&gt;$D304,1,0))</f>
        <v/>
      </c>
      <c r="CZ304" s="197">
        <f>IF(AND($D304&gt;0,AX304=""),1,IF(AX304&gt;$D304,1,0))</f>
        <v/>
      </c>
    </row>
    <row r="305" ht="15" customHeight="1" s="8286">
      <c r="A305" s="9588" t="n"/>
      <c r="B305" s="8748" t="inlineStr">
        <is>
          <t xml:space="preserve">Control de especialidad post alta </t>
        </is>
      </c>
      <c r="C305" s="9644" t="n"/>
      <c r="D305" s="2989">
        <f>SUM(E305+F305)</f>
        <v/>
      </c>
      <c r="E305" s="2990">
        <f>SUM(W305+Y305+AA305+AC305+AE305+AG305+AI305+AK305)</f>
        <v/>
      </c>
      <c r="F305" s="2803">
        <f>SUM(X305+Z305+AB305+AD305+AF305+AH305+AJ305+AL305)</f>
        <v/>
      </c>
      <c r="G305" s="665" t="n"/>
      <c r="H305" s="3042" t="n"/>
      <c r="I305" s="706" t="n"/>
      <c r="J305" s="3042" t="n"/>
      <c r="K305" s="706" t="n"/>
      <c r="L305" s="3042" t="n"/>
      <c r="M305" s="706" t="n"/>
      <c r="N305" s="3042" t="n"/>
      <c r="O305" s="706" t="n"/>
      <c r="P305" s="3042" t="n"/>
      <c r="Q305" s="706" t="n"/>
      <c r="R305" s="3042" t="n"/>
      <c r="S305" s="706" t="n"/>
      <c r="T305" s="3042" t="n"/>
      <c r="U305" s="706" t="n"/>
      <c r="V305" s="3042" t="n"/>
      <c r="W305" s="3008" t="n"/>
      <c r="X305" s="3009" t="n"/>
      <c r="Y305" s="3008" t="n"/>
      <c r="Z305" s="3009" t="n"/>
      <c r="AA305" s="3008" t="n"/>
      <c r="AB305" s="3009" t="n"/>
      <c r="AC305" s="3008" t="n"/>
      <c r="AD305" s="3009" t="n"/>
      <c r="AE305" s="3008" t="n"/>
      <c r="AF305" s="3009" t="n"/>
      <c r="AG305" s="3008" t="n"/>
      <c r="AH305" s="3009" t="n"/>
      <c r="AI305" s="3008" t="n"/>
      <c r="AJ305" s="3009" t="n"/>
      <c r="AK305" s="1949" t="n"/>
      <c r="AL305" s="1950" t="n"/>
      <c r="AM305" s="1937" t="n"/>
      <c r="AN305" s="2999" t="n"/>
      <c r="AO305" s="3000" t="n"/>
      <c r="AP305" s="3001" t="n"/>
      <c r="AQ305" s="365" t="n"/>
      <c r="AR305" s="5240" t="n"/>
      <c r="AS305" s="5235" t="n"/>
      <c r="AT305" s="5240" t="n"/>
      <c r="AU305" s="1950" t="n"/>
      <c r="AV305" s="3001" t="n"/>
      <c r="AW305" s="5240" t="n"/>
      <c r="AX305" s="1950" t="n"/>
      <c r="AY305">
        <f>CA305&amp;CB305&amp;CC305&amp;CD305&amp;CE305&amp;CF305&amp;CG305&amp;CH305&amp;CI305&amp;CJ305&amp;CK305&amp;CL305</f>
        <v/>
      </c>
      <c r="CA305" s="196">
        <f>IF(AND($F305&gt;0,AM305="")," * No olvide digitar la variable Gestante. Digite cero si no tiene.",IF(AM305&gt;$F305," * La variable Gestante no puede superar el Total Mujeres.",""))</f>
        <v/>
      </c>
      <c r="CB305" s="196">
        <f>IF(AND(AG305+AH305&gt;0,AN305="")," * No olvide digitar la variable 60 años (incluido en grupos de 60-64 años). Digite Cero si no tiene.",IF(AN305&gt;AG305+AH305," * La variable 60 años (incluido en grupos de 60-64 años) no puede superar la suma del Grupo 60-64 años.",""))</f>
        <v/>
      </c>
      <c r="CC305" s="198" t="n"/>
      <c r="CD305" s="198" t="n"/>
      <c r="CE305" s="198" t="n"/>
      <c r="CF305" s="196">
        <f>IF(AND($D305&gt;0,AR305="")," * No olvide digitar la variable Compra de Servicio. Digite Cero si no tiene.","")</f>
        <v/>
      </c>
      <c r="CG305" s="198" t="n"/>
      <c r="CH305" s="196">
        <f>IF(AND($D305&gt;0,AT305="")," * No olvide digitar la variable Usuarios con Discapacidad. Digite Cero si no tiene.",IF(AT305&gt;$D305," * La variable Usuarios con Discapacidad no puede superar el Total Ambos Sexos.",""))</f>
        <v/>
      </c>
      <c r="CI305" s="196">
        <f>IF(AND($D305&gt;0,AU305="")," * No olvide digitar la variable Usuarios Oncológicos. Digite Cero si no tiene.",IF(AU305&gt;$D305," * La variable Usuarios Oncológicos no puede superar el Total Ambos Sexos.",""))</f>
        <v/>
      </c>
      <c r="CJ305" s="198" t="n"/>
      <c r="CK305" s="196">
        <f>IF(AND($D305&gt;0,AW305="")," * No olvide digitar la variable Migrantes. Digite Cero si no tiene.",IF(AW305&gt;$D305," * La variable Migrantes no puede superar el Total Ambos Sexos.",""))</f>
        <v/>
      </c>
      <c r="CL305" s="196">
        <f>IF(AND($D305&gt;0,AX305=""),"  * No olvide digitar la variable Pueblo Originario. Digite Cero si no tiene.",IF(AX305&gt;$D305," * La variable Pueblo Originario no puede superar el Total Ambos Sexos.",""))</f>
        <v/>
      </c>
      <c r="CO305" s="197">
        <f>IF(AND($F305&gt;0,AM305=""),1,IF(AM305&gt;$F305,1,0))</f>
        <v/>
      </c>
      <c r="CP305" s="197">
        <f>IF(AND(AG305+AH305&gt;0,AN305=""),1,IF(AN305&gt;AG305+AH305,1,0))</f>
        <v/>
      </c>
      <c r="CQ305" s="198" t="n"/>
      <c r="CR305" s="198" t="n"/>
      <c r="CS305" s="198" t="n"/>
      <c r="CT305" s="197">
        <f>IF(AND($D305&gt;0,AR305=""),1,0)</f>
        <v/>
      </c>
      <c r="CU305" s="198" t="n"/>
      <c r="CV305" s="197">
        <f>IF(AND($D305&gt;0,AT305=""),1,IF(AT305&gt;$D305,1,0))</f>
        <v/>
      </c>
      <c r="CW305" s="197">
        <f>IF(AND($D305&gt;0,AU305=""),1,IF(AU305&gt;$D305,1,0))</f>
        <v/>
      </c>
      <c r="CX305" s="198" t="n"/>
      <c r="CY305" s="197">
        <f>IF(AND($D305&gt;0,AW305=""),1,IF(AW305&gt;$D305,1,0))</f>
        <v/>
      </c>
      <c r="CZ305" s="197">
        <f>IF(AND($D305&gt;0,AX305=""),1,IF(AX305&gt;$D305,1,0))</f>
        <v/>
      </c>
    </row>
    <row r="306" ht="15" customHeight="1" s="8286">
      <c r="A306" s="9589" t="n"/>
      <c r="B306" s="10282" t="inlineStr">
        <is>
          <t xml:space="preserve">Altas administrativas </t>
        </is>
      </c>
      <c r="C306" s="9710" t="n"/>
      <c r="D306" s="2959">
        <f>SUM(E306+F306)</f>
        <v/>
      </c>
      <c r="E306" s="800">
        <f>SUM(W306+Y306+AA306+AC306+AE306+AG306+AI306+AK306)</f>
        <v/>
      </c>
      <c r="F306" s="2727">
        <f>SUM(X306+Z306+AB306+AD306+AF306+AH306+AJ306+AL306)</f>
        <v/>
      </c>
      <c r="G306" s="3021" t="n"/>
      <c r="H306" s="367" t="n"/>
      <c r="I306" s="3043" t="n"/>
      <c r="J306" s="367" t="n"/>
      <c r="K306" s="3043" t="n"/>
      <c r="L306" s="367" t="n"/>
      <c r="M306" s="3043" t="n"/>
      <c r="N306" s="367" t="n"/>
      <c r="O306" s="3043" t="n"/>
      <c r="P306" s="367" t="n"/>
      <c r="Q306" s="3043" t="n"/>
      <c r="R306" s="367" t="n"/>
      <c r="S306" s="3043" t="n"/>
      <c r="T306" s="367" t="n"/>
      <c r="U306" s="3043" t="n"/>
      <c r="V306" s="367" t="n"/>
      <c r="W306" s="3010" t="n"/>
      <c r="X306" s="3011" t="n"/>
      <c r="Y306" s="3010" t="n"/>
      <c r="Z306" s="3011" t="n"/>
      <c r="AA306" s="3010" t="n"/>
      <c r="AB306" s="3011" t="n"/>
      <c r="AC306" s="3010" t="n"/>
      <c r="AD306" s="3011" t="n"/>
      <c r="AE306" s="3010" t="n"/>
      <c r="AF306" s="3011" t="n"/>
      <c r="AG306" s="3010" t="n"/>
      <c r="AH306" s="3011" t="n"/>
      <c r="AI306" s="3010" t="n"/>
      <c r="AJ306" s="3011" t="n"/>
      <c r="AK306" s="1348" t="n"/>
      <c r="AL306" s="1277" t="n"/>
      <c r="AM306" s="1350" t="n"/>
      <c r="AN306" s="2984" t="n"/>
      <c r="AO306" s="3002" t="n"/>
      <c r="AP306" s="2985" t="n"/>
      <c r="AQ306" s="3003" t="n"/>
      <c r="AR306" s="1967" t="n"/>
      <c r="AS306" s="5233" t="n"/>
      <c r="AT306" s="1967" t="n"/>
      <c r="AU306" s="1277" t="n"/>
      <c r="AV306" s="2985" t="n"/>
      <c r="AW306" s="1967" t="n"/>
      <c r="AX306" s="1277" t="n"/>
      <c r="AY306">
        <f>CA306&amp;CB306&amp;CC306&amp;CD306&amp;CE306&amp;CF306&amp;CG306&amp;CH306&amp;CI306&amp;CJ306&amp;CK306&amp;CL306</f>
        <v/>
      </c>
      <c r="CA306" s="196">
        <f>IF(AND($F306&gt;0,AM306="")," * No olvide digitar la variable Gestante. Digite cero si no tiene.",IF(AM306&gt;$F306," * La variable Gestante no puede superar el Total Mujeres.",""))</f>
        <v/>
      </c>
      <c r="CB306" s="196">
        <f>IF(AND(AG306+AH306&gt;0,AN306="")," * No olvide digitar la variable 60 años (incluido en grupos de 60-64 años). Digite Cero si no tiene.",IF(AN306&gt;AG306+AH306," * La variable 60 años (incluido en grupos de 60-64 años) no puede superar la suma del Grupo 60-64 años.",""))</f>
        <v/>
      </c>
      <c r="CC306" s="198" t="n"/>
      <c r="CD306" s="198" t="n"/>
      <c r="CE306" s="198" t="n"/>
      <c r="CF306" s="196">
        <f>IF(AND($D306&gt;0,AR306="")," * No olvide digitar la variable Compra de Servicio. Digite Cero si no tiene.","")</f>
        <v/>
      </c>
      <c r="CG306" s="198" t="n"/>
      <c r="CH306" s="196">
        <f>IF(AND($D306&gt;0,AT306="")," * No olvide digitar la variable Usuarios con Discapacidad. Digite Cero si no tiene.",IF(AT306&gt;$D306," * La variable Usuarios con Discapacidad no puede superar el Total Ambos Sexos.",""))</f>
        <v/>
      </c>
      <c r="CI306" s="196">
        <f>IF(AND($D306&gt;0,AU306="")," * No olvide digitar la variable Usuarios Oncológicos. Digite Cero si no tiene.",IF(AU306&gt;$D306," * La variable Usuarios Oncológicos no puede superar el Total Ambos Sexos.",""))</f>
        <v/>
      </c>
      <c r="CJ306" s="198" t="n"/>
      <c r="CK306" s="196">
        <f>IF(AND($D306&gt;0,AW306="")," * No olvide digitar la variable Migrantes. Digite Cero si no tiene.",IF(AW306&gt;$D306," * La variable Migrantes no puede superar el Total Ambos Sexos.",""))</f>
        <v/>
      </c>
      <c r="CL306" s="196">
        <f>IF(AND($D306&gt;0,AX306=""),"  * No olvide digitar la variable Pueblo Originario. Digite Cero si no tiene.",IF(AX306&gt;$D306," * La variable Pueblo Originario no puede superar el Total Ambos Sexos.",""))</f>
        <v/>
      </c>
      <c r="CO306" s="197">
        <f>IF(AND($F306&gt;0,AM306=""),1,IF(AM306&gt;$F306,1,0))</f>
        <v/>
      </c>
      <c r="CP306" s="197">
        <f>IF(AND(AG306+AH306&gt;0,AN306=""),1,IF(AN306&gt;AG306+AH306,1,0))</f>
        <v/>
      </c>
      <c r="CQ306" s="198" t="n"/>
      <c r="CR306" s="198" t="n"/>
      <c r="CS306" s="198" t="n"/>
      <c r="CT306" s="197">
        <f>IF(AND($D306&gt;0,AR306=""),1,0)</f>
        <v/>
      </c>
      <c r="CU306" s="198" t="n"/>
      <c r="CV306" s="197">
        <f>IF(AND($D306&gt;0,AT306=""),1,IF(AT306&gt;$D306,1,0))</f>
        <v/>
      </c>
      <c r="CW306" s="197">
        <f>IF(AND($D306&gt;0,AU306=""),1,IF(AU306&gt;$D306,1,0))</f>
        <v/>
      </c>
      <c r="CX306" s="198" t="n"/>
      <c r="CY306" s="197">
        <f>IF(AND($D306&gt;0,AW306=""),1,IF(AW306&gt;$D306,1,0))</f>
        <v/>
      </c>
      <c r="CZ306" s="197">
        <f>IF(AND($D306&gt;0,AX306=""),1,IF(AX306&gt;$D306,1,0))</f>
        <v/>
      </c>
    </row>
    <row r="307" ht="15" customHeight="1" s="8286">
      <c r="A307" s="10236" t="inlineStr">
        <is>
          <t xml:space="preserve">Implantología buco maxilofacial </t>
        </is>
      </c>
      <c r="B307" s="8445" t="inlineStr">
        <is>
          <t xml:space="preserve">Consulta nueva  </t>
        </is>
      </c>
      <c r="C307" s="10281" t="n"/>
      <c r="D307" s="3022">
        <f>SUM(E307+F307)</f>
        <v/>
      </c>
      <c r="E307" s="845">
        <f>SUM(W307+Y307+AA307+AC307+AE307+AG307+AI307+AK307)</f>
        <v/>
      </c>
      <c r="F307" s="2715">
        <f>SUM(X307+Z307+AB307+AD307+AF307+AH307+AJ307+AL307)</f>
        <v/>
      </c>
      <c r="G307" s="3041" t="n"/>
      <c r="H307" s="767" t="n"/>
      <c r="I307" s="3038" t="n"/>
      <c r="J307" s="767" t="n"/>
      <c r="K307" s="3038" t="n"/>
      <c r="L307" s="767" t="n"/>
      <c r="M307" s="3038" t="n"/>
      <c r="N307" s="767" t="n"/>
      <c r="O307" s="3038" t="n"/>
      <c r="P307" s="767" t="n"/>
      <c r="Q307" s="3038" t="n"/>
      <c r="R307" s="767" t="n"/>
      <c r="S307" s="3038" t="n"/>
      <c r="T307" s="767" t="n"/>
      <c r="U307" s="3038" t="n"/>
      <c r="V307" s="767" t="n"/>
      <c r="W307" s="3004" t="n"/>
      <c r="X307" s="3005" t="n"/>
      <c r="Y307" s="3004" t="n"/>
      <c r="Z307" s="3005" t="n"/>
      <c r="AA307" s="3004" t="n"/>
      <c r="AB307" s="3005" t="n"/>
      <c r="AC307" s="3004" t="n"/>
      <c r="AD307" s="3005" t="n"/>
      <c r="AE307" s="3004" t="n"/>
      <c r="AF307" s="3005" t="n"/>
      <c r="AG307" s="3004" t="n"/>
      <c r="AH307" s="3005" t="n"/>
      <c r="AI307" s="3004" t="n"/>
      <c r="AJ307" s="3005" t="n"/>
      <c r="AK307" s="1945" t="n"/>
      <c r="AL307" s="1278" t="n"/>
      <c r="AM307" s="1944" t="n"/>
      <c r="AN307" s="2988" t="n"/>
      <c r="AO307" s="2987" t="n"/>
      <c r="AP307" s="764" t="n"/>
      <c r="AQ307" s="5227" t="n"/>
      <c r="AR307" s="5239" t="n"/>
      <c r="AS307" s="5234" t="n"/>
      <c r="AT307" s="5239" t="n"/>
      <c r="AU307" s="1278" t="n"/>
      <c r="AV307" s="2981" t="n"/>
      <c r="AW307" s="5239" t="n"/>
      <c r="AX307" s="1278" t="n"/>
      <c r="AY307">
        <f>CA307&amp;CB307&amp;CC307&amp;CD307&amp;CE307&amp;CF307&amp;CG307&amp;CH307&amp;CI307&amp;CJ307&amp;CK307&amp;CL307</f>
        <v/>
      </c>
      <c r="CA307" s="196">
        <f>IF(AND($F307&gt;0,AM307="")," * No olvide digitar la variable Gestante. Digite cero si no tiene.",IF(AM307&gt;$F307," * La variable Gestante no puede superar el Total Mujeres.",""))</f>
        <v/>
      </c>
      <c r="CB307" s="196">
        <f>IF(AND(AG307+AH307&gt;0,AN307="")," * No olvide digitar la variable 60 años (incluido en grupos de 60-64 años). Digite Cero si no tiene.",IF(AN307&gt;AG307+AH307," * La variable 60 años (incluido en grupos de 60-64 años) no puede superar la suma del Grupo 60-64 años.",""))</f>
        <v/>
      </c>
      <c r="CC307" s="196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>
        <f>IF(AND($D307&gt;0,AQ307="")," * No olvide digitar la variable Inasistente. Digite cero si no tiene.",IF(AQ307&gt;$D307," * La variable Insasistente no puede superar el Total Ambos Sexos.",""))</f>
        <v/>
      </c>
      <c r="CF307" s="196">
        <f>IF(AND($D307&gt;0,AR307="")," * No olvide digitar la variable Compra de Servicio. Digite Cero si no tiene.","")</f>
        <v/>
      </c>
      <c r="CG307" s="198" t="n"/>
      <c r="CH307" s="196">
        <f>IF(AND($D307&gt;0,AT307="")," * No olvide digitar la variable Usuarios con Discapacidad. Digite Cero si no tiene.",IF(AT307&gt;$D307," * La variable Usuarios con Discapacidad no puede superar el Total Ambos Sexos.",""))</f>
        <v/>
      </c>
      <c r="CI307" s="196">
        <f>IF(AND($D307&gt;0,AU307="")," * No olvide digitar la variable Usuarios Oncológicos. Digite Cero si no tiene.",IF(AU307&gt;$D307," * La variable Usuarios Oncológicos no puede superar el Total Ambos Sexos.",""))</f>
        <v/>
      </c>
      <c r="CJ307" s="198" t="n"/>
      <c r="CK307" s="196">
        <f>IF(AND($D307&gt;0,AW307="")," * No olvide digitar la variable Migrantes. Digite Cero si no tiene.",IF(AW307&gt;$D307," * La variable Migrantes no puede superar el Total Ambos Sexos.",""))</f>
        <v/>
      </c>
      <c r="CL307" s="196">
        <f>IF(AND($D307&gt;0,AX307=""),"  * No olvide digitar la variable Pueblo Originario. Digite Cero si no tiene.",IF(AX307&gt;$D307," * La variable Pueblo Originario no puede superar el Total Ambos Sexos.",""))</f>
        <v/>
      </c>
      <c r="CO307" s="197">
        <f>IF(AND($F307&gt;0,AM307=""),1,IF(AM307&gt;$F307,1,0))</f>
        <v/>
      </c>
      <c r="CP307" s="197">
        <f>IF(AND(AG307+AH307&gt;0,AN307=""),1,IF(AN307&gt;AG307+AH307,1,0))</f>
        <v/>
      </c>
      <c r="CQ307" s="197">
        <f>IF(AND($D307&gt;0,AO307=""),1,IF(AO307&gt;$D307,1,0))</f>
        <v/>
      </c>
      <c r="CR307" s="197">
        <f>IF(AND($D307&gt;0,AP307=""),1,IF(AP307&gt;$D307,1,0))</f>
        <v/>
      </c>
      <c r="CS307" s="197">
        <f>IF(AND($D307&gt;0,AQ307=""),1,IF(AQ307&gt;$D307,1,0))</f>
        <v/>
      </c>
      <c r="CT307" s="197">
        <f>IF(AND($D307&gt;0,AR307=""),1,0)</f>
        <v/>
      </c>
      <c r="CU307" s="198" t="n"/>
      <c r="CV307" s="197">
        <f>IF(AND($D307&gt;0,AT307=""),1,IF(AT307&gt;$D307,1,0))</f>
        <v/>
      </c>
      <c r="CW307" s="197">
        <f>IF(AND($D307&gt;0,AU307=""),1,IF(AU307&gt;$D307,1,0))</f>
        <v/>
      </c>
      <c r="CX307" s="198" t="n"/>
      <c r="CY307" s="197">
        <f>IF(AND($D307&gt;0,AW307=""),1,IF(AW307&gt;$D307,1,0))</f>
        <v/>
      </c>
      <c r="CZ307" s="197">
        <f>IF(AND($D307&gt;0,AX307=""),1,IF(AX307&gt;$D307,1,0))</f>
        <v/>
      </c>
    </row>
    <row r="308" ht="15" customHeight="1" s="8286">
      <c r="A308" s="9588" t="n"/>
      <c r="B308" s="8748" t="inlineStr">
        <is>
          <t xml:space="preserve">Control  </t>
        </is>
      </c>
      <c r="C308" s="9644" t="n"/>
      <c r="D308" s="2989">
        <f>SUM(E308+F308)</f>
        <v/>
      </c>
      <c r="E308" s="2990">
        <f>SUM(W308+Y308+AA308+AC308+AE308+AG308+AI308+AK308)</f>
        <v/>
      </c>
      <c r="F308" s="2803">
        <f>SUM(X308+Z308+AB308+AD308+AF308+AH308+AJ308+AL308)</f>
        <v/>
      </c>
      <c r="G308" s="2980" t="n"/>
      <c r="H308" s="2981" t="n"/>
      <c r="I308" s="2996" t="n"/>
      <c r="J308" s="2981" t="n"/>
      <c r="K308" s="2996" t="n"/>
      <c r="L308" s="2981" t="n"/>
      <c r="M308" s="2996" t="n"/>
      <c r="N308" s="2981" t="n"/>
      <c r="O308" s="2996" t="n"/>
      <c r="P308" s="2981" t="n"/>
      <c r="Q308" s="2996" t="n"/>
      <c r="R308" s="2981" t="n"/>
      <c r="S308" s="2996" t="n"/>
      <c r="T308" s="2981" t="n"/>
      <c r="U308" s="2996" t="n"/>
      <c r="V308" s="2981" t="n"/>
      <c r="W308" s="3006" t="n"/>
      <c r="X308" s="3007" t="n"/>
      <c r="Y308" s="3006" t="n"/>
      <c r="Z308" s="3007" t="n"/>
      <c r="AA308" s="3006" t="n"/>
      <c r="AB308" s="3007" t="n"/>
      <c r="AC308" s="3006" t="n"/>
      <c r="AD308" s="3007" t="n"/>
      <c r="AE308" s="3006" t="n"/>
      <c r="AF308" s="3007" t="n"/>
      <c r="AG308" s="3006" t="n"/>
      <c r="AH308" s="3007" t="n"/>
      <c r="AI308" s="3006" t="n"/>
      <c r="AJ308" s="3007" t="n"/>
      <c r="AK308" s="2993" t="n"/>
      <c r="AL308" s="1275" t="n"/>
      <c r="AM308" s="2994" t="n"/>
      <c r="AN308" s="2995" t="n"/>
      <c r="AO308" s="2980" t="n"/>
      <c r="AP308" s="2981" t="n"/>
      <c r="AQ308" s="5228" t="n"/>
      <c r="AR308" s="3951" t="n"/>
      <c r="AS308" s="5234" t="n"/>
      <c r="AT308" s="3951" t="n"/>
      <c r="AU308" s="1275" t="n"/>
      <c r="AV308" s="2981" t="n"/>
      <c r="AW308" s="3951" t="n"/>
      <c r="AX308" s="1275" t="n"/>
      <c r="AY308">
        <f>CA308&amp;CB308&amp;CC308&amp;CD308&amp;CE308&amp;CF308&amp;CG308&amp;CH308&amp;CI308&amp;CJ308&amp;CK308&amp;CL308</f>
        <v/>
      </c>
      <c r="CA308" s="196">
        <f>IF(AND($F308&gt;0,AM308="")," * No olvide digitar la variable Gestante. Digite cero si no tiene.",IF(AM308&gt;$F308," * La variable Gestante no puede superar el Total Mujeres.",""))</f>
        <v/>
      </c>
      <c r="CB308" s="196">
        <f>IF(AND(AG308+AH308&gt;0,AN308="")," * No olvide digitar la variable 60 años (incluido en grupos de 60-64 años). Digite Cero si no tiene.",IF(AN308&gt;AG308+AH308," * La variable 60 años (incluido en grupos de 60-64 años) no puede superar la suma del Grupo 60-64 años.",""))</f>
        <v/>
      </c>
      <c r="CC308" s="198" t="n"/>
      <c r="CD308" s="198" t="n"/>
      <c r="CE308" s="196">
        <f>IF(AND($D308&gt;0,AQ308="")," * No olvide digitar la variable Inasistente. Digite cero si no tiene.",IF(AQ308&gt;$D308," * La variable Insasistente no puede superar el Total Ambos Sexos.",""))</f>
        <v/>
      </c>
      <c r="CF308" s="196">
        <f>IF(AND($D308&gt;0,AR308="")," * No olvide digitar la variable Compra de Servicio. Digite Cero si no tiene.","")</f>
        <v/>
      </c>
      <c r="CG308" s="198" t="n"/>
      <c r="CH308" s="196">
        <f>IF(AND($D308&gt;0,AT308="")," * No olvide digitar la variable Usuarios con Discapacidad. Digite Cero si no tiene.",IF(AT308&gt;$D308," * La variable Usuarios con Discapacidad no puede superar el Total Ambos Sexos.",""))</f>
        <v/>
      </c>
      <c r="CI308" s="196">
        <f>IF(AND($D308&gt;0,AU308="")," * No olvide digitar la variable Usuarios Oncológicos. Digite Cero si no tiene.",IF(AU308&gt;$D308," * La variable Usuarios Oncológicos no puede superar el Total Ambos Sexos.",""))</f>
        <v/>
      </c>
      <c r="CJ308" s="198" t="n"/>
      <c r="CK308" s="196">
        <f>IF(AND($D308&gt;0,AW308="")," * No olvide digitar la variable Migrantes. Digite Cero si no tiene.",IF(AW308&gt;$D308," * La variable Migrantes no puede superar el Total Ambos Sexos.",""))</f>
        <v/>
      </c>
      <c r="CL308" s="196">
        <f>IF(AND($D308&gt;0,AX308=""),"  * No olvide digitar la variable Pueblo Originario. Digite Cero si no tiene.",IF(AX308&gt;$D308," * La variable Pueblo Originario no puede superar el Total Ambos Sexos.",""))</f>
        <v/>
      </c>
      <c r="CO308" s="197">
        <f>IF(AND($F308&gt;0,AM308=""),1,IF(AM308&gt;$F308,1,0))</f>
        <v/>
      </c>
      <c r="CP308" s="197">
        <f>IF(AND(AG308+AH308&gt;0,AN308=""),1,IF(AN308&gt;AG308+AH308,1,0))</f>
        <v/>
      </c>
      <c r="CQ308" s="198" t="n"/>
      <c r="CR308" s="198" t="n"/>
      <c r="CS308" s="197">
        <f>IF(AND($D308&gt;0,AQ308=""),1,IF(AQ308&gt;$D308,1,0))</f>
        <v/>
      </c>
      <c r="CT308" s="197">
        <f>IF(AND($D308&gt;0,AR308=""),1,0)</f>
        <v/>
      </c>
      <c r="CU308" s="198" t="n"/>
      <c r="CV308" s="197">
        <f>IF(AND($D308&gt;0,AT308=""),1,IF(AT308&gt;$D308,1,0))</f>
        <v/>
      </c>
      <c r="CW308" s="197">
        <f>IF(AND($D308&gt;0,AU308=""),1,IF(AU308&gt;$D308,1,0))</f>
        <v/>
      </c>
      <c r="CX308" s="198" t="n"/>
      <c r="CY308" s="197">
        <f>IF(AND($D308&gt;0,AW308=""),1,IF(AW308&gt;$D308,1,0))</f>
        <v/>
      </c>
      <c r="CZ308" s="197">
        <f>IF(AND($D308&gt;0,AX308=""),1,IF(AX308&gt;$D308,1,0))</f>
        <v/>
      </c>
    </row>
    <row r="309" ht="15" customHeight="1" s="8286">
      <c r="A309" s="9588" t="n"/>
      <c r="B309" s="8748" t="inlineStr">
        <is>
          <t xml:space="preserve">Ingreso a tratamiento </t>
        </is>
      </c>
      <c r="C309" s="9644" t="n"/>
      <c r="D309" s="2989">
        <f>SUM(E309+F309)</f>
        <v/>
      </c>
      <c r="E309" s="2990">
        <f>SUM(W309+Y309+AA309+AC309+AE309+AG309+AI309+AK309)</f>
        <v/>
      </c>
      <c r="F309" s="2803">
        <f>SUM(X309+Z309+AB309+AD309+AF309+AH309+AJ309+AL309)</f>
        <v/>
      </c>
      <c r="G309" s="2980" t="n"/>
      <c r="H309" s="2981" t="n"/>
      <c r="I309" s="2996" t="n"/>
      <c r="J309" s="2981" t="n"/>
      <c r="K309" s="2996" t="n"/>
      <c r="L309" s="2981" t="n"/>
      <c r="M309" s="2996" t="n"/>
      <c r="N309" s="2981" t="n"/>
      <c r="O309" s="2996" t="n"/>
      <c r="P309" s="2981" t="n"/>
      <c r="Q309" s="2996" t="n"/>
      <c r="R309" s="2981" t="n"/>
      <c r="S309" s="2996" t="n"/>
      <c r="T309" s="2981" t="n"/>
      <c r="U309" s="2996" t="n"/>
      <c r="V309" s="2981" t="n"/>
      <c r="W309" s="3006" t="n"/>
      <c r="X309" s="3007" t="n"/>
      <c r="Y309" s="3006" t="n"/>
      <c r="Z309" s="3007" t="n"/>
      <c r="AA309" s="3006" t="n"/>
      <c r="AB309" s="3007" t="n"/>
      <c r="AC309" s="3006" t="n"/>
      <c r="AD309" s="3007" t="n"/>
      <c r="AE309" s="3006" t="n"/>
      <c r="AF309" s="3007" t="n"/>
      <c r="AG309" s="3006" t="n"/>
      <c r="AH309" s="3007" t="n"/>
      <c r="AI309" s="3006" t="n"/>
      <c r="AJ309" s="3007" t="n"/>
      <c r="AK309" s="2993" t="n"/>
      <c r="AL309" s="1275" t="n"/>
      <c r="AM309" s="2994" t="n"/>
      <c r="AN309" s="2995" t="n"/>
      <c r="AO309" s="2980" t="n"/>
      <c r="AP309" s="2981" t="n"/>
      <c r="AQ309" s="5226" t="n"/>
      <c r="AR309" s="3951" t="n"/>
      <c r="AS309" s="5234" t="n"/>
      <c r="AT309" s="3951" t="n"/>
      <c r="AU309" s="1275" t="n"/>
      <c r="AV309" s="2981" t="n"/>
      <c r="AW309" s="3951" t="n"/>
      <c r="AX309" s="1275" t="n"/>
      <c r="AY309">
        <f>CA309&amp;CB309&amp;CC309&amp;CD309&amp;CE309&amp;CF309&amp;CG309&amp;CH309&amp;CI309&amp;CJ309&amp;CK309&amp;CL309</f>
        <v/>
      </c>
      <c r="CA309" s="196">
        <f>IF(AND($F309&gt;0,AM309="")," * No olvide digitar la variable Gestante. Digite cero si no tiene.",IF(AM309&gt;$F309," * La variable Gestante no puede superar el Total Mujeres.",""))</f>
        <v/>
      </c>
      <c r="CB309" s="196">
        <f>IF(AND(AG309+AH309&gt;0,AN309="")," * No olvide digitar la variable 60 años (incluido en grupos de 60-64 años). Digite Cero si no tiene.",IF(AN309&gt;AG309+AH309," * La variable 60 años (incluido en grupos de 60-64 años) no puede superar la suma del Grupo 60-64 años.",""))</f>
        <v/>
      </c>
      <c r="CC309" s="198" t="n"/>
      <c r="CD309" s="198" t="n"/>
      <c r="CE309" s="198" t="n"/>
      <c r="CF309" s="196">
        <f>IF(AND($D309&gt;0,AR309="")," * No olvide digitar la variable Compra de Servicio. Digite Cero si no tiene.","")</f>
        <v/>
      </c>
      <c r="CG309" s="198" t="n"/>
      <c r="CH309" s="196">
        <f>IF(AND($D309&gt;0,AT309="")," * No olvide digitar la variable Usuarios con Discapacidad. Digite Cero si no tiene.",IF(AT309&gt;$D309," * La variable Usuarios con Discapacidad no puede superar el Total Ambos Sexos.",""))</f>
        <v/>
      </c>
      <c r="CI309" s="196">
        <f>IF(AND($D309&gt;0,AU309="")," * No olvide digitar la variable Usuarios Oncológicos. Digite Cero si no tiene.",IF(AU309&gt;$D309," * La variable Usuarios Oncológicos no puede superar el Total Ambos Sexos.",""))</f>
        <v/>
      </c>
      <c r="CJ309" s="198" t="n"/>
      <c r="CK309" s="196">
        <f>IF(AND($D309&gt;0,AW309="")," * No olvide digitar la variable Migrantes. Digite Cero si no tiene.",IF(AW309&gt;$D309," * La variable Migrantes no puede superar el Total Ambos Sexos.",""))</f>
        <v/>
      </c>
      <c r="CL309" s="196">
        <f>IF(AND($D309&gt;0,AX309=""),"  * No olvide digitar la variable Pueblo Originario. Digite Cero si no tiene.",IF(AX309&gt;$D309," * La variable Pueblo Originario no puede superar el Total Ambos Sexos.",""))</f>
        <v/>
      </c>
      <c r="CO309" s="197">
        <f>IF(AND($F309&gt;0,AM309=""),1,IF(AM309&gt;$F309,1,0))</f>
        <v/>
      </c>
      <c r="CP309" s="197">
        <f>IF(AND(AG309+AH309&gt;0,AN309=""),1,IF(AN309&gt;AG309+AH309,1,0))</f>
        <v/>
      </c>
      <c r="CQ309" s="198" t="n"/>
      <c r="CR309" s="198" t="n"/>
      <c r="CS309" s="198" t="n"/>
      <c r="CT309" s="197">
        <f>IF(AND($D309&gt;0,AR309=""),1,0)</f>
        <v/>
      </c>
      <c r="CU309" s="198" t="n"/>
      <c r="CV309" s="197">
        <f>IF(AND($D309&gt;0,AT309=""),1,IF(AT309&gt;$D309,1,0))</f>
        <v/>
      </c>
      <c r="CW309" s="197">
        <f>IF(AND($D309&gt;0,AU309=""),1,IF(AU309&gt;$D309,1,0))</f>
        <v/>
      </c>
      <c r="CX309" s="198" t="n"/>
      <c r="CY309" s="197">
        <f>IF(AND($D309&gt;0,AW309=""),1,IF(AW309&gt;$D309,1,0))</f>
        <v/>
      </c>
      <c r="CZ309" s="197">
        <f>IF(AND($D309&gt;0,AX309=""),1,IF(AX309&gt;$D309,1,0))</f>
        <v/>
      </c>
    </row>
    <row r="310">
      <c r="A310" s="9588" t="n"/>
      <c r="B310" s="8748" t="inlineStr">
        <is>
          <t xml:space="preserve">Altas de tratamiento </t>
        </is>
      </c>
      <c r="C310" s="9644" t="n"/>
      <c r="D310" s="2989">
        <f>SUM(E310+F310)</f>
        <v/>
      </c>
      <c r="E310" s="2990">
        <f>SUM(W310+Y310+AA310+AC310+AE310+AG310+AI310+AK310)</f>
        <v/>
      </c>
      <c r="F310" s="2803">
        <f>SUM(X310+Z310+AB310+AD310+AF310+AH310+AJ310+AL310)</f>
        <v/>
      </c>
      <c r="G310" s="2980" t="n"/>
      <c r="H310" s="2981" t="n"/>
      <c r="I310" s="2996" t="n"/>
      <c r="J310" s="2981" t="n"/>
      <c r="K310" s="2996" t="n"/>
      <c r="L310" s="2981" t="n"/>
      <c r="M310" s="2996" t="n"/>
      <c r="N310" s="2981" t="n"/>
      <c r="O310" s="2996" t="n"/>
      <c r="P310" s="2981" t="n"/>
      <c r="Q310" s="2996" t="n"/>
      <c r="R310" s="2981" t="n"/>
      <c r="S310" s="2996" t="n"/>
      <c r="T310" s="2981" t="n"/>
      <c r="U310" s="2996" t="n"/>
      <c r="V310" s="2981" t="n"/>
      <c r="W310" s="3008" t="n"/>
      <c r="X310" s="3009" t="n"/>
      <c r="Y310" s="3008" t="n"/>
      <c r="Z310" s="3009" t="n"/>
      <c r="AA310" s="3008" t="n"/>
      <c r="AB310" s="3009" t="n"/>
      <c r="AC310" s="3008" t="n"/>
      <c r="AD310" s="3009" t="n"/>
      <c r="AE310" s="3008" t="n"/>
      <c r="AF310" s="3009" t="n"/>
      <c r="AG310" s="3008" t="n"/>
      <c r="AH310" s="3009" t="n"/>
      <c r="AI310" s="3008" t="n"/>
      <c r="AJ310" s="3009" t="n"/>
      <c r="AK310" s="1949" t="n"/>
      <c r="AL310" s="1950" t="n"/>
      <c r="AM310" s="1937" t="n"/>
      <c r="AN310" s="2999" t="n"/>
      <c r="AO310" s="2980" t="n"/>
      <c r="AP310" s="2981" t="n"/>
      <c r="AQ310" s="5226" t="n"/>
      <c r="AR310" s="5240" t="n"/>
      <c r="AS310" s="5234" t="n"/>
      <c r="AT310" s="5240" t="n"/>
      <c r="AU310" s="1950" t="n"/>
      <c r="AV310" s="1275" t="n"/>
      <c r="AW310" s="5240" t="n"/>
      <c r="AX310" s="1950" t="n"/>
      <c r="AY310">
        <f>CA310&amp;CB310&amp;CC310&amp;CD310&amp;CE310&amp;CF310&amp;CG310&amp;CH310&amp;CI310&amp;CJ310&amp;CK310&amp;CL310</f>
        <v/>
      </c>
      <c r="CA310" s="196">
        <f>IF(AND($F310&gt;0,AM310="")," * No olvide digitar la variable Gestante. Digite cero si no tiene.",IF(AM310&gt;$F310," * La variable Gestante no puede superar el Total Mujeres.",""))</f>
        <v/>
      </c>
      <c r="CB310" s="196">
        <f>IF(AND(AG310+AH310&gt;0,AN310="")," * No olvide digitar la variable 60 años (incluido en grupos de 60-64 años). Digite Cero si no tiene.",IF(AN310&gt;AG310+AH310," * La variable 60 años (incluido en grupos de 60-64 años) no puede superar la suma del Grupo 60-64 años.",""))</f>
        <v/>
      </c>
      <c r="CC310" s="198" t="n"/>
      <c r="CD310" s="198" t="n"/>
      <c r="CE310" s="198" t="n"/>
      <c r="CF310" s="196">
        <f>IF(AND($D310&gt;0,AR310="")," * No olvide digitar la variable Compra de Servicio. Digite Cero si no tiene.","")</f>
        <v/>
      </c>
      <c r="CG310" s="198" t="n"/>
      <c r="CH310" s="196">
        <f>IF(AND($D310&gt;0,AT310="")," * No olvide digitar la variable Usuarios con Discapacidad. Digite Cero si no tiene.",IF(AT310&gt;$D310," * La variable Usuarios con Discapacidad no puede superar el Total Ambos Sexos.",""))</f>
        <v/>
      </c>
      <c r="CI310" s="196">
        <f>IF(AND($D310&gt;0,AU310="")," * No olvide digitar la variable Usuarios Oncológicos. Digite Cero si no tiene.",IF(AU310&gt;$D310," * La variable Usuarios Oncológicos no puede superar el Total Ambos Sexos.",""))</f>
        <v/>
      </c>
      <c r="CJ310" s="196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>
        <f>IF(AND($D310&gt;0,AW310="")," * No olvide digitar la variable Migrantes. Digite Cero si no tiene.",IF(AW310&gt;$D310," * La variable Migrantes no puede superar el Total Ambos Sexos.",""))</f>
        <v/>
      </c>
      <c r="CL310" s="196">
        <f>IF(AND($D310&gt;0,AX310=""),"  * No olvide digitar la variable Pueblo Originario. Digite Cero si no tiene.",IF(AX310&gt;$D310," * La variable Pueblo Originario no puede superar el Total Ambos Sexos.",""))</f>
        <v/>
      </c>
      <c r="CO310" s="197">
        <f>IF(AND($F310&gt;0,AM310=""),1,IF(AM310&gt;$F310,1,0))</f>
        <v/>
      </c>
      <c r="CP310" s="197">
        <f>IF(AND(AG310+AH310&gt;0,AN310=""),1,IF(AN310&gt;AG310+AH310,1,0))</f>
        <v/>
      </c>
      <c r="CQ310" s="198" t="n"/>
      <c r="CR310" s="198" t="n"/>
      <c r="CS310" s="198" t="n"/>
      <c r="CT310" s="197">
        <f>IF(AND($D310&gt;0,AR310=""),1,0)</f>
        <v/>
      </c>
      <c r="CU310" s="198" t="n"/>
      <c r="CV310" s="197">
        <f>IF(AND($D310&gt;0,AT310=""),1,IF(AT310&gt;$D310,1,0))</f>
        <v/>
      </c>
      <c r="CW310" s="197">
        <f>IF(AND($D310&gt;0,AU310=""),1,IF(AU310&gt;$D310,1,0))</f>
        <v/>
      </c>
      <c r="CX310" s="197">
        <f>IF(AND($D310&gt;0,AV310=""),1,IF(AV310&gt;$D310,1,0))</f>
        <v/>
      </c>
      <c r="CY310" s="197">
        <f>IF(AND($D310&gt;0,AW310=""),1,IF(AW310&gt;$D310,1,0))</f>
        <v/>
      </c>
      <c r="CZ310" s="197">
        <f>IF(AND($D310&gt;0,AX310=""),1,IF(AX310&gt;$D310,1,0))</f>
        <v/>
      </c>
    </row>
    <row r="311" ht="15" customHeight="1" s="8286">
      <c r="A311" s="9588" t="n"/>
      <c r="B311" s="8748" t="inlineStr">
        <is>
          <t xml:space="preserve">Control de especialidad post alta </t>
        </is>
      </c>
      <c r="C311" s="9644" t="n"/>
      <c r="D311" s="2989">
        <f>SUM(E311+F311)</f>
        <v/>
      </c>
      <c r="E311" s="2990">
        <f>SUM(W311+Y311+AA311+AC311+AE311+AG311+AI311+AK311)</f>
        <v/>
      </c>
      <c r="F311" s="2803">
        <f>SUM(X311+Z311+AB311+AD311+AF311+AH311+AJ311+AL311)</f>
        <v/>
      </c>
      <c r="G311" s="665" t="n"/>
      <c r="H311" s="3042" t="n"/>
      <c r="I311" s="706" t="n"/>
      <c r="J311" s="3042" t="n"/>
      <c r="K311" s="706" t="n"/>
      <c r="L311" s="3042" t="n"/>
      <c r="M311" s="706" t="n"/>
      <c r="N311" s="3042" t="n"/>
      <c r="O311" s="706" t="n"/>
      <c r="P311" s="3042" t="n"/>
      <c r="Q311" s="706" t="n"/>
      <c r="R311" s="3042" t="n"/>
      <c r="S311" s="706" t="n"/>
      <c r="T311" s="3042" t="n"/>
      <c r="U311" s="706" t="n"/>
      <c r="V311" s="3042" t="n"/>
      <c r="W311" s="1949" t="n"/>
      <c r="X311" s="1950" t="n"/>
      <c r="Y311" s="1949" t="n"/>
      <c r="Z311" s="1950" t="n"/>
      <c r="AA311" s="1949" t="n"/>
      <c r="AB311" s="1950" t="n"/>
      <c r="AC311" s="1949" t="n"/>
      <c r="AD311" s="1950" t="n"/>
      <c r="AE311" s="1949" t="n"/>
      <c r="AF311" s="1950" t="n"/>
      <c r="AG311" s="1949" t="n"/>
      <c r="AH311" s="1950" t="n"/>
      <c r="AI311" s="1949" t="n"/>
      <c r="AJ311" s="1950" t="n"/>
      <c r="AK311" s="1949" t="n"/>
      <c r="AL311" s="1950" t="n"/>
      <c r="AM311" s="1937" t="n"/>
      <c r="AN311" s="2999" t="n"/>
      <c r="AO311" s="3000" t="n"/>
      <c r="AP311" s="3001" t="n"/>
      <c r="AQ311" s="5226" t="n"/>
      <c r="AR311" s="5240" t="n"/>
      <c r="AS311" s="5235" t="n"/>
      <c r="AT311" s="5240" t="n"/>
      <c r="AU311" s="1950" t="n"/>
      <c r="AV311" s="3001" t="n"/>
      <c r="AW311" s="5240" t="n"/>
      <c r="AX311" s="1950" t="n"/>
      <c r="AY311">
        <f>CA311&amp;CB311&amp;CC311&amp;CD311&amp;CE311&amp;CF311&amp;CG311&amp;CH311&amp;CI311&amp;CJ311&amp;CK311&amp;CL311</f>
        <v/>
      </c>
      <c r="CA311" s="196">
        <f>IF(AND($F311&gt;0,AM311="")," * No olvide digitar la variable Gestante. Digite cero si no tiene.",IF(AM311&gt;$F311," * La variable Gestante no puede superar el Total Mujeres.",""))</f>
        <v/>
      </c>
      <c r="CB311" s="196">
        <f>IF(AND(AG311+AH311&gt;0,AN311="")," * No olvide digitar la variable 60 años (incluido en grupos de 60-64 años). Digite Cero si no tiene.",IF(AN311&gt;AG311+AH311," * La variable 60 años (incluido en grupos de 60-64 años) no puede superar la suma del Grupo 60-64 años.",""))</f>
        <v/>
      </c>
      <c r="CC311" s="198" t="n"/>
      <c r="CD311" s="198" t="n"/>
      <c r="CE311" s="198" t="n"/>
      <c r="CF311" s="196">
        <f>IF(AND($D311&gt;0,AR311="")," * No olvide digitar la variable Compra de Servicio. Digite Cero si no tiene.","")</f>
        <v/>
      </c>
      <c r="CG311" s="198" t="n"/>
      <c r="CH311" s="196">
        <f>IF(AND($D311&gt;0,AT311="")," * No olvide digitar la variable Usuarios con Discapacidad. Digite Cero si no tiene.",IF(AT311&gt;$D311," * La variable Usuarios con Discapacidad no puede superar el Total Ambos Sexos.",""))</f>
        <v/>
      </c>
      <c r="CI311" s="196">
        <f>IF(AND($D311&gt;0,AU311="")," * No olvide digitar la variable Usuarios Oncológicos. Digite Cero si no tiene.",IF(AU311&gt;$D311," * La variable Usuarios Oncológicos no puede superar el Total Ambos Sexos.",""))</f>
        <v/>
      </c>
      <c r="CJ311" s="198" t="n"/>
      <c r="CK311" s="196">
        <f>IF(AND($D311&gt;0,AW311="")," * No olvide digitar la variable Migrantes. Digite Cero si no tiene.",IF(AW311&gt;$D311," * La variable Migrantes no puede superar el Total Ambos Sexos.",""))</f>
        <v/>
      </c>
      <c r="CL311" s="196">
        <f>IF(AND($D311&gt;0,AX311=""),"  * No olvide digitar la variable Pueblo Originario. Digite Cero si no tiene.",IF(AX311&gt;$D311," * La variable Pueblo Originario no puede superar el Total Ambos Sexos.",""))</f>
        <v/>
      </c>
      <c r="CO311" s="197">
        <f>IF(AND($F311&gt;0,AM311=""),1,IF(AM311&gt;$F311,1,0))</f>
        <v/>
      </c>
      <c r="CP311" s="197">
        <f>IF(AND(AG311+AH311&gt;0,AN311=""),1,IF(AN311&gt;AG311+AH311,1,0))</f>
        <v/>
      </c>
      <c r="CQ311" s="198" t="n"/>
      <c r="CR311" s="198" t="n"/>
      <c r="CS311" s="198" t="n"/>
      <c r="CT311" s="197">
        <f>IF(AND($D311&gt;0,AR311=""),1,0)</f>
        <v/>
      </c>
      <c r="CU311" s="198" t="n"/>
      <c r="CV311" s="197">
        <f>IF(AND($D311&gt;0,AT311=""),1,IF(AT311&gt;$D311,1,0))</f>
        <v/>
      </c>
      <c r="CW311" s="197">
        <f>IF(AND($D311&gt;0,AU311=""),1,IF(AU311&gt;$D311,1,0))</f>
        <v/>
      </c>
      <c r="CX311" s="198" t="n"/>
      <c r="CY311" s="197">
        <f>IF(AND($D311&gt;0,AW311=""),1,IF(AW311&gt;$D311,1,0))</f>
        <v/>
      </c>
      <c r="CZ311" s="197">
        <f>IF(AND($D311&gt;0,AX311=""),1,IF(AX311&gt;$D311,1,0))</f>
        <v/>
      </c>
    </row>
    <row r="312" ht="15" customHeight="1" s="8286">
      <c r="A312" s="9589" t="n"/>
      <c r="B312" s="10282" t="inlineStr">
        <is>
          <t xml:space="preserve">Altas administrativas </t>
        </is>
      </c>
      <c r="C312" s="9710" t="n"/>
      <c r="D312" s="1202">
        <f>SUM(E312+F312)</f>
        <v/>
      </c>
      <c r="E312" s="800">
        <f>SUM(W312+Y312+AA312+AC312+AE312+AG312+AI312+AK312)</f>
        <v/>
      </c>
      <c r="F312" s="2727">
        <f>SUM(X312+Z312+AB312+AD312+AF312+AH312+AJ312+AL312)</f>
        <v/>
      </c>
      <c r="G312" s="3021" t="n"/>
      <c r="H312" s="367" t="n"/>
      <c r="I312" s="3043" t="n"/>
      <c r="J312" s="367" t="n"/>
      <c r="K312" s="3043" t="n"/>
      <c r="L312" s="367" t="n"/>
      <c r="M312" s="3043" t="n"/>
      <c r="N312" s="367" t="n"/>
      <c r="O312" s="3043" t="n"/>
      <c r="P312" s="367" t="n"/>
      <c r="Q312" s="3043" t="n"/>
      <c r="R312" s="367" t="n"/>
      <c r="S312" s="3043" t="n"/>
      <c r="T312" s="367" t="n"/>
      <c r="U312" s="3043" t="n"/>
      <c r="V312" s="367" t="n"/>
      <c r="W312" s="1348" t="n"/>
      <c r="X312" s="1277" t="n"/>
      <c r="Y312" s="1348" t="n"/>
      <c r="Z312" s="1277" t="n"/>
      <c r="AA312" s="1348" t="n"/>
      <c r="AB312" s="1277" t="n"/>
      <c r="AC312" s="1348" t="n"/>
      <c r="AD312" s="1277" t="n"/>
      <c r="AE312" s="1348" t="n"/>
      <c r="AF312" s="1277" t="n"/>
      <c r="AG312" s="1348" t="n"/>
      <c r="AH312" s="1277" t="n"/>
      <c r="AI312" s="1348" t="n"/>
      <c r="AJ312" s="1277" t="n"/>
      <c r="AK312" s="1348" t="n"/>
      <c r="AL312" s="1277" t="n"/>
      <c r="AM312" s="1350" t="n"/>
      <c r="AN312" s="2984" t="n"/>
      <c r="AO312" s="3002" t="n"/>
      <c r="AP312" s="2985" t="n"/>
      <c r="AQ312" s="5226" t="n"/>
      <c r="AR312" s="1967" t="n"/>
      <c r="AS312" s="5233" t="n"/>
      <c r="AT312" s="1967" t="n"/>
      <c r="AU312" s="1277" t="n"/>
      <c r="AV312" s="2985" t="n"/>
      <c r="AW312" s="1967" t="n"/>
      <c r="AX312" s="1277" t="n"/>
      <c r="AY312">
        <f>CA312&amp;CB312&amp;CC312&amp;CD312&amp;CE312&amp;CF312&amp;CG312&amp;CH312&amp;CI312&amp;CJ312&amp;CK312&amp;CL312</f>
        <v/>
      </c>
      <c r="CA312" s="196">
        <f>IF(AND($F312&gt;0,AM312="")," * No olvide digitar la variable Gestante. Digite cero si no tiene.",IF(AM312&gt;$F312," * La variable Gestante no puede superar el Total Mujeres.",""))</f>
        <v/>
      </c>
      <c r="CB312" s="196">
        <f>IF(AND(AG312+AH312&gt;0,AN312="")," * No olvide digitar la variable 60 años (incluido en grupos de 60-64 años). Digite Cero si no tiene.",IF(AN312&gt;AG312+AH312," * La variable 60 años (incluido en grupos de 60-64 años) no puede superar la suma del Grupo 60-64 años.",""))</f>
        <v/>
      </c>
      <c r="CC312" s="198" t="n"/>
      <c r="CD312" s="198" t="n"/>
      <c r="CE312" s="198" t="n"/>
      <c r="CF312" s="196">
        <f>IF(AND($D312&gt;0,AR312="")," * No olvide digitar la variable Compra de Servicio. Digite Cero si no tiene.","")</f>
        <v/>
      </c>
      <c r="CG312" s="198" t="n"/>
      <c r="CH312" s="196">
        <f>IF(AND($D312&gt;0,AT312="")," * No olvide digitar la variable Usuarios con Discapacidad. Digite Cero si no tiene.",IF(AT312&gt;$D312," * La variable Usuarios con Discapacidad no puede superar el Total Ambos Sexos.",""))</f>
        <v/>
      </c>
      <c r="CI312" s="196">
        <f>IF(AND($D312&gt;0,AU312="")," * No olvide digitar la variable Usuarios Oncológicos. Digite Cero si no tiene.",IF(AU312&gt;$D312," * La variable Usuarios Oncológicos no puede superar el Total Ambos Sexos.",""))</f>
        <v/>
      </c>
      <c r="CJ312" s="198" t="n"/>
      <c r="CK312" s="196">
        <f>IF(AND($D312&gt;0,AW312="")," * No olvide digitar la variable Migrantes. Digite Cero si no tiene.",IF(AW312&gt;$D312," * La variable Migrantes no puede superar el Total Ambos Sexos.",""))</f>
        <v/>
      </c>
      <c r="CL312" s="196">
        <f>IF(AND($D312&gt;0,AX312=""),"  * No olvide digitar la variable Pueblo Originario. Digite Cero si no tiene.",IF(AX312&gt;$D312," * La variable Pueblo Originario no puede superar el Total Ambos Sexos.",""))</f>
        <v/>
      </c>
      <c r="CO312" s="197">
        <f>IF(AND($F312&gt;0,AM312=""),1,IF(AM312&gt;$F312,1,0))</f>
        <v/>
      </c>
      <c r="CP312" s="197">
        <f>IF(AND(AG312+AH312&gt;0,AN312=""),1,IF(AN312&gt;AG312+AH312,1,0))</f>
        <v/>
      </c>
      <c r="CQ312" s="198" t="n"/>
      <c r="CR312" s="198" t="n"/>
      <c r="CS312" s="198" t="n"/>
      <c r="CT312" s="197">
        <f>IF(AND($D312&gt;0,AR312=""),1,0)</f>
        <v/>
      </c>
      <c r="CU312" s="198" t="n"/>
      <c r="CV312" s="197">
        <f>IF(AND($D312&gt;0,AT312=""),1,IF(AT312&gt;$D312,1,0))</f>
        <v/>
      </c>
      <c r="CW312" s="197">
        <f>IF(AND($D312&gt;0,AU312=""),1,IF(AU312&gt;$D312,1,0))</f>
        <v/>
      </c>
      <c r="CX312" s="198" t="n"/>
      <c r="CY312" s="197">
        <f>IF(AND($D312&gt;0,AW312=""),1,IF(AW312&gt;$D312,1,0))</f>
        <v/>
      </c>
      <c r="CZ312" s="197">
        <f>IF(AND($D312&gt;0,AX312=""),1,IF(AX312&gt;$D312,1,0))</f>
        <v/>
      </c>
    </row>
    <row r="313">
      <c r="A313" s="10236" t="inlineStr">
        <is>
          <t xml:space="preserve">Patología oral </t>
        </is>
      </c>
      <c r="B313" s="8445" t="inlineStr">
        <is>
          <t xml:space="preserve">Consulta nueva  </t>
        </is>
      </c>
      <c r="C313" s="10281" t="n"/>
      <c r="D313" s="3022">
        <f>SUM(E313+F313)</f>
        <v/>
      </c>
      <c r="E313" s="845">
        <f>SUM(G313++I313+K313+M313+O313+Q313+S313+U313+W313+Y313+AA313+AC313+AE313+AG313+AI313+AK313)</f>
        <v/>
      </c>
      <c r="F313" s="2715">
        <f>SUM(H313++J313+L313+N313+P313+R313+T313+V313+X313+Z313+AB313+AD313+AF313+AH313+AJ313+AL313)</f>
        <v/>
      </c>
      <c r="G313" s="2987" t="n"/>
      <c r="H313" s="764" t="n"/>
      <c r="I313" s="2987" t="n"/>
      <c r="J313" s="764" t="n"/>
      <c r="K313" s="2987" t="n"/>
      <c r="L313" s="764" t="n"/>
      <c r="M313" s="2987" t="n"/>
      <c r="N313" s="764" t="n"/>
      <c r="O313" s="2987" t="n"/>
      <c r="P313" s="764" t="n"/>
      <c r="Q313" s="2987" t="n"/>
      <c r="R313" s="764" t="n"/>
      <c r="S313" s="2987" t="n"/>
      <c r="T313" s="764" t="n"/>
      <c r="U313" s="2987" t="n"/>
      <c r="V313" s="764" t="n"/>
      <c r="W313" s="2987" t="n"/>
      <c r="X313" s="764" t="n"/>
      <c r="Y313" s="2987" t="n"/>
      <c r="Z313" s="764" t="n"/>
      <c r="AA313" s="2987" t="n"/>
      <c r="AB313" s="764" t="n"/>
      <c r="AC313" s="2987" t="n"/>
      <c r="AD313" s="764" t="n"/>
      <c r="AE313" s="2987" t="n"/>
      <c r="AF313" s="764" t="n"/>
      <c r="AG313" s="2987" t="n"/>
      <c r="AH313" s="764" t="n"/>
      <c r="AI313" s="2987" t="n"/>
      <c r="AJ313" s="764" t="n"/>
      <c r="AK313" s="1945" t="n"/>
      <c r="AL313" s="1278" t="n"/>
      <c r="AM313" s="1944" t="n"/>
      <c r="AN313" s="2988" t="n"/>
      <c r="AO313" s="2987" t="n"/>
      <c r="AP313" s="764" t="n"/>
      <c r="AQ313" s="5227" t="n"/>
      <c r="AR313" s="5239" t="n"/>
      <c r="AS313" s="5234" t="n"/>
      <c r="AT313" s="5239" t="n"/>
      <c r="AU313" s="1278" t="n"/>
      <c r="AV313" s="2981" t="n"/>
      <c r="AW313" s="5239" t="n"/>
      <c r="AX313" s="1278" t="n"/>
      <c r="AY313">
        <f>CA313&amp;CB313&amp;CC313&amp;CD313&amp;CE313&amp;CF313&amp;CG313&amp;CH313&amp;CI313&amp;CJ313&amp;CK313&amp;CL313</f>
        <v/>
      </c>
      <c r="CA313" s="196">
        <f>IF(AND($F313&gt;0,AM313="")," * No olvide digitar la variable Gestante. Digite cero si no tiene.",IF(AM313&gt;$F313," * La variable Gestante no puede superar el Total Mujeres.",""))</f>
        <v/>
      </c>
      <c r="CB313" s="196">
        <f>IF(AND(AG313+AH313&gt;0,AN313="")," * No olvide digitar la variable 60 años (incluido en grupos de 60-64 años). Digite Cero si no tiene.",IF(AN313&gt;AG313+AH313," * La variable 60 años (incluido en grupos de 60-64 años) no puede superar la suma del Grupo 60-64 años.",""))</f>
        <v/>
      </c>
      <c r="CC313" s="196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>
        <f>IF(AND($D313&gt;0,AQ313="")," * No olvide digitar la variable Inasistente. Digite cero si no tiene.",IF(AQ313&gt;$D313," * La variable Insasistente no puede superar el Total Ambos Sexos.",""))</f>
        <v/>
      </c>
      <c r="CF313" s="196">
        <f>IF(AND($D313&gt;0,AR313="")," * No olvide digitar la variable Compra de Servicio. Digite Cero si no tiene.","")</f>
        <v/>
      </c>
      <c r="CG313" s="198" t="n"/>
      <c r="CH313" s="196">
        <f>IF(AND($D313&gt;0,AT313="")," * No olvide digitar la variable Usuarios con Discapacidad. Digite Cero si no tiene.",IF(AT313&gt;$D313," * La variable Usuarios con Discapacidad no puede superar el Total Ambos Sexos.",""))</f>
        <v/>
      </c>
      <c r="CI313" s="196">
        <f>IF(AND($D313&gt;0,AU313="")," * No olvide digitar la variable Usuarios Oncológicos. Digite Cero si no tiene.",IF(AU313&gt;$D313," * La variable Usuarios Oncológicos no puede superar el Total Ambos Sexos.",""))</f>
        <v/>
      </c>
      <c r="CJ313" s="198" t="n"/>
      <c r="CK313" s="196">
        <f>IF(AND($D313&gt;0,AW313="")," * No olvide digitar la variable Migrantes. Digite Cero si no tiene.",IF(AW313&gt;$D313," * La variable Migrantes no puede superar el Total Ambos Sexos.",""))</f>
        <v/>
      </c>
      <c r="CL313" s="196">
        <f>IF(AND($D313&gt;0,AX313=""),"  * No olvide digitar la variable Pueblo Originario. Digite Cero si no tiene.",IF(AX313&gt;$D313," * La variable Pueblo Originario no puede superar el Total Ambos Sexos.",""))</f>
        <v/>
      </c>
      <c r="CO313" s="197">
        <f>IF(AND($F313&gt;0,AM313=""),1,IF(AM313&gt;$F313,1,0))</f>
        <v/>
      </c>
      <c r="CP313" s="197">
        <f>IF(AND(AG313+AH313&gt;0,AN313=""),1,IF(AN313&gt;AG313+AH313,1,0))</f>
        <v/>
      </c>
      <c r="CQ313" s="197">
        <f>IF(AND($D313&gt;0,AO313=""),1,IF(AO313&gt;$D313,1,0))</f>
        <v/>
      </c>
      <c r="CR313" s="197">
        <f>IF(AND($D313&gt;0,AP313=""),1,IF(AP313&gt;$D313,1,0))</f>
        <v/>
      </c>
      <c r="CS313" s="197">
        <f>IF(AND($D313&gt;0,AQ313=""),1,IF(AQ313&gt;$D313,1,0))</f>
        <v/>
      </c>
      <c r="CT313" s="197">
        <f>IF(AND($D313&gt;0,AR313=""),1,0)</f>
        <v/>
      </c>
      <c r="CU313" s="198" t="n"/>
      <c r="CV313" s="197">
        <f>IF(AND($D313&gt;0,AT313=""),1,IF(AT313&gt;$D313,1,0))</f>
        <v/>
      </c>
      <c r="CW313" s="197">
        <f>IF(AND($D313&gt;0,AU313=""),1,IF(AU313&gt;$D313,1,0))</f>
        <v/>
      </c>
      <c r="CX313" s="198" t="n"/>
      <c r="CY313" s="197">
        <f>IF(AND($D313&gt;0,AW313=""),1,IF(AW313&gt;$D313,1,0))</f>
        <v/>
      </c>
      <c r="CZ313" s="197">
        <f>IF(AND($D313&gt;0,AX313=""),1,IF(AX313&gt;$D313,1,0))</f>
        <v/>
      </c>
    </row>
    <row r="314" ht="15" customHeight="1" s="8286">
      <c r="A314" s="9588" t="n"/>
      <c r="B314" s="8748" t="inlineStr">
        <is>
          <t xml:space="preserve">Control  </t>
        </is>
      </c>
      <c r="C314" s="9644" t="n"/>
      <c r="D314" s="2989">
        <f>SUM(E314+F314)</f>
        <v/>
      </c>
      <c r="E314" s="2990">
        <f>SUM(G314++I314+K314+M314+O314+Q314+S314+U314+W314+Y314+AA314+AC314+AE314+AG314+AI314+AK314)</f>
        <v/>
      </c>
      <c r="F314" s="2803">
        <f>SUM(H314++J314+L314+N314+P314+R314+T314+V314+X314+Z314+AB314+AD314+AF314+AH314+AJ314+AL314)</f>
        <v/>
      </c>
      <c r="G314" s="2991" t="n"/>
      <c r="H314" s="2992" t="n"/>
      <c r="I314" s="2991" t="n"/>
      <c r="J314" s="2992" t="n"/>
      <c r="K314" s="2991" t="n"/>
      <c r="L314" s="2992" t="n"/>
      <c r="M314" s="2991" t="n"/>
      <c r="N314" s="2992" t="n"/>
      <c r="O314" s="2991" t="n"/>
      <c r="P314" s="2992" t="n"/>
      <c r="Q314" s="2991" t="n"/>
      <c r="R314" s="2992" t="n"/>
      <c r="S314" s="2991" t="n"/>
      <c r="T314" s="2992" t="n"/>
      <c r="U314" s="2991" t="n"/>
      <c r="V314" s="2992" t="n"/>
      <c r="W314" s="2991" t="n"/>
      <c r="X314" s="2992" t="n"/>
      <c r="Y314" s="2991" t="n"/>
      <c r="Z314" s="2992" t="n"/>
      <c r="AA314" s="2991" t="n"/>
      <c r="AB314" s="2992" t="n"/>
      <c r="AC314" s="2991" t="n"/>
      <c r="AD314" s="2992" t="n"/>
      <c r="AE314" s="2991" t="n"/>
      <c r="AF314" s="2992" t="n"/>
      <c r="AG314" s="2991" t="n"/>
      <c r="AH314" s="2992" t="n"/>
      <c r="AI314" s="2991" t="n"/>
      <c r="AJ314" s="2992" t="n"/>
      <c r="AK314" s="2993" t="n"/>
      <c r="AL314" s="1275" t="n"/>
      <c r="AM314" s="2994" t="n"/>
      <c r="AN314" s="2995" t="n"/>
      <c r="AO314" s="2980" t="n"/>
      <c r="AP314" s="2981" t="n"/>
      <c r="AQ314" s="5228" t="n"/>
      <c r="AR314" s="3951" t="n"/>
      <c r="AS314" s="5234" t="n"/>
      <c r="AT314" s="3951" t="n"/>
      <c r="AU314" s="1275" t="n"/>
      <c r="AV314" s="2981" t="n"/>
      <c r="AW314" s="3951" t="n"/>
      <c r="AX314" s="1275" t="n"/>
      <c r="AY314">
        <f>CA314&amp;CB314&amp;CC314&amp;CD314&amp;CE314&amp;CF314&amp;CG314&amp;CH314&amp;CI314&amp;CJ314&amp;CK314&amp;CL314</f>
        <v/>
      </c>
      <c r="CA314" s="196">
        <f>IF(AND($F314&gt;0,AM314="")," * No olvide digitar la variable Gestante. Digite cero si no tiene.",IF(AM314&gt;$F314," * La variable Gestante no puede superar el Total Mujeres.",""))</f>
        <v/>
      </c>
      <c r="CB314" s="196">
        <f>IF(AND(AG314+AH314&gt;0,AN314="")," * No olvide digitar la variable 60 años (incluido en grupos de 60-64 años). Digite Cero si no tiene.",IF(AN314&gt;AG314+AH314," * La variable 60 años (incluido en grupos de 60-64 años) no puede superar la suma del Grupo 60-64 años.",""))</f>
        <v/>
      </c>
      <c r="CC314" s="198" t="n"/>
      <c r="CD314" s="198" t="n"/>
      <c r="CE314" s="196">
        <f>IF(AND($D314&gt;0,AQ314="")," * No olvide digitar la variable Inasistente. Digite cero si no tiene.",IF(AQ314&gt;$D314," * La variable Insasistente no puede superar el Total Ambos Sexos.",""))</f>
        <v/>
      </c>
      <c r="CF314" s="196">
        <f>IF(AND($D314&gt;0,AR314="")," * No olvide digitar la variable Compra de Servicio. Digite Cero si no tiene.","")</f>
        <v/>
      </c>
      <c r="CG314" s="198" t="n"/>
      <c r="CH314" s="196">
        <f>IF(AND($D314&gt;0,AT314="")," * No olvide digitar la variable Usuarios con Discapacidad. Digite Cero si no tiene.",IF(AT314&gt;$D314," * La variable Usuarios con Discapacidad no puede superar el Total Ambos Sexos.",""))</f>
        <v/>
      </c>
      <c r="CI314" s="196">
        <f>IF(AND($D314&gt;0,AU314="")," * No olvide digitar la variable Usuarios Oncológicos. Digite Cero si no tiene.",IF(AU314&gt;$D314," * La variable Usuarios Oncológicos no puede superar el Total Ambos Sexos.",""))</f>
        <v/>
      </c>
      <c r="CJ314" s="198" t="n"/>
      <c r="CK314" s="196">
        <f>IF(AND($D314&gt;0,AW314="")," * No olvide digitar la variable Migrantes. Digite Cero si no tiene.",IF(AW314&gt;$D314," * La variable Migrantes no puede superar el Total Ambos Sexos.",""))</f>
        <v/>
      </c>
      <c r="CL314" s="196">
        <f>IF(AND($D314&gt;0,AX314=""),"  * No olvide digitar la variable Pueblo Originario. Digite Cero si no tiene.",IF(AX314&gt;$D314," * La variable Pueblo Originario no puede superar el Total Ambos Sexos.",""))</f>
        <v/>
      </c>
      <c r="CO314" s="197">
        <f>IF(AND($F314&gt;0,AM314=""),1,IF(AM314&gt;$F314,1,0))</f>
        <v/>
      </c>
      <c r="CP314" s="197">
        <f>IF(AND(AG314+AH314&gt;0,AN314=""),1,IF(AN314&gt;AG314+AH314,1,0))</f>
        <v/>
      </c>
      <c r="CQ314" s="198" t="n"/>
      <c r="CR314" s="198" t="n"/>
      <c r="CS314" s="197">
        <f>IF(AND($D314&gt;0,AQ314=""),1,IF(AQ314&gt;$D314,1,0))</f>
        <v/>
      </c>
      <c r="CT314" s="197">
        <f>IF(AND($D314&gt;0,AR314=""),1,0)</f>
        <v/>
      </c>
      <c r="CU314" s="198" t="n"/>
      <c r="CV314" s="197">
        <f>IF(AND($D314&gt;0,AT314=""),1,IF(AT314&gt;$D314,1,0))</f>
        <v/>
      </c>
      <c r="CW314" s="197">
        <f>IF(AND($D314&gt;0,AU314=""),1,IF(AU314&gt;$D314,1,0))</f>
        <v/>
      </c>
      <c r="CX314" s="198" t="n"/>
      <c r="CY314" s="197">
        <f>IF(AND($D314&gt;0,AW314=""),1,IF(AW314&gt;$D314,1,0))</f>
        <v/>
      </c>
      <c r="CZ314" s="197">
        <f>IF(AND($D314&gt;0,AX314=""),1,IF(AX314&gt;$D314,1,0))</f>
        <v/>
      </c>
    </row>
    <row r="315" ht="15" customHeight="1" s="8286">
      <c r="A315" s="9588" t="n"/>
      <c r="B315" s="8748" t="inlineStr">
        <is>
          <t xml:space="preserve">Ingreso a tratamiento </t>
        </is>
      </c>
      <c r="C315" s="9644" t="n"/>
      <c r="D315" s="2989">
        <f>SUM(E315+F315)</f>
        <v/>
      </c>
      <c r="E315" s="2990">
        <f>SUM(G315++I315+K315+M315+O315+Q315+S315+U315+W315+Y315+AA315+AC315+AE315+AG315+AI315+AK315)</f>
        <v/>
      </c>
      <c r="F315" s="3014">
        <f>SUM(H315++J315+L315+N315+P315+R315+T315+V315+X315+Z315+AB315+AD315+AF315+AH315+AJ315+AL315)</f>
        <v/>
      </c>
      <c r="G315" s="2993" t="n"/>
      <c r="H315" s="2992" t="n"/>
      <c r="I315" s="2993" t="n"/>
      <c r="J315" s="2992" t="n"/>
      <c r="K315" s="2993" t="n"/>
      <c r="L315" s="2992" t="n"/>
      <c r="M315" s="2993" t="n"/>
      <c r="N315" s="2992" t="n"/>
      <c r="O315" s="2993" t="n"/>
      <c r="P315" s="2992" t="n"/>
      <c r="Q315" s="2993" t="n"/>
      <c r="R315" s="2992" t="n"/>
      <c r="S315" s="2993" t="n"/>
      <c r="T315" s="2992" t="n"/>
      <c r="U315" s="2993" t="n"/>
      <c r="V315" s="2992" t="n"/>
      <c r="W315" s="2993" t="n"/>
      <c r="X315" s="2992" t="n"/>
      <c r="Y315" s="2993" t="n"/>
      <c r="Z315" s="2992" t="n"/>
      <c r="AA315" s="2993" t="n"/>
      <c r="AB315" s="2992" t="n"/>
      <c r="AC315" s="2993" t="n"/>
      <c r="AD315" s="2992" t="n"/>
      <c r="AE315" s="2993" t="n"/>
      <c r="AF315" s="2992" t="n"/>
      <c r="AG315" s="2993" t="n"/>
      <c r="AH315" s="2992" t="n"/>
      <c r="AI315" s="2993" t="n"/>
      <c r="AJ315" s="2992" t="n"/>
      <c r="AK315" s="2993" t="n"/>
      <c r="AL315" s="1275" t="n"/>
      <c r="AM315" s="2994" t="n"/>
      <c r="AN315" s="2995" t="n"/>
      <c r="AO315" s="2980" t="n"/>
      <c r="AP315" s="2981" t="n"/>
      <c r="AQ315" s="5226" t="n"/>
      <c r="AR315" s="3951" t="n"/>
      <c r="AS315" s="5234" t="n"/>
      <c r="AT315" s="3951" t="n"/>
      <c r="AU315" s="1275" t="n"/>
      <c r="AV315" s="2981" t="n"/>
      <c r="AW315" s="3951" t="n"/>
      <c r="AX315" s="1275" t="n"/>
      <c r="AY315">
        <f>CA315&amp;CB315&amp;CC315&amp;CD315&amp;CE315&amp;CF315&amp;CG315&amp;CH315&amp;CI315&amp;CJ315&amp;CK315&amp;CL315</f>
        <v/>
      </c>
      <c r="CA315" s="196">
        <f>IF(AND($F315&gt;0,AM315="")," * No olvide digitar la variable Gestante. Digite cero si no tiene.",IF(AM315&gt;$F315," * La variable Gestante no puede superar el Total Mujeres.",""))</f>
        <v/>
      </c>
      <c r="CB315" s="196">
        <f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198" t="n"/>
      <c r="CD315" s="198" t="n"/>
      <c r="CE315" s="198" t="n"/>
      <c r="CF315" s="196">
        <f>IF(AND($D315&gt;0,AR315="")," * No olvide digitar la variable Compra de Servicio. Digite Cero si no tiene.","")</f>
        <v/>
      </c>
      <c r="CG315" s="198" t="n"/>
      <c r="CH315" s="196">
        <f>IF(AND($D315&gt;0,AT315="")," * No olvide digitar la variable Usuarios con Discapacidad. Digite Cero si no tiene.",IF(AT315&gt;$D315," * La variable Usuarios con Discapacidad no puede superar el Total Ambos Sexos.",""))</f>
        <v/>
      </c>
      <c r="CI315" s="196">
        <f>IF(AND($D315&gt;0,AU315="")," * No olvide digitar la variable Usuarios Oncológicos. Digite Cero si no tiene.",IF(AU315&gt;$D315," * La variable Usuarios Oncológicos no puede superar el Total Ambos Sexos.",""))</f>
        <v/>
      </c>
      <c r="CJ315" s="198" t="n"/>
      <c r="CK315" s="196">
        <f>IF(AND($D315&gt;0,AW315="")," * No olvide digitar la variable Migrantes. Digite Cero si no tiene.",IF(AW315&gt;$D315," * La variable Migrantes no puede superar el Total Ambos Sexos.",""))</f>
        <v/>
      </c>
      <c r="CL315" s="196">
        <f>IF(AND($D315&gt;0,AX315=""),"  * No olvide digitar la variable Pueblo Originario. Digite Cero si no tiene.",IF(AX315&gt;$D315," * La variable Pueblo Originario no puede superar el Total Ambos Sexos.",""))</f>
        <v/>
      </c>
      <c r="CO315" s="197">
        <f>IF(AND($F315&gt;0,AM315=""),1,IF(AM315&gt;$F315,1,0))</f>
        <v/>
      </c>
      <c r="CP315" s="197">
        <f>IF(AND(AG315+AH315&gt;0,AN315=""),1,IF(AN315&gt;AG315+AH315,1,0))</f>
        <v/>
      </c>
      <c r="CQ315" s="198" t="n"/>
      <c r="CR315" s="198" t="n"/>
      <c r="CS315" s="198" t="n"/>
      <c r="CT315" s="197">
        <f>IF(AND($D315&gt;0,AR315=""),1,0)</f>
        <v/>
      </c>
      <c r="CU315" s="198" t="n"/>
      <c r="CV315" s="197">
        <f>IF(AND($D315&gt;0,AT315=""),1,IF(AT315&gt;$D315,1,0))</f>
        <v/>
      </c>
      <c r="CW315" s="197">
        <f>IF(AND($D315&gt;0,AU315=""),1,IF(AU315&gt;$D315,1,0))</f>
        <v/>
      </c>
      <c r="CX315" s="198" t="n"/>
      <c r="CY315" s="197">
        <f>IF(AND($D315&gt;0,AW315=""),1,IF(AW315&gt;$D315,1,0))</f>
        <v/>
      </c>
      <c r="CZ315" s="197">
        <f>IF(AND($D315&gt;0,AX315=""),1,IF(AX315&gt;$D315,1,0))</f>
        <v/>
      </c>
    </row>
    <row r="316" ht="15" customHeight="1" s="8286">
      <c r="A316" s="9588" t="n"/>
      <c r="B316" s="8748" t="inlineStr">
        <is>
          <t xml:space="preserve">Altas de tratamiento </t>
        </is>
      </c>
      <c r="C316" s="9644" t="n"/>
      <c r="D316" s="2989">
        <f>SUM(E316+F316)</f>
        <v/>
      </c>
      <c r="E316" s="2990">
        <f>SUM(G316++I316+K316+M316+O316+Q316+S316+U316+W316+Y316+AA316+AC316+AE316+AG316+AI316+AK316)</f>
        <v/>
      </c>
      <c r="F316" s="3014">
        <f>SUM(H316++J316+L316+N316+P316+R316+T316+V316+X316+Z316+AB316+AD316+AF316+AH316+AJ316+AL316)</f>
        <v/>
      </c>
      <c r="G316" s="1949" t="n"/>
      <c r="H316" s="2998" t="n"/>
      <c r="I316" s="1949" t="n"/>
      <c r="J316" s="2998" t="n"/>
      <c r="K316" s="1949" t="n"/>
      <c r="L316" s="2998" t="n"/>
      <c r="M316" s="1949" t="n"/>
      <c r="N316" s="2998" t="n"/>
      <c r="O316" s="1949" t="n"/>
      <c r="P316" s="2998" t="n"/>
      <c r="Q316" s="1949" t="n"/>
      <c r="R316" s="2998" t="n"/>
      <c r="S316" s="1949" t="n"/>
      <c r="T316" s="2998" t="n"/>
      <c r="U316" s="1949" t="n"/>
      <c r="V316" s="2998" t="n"/>
      <c r="W316" s="1949" t="n"/>
      <c r="X316" s="2998" t="n"/>
      <c r="Y316" s="1949" t="n"/>
      <c r="Z316" s="2998" t="n"/>
      <c r="AA316" s="1949" t="n"/>
      <c r="AB316" s="2998" t="n"/>
      <c r="AC316" s="1949" t="n"/>
      <c r="AD316" s="2998" t="n"/>
      <c r="AE316" s="1949" t="n"/>
      <c r="AF316" s="2998" t="n"/>
      <c r="AG316" s="1949" t="n"/>
      <c r="AH316" s="2998" t="n"/>
      <c r="AI316" s="1949" t="n"/>
      <c r="AJ316" s="2998" t="n"/>
      <c r="AK316" s="1949" t="n"/>
      <c r="AL316" s="1950" t="n"/>
      <c r="AM316" s="1937" t="n"/>
      <c r="AN316" s="2999" t="n"/>
      <c r="AO316" s="2980" t="n"/>
      <c r="AP316" s="2981" t="n"/>
      <c r="AQ316" s="5226" t="n"/>
      <c r="AR316" s="5240" t="n"/>
      <c r="AS316" s="5234" t="n"/>
      <c r="AT316" s="5240" t="n"/>
      <c r="AU316" s="1950" t="n"/>
      <c r="AV316" s="1275" t="n"/>
      <c r="AW316" s="5240" t="n"/>
      <c r="AX316" s="1950" t="n"/>
      <c r="AY316">
        <f>CA316&amp;CB316&amp;CC316&amp;CD316&amp;CE316&amp;CF316&amp;CG316&amp;CH316&amp;CI316&amp;CJ316&amp;CK316&amp;CL316</f>
        <v/>
      </c>
      <c r="CA316" s="196">
        <f>IF(AND($F316&gt;0,AM316="")," * No olvide digitar la variable Gestante. Digite cero si no tiene.",IF(AM316&gt;$F316," * La variable Gestante no puede superar el Total Mujeres.",""))</f>
        <v/>
      </c>
      <c r="CB316" s="196">
        <f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 t="n"/>
      <c r="CD316" s="198" t="n"/>
      <c r="CE316" s="198" t="n"/>
      <c r="CF316" s="196">
        <f>IF(AND($D316&gt;0,AR316="")," * No olvide digitar la variable Compra de Servicio. Digite Cero si no tiene.","")</f>
        <v/>
      </c>
      <c r="CG316" s="198" t="n"/>
      <c r="CH316" s="196">
        <f>IF(AND($D316&gt;0,AT316="")," * No olvide digitar la variable Usuarios con Discapacidad. Digite Cero si no tiene.",IF(AT316&gt;$D316," * La variable Usuarios con Discapacidad no puede superar el Total Ambos Sexos.",""))</f>
        <v/>
      </c>
      <c r="CI316" s="196">
        <f>IF(AND($D316&gt;0,AU316="")," * No olvide digitar la variable Usuarios Oncológicos. Digite Cero si no tiene.",IF(AU316&gt;$D316," * La variable Usuarios Oncológicos no puede superar el Total Ambos Sexos.",""))</f>
        <v/>
      </c>
      <c r="CJ316" s="196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>
        <f>IF(AND($D316&gt;0,AW316="")," * No olvide digitar la variable Migrantes. Digite Cero si no tiene.",IF(AW316&gt;$D316," * La variable Migrantes no puede superar el Total Ambos Sexos.",""))</f>
        <v/>
      </c>
      <c r="CL316" s="196">
        <f>IF(AND($D316&gt;0,AX316=""),"  * No olvide digitar la variable Pueblo Originario. Digite Cero si no tiene.",IF(AX316&gt;$D316," * La variable Pueblo Originario no puede superar el Total Ambos Sexos.",""))</f>
        <v/>
      </c>
      <c r="CO316" s="197">
        <f>IF(AND($F316&gt;0,AM316=""),1,IF(AM316&gt;$F316,1,0))</f>
        <v/>
      </c>
      <c r="CP316" s="197">
        <f>IF(AND(AG316+AH316&gt;0,AN316=""),1,IF(AN316&gt;AG316+AH316,1,0))</f>
        <v/>
      </c>
      <c r="CQ316" s="198" t="n"/>
      <c r="CR316" s="198" t="n"/>
      <c r="CS316" s="198" t="n"/>
      <c r="CT316" s="197">
        <f>IF(AND($D316&gt;0,AR316=""),1,0)</f>
        <v/>
      </c>
      <c r="CU316" s="198" t="n"/>
      <c r="CV316" s="197">
        <f>IF(AND($D316&gt;0,AT316=""),1,IF(AT316&gt;$D316,1,0))</f>
        <v/>
      </c>
      <c r="CW316" s="197">
        <f>IF(AND($D316&gt;0,AU316=""),1,IF(AU316&gt;$D316,1,0))</f>
        <v/>
      </c>
      <c r="CX316" s="197">
        <f>IF(AND($D316&gt;0,AV316=""),1,IF(AV316&gt;$D316,1,0))</f>
        <v/>
      </c>
      <c r="CY316" s="197">
        <f>IF(AND($D316&gt;0,AW316=""),1,IF(AW316&gt;$D316,1,0))</f>
        <v/>
      </c>
      <c r="CZ316" s="197">
        <f>IF(AND($D316&gt;0,AX316=""),1,IF(AX316&gt;$D316,1,0))</f>
        <v/>
      </c>
    </row>
    <row r="317" ht="15" customHeight="1" s="8286">
      <c r="A317" s="9588" t="n"/>
      <c r="B317" s="8748" t="inlineStr">
        <is>
          <t xml:space="preserve">Control de especialidad post alta </t>
        </is>
      </c>
      <c r="C317" s="9644" t="n"/>
      <c r="D317" s="2989">
        <f>SUM(E317+F317)</f>
        <v/>
      </c>
      <c r="E317" s="2990">
        <f>SUM(G317++I317+K317+M317+O317+Q317+S317+U317+W317+Y317+AA317+AC317+AE317+AG317+AI317+AK317)</f>
        <v/>
      </c>
      <c r="F317" s="3014">
        <f>SUM(H317++J317+L317+N317+P317+R317+T317+V317+X317+Z317+AB317+AD317+AF317+AH317+AJ317+AL317)</f>
        <v/>
      </c>
      <c r="G317" s="1949" t="n"/>
      <c r="H317" s="2998" t="n"/>
      <c r="I317" s="1949" t="n"/>
      <c r="J317" s="2998" t="n"/>
      <c r="K317" s="1949" t="n"/>
      <c r="L317" s="2998" t="n"/>
      <c r="M317" s="1949" t="n"/>
      <c r="N317" s="2998" t="n"/>
      <c r="O317" s="1949" t="n"/>
      <c r="P317" s="2998" t="n"/>
      <c r="Q317" s="1949" t="n"/>
      <c r="R317" s="2998" t="n"/>
      <c r="S317" s="1949" t="n"/>
      <c r="T317" s="2998" t="n"/>
      <c r="U317" s="1949" t="n"/>
      <c r="V317" s="2998" t="n"/>
      <c r="W317" s="1949" t="n"/>
      <c r="X317" s="1950" t="n"/>
      <c r="Y317" s="1949" t="n"/>
      <c r="Z317" s="1950" t="n"/>
      <c r="AA317" s="1949" t="n"/>
      <c r="AB317" s="1950" t="n"/>
      <c r="AC317" s="1949" t="n"/>
      <c r="AD317" s="1950" t="n"/>
      <c r="AE317" s="1949" t="n"/>
      <c r="AF317" s="1950" t="n"/>
      <c r="AG317" s="1949" t="n"/>
      <c r="AH317" s="1950" t="n"/>
      <c r="AI317" s="1949" t="n"/>
      <c r="AJ317" s="1950" t="n"/>
      <c r="AK317" s="1949" t="n"/>
      <c r="AL317" s="1950" t="n"/>
      <c r="AM317" s="1937" t="n"/>
      <c r="AN317" s="2999" t="n"/>
      <c r="AO317" s="3000" t="n"/>
      <c r="AP317" s="3001" t="n"/>
      <c r="AQ317" s="365" t="n"/>
      <c r="AR317" s="5240" t="n"/>
      <c r="AS317" s="5235" t="n"/>
      <c r="AT317" s="5240" t="n"/>
      <c r="AU317" s="1950" t="n"/>
      <c r="AV317" s="3001" t="n"/>
      <c r="AW317" s="5240" t="n"/>
      <c r="AX317" s="1950" t="n"/>
      <c r="AY317">
        <f>CA317&amp;CB317&amp;CC317&amp;CD317&amp;CE317&amp;CF317&amp;CG317&amp;CH317&amp;CI317&amp;CJ317&amp;CK317&amp;CL317</f>
        <v/>
      </c>
      <c r="CA317" s="196">
        <f>IF(AND($F317&gt;0,AM317="")," * No olvide digitar la variable Gestante. Digite cero si no tiene.",IF(AM317&gt;$F317," * La variable Gestante no puede superar el Total Mujeres.",""))</f>
        <v/>
      </c>
      <c r="CB317" s="196">
        <f>IF(AND(AG317+AH317&gt;0,AN317="")," * No olvide digitar la variable 60 años (incluido en grupos de 60-64 años). Digite Cero si no tiene.",IF(AN317&gt;AG317+AH317," * La variable 60 años (incluido en grupos de 60-64 años) no puede superar la suma del Grupo 60-64 años.",""))</f>
        <v/>
      </c>
      <c r="CC317" s="198" t="n"/>
      <c r="CD317" s="198" t="n"/>
      <c r="CE317" s="198" t="n"/>
      <c r="CF317" s="196">
        <f>IF(AND($D317&gt;0,AR317="")," * No olvide digitar la variable Compra de Servicio. Digite Cero si no tiene.","")</f>
        <v/>
      </c>
      <c r="CG317" s="198" t="n"/>
      <c r="CH317" s="196">
        <f>IF(AND($D317&gt;0,AT317="")," * No olvide digitar la variable Usuarios con Discapacidad. Digite Cero si no tiene.",IF(AT317&gt;$D317," * La variable Usuarios con Discapacidad no puede superar el Total Ambos Sexos.",""))</f>
        <v/>
      </c>
      <c r="CI317" s="196">
        <f>IF(AND($D317&gt;0,AU317="")," * No olvide digitar la variable Usuarios Oncológicos. Digite Cero si no tiene.",IF(AU317&gt;$D317," * La variable Usuarios Oncológicos no puede superar el Total Ambos Sexos.",""))</f>
        <v/>
      </c>
      <c r="CJ317" s="198" t="n"/>
      <c r="CK317" s="196">
        <f>IF(AND($D317&gt;0,AW317="")," * No olvide digitar la variable Migrantes. Digite Cero si no tiene.",IF(AW317&gt;$D317," * La variable Migrantes no puede superar el Total Ambos Sexos.",""))</f>
        <v/>
      </c>
      <c r="CL317" s="196">
        <f>IF(AND($D317&gt;0,AX317=""),"  * No olvide digitar la variable Pueblo Originario. Digite Cero si no tiene.",IF(AX317&gt;$D317," * La variable Pueblo Originario no puede superar el Total Ambos Sexos.",""))</f>
        <v/>
      </c>
      <c r="CO317" s="197">
        <f>IF(AND($F317&gt;0,AM317=""),1,IF(AM317&gt;$F317,1,0))</f>
        <v/>
      </c>
      <c r="CP317" s="197">
        <f>IF(AND(AG317+AH317&gt;0,AN317=""),1,IF(AN317&gt;AG317+AH317,1,0))</f>
        <v/>
      </c>
      <c r="CQ317" s="198" t="n"/>
      <c r="CR317" s="198" t="n"/>
      <c r="CS317" s="198" t="n"/>
      <c r="CT317" s="197">
        <f>IF(AND($D317&gt;0,AR317=""),1,0)</f>
        <v/>
      </c>
      <c r="CU317" s="198" t="n"/>
      <c r="CV317" s="197">
        <f>IF(AND($D317&gt;0,AT317=""),1,IF(AT317&gt;$D317,1,0))</f>
        <v/>
      </c>
      <c r="CW317" s="197">
        <f>IF(AND($D317&gt;0,AU317=""),1,IF(AU317&gt;$D317,1,0))</f>
        <v/>
      </c>
      <c r="CX317" s="198" t="n"/>
      <c r="CY317" s="197">
        <f>IF(AND($D317&gt;0,AW317=""),1,IF(AW317&gt;$D317,1,0))</f>
        <v/>
      </c>
      <c r="CZ317" s="197">
        <f>IF(AND($D317&gt;0,AX317=""),1,IF(AX317&gt;$D317,1,0))</f>
        <v/>
      </c>
    </row>
    <row r="318" ht="15" customHeight="1" s="8286">
      <c r="A318" s="9589" t="n"/>
      <c r="B318" s="10282" t="inlineStr">
        <is>
          <t xml:space="preserve">Altas administrativas </t>
        </is>
      </c>
      <c r="C318" s="9710" t="n"/>
      <c r="D318" s="1202">
        <f>SUM(E318+F318)</f>
        <v/>
      </c>
      <c r="E318" s="800">
        <f>SUM(G318++I318+K318+M318+O318+Q318+S318+U318+W318+Y318+AA318+AC318+AE318+AG318+AI318+AK318)</f>
        <v/>
      </c>
      <c r="F318" s="2727">
        <f>SUM(H318++J318+L318+N318+P318+R318+T318+V318+X318+Z318+AB318+AD318+AF318+AH318+AJ318+AL318)</f>
        <v/>
      </c>
      <c r="G318" s="1276" t="n"/>
      <c r="H318" s="2983" t="n"/>
      <c r="I318" s="1276" t="n"/>
      <c r="J318" s="2983" t="n"/>
      <c r="K318" s="1276" t="n"/>
      <c r="L318" s="2983" t="n"/>
      <c r="M318" s="1276" t="n"/>
      <c r="N318" s="2983" t="n"/>
      <c r="O318" s="1276" t="n"/>
      <c r="P318" s="2983" t="n"/>
      <c r="Q318" s="1276" t="n"/>
      <c r="R318" s="2983" t="n"/>
      <c r="S318" s="1276" t="n"/>
      <c r="T318" s="2983" t="n"/>
      <c r="U318" s="1276" t="n"/>
      <c r="V318" s="2983" t="n"/>
      <c r="W318" s="1348" t="n"/>
      <c r="X318" s="1277" t="n"/>
      <c r="Y318" s="1348" t="n"/>
      <c r="Z318" s="1277" t="n"/>
      <c r="AA318" s="1348" t="n"/>
      <c r="AB318" s="1277" t="n"/>
      <c r="AC318" s="1348" t="n"/>
      <c r="AD318" s="1277" t="n"/>
      <c r="AE318" s="1348" t="n"/>
      <c r="AF318" s="1277" t="n"/>
      <c r="AG318" s="1348" t="n"/>
      <c r="AH318" s="1277" t="n"/>
      <c r="AI318" s="1348" t="n"/>
      <c r="AJ318" s="1277" t="n"/>
      <c r="AK318" s="1348" t="n"/>
      <c r="AL318" s="1277" t="n"/>
      <c r="AM318" s="1350" t="n"/>
      <c r="AN318" s="2984" t="n"/>
      <c r="AO318" s="3002" t="n"/>
      <c r="AP318" s="2985" t="n"/>
      <c r="AQ318" s="3003" t="n"/>
      <c r="AR318" s="1967" t="n"/>
      <c r="AS318" s="5233" t="n"/>
      <c r="AT318" s="1967" t="n"/>
      <c r="AU318" s="1277" t="n"/>
      <c r="AV318" s="2985" t="n"/>
      <c r="AW318" s="1967" t="n"/>
      <c r="AX318" s="1277" t="n"/>
      <c r="AY318">
        <f>CA318&amp;CB318&amp;CC318&amp;CD318&amp;CE318&amp;CF318&amp;CG318&amp;CH318&amp;CI318&amp;CJ318&amp;CK318&amp;CL318</f>
        <v/>
      </c>
      <c r="CA318" s="196">
        <f>IF(AND($F318&gt;0,AM318="")," * No olvide digitar la variable Gestante. Digite cero si no tiene.",IF(AM318&gt;$F318," * La variable Gestante no puede superar el Total Mujeres.",""))</f>
        <v/>
      </c>
      <c r="CB318" s="196">
        <f>IF(AND(AG318+AH318&gt;0,AN318="")," * No olvide digitar la variable 60 años (incluido en grupos de 60-64 años). Digite Cero si no tiene.",IF(AN318&gt;AG318+AH318," * La variable 60 años (incluido en grupos de 60-64 años) no puede superar la suma del Grupo 60-64 años.",""))</f>
        <v/>
      </c>
      <c r="CC318" s="198" t="n"/>
      <c r="CD318" s="198" t="n"/>
      <c r="CE318" s="198" t="n"/>
      <c r="CF318" s="196">
        <f>IF(AND($D318&gt;0,AR318="")," * No olvide digitar la variable Compra de Servicio. Digite Cero si no tiene.","")</f>
        <v/>
      </c>
      <c r="CG318" s="198" t="n"/>
      <c r="CH318" s="196">
        <f>IF(AND($D318&gt;0,AT318="")," * No olvide digitar la variable Usuarios con Discapacidad. Digite Cero si no tiene.",IF(AT318&gt;$D318," * La variable Usuarios con Discapacidad no puede superar el Total Ambos Sexos.",""))</f>
        <v/>
      </c>
      <c r="CI318" s="196">
        <f>IF(AND($D318&gt;0,AU318="")," * No olvide digitar la variable Usuarios Oncológicos. Digite Cero si no tiene.",IF(AU318&gt;$D318," * La variable Usuarios Oncológicos no puede superar el Total Ambos Sexos.",""))</f>
        <v/>
      </c>
      <c r="CJ318" s="198" t="n"/>
      <c r="CK318" s="196">
        <f>IF(AND($D318&gt;0,AW318="")," * No olvide digitar la variable Migrantes. Digite Cero si no tiene.",IF(AW318&gt;$D318," * La variable Migrantes no puede superar el Total Ambos Sexos.",""))</f>
        <v/>
      </c>
      <c r="CL318" s="196">
        <f>IF(AND($D318&gt;0,AX318=""),"  * No olvide digitar la variable Pueblo Originario. Digite Cero si no tiene.",IF(AX318&gt;$D318," * La variable Pueblo Originario no puede superar el Total Ambos Sexos.",""))</f>
        <v/>
      </c>
      <c r="CO318" s="197">
        <f>IF(AND($F318&gt;0,AM318=""),1,IF(AM318&gt;$F318,1,0))</f>
        <v/>
      </c>
      <c r="CP318" s="197">
        <f>IF(AND(AG318+AH318&gt;0,AN318=""),1,IF(AN318&gt;AG318+AH318,1,0))</f>
        <v/>
      </c>
      <c r="CQ318" s="198" t="n"/>
      <c r="CR318" s="198" t="n"/>
      <c r="CS318" s="198" t="n"/>
      <c r="CT318" s="197">
        <f>IF(AND($D318&gt;0,AR318=""),1,0)</f>
        <v/>
      </c>
      <c r="CU318" s="198" t="n"/>
      <c r="CV318" s="197">
        <f>IF(AND($D318&gt;0,AT318=""),1,IF(AT318&gt;$D318,1,0))</f>
        <v/>
      </c>
      <c r="CW318" s="197">
        <f>IF(AND($D318&gt;0,AU318=""),1,IF(AU318&gt;$D318,1,0))</f>
        <v/>
      </c>
      <c r="CX318" s="198" t="n"/>
      <c r="CY318" s="197">
        <f>IF(AND($D318&gt;0,AW318=""),1,IF(AW318&gt;$D318,1,0))</f>
        <v/>
      </c>
      <c r="CZ318" s="197">
        <f>IF(AND($D318&gt;0,AX318=""),1,IF(AX318&gt;$D318,1,0))</f>
        <v/>
      </c>
    </row>
    <row r="319" ht="18" customHeight="1" s="8286">
      <c r="A319" s="10021" t="inlineStr">
        <is>
          <t xml:space="preserve">Trastornos temporomandibulares y dolor orofacial </t>
        </is>
      </c>
      <c r="B319" s="10283" t="inlineStr">
        <is>
          <t xml:space="preserve">Consulta nueva  </t>
        </is>
      </c>
      <c r="C319" s="9643" t="n"/>
      <c r="D319" s="2282">
        <f>SUM(E319+F319)</f>
        <v/>
      </c>
      <c r="E319" s="845">
        <f>SUM(G319++I319+K319+M319+O319+Q319+S319+U319+W319+Y319+AA319+AC319+AE319+AG319+AI319+AK319)</f>
        <v/>
      </c>
      <c r="F319" s="2715">
        <f>SUM(H319++J319+L319+N319+P319+R319+T319+V319+X319+Z319+AB319+AD319+AF319+AH319+AJ319+AL319)</f>
        <v/>
      </c>
      <c r="G319" s="3004" t="n"/>
      <c r="H319" s="3005" t="n"/>
      <c r="I319" s="3004" t="n"/>
      <c r="J319" s="3005" t="n"/>
      <c r="K319" s="3004" t="n"/>
      <c r="L319" s="3005" t="n"/>
      <c r="M319" s="3004" t="n"/>
      <c r="N319" s="3005" t="n"/>
      <c r="O319" s="3004" t="n"/>
      <c r="P319" s="3005" t="n"/>
      <c r="Q319" s="3004" t="n"/>
      <c r="R319" s="3005" t="n"/>
      <c r="S319" s="3004" t="n"/>
      <c r="T319" s="3005" t="n"/>
      <c r="U319" s="3004" t="n"/>
      <c r="V319" s="3005" t="n"/>
      <c r="W319" s="2987" t="n"/>
      <c r="X319" s="764" t="n"/>
      <c r="Y319" s="2987" t="n"/>
      <c r="Z319" s="764" t="n"/>
      <c r="AA319" s="2987" t="n"/>
      <c r="AB319" s="764" t="n"/>
      <c r="AC319" s="2987" t="n"/>
      <c r="AD319" s="764" t="n"/>
      <c r="AE319" s="2987" t="n"/>
      <c r="AF319" s="764" t="n"/>
      <c r="AG319" s="2987" t="n"/>
      <c r="AH319" s="764" t="n"/>
      <c r="AI319" s="2987" t="n"/>
      <c r="AJ319" s="764" t="n"/>
      <c r="AK319" s="3004" t="n"/>
      <c r="AL319" s="3044" t="n"/>
      <c r="AM319" s="3045" t="n"/>
      <c r="AN319" s="3046" t="n"/>
      <c r="AO319" s="3004" t="n"/>
      <c r="AP319" s="3047" t="n"/>
      <c r="AQ319" s="5227" t="n"/>
      <c r="AR319" s="5238" t="n"/>
      <c r="AS319" s="5234" t="n"/>
      <c r="AT319" s="5244" t="n"/>
      <c r="AU319" s="2401" t="n"/>
      <c r="AV319" s="2981" t="n"/>
      <c r="AW319" s="5238" t="n"/>
      <c r="AX319" s="2401" t="n"/>
      <c r="AY319">
        <f>CA319&amp;CB319&amp;CC319&amp;CD319&amp;CE319&amp;CF319&amp;CG319&amp;CH319&amp;CI319&amp;CJ319&amp;CK319&amp;CL319</f>
        <v/>
      </c>
      <c r="CA319" s="196">
        <f>IF(AND($F319&gt;0,AM319="")," * No olvide digitar la variable Gestante. Digite cero si no tiene.",IF(AM319&gt;$F319," * La variable Gestante no puede superar el Total Mujeres.",""))</f>
        <v/>
      </c>
      <c r="CB319" s="196">
        <f>IF(AND(AG319+AH319&gt;0,AN319="")," * No olvide digitar la variable 60 años (incluido en grupos de 60-64 años). Digite Cero si no tiene.",IF(AN319&gt;AG319+AH319," * La variable 60 años (incluido en grupos de 60-64 años) no puede superar la suma del Grupo 60-64 años.",""))</f>
        <v/>
      </c>
      <c r="CC319" s="196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>
        <f>IF(AND($D319&gt;0,AQ319="")," * No olvide digitar la variable Inasistente. Digite cero si no tiene.",IF(AQ319&gt;$D319," * La variable Insasistente no puede superar el Total Ambos Sexos.",""))</f>
        <v/>
      </c>
      <c r="CF319" s="196">
        <f>IF(AND($D319&gt;0,AR319="")," * No olvide digitar la variable Compra de Servicio. Digite Cero si no tiene.","")</f>
        <v/>
      </c>
      <c r="CG319" s="198" t="n"/>
      <c r="CH319" s="196">
        <f>IF(AND($D319&gt;0,AT319="")," * No olvide digitar la variable Usuarios con Discapacidad. Digite Cero si no tiene.",IF(AT319&gt;$D319," * La variable Usuarios con Discapacidad no puede superar el Total Ambos Sexos.",""))</f>
        <v/>
      </c>
      <c r="CI319" s="196">
        <f>IF(AND($D319&gt;0,AU319="")," * No olvide digitar la variable Usuarios Oncológicos. Digite Cero si no tiene.",IF(AU319&gt;$D319," * La variable Usuarios Oncológicos no puede superar el Total Ambos Sexos.",""))</f>
        <v/>
      </c>
      <c r="CJ319" s="198" t="n"/>
      <c r="CK319" s="196">
        <f>IF(AND($D319&gt;0,AW319="")," * No olvide digitar la variable Migrantes. Digite Cero si no tiene.",IF(AW319&gt;$D319," * La variable Migrantes no puede superar el Total Ambos Sexos.",""))</f>
        <v/>
      </c>
      <c r="CL319" s="196">
        <f>IF(AND($D319&gt;0,AX319=""),"  * No olvide digitar la variable Pueblo Originario. Digite Cero si no tiene.",IF(AX319&gt;$D319," * La variable Pueblo Originario no puede superar el Total Ambos Sexos.",""))</f>
        <v/>
      </c>
      <c r="CO319" s="197">
        <f>IF(AND($F319&gt;0,AM319=""),1,IF(AM319&gt;$F319,1,0))</f>
        <v/>
      </c>
      <c r="CP319" s="197">
        <f>IF(AND(AG319+AH319&gt;0,AN319=""),1,IF(AN319&gt;AG319+AH319,1,0))</f>
        <v/>
      </c>
      <c r="CQ319" s="197">
        <f>IF(AND($D319&gt;0,AO319=""),1,IF(AO319&gt;$D319,1,0))</f>
        <v/>
      </c>
      <c r="CR319" s="197">
        <f>IF(AND($D319&gt;0,AP319=""),1,IF(AP319&gt;$D319,1,0))</f>
        <v/>
      </c>
      <c r="CS319" s="197">
        <f>IF(AND($D319&gt;0,AQ319=""),1,IF(AQ319&gt;$D319,1,0))</f>
        <v/>
      </c>
      <c r="CT319" s="197">
        <f>IF(AND($D319&gt;0,AR319=""),1,0)</f>
        <v/>
      </c>
      <c r="CU319" s="198" t="n"/>
      <c r="CV319" s="197">
        <f>IF(AND($D319&gt;0,AT319=""),1,IF(AT319&gt;$D319,1,0))</f>
        <v/>
      </c>
      <c r="CW319" s="197">
        <f>IF(AND($D319&gt;0,AU319=""),1,IF(AU319&gt;$D319,1,0))</f>
        <v/>
      </c>
      <c r="CX319" s="198" t="n"/>
      <c r="CY319" s="197">
        <f>IF(AND($D319&gt;0,AW319=""),1,IF(AW319&gt;$D319,1,0))</f>
        <v/>
      </c>
      <c r="CZ319" s="197">
        <f>IF(AND($D319&gt;0,AX319=""),1,IF(AX319&gt;$D319,1,0))</f>
        <v/>
      </c>
    </row>
    <row r="320">
      <c r="A320" s="9625" t="n"/>
      <c r="B320" s="8748" t="inlineStr">
        <is>
          <t xml:space="preserve">Control  </t>
        </is>
      </c>
      <c r="C320" s="9644" t="n"/>
      <c r="D320" s="3048">
        <f>SUM(E320+F320)</f>
        <v/>
      </c>
      <c r="E320" s="2990">
        <f>SUM(G320++I320+K320+M320+O320+Q320+S320+U320+W320+Y320+AA320+AC320+AE320+AG320+AI320+AK320)</f>
        <v/>
      </c>
      <c r="F320" s="2803">
        <f>SUM(H320++J320+L320+N320+P320+R320+T320+V320+X320+Z320+AB320+AD320+AF320+AH320+AJ320+AL320)</f>
        <v/>
      </c>
      <c r="G320" s="3006" t="n"/>
      <c r="H320" s="3007" t="n"/>
      <c r="I320" s="3006" t="n"/>
      <c r="J320" s="3007" t="n"/>
      <c r="K320" s="3006" t="n"/>
      <c r="L320" s="3007" t="n"/>
      <c r="M320" s="3006" t="n"/>
      <c r="N320" s="3007" t="n"/>
      <c r="O320" s="3006" t="n"/>
      <c r="P320" s="3007" t="n"/>
      <c r="Q320" s="3006" t="n"/>
      <c r="R320" s="3007" t="n"/>
      <c r="S320" s="3006" t="n"/>
      <c r="T320" s="3007" t="n"/>
      <c r="U320" s="3006" t="n"/>
      <c r="V320" s="3007" t="n"/>
      <c r="W320" s="2991" t="n"/>
      <c r="X320" s="2992" t="n"/>
      <c r="Y320" s="2991" t="n"/>
      <c r="Z320" s="2992" t="n"/>
      <c r="AA320" s="2991" t="n"/>
      <c r="AB320" s="2992" t="n"/>
      <c r="AC320" s="2991" t="n"/>
      <c r="AD320" s="2992" t="n"/>
      <c r="AE320" s="2991" t="n"/>
      <c r="AF320" s="2992" t="n"/>
      <c r="AG320" s="2991" t="n"/>
      <c r="AH320" s="2992" t="n"/>
      <c r="AI320" s="2991" t="n"/>
      <c r="AJ320" s="2992" t="n"/>
      <c r="AK320" s="3006" t="n"/>
      <c r="AL320" s="3049" t="n"/>
      <c r="AM320" s="3050" t="n"/>
      <c r="AN320" s="3051" t="n"/>
      <c r="AO320" s="2980" t="n"/>
      <c r="AP320" s="2981" t="n"/>
      <c r="AQ320" s="5228" t="n"/>
      <c r="AR320" s="3951" t="n"/>
      <c r="AS320" s="5234" t="n"/>
      <c r="AT320" s="3951" t="n"/>
      <c r="AU320" s="1275" t="n"/>
      <c r="AV320" s="2981" t="n"/>
      <c r="AW320" s="3951" t="n"/>
      <c r="AX320" s="1275" t="n"/>
      <c r="AY320">
        <f>CA320&amp;CB320&amp;CC320&amp;CD320&amp;CE320&amp;CF320&amp;CG320&amp;CH320&amp;CI320&amp;CJ320&amp;CK320&amp;CL320</f>
        <v/>
      </c>
      <c r="CA320" s="196">
        <f>IF(AND($F320&gt;0,AM320="")," * No olvide digitar la variable Gestante. Digite cero si no tiene.",IF(AM320&gt;$F320," * La variable Gestante no puede superar el Total Mujeres.",""))</f>
        <v/>
      </c>
      <c r="CB320" s="196">
        <f>IF(AND(AG320+AH320&gt;0,AN320="")," * No olvide digitar la variable 60 años (incluido en grupos de 60-64 años). Digite Cero si no tiene.",IF(AN320&gt;AG320+AH320," * La variable 60 años (incluido en grupos de 60-64 años) no puede superar la suma del Grupo 60-64 años.",""))</f>
        <v/>
      </c>
      <c r="CC320" s="198" t="n"/>
      <c r="CD320" s="198" t="n"/>
      <c r="CE320" s="196">
        <f>IF(AND($D320&gt;0,AQ320="")," * No olvide digitar la variable Inasistente. Digite cero si no tiene.",IF(AQ320&gt;$D320," * La variable Insasistente no puede superar el Total Ambos Sexos.",""))</f>
        <v/>
      </c>
      <c r="CF320" s="196">
        <f>IF(AND($D320&gt;0,AR320="")," * No olvide digitar la variable Compra de Servicio. Digite Cero si no tiene.","")</f>
        <v/>
      </c>
      <c r="CG320" s="198" t="n"/>
      <c r="CH320" s="196">
        <f>IF(AND($D320&gt;0,AT320="")," * No olvide digitar la variable Usuarios con Discapacidad. Digite Cero si no tiene.",IF(AT320&gt;$D320," * La variable Usuarios con Discapacidad no puede superar el Total Ambos Sexos.",""))</f>
        <v/>
      </c>
      <c r="CI320" s="196">
        <f>IF(AND($D320&gt;0,AU320="")," * No olvide digitar la variable Usuarios Oncológicos. Digite Cero si no tiene.",IF(AU320&gt;$D320," * La variable Usuarios Oncológicos no puede superar el Total Ambos Sexos.",""))</f>
        <v/>
      </c>
      <c r="CJ320" s="198" t="n"/>
      <c r="CK320" s="196">
        <f>IF(AND($D320&gt;0,AW320="")," * No olvide digitar la variable Migrantes. Digite Cero si no tiene.",IF(AW320&gt;$D320," * La variable Migrantes no puede superar el Total Ambos Sexos.",""))</f>
        <v/>
      </c>
      <c r="CL320" s="196">
        <f>IF(AND($D320&gt;0,AX320=""),"  * No olvide digitar la variable Pueblo Originario. Digite Cero si no tiene.",IF(AX320&gt;$D320," * La variable Pueblo Originario no puede superar el Total Ambos Sexos.",""))</f>
        <v/>
      </c>
      <c r="CO320" s="197">
        <f>IF(AND($F320&gt;0,AM320=""),1,IF(AM320&gt;$F320,1,0))</f>
        <v/>
      </c>
      <c r="CP320" s="197">
        <f>IF(AND(AG320+AH320&gt;0,AN320=""),1,IF(AN320&gt;AG320+AH320,1,0))</f>
        <v/>
      </c>
      <c r="CQ320" s="198" t="n"/>
      <c r="CR320" s="198" t="n"/>
      <c r="CS320" s="197">
        <f>IF(AND($D320&gt;0,AQ320=""),1,IF(AQ320&gt;$D320,1,0))</f>
        <v/>
      </c>
      <c r="CT320" s="197">
        <f>IF(AND($D320&gt;0,AR320=""),1,0)</f>
        <v/>
      </c>
      <c r="CU320" s="198" t="n"/>
      <c r="CV320" s="197">
        <f>IF(AND($D320&gt;0,AT320=""),1,IF(AT320&gt;$D320,1,0))</f>
        <v/>
      </c>
      <c r="CW320" s="197">
        <f>IF(AND($D320&gt;0,AU320=""),1,IF(AU320&gt;$D320,1,0))</f>
        <v/>
      </c>
      <c r="CX320" s="198" t="n"/>
      <c r="CY320" s="197">
        <f>IF(AND($D320&gt;0,AW320=""),1,IF(AW320&gt;$D320,1,0))</f>
        <v/>
      </c>
      <c r="CZ320" s="197">
        <f>IF(AND($D320&gt;0,AX320=""),1,IF(AX320&gt;$D320,1,0))</f>
        <v/>
      </c>
    </row>
    <row r="321" ht="15" customHeight="1" s="8286">
      <c r="A321" s="9625" t="n"/>
      <c r="B321" s="8748" t="inlineStr">
        <is>
          <t xml:space="preserve">Ingreso a tratamiento </t>
        </is>
      </c>
      <c r="C321" s="9644" t="n"/>
      <c r="D321" s="3048">
        <f>SUM(E321+F321)</f>
        <v/>
      </c>
      <c r="E321" s="2990">
        <f>SUM(G321++I321+K321+M321+O321+Q321+S321+U321+W321+Y321+AA321+AC321+AE321+AG321+AI321+AK321)</f>
        <v/>
      </c>
      <c r="F321" s="2803">
        <f>SUM(H321++J321+L321+N321+P321+R321+T321+V321+X321+Z321+AB321+AD321+AF321+AH321+AJ321+AL321)</f>
        <v/>
      </c>
      <c r="G321" s="3006" t="n"/>
      <c r="H321" s="3007" t="n"/>
      <c r="I321" s="3006" t="n"/>
      <c r="J321" s="3007" t="n"/>
      <c r="K321" s="3006" t="n"/>
      <c r="L321" s="3007" t="n"/>
      <c r="M321" s="3006" t="n"/>
      <c r="N321" s="3007" t="n"/>
      <c r="O321" s="3006" t="n"/>
      <c r="P321" s="3007" t="n"/>
      <c r="Q321" s="3006" t="n"/>
      <c r="R321" s="3007" t="n"/>
      <c r="S321" s="3006" t="n"/>
      <c r="T321" s="3007" t="n"/>
      <c r="U321" s="3006" t="n"/>
      <c r="V321" s="3007" t="n"/>
      <c r="W321" s="2993" t="n"/>
      <c r="X321" s="2992" t="n"/>
      <c r="Y321" s="2993" t="n"/>
      <c r="Z321" s="2992" t="n"/>
      <c r="AA321" s="2993" t="n"/>
      <c r="AB321" s="2992" t="n"/>
      <c r="AC321" s="2993" t="n"/>
      <c r="AD321" s="2992" t="n"/>
      <c r="AE321" s="2993" t="n"/>
      <c r="AF321" s="2992" t="n"/>
      <c r="AG321" s="2993" t="n"/>
      <c r="AH321" s="2992" t="n"/>
      <c r="AI321" s="2993" t="n"/>
      <c r="AJ321" s="2992" t="n"/>
      <c r="AK321" s="3006" t="n"/>
      <c r="AL321" s="3049" t="n"/>
      <c r="AM321" s="3050" t="n"/>
      <c r="AN321" s="3051" t="n"/>
      <c r="AO321" s="2980" t="n"/>
      <c r="AP321" s="2981" t="n"/>
      <c r="AQ321" s="5226" t="n"/>
      <c r="AR321" s="3951" t="n"/>
      <c r="AS321" s="5234" t="n"/>
      <c r="AT321" s="3951" t="n"/>
      <c r="AU321" s="1275" t="n"/>
      <c r="AV321" s="2981" t="n"/>
      <c r="AW321" s="3951" t="n"/>
      <c r="AX321" s="1275" t="n"/>
      <c r="AY321">
        <f>CA321&amp;CB321&amp;CC321&amp;CD321&amp;CE321&amp;CF321&amp;CG321&amp;CH321&amp;CI321&amp;CJ321&amp;CK321&amp;CL321</f>
        <v/>
      </c>
      <c r="CA321" s="196">
        <f>IF(AND($F321&gt;0,AM321="")," * No olvide digitar la variable Gestante. Digite cero si no tiene.",IF(AM321&gt;$F321," * La variable Gestante no puede superar el Total Mujeres.",""))</f>
        <v/>
      </c>
      <c r="CB321" s="196">
        <f>IF(AND(AG321+AH321&gt;0,AN321="")," * No olvide digitar la variable 60 años (incluido en grupos de 60-64 años). Digite Cero si no tiene.",IF(AN321&gt;AG321+AH321," * La variable 60 años (incluido en grupos de 60-64 años) no puede superar la suma del Grupo 60-64 años.",""))</f>
        <v/>
      </c>
      <c r="CC321" s="198" t="n"/>
      <c r="CD321" s="198" t="n"/>
      <c r="CE321" s="198" t="n"/>
      <c r="CF321" s="196">
        <f>IF(AND($D321&gt;0,AR321="")," * No olvide digitar la variable Compra de Servicio. Digite Cero si no tiene.","")</f>
        <v/>
      </c>
      <c r="CG321" s="198" t="n"/>
      <c r="CH321" s="196">
        <f>IF(AND($D321&gt;0,AT321="")," * No olvide digitar la variable Usuarios con Discapacidad. Digite Cero si no tiene.",IF(AT321&gt;$D321," * La variable Usuarios con Discapacidad no puede superar el Total Ambos Sexos.",""))</f>
        <v/>
      </c>
      <c r="CI321" s="196">
        <f>IF(AND($D321&gt;0,AU321="")," * No olvide digitar la variable Usuarios Oncológicos. Digite Cero si no tiene.",IF(AU321&gt;$D321," * La variable Usuarios Oncológicos no puede superar el Total Ambos Sexos.",""))</f>
        <v/>
      </c>
      <c r="CJ321" s="198" t="n"/>
      <c r="CK321" s="196">
        <f>IF(AND($D321&gt;0,AW321="")," * No olvide digitar la variable Migrantes. Digite Cero si no tiene.",IF(AW321&gt;$D321," * La variable Migrantes no puede superar el Total Ambos Sexos.",""))</f>
        <v/>
      </c>
      <c r="CL321" s="196">
        <f>IF(AND($D321&gt;0,AX321=""),"  * No olvide digitar la variable Pueblo Originario. Digite Cero si no tiene.",IF(AX321&gt;$D321," * La variable Pueblo Originario no puede superar el Total Ambos Sexos.",""))</f>
        <v/>
      </c>
      <c r="CO321" s="197">
        <f>IF(AND($F321&gt;0,AM321=""),1,IF(AM321&gt;$F321,1,0))</f>
        <v/>
      </c>
      <c r="CP321" s="197">
        <f>IF(AND(AG321+AH321&gt;0,AN321=""),1,IF(AN321&gt;AG321+AH321,1,0))</f>
        <v/>
      </c>
      <c r="CQ321" s="198" t="n"/>
      <c r="CR321" s="198" t="n"/>
      <c r="CS321" s="198" t="n"/>
      <c r="CT321" s="197">
        <f>IF(AND($D321&gt;0,AR321=""),1,0)</f>
        <v/>
      </c>
      <c r="CU321" s="198" t="n"/>
      <c r="CV321" s="197">
        <f>IF(AND($D321&gt;0,AT321=""),1,IF(AT321&gt;$D321,1,0))</f>
        <v/>
      </c>
      <c r="CW321" s="197">
        <f>IF(AND($D321&gt;0,AU321=""),1,IF(AU321&gt;$D321,1,0))</f>
        <v/>
      </c>
      <c r="CX321" s="198" t="n"/>
      <c r="CY321" s="197">
        <f>IF(AND($D321&gt;0,AW321=""),1,IF(AW321&gt;$D321,1,0))</f>
        <v/>
      </c>
      <c r="CZ321" s="197">
        <f>IF(AND($D321&gt;0,AX321=""),1,IF(AX321&gt;$D321,1,0))</f>
        <v/>
      </c>
    </row>
    <row r="322" ht="15" customHeight="1" s="8286">
      <c r="A322" s="9625" t="n"/>
      <c r="B322" s="8748" t="inlineStr">
        <is>
          <t xml:space="preserve">Altas de tratamiento </t>
        </is>
      </c>
      <c r="C322" s="9644" t="n"/>
      <c r="D322" s="3048">
        <f>SUM(E322+F322)</f>
        <v/>
      </c>
      <c r="E322" s="2990">
        <f>SUM(G322++I322+K322+M322+O322+Q322+S322+U322+W322+Y322+AA322+AC322+AE322+AG322+AI322+AK322)</f>
        <v/>
      </c>
      <c r="F322" s="2803">
        <f>SUM(H322++J322+L322+N322+P322+R322+T322+V322+X322+Z322+AB322+AD322+AF322+AH322+AJ322+AL322)</f>
        <v/>
      </c>
      <c r="G322" s="3008" t="n"/>
      <c r="H322" s="3009" t="n"/>
      <c r="I322" s="3008" t="n"/>
      <c r="J322" s="3009" t="n"/>
      <c r="K322" s="3008" t="n"/>
      <c r="L322" s="3009" t="n"/>
      <c r="M322" s="3008" t="n"/>
      <c r="N322" s="3009" t="n"/>
      <c r="O322" s="3008" t="n"/>
      <c r="P322" s="3009" t="n"/>
      <c r="Q322" s="3008" t="n"/>
      <c r="R322" s="3009" t="n"/>
      <c r="S322" s="3008" t="n"/>
      <c r="T322" s="3009" t="n"/>
      <c r="U322" s="3008" t="n"/>
      <c r="V322" s="3009" t="n"/>
      <c r="W322" s="1949" t="n"/>
      <c r="X322" s="2998" t="n"/>
      <c r="Y322" s="1949" t="n"/>
      <c r="Z322" s="2998" t="n"/>
      <c r="AA322" s="1949" t="n"/>
      <c r="AB322" s="2998" t="n"/>
      <c r="AC322" s="1949" t="n"/>
      <c r="AD322" s="2998" t="n"/>
      <c r="AE322" s="1949" t="n"/>
      <c r="AF322" s="2998" t="n"/>
      <c r="AG322" s="1949" t="n"/>
      <c r="AH322" s="2998" t="n"/>
      <c r="AI322" s="1949" t="n"/>
      <c r="AJ322" s="2998" t="n"/>
      <c r="AK322" s="3008" t="n"/>
      <c r="AL322" s="3052" t="n"/>
      <c r="AM322" s="3053" t="n"/>
      <c r="AN322" s="3054" t="n"/>
      <c r="AO322" s="2980" t="n"/>
      <c r="AP322" s="2981" t="n"/>
      <c r="AQ322" s="5226" t="n"/>
      <c r="AR322" s="5242" t="n"/>
      <c r="AS322" s="5234" t="n"/>
      <c r="AT322" s="5242" t="n"/>
      <c r="AU322" s="3055" t="n"/>
      <c r="AV322" s="1275" t="n"/>
      <c r="AW322" s="5242" t="n"/>
      <c r="AX322" s="3055" t="n"/>
      <c r="AY322">
        <f>CA322&amp;CB322&amp;CC322&amp;CD322&amp;CE322&amp;CF322&amp;CG322&amp;CH322&amp;CI322&amp;CJ322&amp;CK322&amp;CL322</f>
        <v/>
      </c>
      <c r="CA322" s="196">
        <f>IF(AND($F322&gt;0,AM322="")," * No olvide digitar la variable Gestante. Digite cero si no tiene.",IF(AM322&gt;$F322," * La variable Gestante no puede superar el Total Mujeres.",""))</f>
        <v/>
      </c>
      <c r="CB322" s="196">
        <f>IF(AND(AG322+AH322&gt;0,AN322="")," * No olvide digitar la variable 60 años (incluido en grupos de 60-64 años). Digite Cero si no tiene.",IF(AN322&gt;AG322+AH322," * La variable 60 años (incluido en grupos de 60-64 años) no puede superar la suma del Grupo 60-64 años.",""))</f>
        <v/>
      </c>
      <c r="CC322" s="198" t="n"/>
      <c r="CD322" s="198" t="n"/>
      <c r="CE322" s="198" t="n"/>
      <c r="CF322" s="196">
        <f>IF(AND($D322&gt;0,AR322="")," * No olvide digitar la variable Compra de Servicio. Digite Cero si no tiene.","")</f>
        <v/>
      </c>
      <c r="CG322" s="198" t="n"/>
      <c r="CH322" s="196">
        <f>IF(AND($D322&gt;0,AT322="")," * No olvide digitar la variable Usuarios con Discapacidad. Digite Cero si no tiene.",IF(AT322&gt;$D322," * La variable Usuarios con Discapacidad no puede superar el Total Ambos Sexos.",""))</f>
        <v/>
      </c>
      <c r="CI322" s="196">
        <f>IF(AND($D322&gt;0,AU322="")," * No olvide digitar la variable Usuarios Oncológicos. Digite Cero si no tiene.",IF(AU322&gt;$D322," * La variable Usuarios Oncológicos no puede superar el Total Ambos Sexos.",""))</f>
        <v/>
      </c>
      <c r="CJ322" s="196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>
        <f>IF(AND($D322&gt;0,AW322="")," * No olvide digitar la variable Migrantes. Digite Cero si no tiene.",IF(AW322&gt;$D322," * La variable Migrantes no puede superar el Total Ambos Sexos.",""))</f>
        <v/>
      </c>
      <c r="CL322" s="196">
        <f>IF(AND($D322&gt;0,AX322=""),"  * No olvide digitar la variable Pueblo Originario. Digite Cero si no tiene.",IF(AX322&gt;$D322," * La variable Pueblo Originario no puede superar el Total Ambos Sexos.",""))</f>
        <v/>
      </c>
      <c r="CO322" s="197">
        <f>IF(AND($F322&gt;0,AM322=""),1,IF(AM322&gt;$F322,1,0))</f>
        <v/>
      </c>
      <c r="CP322" s="197">
        <f>IF(AND(AG322+AH322&gt;0,AN322=""),1,IF(AN322&gt;AG322+AH322,1,0))</f>
        <v/>
      </c>
      <c r="CQ322" s="198" t="n"/>
      <c r="CR322" s="198" t="n"/>
      <c r="CS322" s="198" t="n"/>
      <c r="CT322" s="197">
        <f>IF(AND($D322&gt;0,AR322=""),1,0)</f>
        <v/>
      </c>
      <c r="CU322" s="198" t="n"/>
      <c r="CV322" s="197">
        <f>IF(AND($D322&gt;0,AT322=""),1,IF(AT322&gt;$D322,1,0))</f>
        <v/>
      </c>
      <c r="CW322" s="197">
        <f>IF(AND($D322&gt;0,AU322=""),1,IF(AU322&gt;$D322,1,0))</f>
        <v/>
      </c>
      <c r="CX322" s="197">
        <f>IF(AND($D322&gt;0,AV322=""),1,IF(AV322&gt;$D322,1,0))</f>
        <v/>
      </c>
      <c r="CY322" s="197">
        <f>IF(AND($D322&gt;0,AW322=""),1,IF(AW322&gt;$D322,1,0))</f>
        <v/>
      </c>
      <c r="CZ322" s="197">
        <f>IF(AND($D322&gt;0,AX322=""),1,IF(AX322&gt;$D322,1,0))</f>
        <v/>
      </c>
    </row>
    <row r="323" ht="15" customHeight="1" s="8286">
      <c r="A323" s="9625" t="n"/>
      <c r="B323" s="8748" t="inlineStr">
        <is>
          <t xml:space="preserve">Control de especialidad post alta </t>
        </is>
      </c>
      <c r="C323" s="9644" t="n"/>
      <c r="D323" s="3048">
        <f>SUM(E323+F323)</f>
        <v/>
      </c>
      <c r="E323" s="2990">
        <f>SUM(G323++I323+K323+M323+O323+Q323+S323+U323+W323+Y323+AA323+AC323+AE323+AG323+AI323+AK323)</f>
        <v/>
      </c>
      <c r="F323" s="2803">
        <f>SUM(H323++J323+L323+N323+P323+R323+T323+V323+X323+Z323+AB323+AD323+AF323+AH323+AJ323+AL323)</f>
        <v/>
      </c>
      <c r="G323" s="3008" t="n"/>
      <c r="H323" s="3009" t="n"/>
      <c r="I323" s="3008" t="n"/>
      <c r="J323" s="3009" t="n"/>
      <c r="K323" s="3008" t="n"/>
      <c r="L323" s="3009" t="n"/>
      <c r="M323" s="3008" t="n"/>
      <c r="N323" s="3009" t="n"/>
      <c r="O323" s="3008" t="n"/>
      <c r="P323" s="3009" t="n"/>
      <c r="Q323" s="3008" t="n"/>
      <c r="R323" s="3009" t="n"/>
      <c r="S323" s="3008" t="n"/>
      <c r="T323" s="3009" t="n"/>
      <c r="U323" s="3008" t="n"/>
      <c r="V323" s="3009" t="n"/>
      <c r="W323" s="3056" t="n"/>
      <c r="X323" s="3009" t="n"/>
      <c r="Y323" s="3056" t="n"/>
      <c r="Z323" s="3009" t="n"/>
      <c r="AA323" s="3056" t="n"/>
      <c r="AB323" s="3009" t="n"/>
      <c r="AC323" s="3056" t="n"/>
      <c r="AD323" s="3009" t="n"/>
      <c r="AE323" s="3056" t="n"/>
      <c r="AF323" s="3009" t="n"/>
      <c r="AG323" s="3056" t="n"/>
      <c r="AH323" s="3009" t="n"/>
      <c r="AI323" s="3056" t="n"/>
      <c r="AJ323" s="3009" t="n"/>
      <c r="AK323" s="3008" t="n"/>
      <c r="AL323" s="3052" t="n"/>
      <c r="AM323" s="707" t="n"/>
      <c r="AN323" s="3057" t="n"/>
      <c r="AO323" s="3000" t="n"/>
      <c r="AP323" s="3001" t="n"/>
      <c r="AQ323" s="365" t="n"/>
      <c r="AR323" s="5243" t="n"/>
      <c r="AS323" s="5235" t="n"/>
      <c r="AT323" s="5243" t="n"/>
      <c r="AU323" s="3058" t="n"/>
      <c r="AV323" s="3001" t="n"/>
      <c r="AW323" s="5243" t="n"/>
      <c r="AX323" s="3058" t="n"/>
      <c r="AY323">
        <f>CA323&amp;CB323&amp;CC323&amp;CD323&amp;CE323&amp;CF323&amp;CG323&amp;CH323&amp;CI323&amp;CJ323&amp;CK323&amp;CL323</f>
        <v/>
      </c>
      <c r="CA323" s="196">
        <f>IF(AND($F323&gt;0,AM323="")," * No olvide digitar la variable Gestante. Digite cero si no tiene.",IF(AM323&gt;$F323," * La variable Gestante no puede superar el Total Mujeres.",""))</f>
        <v/>
      </c>
      <c r="CB323" s="196">
        <f>IF(AND(AG323+AH323&gt;0,AN323="")," * No olvide digitar la variable 60 años (incluido en grupos de 60-64 años). Digite Cero si no tiene.",IF(AN323&gt;AG323+AH323," * La variable 60 años (incluido en grupos de 60-64 años) no puede superar la suma del Grupo 60-64 años.",""))</f>
        <v/>
      </c>
      <c r="CC323" s="198" t="n"/>
      <c r="CD323" s="198" t="n"/>
      <c r="CE323" s="198" t="n"/>
      <c r="CF323" s="196">
        <f>IF(AND($D323&gt;0,AR323="")," * No olvide digitar la variable Compra de Servicio. Digite Cero si no tiene.","")</f>
        <v/>
      </c>
      <c r="CG323" s="198" t="n"/>
      <c r="CH323" s="196">
        <f>IF(AND($D323&gt;0,AT323="")," * No olvide digitar la variable Usuarios con Discapacidad. Digite Cero si no tiene.",IF(AT323&gt;$D323," * La variable Usuarios con Discapacidad no puede superar el Total Ambos Sexos.",""))</f>
        <v/>
      </c>
      <c r="CI323" s="196">
        <f>IF(AND($D323&gt;0,AU323="")," * No olvide digitar la variable Usuarios Oncológicos. Digite Cero si no tiene.",IF(AU323&gt;$D323," * La variable Usuarios Oncológicos no puede superar el Total Ambos Sexos.",""))</f>
        <v/>
      </c>
      <c r="CJ323" s="198" t="n"/>
      <c r="CK323" s="196">
        <f>IF(AND($D323&gt;0,AW323="")," * No olvide digitar la variable Migrantes. Digite Cero si no tiene.",IF(AW323&gt;$D323," * La variable Migrantes no puede superar el Total Ambos Sexos.",""))</f>
        <v/>
      </c>
      <c r="CL323" s="196">
        <f>IF(AND($D323&gt;0,AX323=""),"  * No olvide digitar la variable Pueblo Originario. Digite Cero si no tiene.",IF(AX323&gt;$D323," * La variable Pueblo Originario no puede superar el Total Ambos Sexos.",""))</f>
        <v/>
      </c>
      <c r="CO323" s="197">
        <f>IF(AND($F323&gt;0,AM323=""),1,IF(AM323&gt;$F323,1,0))</f>
        <v/>
      </c>
      <c r="CP323" s="197">
        <f>IF(AND(AG323+AH323&gt;0,AN323=""),1,IF(AN323&gt;AG323+AH323,1,0))</f>
        <v/>
      </c>
      <c r="CQ323" s="198" t="n"/>
      <c r="CR323" s="198" t="n"/>
      <c r="CS323" s="198" t="n"/>
      <c r="CT323" s="197">
        <f>IF(AND($D323&gt;0,AR323=""),1,0)</f>
        <v/>
      </c>
      <c r="CU323" s="198" t="n"/>
      <c r="CV323" s="197">
        <f>IF(AND($D323&gt;0,AT323=""),1,IF(AT323&gt;$D323,1,0))</f>
        <v/>
      </c>
      <c r="CW323" s="197">
        <f>IF(AND($D323&gt;0,AU323=""),1,IF(AU323&gt;$D323,1,0))</f>
        <v/>
      </c>
      <c r="CX323" s="198" t="n"/>
      <c r="CY323" s="197">
        <f>IF(AND($D323&gt;0,AW323=""),1,IF(AW323&gt;$D323,1,0))</f>
        <v/>
      </c>
      <c r="CZ323" s="197">
        <f>IF(AND($D323&gt;0,AX323=""),1,IF(AX323&gt;$D323,1,0))</f>
        <v/>
      </c>
    </row>
    <row r="324" ht="15" customHeight="1" s="8286">
      <c r="A324" s="9641" t="n"/>
      <c r="B324" s="10282" t="inlineStr">
        <is>
          <t xml:space="preserve">Altas administrativas </t>
        </is>
      </c>
      <c r="C324" s="9710" t="n"/>
      <c r="D324" s="1252">
        <f>SUM(E324+F324)</f>
        <v/>
      </c>
      <c r="E324" s="2775">
        <f>SUM(G324++I324+K324+M324+O324+Q324+S324+U324+W324+Y324+AA324+AC324+AE324+AG324+AI324+AK324)</f>
        <v/>
      </c>
      <c r="F324" s="2005">
        <f>SUM(H324++J324+L324+N324+P324+R324+T324+V324+X324+Z324+AB324+AD324+AF324+AH324+AJ324+AL324)</f>
        <v/>
      </c>
      <c r="G324" s="3010" t="n"/>
      <c r="H324" s="3011" t="n"/>
      <c r="I324" s="3010" t="n"/>
      <c r="J324" s="3011" t="n"/>
      <c r="K324" s="3010" t="n"/>
      <c r="L324" s="3011" t="n"/>
      <c r="M324" s="3010" t="n"/>
      <c r="N324" s="3011" t="n"/>
      <c r="O324" s="3010" t="n"/>
      <c r="P324" s="3011" t="n"/>
      <c r="Q324" s="3010" t="n"/>
      <c r="R324" s="3011" t="n"/>
      <c r="S324" s="3010" t="n"/>
      <c r="T324" s="3011" t="n"/>
      <c r="U324" s="3010" t="n"/>
      <c r="V324" s="3011" t="n"/>
      <c r="W324" s="3010" t="n"/>
      <c r="X324" s="3011" t="n"/>
      <c r="Y324" s="3010" t="n"/>
      <c r="Z324" s="3011" t="n"/>
      <c r="AA324" s="3010" t="n"/>
      <c r="AB324" s="3011" t="n"/>
      <c r="AC324" s="3010" t="n"/>
      <c r="AD324" s="3011" t="n"/>
      <c r="AE324" s="3010" t="n"/>
      <c r="AF324" s="3011" t="n"/>
      <c r="AG324" s="3010" t="n"/>
      <c r="AH324" s="3011" t="n"/>
      <c r="AI324" s="3010" t="n"/>
      <c r="AJ324" s="3011" t="n"/>
      <c r="AK324" s="3010" t="n"/>
      <c r="AL324" s="3059" t="n"/>
      <c r="AM324" s="1348" t="n"/>
      <c r="AN324" s="2984" t="n"/>
      <c r="AO324" s="3002" t="n"/>
      <c r="AP324" s="2985" t="n"/>
      <c r="AQ324" s="3003" t="n"/>
      <c r="AR324" s="1967" t="n"/>
      <c r="AS324" s="5233" t="n"/>
      <c r="AT324" s="1967" t="n"/>
      <c r="AU324" s="1277" t="n"/>
      <c r="AV324" s="2985" t="n"/>
      <c r="AW324" s="1967" t="n"/>
      <c r="AX324" s="1277" t="n"/>
      <c r="AY324">
        <f>CA324&amp;CB324&amp;CC324&amp;CD324&amp;CE324&amp;CF324&amp;CG324&amp;CH324&amp;CI324&amp;CJ324&amp;CK324&amp;CL324</f>
        <v/>
      </c>
      <c r="CA324" s="196">
        <f>IF(AND($F324&gt;0,AM324="")," * No olvide digitar la variable Gestante. Digite cero si no tiene.",IF(AM324&gt;$F324," * La variable Gestante no puede superar el Total Mujeres.",""))</f>
        <v/>
      </c>
      <c r="CB324" s="196">
        <f>IF(AND(AG324+AH324&gt;0,AN324="")," * No olvide digitar la variable 60 años (incluido en grupos de 60-64 años). Digite Cero si no tiene.",IF(AN324&gt;AG324+AH324," * La variable 60 años (incluido en grupos de 60-64 años) no puede superar la suma del Grupo 60-64 años.",""))</f>
        <v/>
      </c>
      <c r="CC324" s="198" t="n"/>
      <c r="CD324" s="198" t="n"/>
      <c r="CE324" s="198" t="n"/>
      <c r="CF324" s="196">
        <f>IF(AND($D324&gt;0,AR324="")," * No olvide digitar la variable Compra de Servicio. Digite Cero si no tiene.","")</f>
        <v/>
      </c>
      <c r="CG324" s="198" t="n"/>
      <c r="CH324" s="196">
        <f>IF(AND($D324&gt;0,AT324="")," * No olvide digitar la variable Usuarios con Discapacidad. Digite Cero si no tiene.",IF(AT324&gt;$D324," * La variable Usuarios con Discapacidad no puede superar el Total Ambos Sexos.",""))</f>
        <v/>
      </c>
      <c r="CI324" s="196">
        <f>IF(AND($D324&gt;0,AU324="")," * No olvide digitar la variable Usuarios Oncológicos. Digite Cero si no tiene.",IF(AU324&gt;$D324," * La variable Usuarios Oncológicos no puede superar el Total Ambos Sexos.",""))</f>
        <v/>
      </c>
      <c r="CJ324" s="198" t="n"/>
      <c r="CK324" s="196">
        <f>IF(AND($D324&gt;0,AW324="")," * No olvide digitar la variable Migrantes. Digite Cero si no tiene.",IF(AW324&gt;$D324," * La variable Migrantes no puede superar el Total Ambos Sexos.",""))</f>
        <v/>
      </c>
      <c r="CL324" s="196">
        <f>IF(AND($D324&gt;0,AX324=""),"  * No olvide digitar la variable Pueblo Originario. Digite Cero si no tiene.",IF(AX324&gt;$D324," * La variable Pueblo Originario no puede superar el Total Ambos Sexos.",""))</f>
        <v/>
      </c>
      <c r="CO324" s="197">
        <f>IF(AND($F324&gt;0,AM324=""),1,IF(AM324&gt;$F324,1,0))</f>
        <v/>
      </c>
      <c r="CP324" s="197">
        <f>IF(AND(AG324+AH324&gt;0,AN324=""),1,IF(AN324&gt;AG324+AH324,1,0))</f>
        <v/>
      </c>
      <c r="CQ324" s="198" t="n"/>
      <c r="CR324" s="198" t="n"/>
      <c r="CS324" s="198" t="n"/>
      <c r="CT324" s="197">
        <f>IF(AND($D324&gt;0,AR324=""),1,0)</f>
        <v/>
      </c>
      <c r="CU324" s="198" t="n"/>
      <c r="CV324" s="197">
        <f>IF(AND($D324&gt;0,AT324=""),1,IF(AT324&gt;$D324,1,0))</f>
        <v/>
      </c>
      <c r="CW324" s="197">
        <f>IF(AND($D324&gt;0,AU324=""),1,IF(AU324&gt;$D324,1,0))</f>
        <v/>
      </c>
      <c r="CX324" s="198" t="n"/>
      <c r="CY324" s="197">
        <f>IF(AND($D324&gt;0,AW324=""),1,IF(AW324&gt;$D324,1,0))</f>
        <v/>
      </c>
      <c r="CZ324" s="197">
        <f>IF(AND($D324&gt;0,AX324=""),1,IF(AX324&gt;$D324,1,0))</f>
        <v/>
      </c>
    </row>
    <row r="325" ht="15" customHeight="1" s="8286">
      <c r="A325" s="8496" t="inlineStr">
        <is>
          <t xml:space="preserve">Somatóprótesis </t>
        </is>
      </c>
      <c r="B325" s="10283" t="inlineStr">
        <is>
          <t xml:space="preserve">Consulta nueva  </t>
        </is>
      </c>
      <c r="C325" s="9643" t="n"/>
      <c r="D325" s="2282">
        <f>SUM(E325+F325)</f>
        <v/>
      </c>
      <c r="E325" s="845">
        <f>SUM(G325++I325+K325+M325+O325+Q325+S325+U325+W325+Y325+AA325+AC325+AE325+AG325+AI325+AK325)</f>
        <v/>
      </c>
      <c r="F325" s="2715">
        <f>SUM(H325++J325+L325+N325+P325+R325+T325+V325+X325+Z325+AB325+AD325+AF325+AH325+AJ325+AL325)</f>
        <v/>
      </c>
      <c r="G325" s="3004" t="n"/>
      <c r="H325" s="3005" t="n"/>
      <c r="I325" s="3004" t="n"/>
      <c r="J325" s="3005" t="n"/>
      <c r="K325" s="3004" t="n"/>
      <c r="L325" s="3005" t="n"/>
      <c r="M325" s="3004" t="n"/>
      <c r="N325" s="3005" t="n"/>
      <c r="O325" s="3004" t="n"/>
      <c r="P325" s="3005" t="n"/>
      <c r="Q325" s="3004" t="n"/>
      <c r="R325" s="3005" t="n"/>
      <c r="S325" s="3004" t="n"/>
      <c r="T325" s="3005" t="n"/>
      <c r="U325" s="3004" t="n"/>
      <c r="V325" s="3005" t="n"/>
      <c r="W325" s="2987" t="n"/>
      <c r="X325" s="764" t="n"/>
      <c r="Y325" s="2987" t="n"/>
      <c r="Z325" s="764" t="n"/>
      <c r="AA325" s="2987" t="n"/>
      <c r="AB325" s="764" t="n"/>
      <c r="AC325" s="2987" t="n"/>
      <c r="AD325" s="764" t="n"/>
      <c r="AE325" s="2987" t="n"/>
      <c r="AF325" s="764" t="n"/>
      <c r="AG325" s="2987" t="n"/>
      <c r="AH325" s="764" t="n"/>
      <c r="AI325" s="2987" t="n"/>
      <c r="AJ325" s="764" t="n"/>
      <c r="AK325" s="3004" t="n"/>
      <c r="AL325" s="3044" t="n"/>
      <c r="AM325" s="3045" t="n"/>
      <c r="AN325" s="3005" t="n"/>
      <c r="AO325" s="1945" t="n"/>
      <c r="AP325" s="2428" t="n"/>
      <c r="AQ325" s="5228" t="n"/>
      <c r="AR325" s="5244" t="n"/>
      <c r="AS325" s="5234" t="n"/>
      <c r="AT325" s="5238" t="n"/>
      <c r="AU325" s="2401" t="n"/>
      <c r="AV325" s="2981" t="n"/>
      <c r="AW325" s="5238" t="n"/>
      <c r="AX325" s="2401" t="n"/>
      <c r="AY325">
        <f>CA325&amp;CB325&amp;CC325&amp;CD325&amp;CE325&amp;CF325&amp;CG325&amp;CH325&amp;CI325&amp;CJ325&amp;CK325&amp;CL325</f>
        <v/>
      </c>
      <c r="CA325" s="196">
        <f>IF(AND($F325&gt;0,AM325="")," * No olvide digitar la variable Gestante. Digite cero si no tiene.",IF(AM325&gt;$F325," * La variable Gestante no puede superar el Total Mujeres.",""))</f>
        <v/>
      </c>
      <c r="CB325" s="196">
        <f>IF(AND(AG325+AH325&gt;0,AN325="")," * No olvide digitar la variable 60 años (incluido en grupos de 60-64 años). Digite Cero si no tiene.",IF(AN325&gt;AG325+AH325," * La variable 60 años (incluido en grupos de 60-64 años) no puede superar la suma del Grupo 60-64 años.",""))</f>
        <v/>
      </c>
      <c r="CC325" s="196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>
        <f>IF(AND($D325&gt;0,AQ325="")," * No olvide digitar la variable Inasistente. Digite cero si no tiene.",IF(AQ325&gt;$D325," * La variable Insasistente no puede superar el Total Ambos Sexos.",""))</f>
        <v/>
      </c>
      <c r="CF325" s="196">
        <f>IF(AND($D325&gt;0,AR325="")," * No olvide digitar la variable Compra de Servicio. Digite Cero si no tiene.","")</f>
        <v/>
      </c>
      <c r="CG325" s="198" t="n"/>
      <c r="CH325" s="196">
        <f>IF(AND($D325&gt;0,AT325="")," * No olvide digitar la variable Usuarios con Discapacidad. Digite Cero si no tiene.",IF(AT325&gt;$D325," * La variable Usuarios con Discapacidad no puede superar el Total Ambos Sexos.",""))</f>
        <v/>
      </c>
      <c r="CI325" s="196">
        <f>IF(AND($D325&gt;0,AU325="")," * No olvide digitar la variable Usuarios Oncológicos. Digite Cero si no tiene.",IF(AU325&gt;$D325," * La variable Usuarios Oncológicos no puede superar el Total Ambos Sexos.",""))</f>
        <v/>
      </c>
      <c r="CJ325" s="198" t="n"/>
      <c r="CK325" s="196">
        <f>IF(AND($D325&gt;0,AW325="")," * No olvide digitar la variable Migrantes. Digite Cero si no tiene.",IF(AW325&gt;$D325," * La variable Migrantes no puede superar el Total Ambos Sexos.",""))</f>
        <v/>
      </c>
      <c r="CL325" s="196">
        <f>IF(AND($D325&gt;0,AX325=""),"  * No olvide digitar la variable Pueblo Originario. Digite Cero si no tiene.",IF(AX325&gt;$D325," * La variable Pueblo Originario no puede superar el Total Ambos Sexos.",""))</f>
        <v/>
      </c>
      <c r="CO325" s="197">
        <f>IF(AND($F325&gt;0,AM325=""),1,IF(AM325&gt;$F325,1,0))</f>
        <v/>
      </c>
      <c r="CP325" s="197">
        <f>IF(AND(AG325+AH325&gt;0,AN325=""),1,IF(AN325&gt;AG325+AH325,1,0))</f>
        <v/>
      </c>
      <c r="CQ325" s="197">
        <f>IF(AND($D325&gt;0,AO325=""),1,IF(AO325&gt;$D325,1,0))</f>
        <v/>
      </c>
      <c r="CR325" s="197">
        <f>IF(AND($D325&gt;0,AP325=""),1,IF(AP325&gt;$D325,1,0))</f>
        <v/>
      </c>
      <c r="CS325" s="197">
        <f>IF(AND($D325&gt;0,AQ325=""),1,IF(AQ325&gt;$D325,1,0))</f>
        <v/>
      </c>
      <c r="CT325" s="197">
        <f>IF(AND($D325&gt;0,AR325=""),1,0)</f>
        <v/>
      </c>
      <c r="CU325" s="198" t="n"/>
      <c r="CV325" s="197">
        <f>IF(AND($D325&gt;0,AT325=""),1,IF(AT325&gt;$D325,1,0))</f>
        <v/>
      </c>
      <c r="CW325" s="197">
        <f>IF(AND($D325&gt;0,AU325=""),1,IF(AU325&gt;$D325,1,0))</f>
        <v/>
      </c>
      <c r="CX325" s="198" t="n"/>
      <c r="CY325" s="197">
        <f>IF(AND($D325&gt;0,AW325=""),1,IF(AW325&gt;$D325,1,0))</f>
        <v/>
      </c>
      <c r="CZ325" s="197">
        <f>IF(AND($D325&gt;0,AX325=""),1,IF(AX325&gt;$D325,1,0))</f>
        <v/>
      </c>
    </row>
    <row r="326" ht="15" customHeight="1" s="8286">
      <c r="A326" s="9588" t="n"/>
      <c r="B326" s="8748" t="inlineStr">
        <is>
          <t xml:space="preserve">Control  </t>
        </is>
      </c>
      <c r="C326" s="9644" t="n"/>
      <c r="D326" s="3048">
        <f>SUM(E326+F326)</f>
        <v/>
      </c>
      <c r="E326" s="2990">
        <f>SUM(G326++I326+K326+M326+O326+Q326+S326+U326+W326+Y326+AA326+AC326+AE326+AG326+AI326+AK326)</f>
        <v/>
      </c>
      <c r="F326" s="2803">
        <f>SUM(H326++J326+L326+N326+P326+R326+T326+V326+X326+Z326+AB326+AD326+AF326+AH326+AJ326+AL326)</f>
        <v/>
      </c>
      <c r="G326" s="3006" t="n"/>
      <c r="H326" s="3007" t="n"/>
      <c r="I326" s="3006" t="n"/>
      <c r="J326" s="3007" t="n"/>
      <c r="K326" s="3006" t="n"/>
      <c r="L326" s="3007" t="n"/>
      <c r="M326" s="3006" t="n"/>
      <c r="N326" s="3007" t="n"/>
      <c r="O326" s="3006" t="n"/>
      <c r="P326" s="3007" t="n"/>
      <c r="Q326" s="3006" t="n"/>
      <c r="R326" s="3007" t="n"/>
      <c r="S326" s="3006" t="n"/>
      <c r="T326" s="3007" t="n"/>
      <c r="U326" s="3006" t="n"/>
      <c r="V326" s="3007" t="n"/>
      <c r="W326" s="2991" t="n"/>
      <c r="X326" s="2992" t="n"/>
      <c r="Y326" s="2991" t="n"/>
      <c r="Z326" s="2992" t="n"/>
      <c r="AA326" s="2991" t="n"/>
      <c r="AB326" s="2992" t="n"/>
      <c r="AC326" s="2991" t="n"/>
      <c r="AD326" s="2992" t="n"/>
      <c r="AE326" s="2991" t="n"/>
      <c r="AF326" s="2992" t="n"/>
      <c r="AG326" s="2991" t="n"/>
      <c r="AH326" s="2992" t="n"/>
      <c r="AI326" s="2991" t="n"/>
      <c r="AJ326" s="2992" t="n"/>
      <c r="AK326" s="3006" t="n"/>
      <c r="AL326" s="3049" t="n"/>
      <c r="AM326" s="3050" t="n"/>
      <c r="AN326" s="3007" t="n"/>
      <c r="AO326" s="2993" t="n"/>
      <c r="AP326" s="2992" t="n"/>
      <c r="AQ326" s="5229" t="n"/>
      <c r="AR326" s="3951" t="n"/>
      <c r="AS326" s="5234" t="n"/>
      <c r="AT326" s="3951" t="n"/>
      <c r="AU326" s="1275" t="n"/>
      <c r="AV326" s="2981" t="n"/>
      <c r="AW326" s="3951" t="n"/>
      <c r="AX326" s="1275" t="n"/>
      <c r="AY326">
        <f>CA326&amp;CB326&amp;CC326&amp;CD326&amp;CE326&amp;CF326&amp;CG326&amp;CH326&amp;CI326&amp;CJ326&amp;CK326&amp;CL326</f>
        <v/>
      </c>
      <c r="CA326" s="196">
        <f>IF(AND($F326&gt;0,AM326="")," * No olvide digitar la variable Gestante. Digite cero si no tiene.",IF(AM326&gt;$F326," * La variable Gestante no puede superar el Total Mujeres.",""))</f>
        <v/>
      </c>
      <c r="CB326" s="196">
        <f>IF(AND(AG326+AH326&gt;0,AN326="")," * No olvide digitar la variable 60 años (incluido en grupos de 60-64 años). Digite Cero si no tiene.",IF(AN326&gt;AG326+AH326," * La variable 60 años (incluido en grupos de 60-64 años) no puede superar la suma del Grupo 60-64 años.",""))</f>
        <v/>
      </c>
      <c r="CC326" s="196">
        <f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>
        <f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>
        <f>IF(AND($D326&gt;0,AQ326="")," * No olvide digitar la variable Inasistente. Digite cero si no tiene.",IF(AQ326&gt;$D326," * La variable Insasistente no puede superar el Total Ambos Sexos.",""))</f>
        <v/>
      </c>
      <c r="CF326" s="196">
        <f>IF(AND($D326&gt;0,AR326="")," * No olvide digitar la variable Compra de Servicio. Digite Cero si no tiene.","")</f>
        <v/>
      </c>
      <c r="CG326" s="198" t="n"/>
      <c r="CH326" s="196">
        <f>IF(AND($D326&gt;0,AT326="")," * No olvide digitar la variable Usuarios con Discapacidad. Digite Cero si no tiene.",IF(AT326&gt;$D326," * La variable Usuarios con Discapacidad no puede superar el Total Ambos Sexos.",""))</f>
        <v/>
      </c>
      <c r="CI326" s="196">
        <f>IF(AND($D326&gt;0,AU326="")," * No olvide digitar la variable Usuarios Oncológicos. Digite Cero si no tiene.",IF(AU326&gt;$D326," * La variable Usuarios Oncológicos no puede superar el Total Ambos Sexos.",""))</f>
        <v/>
      </c>
      <c r="CJ326" s="198" t="n"/>
      <c r="CK326" s="196">
        <f>IF(AND($D326&gt;0,AW326="")," * No olvide digitar la variable Migrantes. Digite Cero si no tiene.",IF(AW326&gt;$D326," * La variable Migrantes no puede superar el Total Ambos Sexos.",""))</f>
        <v/>
      </c>
      <c r="CL326" s="196">
        <f>IF(AND($D326&gt;0,AX326=""),"  * No olvide digitar la variable Pueblo Originario. Digite Cero si no tiene.",IF(AX326&gt;$D326," * La variable Pueblo Originario no puede superar el Total Ambos Sexos.",""))</f>
        <v/>
      </c>
      <c r="CO326" s="197">
        <f>IF(AND($F326&gt;0,AM326=""),1,IF(AM326&gt;$F326,1,0))</f>
        <v/>
      </c>
      <c r="CP326" s="197">
        <f>IF(AND(AG326+AH326&gt;0,AN326=""),1,IF(AN326&gt;AG326+AH326,1,0))</f>
        <v/>
      </c>
      <c r="CQ326" s="197">
        <f>IF(AND($D326&gt;0,AO326=""),1,IF(AO326&gt;$D326,1,0))</f>
        <v/>
      </c>
      <c r="CR326" s="197">
        <f>IF(AND($D326&gt;0,AP326=""),1,IF(AP326&gt;$D326,1,0))</f>
        <v/>
      </c>
      <c r="CS326" s="197">
        <f>IF(AND($D326&gt;0,AQ326=""),1,IF(AQ326&gt;$D326,1,0))</f>
        <v/>
      </c>
      <c r="CT326" s="197">
        <f>IF(AND($D326&gt;0,AR326=""),1,0)</f>
        <v/>
      </c>
      <c r="CU326" s="198" t="n"/>
      <c r="CV326" s="197">
        <f>IF(AND($D326&gt;0,AT326=""),1,IF(AT326&gt;$D326,1,0))</f>
        <v/>
      </c>
      <c r="CW326" s="197">
        <f>IF(AND($D326&gt;0,AU326=""),1,IF(AU326&gt;$D326,1,0))</f>
        <v/>
      </c>
      <c r="CX326" s="198" t="n"/>
      <c r="CY326" s="197">
        <f>IF(AND($D326&gt;0,AW326=""),1,IF(AW326&gt;$D326,1,0))</f>
        <v/>
      </c>
      <c r="CZ326" s="197">
        <f>IF(AND($D326&gt;0,AX326=""),1,IF(AX326&gt;$D326,1,0))</f>
        <v/>
      </c>
    </row>
    <row r="327" ht="15" customHeight="1" s="8286">
      <c r="A327" s="9588" t="n"/>
      <c r="B327" s="8748" t="inlineStr">
        <is>
          <t xml:space="preserve">Ingreso a tratamiento </t>
        </is>
      </c>
      <c r="C327" s="9644" t="n"/>
      <c r="D327" s="3048">
        <f>SUM(E327+F327)</f>
        <v/>
      </c>
      <c r="E327" s="2990">
        <f>SUM(G327++I327+K327+M327+O327+Q327+S327+U327+W327+Y327+AA327+AC327+AE327+AG327+AI327+AK327)</f>
        <v/>
      </c>
      <c r="F327" s="2803">
        <f>SUM(H327++J327+L327+N327+P327+R327+T327+V327+X327+Z327+AB327+AD327+AF327+AH327+AJ327+AL327)</f>
        <v/>
      </c>
      <c r="G327" s="3006" t="n"/>
      <c r="H327" s="3007" t="n"/>
      <c r="I327" s="3006" t="n"/>
      <c r="J327" s="3007" t="n"/>
      <c r="K327" s="3006" t="n"/>
      <c r="L327" s="3007" t="n"/>
      <c r="M327" s="3006" t="n"/>
      <c r="N327" s="3007" t="n"/>
      <c r="O327" s="3006" t="n"/>
      <c r="P327" s="3007" t="n"/>
      <c r="Q327" s="3006" t="n"/>
      <c r="R327" s="3007" t="n"/>
      <c r="S327" s="3006" t="n"/>
      <c r="T327" s="3007" t="n"/>
      <c r="U327" s="3006" t="n"/>
      <c r="V327" s="3007" t="n"/>
      <c r="W327" s="2993" t="n"/>
      <c r="X327" s="2992" t="n"/>
      <c r="Y327" s="2993" t="n"/>
      <c r="Z327" s="2992" t="n"/>
      <c r="AA327" s="2993" t="n"/>
      <c r="AB327" s="2992" t="n"/>
      <c r="AC327" s="2993" t="n"/>
      <c r="AD327" s="2992" t="n"/>
      <c r="AE327" s="2993" t="n"/>
      <c r="AF327" s="2992" t="n"/>
      <c r="AG327" s="2993" t="n"/>
      <c r="AH327" s="2992" t="n"/>
      <c r="AI327" s="2993" t="n"/>
      <c r="AJ327" s="2992" t="n"/>
      <c r="AK327" s="3006" t="n"/>
      <c r="AL327" s="3049" t="n"/>
      <c r="AM327" s="3050" t="n"/>
      <c r="AN327" s="3007" t="n"/>
      <c r="AO327" s="2993" t="n"/>
      <c r="AP327" s="2992" t="n"/>
      <c r="AQ327" s="5229" t="n"/>
      <c r="AR327" s="3951" t="n"/>
      <c r="AS327" s="5234" t="n"/>
      <c r="AT327" s="3951" t="n"/>
      <c r="AU327" s="1275" t="n"/>
      <c r="AV327" s="2981" t="n"/>
      <c r="AW327" s="3951" t="n"/>
      <c r="AX327" s="1275" t="n"/>
      <c r="AY327">
        <f>CA327&amp;CB327&amp;CC327&amp;CD327&amp;CE327&amp;CF327&amp;CG327&amp;CH327&amp;CI327&amp;CJ327&amp;CK327&amp;CL327</f>
        <v/>
      </c>
      <c r="CA327" s="196">
        <f>IF(AND($F327&gt;0,AM327="")," * No olvide digitar la variable Gestante. Digite cero si no tiene.",IF(AM327&gt;$F327," * La variable Gestante no puede superar el Total Mujeres.",""))</f>
        <v/>
      </c>
      <c r="CB327" s="196">
        <f>IF(AND(AG327+AH327&gt;0,AN327="")," * No olvide digitar la variable 60 años (incluido en grupos de 60-64 años). Digite Cero si no tiene.",IF(AN327&gt;AG327+AH327," * La variable 60 años (incluido en grupos de 60-64 años) no puede superar la suma del Grupo 60-64 años.",""))</f>
        <v/>
      </c>
      <c r="CC327" s="196">
        <f>IF(AND($D327&gt;0,AO327="")," * No olvide digitar la variable Consultas Pertinentes: Según Procolo de Referencia. Digite cero si no tiene.",IF(AO327&gt;$D327," * La variable Consultas Pertinentes: Según Procolo de Referencia no puede superar el Total Ambos Sexos.",""))</f>
        <v/>
      </c>
      <c r="CD327" s="196">
        <f>IF(AND($D327&gt;0,AP327="")," * No olvide digitar la variable Consultas Pertinentes: Según condición clínica. Digite cero si no tiene.",IF(AP327&gt;$D327," * La variable Consultas Pertinentes: Según condición clínica no puede superar el Total Ambos Sexos.",""))</f>
        <v/>
      </c>
      <c r="CE327" s="196">
        <f>IF(AND($D327&gt;0,AQ327="")," * No olvide digitar la variable Inasistente. Digite cero si no tiene.",IF(AQ327&gt;$D327," * La variable Insasistente no puede superar el Total Ambos Sexos.",""))</f>
        <v/>
      </c>
      <c r="CF327" s="196">
        <f>IF(AND($D327&gt;0,AR327="")," * No olvide digitar la variable Compra de Servicio. Digite Cero si no tiene.","")</f>
        <v/>
      </c>
      <c r="CG327" s="198" t="n"/>
      <c r="CH327" s="196">
        <f>IF(AND($D327&gt;0,AT327="")," * No olvide digitar la variable Usuarios con Discapacidad. Digite Cero si no tiene.",IF(AT327&gt;$D327," * La variable Usuarios con Discapacidad no puede superar el Total Ambos Sexos.",""))</f>
        <v/>
      </c>
      <c r="CI327" s="196">
        <f>IF(AND($D327&gt;0,AU327="")," * No olvide digitar la variable Usuarios Oncológicos. Digite Cero si no tiene.",IF(AU327&gt;$D327," * La variable Usuarios Oncológicos no puede superar el Total Ambos Sexos.",""))</f>
        <v/>
      </c>
      <c r="CJ327" s="198" t="n"/>
      <c r="CK327" s="196">
        <f>IF(AND($D327&gt;0,AW327="")," * No olvide digitar la variable Migrantes. Digite Cero si no tiene.",IF(AW327&gt;$D327," * La variable Migrantes no puede superar el Total Ambos Sexos.",""))</f>
        <v/>
      </c>
      <c r="CL327" s="196">
        <f>IF(AND($D327&gt;0,AX327=""),"  * No olvide digitar la variable Pueblo Originario. Digite Cero si no tiene.",IF(AX327&gt;$D327," * La variable Pueblo Originario no puede superar el Total Ambos Sexos.",""))</f>
        <v/>
      </c>
      <c r="CO327" s="197">
        <f>IF(AND($F327&gt;0,AM327=""),1,IF(AM327&gt;$F327,1,0))</f>
        <v/>
      </c>
      <c r="CP327" s="197">
        <f>IF(AND(AG327+AH327&gt;0,AN327=""),1,IF(AN327&gt;AG327+AH327,1,0))</f>
        <v/>
      </c>
      <c r="CQ327" s="197">
        <f>IF(AND($D327&gt;0,AO327=""),1,IF(AO327&gt;$D327,1,0))</f>
        <v/>
      </c>
      <c r="CR327" s="197">
        <f>IF(AND($D327&gt;0,AP327=""),1,IF(AP327&gt;$D327,1,0))</f>
        <v/>
      </c>
      <c r="CS327" s="197">
        <f>IF(AND($D327&gt;0,AQ327=""),1,IF(AQ327&gt;$D327,1,0))</f>
        <v/>
      </c>
      <c r="CT327" s="197">
        <f>IF(AND($D327&gt;0,AR327=""),1,0)</f>
        <v/>
      </c>
      <c r="CU327" s="198" t="n"/>
      <c r="CV327" s="197">
        <f>IF(AND($D327&gt;0,AT327=""),1,IF(AT327&gt;$D327,1,0))</f>
        <v/>
      </c>
      <c r="CW327" s="197">
        <f>IF(AND($D327&gt;0,AU327=""),1,IF(AU327&gt;$D327,1,0))</f>
        <v/>
      </c>
      <c r="CX327" s="198" t="n"/>
      <c r="CY327" s="197">
        <f>IF(AND($D327&gt;0,AW327=""),1,IF(AW327&gt;$D327,1,0))</f>
        <v/>
      </c>
      <c r="CZ327" s="197">
        <f>IF(AND($D327&gt;0,AX327=""),1,IF(AX327&gt;$D327,1,0))</f>
        <v/>
      </c>
    </row>
    <row r="328" ht="15" customHeight="1" s="8286">
      <c r="A328" s="9588" t="n"/>
      <c r="B328" s="8748" t="inlineStr">
        <is>
          <t xml:space="preserve">Altas de tratamiento </t>
        </is>
      </c>
      <c r="C328" s="9644" t="n"/>
      <c r="D328" s="3048">
        <f>SUM(E328+F328)</f>
        <v/>
      </c>
      <c r="E328" s="2990">
        <f>SUM(G328++I328+K328+M328+O328+Q328+S328+U328+W328+Y328+AA328+AC328+AE328+AG328+AI328+AK328)</f>
        <v/>
      </c>
      <c r="F328" s="2803">
        <f>SUM(H328++J328+L328+N328+P328+R328+T328+V328+X328+Z328+AB328+AD328+AF328+AH328+AJ328+AL328)</f>
        <v/>
      </c>
      <c r="G328" s="3008" t="n"/>
      <c r="H328" s="3009" t="n"/>
      <c r="I328" s="3008" t="n"/>
      <c r="J328" s="3009" t="n"/>
      <c r="K328" s="3008" t="n"/>
      <c r="L328" s="3009" t="n"/>
      <c r="M328" s="3008" t="n"/>
      <c r="N328" s="3009" t="n"/>
      <c r="O328" s="3008" t="n"/>
      <c r="P328" s="3009" t="n"/>
      <c r="Q328" s="3008" t="n"/>
      <c r="R328" s="3009" t="n"/>
      <c r="S328" s="3008" t="n"/>
      <c r="T328" s="3009" t="n"/>
      <c r="U328" s="3008" t="n"/>
      <c r="V328" s="3009" t="n"/>
      <c r="W328" s="1949" t="n"/>
      <c r="X328" s="2998" t="n"/>
      <c r="Y328" s="1949" t="n"/>
      <c r="Z328" s="2998" t="n"/>
      <c r="AA328" s="1949" t="n"/>
      <c r="AB328" s="2998" t="n"/>
      <c r="AC328" s="1949" t="n"/>
      <c r="AD328" s="2998" t="n"/>
      <c r="AE328" s="1949" t="n"/>
      <c r="AF328" s="2998" t="n"/>
      <c r="AG328" s="1949" t="n"/>
      <c r="AH328" s="2998" t="n"/>
      <c r="AI328" s="1949" t="n"/>
      <c r="AJ328" s="2998" t="n"/>
      <c r="AK328" s="3008" t="n"/>
      <c r="AL328" s="3052" t="n"/>
      <c r="AM328" s="3053" t="n"/>
      <c r="AN328" s="3060" t="n"/>
      <c r="AO328" s="1949" t="n"/>
      <c r="AP328" s="2998" t="n"/>
      <c r="AQ328" s="5230" t="n"/>
      <c r="AR328" s="5242" t="n"/>
      <c r="AS328" s="5234" t="n"/>
      <c r="AT328" s="5242" t="n"/>
      <c r="AU328" s="3055" t="n"/>
      <c r="AV328" s="1275" t="n"/>
      <c r="AW328" s="5242" t="n"/>
      <c r="AX328" s="3055" t="n"/>
      <c r="AY328">
        <f>CA328&amp;CB328&amp;CC328&amp;CD328&amp;CE328&amp;CF328&amp;CG328&amp;CH328&amp;CI328&amp;CJ328&amp;CK328&amp;CL328</f>
        <v/>
      </c>
      <c r="CA328" s="196">
        <f>IF(AND($F328&gt;0,AM328="")," * No olvide digitar la variable Gestante. Digite cero si no tiene.",IF(AM328&gt;$F328," * La variable Gestante no puede superar el Total Mujeres.",""))</f>
        <v/>
      </c>
      <c r="CB328" s="196">
        <f>IF(AND(AG328+AH328&gt;0,AN328="")," * No olvide digitar la variable 60 años (incluido en grupos de 60-64 años). Digite Cero si no tiene.",IF(AN328&gt;AG328+AH328," * La variable 60 años (incluido en grupos de 60-64 años) no puede superar la suma del Grupo 60-64 años.",""))</f>
        <v/>
      </c>
      <c r="CC328" s="196">
        <f>IF(AND($D328&gt;0,AO328="")," * No olvide digitar la variable Consultas Pertinentes: Según Procolo de Referencia. Digite cero si no tiene.",IF(AO328&gt;$D328," * La variable Consultas Pertinentes: Según Procolo de Referencia no puede superar el Total Ambos Sexos.",""))</f>
        <v/>
      </c>
      <c r="CD328" s="196">
        <f>IF(AND($D328&gt;0,AP328="")," * No olvide digitar la variable Consultas Pertinentes: Según condición clínica. Digite cero si no tiene.",IF(AP328&gt;$D328," * La variable Consultas Pertinentes: Según condición clínica no puede superar el Total Ambos Sexos.",""))</f>
        <v/>
      </c>
      <c r="CE328" s="196">
        <f>IF(AND($D328&gt;0,AQ328="")," * No olvide digitar la variable Inasistente. Digite cero si no tiene.",IF(AQ328&gt;$D328," * La variable Insasistente no puede superar el Total Ambos Sexos.",""))</f>
        <v/>
      </c>
      <c r="CF328" s="196">
        <f>IF(AND($D328&gt;0,AR328="")," * No olvide digitar la variable Compra de Servicio. Digite Cero si no tiene.","")</f>
        <v/>
      </c>
      <c r="CG328" s="198" t="n"/>
      <c r="CH328" s="196">
        <f>IF(AND($D328&gt;0,AT328="")," * No olvide digitar la variable Usuarios con Discapacidad. Digite Cero si no tiene.",IF(AT328&gt;$D328," * La variable Usuarios con Discapacidad no puede superar el Total Ambos Sexos.",""))</f>
        <v/>
      </c>
      <c r="CI328" s="196">
        <f>IF(AND($D328&gt;0,AU328="")," * No olvide digitar la variable Usuarios Oncológicos. Digite Cero si no tiene.",IF(AU328&gt;$D328," * La variable Usuarios Oncológicos no puede superar el Total Ambos Sexos.",""))</f>
        <v/>
      </c>
      <c r="CJ328" s="196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>
        <f>IF(AND($D328&gt;0,AW328="")," * No olvide digitar la variable Migrantes. Digite Cero si no tiene.",IF(AW328&gt;$D328," * La variable Migrantes no puede superar el Total Ambos Sexos.",""))</f>
        <v/>
      </c>
      <c r="CL328" s="196">
        <f>IF(AND($D328&gt;0,AX328=""),"  * No olvide digitar la variable Pueblo Originario. Digite Cero si no tiene.",IF(AX328&gt;$D328," * La variable Pueblo Originario no puede superar el Total Ambos Sexos.",""))</f>
        <v/>
      </c>
      <c r="CO328" s="197">
        <f>IF(AND($F328&gt;0,AM328=""),1,IF(AM328&gt;$F328,1,0))</f>
        <v/>
      </c>
      <c r="CP328" s="197">
        <f>IF(AND(AG328+AH328&gt;0,AN328=""),1,IF(AN328&gt;AG328+AH328,1,0))</f>
        <v/>
      </c>
      <c r="CQ328" s="197">
        <f>IF(AND($D328&gt;0,AO328=""),1,IF(AO328&gt;$D328,1,0))</f>
        <v/>
      </c>
      <c r="CR328" s="197">
        <f>IF(AND($D328&gt;0,AP328=""),1,IF(AP328&gt;$D328,1,0))</f>
        <v/>
      </c>
      <c r="CS328" s="197">
        <f>IF(AND($D328&gt;0,AQ328=""),1,IF(AQ328&gt;$D328,1,0))</f>
        <v/>
      </c>
      <c r="CT328" s="197">
        <f>IF(AND($D328&gt;0,AR328=""),1,0)</f>
        <v/>
      </c>
      <c r="CU328" s="198" t="n"/>
      <c r="CV328" s="197">
        <f>IF(AND($D328&gt;0,AT328=""),1,IF(AT328&gt;$D328,1,0))</f>
        <v/>
      </c>
      <c r="CW328" s="197">
        <f>IF(AND($D328&gt;0,AU328=""),1,IF(AU328&gt;$D328,1,0))</f>
        <v/>
      </c>
      <c r="CX328" s="197">
        <f>IF(AND($D328&gt;0,AV328=""),1,IF(AV328&gt;$D328,1,0))</f>
        <v/>
      </c>
      <c r="CY328" s="197">
        <f>IF(AND($D328&gt;0,AW328=""),1,IF(AW328&gt;$D328,1,0))</f>
        <v/>
      </c>
      <c r="CZ328" s="197">
        <f>IF(AND($D328&gt;0,AX328=""),1,IF(AX328&gt;$D328,1,0))</f>
        <v/>
      </c>
    </row>
    <row r="329" ht="15" customHeight="1" s="8286">
      <c r="A329" s="9588" t="n"/>
      <c r="B329" s="8748" t="inlineStr">
        <is>
          <t xml:space="preserve">Control de especialidad post alta </t>
        </is>
      </c>
      <c r="C329" s="9644" t="n"/>
      <c r="D329" s="3048">
        <f>SUM(E329+F329)</f>
        <v/>
      </c>
      <c r="E329" s="2990">
        <f>SUM(G329++I329+K329+M329+O329+Q329+S329+U329+W329+Y329+AA329+AC329+AE329+AG329+AI329+AK329)</f>
        <v/>
      </c>
      <c r="F329" s="2803">
        <f>SUM(H329++J329+L329+N329+P329+R329+T329+V329+X329+Z329+AB329+AD329+AF329+AH329+AJ329+AL329)</f>
        <v/>
      </c>
      <c r="G329" s="3008" t="n"/>
      <c r="H329" s="3009" t="n"/>
      <c r="I329" s="3056" t="n"/>
      <c r="J329" s="3009" t="n"/>
      <c r="K329" s="3056" t="n"/>
      <c r="L329" s="3009" t="n"/>
      <c r="M329" s="3056" t="n"/>
      <c r="N329" s="3009" t="n"/>
      <c r="O329" s="3056" t="n"/>
      <c r="P329" s="3009" t="n"/>
      <c r="Q329" s="3056" t="n"/>
      <c r="R329" s="3009" t="n"/>
      <c r="S329" s="3056" t="n"/>
      <c r="T329" s="3009" t="n"/>
      <c r="U329" s="3056" t="n"/>
      <c r="V329" s="3009" t="n"/>
      <c r="W329" s="3056" t="n"/>
      <c r="X329" s="3009" t="n"/>
      <c r="Y329" s="3056" t="n"/>
      <c r="Z329" s="3009" t="n"/>
      <c r="AA329" s="3056" t="n"/>
      <c r="AB329" s="3009" t="n"/>
      <c r="AC329" s="3056" t="n"/>
      <c r="AD329" s="3009" t="n"/>
      <c r="AE329" s="3056" t="n"/>
      <c r="AF329" s="3009" t="n"/>
      <c r="AG329" s="3056" t="n"/>
      <c r="AH329" s="3009" t="n"/>
      <c r="AI329" s="3056" t="n"/>
      <c r="AJ329" s="3009" t="n"/>
      <c r="AK329" s="3008" t="n"/>
      <c r="AL329" s="3052" t="n"/>
      <c r="AM329" s="707" t="n"/>
      <c r="AN329" s="3061" t="n"/>
      <c r="AO329" s="1949" t="n"/>
      <c r="AP329" s="2998" t="n"/>
      <c r="AQ329" s="5230" t="n"/>
      <c r="AR329" s="5243" t="n"/>
      <c r="AS329" s="5235" t="n"/>
      <c r="AT329" s="5243" t="n"/>
      <c r="AU329" s="3058" t="n"/>
      <c r="AV329" s="3001" t="n"/>
      <c r="AW329" s="5243" t="n"/>
      <c r="AX329" s="3058" t="n"/>
      <c r="AY329">
        <f>CA329&amp;CB329&amp;CC329&amp;CD329&amp;CE329&amp;CF329&amp;CG329&amp;CH329&amp;CI329&amp;CJ329&amp;CK329&amp;CL329</f>
        <v/>
      </c>
      <c r="CA329" s="196">
        <f>IF(AND($F329&gt;0,AM329="")," * No olvide digitar la variable Gestante. Digite cero si no tiene.",IF(AM329&gt;$F329," * La variable Gestante no puede superar el Total Mujeres.",""))</f>
        <v/>
      </c>
      <c r="CB329" s="196">
        <f>IF(AND(AG329+AH329&gt;0,AN329="")," * No olvide digitar la variable 60 años (incluido en grupos de 60-64 años). Digite Cero si no tiene.",IF(AN329&gt;AG329+AH329," * La variable 60 años (incluido en grupos de 60-64 años) no puede superar la suma del Grupo 60-64 años.",""))</f>
        <v/>
      </c>
      <c r="CC329" s="196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196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196">
        <f>IF(AND($D329&gt;0,AQ329="")," * No olvide digitar la variable Inasistente. Digite cero si no tiene.",IF(AQ329&gt;$D329," * La variable Insasistente no puede superar el Total Ambos Sexos.",""))</f>
        <v/>
      </c>
      <c r="CF329" s="196">
        <f>IF(AND($D329&gt;0,AR329="")," * No olvide digitar la variable Compra de Servicio. Digite Cero si no tiene.","")</f>
        <v/>
      </c>
      <c r="CG329" s="198" t="n"/>
      <c r="CH329" s="196">
        <f>IF(AND($D329&gt;0,AT329="")," * No olvide digitar la variable Usuarios con Discapacidad. Digite Cero si no tiene.",IF(AT329&gt;$D329," * La variable Usuarios con Discapacidad no puede superar el Total Ambos Sexos.",""))</f>
        <v/>
      </c>
      <c r="CI329" s="196">
        <f>IF(AND($D329&gt;0,AU329="")," * No olvide digitar la variable Usuarios Oncológicos. Digite Cero si no tiene.",IF(AU329&gt;$D329," * La variable Usuarios Oncológicos no puede superar el Total Ambos Sexos.",""))</f>
        <v/>
      </c>
      <c r="CJ329" s="198" t="n"/>
      <c r="CK329" s="196">
        <f>IF(AND($D329&gt;0,AW329="")," * No olvide digitar la variable Migrantes. Digite Cero si no tiene.",IF(AW329&gt;$D329," * La variable Migrantes no puede superar el Total Ambos Sexos.",""))</f>
        <v/>
      </c>
      <c r="CL329" s="196">
        <f>IF(AND($D329&gt;0,AX329=""),"  * No olvide digitar la variable Pueblo Originario. Digite Cero si no tiene.",IF(AX329&gt;$D329," * La variable Pueblo Originario no puede superar el Total Ambos Sexos.",""))</f>
        <v/>
      </c>
      <c r="CO329" s="197">
        <f>IF(AND($F329&gt;0,AM329=""),1,IF(AM329&gt;$F329,1,0))</f>
        <v/>
      </c>
      <c r="CP329" s="197">
        <f>IF(AND(AG329+AH329&gt;0,AN329=""),1,IF(AN329&gt;AG329+AH329,1,0))</f>
        <v/>
      </c>
      <c r="CQ329" s="197">
        <f>IF(AND($D329&gt;0,AO329=""),1,IF(AO329&gt;$D329,1,0))</f>
        <v/>
      </c>
      <c r="CR329" s="197">
        <f>IF(AND($D329&gt;0,AP329=""),1,IF(AP329&gt;$D329,1,0))</f>
        <v/>
      </c>
      <c r="CS329" s="197">
        <f>IF(AND($D329&gt;0,AQ329=""),1,IF(AQ329&gt;$D329,1,0))</f>
        <v/>
      </c>
      <c r="CT329" s="197">
        <f>IF(AND($D329&gt;0,AR329=""),1,0)</f>
        <v/>
      </c>
      <c r="CU329" s="198" t="n"/>
      <c r="CV329" s="197">
        <f>IF(AND($D329&gt;0,AT329=""),1,IF(AT329&gt;$D329,1,0))</f>
        <v/>
      </c>
      <c r="CW329" s="197">
        <f>IF(AND($D329&gt;0,AU329=""),1,IF(AU329&gt;$D329,1,0))</f>
        <v/>
      </c>
      <c r="CX329" s="198" t="n"/>
      <c r="CY329" s="197">
        <f>IF(AND($D329&gt;0,AW329=""),1,IF(AW329&gt;$D329,1,0))</f>
        <v/>
      </c>
      <c r="CZ329" s="197">
        <f>IF(AND($D329&gt;0,AX329=""),1,IF(AX329&gt;$D329,1,0))</f>
        <v/>
      </c>
    </row>
    <row r="330" ht="15" customHeight="1" s="8286">
      <c r="A330" s="10284" t="n"/>
      <c r="B330" s="10282" t="inlineStr">
        <is>
          <t xml:space="preserve">Altas administrativas </t>
        </is>
      </c>
      <c r="C330" s="9710" t="n"/>
      <c r="D330" s="1252">
        <f>SUM(E330+F330)</f>
        <v/>
      </c>
      <c r="E330" s="2775">
        <f>SUM(G330++I330+K330+M330+O330+Q330+S330+U330+W330+Y330+AA330+AC330+AE330+AG330+AI330+AK330)</f>
        <v/>
      </c>
      <c r="F330" s="2005">
        <f>SUM(H330++J330+L330+N330+P330+R330+T330+V330+X330+Z330+AB330+AD330+AF330+AH330+AJ330+AL330)</f>
        <v/>
      </c>
      <c r="G330" s="3010" t="n"/>
      <c r="H330" s="3011" t="n"/>
      <c r="I330" s="3062" t="n"/>
      <c r="J330" s="3011" t="n"/>
      <c r="K330" s="3062" t="n"/>
      <c r="L330" s="3011" t="n"/>
      <c r="M330" s="3062" t="n"/>
      <c r="N330" s="3011" t="n"/>
      <c r="O330" s="3062" t="n"/>
      <c r="P330" s="3011" t="n"/>
      <c r="Q330" s="3062" t="n"/>
      <c r="R330" s="3011" t="n"/>
      <c r="S330" s="3010" t="n"/>
      <c r="T330" s="3011" t="n"/>
      <c r="U330" s="3010" t="n"/>
      <c r="V330" s="3011" t="n"/>
      <c r="W330" s="3010" t="n"/>
      <c r="X330" s="3011" t="n"/>
      <c r="Y330" s="3010" t="n"/>
      <c r="Z330" s="3011" t="n"/>
      <c r="AA330" s="3010" t="n"/>
      <c r="AB330" s="3011" t="n"/>
      <c r="AC330" s="3010" t="n"/>
      <c r="AD330" s="3011" t="n"/>
      <c r="AE330" s="3010" t="n"/>
      <c r="AF330" s="3011" t="n"/>
      <c r="AG330" s="3010" t="n"/>
      <c r="AH330" s="3011" t="n"/>
      <c r="AI330" s="3010" t="n"/>
      <c r="AJ330" s="3011" t="n"/>
      <c r="AK330" s="3010" t="n"/>
      <c r="AL330" s="3059" t="n"/>
      <c r="AM330" s="1348" t="n"/>
      <c r="AN330" s="2983" t="n"/>
      <c r="AO330" s="1348" t="n"/>
      <c r="AP330" s="2983" t="n"/>
      <c r="AQ330" s="5231" t="n"/>
      <c r="AR330" s="1967" t="n"/>
      <c r="AS330" s="5233" t="n"/>
      <c r="AT330" s="1967" t="n"/>
      <c r="AU330" s="1277" t="n"/>
      <c r="AV330" s="2985" t="n"/>
      <c r="AW330" s="1967" t="n"/>
      <c r="AX330" s="1277" t="n"/>
      <c r="AY330">
        <f>CA330&amp;CB330&amp;CC330&amp;CD330&amp;CE330&amp;CF330&amp;CG330&amp;CH330&amp;CI330&amp;CJ330&amp;CK330&amp;CL330</f>
        <v/>
      </c>
      <c r="CA330" s="196">
        <f>IF(AND($F330&gt;0,AM330="")," * No olvide digitar la variable Gestante. Digite cero si no tiene.",IF(AM330&gt;$F330," * La variable Gestante no puede superar el Total Mujeres.",""))</f>
        <v/>
      </c>
      <c r="CB330" s="196">
        <f>IF(AND(AG330+AH330&gt;0,AN330="")," * No olvide digitar la variable 60 años (incluido en grupos de 60-64 años). Digite Cero si no tiene.",IF(AN330&gt;AG330+AH330," * La variable 60 años (incluido en grupos de 60-64 años) no puede superar la suma del Grupo 60-64 años.",""))</f>
        <v/>
      </c>
      <c r="CC330" s="196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>
        <f>IF(AND($D330&gt;0,AQ330="")," * No olvide digitar la variable Inasistente. Digite cero si no tiene.",IF(AQ330&gt;$D330," * La variable Insasistente no puede superar el Total Ambos Sexos.",""))</f>
        <v/>
      </c>
      <c r="CF330" s="196">
        <f>IF(AND($D330&gt;0,AR330="")," * No olvide digitar la variable Compra de Servicio. Digite Cero si no tiene.","")</f>
        <v/>
      </c>
      <c r="CG330" s="198" t="n"/>
      <c r="CH330" s="196">
        <f>IF(AND($D330&gt;0,AT330="")," * No olvide digitar la variable Usuarios con Dicapacidad. Digite Cero si no tiene.",IF(AT330&gt;$D330," * La variable Usuarios con Dicapacidad no puede superar el Total Ambos Sexos.",""))</f>
        <v/>
      </c>
      <c r="CI330" s="196">
        <f>IF(AND($D330&gt;0,AU330="")," * No olvide digitar la variable Usuarios Oncológicos. Digite Cero si no tiene.",IF(AU330&gt;$D330," * La variable Usuarios Oncológicos no puede superar el Total Ambos Sexos.",""))</f>
        <v/>
      </c>
      <c r="CJ330" s="198" t="n"/>
      <c r="CK330" s="196">
        <f>IF(AND($D330&gt;0,AW330="")," * No olvide digitar la variable Migrantes. Digite Cero si no tiene.",IF(AW330&gt;$D330," * La variable Migrantes no puede superar el Total Ambos Sexos.",""))</f>
        <v/>
      </c>
      <c r="CL330" s="196">
        <f>IF(AND($D330&gt;0,AX330=""),"  * No olvide digitar la variable Pueblo Originario. Digite Cero si no tiene.",IF(AX330&gt;$D330," * La variable Pueblo Originario no puede superar el Total Ambos Sexos.",""))</f>
        <v/>
      </c>
      <c r="CO330" s="197">
        <f>IF(AND($F330&gt;0,AM330=""),1,IF(AM330&gt;$F330,1,0))</f>
        <v/>
      </c>
      <c r="CP330" s="197">
        <f>IF(AND(AG330+AH330&gt;0,AN330=""),1,IF(AN330&gt;AG330+AH330,1,0))</f>
        <v/>
      </c>
      <c r="CQ330" s="197">
        <f>IF(AND($D330&gt;0,AO330=""),1,IF(AO330&gt;$D330,1,0))</f>
        <v/>
      </c>
      <c r="CR330" s="197">
        <f>IF(AND($D330&gt;0,AP330=""),1,IF(AP330&gt;$D330,1,0))</f>
        <v/>
      </c>
      <c r="CS330" s="197">
        <f>IF(AND($D330&gt;0,AQ330=""),1,IF(AQ330&gt;$D330,1,0))</f>
        <v/>
      </c>
      <c r="CT330" s="197">
        <f>IF(AND($D330&gt;0,AR330=""),1,0)</f>
        <v/>
      </c>
      <c r="CU330" s="198" t="n"/>
      <c r="CV330" s="197">
        <f>IF(AND($D330&gt;0,AT330=""),1,IF(AT330&gt;$D330,1,0))</f>
        <v/>
      </c>
      <c r="CW330" s="197">
        <f>IF(AND($D330&gt;0,AU330=""),1,IF(AU330&gt;$D330,1,0))</f>
        <v/>
      </c>
      <c r="CX330" s="198" t="n"/>
      <c r="CY330" s="197">
        <f>IF(AND($D330&gt;0,AW330=""),1,IF(AW330&gt;$D330,1,0))</f>
        <v/>
      </c>
      <c r="CZ330" s="197">
        <f>IF(AND($D330&gt;0,AX330=""),1,IF(AX330&gt;$D330,1,0))</f>
        <v/>
      </c>
    </row>
    <row r="331">
      <c r="A331" s="10285" t="inlineStr">
        <is>
          <t>TOTAL</t>
        </is>
      </c>
      <c r="B331" s="10222" t="inlineStr">
        <is>
          <t xml:space="preserve">Consulta nueva  </t>
        </is>
      </c>
      <c r="C331" s="9935" t="n"/>
      <c r="D331" s="2957">
        <f>SUM(E331+F331)</f>
        <v/>
      </c>
      <c r="E331" s="3063">
        <f>SUM(G331++I331+K331+M331+O331+Q331+S331+U331+W331+Y331+AA331+AC331+AE331+AG331+AI331+AK331)</f>
        <v/>
      </c>
      <c r="F331" s="3064">
        <f>SUM(H331++J331+L331+N331+P331+R331+T331+V331+X331+Z331+AB331+AD331+AF331+AH331+AJ331+AL331)</f>
        <v/>
      </c>
      <c r="G331" s="2957">
        <f>G253+G265+G271+G277+G283+G313+G319+G325</f>
        <v/>
      </c>
      <c r="H331" s="2929">
        <f>H253+H259+H265+H271+H277+H283+H307+H313+H319+H325</f>
        <v/>
      </c>
      <c r="I331" s="2957">
        <f>I253+I259+I265+I271+I277+I283+I307+I313+I319+I325</f>
        <v/>
      </c>
      <c r="J331" s="2929">
        <f>J253+J259+J265+J271+J277+J283+J307+J313+J319+J325</f>
        <v/>
      </c>
      <c r="K331" s="2957">
        <f>K253+K259+K265+K271+K277+K283+K307+K313+K319+K325</f>
        <v/>
      </c>
      <c r="L331" s="2929">
        <f>L253+L259+L265+L271+L277+L283+L307+L313+L319+L325</f>
        <v/>
      </c>
      <c r="M331" s="2957">
        <f>M253+M259+M265+M271+M277+M283+M307+M313+M319+M325</f>
        <v/>
      </c>
      <c r="N331" s="2929">
        <f>N253+N259+N265+N271+N277+N283+N307+N313+N319+N325</f>
        <v/>
      </c>
      <c r="O331" s="2957">
        <f>O253+O259+O265+O271+O277+O283+O295+O313+O319+O325</f>
        <v/>
      </c>
      <c r="P331" s="2954">
        <f>P253+P259+P265+P271+P277+P283+P295+P313+P319+P325</f>
        <v/>
      </c>
      <c r="Q331" s="2957">
        <f>Q253+Q259+Q265+Q271+Q277+Q283+Q295+Q313+Q319+Q325</f>
        <v/>
      </c>
      <c r="R331" s="2954">
        <f>R253+R259+R265+R271+R277+R283+R295+R313+R319+R325</f>
        <v/>
      </c>
      <c r="S331" s="2957">
        <f>S253+S259+S265+S271+S277+S283+S295+S313+S319+S325</f>
        <v/>
      </c>
      <c r="T331" s="2954">
        <f>T253+T259+T265+T271+T277+T283+T295+T313+T319+T325</f>
        <v/>
      </c>
      <c r="U331" s="2957">
        <f>U253+U259+U265+U271+U277+U283+U295+U313+U319+U325</f>
        <v/>
      </c>
      <c r="V331" s="2944">
        <f>V253+V259+V265+V271+V277+V283+V295+V313+V319+V325</f>
        <v/>
      </c>
      <c r="W331" s="2957">
        <f>W253+W259+W265+W271+W277+W283+W289+W295+W301+W307+W313+W319+W325</f>
        <v/>
      </c>
      <c r="X331" s="2954">
        <f>X253+X259+X265+X271+X277+X283+X289+X295+X301+X307+X313+X319+X325</f>
        <v/>
      </c>
      <c r="Y331" s="2957">
        <f>Y253+Y259+Y265+Y271+Y277+Y283+Y289+Y295+Y301+Y307+Y313+Y319+Y325</f>
        <v/>
      </c>
      <c r="Z331" s="2954">
        <f>Z253+Z259+Z265+Z271+Z277+Z283+Z289+Z295+Z301+Z307+Z313+Z319+Z325</f>
        <v/>
      </c>
      <c r="AA331" s="2957">
        <f>AA253+AA259+AA265+AA271+AA277+AA283+AA289+AA295+AA301+AA307+AA313+AA319+AA325</f>
        <v/>
      </c>
      <c r="AB331" s="2954">
        <f>AB253+AB259+AB265+AB271+AB277+AB283+AB289+AB295+AB301+AB307+AB313+AB319+AB325</f>
        <v/>
      </c>
      <c r="AC331" s="2957">
        <f>AC253+AC259+AC265+AC271+AC277+AC283+AC289+AC295+AC301+AC307+AC313+AC319+AC325</f>
        <v/>
      </c>
      <c r="AD331" s="2954">
        <f>AD253+AD259+AD265+AD271+AD277+AD283+AD289+AD295+AD301+AD307+AD313+AD319+AD325</f>
        <v/>
      </c>
      <c r="AE331" s="2957">
        <f>AE253+AE259+AE265+AE271+AE277+AE283+AE289+AE295+AE301+AE307+AE313+AE319+AE325</f>
        <v/>
      </c>
      <c r="AF331" s="2954">
        <f>AF253+AF259+AF265+AF271+AF277+AF283+AF289+AF295+AF301+AF307+AF313+AF319+AF325</f>
        <v/>
      </c>
      <c r="AG331" s="2957">
        <f>AG253+AG259+AG265+AG271+AG277+AG283+AG289+AG295+AG301+AG307+AG313+AG319+AG325</f>
        <v/>
      </c>
      <c r="AH331" s="2954">
        <f>AH253+AH259+AH265+AH271+AH277+AH283+AH289+AH295+AH301+AH307+AH313+AH319+AH325</f>
        <v/>
      </c>
      <c r="AI331" s="2957">
        <f>AI253+AI259+AI265+AI271+AI277+AI283+AI289+AI295+AI301+AI307+AI313+AI319+AI325</f>
        <v/>
      </c>
      <c r="AJ331" s="2954">
        <f>AJ253+AJ259+AJ265+AJ271+AJ277+AJ283+AJ289+AJ295+AJ301+AJ307+AJ313+AJ319+AJ325</f>
        <v/>
      </c>
      <c r="AK331" s="2957">
        <f>AK253+AK259+AK265+AK271+AK277+AK283+AK289+AK295+AK301+AK307+AK313+AK319+AK325</f>
        <v/>
      </c>
      <c r="AL331" s="3065">
        <f>AL253+AL259+AL265+AL271+AL277+AL283+AL289+AL295+AL301+AL307+AL313+AL319+AL325</f>
        <v/>
      </c>
      <c r="AM331" s="2954">
        <f>AM253+AM259+AM265+AM271+AM277+AM283+AM289+AM295+AM301+AM307+AM313+AM319+AM325</f>
        <v/>
      </c>
      <c r="AN331" s="2954">
        <f>AN253+AN259+AN265+AN271+AN277+AN283+AN289+AN295+AN301+AN307+AN313+AN319+AN325</f>
        <v/>
      </c>
      <c r="AO331" s="3022">
        <f>SUM(AO253+AO259+AO265+AO271+AO277+AO283+AO289+AO295+AO301+AO307+AO313+AO319)</f>
        <v/>
      </c>
      <c r="AP331" s="2948">
        <f>SUM(AP253+AP259+AP265+AP271+AP277+AP283+AP289+AP295+AP301+AP307+AP313+AP319)</f>
        <v/>
      </c>
      <c r="AQ331" s="2929">
        <f>AQ253+AQ259+AQ265+AQ271+AQ277+AQ283+AQ289+AQ295+AQ301+AQ307+AQ313+AQ319+AQ325</f>
        <v/>
      </c>
      <c r="AR331" s="2929">
        <f>AR253+AR259+AR265+AR271+AR277+AR283+AR289+AR295+AR301+AR307+AR313+AR319+AR325</f>
        <v/>
      </c>
      <c r="AS331" s="3064">
        <f>SUM(AS265,AS277)</f>
        <v/>
      </c>
      <c r="AT331" s="2957">
        <f>AT253+AT259+AT265+AT271+AT277+AT283+AT289+AT295+AT301+AT307+AT313+AT319+AT325</f>
        <v/>
      </c>
      <c r="AU331" s="2944">
        <f>AU253+AU259+AU265+AU271+AU277+AU283+AU289+AU295+AU301+AU307+AU313+AU319+AU325</f>
        <v/>
      </c>
      <c r="AV331" s="2904" t="n"/>
      <c r="AW331" s="2957">
        <f>AW253+AW259+AW265+AW271+AW277+AW283+AW289+AW295+AW301+AW307+AW313+AW319+AW325</f>
        <v/>
      </c>
      <c r="AX331" s="2944">
        <f>AX253+AX259+AX265+AX271+AX277+AX283+AX289+AX295+AX301+AX307+AX313+AX319+AX325</f>
        <v/>
      </c>
    </row>
    <row r="332">
      <c r="A332" s="9614" t="n"/>
      <c r="B332" s="8748" t="inlineStr">
        <is>
          <t xml:space="preserve">Control  </t>
        </is>
      </c>
      <c r="C332" s="9644" t="n"/>
      <c r="D332" s="3022">
        <f>SUM(E332+F332)</f>
        <v/>
      </c>
      <c r="E332" s="805">
        <f>SUM(G332++I332+K332+M332+O332+Q332+S332+U332+W332+Y332+AA332+AC332+AE332+AG332+AI332+AK332)</f>
        <v/>
      </c>
      <c r="F332" s="768">
        <f>SUM(H332++J332+L332+N332+P332+R332+T332+V332+X332+Z332+AB332+AD332+AF332+AH332+AJ332+AL332)</f>
        <v/>
      </c>
      <c r="G332" s="2989">
        <f>G254+G266+G272+G278+G284+G314+G320+G326</f>
        <v/>
      </c>
      <c r="H332" s="3066">
        <f>H254+H260+H266+H272+H278+H284+H308+H314+H320+H326</f>
        <v/>
      </c>
      <c r="I332" s="2989">
        <f>I254+I260+I266+I272+I278+I284+I308+I314+I320+I326</f>
        <v/>
      </c>
      <c r="J332" s="3066">
        <f>J254+J260+J266+J272+J278+J284+J308+J314+J320+J326</f>
        <v/>
      </c>
      <c r="K332" s="2989">
        <f>K254+K260+K266+K272+K278+K284+K308+K314+K320+K326</f>
        <v/>
      </c>
      <c r="L332" s="3066">
        <f>L254+L260+L266+L272+L278+L284+L308+L314+L320+L326</f>
        <v/>
      </c>
      <c r="M332" s="2989">
        <f>M254+M260+M266+M272+M278+M284+M308+M314+M320+M326</f>
        <v/>
      </c>
      <c r="N332" s="3066">
        <f>N254+N260+N266+N272+N278+N284+N308+N314+N320+N326</f>
        <v/>
      </c>
      <c r="O332" s="3022">
        <f>O254+O260+O266+O272+O278+O284+O296+O314+O320+O326</f>
        <v/>
      </c>
      <c r="P332" s="2929">
        <f>P254+P260+P266+P272+P278+P284+P296+P314+P320+P326</f>
        <v/>
      </c>
      <c r="Q332" s="3022">
        <f>Q254+Q260+Q266+Q272+Q278+Q284+Q296+Q314+Q320+Q326</f>
        <v/>
      </c>
      <c r="R332" s="2929">
        <f>R254+R260+R266+R272+R278+R284+R296+R314+R320+R326</f>
        <v/>
      </c>
      <c r="S332" s="3022">
        <f>S254+S260+S266+S272+S278+S284+S296+S314+S320+S326</f>
        <v/>
      </c>
      <c r="T332" s="2929">
        <f>T254+T260+T266+T272+T278+T284+T296+T314+T320+T326</f>
        <v/>
      </c>
      <c r="U332" s="3022">
        <f>U254+U260+U266+U272+U278+U284+U296+U314+U320+U326</f>
        <v/>
      </c>
      <c r="V332" s="2948">
        <f>V254+V260+V266+V272+V278+V284+V296+V314+V320+V326</f>
        <v/>
      </c>
      <c r="W332" s="2989">
        <f>W254+W260+W266+W272+W278+W284+W290+W296+W302+W308+W314+W320+W326</f>
        <v/>
      </c>
      <c r="X332" s="3066">
        <f>X254+X260+X266+X272+X278+X284+X290+X296+X302+X308+X314+X320+X326</f>
        <v/>
      </c>
      <c r="Y332" s="2989">
        <f>Y254+Y260+Y266+Y272+Y278+Y284+Y290+Y296+Y302+Y308+Y314+Y320+Y326</f>
        <v/>
      </c>
      <c r="Z332" s="3066">
        <f>Z254+Z260+Z266+Z272+Z278+Z284+Z290+Z296+Z302+Z308+Z314+Z320+Z326</f>
        <v/>
      </c>
      <c r="AA332" s="2989">
        <f>AA254+AA260+AA266+AA272+AA278+AA284+AA290+AA296+AA302+AA308+AA314+AA320+AA326</f>
        <v/>
      </c>
      <c r="AB332" s="3066">
        <f>AB254+AB260+AB266+AB272+AB278+AB284+AB290+AB296+AB302+AB308+AB314+AB320+AB326</f>
        <v/>
      </c>
      <c r="AC332" s="2989">
        <f>AC254+AC260+AC266+AC272+AC278+AC284+AC290+AC296+AC302+AC308+AC314+AC320+AC326</f>
        <v/>
      </c>
      <c r="AD332" s="3066">
        <f>AD254+AD260+AD266+AD272+AD278+AD284+AD290+AD296+AD302+AD308+AD314+AD320+AD326</f>
        <v/>
      </c>
      <c r="AE332" s="2989">
        <f>AE254+AE260+AE266+AE272+AE278+AE284+AE290+AE296+AE302+AE308+AE314+AE320+AE326</f>
        <v/>
      </c>
      <c r="AF332" s="3066">
        <f>AF254+AF260+AF266+AF272+AF278+AF284+AF290+AF296+AF302+AF308+AF314+AF320+AF326</f>
        <v/>
      </c>
      <c r="AG332" s="2989">
        <f>AG254+AG260+AG266+AG272+AG278+AG284+AG290+AG296+AG302+AG308+AG314+AG320+AG326</f>
        <v/>
      </c>
      <c r="AH332" s="3066">
        <f>AH254+AH260+AH266+AH272+AH278+AH284+AH290+AH296+AH302+AH308+AH314+AH320+AH326</f>
        <v/>
      </c>
      <c r="AI332" s="2989">
        <f>AI254+AI260+AI266+AI272+AI278+AI284+AI290+AI296+AI302+AI308+AI314+AI320+AI326</f>
        <v/>
      </c>
      <c r="AJ332" s="3066">
        <f>AJ254+AJ260+AJ266+AJ272+AJ278+AJ284+AJ290+AJ296+AJ302+AJ308+AJ314+AJ320+AJ326</f>
        <v/>
      </c>
      <c r="AK332" s="2989">
        <f>AK254+AK260+AK266+AK272+AK278+AK284+AK290+AK296+AK302+AK308+AK314+AK320+AK326</f>
        <v/>
      </c>
      <c r="AL332" s="3067">
        <f>AL254+AL260+AL266+AL272+AL278+AL284+AL290+AL296+AL302+AL308+AL314+AL320+AL326</f>
        <v/>
      </c>
      <c r="AM332" s="3066">
        <f>AM254+AM260+AM266+AM272+AM278+AM284+AM290+AM296+AM302+AM308+AM314+AM320+AM326</f>
        <v/>
      </c>
      <c r="AN332" s="3066">
        <f>AN254+AN260+AN266+AN272+AN278+AN284+AN290+AN296+AN302+AN308+AN314+AN320+AN326</f>
        <v/>
      </c>
      <c r="AO332" s="3068" t="n"/>
      <c r="AP332" s="3069" t="n"/>
      <c r="AQ332" s="1197">
        <f>AQ254+AQ260+AQ266+AQ272+AQ278+AQ284+AQ290+AQ296+AQ302+AQ308+AQ314+AQ320+AQ326</f>
        <v/>
      </c>
      <c r="AR332" s="1197">
        <f>AR254+AR260+AR266+AR272+AR278+AR284+AR290+AR296+AR302+AR308+AR314+AR320+AR326</f>
        <v/>
      </c>
      <c r="AS332" s="3070">
        <f>SUM(AS278+ AS266)</f>
        <v/>
      </c>
      <c r="AT332" s="2989">
        <f>AT254+AT260+AT266+AT272+AT278+AT284+AT290+AT296+AT302+AT308+AT314+AT320+AT326</f>
        <v/>
      </c>
      <c r="AU332" s="3071">
        <f>AU254+AU260+AU266+AU272+AU278+AU284+AU290+AU296+AU302+AU308+AU314+AU320+AU326</f>
        <v/>
      </c>
      <c r="AV332" s="2655" t="n"/>
      <c r="AW332" s="2989">
        <f>AW254+AW260+AW266+AW272+AW278+AW284+AW290+AW296+AW302+AW308+AW314+AW320+AW326</f>
        <v/>
      </c>
      <c r="AX332" s="3071">
        <f>AX254+AX260+AX266+AX272+AX278+AX284+AX290+AX296+AX302+AX308+AX314+AX320+AX326</f>
        <v/>
      </c>
    </row>
    <row r="333">
      <c r="A333" s="9614" t="n"/>
      <c r="B333" s="8748" t="inlineStr">
        <is>
          <t xml:space="preserve">Ingreso a tratamiento </t>
        </is>
      </c>
      <c r="C333" s="9644" t="n"/>
      <c r="D333" s="3022">
        <f>SUM(E333+F333)</f>
        <v/>
      </c>
      <c r="E333" s="805">
        <f>SUM(G333++I333+K333+M333+O333+Q333+S333+U333+W333+Y333+AA333+AC333+AE333+AG333+AI333+AK333)</f>
        <v/>
      </c>
      <c r="F333" s="768">
        <f>SUM(H333++J333+L333+N333+P333+R333+T333+V333+X333+Z333+AB333+AD333+AF333+AH333+AJ333+AL333)</f>
        <v/>
      </c>
      <c r="G333" s="2989">
        <f>G255+G267+G273+G279+G285+G315+G321+G327</f>
        <v/>
      </c>
      <c r="H333" s="3066">
        <f>H255+H261+H267+H273+H279+H285+H309+H315+H321+H327</f>
        <v/>
      </c>
      <c r="I333" s="2989">
        <f>I255+I261+I267+I273+I279+I285+I309+I315+I321+I327</f>
        <v/>
      </c>
      <c r="J333" s="3066">
        <f>J255+J261+J267+J273+J279+J285+J309+J315+J321+J327</f>
        <v/>
      </c>
      <c r="K333" s="2989">
        <f>K255+K261+K267+K273+K279+K285+K309+K315+K321+K327</f>
        <v/>
      </c>
      <c r="L333" s="3066">
        <f>L255+L261+L267+L273+L279+L285+L309+L315+L321+L327</f>
        <v/>
      </c>
      <c r="M333" s="2989">
        <f>M255+M261+M267+M273+M279+M285+M309+M315+M321+M327</f>
        <v/>
      </c>
      <c r="N333" s="3066">
        <f>N255+N261+N267+N273+N279+N285+N309+N315+N321+N327</f>
        <v/>
      </c>
      <c r="O333" s="3022">
        <f>O255+O261+O267+O273+O279+O285+O297+O315+O321+O327</f>
        <v/>
      </c>
      <c r="P333" s="2929">
        <f>P255+P261+P267+P273+P279+P285+P297+P315+P321+P327</f>
        <v/>
      </c>
      <c r="Q333" s="3022">
        <f>Q255+Q261+Q267+Q273+Q279+Q285+Q297+Q315+Q321+Q327</f>
        <v/>
      </c>
      <c r="R333" s="2929">
        <f>R255+R261+R267+R273+R279+R285+R297+R315+R321+R327</f>
        <v/>
      </c>
      <c r="S333" s="3022">
        <f>S255+S261+S267+S273+S279+S285+S297+S315+S321+S327</f>
        <v/>
      </c>
      <c r="T333" s="2929">
        <f>T255+T261+T267+T273+T279+T285+T297+T315+T321+T327</f>
        <v/>
      </c>
      <c r="U333" s="3022">
        <f>U255+U261+U267+U273+U279+U285+U297+U315+U321+U327</f>
        <v/>
      </c>
      <c r="V333" s="2948">
        <f>V255+V261+V267+V273+V279+V285+V297+V315+V321+V327</f>
        <v/>
      </c>
      <c r="W333" s="2989">
        <f>W255+W261+W267+W273+W279+W285+W291+W297+W303+W309+W315+W321+W327</f>
        <v/>
      </c>
      <c r="X333" s="3066">
        <f>X255+X261+X267+X273+X279+X285+X291+X297+X303+X309+X315+X321+X327</f>
        <v/>
      </c>
      <c r="Y333" s="2989">
        <f>Y255+Y261+Y267+Y273+Y279+Y285+Y291+Y297+Y303+Y309+Y315+Y321+Y327</f>
        <v/>
      </c>
      <c r="Z333" s="3066">
        <f>Z255+Z261+Z267+Z273+Z279+Z285+Z291+Z297+Z303+Z309+Z315+Z321+Z327</f>
        <v/>
      </c>
      <c r="AA333" s="2989">
        <f>AA255+AA261+AA267+AA273+AA279+AA285+AA291+AA297+AA303+AA309+AA315+AA321+AA327</f>
        <v/>
      </c>
      <c r="AB333" s="3066">
        <f>AB255+AB261+AB267+AB273+AB279+AB285+AB291+AB297+AB303+AB309+AB315+AB321+AB327</f>
        <v/>
      </c>
      <c r="AC333" s="2989">
        <f>AC255+AC261+AC267+AC273+AC279+AC285+AC291+AC297+AC303+AC309+AC315+AC321+AC327</f>
        <v/>
      </c>
      <c r="AD333" s="3066">
        <f>AD255+AD261+AD267+AD273+AD279+AD285+AD291+AD297+AD303+AD309+AD315+AD321+AD327</f>
        <v/>
      </c>
      <c r="AE333" s="2989">
        <f>AE255+AE261+AE267+AE273+AE279+AE285+AE291+AE297+AE303+AE309+AE315+AE321+AE327</f>
        <v/>
      </c>
      <c r="AF333" s="3066">
        <f>AF255+AF261+AF267+AF273+AF279+AF285+AF291+AF297+AF303+AF309+AF315+AF321+AF327</f>
        <v/>
      </c>
      <c r="AG333" s="2989">
        <f>AG255+AG261+AG267+AG273+AG279+AG285+AG291+AG297+AG303+AG309+AG315+AG321+AG327</f>
        <v/>
      </c>
      <c r="AH333" s="3066">
        <f>AH255+AH261+AH267+AH273+AH279+AH285+AH291+AH297+AH303+AH309+AH315+AH321+AH327</f>
        <v/>
      </c>
      <c r="AI333" s="2989">
        <f>AI255+AI261+AI267+AI273+AI279+AI285+AI291+AI297+AI303+AI309+AI315+AI321+AI327</f>
        <v/>
      </c>
      <c r="AJ333" s="3066">
        <f>AJ255+AJ261+AJ267+AJ273+AJ279+AJ285+AJ291+AJ297+AJ303+AJ309+AJ315+AJ321+AJ327</f>
        <v/>
      </c>
      <c r="AK333" s="2989">
        <f>AK255+AK261+AK267+AK273+AK279+AK285+AK291+AK297+AK303+AK309+AK315+AK321+AK327</f>
        <v/>
      </c>
      <c r="AL333" s="3067">
        <f>AL255+AL261+AL267+AL273+AL279+AL285+AL291+AL297+AL303+AL309+AL315+AL321+AL327</f>
        <v/>
      </c>
      <c r="AM333" s="3066">
        <f>AM255+AM261+AM267+AM273+AM279+AM285+AM291+AM297+AM303+AM309+AM315+AM321+AM327</f>
        <v/>
      </c>
      <c r="AN333" s="3066">
        <f>AN255+AN261+AN267+AN273+AN279+AN285+AN291+AN297+AN303+AN309+AN315+AN321+AN327</f>
        <v/>
      </c>
      <c r="AO333" s="3068" t="n"/>
      <c r="AP333" s="3069" t="n"/>
      <c r="AQ333" s="2996" t="n"/>
      <c r="AR333" s="1197">
        <f>SUM(AR337+AR255+AR261+AR267+AR273+AR279+AR285+AR291+AR297+AR303+AR309+AR315+AR321+AR327)</f>
        <v/>
      </c>
      <c r="AS333" s="3070">
        <f>SUM(AS267+AS279)</f>
        <v/>
      </c>
      <c r="AT333" s="2989">
        <f>SUM(AT255+AT261+AT267+AT273+AT279+AT285+AT291+AT297+AT303+AT309+AT315+AT321+AT327)</f>
        <v/>
      </c>
      <c r="AU333" s="3071">
        <f>SUM(AU255+AU261+AU267+AU273+AU279+AU285+AU291+AU297+AU303+AU309+AU315+AU321+AU327)</f>
        <v/>
      </c>
      <c r="AV333" s="2655" t="n"/>
      <c r="AW333" s="2989">
        <f>SUM(AW255+AW261+AW267+AW273+AW279+AW285+AW291+AW297+AW303+AW309+AW315+AW321+AW327)</f>
        <v/>
      </c>
      <c r="AX333" s="3071">
        <f>SUM(AX255+AX261+AX267+AX273+AX279+AX285+AX291+AX297+AX303+AX309+AX315+AX321+AX327)</f>
        <v/>
      </c>
    </row>
    <row r="334">
      <c r="A334" s="9614" t="n"/>
      <c r="B334" s="8748" t="inlineStr">
        <is>
          <t xml:space="preserve">Altas de tratamiento </t>
        </is>
      </c>
      <c r="C334" s="9644" t="n"/>
      <c r="D334" s="3022">
        <f>SUM(E334+F334)</f>
        <v/>
      </c>
      <c r="E334" s="805">
        <f>SUM(G334++I334+K334+M334+O334+Q334+S334+U334+W334+Y334+AA334+AC334+AE334+AG334+AI334+AK334)</f>
        <v/>
      </c>
      <c r="F334" s="768">
        <f>SUM(H334++J334+L334+N334+P334+R334+T334+V334+X334+Z334+AB334+AD334+AF334+AH334+AJ334+AL334)</f>
        <v/>
      </c>
      <c r="G334" s="2989">
        <f>G256+G268+G274+G280+G286+G316+G322+G328</f>
        <v/>
      </c>
      <c r="H334" s="3066">
        <f>H256+H262+H268+H274+H280+H286+H310+H316+H322+H328</f>
        <v/>
      </c>
      <c r="I334" s="2989">
        <f>I256+I262+I268+I274+I280+I286+I310+I316+I322+I328</f>
        <v/>
      </c>
      <c r="J334" s="3066">
        <f>J256+J262+J268+J274+J280+J286+J310+J316+J322+J328</f>
        <v/>
      </c>
      <c r="K334" s="2989">
        <f>K256+K262+K268+K274+K280+K286+K310+K316+K322+K328</f>
        <v/>
      </c>
      <c r="L334" s="3066">
        <f>L256+L262+L268+L274+L280+L286+L310+L316+L322+L328</f>
        <v/>
      </c>
      <c r="M334" s="2989">
        <f>M256+M262+M268+M274+M280+M286+M310+M316+M322+M328</f>
        <v/>
      </c>
      <c r="N334" s="3066">
        <f>N256+N262+N268+N274+N280+N286+N310+N316+N322+N328</f>
        <v/>
      </c>
      <c r="O334" s="3022">
        <f>O256+O262+O268+O274+O280+O286+O298+O316+O322+O328</f>
        <v/>
      </c>
      <c r="P334" s="2929">
        <f>P256+P262+P268+P274+P280+P286+P298+P316+P322+P328</f>
        <v/>
      </c>
      <c r="Q334" s="3022">
        <f>Q256+Q262+Q268+Q274+Q280+Q286+Q298+Q316+Q322+Q328</f>
        <v/>
      </c>
      <c r="R334" s="2929">
        <f>R256+R262+R268+R274+R280+R286+R298+R316+R322+R328</f>
        <v/>
      </c>
      <c r="S334" s="3022">
        <f>S256+S262+S268+S274+S280+S286+S298+S316+S322+S328</f>
        <v/>
      </c>
      <c r="T334" s="2929">
        <f>T256+T262+T268+T274+T280+T286+T298+T316+T322+T328</f>
        <v/>
      </c>
      <c r="U334" s="3022">
        <f>U256+U262+U268+U274+U280+U286+U298+U316+U322+U328</f>
        <v/>
      </c>
      <c r="V334" s="2948">
        <f>V256+V262+V268+V274+V280+V286+V298+V316+V322+V328</f>
        <v/>
      </c>
      <c r="W334" s="2989">
        <f>W256+W262+W268+W274+W280+W286+W292+W298+W304+W310+W316+W322+W328</f>
        <v/>
      </c>
      <c r="X334" s="3066">
        <f>X256+X262+X268+X274+X280+X286+X292+X298+X304+X310+X316+X322+X328</f>
        <v/>
      </c>
      <c r="Y334" s="2989">
        <f>Y256+Y262+Y268+Y274+Y280+Y286+Y292+Y298+Y304+Y310+Y316+Y322+Y328</f>
        <v/>
      </c>
      <c r="Z334" s="3066">
        <f>Z256+Z262+Z268+Z274+Z280+Z286+Z292+Z298+Z304+Z310+Z316+Z322+Z328</f>
        <v/>
      </c>
      <c r="AA334" s="2989">
        <f>AA256+AA262+AA268+AA274+AA280+AA286+AA292+AA298+AA304+AA310+AA316+AA322+AA328</f>
        <v/>
      </c>
      <c r="AB334" s="3066">
        <f>AB256+AB262+AB268+AB274+AB280+AB286+AB292+AB298+AB304+AB310+AB316+AB322+AB328</f>
        <v/>
      </c>
      <c r="AC334" s="2989">
        <f>AC256+AC262+AC268+AC274+AC280+AC286+AC292+AC298+AC304+AC310+AC316+AC322+AC328</f>
        <v/>
      </c>
      <c r="AD334" s="3066">
        <f>AD256+AD262+AD268+AD274+AD280+AD286+AD292+AD298+AD304+AD310+AD316+AD322+AD328</f>
        <v/>
      </c>
      <c r="AE334" s="2989">
        <f>AE256+AE262+AE268+AE274+AE280+AE286+AE292+AE298+AE304+AE310+AE316+AE322+AE328</f>
        <v/>
      </c>
      <c r="AF334" s="3066">
        <f>AF256+AF262+AF268+AF274+AF280+AF286+AF292+AF298+AF304+AF310+AF316+AF322+AF328</f>
        <v/>
      </c>
      <c r="AG334" s="2989">
        <f>AG256+AG262+AG268+AG274+AG280+AG286+AG292+AG298+AG304+AG310+AG316+AG322+AG328</f>
        <v/>
      </c>
      <c r="AH334" s="3066">
        <f>AH256+AH262+AH268+AH274+AH280+AH286+AH292+AH298+AH304+AH310+AH316+AH322+AH328</f>
        <v/>
      </c>
      <c r="AI334" s="2989">
        <f>AI256+AI262+AI268+AI274+AI280+AI286+AI292+AI298+AI304+AI310+AI316+AI322+AI328</f>
        <v/>
      </c>
      <c r="AJ334" s="3066">
        <f>AJ256+AJ262+AJ268+AJ274+AJ280+AJ286+AJ292+AJ298+AJ304+AJ310+AJ316+AJ322+AJ328</f>
        <v/>
      </c>
      <c r="AK334" s="2989">
        <f>AK256+AK262+AK268+AK274+AK280+AK286+AK292+AK298+AK304+AK310+AK316+AK322+AK328</f>
        <v/>
      </c>
      <c r="AL334" s="3067">
        <f>AL256+AL262+AL268+AL274+AL280+AL286+AL292+AL298+AL304+AL310+AL316+AL322+AL328</f>
        <v/>
      </c>
      <c r="AM334" s="3066">
        <f>AM256+AM262+AM268+AM274+AM280+AM286+AM292+AM298+AM304+AM310+AM316+AM322+AM328</f>
        <v/>
      </c>
      <c r="AN334" s="3066">
        <f>AN256+AN262+AN268+AN274+AN280+AN286+AN292+AN298+AN304+AN310+AN316+AN322+AN328</f>
        <v/>
      </c>
      <c r="AO334" s="3068" t="n"/>
      <c r="AP334" s="3069" t="n"/>
      <c r="AQ334" s="2996" t="n"/>
      <c r="AR334" s="1197">
        <f>AR256+AR262+AR268+AR274+AR280+AR286+AR292+AR298+AR304+AR310+AR316+AR322+AR328</f>
        <v/>
      </c>
      <c r="AS334" s="3070">
        <f>SUM(AS269+AS281)</f>
        <v/>
      </c>
      <c r="AT334" s="2989">
        <f>AT256+AT262+AT268+AT274+AT280+AT286+AT292+AT298+AT304+AT310+AT316+AT322+AT328</f>
        <v/>
      </c>
      <c r="AU334" s="3071">
        <f>AU256+AU262+AU268+AU274+AU280+AU286+AU292+AU298+AU304+AU310+AU316+AU322+AU328</f>
        <v/>
      </c>
      <c r="AV334" s="3071">
        <f>AV256+AV262+AV268+AV274+AV280+AV286+AV292+AV298+AV304+AV310+AV316+AV322+AV328</f>
        <v/>
      </c>
      <c r="AW334" s="2989">
        <f>AW256+AW262+AW268+AW274+AW280+AW286+AW292+AW298+AW304+AW310+AW316+AW322+AW328</f>
        <v/>
      </c>
      <c r="AX334" s="3071">
        <f>AX256+AX262+AX268+AX274+AX280+AX286+AX292+AX298+AX304+AX310+AX316+AX322+AX328</f>
        <v/>
      </c>
    </row>
    <row r="335">
      <c r="A335" s="9614" t="n"/>
      <c r="B335" s="8748" t="inlineStr">
        <is>
          <t xml:space="preserve">Control de especialidad post alta </t>
        </is>
      </c>
      <c r="C335" s="9644" t="n"/>
      <c r="D335" s="3022">
        <f>SUM(E335+F335)</f>
        <v/>
      </c>
      <c r="E335" s="805">
        <f>SUM(G335++I335+K335+M335+O335+Q335+S335+U335+W335+Y335+AA335+AC335+AE335+AG335+AI335+AK335)</f>
        <v/>
      </c>
      <c r="F335" s="768">
        <f>SUM(H335++J335+L335+N335+P335+R335+T335+V335+X335+Z335+AB335+AD335+AF335+AH335+AJ335+AL335)</f>
        <v/>
      </c>
      <c r="G335" s="2989">
        <f>G257+G269+G275+G281+G287+G317+G323+G329</f>
        <v/>
      </c>
      <c r="H335" s="3066">
        <f>H257+H263+H269+H275+H281+H287+H311+H317+H323+H329</f>
        <v/>
      </c>
      <c r="I335" s="2989">
        <f>I257+I263+I269+I275+I281+I287+I311+I317+I323+I329</f>
        <v/>
      </c>
      <c r="J335" s="3066">
        <f>J257+J263+J269+J275+J281+J287+J311+J317+J323+J329</f>
        <v/>
      </c>
      <c r="K335" s="2989">
        <f>K257+K263+K269+K275+K281+K287+K311+K317+K323+K329</f>
        <v/>
      </c>
      <c r="L335" s="3066">
        <f>L257+L263+L269+L275+L281+L287+L311+L317+L323+L329</f>
        <v/>
      </c>
      <c r="M335" s="2989">
        <f>M257+M263+M269+M275+M281+M287+M311+M317+M323+M329</f>
        <v/>
      </c>
      <c r="N335" s="3066">
        <f>N257+N263+N269+N275+N281+N287+N311+N317+N323+N329</f>
        <v/>
      </c>
      <c r="O335" s="3022">
        <f>O257+O263+O269+O275+O281+O287+O299+O317+O323+O329</f>
        <v/>
      </c>
      <c r="P335" s="2929">
        <f>P257+P263+P269+P275+P281+P287+P299+P317+P323+P329</f>
        <v/>
      </c>
      <c r="Q335" s="3022">
        <f>Q257+Q263+Q269+Q275+Q281+Q287+Q299+Q317+Q323+Q329</f>
        <v/>
      </c>
      <c r="R335" s="2929">
        <f>R257+R263+R269+R275+R281+R287+R299+R317+R323+R329</f>
        <v/>
      </c>
      <c r="S335" s="3022">
        <f>S257+S263+S269+S275+S281+S287+S299+S317+S323+S329</f>
        <v/>
      </c>
      <c r="T335" s="2929">
        <f>T257+T263+T269+T275+T281+T287+T299+T317+T323+T329</f>
        <v/>
      </c>
      <c r="U335" s="3022">
        <f>U257+U263+U269+U275+U281+U287+U299+U317+U323+U329</f>
        <v/>
      </c>
      <c r="V335" s="2948">
        <f>V257+V263+V269+V275+V281+V287+V299+V317+V323+V329</f>
        <v/>
      </c>
      <c r="W335" s="2989">
        <f>W257+W263+W269+W275+W281+W287+W293+W299+W305+W311+W317+W323+W329</f>
        <v/>
      </c>
      <c r="X335" s="3066">
        <f>X257+X263+X269+X275+X281+X287+X293+X299+X305+X311+X317+X323+X329</f>
        <v/>
      </c>
      <c r="Y335" s="2989">
        <f>Y257+Y263+Y269+Y275+Y281+Y287+Y293+Y299+Y305+Y311+Y317+Y323+Y329</f>
        <v/>
      </c>
      <c r="Z335" s="3066">
        <f>Z257+Z263+Z269+Z275+Z281+Z287+Z293+Z299+Z305+Z311+Z317+Z323+Z329</f>
        <v/>
      </c>
      <c r="AA335" s="2989">
        <f>AA257+AA263+AA269+AA275+AA281+AA287+AA293+AA299+AA305+AA311+AA317+AA323+AA329</f>
        <v/>
      </c>
      <c r="AB335" s="3066">
        <f>AB257+AB263+AB269+AB275+AB281+AB287+AB293+AB299+AB305+AB311+AB317+AB323+AB329</f>
        <v/>
      </c>
      <c r="AC335" s="2989">
        <f>AC257+AC263+AC269+AC275+AC281+AC287+AC293+AC299+AC305+AC311+AC317+AC323+AC329</f>
        <v/>
      </c>
      <c r="AD335" s="3066">
        <f>AD257+AD263+AD269+AD275+AD281+AD287+AD293+AD299+AD305+AD311+AD317+AD323+AD329</f>
        <v/>
      </c>
      <c r="AE335" s="2989">
        <f>AE257+AE263+AE269+AE275+AE281+AE287+AE293+AE299+AE305+AE311+AE317+AE323+AE329</f>
        <v/>
      </c>
      <c r="AF335" s="3066">
        <f>AF257+AF263+AF269+AF275+AF281+AF287+AF293+AF299+AF305+AF311+AF317+AF323+AF329</f>
        <v/>
      </c>
      <c r="AG335" s="2989">
        <f>AG257+AG263+AG269+AG275+AG281+AG287+AG293+AG299+AG305+AG311+AG317+AG323+AG329</f>
        <v/>
      </c>
      <c r="AH335" s="3066">
        <f>AH257+AH263+AH269+AH275+AH281+AH287+AH293+AH299+AH305+AH311+AH317+AH323+AH329</f>
        <v/>
      </c>
      <c r="AI335" s="2989">
        <f>AI257+AI263+AI269+AI275+AI281+AI287+AI293+AI299+AI305+AI311+AI317+AI323+AI329</f>
        <v/>
      </c>
      <c r="AJ335" s="3066">
        <f>AJ257+AJ263+AJ269+AJ275+AJ281+AJ287+AJ293+AJ299+AJ305+AJ311+AJ317+AJ323+AJ329</f>
        <v/>
      </c>
      <c r="AK335" s="2989">
        <f>AK257+AK263+AK269+AK275+AK281+AK287+AK293+AK299+AK305+AK311+AK317+AK323+AK329</f>
        <v/>
      </c>
      <c r="AL335" s="3067">
        <f>AL257+AL263+AL269+AL275+AL281+AL287+AL293+AL299+AL305+AL311+AL317+AL323+AL329</f>
        <v/>
      </c>
      <c r="AM335" s="3066">
        <f>AM257+AM263+AM269+AM275+AM281+AM287+AM293+AM299+AM305+AM311+AM317+AM323+AM329</f>
        <v/>
      </c>
      <c r="AN335" s="3066">
        <f>AN257+AN263+AN269+AN275+AN281+AN287+AN293+AN299+AN305+AN311+AN317+AN323+AN329</f>
        <v/>
      </c>
      <c r="AO335" s="3068" t="n"/>
      <c r="AP335" s="3069" t="n"/>
      <c r="AQ335" s="365" t="n"/>
      <c r="AR335" s="1197">
        <f>SUM(AR257+AR263+AR269+AR275+AR281+AR287+AR305+AR299+AR293+AR311+AR317+AR323+AR329)</f>
        <v/>
      </c>
      <c r="AS335" s="3070">
        <f>SUM(AS257+AS263+AS269+AS275+AS281+AS287+AS305+AS299+AS293+AS311+AS317+AS323+AS329)</f>
        <v/>
      </c>
      <c r="AT335" s="2989">
        <f>SUM(AT257+AT263+AT269+AT275+AT281+AT287+AT305+AT299+AT293+AT311+AT317+AT323+AT329)</f>
        <v/>
      </c>
      <c r="AU335" s="3071">
        <f>SUM(AU257+AU263+AU269+AU275+AU281+AU287+AU305+AU299+AU293+AU311+AU317+AU323+AU329)</f>
        <v/>
      </c>
      <c r="AV335" s="2655" t="n"/>
      <c r="AW335" s="2989">
        <f>SUM(AW257+AW263+AW269+AW275+AW281+AW287+AW305+AW299+AW293+AW311+AW317+AW323+AW329)</f>
        <v/>
      </c>
      <c r="AX335" s="3071">
        <f>SUM(AX257+AX263+AX269+AX275+AX281+AX287+AX305+AX299+AX293+AX311+AX317+AX323+AX329)</f>
        <v/>
      </c>
    </row>
    <row r="336">
      <c r="A336" s="9610" t="n"/>
      <c r="B336" s="10282" t="inlineStr">
        <is>
          <t xml:space="preserve">Altas administrativas </t>
        </is>
      </c>
      <c r="C336" s="9710" t="n"/>
      <c r="D336" s="2959">
        <f>SUM(E336+F336)</f>
        <v/>
      </c>
      <c r="E336" s="368">
        <f>SUM(G336++I336+K336+M336+O336+Q336+S336+U336+W336+Y336+AA336+AC336+AE336+AG336+AI336+AK336)</f>
        <v/>
      </c>
      <c r="F336" s="369">
        <f>SUM(H336++J336+L336+N336+P336+R336+T336+V336+X336+Z336+AB336+AD336+AF336+AH336+AJ336+AL336)</f>
        <v/>
      </c>
      <c r="G336" s="1202">
        <f>G276+G282+G288+G318+G324+G330</f>
        <v/>
      </c>
      <c r="H336" s="1203">
        <f>H276+H282+H288+H318+H324+H330</f>
        <v/>
      </c>
      <c r="I336" s="1202">
        <f>I258+I270+I276+I282+I288+I318+I324+I330</f>
        <v/>
      </c>
      <c r="J336" s="1203">
        <f>J258+J270+J276+J282+J288+J318+J324+J330</f>
        <v/>
      </c>
      <c r="K336" s="1202">
        <f>K258+K270+K276+K282+K288+K318+K324+K330</f>
        <v/>
      </c>
      <c r="L336" s="1203">
        <f>L258+L270+L276+L282+L288+L318+L324+L330</f>
        <v/>
      </c>
      <c r="M336" s="1202">
        <f>M258+M270+M276+M282+M288+M318+M324+M330</f>
        <v/>
      </c>
      <c r="N336" s="1203">
        <f>N258+N270+N276+N282+N288+N318+N324+N330</f>
        <v/>
      </c>
      <c r="O336" s="2959">
        <f>O258+O270+O264+O276+O282+O288+O300+O318+O324+O330</f>
        <v/>
      </c>
      <c r="P336" s="2912">
        <f>P258+P264+P270+P276+P282+P288+P300+P318+P324+P330</f>
        <v/>
      </c>
      <c r="Q336" s="2959">
        <f>Q258+Q264+Q270+Q276+Q282+Q288+Q300+Q318+Q324+Q330</f>
        <v/>
      </c>
      <c r="R336" s="2912">
        <f>R258++R264+R270+R276+R282+R288+R300+R318+R324+R330</f>
        <v/>
      </c>
      <c r="S336" s="2959">
        <f>S258+ S264+S270+S276+S282+S288+S300+S318+S324+S330</f>
        <v/>
      </c>
      <c r="T336" s="2912">
        <f>T258+T264+T270+T276+T282+T288+T300+T318+T324+T330</f>
        <v/>
      </c>
      <c r="U336" s="2959">
        <f>U258+ U264+U270+U276+U282+U288+U300+U318+U324+U330</f>
        <v/>
      </c>
      <c r="V336" s="2912">
        <f>V258+V264+V270+V276+V282+V288+V300+V318+V324+V330</f>
        <v/>
      </c>
      <c r="W336" s="3830">
        <f>W258+ W264+W270+W276+W282+ W288+W294+ +W300+ W306+ W312+W318+W324+W330</f>
        <v/>
      </c>
      <c r="X336" s="2947">
        <f>X258+ X264+X270+X276+X282+ X288+X294+ +X300+ X306+ X312+X318+X324+X330</f>
        <v/>
      </c>
      <c r="Y336" s="3830">
        <f>Y258+ Y264+Y270+Y276+Y282+ Y288+Y294+ +Y300+ Y306+ Y312+Y318+Y324+Y330</f>
        <v/>
      </c>
      <c r="Z336" s="2947">
        <f>Z258+ Z264+Z270+Z276+Z282+ Z288+Z294+ +Z300+ Z306+ Z312+Z318+Z324+Z330</f>
        <v/>
      </c>
      <c r="AA336" s="1202">
        <f>AA258+AA264+AA270+AA276+AA282+AA288+AA294+AA306+AA312+AA300+AA318+AA324+AA330</f>
        <v/>
      </c>
      <c r="AB336" s="1203">
        <f>AB258+AB264+AB270+AB276+AB282+AB288+AB294+AB306+AB312+AB300+AB318+AB324+AB330</f>
        <v/>
      </c>
      <c r="AC336" s="1202">
        <f>AC258+AC264+AC270+AC276+AC282+AC288+AC294+AC306+AC312+AC300+AC318+AC324+AC330</f>
        <v/>
      </c>
      <c r="AD336" s="1203">
        <f>AD258+AD264+AD270+AD276+AD282+AD288+AD294+AD306+AD312+AD300+AD318+AD324+AD330</f>
        <v/>
      </c>
      <c r="AE336" s="1202">
        <f>AE258+AE264+AE270+AE276+AE282+AE288+AE294+AE306+AE312+AE300+AE318+AE324+AE330</f>
        <v/>
      </c>
      <c r="AF336" s="1203">
        <f>AF258+AF264+AF270+AF276+AF282+AF288+AF294+AF306+AF312+AF300+AF318+AF324+AF330</f>
        <v/>
      </c>
      <c r="AG336" s="1202">
        <f>AG258+AG264+AG270+AG276+AG282+AG288+AG294+AG306+AG312+AG300+AG318+AG324+AG330</f>
        <v/>
      </c>
      <c r="AH336" s="1203">
        <f>AH258+AH264+AH270+AH276+AH282+AH288+AH294+AH306+AH312+AH300+AH318+AH324+AH330</f>
        <v/>
      </c>
      <c r="AI336" s="1202">
        <f>AI258+AI264+AI270+AI276+AI282+AI288+AI294+AI306+AI312+AI300+AI318+AI324+AI330</f>
        <v/>
      </c>
      <c r="AJ336" s="1203">
        <f>AJ258+AJ264+AJ270+AJ276+AJ282+AJ288+AJ294+AJ306+AJ312+AJ300+AJ318+AJ324+AJ330</f>
        <v/>
      </c>
      <c r="AK336" s="1202">
        <f>AK258+AK264+AK270+AK276+AK282+AK288+AK294+AK306+AK312+AK300+AK318+AK324+AK330</f>
        <v/>
      </c>
      <c r="AL336" s="3073">
        <f>AL258+AL264+AL270+AL276+AL282+AL288+AL294+AL306+AL312+AL300+AL318+AL324+AL330</f>
        <v/>
      </c>
      <c r="AM336" s="1203">
        <f>AM258+AM264+AM270+AM276+AM282+AM288+AM294+AM306+AM312+AM300+AM318+AM324+AM330</f>
        <v/>
      </c>
      <c r="AN336" s="1203">
        <f>AN258+AN264+AN270+AN276+AN282+AN288+AN294+AN306+AN312+AN300+AN318+AN324+AN330</f>
        <v/>
      </c>
      <c r="AO336" s="3074" t="n"/>
      <c r="AP336" s="3075" t="n"/>
      <c r="AQ336" s="3003" t="n"/>
      <c r="AR336" s="1203">
        <f>SUM(AR258+AR264+AR270+AR276+AR282+AR288+AR294+AR300+AR306+AR312+AR318+AR324+AR330)</f>
        <v/>
      </c>
      <c r="AS336" s="3076">
        <f>SUM(AS270+AS282)</f>
        <v/>
      </c>
      <c r="AT336" s="1202">
        <f>SUM(AT258+AT264+AT270+AT276+AT282+AT288+AT294+AT300+AT306+AT312+AT318+AT324+AT330)</f>
        <v/>
      </c>
      <c r="AU336" s="1203">
        <f>SUM(AU258+AU264+AU270+AU276+AU282+AU288+AU294+AU300+AU306+AU312+AU318+AU324+AU330)</f>
        <v/>
      </c>
      <c r="AV336" s="3075" t="n"/>
      <c r="AW336" s="1202">
        <f>SUM(AW258+AW264+AW270+AW276+AW282+AW288+AW294+AW300+AW306+AW312+AW318+AW324+AW330)</f>
        <v/>
      </c>
      <c r="AX336" s="2947">
        <f>SUM(AX258+AX264+AX270+AX276+AX282+AX288+AX294+AX300+AX306+AX312+AX318+AX324+AX330)</f>
        <v/>
      </c>
    </row>
    <row r="337">
      <c r="A337" s="2" t="inlineStr">
        <is>
          <t xml:space="preserve">SECCIÓN J: ACTIVIDADES EFECTUADAS POR TÉCNICO PARAMÉDICO DENTAL Y/O HIGIENISTAS DENTALES  </t>
        </is>
      </c>
      <c r="B337" s="359" t="n"/>
      <c r="C337" s="359" t="n"/>
      <c r="D337" s="7" t="n"/>
      <c r="E337" s="7" t="n"/>
      <c r="F337" s="7" t="n"/>
      <c r="G337" s="7" t="n"/>
      <c r="H337" s="7" t="n"/>
      <c r="I337" s="7" t="n"/>
      <c r="J337" s="8" t="n"/>
      <c r="K337" s="8" t="n"/>
      <c r="L337" s="8" t="n"/>
      <c r="M337" s="8" t="n"/>
      <c r="N337" s="8" t="n"/>
      <c r="O337" s="8" t="n"/>
      <c r="P337" s="8" t="n"/>
      <c r="Q337" s="8" t="n"/>
      <c r="R337" s="8" t="n"/>
      <c r="S337" s="8" t="n"/>
      <c r="T337" s="8" t="n"/>
      <c r="U337" s="8" t="n"/>
      <c r="V337" s="8" t="n"/>
      <c r="W337" s="8" t="n"/>
      <c r="X337" s="8" t="n"/>
      <c r="Y337" s="8" t="n"/>
      <c r="Z337" s="8" t="n"/>
      <c r="AA337" s="8" t="n"/>
      <c r="AB337" s="8" t="n"/>
      <c r="AC337" s="8" t="n"/>
      <c r="AD337" s="8" t="n"/>
      <c r="AE337" s="8" t="n"/>
      <c r="AF337" s="8" t="n"/>
      <c r="AG337" s="8" t="n"/>
      <c r="AH337" s="8" t="n"/>
      <c r="AI337" s="8" t="n"/>
      <c r="AJ337" s="8" t="n"/>
      <c r="AK337" s="8" t="n"/>
      <c r="AL337" s="217" t="n"/>
      <c r="AM337" s="217" t="n"/>
      <c r="AN337" s="8" t="n"/>
      <c r="AO337" s="8" t="n"/>
      <c r="AP337" s="8" t="n"/>
      <c r="AQ337" s="8" t="n"/>
      <c r="AR337" s="8" t="n"/>
    </row>
    <row r="338">
      <c r="A338" s="10004" t="inlineStr">
        <is>
          <t>TIPO DE ACTIVIDAD</t>
        </is>
      </c>
      <c r="B338" s="9602" t="n"/>
      <c r="C338" s="9630" t="n"/>
      <c r="D338" s="10286" t="inlineStr">
        <is>
          <t>TOTAL</t>
        </is>
      </c>
      <c r="E338" s="9602" t="n"/>
      <c r="F338" s="9630" t="n"/>
      <c r="G338" s="10099" t="inlineStr">
        <is>
          <t>RANGO ETARIO Y SEXO</t>
        </is>
      </c>
      <c r="H338" s="9584" t="n"/>
      <c r="I338" s="9584" t="n"/>
      <c r="J338" s="9584" t="n"/>
      <c r="K338" s="9584" t="n"/>
      <c r="L338" s="9584" t="n"/>
      <c r="M338" s="9584" t="n"/>
      <c r="N338" s="9584" t="n"/>
      <c r="O338" s="9584" t="n"/>
      <c r="P338" s="9584" t="n"/>
      <c r="Q338" s="9584" t="n"/>
      <c r="R338" s="9584" t="n"/>
      <c r="S338" s="9584" t="n"/>
      <c r="T338" s="9584" t="n"/>
      <c r="U338" s="9584" t="n"/>
      <c r="V338" s="9584" t="n"/>
      <c r="W338" s="9584" t="n"/>
      <c r="X338" s="9584" t="n"/>
      <c r="Y338" s="9584" t="n"/>
      <c r="Z338" s="9584" t="n"/>
      <c r="AA338" s="9584" t="n"/>
      <c r="AB338" s="9584" t="n"/>
      <c r="AC338" s="9584" t="n"/>
      <c r="AD338" s="9584" t="n"/>
      <c r="AE338" s="9584" t="n"/>
      <c r="AF338" s="9584" t="n"/>
      <c r="AG338" s="9584" t="n"/>
      <c r="AH338" s="9584" t="n"/>
      <c r="AI338" s="9584" t="n"/>
      <c r="AJ338" s="9584" t="n"/>
      <c r="AK338" s="9584" t="n"/>
      <c r="AL338" s="9584" t="n"/>
      <c r="AM338" s="9584" t="n"/>
      <c r="AN338" s="9584" t="n"/>
      <c r="AO338" s="9584" t="n"/>
      <c r="AP338" s="9873" t="n"/>
      <c r="AQ338" s="7829" t="inlineStr">
        <is>
          <t>Gestante</t>
        </is>
      </c>
      <c r="AR338" s="8400" t="inlineStr">
        <is>
          <t>60 años (incluidos en grupos de 60-64 años)</t>
        </is>
      </c>
    </row>
    <row r="339">
      <c r="A339" s="642" t="n"/>
      <c r="C339" s="9718" t="n"/>
      <c r="D339" s="9638" t="n"/>
      <c r="E339" s="9697" t="n"/>
      <c r="F339" s="9639" t="n"/>
      <c r="G339" s="10287" t="inlineStr">
        <is>
          <t>Menos de 1 año</t>
        </is>
      </c>
      <c r="H339" s="10191" t="n"/>
      <c r="I339" s="9240" t="inlineStr">
        <is>
          <t>1 año</t>
        </is>
      </c>
      <c r="J339" s="9647" t="n"/>
      <c r="K339" s="9240" t="inlineStr">
        <is>
          <t>2 años</t>
        </is>
      </c>
      <c r="L339" s="9647" t="n"/>
      <c r="M339" s="9240" t="inlineStr">
        <is>
          <t>3 años</t>
        </is>
      </c>
      <c r="N339" s="9647" t="n"/>
      <c r="O339" s="9240" t="inlineStr">
        <is>
          <t>4 años</t>
        </is>
      </c>
      <c r="P339" s="9647" t="n"/>
      <c r="Q339" s="9240" t="inlineStr">
        <is>
          <t>5 años</t>
        </is>
      </c>
      <c r="R339" s="9647" t="n"/>
      <c r="S339" s="9240" t="inlineStr">
        <is>
          <t>6 años</t>
        </is>
      </c>
      <c r="T339" s="9647" t="n"/>
      <c r="U339" s="9240" t="inlineStr">
        <is>
          <t>7 años</t>
        </is>
      </c>
      <c r="V339" s="9647" t="n"/>
      <c r="W339" s="9240" t="inlineStr">
        <is>
          <t>8-9 años</t>
        </is>
      </c>
      <c r="X339" s="9647" t="n"/>
      <c r="Y339" s="9240" t="inlineStr">
        <is>
          <t>10-14 años</t>
        </is>
      </c>
      <c r="Z339" s="9647" t="n"/>
      <c r="AA339" s="9240" t="inlineStr">
        <is>
          <t>15-19 años</t>
        </is>
      </c>
      <c r="AB339" s="9647" t="n"/>
      <c r="AC339" s="9240" t="inlineStr">
        <is>
          <t xml:space="preserve">20-24 años </t>
        </is>
      </c>
      <c r="AD339" s="9647" t="n"/>
      <c r="AE339" s="9240" t="inlineStr">
        <is>
          <t>25-34 años</t>
        </is>
      </c>
      <c r="AF339" s="9647" t="n"/>
      <c r="AG339" s="9240" t="inlineStr">
        <is>
          <t>35-44 años</t>
        </is>
      </c>
      <c r="AH339" s="9647" t="n"/>
      <c r="AI339" s="9240" t="inlineStr">
        <is>
          <t>45-59 años</t>
        </is>
      </c>
      <c r="AJ339" s="9647" t="n"/>
      <c r="AK339" s="9240" t="inlineStr">
        <is>
          <t>60-64 años</t>
        </is>
      </c>
      <c r="AL339" s="9647" t="n"/>
      <c r="AM339" s="9240" t="inlineStr">
        <is>
          <t>65-74 años</t>
        </is>
      </c>
      <c r="AN339" s="9647" t="n"/>
      <c r="AO339" s="10099" t="inlineStr">
        <is>
          <t>75 y más años</t>
        </is>
      </c>
      <c r="AP339" s="9873" t="n"/>
      <c r="AR339" s="9614" t="n"/>
    </row>
    <row r="340">
      <c r="A340" s="9638" t="n"/>
      <c r="B340" s="9697" t="n"/>
      <c r="C340" s="9639" t="n"/>
      <c r="D340" s="2695" t="inlineStr">
        <is>
          <t>Ambos Sexos</t>
        </is>
      </c>
      <c r="E340" s="2714" t="inlineStr">
        <is>
          <t>Hombres</t>
        </is>
      </c>
      <c r="F340" s="7976" t="inlineStr">
        <is>
          <t>Mujeres</t>
        </is>
      </c>
      <c r="G340" s="2679" t="inlineStr">
        <is>
          <t>Hombres</t>
        </is>
      </c>
      <c r="H340" s="8299" t="inlineStr">
        <is>
          <t>Mujeres</t>
        </is>
      </c>
      <c r="I340" s="8471" t="inlineStr">
        <is>
          <t>Hombres</t>
        </is>
      </c>
      <c r="J340" s="8299" t="inlineStr">
        <is>
          <t>Mujeres</t>
        </is>
      </c>
      <c r="K340" s="8471" t="inlineStr">
        <is>
          <t>Hombres</t>
        </is>
      </c>
      <c r="L340" s="8299" t="inlineStr">
        <is>
          <t>Mujeres</t>
        </is>
      </c>
      <c r="M340" s="8471" t="inlineStr">
        <is>
          <t>Hombres</t>
        </is>
      </c>
      <c r="N340" s="8299" t="inlineStr">
        <is>
          <t>Mujeres</t>
        </is>
      </c>
      <c r="O340" s="8471" t="inlineStr">
        <is>
          <t>Hombres</t>
        </is>
      </c>
      <c r="P340" s="8299" t="inlineStr">
        <is>
          <t>Mujeres</t>
        </is>
      </c>
      <c r="Q340" s="8471" t="inlineStr">
        <is>
          <t>Hombres</t>
        </is>
      </c>
      <c r="R340" s="8299" t="inlineStr">
        <is>
          <t>Mujeres</t>
        </is>
      </c>
      <c r="S340" s="8471" t="inlineStr">
        <is>
          <t>Hombres</t>
        </is>
      </c>
      <c r="T340" s="8299" t="inlineStr">
        <is>
          <t>Mujeres</t>
        </is>
      </c>
      <c r="U340" s="8471" t="inlineStr">
        <is>
          <t>Hombres</t>
        </is>
      </c>
      <c r="V340" s="8299" t="inlineStr">
        <is>
          <t>Mujeres</t>
        </is>
      </c>
      <c r="W340" s="8471" t="inlineStr">
        <is>
          <t>Hombres</t>
        </is>
      </c>
      <c r="X340" s="8299" t="inlineStr">
        <is>
          <t>Mujeres</t>
        </is>
      </c>
      <c r="Y340" s="8471" t="inlineStr">
        <is>
          <t>Hombres</t>
        </is>
      </c>
      <c r="Z340" s="8299" t="inlineStr">
        <is>
          <t>Mujeres</t>
        </is>
      </c>
      <c r="AA340" s="8471" t="inlineStr">
        <is>
          <t>Hombres</t>
        </is>
      </c>
      <c r="AB340" s="8299" t="inlineStr">
        <is>
          <t>Mujeres</t>
        </is>
      </c>
      <c r="AC340" s="8471" t="inlineStr">
        <is>
          <t>Hombres</t>
        </is>
      </c>
      <c r="AD340" s="8299" t="inlineStr">
        <is>
          <t>Mujeres</t>
        </is>
      </c>
      <c r="AE340" s="8471" t="inlineStr">
        <is>
          <t>Hombres</t>
        </is>
      </c>
      <c r="AF340" s="8299" t="inlineStr">
        <is>
          <t>Mujeres</t>
        </is>
      </c>
      <c r="AG340" s="8471" t="inlineStr">
        <is>
          <t>Hombres</t>
        </is>
      </c>
      <c r="AH340" s="8299" t="inlineStr">
        <is>
          <t>Mujeres</t>
        </is>
      </c>
      <c r="AI340" s="8471" t="inlineStr">
        <is>
          <t>Hombres</t>
        </is>
      </c>
      <c r="AJ340" s="8299" t="inlineStr">
        <is>
          <t>Mujeres</t>
        </is>
      </c>
      <c r="AK340" s="8471" t="inlineStr">
        <is>
          <t>Hombres</t>
        </is>
      </c>
      <c r="AL340" s="8299" t="inlineStr">
        <is>
          <t>Mujeres</t>
        </is>
      </c>
      <c r="AM340" s="8471" t="inlineStr">
        <is>
          <t>Hombres</t>
        </is>
      </c>
      <c r="AN340" s="8299" t="inlineStr">
        <is>
          <t>Mujeres</t>
        </is>
      </c>
      <c r="AO340" s="8471" t="inlineStr">
        <is>
          <t>Hombres</t>
        </is>
      </c>
      <c r="AP340" s="8431" t="inlineStr">
        <is>
          <t>Mujeres</t>
        </is>
      </c>
      <c r="AQ340" s="9591" t="n"/>
      <c r="AR340" s="9610" t="n"/>
    </row>
    <row r="341">
      <c r="A341" s="10243" t="inlineStr">
        <is>
          <t xml:space="preserve">Aplicación de sellantes </t>
        </is>
      </c>
      <c r="B341" s="9814" t="n"/>
      <c r="C341" s="9643" t="n"/>
      <c r="D341" s="2282">
        <f>SUM(E341:F341)</f>
        <v/>
      </c>
      <c r="E341" s="833">
        <f>SUM(G341+I341+K341+M341+O341+Q341+S341+U341+W341+Y341+AA341+AC341+AE341+AG341+AI341+AK341+AM341+AO341)</f>
        <v/>
      </c>
      <c r="F341" s="8308">
        <f>SUM(H341+J341+L341+N341+P341+R341+T341+V341+X341+Z341+AB341+AD341+AF341+AH341+AJ341+AL341+AN341+AP341)</f>
        <v/>
      </c>
      <c r="G341" s="2267" t="n">
        <v>0</v>
      </c>
      <c r="H341" s="2337" t="n">
        <v>0</v>
      </c>
      <c r="I341" s="2267" t="n">
        <v>0</v>
      </c>
      <c r="J341" s="2337" t="n">
        <v>0</v>
      </c>
      <c r="K341" s="2267" t="n">
        <v>0</v>
      </c>
      <c r="L341" s="2337" t="n">
        <v>0</v>
      </c>
      <c r="M341" s="2267" t="n">
        <v>0</v>
      </c>
      <c r="N341" s="2337" t="n">
        <v>0</v>
      </c>
      <c r="O341" s="2267" t="n">
        <v>0</v>
      </c>
      <c r="P341" s="2337" t="n">
        <v>0</v>
      </c>
      <c r="Q341" s="2267" t="n">
        <v>0</v>
      </c>
      <c r="R341" s="2337" t="n">
        <v>0</v>
      </c>
      <c r="S341" s="2267" t="n">
        <v>0</v>
      </c>
      <c r="T341" s="2337" t="n">
        <v>0</v>
      </c>
      <c r="U341" s="2267" t="n">
        <v>0</v>
      </c>
      <c r="V341" s="2337" t="n">
        <v>0</v>
      </c>
      <c r="W341" s="2267" t="n">
        <v>0</v>
      </c>
      <c r="X341" s="2337" t="n">
        <v>0</v>
      </c>
      <c r="Y341" s="2267" t="n">
        <v>0</v>
      </c>
      <c r="Z341" s="2337" t="n">
        <v>0</v>
      </c>
      <c r="AA341" s="2267" t="n">
        <v>0</v>
      </c>
      <c r="AB341" s="2337" t="n">
        <v>0</v>
      </c>
      <c r="AC341" s="2267" t="n">
        <v>0</v>
      </c>
      <c r="AD341" s="2337" t="n">
        <v>0</v>
      </c>
      <c r="AE341" s="2267" t="n">
        <v>0</v>
      </c>
      <c r="AF341" s="2337" t="n">
        <v>0</v>
      </c>
      <c r="AG341" s="2267" t="n">
        <v>0</v>
      </c>
      <c r="AH341" s="2337" t="n">
        <v>0</v>
      </c>
      <c r="AI341" s="2267" t="n">
        <v>0</v>
      </c>
      <c r="AJ341" s="2337" t="n">
        <v>0</v>
      </c>
      <c r="AK341" s="2267" t="n">
        <v>0</v>
      </c>
      <c r="AL341" s="2337" t="n">
        <v>0</v>
      </c>
      <c r="AM341" s="2267" t="n">
        <v>0</v>
      </c>
      <c r="AN341" s="2337" t="n">
        <v>0</v>
      </c>
      <c r="AO341" s="2267" t="n">
        <v>0</v>
      </c>
      <c r="AP341" s="1940" t="n">
        <v>0</v>
      </c>
      <c r="AQ341" s="5247" t="n">
        <v>0</v>
      </c>
      <c r="AR341" s="670" t="n">
        <v>0</v>
      </c>
      <c r="AS341">
        <f>CA341&amp;CB341</f>
        <v/>
      </c>
      <c r="CA341" s="196">
        <f>IF(AND($F341&gt;0,AQ341="")," * No olvide digitar la variable Gestante. Digite cero si no tiene.",IF(AQ341&gt;$F341," * La variable Gestante no puede superar el Total Mujeres.",""))</f>
        <v/>
      </c>
      <c r="CB341" s="196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/>
      </c>
      <c r="CP341" s="197">
        <f>IF(AND(AK341+AL341&gt;0,AR341=""),1,IF(AR341&gt;AK341+AL341,1,0))</f>
        <v/>
      </c>
    </row>
    <row r="342">
      <c r="A342" s="3877" t="inlineStr">
        <is>
          <t xml:space="preserve">Pulido coronario y destartraje supragingival </t>
        </is>
      </c>
      <c r="B342" s="10208" t="n"/>
      <c r="C342" s="9644" t="n"/>
      <c r="D342" s="3048">
        <f>SUM(E342:F342)</f>
        <v/>
      </c>
      <c r="E342" s="2134">
        <f>SUM(G342+I342+K342+M342+O342+Q342+S342+U342+W342+Y342+AA342+AC342+AE342+AG342+AI342+AK342+AM342+AO342)</f>
        <v/>
      </c>
      <c r="F342" s="8311">
        <f>SUM(H342+J342+L342+N342+P342+R342+T342+V342+X342+Z342+AB342+AD342+AF342+AH342+AJ342+AL342+AN342+AP342)</f>
        <v/>
      </c>
      <c r="G342" s="3078" t="n">
        <v>0</v>
      </c>
      <c r="H342" s="3079" t="n">
        <v>0</v>
      </c>
      <c r="I342" s="3078" t="n">
        <v>0</v>
      </c>
      <c r="J342" s="3079" t="n">
        <v>0</v>
      </c>
      <c r="K342" s="3078" t="n">
        <v>0</v>
      </c>
      <c r="L342" s="3079" t="n">
        <v>0</v>
      </c>
      <c r="M342" s="3078" t="n">
        <v>0</v>
      </c>
      <c r="N342" s="3079" t="n">
        <v>0</v>
      </c>
      <c r="O342" s="3078" t="n">
        <v>0</v>
      </c>
      <c r="P342" s="3079" t="n">
        <v>0</v>
      </c>
      <c r="Q342" s="3078" t="n">
        <v>0</v>
      </c>
      <c r="R342" s="3079" t="n">
        <v>0</v>
      </c>
      <c r="S342" s="3078" t="n">
        <v>0</v>
      </c>
      <c r="T342" s="3079" t="n">
        <v>0</v>
      </c>
      <c r="U342" s="3078" t="n">
        <v>0</v>
      </c>
      <c r="V342" s="3079" t="n">
        <v>0</v>
      </c>
      <c r="W342" s="3078" t="n">
        <v>0</v>
      </c>
      <c r="X342" s="3079" t="n">
        <v>0</v>
      </c>
      <c r="Y342" s="3078" t="n">
        <v>0</v>
      </c>
      <c r="Z342" s="3079" t="n">
        <v>0</v>
      </c>
      <c r="AA342" s="3078" t="n">
        <v>0</v>
      </c>
      <c r="AB342" s="3079" t="n">
        <v>0</v>
      </c>
      <c r="AC342" s="3078" t="n">
        <v>0</v>
      </c>
      <c r="AD342" s="3079" t="n">
        <v>0</v>
      </c>
      <c r="AE342" s="3078" t="n">
        <v>0</v>
      </c>
      <c r="AF342" s="3079" t="n">
        <v>0</v>
      </c>
      <c r="AG342" s="3078" t="n">
        <v>0</v>
      </c>
      <c r="AH342" s="3079" t="n">
        <v>0</v>
      </c>
      <c r="AI342" s="3078" t="n">
        <v>0</v>
      </c>
      <c r="AJ342" s="3079" t="n">
        <v>0</v>
      </c>
      <c r="AK342" s="3078" t="n">
        <v>0</v>
      </c>
      <c r="AL342" s="3079" t="n">
        <v>0</v>
      </c>
      <c r="AM342" s="3078" t="n">
        <v>0</v>
      </c>
      <c r="AN342" s="3079" t="n">
        <v>0</v>
      </c>
      <c r="AO342" s="3078" t="n">
        <v>0</v>
      </c>
      <c r="AP342" s="1929" t="n">
        <v>0</v>
      </c>
      <c r="AQ342" s="5215" t="n">
        <v>0</v>
      </c>
      <c r="AR342" s="3892" t="n">
        <v>0</v>
      </c>
      <c r="AS342">
        <f>CA342&amp;CB342</f>
        <v/>
      </c>
      <c r="CA342" s="196">
        <f>IF(AND($F342&gt;0,AQ342="")," * No olvide digitar la variable Gestante. Digite cero si no tiene.",IF(AQ342&gt;$F342," * La variable Gestante no puede superar el Total Mujeres.",""))</f>
        <v/>
      </c>
      <c r="CB342" s="196">
        <f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>IF(AND($F342&gt;0,AQ342=""),1,IF(AQ342&gt;$F342,1,0))</f>
        <v/>
      </c>
      <c r="CP342" s="197">
        <f>IF(AND(AK342+AL342&gt;0,AR342=""),1,IF(AR342&gt;AK342+AL342,1,0))</f>
        <v/>
      </c>
    </row>
    <row r="343">
      <c r="A343" s="3877" t="inlineStr">
        <is>
          <t xml:space="preserve">Fluoración tópica </t>
        </is>
      </c>
      <c r="B343" s="10208" t="n"/>
      <c r="C343" s="9644" t="n"/>
      <c r="D343" s="3048">
        <f>SUM(E343:F343)</f>
        <v/>
      </c>
      <c r="E343" s="2134">
        <f>SUM(G343+I343+K343+M343+O343+Q343+S343+U343+W343+Y343+AA343+AC343+AE343+AG343+AI343+AK343+AM343+AO343)</f>
        <v/>
      </c>
      <c r="F343" s="8311">
        <f>SUM(H343+J343+L343+N343+P343+R343+T343+V343+X343+Z343+AB343+AD343+AF343+AH343+AJ343+AL343+AN343+AP343)</f>
        <v/>
      </c>
      <c r="G343" s="3078" t="n">
        <v>0</v>
      </c>
      <c r="H343" s="3079" t="n">
        <v>0</v>
      </c>
      <c r="I343" s="3078" t="n">
        <v>0</v>
      </c>
      <c r="J343" s="3079" t="n">
        <v>0</v>
      </c>
      <c r="K343" s="3078" t="n">
        <v>0</v>
      </c>
      <c r="L343" s="3079" t="n">
        <v>0</v>
      </c>
      <c r="M343" s="3078" t="n">
        <v>0</v>
      </c>
      <c r="N343" s="3079" t="n">
        <v>0</v>
      </c>
      <c r="O343" s="3078" t="n">
        <v>0</v>
      </c>
      <c r="P343" s="3079" t="n">
        <v>0</v>
      </c>
      <c r="Q343" s="3078" t="n">
        <v>0</v>
      </c>
      <c r="R343" s="3079" t="n">
        <v>0</v>
      </c>
      <c r="S343" s="3078" t="n">
        <v>0</v>
      </c>
      <c r="T343" s="3079" t="n">
        <v>0</v>
      </c>
      <c r="U343" s="3078" t="n">
        <v>0</v>
      </c>
      <c r="V343" s="3079" t="n">
        <v>0</v>
      </c>
      <c r="W343" s="3078" t="n">
        <v>0</v>
      </c>
      <c r="X343" s="3079" t="n">
        <v>0</v>
      </c>
      <c r="Y343" s="3078" t="n">
        <v>0</v>
      </c>
      <c r="Z343" s="3079" t="n">
        <v>0</v>
      </c>
      <c r="AA343" s="3078" t="n">
        <v>0</v>
      </c>
      <c r="AB343" s="3079" t="n">
        <v>0</v>
      </c>
      <c r="AC343" s="3078" t="n">
        <v>0</v>
      </c>
      <c r="AD343" s="3079" t="n">
        <v>0</v>
      </c>
      <c r="AE343" s="3078" t="n">
        <v>0</v>
      </c>
      <c r="AF343" s="3079" t="n">
        <v>0</v>
      </c>
      <c r="AG343" s="3078" t="n">
        <v>0</v>
      </c>
      <c r="AH343" s="3079" t="n">
        <v>0</v>
      </c>
      <c r="AI343" s="3078" t="n">
        <v>0</v>
      </c>
      <c r="AJ343" s="3079" t="n">
        <v>0</v>
      </c>
      <c r="AK343" s="3078" t="n">
        <v>0</v>
      </c>
      <c r="AL343" s="3079" t="n">
        <v>0</v>
      </c>
      <c r="AM343" s="3078" t="n">
        <v>0</v>
      </c>
      <c r="AN343" s="3079" t="n">
        <v>0</v>
      </c>
      <c r="AO343" s="3078" t="n">
        <v>0</v>
      </c>
      <c r="AP343" s="1929" t="n">
        <v>0</v>
      </c>
      <c r="AQ343" s="5215" t="n">
        <v>0</v>
      </c>
      <c r="AR343" s="3892" t="n">
        <v>0</v>
      </c>
      <c r="AS343">
        <f>CA343&amp;CB343</f>
        <v/>
      </c>
      <c r="CA343" s="196">
        <f>IF(AND($F343&gt;0,AQ343="")," * No olvide digitar la variable Gestante. Digite cero si no tiene.",IF(AQ343&gt;$F343," * La variable Gestante no puede superar el Total Mujeres.",""))</f>
        <v/>
      </c>
      <c r="CB343" s="196">
        <f>IF(AND(AK343+AL343&gt;0,AR343="")," * No olvide digitar la variable 60 años (incluido en grupos de 60-64 años). Digite Cero si no tiene.",IF(AR343&gt;AK343+AL343," * La variable 60 años (incluido en grupos de 60-64 años) no puede superar la suma del Grupo 60-64 años.",""))</f>
        <v/>
      </c>
      <c r="CO343" s="197">
        <f>IF(AND($F343&gt;0,AQ343=""),1,IF(AQ343&gt;$F343,1,0))</f>
        <v/>
      </c>
      <c r="CP343" s="197">
        <f>IF(AND(AK343+AL343&gt;0,AR343=""),1,IF(AR343&gt;AK343+AL343,1,0))</f>
        <v/>
      </c>
    </row>
    <row r="344">
      <c r="A344" s="8748" t="inlineStr">
        <is>
          <t xml:space="preserve">Educación individual con instrucción  de técnica de cepillado </t>
        </is>
      </c>
      <c r="B344" s="10208" t="n"/>
      <c r="C344" s="9644" t="n"/>
      <c r="D344" s="3048">
        <f>SUM(E344:F344)</f>
        <v/>
      </c>
      <c r="E344" s="2134">
        <f>SUM(G344+I344+K344+M344+O344+Q344+S344+U344+W344+Y344+AA344+AC344+AE344+AG344+AI344+AK344+AM344+AO344)</f>
        <v/>
      </c>
      <c r="F344" s="8311">
        <f>SUM(H344+J344+L344+N344+P344+R344+T344+V344+X344+Z344+AB344+AD344+AF344+AH344+AJ344+AL344+AN344+AP344)</f>
        <v/>
      </c>
      <c r="G344" s="3078" t="n">
        <v>0</v>
      </c>
      <c r="H344" s="3079" t="n">
        <v>0</v>
      </c>
      <c r="I344" s="3078" t="n">
        <v>0</v>
      </c>
      <c r="J344" s="3079" t="n">
        <v>0</v>
      </c>
      <c r="K344" s="3078" t="n">
        <v>0</v>
      </c>
      <c r="L344" s="3079" t="n">
        <v>0</v>
      </c>
      <c r="M344" s="3078" t="n">
        <v>0</v>
      </c>
      <c r="N344" s="3079" t="n">
        <v>0</v>
      </c>
      <c r="O344" s="3078" t="n">
        <v>0</v>
      </c>
      <c r="P344" s="3079" t="n">
        <v>0</v>
      </c>
      <c r="Q344" s="3078" t="n">
        <v>0</v>
      </c>
      <c r="R344" s="3079" t="n">
        <v>0</v>
      </c>
      <c r="S344" s="3078" t="n">
        <v>2</v>
      </c>
      <c r="T344" s="3079" t="n">
        <v>0</v>
      </c>
      <c r="U344" s="3078" t="n">
        <v>1</v>
      </c>
      <c r="V344" s="3079" t="n">
        <v>0</v>
      </c>
      <c r="W344" s="3078" t="n">
        <v>0</v>
      </c>
      <c r="X344" s="3079" t="n">
        <v>2</v>
      </c>
      <c r="Y344" s="3078" t="n">
        <v>2</v>
      </c>
      <c r="Z344" s="3079" t="n">
        <v>2</v>
      </c>
      <c r="AA344" s="3078" t="n">
        <v>3</v>
      </c>
      <c r="AB344" s="3079" t="n">
        <v>1</v>
      </c>
      <c r="AC344" s="3078" t="n">
        <v>0</v>
      </c>
      <c r="AD344" s="3079" t="n">
        <v>0</v>
      </c>
      <c r="AE344" s="3078" t="n">
        <v>0</v>
      </c>
      <c r="AF344" s="3079" t="n">
        <v>2</v>
      </c>
      <c r="AG344" s="3078" t="n">
        <v>2</v>
      </c>
      <c r="AH344" s="3079" t="n">
        <v>0</v>
      </c>
      <c r="AI344" s="3078" t="n">
        <v>0</v>
      </c>
      <c r="AJ344" s="3079" t="n">
        <v>0</v>
      </c>
      <c r="AK344" s="3078" t="n">
        <v>0</v>
      </c>
      <c r="AL344" s="3079" t="n">
        <v>3</v>
      </c>
      <c r="AM344" s="3078" t="n">
        <v>0</v>
      </c>
      <c r="AN344" s="3079" t="n">
        <v>0</v>
      </c>
      <c r="AO344" s="3078" t="n">
        <v>0</v>
      </c>
      <c r="AP344" s="1929" t="n">
        <v>0</v>
      </c>
      <c r="AQ344" s="5248" t="n">
        <v>2</v>
      </c>
      <c r="AR344" s="1229" t="n">
        <v>1</v>
      </c>
      <c r="AS344">
        <f>CA344&amp;CB344</f>
        <v/>
      </c>
      <c r="CA344" s="196">
        <f>IF(AND($F344&gt;0,AQ344="")," * No olvide digitar la variable Gestante. Digite cero si no tiene.",IF(AQ344&gt;$F344," * La variable Gestante no puede superar el Total Mujeres.",""))</f>
        <v/>
      </c>
      <c r="CB344" s="196">
        <f>IF(AND(AK344+AL344&gt;0,AR344="")," * No olvide digitar la variable 60 años (incluido en grupos de 60-64 años). Digite Cero si no tiene.",IF(AR344&gt;AK344+AL344," * La variable 60 años (incluido en grupos de 60-64 años) no puede superar la suma del Grupo 60-64 años.",""))</f>
        <v/>
      </c>
      <c r="CO344" s="197">
        <f>IF(AND($F344&gt;0,AQ344=""),1,IF(AQ344&gt;$F344,1,0))</f>
        <v/>
      </c>
      <c r="CP344" s="197">
        <f>IF(AND(AK344+AL344&gt;0,AR344=""),1,IF(AR344&gt;AK344+AL344,1,0))</f>
        <v/>
      </c>
    </row>
    <row r="345">
      <c r="A345" s="9944" t="inlineStr">
        <is>
          <t>Radiografías intraorales (retroalveolares y bitewing)</t>
        </is>
      </c>
      <c r="B345" s="9817" t="n"/>
      <c r="C345" s="9720" t="n"/>
      <c r="D345" s="1252">
        <f>SUM(E345:F345)</f>
        <v/>
      </c>
      <c r="E345" s="1358">
        <f>SUM(G345+I345+K345+M345+O345+Q345+S345+U345+W345+Y345+AA345+AC345+AE345+AG345+AI345+AK345+AM345+AO345)</f>
        <v/>
      </c>
      <c r="F345" s="7764">
        <f>SUM(H345+J345+L345+N345+P345+R345+T345+V345+X345+Z345+AB345+AD345+AF345+AH345+AJ345+AL345+AN345+AP345)</f>
        <v/>
      </c>
      <c r="G345" s="1193" t="n">
        <v>0</v>
      </c>
      <c r="H345" s="1119" t="n">
        <v>0</v>
      </c>
      <c r="I345" s="1193" t="n">
        <v>0</v>
      </c>
      <c r="J345" s="1119" t="n">
        <v>0</v>
      </c>
      <c r="K345" s="1193" t="n">
        <v>0</v>
      </c>
      <c r="L345" s="1119" t="n">
        <v>0</v>
      </c>
      <c r="M345" s="1193" t="n">
        <v>1</v>
      </c>
      <c r="N345" s="1119" t="n">
        <v>0</v>
      </c>
      <c r="O345" s="1193" t="n">
        <v>1</v>
      </c>
      <c r="P345" s="1119" t="n">
        <v>0</v>
      </c>
      <c r="Q345" s="1193" t="n">
        <v>0</v>
      </c>
      <c r="R345" s="1119" t="n">
        <v>1</v>
      </c>
      <c r="S345" s="1193" t="n">
        <v>0</v>
      </c>
      <c r="T345" s="1119" t="n">
        <v>0</v>
      </c>
      <c r="U345" s="1193" t="n">
        <v>0</v>
      </c>
      <c r="V345" s="1119" t="n">
        <v>0</v>
      </c>
      <c r="W345" s="1193" t="n">
        <v>0</v>
      </c>
      <c r="X345" s="1119" t="n">
        <v>2</v>
      </c>
      <c r="Y345" s="1193" t="n">
        <v>5</v>
      </c>
      <c r="Z345" s="1119" t="n">
        <v>1</v>
      </c>
      <c r="AA345" s="1193" t="n">
        <v>3</v>
      </c>
      <c r="AB345" s="1119" t="n">
        <v>10</v>
      </c>
      <c r="AC345" s="1193" t="n">
        <v>1</v>
      </c>
      <c r="AD345" s="1119" t="n">
        <v>3</v>
      </c>
      <c r="AE345" s="1193" t="n">
        <v>7</v>
      </c>
      <c r="AF345" s="1119" t="n">
        <v>15</v>
      </c>
      <c r="AG345" s="1193" t="n">
        <v>1</v>
      </c>
      <c r="AH345" s="1119" t="n">
        <v>23</v>
      </c>
      <c r="AI345" s="1193" t="n">
        <v>13</v>
      </c>
      <c r="AJ345" s="1119" t="n">
        <v>21</v>
      </c>
      <c r="AK345" s="1193" t="n">
        <v>10</v>
      </c>
      <c r="AL345" s="1119" t="n">
        <v>5</v>
      </c>
      <c r="AM345" s="1193" t="n">
        <v>5</v>
      </c>
      <c r="AN345" s="1119" t="n">
        <v>4</v>
      </c>
      <c r="AO345" s="1193" t="n">
        <v>0</v>
      </c>
      <c r="AP345" s="1224" t="n">
        <v>0</v>
      </c>
      <c r="AQ345" s="5249" t="n">
        <v>11</v>
      </c>
      <c r="AR345" s="1223" t="n">
        <v>8</v>
      </c>
      <c r="AS345">
        <f>CA345&amp;CB345</f>
        <v/>
      </c>
      <c r="CA345" s="196">
        <f>IF(AND($F345&gt;0,AQ345="")," * No olvide digitar la variable Gestante. Digite cero si no tiene.",IF(AQ345&gt;$F345," * La variable Gestante no puede superar el Total Mujeres.",""))</f>
        <v/>
      </c>
      <c r="CB345" s="196">
        <f>IF(AND(AK345+AL345&gt;0,AR345="")," * No olvide digitar la variable 60 años (incluido en grupos de 60-64 años). Digite Cero si no tiene.",IF(AR345&gt;AK345+AL345," * La variable 60 años (incluido en grupos de 60-64 años) no puede superar la suma del Grupo 60-64 años.",""))</f>
        <v/>
      </c>
      <c r="CO345" s="197">
        <f>IF(AND($F345&gt;0,AQ345=""),1,IF(AQ345&gt;$F345,1,0))</f>
        <v/>
      </c>
      <c r="CP345" s="197">
        <f>IF(AND(AK345+AL345&gt;0,AR345=""),1,IF(AR345&gt;AK345+AL345,1,0))</f>
        <v/>
      </c>
    </row>
    <row r="346" ht="15.75" customHeight="1" s="8286">
      <c r="A346" s="9" t="inlineStr">
        <is>
          <t xml:space="preserve">SECCIÓN K: CONSULTORÍAS DE ESPECIALIDADES ODONTOLÓGICAS. </t>
        </is>
      </c>
      <c r="B346" s="3080" t="n"/>
      <c r="C346" s="3080" t="n"/>
      <c r="D346" s="3081" t="n"/>
      <c r="E346" s="370" t="n"/>
    </row>
    <row r="347" ht="31.5" customHeight="1" s="8286">
      <c r="A347" s="9240" t="inlineStr">
        <is>
          <t>ESPECIALIDADES</t>
        </is>
      </c>
      <c r="B347" s="9647" t="n"/>
      <c r="C347" s="5246" t="inlineStr">
        <is>
          <t xml:space="preserve">Nº Consultorías </t>
        </is>
      </c>
      <c r="D347" s="5245" t="inlineStr">
        <is>
          <t xml:space="preserve">Nº de casos revisados por el equipo </t>
        </is>
      </c>
      <c r="E347" s="5245" t="inlineStr">
        <is>
          <t xml:space="preserve">Nº de casos atendidos </t>
        </is>
      </c>
    </row>
    <row r="348">
      <c r="A348" s="10288" t="inlineStr">
        <is>
          <t xml:space="preserve">Endodoncia </t>
        </is>
      </c>
      <c r="B348" s="10289" t="n"/>
      <c r="C348" s="3783" t="n"/>
      <c r="D348" s="5189" t="n"/>
      <c r="E348" s="5189" t="n"/>
    </row>
    <row r="349">
      <c r="A349" s="10290" t="inlineStr">
        <is>
          <t xml:space="preserve">Imagenología oral y Maxilofacial  </t>
        </is>
      </c>
      <c r="B349" s="10291" t="n"/>
      <c r="C349" s="3792" t="n"/>
      <c r="D349" s="3892" t="n"/>
      <c r="E349" s="3892" t="n"/>
    </row>
    <row r="350">
      <c r="A350" s="9059" t="inlineStr">
        <is>
          <t xml:space="preserve">Ortodoncia </t>
        </is>
      </c>
      <c r="B350" s="9644" t="n"/>
      <c r="C350" s="3792" t="n"/>
      <c r="D350" s="3892" t="n"/>
      <c r="E350" s="3892" t="n"/>
    </row>
    <row r="351">
      <c r="A351" s="10290" t="inlineStr">
        <is>
          <t xml:space="preserve">Odontopediatría </t>
        </is>
      </c>
      <c r="B351" s="10291" t="n"/>
      <c r="C351" s="3792" t="n"/>
      <c r="D351" s="3892" t="n"/>
      <c r="E351" s="3892" t="n"/>
    </row>
    <row r="352">
      <c r="A352" s="10290" t="inlineStr">
        <is>
          <t xml:space="preserve">Periodoncia </t>
        </is>
      </c>
      <c r="B352" s="10291" t="n"/>
      <c r="C352" s="3792" t="n"/>
      <c r="D352" s="3892" t="n"/>
      <c r="E352" s="3892" t="n"/>
    </row>
    <row r="353">
      <c r="A353" s="10290" t="inlineStr">
        <is>
          <t xml:space="preserve">Rehabilitación oral </t>
        </is>
      </c>
      <c r="B353" s="10291" t="n"/>
      <c r="C353" s="3792" t="n"/>
      <c r="D353" s="3892" t="n"/>
      <c r="E353" s="3892" t="n"/>
    </row>
    <row r="354">
      <c r="A354" s="10290" t="inlineStr">
        <is>
          <t xml:space="preserve">Cirugía y Traumatología Maxilofacial </t>
        </is>
      </c>
      <c r="B354" s="10291" t="n"/>
      <c r="C354" s="3792" t="n"/>
      <c r="D354" s="3892" t="n"/>
      <c r="E354" s="3892" t="n"/>
    </row>
    <row r="355" ht="21" customHeight="1" s="8286">
      <c r="A355" s="10292" t="inlineStr">
        <is>
          <t xml:space="preserve">Trastornos Temporomandibulares y dolor Orofacial </t>
        </is>
      </c>
      <c r="B355" s="10291" t="n"/>
      <c r="C355" s="3792" t="n"/>
      <c r="D355" s="3892" t="n"/>
      <c r="E355" s="3892" t="n"/>
    </row>
    <row r="356">
      <c r="A356" s="10292" t="inlineStr">
        <is>
          <t xml:space="preserve">Patología oral </t>
        </is>
      </c>
      <c r="B356" s="10291" t="n"/>
      <c r="C356" s="3792" t="n"/>
      <c r="D356" s="3892" t="n"/>
      <c r="E356" s="3892" t="n"/>
    </row>
    <row r="357">
      <c r="A357" s="10292" t="inlineStr">
        <is>
          <t xml:space="preserve">Implantología buco Maxilofacial </t>
        </is>
      </c>
      <c r="B357" s="10291" t="n"/>
      <c r="C357" s="3792" t="n"/>
      <c r="D357" s="3892" t="n"/>
      <c r="E357" s="3892" t="n"/>
    </row>
    <row r="358">
      <c r="A358" s="10293" t="inlineStr">
        <is>
          <t>Somatoprotesis</t>
        </is>
      </c>
      <c r="B358" s="10294" t="n"/>
      <c r="C358" s="1195" t="n"/>
      <c r="D358" s="1223" t="n"/>
      <c r="E358" s="1223" t="n"/>
    </row>
    <row r="385" hidden="1" ht="16.5" customHeight="1" s="8286">
      <c r="A385" s="282">
        <f>SUM(D12:D17,D21:D38,D44:D67,D71:D81,I71:I81,D85:D86,D91:D143,B148:B158,I148:I158,D163:D174,D182:D189,D195:D198,D202:D227,D232:D235,D242:D246,D251:D336,D341:D345,C348:E358)</f>
        <v/>
      </c>
      <c r="B385" s="283">
        <f>SUM(CO12:CZ345)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KXnNragNU9S8hCueCW81JQ==" formatRows="1" sort="1" spinCount="100000" hashValue="JWo2ubc3crT7IVCCmnSs8H97cWruyyJMSnGJM5FnOyybYvehZprtOGOwQQd8uP4PlZUyF+dVilBruQm9Nl8CXg=="/>
  <mergeCells count="564">
    <mergeCell ref="AV88:AV90"/>
    <mergeCell ref="A128:C128"/>
    <mergeCell ref="AU160:AU162"/>
    <mergeCell ref="S177:T177"/>
    <mergeCell ref="K177:L177"/>
    <mergeCell ref="Y161:Z161"/>
    <mergeCell ref="A349:B349"/>
    <mergeCell ref="M177:N177"/>
    <mergeCell ref="AA161:AB161"/>
    <mergeCell ref="A295:A300"/>
    <mergeCell ref="A136:C136"/>
    <mergeCell ref="A21:C21"/>
    <mergeCell ref="A57:C57"/>
    <mergeCell ref="A113:C113"/>
    <mergeCell ref="A160:C162"/>
    <mergeCell ref="B297:C297"/>
    <mergeCell ref="A23:C23"/>
    <mergeCell ref="M10:N10"/>
    <mergeCell ref="B312:C312"/>
    <mergeCell ref="B299:C299"/>
    <mergeCell ref="AS88:AS90"/>
    <mergeCell ref="B314:C314"/>
    <mergeCell ref="AU88:AU90"/>
    <mergeCell ref="AS19:AS20"/>
    <mergeCell ref="S19:T19"/>
    <mergeCell ref="AX176:AX178"/>
    <mergeCell ref="AO10:AP10"/>
    <mergeCell ref="A34:C34"/>
    <mergeCell ref="A49:C49"/>
    <mergeCell ref="A110:C110"/>
    <mergeCell ref="A174:C174"/>
    <mergeCell ref="Y42:Z42"/>
    <mergeCell ref="A118:C118"/>
    <mergeCell ref="B195:C195"/>
    <mergeCell ref="A271:A276"/>
    <mergeCell ref="B287:C287"/>
    <mergeCell ref="AM248:AM250"/>
    <mergeCell ref="AI89:AJ89"/>
    <mergeCell ref="AK89:AL89"/>
    <mergeCell ref="A29:C29"/>
    <mergeCell ref="Q249:R249"/>
    <mergeCell ref="C145:C147"/>
    <mergeCell ref="S249:T249"/>
    <mergeCell ref="E145:E147"/>
    <mergeCell ref="A121:C121"/>
    <mergeCell ref="K249:L249"/>
    <mergeCell ref="B289:C289"/>
    <mergeCell ref="A44:C44"/>
    <mergeCell ref="A201:A203"/>
    <mergeCell ref="A31:C31"/>
    <mergeCell ref="AA177:AB177"/>
    <mergeCell ref="AC177:AD177"/>
    <mergeCell ref="A24:C24"/>
    <mergeCell ref="AR160:AR162"/>
    <mergeCell ref="AT160:AT162"/>
    <mergeCell ref="AQ145:AQ147"/>
    <mergeCell ref="B313:C313"/>
    <mergeCell ref="G230:H230"/>
    <mergeCell ref="AG42:AH42"/>
    <mergeCell ref="AI42:AJ42"/>
    <mergeCell ref="A124:C124"/>
    <mergeCell ref="U10:V10"/>
    <mergeCell ref="AG161:AH161"/>
    <mergeCell ref="B315:C315"/>
    <mergeCell ref="A352:B352"/>
    <mergeCell ref="B302:C302"/>
    <mergeCell ref="AK19:AL19"/>
    <mergeCell ref="AA19:AB19"/>
    <mergeCell ref="A50:C50"/>
    <mergeCell ref="A239:C241"/>
    <mergeCell ref="G88:AN88"/>
    <mergeCell ref="AR19:AR20"/>
    <mergeCell ref="AT88:AT90"/>
    <mergeCell ref="B183:B189"/>
    <mergeCell ref="A126:C126"/>
    <mergeCell ref="G338:AP338"/>
    <mergeCell ref="B318:C318"/>
    <mergeCell ref="L145:L147"/>
    <mergeCell ref="N145:N147"/>
    <mergeCell ref="AT41:AT43"/>
    <mergeCell ref="AV41:AV43"/>
    <mergeCell ref="B333:C333"/>
    <mergeCell ref="AO42:AP42"/>
    <mergeCell ref="N69:N70"/>
    <mergeCell ref="M89:N89"/>
    <mergeCell ref="B270:C270"/>
    <mergeCell ref="AE339:AF339"/>
    <mergeCell ref="B99:C99"/>
    <mergeCell ref="G89:H89"/>
    <mergeCell ref="AG339:AH339"/>
    <mergeCell ref="O89:P89"/>
    <mergeCell ref="B92:C92"/>
    <mergeCell ref="U177:V177"/>
    <mergeCell ref="AI161:AJ161"/>
    <mergeCell ref="A79:C79"/>
    <mergeCell ref="B94:C94"/>
    <mergeCell ref="AX19:AX20"/>
    <mergeCell ref="A289:A294"/>
    <mergeCell ref="A137:C137"/>
    <mergeCell ref="K145:K147"/>
    <mergeCell ref="M145:M147"/>
    <mergeCell ref="W10:X10"/>
    <mergeCell ref="AT9:AT11"/>
    <mergeCell ref="A358:B358"/>
    <mergeCell ref="B321:C321"/>
    <mergeCell ref="AV9:AV11"/>
    <mergeCell ref="A74:C74"/>
    <mergeCell ref="O10:P10"/>
    <mergeCell ref="AN248:AN250"/>
    <mergeCell ref="A139:C139"/>
    <mergeCell ref="AP249:AP250"/>
    <mergeCell ref="A248:C250"/>
    <mergeCell ref="B263:C263"/>
    <mergeCell ref="B323:C323"/>
    <mergeCell ref="A76:C76"/>
    <mergeCell ref="G19:H19"/>
    <mergeCell ref="B181:C181"/>
    <mergeCell ref="O230:P230"/>
    <mergeCell ref="Q230:R230"/>
    <mergeCell ref="AS176:AS178"/>
    <mergeCell ref="B258:C258"/>
    <mergeCell ref="A307:A312"/>
    <mergeCell ref="A72:A73"/>
    <mergeCell ref="B260:C260"/>
    <mergeCell ref="G41:AP41"/>
    <mergeCell ref="D19:F19"/>
    <mergeCell ref="A45:C45"/>
    <mergeCell ref="A343:C343"/>
    <mergeCell ref="I339:J339"/>
    <mergeCell ref="K339:L339"/>
    <mergeCell ref="B334:C334"/>
    <mergeCell ref="I69:M69"/>
    <mergeCell ref="B309:C309"/>
    <mergeCell ref="A345:C345"/>
    <mergeCell ref="M161:N161"/>
    <mergeCell ref="B271:C271"/>
    <mergeCell ref="B100:C100"/>
    <mergeCell ref="O161:P161"/>
    <mergeCell ref="B336:C336"/>
    <mergeCell ref="G161:H161"/>
    <mergeCell ref="A46:C46"/>
    <mergeCell ref="B311:C311"/>
    <mergeCell ref="A105:C105"/>
    <mergeCell ref="AA249:AB249"/>
    <mergeCell ref="B102:C102"/>
    <mergeCell ref="W89:X89"/>
    <mergeCell ref="AC249:AD249"/>
    <mergeCell ref="Y89:Z89"/>
    <mergeCell ref="A26:C26"/>
    <mergeCell ref="AW41:AW43"/>
    <mergeCell ref="A355:B355"/>
    <mergeCell ref="A71:C71"/>
    <mergeCell ref="AI177:AJ177"/>
    <mergeCell ref="AK177:AL177"/>
    <mergeCell ref="A234:C234"/>
    <mergeCell ref="AU176:AU178"/>
    <mergeCell ref="A85:A86"/>
    <mergeCell ref="A171:C171"/>
    <mergeCell ref="D239:F240"/>
    <mergeCell ref="A165:C165"/>
    <mergeCell ref="AC10:AD10"/>
    <mergeCell ref="AD229:AD231"/>
    <mergeCell ref="AE10:AF10"/>
    <mergeCell ref="A313:A318"/>
    <mergeCell ref="U42:V42"/>
    <mergeCell ref="AT248:AT250"/>
    <mergeCell ref="B255:C255"/>
    <mergeCell ref="A77:C77"/>
    <mergeCell ref="AV248:AV250"/>
    <mergeCell ref="W42:X42"/>
    <mergeCell ref="B316:C316"/>
    <mergeCell ref="B266:C266"/>
    <mergeCell ref="AS9:AS11"/>
    <mergeCell ref="AU9:AU11"/>
    <mergeCell ref="A212:A216"/>
    <mergeCell ref="M19:N19"/>
    <mergeCell ref="B330:C330"/>
    <mergeCell ref="B268:C268"/>
    <mergeCell ref="B324:C324"/>
    <mergeCell ref="G176:AP176"/>
    <mergeCell ref="B261:C261"/>
    <mergeCell ref="AV145:AV147"/>
    <mergeCell ref="K239:K241"/>
    <mergeCell ref="AX145:AX147"/>
    <mergeCell ref="A120:C120"/>
    <mergeCell ref="W230:X230"/>
    <mergeCell ref="B201:B203"/>
    <mergeCell ref="A32:C32"/>
    <mergeCell ref="Q339:R339"/>
    <mergeCell ref="B179:C179"/>
    <mergeCell ref="S339:T339"/>
    <mergeCell ref="AW160:AW162"/>
    <mergeCell ref="AF229:AF231"/>
    <mergeCell ref="O177:P177"/>
    <mergeCell ref="G177:H177"/>
    <mergeCell ref="U161:V161"/>
    <mergeCell ref="I177:J177"/>
    <mergeCell ref="W161:X161"/>
    <mergeCell ref="B279:C279"/>
    <mergeCell ref="AK249:AL249"/>
    <mergeCell ref="B281:C281"/>
    <mergeCell ref="A338:C340"/>
    <mergeCell ref="A123:C123"/>
    <mergeCell ref="I10:J10"/>
    <mergeCell ref="K10:L10"/>
    <mergeCell ref="A237:C237"/>
    <mergeCell ref="A88:C90"/>
    <mergeCell ref="A16:C16"/>
    <mergeCell ref="A108:C108"/>
    <mergeCell ref="AO88:AO90"/>
    <mergeCell ref="A41:C43"/>
    <mergeCell ref="AQ88:AQ90"/>
    <mergeCell ref="O19:P19"/>
    <mergeCell ref="B194:C194"/>
    <mergeCell ref="AT176:AT178"/>
    <mergeCell ref="AE229:AE231"/>
    <mergeCell ref="AV176:AV178"/>
    <mergeCell ref="B292:C292"/>
    <mergeCell ref="AG229:AG231"/>
    <mergeCell ref="Y230:Z230"/>
    <mergeCell ref="B96:C96"/>
    <mergeCell ref="B332:C332"/>
    <mergeCell ref="B307:C307"/>
    <mergeCell ref="G67:Z67"/>
    <mergeCell ref="B294:C294"/>
    <mergeCell ref="A47:C47"/>
    <mergeCell ref="B98:C98"/>
    <mergeCell ref="A22:C22"/>
    <mergeCell ref="AS248:AS250"/>
    <mergeCell ref="AU248:AU250"/>
    <mergeCell ref="Q177:R177"/>
    <mergeCell ref="AC42:AD42"/>
    <mergeCell ref="A134:C134"/>
    <mergeCell ref="U339:V339"/>
    <mergeCell ref="A167:C167"/>
    <mergeCell ref="D41:F42"/>
    <mergeCell ref="A169:C169"/>
    <mergeCell ref="B251:C251"/>
    <mergeCell ref="A265:A270"/>
    <mergeCell ref="AE89:AF89"/>
    <mergeCell ref="AG89:AH89"/>
    <mergeCell ref="A227:C227"/>
    <mergeCell ref="B305:C305"/>
    <mergeCell ref="A145:A147"/>
    <mergeCell ref="B280:C280"/>
    <mergeCell ref="A164:C164"/>
    <mergeCell ref="W177:X177"/>
    <mergeCell ref="B295:C295"/>
    <mergeCell ref="Y177:Z177"/>
    <mergeCell ref="B282:C282"/>
    <mergeCell ref="AI19:AJ19"/>
    <mergeCell ref="AV160:AV162"/>
    <mergeCell ref="A83:C84"/>
    <mergeCell ref="AX160:AX162"/>
    <mergeCell ref="A116:C116"/>
    <mergeCell ref="A17:C17"/>
    <mergeCell ref="AE42:AF42"/>
    <mergeCell ref="Q10:R10"/>
    <mergeCell ref="A109:C109"/>
    <mergeCell ref="D248:F249"/>
    <mergeCell ref="B73:C73"/>
    <mergeCell ref="B224:B226"/>
    <mergeCell ref="A117:C117"/>
    <mergeCell ref="A111:C111"/>
    <mergeCell ref="B308:C308"/>
    <mergeCell ref="AM339:AN339"/>
    <mergeCell ref="AO339:AP339"/>
    <mergeCell ref="B300:C300"/>
    <mergeCell ref="A48:C48"/>
    <mergeCell ref="A142:C142"/>
    <mergeCell ref="B335:C335"/>
    <mergeCell ref="B310:C310"/>
    <mergeCell ref="AP88:AP90"/>
    <mergeCell ref="A9:C11"/>
    <mergeCell ref="AR88:AR90"/>
    <mergeCell ref="A357:B357"/>
    <mergeCell ref="AK42:AL42"/>
    <mergeCell ref="A233:C233"/>
    <mergeCell ref="AM42:AN42"/>
    <mergeCell ref="A37:C37"/>
    <mergeCell ref="AI249:AJ249"/>
    <mergeCell ref="I89:J89"/>
    <mergeCell ref="K89:L89"/>
    <mergeCell ref="AC339:AD339"/>
    <mergeCell ref="B326:C326"/>
    <mergeCell ref="B220:B221"/>
    <mergeCell ref="A235:C235"/>
    <mergeCell ref="AQ338:AQ340"/>
    <mergeCell ref="B290:C290"/>
    <mergeCell ref="AT19:AT20"/>
    <mergeCell ref="AV19:AV20"/>
    <mergeCell ref="G145:G147"/>
    <mergeCell ref="I145:I147"/>
    <mergeCell ref="A63:C63"/>
    <mergeCell ref="S10:T10"/>
    <mergeCell ref="B283:C283"/>
    <mergeCell ref="D229:F230"/>
    <mergeCell ref="I42:J42"/>
    <mergeCell ref="AR9:AR11"/>
    <mergeCell ref="K42:L42"/>
    <mergeCell ref="A130:C130"/>
    <mergeCell ref="B298:C298"/>
    <mergeCell ref="B285:C285"/>
    <mergeCell ref="G239:G241"/>
    <mergeCell ref="D160:F161"/>
    <mergeCell ref="I239:I241"/>
    <mergeCell ref="A138:C138"/>
    <mergeCell ref="A132:C132"/>
    <mergeCell ref="A119:C119"/>
    <mergeCell ref="S230:T230"/>
    <mergeCell ref="G229:AB229"/>
    <mergeCell ref="A353:B353"/>
    <mergeCell ref="K230:L230"/>
    <mergeCell ref="M230:N230"/>
    <mergeCell ref="AQ160:AQ162"/>
    <mergeCell ref="A133:C133"/>
    <mergeCell ref="B301:C301"/>
    <mergeCell ref="G160:AP160"/>
    <mergeCell ref="AM19:AN19"/>
    <mergeCell ref="A182:A189"/>
    <mergeCell ref="B303:C303"/>
    <mergeCell ref="B253:C253"/>
    <mergeCell ref="AO248:AP248"/>
    <mergeCell ref="AX88:AX90"/>
    <mergeCell ref="D83:F83"/>
    <mergeCell ref="A13:C13"/>
    <mergeCell ref="AW145:AW147"/>
    <mergeCell ref="AK10:AL10"/>
    <mergeCell ref="A67:C67"/>
    <mergeCell ref="Q89:R89"/>
    <mergeCell ref="AM10:AN10"/>
    <mergeCell ref="S89:T89"/>
    <mergeCell ref="A15:C15"/>
    <mergeCell ref="U89:V89"/>
    <mergeCell ref="AQ41:AQ43"/>
    <mergeCell ref="B329:C329"/>
    <mergeCell ref="AS41:AS43"/>
    <mergeCell ref="AG177:AH177"/>
    <mergeCell ref="B95:C95"/>
    <mergeCell ref="B331:C331"/>
    <mergeCell ref="A220:A221"/>
    <mergeCell ref="U19:V19"/>
    <mergeCell ref="B306:C306"/>
    <mergeCell ref="W19:X19"/>
    <mergeCell ref="B97:C97"/>
    <mergeCell ref="D69:H69"/>
    <mergeCell ref="B72:C72"/>
    <mergeCell ref="A350:B350"/>
    <mergeCell ref="AR338:AR340"/>
    <mergeCell ref="AA10:AB10"/>
    <mergeCell ref="Q42:R42"/>
    <mergeCell ref="D88:F89"/>
    <mergeCell ref="S42:T42"/>
    <mergeCell ref="AR248:AR250"/>
    <mergeCell ref="AU19:AU20"/>
    <mergeCell ref="H145:H147"/>
    <mergeCell ref="A277:A282"/>
    <mergeCell ref="J145:J147"/>
    <mergeCell ref="A354:B354"/>
    <mergeCell ref="AR41:AR43"/>
    <mergeCell ref="AQ9:AQ11"/>
    <mergeCell ref="B322:C322"/>
    <mergeCell ref="A141:C141"/>
    <mergeCell ref="A135:C135"/>
    <mergeCell ref="D338:F339"/>
    <mergeCell ref="A122:C122"/>
    <mergeCell ref="AA230:AB230"/>
    <mergeCell ref="A356:B356"/>
    <mergeCell ref="AA339:AB339"/>
    <mergeCell ref="G249:H249"/>
    <mergeCell ref="A28:C28"/>
    <mergeCell ref="AR145:AR147"/>
    <mergeCell ref="B207:B208"/>
    <mergeCell ref="A301:A306"/>
    <mergeCell ref="AT145:AT147"/>
    <mergeCell ref="AC161:AD161"/>
    <mergeCell ref="B317:C317"/>
    <mergeCell ref="A6:P6"/>
    <mergeCell ref="AE161:AF161"/>
    <mergeCell ref="A331:A336"/>
    <mergeCell ref="B304:C304"/>
    <mergeCell ref="A204:A211"/>
    <mergeCell ref="A30:C30"/>
    <mergeCell ref="G248:AL248"/>
    <mergeCell ref="B254:C254"/>
    <mergeCell ref="B319:C319"/>
    <mergeCell ref="A97:A102"/>
    <mergeCell ref="A176:C178"/>
    <mergeCell ref="B256:C256"/>
    <mergeCell ref="B85:C85"/>
    <mergeCell ref="D9:F10"/>
    <mergeCell ref="B196:B198"/>
    <mergeCell ref="AW88:AW90"/>
    <mergeCell ref="S161:T161"/>
    <mergeCell ref="AW19:AW20"/>
    <mergeCell ref="A27:C27"/>
    <mergeCell ref="A341:C341"/>
    <mergeCell ref="A129:C129"/>
    <mergeCell ref="B272:C272"/>
    <mergeCell ref="B259:C259"/>
    <mergeCell ref="G10:H10"/>
    <mergeCell ref="A131:C131"/>
    <mergeCell ref="A283:A288"/>
    <mergeCell ref="B274:C274"/>
    <mergeCell ref="A195:A198"/>
    <mergeCell ref="A351:B351"/>
    <mergeCell ref="B267:C267"/>
    <mergeCell ref="B209:B211"/>
    <mergeCell ref="AR176:AR178"/>
    <mergeCell ref="AC229:AC231"/>
    <mergeCell ref="A91:A96"/>
    <mergeCell ref="A222:A226"/>
    <mergeCell ref="A143:C143"/>
    <mergeCell ref="U230:V230"/>
    <mergeCell ref="B269:C269"/>
    <mergeCell ref="A232:C232"/>
    <mergeCell ref="A36:C36"/>
    <mergeCell ref="B222:B223"/>
    <mergeCell ref="AW9:AW11"/>
    <mergeCell ref="B325:C325"/>
    <mergeCell ref="AQ248:AQ250"/>
    <mergeCell ref="AM89:AN89"/>
    <mergeCell ref="A78:C78"/>
    <mergeCell ref="U249:V249"/>
    <mergeCell ref="M249:N249"/>
    <mergeCell ref="W249:X249"/>
    <mergeCell ref="B91:C91"/>
    <mergeCell ref="O249:P249"/>
    <mergeCell ref="B327:C327"/>
    <mergeCell ref="A80:C80"/>
    <mergeCell ref="AE177:AF177"/>
    <mergeCell ref="B193:C193"/>
    <mergeCell ref="B264:C264"/>
    <mergeCell ref="B320:C320"/>
    <mergeCell ref="B93:C93"/>
    <mergeCell ref="B86:C86"/>
    <mergeCell ref="B262:C262"/>
    <mergeCell ref="B204:B206"/>
    <mergeCell ref="B101:C101"/>
    <mergeCell ref="AC89:AD89"/>
    <mergeCell ref="Y10:Z10"/>
    <mergeCell ref="AK161:AL161"/>
    <mergeCell ref="B182:C182"/>
    <mergeCell ref="AC19:AD19"/>
    <mergeCell ref="AE19:AF19"/>
    <mergeCell ref="AG19:AH19"/>
    <mergeCell ref="A259:A264"/>
    <mergeCell ref="B275:C275"/>
    <mergeCell ref="A253:A258"/>
    <mergeCell ref="AA42:AB42"/>
    <mergeCell ref="B212:C212"/>
    <mergeCell ref="B277:C277"/>
    <mergeCell ref="AX41:AX43"/>
    <mergeCell ref="B252:C252"/>
    <mergeCell ref="A246:C246"/>
    <mergeCell ref="D176:F177"/>
    <mergeCell ref="A75:C75"/>
    <mergeCell ref="A64:B66"/>
    <mergeCell ref="A319:A324"/>
    <mergeCell ref="AI339:AJ339"/>
    <mergeCell ref="AO249:AO250"/>
    <mergeCell ref="B217:B219"/>
    <mergeCell ref="AK339:AL339"/>
    <mergeCell ref="H239:H241"/>
    <mergeCell ref="A12:C12"/>
    <mergeCell ref="J239:J241"/>
    <mergeCell ref="B180:C180"/>
    <mergeCell ref="A104:C104"/>
    <mergeCell ref="AM161:AN161"/>
    <mergeCell ref="AQ176:AQ178"/>
    <mergeCell ref="A14:C14"/>
    <mergeCell ref="AO161:AP161"/>
    <mergeCell ref="A106:C106"/>
    <mergeCell ref="B328:C328"/>
    <mergeCell ref="AW248:AW250"/>
    <mergeCell ref="A81:C81"/>
    <mergeCell ref="AE249:AF249"/>
    <mergeCell ref="AX9:AX11"/>
    <mergeCell ref="B257:C257"/>
    <mergeCell ref="B288:C288"/>
    <mergeCell ref="DR6:EI6"/>
    <mergeCell ref="A51:B56"/>
    <mergeCell ref="B213:B214"/>
    <mergeCell ref="B265:C265"/>
    <mergeCell ref="I19:J19"/>
    <mergeCell ref="K19:L19"/>
    <mergeCell ref="A172:C172"/>
    <mergeCell ref="A243:C243"/>
    <mergeCell ref="B215:B216"/>
    <mergeCell ref="A25:C25"/>
    <mergeCell ref="AU41:AU43"/>
    <mergeCell ref="A19:C20"/>
    <mergeCell ref="G42:H42"/>
    <mergeCell ref="A236:C236"/>
    <mergeCell ref="A163:C163"/>
    <mergeCell ref="B276:C276"/>
    <mergeCell ref="A325:A330"/>
    <mergeCell ref="AI229:AI231"/>
    <mergeCell ref="M339:N339"/>
    <mergeCell ref="B278:C278"/>
    <mergeCell ref="O339:P339"/>
    <mergeCell ref="G339:H339"/>
    <mergeCell ref="I230:J230"/>
    <mergeCell ref="A125:C125"/>
    <mergeCell ref="A112:C112"/>
    <mergeCell ref="Q161:R161"/>
    <mergeCell ref="I161:J161"/>
    <mergeCell ref="K161:L161"/>
    <mergeCell ref="A127:C127"/>
    <mergeCell ref="A114:C114"/>
    <mergeCell ref="AA89:AB89"/>
    <mergeCell ref="AG249:AH249"/>
    <mergeCell ref="Y249:Z249"/>
    <mergeCell ref="I249:J249"/>
    <mergeCell ref="A107:C107"/>
    <mergeCell ref="G9:AP9"/>
    <mergeCell ref="AM177:AN177"/>
    <mergeCell ref="A170:B170"/>
    <mergeCell ref="AO177:AP177"/>
    <mergeCell ref="AW176:AW178"/>
    <mergeCell ref="AH229:AH231"/>
    <mergeCell ref="A217:A219"/>
    <mergeCell ref="B296:C296"/>
    <mergeCell ref="AS145:AS147"/>
    <mergeCell ref="AU145:AU147"/>
    <mergeCell ref="AG10:AH10"/>
    <mergeCell ref="B273:C273"/>
    <mergeCell ref="AS160:AS162"/>
    <mergeCell ref="AI10:AJ10"/>
    <mergeCell ref="AX248:AX250"/>
    <mergeCell ref="B291:C291"/>
    <mergeCell ref="A58:B62"/>
    <mergeCell ref="A242:C242"/>
    <mergeCell ref="A251:A252"/>
    <mergeCell ref="A33:C33"/>
    <mergeCell ref="B293:C293"/>
    <mergeCell ref="AO19:AP19"/>
    <mergeCell ref="A244:C244"/>
    <mergeCell ref="Y19:Z19"/>
    <mergeCell ref="A342:C342"/>
    <mergeCell ref="Q19:R19"/>
    <mergeCell ref="A35:C35"/>
    <mergeCell ref="A69:C70"/>
    <mergeCell ref="A115:C115"/>
    <mergeCell ref="A344:C344"/>
    <mergeCell ref="M42:N42"/>
    <mergeCell ref="A245:C245"/>
    <mergeCell ref="O42:P42"/>
    <mergeCell ref="A229:C231"/>
    <mergeCell ref="A39:C39"/>
    <mergeCell ref="AQ19:AQ20"/>
    <mergeCell ref="A166:C166"/>
    <mergeCell ref="B145:B147"/>
    <mergeCell ref="D145:D147"/>
    <mergeCell ref="B192:C192"/>
    <mergeCell ref="F145:F147"/>
    <mergeCell ref="B284:C284"/>
    <mergeCell ref="A103:C103"/>
    <mergeCell ref="A168:C168"/>
    <mergeCell ref="A348:B348"/>
    <mergeCell ref="W339:X339"/>
    <mergeCell ref="B286:C286"/>
    <mergeCell ref="A347:B347"/>
    <mergeCell ref="Y339:Z339"/>
  </mergeCells>
  <dataValidations count="10">
    <dataValidation sqref="E85:F86 E242:K246 G12:AX17 G21:T21 G23:T33 G35:T38 G45:R46 G48:R63 G163:AX173 G341:AR345 O148:AX156 O157 S44:T63 U21:AX38 U45:X63 Y44:Z66 AA44:AX67 AC196 AD183 AD232:AD237 AE196 AF183 AG196 AH183 AI196 AJ183 AK196 AL183 AM196 AN183 AO196 AP183:AX183 AQ196:AX196" showDropDown="0" showInputMessage="1" showErrorMessage="1" allowBlank="0" errorTitle="Error" error="Favor Ingrese sólo Números." type="whole" operator="greaterThanOrEqual">
      <formula1>0</formula1>
    </dataValidation>
    <dataValidation sqref="E71:H81 J71:N81 AA227:AX227" showDropDown="0" showInputMessage="1" showErrorMessage="1" allowBlank="0" type="whole" operator="greaterThanOrEqual">
      <formula1>0</formula1>
    </dataValidation>
    <dataValidation sqref="G22:T22 G34:T34 G44:R44 G47:R47 G64:G67 H64:X66 U44:X44" showDropDown="0" showInputMessage="1" showErrorMessage="1" allowBlank="0" errorTitle="Error" error="Favor Ingrese sólo Números." type="whole" operator="equal">
      <formula1>0</formula1>
    </dataValidation>
    <dataValidation sqref="B192:AX194 C190:AX191 C199:AX200 D179:AX181 D236:F237 F148 F151:F152 F154 F156 G104:X104 G110:P114 G121:P127 G182:AC189 G195:AB198 G204:X227 G232:J237 K236:T237 L148 L151:L152 L154 L156 Q122:X125 Q127:X127 U232:AB237 Y204:Z216 Y220:Z227 AA209:AB216 AA220:AB221 AC212:AJ216 AC236:AC237 AD195:AD198 AE182:AE189 AF195:AF198 AG182:AG189 AH195:AH198 AH236:AI237 AI182:AI189 AJ195:AJ198 AK182:AK189 AL195:AL198 AM182:AM189 AM212:AP216 AN195:AN198 AO182:AO189 AO332:AP332 AO333:AQ336 AP195:AP198 AS212:AT216 AV195 AV205:AV206 AV208 AV210:AV211 AV220:AV221 AV223 AV225:AV226 AV331:AV333 AV335:AV336" showDropDown="0" showInputMessage="1" showErrorMessage="1" allowBlank="0" type="whole" operator="equal">
      <formula1>0</formula1>
    </dataValidation>
    <dataValidation sqref="G91:X103 G105:P109 G115:P120 G128:X142 Q105:X121 Q126:X126 Y91:AX142 Y202:Z203 Y217:AB219 AA202:AB208 AA222:AB226" showDropDown="0" showInputMessage="1" showErrorMessage="1" allowBlank="0" type="whole">
      <formula1>0</formula1>
      <formula2>9.99999999999999E+40</formula2>
    </dataValidation>
    <dataValidation sqref="C148:E157 F149:F150 F153 F155 F157 G148:H157 G251:AX330 J148:K157 L149:L150 L153 L155 L157 M148:N157 AQ182:AX182 AQ184:AX189 AQ195:AU195 AQ197:AX198 AQ202:AR226 AS202:AT211 AS217:AT226 AU202:AU226 AV202:AV204 AV207 AV209 AV212:AV219 AV222 AV224 AW195:AX195 AW202:AX226" showDropDown="0" showInputMessage="1" showErrorMessage="1" allowBlank="0" type="whole">
      <formula1>0</formula1>
      <formula2>9.99999999999999E+39</formula2>
    </dataValidation>
    <dataValidation sqref="E182:E189 F195:F198" showDropDown="0" showInputMessage="1" showErrorMessage="1" allowBlank="0" type="whole">
      <formula1>0</formula1>
      <formula2>9.99999999999999E+34</formula2>
    </dataValidation>
    <dataValidation sqref="C348:E358 G202:X203" showDropDown="0" showInputMessage="1" showErrorMessage="1" allowBlank="0" type="whole">
      <formula1>0</formula1>
      <formula2>9.99999999999999E+42</formula2>
    </dataValidation>
    <dataValidation sqref="AC195 AC197:AC198 AC202:AJ211 AC217:AJ226 AD182 AD184:AD189 AE195 AE197:AE198 AF182 AF184:AF189 AG195 AG197:AG198 AH182 AH184:AH189 AI195 AI197:AI198 AJ182 AJ184:AJ189 AK195 AK197:AK198 AK202:AL226 AL182 AL184:AL189 AM195 AM197:AM198 AM202:AP211 AM217:AP226 AN182 AN184:AN189 AO195 AO197:AO198 AP182 AP184:AP189" showDropDown="0" showInputMessage="1" showErrorMessage="1" allowBlank="0" type="whole">
      <formula1>0</formula1>
      <formula2>9.99999999999999E+38</formula2>
    </dataValidation>
    <dataValidation sqref="K232:T235 AC232:AC235 AE232:AG237 AH232:AI235" showDropDown="0" showInputMessage="1" showErrorMessage="1" allowBlank="0" type="whole">
      <formula1>0</formula1>
      <formula2>9.99999999999999E+37</formula2>
    </dataValidation>
  </dataValidations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Hoja11">
    <outlinePr summaryBelow="1" summaryRight="1"/>
    <pageSetUpPr/>
  </sheetPr>
  <dimension ref="A1:EC311"/>
  <sheetViews>
    <sheetView showGridLines="0" topLeftCell="C1" zoomScaleNormal="100" workbookViewId="0">
      <selection activeCell="S15" sqref="S15"/>
    </sheetView>
  </sheetViews>
  <sheetFormatPr baseColWidth="10" defaultColWidth="11.42578125" defaultRowHeight="15"/>
  <cols>
    <col width="43.140625" customWidth="1" style="8286" min="1" max="1"/>
    <col width="35.85546875" customWidth="1" style="8286" min="2" max="2"/>
    <col width="16.85546875" customWidth="1" style="8286" min="3" max="3"/>
    <col width="14.85546875" customWidth="1" style="8286" min="4" max="4"/>
    <col width="14.5703125" customWidth="1" style="8286" min="5" max="5"/>
    <col width="13.42578125" customWidth="1" style="8286" min="44" max="44"/>
    <col width="12.85546875" customWidth="1" style="8286" min="46" max="46"/>
    <col width="12.42578125" customWidth="1" style="8286" min="48" max="48"/>
    <col width="12.140625" customWidth="1" style="8286" min="50" max="50"/>
    <col width="8.140625" customWidth="1" style="8286" min="76" max="77"/>
    <col width="9.42578125" customWidth="1" style="8286" min="78" max="78"/>
    <col hidden="1" width="14" customWidth="1" style="8286" min="79" max="84"/>
    <col hidden="1" width="11.42578125" customWidth="1" style="8286" min="85" max="90"/>
    <col hidden="1" width="11.85546875" customWidth="1" style="8286" min="91" max="91"/>
    <col hidden="1" width="11.42578125" customWidth="1" style="8286" min="92" max="131"/>
    <col hidden="1" width="24.28515625" customWidth="1" style="8286" min="132" max="132"/>
    <col hidden="1" width="11.42578125" customWidth="1" style="8286" min="133" max="133"/>
    <col width="11.42578125" customWidth="1" style="8286" min="134" max="136"/>
    <col width="9.42578125" customWidth="1" style="8286" min="137" max="137"/>
    <col width="8.140625" customWidth="1" style="8286" min="138" max="139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25">
        <f>CONCATENATE("AÑO: ",NOMBRE!B7)</f>
        <v/>
      </c>
    </row>
    <row r="6" ht="18" customFormat="1" customHeight="1" s="226">
      <c r="A6" s="7256" t="inlineStr">
        <is>
          <t xml:space="preserve">REM-A11.  EXÁMENES DE PESQUISA DE ENFERMEDADES TRASMISIBLES </t>
        </is>
      </c>
      <c r="Q6" s="371" t="n"/>
      <c r="R6" s="371" t="n"/>
      <c r="S6" s="371" t="n"/>
      <c r="T6" s="371" t="n"/>
      <c r="U6" s="371" t="n"/>
      <c r="V6" s="371" t="n"/>
      <c r="W6" s="371" t="n"/>
      <c r="X6" s="371" t="n"/>
      <c r="Y6" s="371" t="n"/>
      <c r="Z6" s="371" t="n"/>
      <c r="AA6" s="371" t="n"/>
      <c r="AB6" s="371" t="n"/>
      <c r="AC6" s="371" t="n"/>
      <c r="AD6" s="371" t="n"/>
      <c r="AE6" s="371" t="n"/>
      <c r="AF6" s="6" t="n"/>
      <c r="AG6" s="6" t="n"/>
      <c r="AH6" s="6" t="n"/>
      <c r="AI6" s="6" t="n"/>
      <c r="AJ6" s="6" t="n"/>
      <c r="AK6" s="6" t="n"/>
      <c r="AL6" s="6" t="n"/>
      <c r="AM6" s="235" t="n"/>
      <c r="AN6" s="235" t="n"/>
      <c r="AO6" s="235" t="n"/>
      <c r="AP6" s="235" t="n"/>
      <c r="AQ6" s="235" t="n"/>
      <c r="AR6" s="235" t="n"/>
      <c r="AS6" s="235" t="n"/>
      <c r="AT6" s="235" t="n"/>
      <c r="AU6" s="235" t="n"/>
      <c r="AV6" s="235" t="n"/>
      <c r="AW6" s="235" t="n"/>
      <c r="AX6" s="372" t="n"/>
      <c r="AY6" s="372" t="n"/>
      <c r="AZ6" s="372" t="n"/>
      <c r="BA6" s="372" t="n"/>
      <c r="BB6" s="372" t="n"/>
      <c r="BC6" s="372" t="n"/>
      <c r="BD6" s="372" t="n"/>
      <c r="BE6" s="372" t="n"/>
      <c r="BF6" s="372" t="n"/>
      <c r="BG6" s="372" t="n"/>
      <c r="BH6" s="372" t="n"/>
      <c r="BI6" s="372" t="n"/>
      <c r="BJ6" s="235" t="n"/>
      <c r="BK6" s="235" t="n"/>
      <c r="BL6" s="235" t="n"/>
      <c r="BM6" s="235" t="n"/>
      <c r="BN6" s="235" t="n"/>
      <c r="BO6" s="235" t="n"/>
      <c r="BP6" s="235" t="n"/>
      <c r="BQ6" s="235" t="n"/>
      <c r="BR6" s="235" t="n"/>
      <c r="BS6" s="235" t="n"/>
      <c r="BT6" s="235" t="n"/>
      <c r="BU6" s="235" t="n"/>
      <c r="BV6" s="234" t="n"/>
      <c r="BW6" s="234" t="n"/>
      <c r="BX6" s="373" t="n"/>
      <c r="BY6" s="373" t="n"/>
      <c r="BZ6" s="373" t="n"/>
      <c r="CA6" s="374" t="n"/>
      <c r="CB6" s="374" t="n"/>
      <c r="CC6" s="374" t="n"/>
      <c r="CD6" s="374" t="n"/>
      <c r="CE6" s="374" t="n"/>
      <c r="CF6" s="374" t="n"/>
      <c r="CG6" s="374" t="n"/>
      <c r="CH6" s="374" t="n"/>
      <c r="CI6" s="374" t="n"/>
      <c r="CJ6" s="374" t="n"/>
      <c r="CK6" s="374" t="n"/>
      <c r="CL6" s="374" t="n"/>
      <c r="CM6" s="374" t="n"/>
      <c r="CN6" s="374" t="n"/>
      <c r="CO6" s="374" t="n"/>
      <c r="CP6" s="374" t="n"/>
      <c r="CQ6" s="374" t="n"/>
      <c r="CR6" s="374" t="n"/>
      <c r="CS6" s="374" t="n"/>
      <c r="CT6" s="374" t="n"/>
      <c r="CU6" s="374" t="n"/>
      <c r="CV6" s="374" t="n"/>
      <c r="CW6" s="374" t="n"/>
      <c r="CX6" s="374" t="n"/>
      <c r="CY6" s="374" t="n"/>
      <c r="CZ6" s="374" t="n"/>
      <c r="DA6" s="374" t="n"/>
      <c r="DB6" s="374" t="n"/>
      <c r="DC6" s="374" t="n"/>
      <c r="DD6" s="374" t="n"/>
      <c r="DE6" s="374" t="n"/>
      <c r="DF6" s="374" t="n"/>
      <c r="DG6" s="374" t="n"/>
      <c r="DH6" s="374" t="n"/>
      <c r="DI6" s="374" t="n"/>
      <c r="DJ6" s="374" t="n"/>
      <c r="DK6" s="374" t="n"/>
      <c r="DL6" s="374" t="n"/>
      <c r="DM6" s="374" t="n"/>
      <c r="DN6" s="374" t="n"/>
      <c r="DO6" s="374" t="n"/>
      <c r="DP6" s="374" t="n"/>
      <c r="DQ6" s="374" t="n"/>
      <c r="DR6" s="374" t="n"/>
      <c r="DS6" s="374" t="n"/>
      <c r="DT6" s="374" t="n"/>
      <c r="DU6" s="374" t="n"/>
      <c r="DV6" s="374" t="n"/>
      <c r="DW6" s="374" t="n"/>
      <c r="DX6" s="374" t="n"/>
      <c r="DY6" s="374" t="n"/>
      <c r="DZ6" s="374" t="n"/>
      <c r="EA6" s="374" t="n"/>
      <c r="EB6" s="374" t="n"/>
      <c r="EC6" s="374" t="n"/>
    </row>
    <row r="8" ht="18" customFormat="1" customHeight="1" s="227">
      <c r="A8" s="375" t="inlineStr">
        <is>
          <t>SECCION A: EXÁMENES DE SÍFILIS</t>
        </is>
      </c>
      <c r="B8" s="375" t="n"/>
      <c r="C8" s="375" t="n"/>
      <c r="D8" s="375" t="n"/>
      <c r="E8" s="375" t="n"/>
      <c r="F8" s="375" t="n"/>
      <c r="G8" s="375" t="n"/>
      <c r="H8" s="375" t="n"/>
      <c r="I8" s="375" t="n"/>
      <c r="J8" s="375" t="n"/>
      <c r="K8" s="375" t="n"/>
      <c r="L8" s="375" t="n"/>
      <c r="M8" s="375" t="n"/>
      <c r="N8" s="375" t="n"/>
      <c r="O8" s="375" t="n"/>
      <c r="P8" s="375" t="n"/>
      <c r="Q8" s="375" t="n"/>
      <c r="R8" s="375" t="n"/>
      <c r="S8" s="375" t="n"/>
      <c r="T8" s="375" t="n"/>
      <c r="U8" s="375" t="n"/>
      <c r="V8" s="375" t="n"/>
      <c r="W8" s="375" t="n"/>
      <c r="X8" s="375" t="n"/>
      <c r="Y8" s="375" t="n"/>
      <c r="Z8" s="375" t="n"/>
      <c r="AA8" s="375" t="n"/>
      <c r="AB8" s="375" t="n"/>
      <c r="AC8" s="375" t="n"/>
      <c r="AD8" s="375" t="n"/>
      <c r="AE8" s="375" t="n"/>
      <c r="AF8" s="375" t="n"/>
      <c r="AG8" s="375" t="n"/>
      <c r="AH8" s="375" t="n"/>
      <c r="AI8" s="375" t="n"/>
      <c r="AJ8" s="375" t="n"/>
      <c r="AK8" s="375" t="n"/>
      <c r="AL8" s="375" t="n"/>
      <c r="AM8" s="375" t="n"/>
      <c r="AN8" s="375" t="n"/>
      <c r="AO8" s="375" t="n"/>
      <c r="AP8" s="375" t="n"/>
      <c r="AQ8" s="375" t="n"/>
    </row>
    <row r="9" ht="18" customHeight="1" s="8286">
      <c r="A9" s="375" t="inlineStr">
        <is>
          <t>SECCIÓN A.1: EXAMEN VDRL POR GRUPO DE USUARIOS (USO EXCLUSIVO DE ESTABLECIMIENTOS CON LABORATORIO QUE PROCESAN)</t>
        </is>
      </c>
      <c r="B9" s="375" t="n"/>
      <c r="C9" s="375" t="n"/>
      <c r="D9" s="375" t="n"/>
      <c r="E9" s="375" t="n"/>
      <c r="F9" s="375" t="n"/>
      <c r="G9" s="375" t="n"/>
      <c r="H9" s="375" t="n"/>
      <c r="I9" s="375" t="n"/>
      <c r="J9" s="375" t="n"/>
      <c r="K9" s="375" t="n"/>
      <c r="L9" s="375" t="n"/>
      <c r="M9" s="375" t="n"/>
      <c r="N9" s="375" t="n"/>
      <c r="O9" s="375" t="n"/>
      <c r="P9" s="375" t="n"/>
      <c r="Q9" s="375" t="n"/>
      <c r="R9" s="375" t="n"/>
      <c r="S9" s="375" t="n"/>
      <c r="T9" s="375" t="n"/>
      <c r="U9" s="375" t="n"/>
      <c r="V9" s="375" t="n"/>
      <c r="W9" s="375" t="n"/>
      <c r="X9" s="375" t="n"/>
      <c r="Y9" s="375" t="n"/>
      <c r="Z9" s="375" t="n"/>
      <c r="AA9" s="375" t="n"/>
      <c r="AB9" s="375" t="n"/>
      <c r="AC9" s="375" t="n"/>
      <c r="AD9" s="375" t="n"/>
      <c r="AE9" s="375" t="n"/>
      <c r="AF9" s="375" t="n"/>
      <c r="AG9" s="375" t="n"/>
      <c r="AH9" s="375" t="n"/>
      <c r="AI9" s="375" t="n"/>
      <c r="AJ9" s="375" t="n"/>
      <c r="AK9" s="375" t="n"/>
      <c r="AL9" s="375" t="n"/>
      <c r="AM9" s="375" t="n"/>
      <c r="AN9" s="375" t="n"/>
      <c r="AO9" s="375" t="n"/>
      <c r="AP9" s="375" t="n"/>
      <c r="AQ9" s="375" t="n"/>
    </row>
    <row r="10">
      <c r="A10" s="9690" t="inlineStr">
        <is>
          <t>GRUPO DE PESQUISA</t>
        </is>
      </c>
      <c r="B10" s="10004" t="inlineStr">
        <is>
          <t>TOTAL</t>
        </is>
      </c>
      <c r="C10" s="9630" t="n"/>
      <c r="D10" s="9915" t="inlineStr">
        <is>
          <t>RANGO ETARIO</t>
        </is>
      </c>
      <c r="E10" s="9584" t="n"/>
      <c r="F10" s="9584" t="n"/>
      <c r="G10" s="9584" t="n"/>
      <c r="H10" s="9584" t="n"/>
      <c r="I10" s="9584" t="n"/>
      <c r="J10" s="9584" t="n"/>
      <c r="K10" s="9584" t="n"/>
      <c r="L10" s="9584" t="n"/>
      <c r="M10" s="9584" t="n"/>
      <c r="N10" s="9584" t="n"/>
      <c r="O10" s="9584" t="n"/>
      <c r="P10" s="9584" t="n"/>
      <c r="Q10" s="9584" t="n"/>
      <c r="R10" s="9584" t="n"/>
      <c r="S10" s="9584" t="n"/>
      <c r="T10" s="9584" t="n"/>
      <c r="U10" s="9584" t="n"/>
      <c r="V10" s="9584" t="n"/>
      <c r="W10" s="9584" t="n"/>
      <c r="X10" s="9584" t="n"/>
      <c r="Y10" s="9584" t="n"/>
      <c r="Z10" s="9584" t="n"/>
      <c r="AA10" s="9584" t="n"/>
      <c r="AB10" s="9584" t="n"/>
      <c r="AC10" s="9584" t="n"/>
      <c r="AD10" s="9584" t="n"/>
      <c r="AE10" s="9584" t="n"/>
      <c r="AF10" s="9584" t="n"/>
      <c r="AG10" s="9584" t="n"/>
      <c r="AH10" s="9584" t="n"/>
      <c r="AI10" s="9584" t="n"/>
      <c r="AJ10" s="9584" t="n"/>
      <c r="AK10" s="9584" t="n"/>
      <c r="AL10" s="9584" t="n"/>
      <c r="AM10" s="9584" t="n"/>
      <c r="AN10" s="9584" t="n"/>
      <c r="AO10" s="9584" t="n"/>
      <c r="AP10" s="9584" t="n"/>
      <c r="AQ10" s="9595" t="n"/>
      <c r="AR10" s="9982" t="inlineStr">
        <is>
          <t>POR SEXO (Procesados)</t>
        </is>
      </c>
      <c r="AS10" s="10211" t="n"/>
      <c r="AT10" s="10295" t="inlineStr">
        <is>
          <t>TRANS</t>
        </is>
      </c>
      <c r="AU10" s="9886" t="n"/>
      <c r="AV10" s="7829" t="inlineStr">
        <is>
          <t>Pueblos Originarios</t>
        </is>
      </c>
      <c r="AW10" s="8400" t="inlineStr">
        <is>
          <t>Migrantes</t>
        </is>
      </c>
    </row>
    <row r="11">
      <c r="A11" s="9588" t="n"/>
      <c r="B11" s="9638" t="n"/>
      <c r="C11" s="9639" t="n"/>
      <c r="D11" s="10006" t="inlineStr">
        <is>
          <t>Menos de 6 meses</t>
        </is>
      </c>
      <c r="E11" s="9584" t="n"/>
      <c r="F11" s="10006" t="inlineStr">
        <is>
          <t>6 - 11 meses</t>
        </is>
      </c>
      <c r="G11" s="9584" t="n"/>
      <c r="H11" s="8400" t="inlineStr">
        <is>
          <t>12-24 meses</t>
        </is>
      </c>
      <c r="I11" s="9582" t="n"/>
      <c r="J11" s="5448" t="inlineStr">
        <is>
          <t>3 - 4 años</t>
        </is>
      </c>
      <c r="K11" s="10190" t="n"/>
      <c r="L11" s="10006" t="inlineStr">
        <is>
          <t>5 - 9 años</t>
        </is>
      </c>
      <c r="M11" s="9584" t="n"/>
      <c r="N11" s="10006" t="inlineStr">
        <is>
          <t>10 - 14 años</t>
        </is>
      </c>
      <c r="O11" s="9584" t="n"/>
      <c r="P11" s="10006" t="inlineStr">
        <is>
          <t>15 - 19 años</t>
        </is>
      </c>
      <c r="Q11" s="9584" t="n"/>
      <c r="R11" s="10006" t="inlineStr">
        <is>
          <t>20 - 24 años</t>
        </is>
      </c>
      <c r="S11" s="9584" t="n"/>
      <c r="T11" s="8400" t="inlineStr">
        <is>
          <t>25 - 29 años</t>
        </is>
      </c>
      <c r="U11" s="9582" t="n"/>
      <c r="V11" s="8400" t="inlineStr">
        <is>
          <t>30 - 34 años</t>
        </is>
      </c>
      <c r="W11" s="9582" t="n"/>
      <c r="X11" s="8400" t="inlineStr">
        <is>
          <t>35 - 39 años</t>
        </is>
      </c>
      <c r="Y11" s="9582" t="n"/>
      <c r="Z11" s="8400" t="inlineStr">
        <is>
          <t>40 - 44 años</t>
        </is>
      </c>
      <c r="AA11" s="9582" t="n"/>
      <c r="AB11" s="8400" t="inlineStr">
        <is>
          <t>45 - 49 años</t>
        </is>
      </c>
      <c r="AC11" s="9582" t="n"/>
      <c r="AD11" s="8400" t="inlineStr">
        <is>
          <t>50 - 54 años</t>
        </is>
      </c>
      <c r="AE11" s="9582" t="n"/>
      <c r="AF11" s="8400" t="inlineStr">
        <is>
          <t>55 - 59 años</t>
        </is>
      </c>
      <c r="AG11" s="9582" t="n"/>
      <c r="AH11" s="8400" t="inlineStr">
        <is>
          <t>60 - 64 años</t>
        </is>
      </c>
      <c r="AI11" s="9582" t="n"/>
      <c r="AJ11" s="8400" t="inlineStr">
        <is>
          <t>65 - 69 años</t>
        </is>
      </c>
      <c r="AK11" s="9582" t="n"/>
      <c r="AL11" s="8400" t="inlineStr">
        <is>
          <t>70 - 74 años</t>
        </is>
      </c>
      <c r="AM11" s="9582" t="n"/>
      <c r="AN11" s="8400" t="inlineStr">
        <is>
          <t>75 - 79 años</t>
        </is>
      </c>
      <c r="AO11" s="9582" t="n"/>
      <c r="AP11" s="9976" t="inlineStr">
        <is>
          <t>80 y más años</t>
        </is>
      </c>
      <c r="AQ11" s="9595" t="n"/>
      <c r="AR11" s="10002" t="inlineStr">
        <is>
          <t>Hombres</t>
        </is>
      </c>
      <c r="AS11" s="9925" t="inlineStr">
        <is>
          <t>Mujeres</t>
        </is>
      </c>
      <c r="AT11" s="9890" t="n"/>
      <c r="AU11" s="9865" t="n"/>
      <c r="AW11" s="9614" t="n"/>
    </row>
    <row r="12">
      <c r="A12" s="9589" t="n"/>
      <c r="B12" s="3088" t="inlineStr">
        <is>
          <t>Procesados</t>
        </is>
      </c>
      <c r="C12" s="8532" t="inlineStr">
        <is>
          <t>Reactivos</t>
        </is>
      </c>
      <c r="D12" s="3088" t="inlineStr">
        <is>
          <t>Procesados</t>
        </is>
      </c>
      <c r="E12" s="3089" t="inlineStr">
        <is>
          <t>Reactivos</t>
        </is>
      </c>
      <c r="F12" s="3088" t="inlineStr">
        <is>
          <t>Procesados</t>
        </is>
      </c>
      <c r="G12" s="3089" t="inlineStr">
        <is>
          <t>Reactivos</t>
        </is>
      </c>
      <c r="H12" s="3088" t="inlineStr">
        <is>
          <t>Procesados</t>
        </is>
      </c>
      <c r="I12" s="3090" t="inlineStr">
        <is>
          <t>Reactivos</t>
        </is>
      </c>
      <c r="J12" s="3091" t="inlineStr">
        <is>
          <t>Procesados</t>
        </is>
      </c>
      <c r="K12" s="3089" t="inlineStr">
        <is>
          <t>Reactivos</t>
        </is>
      </c>
      <c r="L12" s="3088" t="inlineStr">
        <is>
          <t>Procesados</t>
        </is>
      </c>
      <c r="M12" s="3090" t="inlineStr">
        <is>
          <t>Reactivos</t>
        </is>
      </c>
      <c r="N12" s="3091" t="inlineStr">
        <is>
          <t>Procesados</t>
        </is>
      </c>
      <c r="O12" s="3089" t="inlineStr">
        <is>
          <t>Reactivos</t>
        </is>
      </c>
      <c r="P12" s="3088" t="inlineStr">
        <is>
          <t>Procesados</t>
        </is>
      </c>
      <c r="Q12" s="3089" t="inlineStr">
        <is>
          <t>Reactivos</t>
        </is>
      </c>
      <c r="R12" s="3088" t="inlineStr">
        <is>
          <t>Procesados</t>
        </is>
      </c>
      <c r="S12" s="3089" t="inlineStr">
        <is>
          <t>Reactivos</t>
        </is>
      </c>
      <c r="T12" s="3088" t="inlineStr">
        <is>
          <t>Procesados</t>
        </is>
      </c>
      <c r="U12" s="3089" t="inlineStr">
        <is>
          <t>Reactivos</t>
        </is>
      </c>
      <c r="V12" s="3088" t="inlineStr">
        <is>
          <t>Procesados</t>
        </is>
      </c>
      <c r="W12" s="3089" t="inlineStr">
        <is>
          <t>Reactivos</t>
        </is>
      </c>
      <c r="X12" s="3088" t="inlineStr">
        <is>
          <t>Procesados</t>
        </is>
      </c>
      <c r="Y12" s="3089" t="inlineStr">
        <is>
          <t>Reactivos</t>
        </is>
      </c>
      <c r="Z12" s="3088" t="inlineStr">
        <is>
          <t>Procesados</t>
        </is>
      </c>
      <c r="AA12" s="3089" t="inlineStr">
        <is>
          <t>Reactivos</t>
        </is>
      </c>
      <c r="AB12" s="3088" t="inlineStr">
        <is>
          <t>Procesados</t>
        </is>
      </c>
      <c r="AC12" s="3089" t="inlineStr">
        <is>
          <t>Reactivos</t>
        </is>
      </c>
      <c r="AD12" s="3088" t="inlineStr">
        <is>
          <t>Procesados</t>
        </is>
      </c>
      <c r="AE12" s="3089" t="inlineStr">
        <is>
          <t>Reactivos</t>
        </is>
      </c>
      <c r="AF12" s="3088" t="inlineStr">
        <is>
          <t>Procesados</t>
        </is>
      </c>
      <c r="AG12" s="3089" t="inlineStr">
        <is>
          <t>Reactivos</t>
        </is>
      </c>
      <c r="AH12" s="3088" t="inlineStr">
        <is>
          <t>Procesados</t>
        </is>
      </c>
      <c r="AI12" s="3089" t="inlineStr">
        <is>
          <t>Reactivos</t>
        </is>
      </c>
      <c r="AJ12" s="3088" t="inlineStr">
        <is>
          <t>Procesados</t>
        </is>
      </c>
      <c r="AK12" s="3089" t="inlineStr">
        <is>
          <t>Reactivos</t>
        </is>
      </c>
      <c r="AL12" s="3088" t="inlineStr">
        <is>
          <t>Procesados</t>
        </is>
      </c>
      <c r="AM12" s="3089" t="inlineStr">
        <is>
          <t>Reactivos</t>
        </is>
      </c>
      <c r="AN12" s="3088" t="inlineStr">
        <is>
          <t>Procesados</t>
        </is>
      </c>
      <c r="AO12" s="3089" t="inlineStr">
        <is>
          <t>Reactivos</t>
        </is>
      </c>
      <c r="AP12" s="3088" t="inlineStr">
        <is>
          <t>Procesados</t>
        </is>
      </c>
      <c r="AQ12" s="3092" t="inlineStr">
        <is>
          <t>Reactivos</t>
        </is>
      </c>
      <c r="AR12" s="9688" t="n"/>
      <c r="AS12" s="9926" t="n"/>
      <c r="AT12" s="7688" t="inlineStr">
        <is>
          <t>Masculino</t>
        </is>
      </c>
      <c r="AU12" s="8008" t="inlineStr">
        <is>
          <t>Femenino</t>
        </is>
      </c>
      <c r="AV12" s="9591" t="n"/>
      <c r="AW12" s="9610" t="n"/>
    </row>
    <row r="13">
      <c r="A13" s="3093" t="inlineStr">
        <is>
          <t>Gestantes primer trimestre embarazo</t>
        </is>
      </c>
      <c r="B13" s="3094">
        <f>+N13+P13+R13+T13+V13+X13+Z13+AB13+AD13+AF13+AH13+AJ13+AL13+AN13+AP13</f>
        <v/>
      </c>
      <c r="C13" s="3095">
        <f>+O13+Q13+S13+U13+W13+Y13+AA13+AC13+AE13+AG13+AI13+AK13+AM13+AO13+AQ13</f>
        <v/>
      </c>
      <c r="D13" s="3096" t="n"/>
      <c r="E13" s="748" t="n"/>
      <c r="F13" s="3096" t="n"/>
      <c r="G13" s="748" t="n"/>
      <c r="H13" s="3096" t="n"/>
      <c r="I13" s="748" t="n"/>
      <c r="J13" s="3096" t="n"/>
      <c r="K13" s="748" t="n"/>
      <c r="L13" s="3096" t="n"/>
      <c r="M13" s="749" t="n"/>
      <c r="N13" s="1452" t="n"/>
      <c r="O13" s="747" t="n"/>
      <c r="P13" s="1971" t="n"/>
      <c r="Q13" s="747" t="n"/>
      <c r="R13" s="1971" t="n"/>
      <c r="S13" s="747" t="n"/>
      <c r="T13" s="1971" t="n"/>
      <c r="U13" s="747" t="n"/>
      <c r="V13" s="1971" t="n"/>
      <c r="W13" s="747" t="n"/>
      <c r="X13" s="1971" t="n"/>
      <c r="Y13" s="747" t="n"/>
      <c r="Z13" s="1971" t="n"/>
      <c r="AA13" s="747" t="n"/>
      <c r="AB13" s="1971" t="n"/>
      <c r="AC13" s="747" t="n"/>
      <c r="AD13" s="1971" t="n"/>
      <c r="AE13" s="747" t="n"/>
      <c r="AF13" s="1971" t="n"/>
      <c r="AG13" s="747" t="n"/>
      <c r="AH13" s="1971" t="n"/>
      <c r="AI13" s="747" t="n"/>
      <c r="AJ13" s="1971" t="n"/>
      <c r="AK13" s="747" t="n"/>
      <c r="AL13" s="1971" t="n"/>
      <c r="AM13" s="747" t="n"/>
      <c r="AN13" s="1971" t="n"/>
      <c r="AO13" s="747" t="n"/>
      <c r="AP13" s="1971" t="n"/>
      <c r="AQ13" s="778" t="n"/>
      <c r="AR13" s="3097" t="n"/>
      <c r="AS13" s="3098" t="n"/>
      <c r="AT13" s="3099" t="n"/>
      <c r="AU13" s="3098" t="n"/>
      <c r="AV13" s="3660" t="n"/>
      <c r="AW13" s="5286" t="n"/>
      <c r="AX13" s="218">
        <f>$CA13&amp;CB13&amp;CC13&amp;$CD13&amp;CJ13&amp;CK13&amp;CL13&amp;CM13&amp;CN13&amp;CO13&amp;CP13&amp;CQ13&amp;CR13&amp;CS13&amp;CT13&amp;CU13&amp;CV13&amp;CW13&amp;CX13</f>
        <v/>
      </c>
      <c r="CA13" s="219">
        <f>IF(B13&lt;&gt;(AS13)," * La suma de las columnas "&amp;AR$10&amp;""&amp;" DEBE SER IGUAL a los Exámenes Procesados. ","")</f>
        <v/>
      </c>
      <c r="CB13" s="219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>
        <f>IF(AND($B13&gt;0,AV13=""),"* No olvide ingresar la columna "&amp;AV$10&amp;""&amp;" *(Digite CERO si no tiene). ",IF(AV13&gt;$B13," *El Número de "&amp;AV$10&amp;""&amp;" no puede superar el Total Procesados. ",""))</f>
        <v/>
      </c>
      <c r="CD13" s="219">
        <f>IF(AND($B13&gt;0,AW13=""),"* No olvide ingresar la columna "&amp;AW$10&amp;""&amp;" *(Digite CERO si no tiene). ",IF(AW13&gt;$B13," *El Número de "&amp;AW$10&amp;""&amp;" no puede superar el Total Procesados. ",""))</f>
        <v/>
      </c>
      <c r="CE13" s="220" t="n"/>
      <c r="CF13" s="220" t="n"/>
      <c r="CG13" s="220" t="n"/>
      <c r="CH13" s="220" t="n"/>
      <c r="CI13" s="220" t="n"/>
      <c r="CJ13" s="219">
        <f>IF(N13&lt;O13,CONCATENATE("* El total de Procesados debe ser mayor o igual al total de Reactivos en el grupo de edad ",$N$11),"")</f>
        <v/>
      </c>
      <c r="CK13" s="219">
        <f>IF(P13&lt;Q13,CONCATENATE("* El total de Procesados debe ser mayor o igual al total de Reactivos en el grupo de edad ",$P$11),"")</f>
        <v/>
      </c>
      <c r="CL13" s="219">
        <f>IF(R13&lt;S13,CONCATENATE("* El total de Procesados debe ser mayor o igual al total de Reactivos en el grupo de edad ",$R$11),"")</f>
        <v/>
      </c>
      <c r="CM13" s="219">
        <f>IF($T13&lt;$U13,CONCATENATE("* El total de Procesados debe ser mayor o igual al total de Reactivos en el grupo de edad ",$T$11),"")</f>
        <v/>
      </c>
      <c r="CN13" s="219">
        <f>IF(V13&lt;W13,CONCATENATE("* El total de Procesados debe ser mayor o igual al total de Reactivos en el grupo de edad ",$V$11),"")</f>
        <v/>
      </c>
      <c r="CO13" s="219">
        <f>IF(X13&lt;Y13,CONCATENATE("* El total de Procesados debe ser mayor o igual al total de Reactivos en el grupo de edad ",$X$11),"")</f>
        <v/>
      </c>
      <c r="CP13" s="219">
        <f>IF(Z13&lt;AA13,CONCATENATE("* El total de Procesados debe ser mayor o igual al total de Reactivos en el grupo de edad ",$Z$11),"")</f>
        <v/>
      </c>
      <c r="CQ13" s="219">
        <f>IF(AB13&lt;AC13,CONCATENATE("* El total de Procesados debe ser mayor o igual al total de Reactivos en el grupo de edad ",$AB$11),"")</f>
        <v/>
      </c>
      <c r="CR13" s="219">
        <f>IF(AD13&lt;AE13,CONCATENATE("* El total de Procesados debe ser mayor o igual al total de Reactivos en el grupo de edad ",$AD$11),"")</f>
        <v/>
      </c>
      <c r="CS13" s="219">
        <f>IF(AF13&lt;AG13,CONCATENATE("* El total de Procesados debe ser mayor o igual al total de Reactivos en el grupo de edad ",$AF$11),"")</f>
        <v/>
      </c>
      <c r="CT13" s="219">
        <f>IF(AH13&lt;AI13,CONCATENATE("* El total de Procesados debe ser mayor o igual al total de Reactivos en el grupo de edad ",$AH$11),"")</f>
        <v/>
      </c>
      <c r="CU13" s="219">
        <f>IF(AJ13&lt;AK13,CONCATENATE("* El total de Procesados debe ser mayor o igual al total de Reactivos en el grupo de edad ",$AJ$11),"")</f>
        <v/>
      </c>
      <c r="CV13" s="219">
        <f>IF(AL13&lt;AM13,CONCATENATE("* El total de Procesados debe ser mayor o igual al total de Reactivos en el grupo de edad ",$AL$11),"")</f>
        <v/>
      </c>
      <c r="CW13" s="219">
        <f>IF(AN13&lt;AO13,CONCATENATE("* El total de Procesados debe ser mayor o igual al total de Reactivos en el grupo de edad ",$AN$11),"")</f>
        <v/>
      </c>
      <c r="CX13" s="219">
        <f>IF(AP13&lt;AQ13,CONCATENATE("* El total de Procesados debe ser mayor o igual al total de Reactivos en el grupo de edad ",$AP$11),"")</f>
        <v/>
      </c>
      <c r="CY13" s="226" t="n"/>
      <c r="CZ13" s="227" t="n"/>
      <c r="DA13" s="227" t="n"/>
      <c r="DE13" s="226" t="n"/>
      <c r="DF13" s="376">
        <f>IF(B13&lt;&gt;(AS13),1,0)</f>
        <v/>
      </c>
      <c r="DG13" s="376">
        <f>IF(AND($B13&gt;0,AND(AT13="",AU13="")),1,IF((AT13+AU13)&gt;$B13,1,0))</f>
        <v/>
      </c>
      <c r="DH13" s="376">
        <f>IF(AND($B13&gt;0,AV13=""),1,IF(AV13&gt;$B13,1,0))</f>
        <v/>
      </c>
      <c r="DI13" s="376">
        <f>IF(AND($B13&gt;0,AW13=""),1,IF(AW13&gt;$B13,1,0))</f>
        <v/>
      </c>
      <c r="DJ13" s="220" t="n"/>
      <c r="DK13" s="220" t="n"/>
      <c r="DL13" s="220" t="n"/>
      <c r="DM13" s="220" t="n"/>
      <c r="DN13" s="220" t="n"/>
      <c r="DO13" s="376">
        <f>IF(N13&lt;O13,1,0)</f>
        <v/>
      </c>
      <c r="DP13" s="376">
        <f>IF(P13&lt;Q13,1,0)</f>
        <v/>
      </c>
      <c r="DQ13" s="376">
        <f>IF(R13&lt;S13,1,0)</f>
        <v/>
      </c>
      <c r="DR13" s="376">
        <f>IF($T13&lt;$U13,1,0)</f>
        <v/>
      </c>
      <c r="DS13" s="376">
        <f>IF(V13&lt;W13,1,0)</f>
        <v/>
      </c>
      <c r="DT13" s="376">
        <f>IF(X13&lt;Y13,1,0)</f>
        <v/>
      </c>
      <c r="DU13" s="376">
        <f>IF(Z13&lt;AA13,1,0)</f>
        <v/>
      </c>
      <c r="DV13" s="376">
        <f>IF(AB13&lt;AC13,1,0)</f>
        <v/>
      </c>
      <c r="DW13" s="376">
        <f>IF(AD13&lt;AE13,1,0)</f>
        <v/>
      </c>
      <c r="DX13" s="376">
        <f>IF(AF13&lt;AG13,1,0)</f>
        <v/>
      </c>
      <c r="DY13" s="376">
        <f>IF(AH13&lt;AI13,1,0)</f>
        <v/>
      </c>
      <c r="DZ13" s="376">
        <f>IF(AJ13&lt;AK13,1,0)</f>
        <v/>
      </c>
      <c r="EA13" s="376">
        <f>IF(AL13&lt;AM13,1,0)</f>
        <v/>
      </c>
      <c r="EB13" s="376">
        <f>IF(AN13&lt;AO13,1,0)</f>
        <v/>
      </c>
      <c r="EC13" s="376">
        <f>IF(AP13&lt;AQ13,1,0)</f>
        <v/>
      </c>
    </row>
    <row r="14">
      <c r="A14" s="3102" t="inlineStr">
        <is>
          <t>Gestantes segundo trimestre embarazo</t>
        </is>
      </c>
      <c r="B14" s="3103">
        <f>+N14+P14+R14+T14+V14+X14+Z14+AB14+AD14+AF14+AH14+AJ14+AL14+AN14+AP14</f>
        <v/>
      </c>
      <c r="C14" s="1171">
        <f>+O14+Q14+S14+U14+W14+Y14+AA14+AC14+AE14+AG14+AI14+AK14+AM14+AO14+AQ14</f>
        <v/>
      </c>
      <c r="D14" s="3104" t="n"/>
      <c r="E14" s="3105" t="n"/>
      <c r="F14" s="3104" t="n"/>
      <c r="G14" s="3105" t="n"/>
      <c r="H14" s="3104" t="n"/>
      <c r="I14" s="3105" t="n"/>
      <c r="J14" s="3104" t="n"/>
      <c r="K14" s="3105" t="n"/>
      <c r="L14" s="3104" t="n"/>
      <c r="M14" s="3106" t="n"/>
      <c r="N14" s="3100" t="n"/>
      <c r="O14" s="3107" t="n"/>
      <c r="P14" s="3108" t="n"/>
      <c r="Q14" s="3107" t="n"/>
      <c r="R14" s="3108" t="n"/>
      <c r="S14" s="3107" t="n"/>
      <c r="T14" s="3108" t="n"/>
      <c r="U14" s="3107" t="n"/>
      <c r="V14" s="3108" t="n"/>
      <c r="W14" s="3107" t="n"/>
      <c r="X14" s="3108" t="n"/>
      <c r="Y14" s="3107" t="n"/>
      <c r="Z14" s="3108" t="n"/>
      <c r="AA14" s="3107" t="n"/>
      <c r="AB14" s="3108" t="n"/>
      <c r="AC14" s="3107" t="n"/>
      <c r="AD14" s="3108" t="n"/>
      <c r="AE14" s="3107" t="n"/>
      <c r="AF14" s="3108" t="n"/>
      <c r="AG14" s="3107" t="n"/>
      <c r="AH14" s="3108" t="n"/>
      <c r="AI14" s="3107" t="n"/>
      <c r="AJ14" s="3108" t="n"/>
      <c r="AK14" s="3107" t="n"/>
      <c r="AL14" s="3108" t="n"/>
      <c r="AM14" s="3107" t="n"/>
      <c r="AN14" s="3108" t="n"/>
      <c r="AO14" s="3107" t="n"/>
      <c r="AP14" s="3108" t="n"/>
      <c r="AQ14" s="3098" t="n"/>
      <c r="AR14" s="3097" t="n"/>
      <c r="AS14" s="3098" t="n"/>
      <c r="AT14" s="3099" t="n"/>
      <c r="AU14" s="3098" t="n"/>
      <c r="AV14" s="3660" t="n"/>
      <c r="AW14" s="4008" t="n"/>
      <c r="AX14" s="218">
        <f>$CA14&amp;CB14&amp;CC14&amp;$CD14&amp;CJ14&amp;CK14&amp;CL14&amp;CM14&amp;CN14&amp;CO14&amp;CP14&amp;CQ14&amp;CR14&amp;CS14&amp;CT14&amp;CU14&amp;CV14&amp;CW14&amp;CX14</f>
        <v/>
      </c>
      <c r="CA14" s="219">
        <f>IF(B14&lt;&gt;(AS14)," * La suma de las columnas "&amp;AR$10&amp;""&amp;" DEBE SER IGUAL a los Exámenes Procesados. ","")</f>
        <v/>
      </c>
      <c r="CB14" s="219">
        <f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C14" s="219">
        <f>IF(AND($B14&gt;0,AV14=""),"* No olvide ingresar la columna "&amp;AV$10&amp;""&amp;" *(Digite CERO si no tiene). ",IF(AV14&gt;$B14," *El Número de "&amp;AV$10&amp;""&amp;" no puede superar el Total Procesados. ",""))</f>
        <v/>
      </c>
      <c r="CD14" s="219">
        <f>IF(AND($B14&gt;0,AW14=""),"* No olvide ingresar la columna "&amp;AW$10&amp;""&amp;" *(Digite CERO si no tiene). ",IF(AW14&gt;$B14," *El Número de "&amp;AW$10&amp;""&amp;" no puede superar el Total Procesados. ",""))</f>
        <v/>
      </c>
      <c r="CE14" s="220" t="n"/>
      <c r="CF14" s="220" t="n"/>
      <c r="CG14" s="220" t="n"/>
      <c r="CH14" s="220" t="n"/>
      <c r="CI14" s="220" t="n"/>
      <c r="CJ14" s="219">
        <f>IF(N14&lt;O14,CONCATENATE("* El total de Procesados debe ser mayor o igual al total de Reactivos en el grupo de edad ",$N$11),"")</f>
        <v/>
      </c>
      <c r="CK14" s="219">
        <f>IF(P14&lt;Q14,CONCATENATE("* El total de Procesados debe ser mayor o igual al total de Reactivos en el grupo de edad ",$P$11),"")</f>
        <v/>
      </c>
      <c r="CL14" s="219">
        <f>IF(R14&lt;S14,CONCATENATE("* El total de Procesados debe ser mayor o igual al total de Reactivos en el grupo de edad ",$R$11),"")</f>
        <v/>
      </c>
      <c r="CM14" s="219">
        <f>IF($T14&lt;$U14,CONCATENATE("* El total de Procesados debe ser mayor o igual al total de Reactivos en el grupo de edad ",$T$11),"")</f>
        <v/>
      </c>
      <c r="CN14" s="219">
        <f>IF(V14&lt;W14,CONCATENATE("* El total de Procesados debe ser mayor o igual al total de Reactivos en el grupo de edad ",$V$11),"")</f>
        <v/>
      </c>
      <c r="CO14" s="219">
        <f>IF(X14&lt;Y14,CONCATENATE("* El total de Procesados debe ser mayor o igual al total de Reactivos en el grupo de edad ",$X$11),"")</f>
        <v/>
      </c>
      <c r="CP14" s="219">
        <f>IF(Z14&lt;AA14,CONCATENATE("* El total de Procesados debe ser mayor o igual al total de Reactivos en el grupo de edad ",$Z$11),"")</f>
        <v/>
      </c>
      <c r="CQ14" s="219">
        <f>IF(AB14&lt;AC14,CONCATENATE("* El total de Procesados debe ser mayor o igual al total de Reactivos en el grupo de edad ",$AB$11),"")</f>
        <v/>
      </c>
      <c r="CR14" s="219">
        <f>IF(AD14&lt;AE14,CONCATENATE("* El total de Procesados debe ser mayor o igual al total de Reactivos en el grupo de edad ",$AD$11),"")</f>
        <v/>
      </c>
      <c r="CS14" s="219">
        <f>IF(AF14&lt;AG14,CONCATENATE("* El total de Procesados debe ser mayor o igual al total de Reactivos en el grupo de edad ",$AF$11),"")</f>
        <v/>
      </c>
      <c r="CT14" s="219">
        <f>IF(AH14&lt;AI14,CONCATENATE("* El total de Procesados debe ser mayor o igual al total de Reactivos en el grupo de edad ",$AH$11),"")</f>
        <v/>
      </c>
      <c r="CU14" s="219">
        <f>IF(AJ14&lt;AK14,CONCATENATE("* El total de Procesados debe ser mayor o igual al total de Reactivos en el grupo de edad ",$AJ$11),"")</f>
        <v/>
      </c>
      <c r="CV14" s="219">
        <f>IF(AL14&lt;AM14,CONCATENATE("* El total de Procesados debe ser mayor o igual al total de Reactivos en el grupo de edad ",$AL$11),"")</f>
        <v/>
      </c>
      <c r="CW14" s="219">
        <f>IF(AN14&lt;AO14,CONCATENATE("* El total de Procesados debe ser mayor o igual al total de Reactivos en el grupo de edad ",$AN$11),"")</f>
        <v/>
      </c>
      <c r="CX14" s="219">
        <f>IF(AP14&lt;AQ14,CONCATENATE("* El total de Procesados debe ser mayor o igual al total de Reactivos en el grupo de edad ",$AP$11),"")</f>
        <v/>
      </c>
      <c r="DE14" s="226" t="n"/>
      <c r="DF14" s="376">
        <f>IF(B14&lt;&gt;(AS14),1,0)</f>
        <v/>
      </c>
      <c r="DG14" s="376">
        <f>IF(AND($B14&gt;0,AND(AT14="",AU14="")),1,IF((AT14+AU14)&gt;$B14,1,0))</f>
        <v/>
      </c>
      <c r="DH14" s="376">
        <f>IF(AND($B14&gt;0,AV14=""),1,IF(AV14&gt;$B14,1,0))</f>
        <v/>
      </c>
      <c r="DI14" s="376">
        <f>IF(AND($B14&gt;0,AW14=""),1,IF(AW14&gt;$B14,1,0))</f>
        <v/>
      </c>
      <c r="DJ14" s="220" t="n"/>
      <c r="DK14" s="220" t="n"/>
      <c r="DL14" s="220" t="n"/>
      <c r="DM14" s="220" t="n"/>
      <c r="DN14" s="220" t="n"/>
      <c r="DO14" s="376">
        <f>IF(N14&lt;O14,1,0)</f>
        <v/>
      </c>
      <c r="DP14" s="376">
        <f>IF(P14&lt;Q14,1,0)</f>
        <v/>
      </c>
      <c r="DQ14" s="376">
        <f>IF(R14&lt;S14,1,0)</f>
        <v/>
      </c>
      <c r="DR14" s="376">
        <f>IF($T14&lt;$U14,1,0)</f>
        <v/>
      </c>
      <c r="DS14" s="376">
        <f>IF(V14&lt;W14,1,0)</f>
        <v/>
      </c>
      <c r="DT14" s="376">
        <f>IF(X14&lt;Y14,1,0)</f>
        <v/>
      </c>
      <c r="DU14" s="376">
        <f>IF(Z14&lt;AA14,1,0)</f>
        <v/>
      </c>
      <c r="DV14" s="376">
        <f>IF(AB14&lt;AC14,1,0)</f>
        <v/>
      </c>
      <c r="DW14" s="376">
        <f>IF(AD14&lt;AE14,1,0)</f>
        <v/>
      </c>
      <c r="DX14" s="376">
        <f>IF(AF14&lt;AG14,1,0)</f>
        <v/>
      </c>
      <c r="DY14" s="376">
        <f>IF(AH14&lt;AI14,1,0)</f>
        <v/>
      </c>
      <c r="DZ14" s="376">
        <f>IF(AJ14&lt;AK14,1,0)</f>
        <v/>
      </c>
      <c r="EA14" s="376">
        <f>IF(AL14&lt;AM14,1,0)</f>
        <v/>
      </c>
      <c r="EB14" s="376">
        <f>IF(AN14&lt;AO14,1,0)</f>
        <v/>
      </c>
      <c r="EC14" s="376">
        <f>IF(AP14&lt;AQ14,1,0)</f>
        <v/>
      </c>
    </row>
    <row r="15">
      <c r="A15" s="3102" t="inlineStr">
        <is>
          <t>Gestantes tercer trimestre embarazo</t>
        </is>
      </c>
      <c r="B15" s="3103">
        <f>+N15+P15+R15+T15+V15+X15+Z15+AB15+AD15+AF15+AH15+AJ15+AL15+AN15+AP15</f>
        <v/>
      </c>
      <c r="C15" s="1171">
        <f>+O15+Q15+S15+U15+W15+Y15+AA15+AC15+AE15+AG15+AI15+AK15+AM15+AO15+AQ15</f>
        <v/>
      </c>
      <c r="D15" s="3104" t="n"/>
      <c r="E15" s="3105" t="n"/>
      <c r="F15" s="3104" t="n"/>
      <c r="G15" s="3105" t="n"/>
      <c r="H15" s="3104" t="n"/>
      <c r="I15" s="3105" t="n"/>
      <c r="J15" s="3104" t="n"/>
      <c r="K15" s="3105" t="n"/>
      <c r="L15" s="3104" t="n"/>
      <c r="M15" s="3106" t="n"/>
      <c r="N15" s="3100" t="n"/>
      <c r="O15" s="3107" t="n"/>
      <c r="P15" s="3108" t="n"/>
      <c r="Q15" s="3107" t="n"/>
      <c r="R15" s="3108" t="n"/>
      <c r="S15" s="3107" t="n"/>
      <c r="T15" s="3108" t="n"/>
      <c r="U15" s="3107" t="n"/>
      <c r="V15" s="3108" t="n"/>
      <c r="W15" s="3107" t="n"/>
      <c r="X15" s="3108" t="n"/>
      <c r="Y15" s="3107" t="n"/>
      <c r="Z15" s="3108" t="n"/>
      <c r="AA15" s="3107" t="n"/>
      <c r="AB15" s="3108" t="n"/>
      <c r="AC15" s="3107" t="n"/>
      <c r="AD15" s="3108" t="n"/>
      <c r="AE15" s="3107" t="n"/>
      <c r="AF15" s="3108" t="n"/>
      <c r="AG15" s="3107" t="n"/>
      <c r="AH15" s="3108" t="n"/>
      <c r="AI15" s="3107" t="n"/>
      <c r="AJ15" s="3108" t="n"/>
      <c r="AK15" s="3107" t="n"/>
      <c r="AL15" s="3108" t="n"/>
      <c r="AM15" s="3107" t="n"/>
      <c r="AN15" s="3108" t="n"/>
      <c r="AO15" s="3107" t="n"/>
      <c r="AP15" s="3108" t="n"/>
      <c r="AQ15" s="3098" t="n"/>
      <c r="AR15" s="3097" t="n"/>
      <c r="AS15" s="3098" t="n"/>
      <c r="AT15" s="3099" t="n"/>
      <c r="AU15" s="3098" t="n"/>
      <c r="AV15" s="3660" t="n"/>
      <c r="AW15" s="4008" t="n"/>
      <c r="AX15" s="218">
        <f>$CA15&amp;CB15&amp;CC15&amp;$CD15&amp;CJ15&amp;CK15&amp;CL15&amp;CM15&amp;CN15&amp;CO15&amp;CP15&amp;CQ15&amp;CR15&amp;CS15&amp;CT15&amp;CU15&amp;CV15&amp;CW15&amp;CX15</f>
        <v/>
      </c>
      <c r="CA15" s="219">
        <f>IF(B15&lt;&gt;(AS15)," * La suma de las columnas "&amp;AR$10&amp;""&amp;" DEBE SER IGUAL a los Exámenes Procesados. ","")</f>
        <v/>
      </c>
      <c r="CB15" s="219">
        <f>IF(AND($B15&gt;0,AND(AT15="",AU15="")),"* No olvide ingresar las columnas Trans Masculino o Femenino (Digite CERO si no tiene). ",IF((AT15+AU15)&gt;$B15,"* El Número de Trans Masculino o Femenino no puede superar el Total Procesados. ",""))</f>
        <v/>
      </c>
      <c r="CC15" s="219">
        <f>IF(AND($B15&gt;0,AV15=""),"* No olvide ingresar la columna "&amp;AV$10&amp;""&amp;" *(Digite CERO si no tiene). ",IF(AV15&gt;$B15," *El Número de "&amp;AV$10&amp;""&amp;" no puede superar el Total Procesados. ",""))</f>
        <v/>
      </c>
      <c r="CD15" s="219">
        <f>IF(AND($B15&gt;0,AW15=""),"* No olvide ingresar la columna "&amp;AW$10&amp;""&amp;" *(Digite CERO si no tiene). ",IF(AW15&gt;$B15," *El Número de "&amp;AW$10&amp;""&amp;" no puede superar el Total Procesados. ",""))</f>
        <v/>
      </c>
      <c r="CE15" s="220" t="n"/>
      <c r="CF15" s="220" t="n"/>
      <c r="CG15" s="220" t="n"/>
      <c r="CH15" s="220" t="n"/>
      <c r="CI15" s="220" t="n"/>
      <c r="CJ15" s="219">
        <f>IF(N15&lt;O15,CONCATENATE("* El total de Procesados debe ser mayor o igual al total de Reactivos en el grupo de edad ",$N$11),"")</f>
        <v/>
      </c>
      <c r="CK15" s="219">
        <f>IF(P15&lt;Q15,CONCATENATE("* El total de Procesados debe ser mayor o igual al total de Reactivos en el grupo de edad ",$P$11),"")</f>
        <v/>
      </c>
      <c r="CL15" s="219">
        <f>IF(R15&lt;S15,CONCATENATE("* El total de Procesados debe ser mayor o igual al total de Reactivos en el grupo de edad ",$R$11),"")</f>
        <v/>
      </c>
      <c r="CM15" s="219">
        <f>IF($T15&lt;$U15,CONCATENATE("* El total de Procesados debe ser mayor o igual al total de Reactivos en el grupo de edad ",$T$11),"")</f>
        <v/>
      </c>
      <c r="CN15" s="219">
        <f>IF(V15&lt;W15,CONCATENATE("* El total de Procesados debe ser mayor o igual al total de Reactivos en el grupo de edad ",$V$11),"")</f>
        <v/>
      </c>
      <c r="CO15" s="219">
        <f>IF(X15&lt;Y15,CONCATENATE("* El total de Procesados debe ser mayor o igual al total de Reactivos en el grupo de edad ",$X$11),"")</f>
        <v/>
      </c>
      <c r="CP15" s="219">
        <f>IF(Z15&lt;AA15,CONCATENATE("* El total de Procesados debe ser mayor o igual al total de Reactivos en el grupo de edad ",$Z$11),"")</f>
        <v/>
      </c>
      <c r="CQ15" s="219">
        <f>IF(AB15&lt;AC15,CONCATENATE("* El total de Procesados debe ser mayor o igual al total de Reactivos en el grupo de edad ",$AB$11),"")</f>
        <v/>
      </c>
      <c r="CR15" s="219">
        <f>IF(AD15&lt;AE15,CONCATENATE("* El total de Procesados debe ser mayor o igual al total de Reactivos en el grupo de edad ",$AD$11),"")</f>
        <v/>
      </c>
      <c r="CS15" s="219">
        <f>IF(AF15&lt;AG15,CONCATENATE("* El total de Procesados debe ser mayor o igual al total de Reactivos en el grupo de edad ",$AF$11),"")</f>
        <v/>
      </c>
      <c r="CT15" s="219">
        <f>IF(AH15&lt;AI15,CONCATENATE("* El total de Procesados debe ser mayor o igual al total de Reactivos en el grupo de edad ",$AH$11),"")</f>
        <v/>
      </c>
      <c r="CU15" s="219">
        <f>IF(AJ15&lt;AK15,CONCATENATE("* El total de Procesados debe ser mayor o igual al total de Reactivos en el grupo de edad ",$AJ$11),"")</f>
        <v/>
      </c>
      <c r="CV15" s="219">
        <f>IF(AL15&lt;AM15,CONCATENATE("* El total de Procesados debe ser mayor o igual al total de Reactivos en el grupo de edad ",$AL$11),"")</f>
        <v/>
      </c>
      <c r="CW15" s="219">
        <f>IF(AN15&lt;AO15,CONCATENATE("* El total de Procesados debe ser mayor o igual al total de Reactivos en el grupo de edad ",$AN$11),"")</f>
        <v/>
      </c>
      <c r="CX15" s="219">
        <f>IF(AP15&lt;AQ15,CONCATENATE("* El total de Procesados debe ser mayor o igual al total de Reactivos en el grupo de edad ",$AP$11),"")</f>
        <v/>
      </c>
      <c r="DE15" s="226" t="n"/>
      <c r="DF15" s="376">
        <f>IF(B15&lt;&gt;(AS15),1,0)</f>
        <v/>
      </c>
      <c r="DG15" s="376">
        <f>IF(AND($B15&gt;0,AND(AT15="",AU15="")),1,IF((AT15+AU15)&gt;$B15,1,0))</f>
        <v/>
      </c>
      <c r="DH15" s="376">
        <f>IF(AND($B15&gt;0,AV15=""),1,IF(AV15&gt;$B15,1,0))</f>
        <v/>
      </c>
      <c r="DI15" s="376">
        <f>IF(AND($B15&gt;0,AW15=""),1,IF(AW15&gt;$B15,1,0))</f>
        <v/>
      </c>
      <c r="DJ15" s="220" t="n"/>
      <c r="DK15" s="220" t="n"/>
      <c r="DL15" s="220" t="n"/>
      <c r="DM15" s="220" t="n"/>
      <c r="DN15" s="220" t="n"/>
      <c r="DO15" s="376">
        <f>IF(N15&lt;O15,1,0)</f>
        <v/>
      </c>
      <c r="DP15" s="376">
        <f>IF(P15&lt;Q15,1,0)</f>
        <v/>
      </c>
      <c r="DQ15" s="376">
        <f>IF(R15&lt;S15,1,0)</f>
        <v/>
      </c>
      <c r="DR15" s="376">
        <f>IF($T15&lt;$U15,1,0)</f>
        <v/>
      </c>
      <c r="DS15" s="376">
        <f>IF(V15&lt;W15,1,0)</f>
        <v/>
      </c>
      <c r="DT15" s="376">
        <f>IF(X15&lt;Y15,1,0)</f>
        <v/>
      </c>
      <c r="DU15" s="376">
        <f>IF(Z15&lt;AA15,1,0)</f>
        <v/>
      </c>
      <c r="DV15" s="376">
        <f>IF(AB15&lt;AC15,1,0)</f>
        <v/>
      </c>
      <c r="DW15" s="376">
        <f>IF(AD15&lt;AE15,1,0)</f>
        <v/>
      </c>
      <c r="DX15" s="376">
        <f>IF(AF15&lt;AG15,1,0)</f>
        <v/>
      </c>
      <c r="DY15" s="376">
        <f>IF(AH15&lt;AI15,1,0)</f>
        <v/>
      </c>
      <c r="DZ15" s="376">
        <f>IF(AJ15&lt;AK15,1,0)</f>
        <v/>
      </c>
      <c r="EA15" s="376">
        <f>IF(AL15&lt;AM15,1,0)</f>
        <v/>
      </c>
      <c r="EB15" s="376">
        <f>IF(AN15&lt;AO15,1,0)</f>
        <v/>
      </c>
      <c r="EC15" s="376">
        <f>IF(AP15&lt;AQ15,1,0)</f>
        <v/>
      </c>
    </row>
    <row r="16">
      <c r="A16" s="3102" t="inlineStr">
        <is>
          <t>Gestantes trimestre embarazo ignorado</t>
        </is>
      </c>
      <c r="B16" s="3103">
        <f>+N16+P16+R16+T16+V16+X16+Z16+AB16+AD16+AF16+AH16+AJ16+AL16+AN16+AP16</f>
        <v/>
      </c>
      <c r="C16" s="1171">
        <f>+O16+Q16+S16+U16+W16+Y16+AA16+AC16+AE16+AG16+AI16+AK16+AM16+AO16+AQ16</f>
        <v/>
      </c>
      <c r="D16" s="3104" t="n"/>
      <c r="E16" s="3105" t="n"/>
      <c r="F16" s="3104" t="n"/>
      <c r="G16" s="3105" t="n"/>
      <c r="H16" s="3104" t="n"/>
      <c r="I16" s="3105" t="n"/>
      <c r="J16" s="3104" t="n"/>
      <c r="K16" s="3105" t="n"/>
      <c r="L16" s="3104" t="n"/>
      <c r="M16" s="3106" t="n"/>
      <c r="N16" s="3100" t="n"/>
      <c r="O16" s="3107" t="n"/>
      <c r="P16" s="3108" t="n"/>
      <c r="Q16" s="3107" t="n"/>
      <c r="R16" s="3108" t="n"/>
      <c r="S16" s="3107" t="n"/>
      <c r="T16" s="3108" t="n"/>
      <c r="U16" s="3107" t="n"/>
      <c r="V16" s="3108" t="n"/>
      <c r="W16" s="3107" t="n"/>
      <c r="X16" s="3108" t="n"/>
      <c r="Y16" s="3107" t="n"/>
      <c r="Z16" s="3108" t="n"/>
      <c r="AA16" s="3107" t="n"/>
      <c r="AB16" s="3108" t="n"/>
      <c r="AC16" s="3107" t="n"/>
      <c r="AD16" s="3108" t="n"/>
      <c r="AE16" s="3107" t="n"/>
      <c r="AF16" s="3108" t="n"/>
      <c r="AG16" s="3107" t="n"/>
      <c r="AH16" s="3108" t="n"/>
      <c r="AI16" s="3107" t="n"/>
      <c r="AJ16" s="3108" t="n"/>
      <c r="AK16" s="3107" t="n"/>
      <c r="AL16" s="3108" t="n"/>
      <c r="AM16" s="3107" t="n"/>
      <c r="AN16" s="3108" t="n"/>
      <c r="AO16" s="3107" t="n"/>
      <c r="AP16" s="3108" t="n"/>
      <c r="AQ16" s="3098" t="n"/>
      <c r="AR16" s="3097" t="n"/>
      <c r="AS16" s="3098" t="n"/>
      <c r="AT16" s="3099" t="n"/>
      <c r="AU16" s="3098" t="n"/>
      <c r="AV16" s="3660" t="n"/>
      <c r="AW16" s="4008" t="n"/>
      <c r="AX16" s="218">
        <f>$CA16&amp;CB16&amp;CC16&amp;$CD16&amp;CJ16&amp;CK16&amp;CL16&amp;CM16&amp;CN16&amp;CO16&amp;CP16&amp;CQ16&amp;CR16&amp;CS16&amp;CT16&amp;CU16&amp;CV16&amp;CW16&amp;CX16</f>
        <v/>
      </c>
      <c r="CA16" s="219">
        <f>IF(B16&lt;&gt;(AS16)," * La suma de las columnas "&amp;AR$10&amp;""&amp;" DEBE SER IGUAL a los Exámenes Procesados. ","")</f>
        <v/>
      </c>
      <c r="CB16" s="219">
        <f>IF(AND($B16&gt;0,AND(AT16="",AU16="")),"* No olvide ingresar las columnas Trans Masculino o Femenino (Digite CERO si no tiene). ",IF((AT16+AU16)&gt;$B16,"* El Número de Trans Masculino o Femenino no puede superar el Total Procesados. ",""))</f>
        <v/>
      </c>
      <c r="CC16" s="219">
        <f>IF(AND($B16&gt;0,AV16=""),"* No olvide ingresar la columna "&amp;AV$10&amp;""&amp;" *(Digite CERO si no tiene). ",IF(AV16&gt;$B16," *El Número de "&amp;AV$10&amp;""&amp;" no puede superar el Total Procesados. ",""))</f>
        <v/>
      </c>
      <c r="CD16" s="219">
        <f>IF(AND($B16&gt;0,AW16=""),"* No olvide ingresar la columna "&amp;AW$10&amp;""&amp;" *(Digite CERO si no tiene). ",IF(AW16&gt;$B16," *El Número de "&amp;AW$10&amp;""&amp;" no puede superar el Total Procesados. ",""))</f>
        <v/>
      </c>
      <c r="CE16" s="220" t="n"/>
      <c r="CF16" s="220" t="n"/>
      <c r="CG16" s="220" t="n"/>
      <c r="CH16" s="220" t="n"/>
      <c r="CI16" s="220" t="n"/>
      <c r="CJ16" s="219">
        <f>IF(N16&lt;O16,CONCATENATE("* El total de Procesados debe ser mayor o igual al total de Reactivos en el grupo de edad ",$N$11),"")</f>
        <v/>
      </c>
      <c r="CK16" s="219">
        <f>IF(P16&lt;Q16,CONCATENATE("* El total de Procesados debe ser mayor o igual al total de Reactivos en el grupo de edad ",$P$11),"")</f>
        <v/>
      </c>
      <c r="CL16" s="219">
        <f>IF(R16&lt;S16,CONCATENATE("* El total de Procesados debe ser mayor o igual al total de Reactivos en el grupo de edad ",$R$11),"")</f>
        <v/>
      </c>
      <c r="CM16" s="219">
        <f>IF($T16&lt;$U16,CONCATENATE("* El total de Procesados debe ser mayor o igual al total de Reactivos en el grupo de edad ",$T$11),"")</f>
        <v/>
      </c>
      <c r="CN16" s="219">
        <f>IF(V16&lt;W16,CONCATENATE("* El total de Procesados debe ser mayor o igual al total de Reactivos en el grupo de edad ",$V$11),"")</f>
        <v/>
      </c>
      <c r="CO16" s="219">
        <f>IF(X16&lt;Y16,CONCATENATE("* El total de Procesados debe ser mayor o igual al total de Reactivos en el grupo de edad ",$X$11),"")</f>
        <v/>
      </c>
      <c r="CP16" s="219">
        <f>IF(Z16&lt;AA16,CONCATENATE("* El total de Procesados debe ser mayor o igual al total de Reactivos en el grupo de edad ",$Z$11),"")</f>
        <v/>
      </c>
      <c r="CQ16" s="219">
        <f>IF(AB16&lt;AC16,CONCATENATE("* El total de Procesados debe ser mayor o igual al total de Reactivos en el grupo de edad ",$AB$11),"")</f>
        <v/>
      </c>
      <c r="CR16" s="219">
        <f>IF(AD16&lt;AE16,CONCATENATE("* El total de Procesados debe ser mayor o igual al total de Reactivos en el grupo de edad ",$AD$11),"")</f>
        <v/>
      </c>
      <c r="CS16" s="219">
        <f>IF(AF16&lt;AG16,CONCATENATE("* El total de Procesados debe ser mayor o igual al total de Reactivos en el grupo de edad ",$AF$11),"")</f>
        <v/>
      </c>
      <c r="CT16" s="219">
        <f>IF(AH16&lt;AI16,CONCATENATE("* El total de Procesados debe ser mayor o igual al total de Reactivos en el grupo de edad ",$AH$11),"")</f>
        <v/>
      </c>
      <c r="CU16" s="219">
        <f>IF(AJ16&lt;AK16,CONCATENATE("* El total de Procesados debe ser mayor o igual al total de Reactivos en el grupo de edad ",$AJ$11),"")</f>
        <v/>
      </c>
      <c r="CV16" s="219">
        <f>IF(AL16&lt;AM16,CONCATENATE("* El total de Procesados debe ser mayor o igual al total de Reactivos en el grupo de edad ",$AL$11),"")</f>
        <v/>
      </c>
      <c r="CW16" s="219">
        <f>IF(AN16&lt;AO16,CONCATENATE("* El total de Procesados debe ser mayor o igual al total de Reactivos en el grupo de edad ",$AN$11),"")</f>
        <v/>
      </c>
      <c r="CX16" s="219">
        <f>IF(AP16&lt;AQ16,CONCATENATE("* El total de Procesados debe ser mayor o igual al total de Reactivos en el grupo de edad ",$AP$11),"")</f>
        <v/>
      </c>
      <c r="DE16" s="226" t="n"/>
      <c r="DF16" s="376">
        <f>IF(B16&lt;&gt;(AS16),1,0)</f>
        <v/>
      </c>
      <c r="DG16" s="376">
        <f>IF(AND($B16&gt;0,AND(AT16="",AU16="")),1,IF((AT16+AU16)&gt;$B16,1,0))</f>
        <v/>
      </c>
      <c r="DH16" s="376">
        <f>IF(AND($B16&gt;0,AV16=""),1,IF(AV16&gt;$B16,1,0))</f>
        <v/>
      </c>
      <c r="DI16" s="376">
        <f>IF(AND($B16&gt;0,AW16=""),1,IF(AW16&gt;$B16,1,0))</f>
        <v/>
      </c>
      <c r="DJ16" s="220" t="n"/>
      <c r="DK16" s="220" t="n"/>
      <c r="DL16" s="220" t="n"/>
      <c r="DM16" s="220" t="n"/>
      <c r="DN16" s="220" t="n"/>
      <c r="DO16" s="376">
        <f>IF(N16&lt;O16,1,0)</f>
        <v/>
      </c>
      <c r="DP16" s="376">
        <f>IF(P16&lt;Q16,1,0)</f>
        <v/>
      </c>
      <c r="DQ16" s="376">
        <f>IF(R16&lt;S16,1,0)</f>
        <v/>
      </c>
      <c r="DR16" s="376">
        <f>IF($T16&lt;$U16,1,0)</f>
        <v/>
      </c>
      <c r="DS16" s="376">
        <f>IF(V16&lt;W16,1,0)</f>
        <v/>
      </c>
      <c r="DT16" s="376">
        <f>IF(X16&lt;Y16,1,0)</f>
        <v/>
      </c>
      <c r="DU16" s="376">
        <f>IF(Z16&lt;AA16,1,0)</f>
        <v/>
      </c>
      <c r="DV16" s="376">
        <f>IF(AB16&lt;AC16,1,0)</f>
        <v/>
      </c>
      <c r="DW16" s="376">
        <f>IF(AD16&lt;AE16,1,0)</f>
        <v/>
      </c>
      <c r="DX16" s="376">
        <f>IF(AF16&lt;AG16,1,0)</f>
        <v/>
      </c>
      <c r="DY16" s="376">
        <f>IF(AH16&lt;AI16,1,0)</f>
        <v/>
      </c>
      <c r="DZ16" s="376">
        <f>IF(AJ16&lt;AK16,1,0)</f>
        <v/>
      </c>
      <c r="EA16" s="376">
        <f>IF(AL16&lt;AM16,1,0)</f>
        <v/>
      </c>
      <c r="EB16" s="376">
        <f>IF(AN16&lt;AO16,1,0)</f>
        <v/>
      </c>
      <c r="EC16" s="376">
        <f>IF(AP16&lt;AQ16,1,0)</f>
        <v/>
      </c>
    </row>
    <row r="17">
      <c r="A17" s="8510" t="inlineStr">
        <is>
          <t>Gestantes en seguimiento por diagnóstico sífilis</t>
        </is>
      </c>
      <c r="B17" s="3103">
        <f>+N17+P17+R17+T17+V17+X17+Z17+AB17+AD17+AF17+AH17+AJ17+AL17+AN17+AP17</f>
        <v/>
      </c>
      <c r="C17" s="1171">
        <f>+O17+Q17+S17+U17+W17+Y17+AA17+AC17+AE17+AG17+AI17+AK17+AM17+AO17+AQ17</f>
        <v/>
      </c>
      <c r="D17" s="3104" t="n"/>
      <c r="E17" s="3105" t="n"/>
      <c r="F17" s="3104" t="n"/>
      <c r="G17" s="3105" t="n"/>
      <c r="H17" s="3104" t="n"/>
      <c r="I17" s="3105" t="n"/>
      <c r="J17" s="3104" t="n"/>
      <c r="K17" s="3105" t="n"/>
      <c r="L17" s="3104" t="n"/>
      <c r="M17" s="3106" t="n"/>
      <c r="N17" s="3100" t="n"/>
      <c r="O17" s="3107" t="n"/>
      <c r="P17" s="3108" t="n"/>
      <c r="Q17" s="3107" t="n"/>
      <c r="R17" s="3108" t="n"/>
      <c r="S17" s="3107" t="n"/>
      <c r="T17" s="3108" t="n"/>
      <c r="U17" s="3107" t="n"/>
      <c r="V17" s="3108" t="n"/>
      <c r="W17" s="3107" t="n"/>
      <c r="X17" s="3108" t="n"/>
      <c r="Y17" s="3107" t="n"/>
      <c r="Z17" s="3108" t="n"/>
      <c r="AA17" s="3107" t="n"/>
      <c r="AB17" s="3108" t="n"/>
      <c r="AC17" s="3107" t="n"/>
      <c r="AD17" s="3108" t="n"/>
      <c r="AE17" s="3107" t="n"/>
      <c r="AF17" s="3108" t="n"/>
      <c r="AG17" s="3107" t="n"/>
      <c r="AH17" s="3108" t="n"/>
      <c r="AI17" s="3107" t="n"/>
      <c r="AJ17" s="3108" t="n"/>
      <c r="AK17" s="3107" t="n"/>
      <c r="AL17" s="3108" t="n"/>
      <c r="AM17" s="3107" t="n"/>
      <c r="AN17" s="3108" t="n"/>
      <c r="AO17" s="3107" t="n"/>
      <c r="AP17" s="3108" t="n"/>
      <c r="AQ17" s="3098" t="n"/>
      <c r="AR17" s="3097" t="n"/>
      <c r="AS17" s="3098" t="n"/>
      <c r="AT17" s="3099" t="n"/>
      <c r="AU17" s="3098" t="n"/>
      <c r="AV17" s="3660" t="n"/>
      <c r="AW17" s="4008" t="n"/>
      <c r="AX17" s="218">
        <f>$CA17&amp;CB17&amp;CC17&amp;$CD17&amp;CJ17&amp;CK17&amp;CL17&amp;CM17&amp;CN17&amp;CO17&amp;CP17&amp;CQ17&amp;CR17&amp;CS17&amp;CT17&amp;CU17&amp;CV17&amp;CW17&amp;CX17</f>
        <v/>
      </c>
      <c r="CA17" s="219">
        <f>IF(B17&lt;&gt;(AS17)," * La suma de las columnas "&amp;AR$10&amp;""&amp;" DEBE SER IGUAL a los Exámenes Procesados. ","")</f>
        <v/>
      </c>
      <c r="CB17" s="219">
        <f>IF(AND($B17&gt;0,AND(AT17="",AU17="")),"* No olvide ingresar las columnas Trans Masculino o Femenino (Digite CERO si no tiene). ",IF((AT17+AU17)&gt;$B17,"* El Número de Trans Masculino o Femenino no puede superar el Total Procesados. ",""))</f>
        <v/>
      </c>
      <c r="CC17" s="219">
        <f>IF(AND($B17&gt;0,AV17=""),"* No olvide ingresar la columna "&amp;AV$10&amp;""&amp;" *(Digite CERO si no tiene). ",IF(AV17&gt;$B17," *El Número de "&amp;AV$10&amp;""&amp;" no puede superar el Total Procesados. ",""))</f>
        <v/>
      </c>
      <c r="CD17" s="219">
        <f>IF(AND($B17&gt;0,AW17=""),"* No olvide ingresar la columna "&amp;AW$10&amp;""&amp;" *(Digite CERO si no tiene). ",IF(AW17&gt;$B17," *El Número de "&amp;AW$10&amp;""&amp;" no puede superar el Total Procesados. ",""))</f>
        <v/>
      </c>
      <c r="CE17" s="220" t="n"/>
      <c r="CF17" s="220" t="n"/>
      <c r="CG17" s="220" t="n"/>
      <c r="CH17" s="220" t="n"/>
      <c r="CI17" s="220" t="n"/>
      <c r="CJ17" s="219">
        <f>IF(N17&lt;O17,CONCATENATE("* El total de Procesados debe ser mayor o igual al total de Reactivos en el grupo de edad ",$N$11),"")</f>
        <v/>
      </c>
      <c r="CK17" s="219">
        <f>IF(P17&lt;Q17,CONCATENATE("* El total de Procesados debe ser mayor o igual al total de Reactivos en el grupo de edad ",$P$11),"")</f>
        <v/>
      </c>
      <c r="CL17" s="219">
        <f>IF(R17&lt;S17,CONCATENATE("* El total de Procesados debe ser mayor o igual al total de Reactivos en el grupo de edad ",$R$11),"")</f>
        <v/>
      </c>
      <c r="CM17" s="219">
        <f>IF($T17&lt;$U17,CONCATENATE("* El total de Procesados debe ser mayor o igual al total de Reactivos en el grupo de edad ",$T$11),"")</f>
        <v/>
      </c>
      <c r="CN17" s="219">
        <f>IF(V17&lt;W17,CONCATENATE("* El total de Procesados debe ser mayor o igual al total de Reactivos en el grupo de edad ",$V$11),"")</f>
        <v/>
      </c>
      <c r="CO17" s="219">
        <f>IF(X17&lt;Y17,CONCATENATE("* El total de Procesados debe ser mayor o igual al total de Reactivos en el grupo de edad ",$X$11),"")</f>
        <v/>
      </c>
      <c r="CP17" s="219">
        <f>IF(Z17&lt;AA17,CONCATENATE("* El total de Procesados debe ser mayor o igual al total de Reactivos en el grupo de edad ",$Z$11),"")</f>
        <v/>
      </c>
      <c r="CQ17" s="219">
        <f>IF(AB17&lt;AC17,CONCATENATE("* El total de Procesados debe ser mayor o igual al total de Reactivos en el grupo de edad ",$AB$11),"")</f>
        <v/>
      </c>
      <c r="CR17" s="219">
        <f>IF(AD17&lt;AE17,CONCATENATE("* El total de Procesados debe ser mayor o igual al total de Reactivos en el grupo de edad ",$AD$11),"")</f>
        <v/>
      </c>
      <c r="CS17" s="219">
        <f>IF(AF17&lt;AG17,CONCATENATE("* El total de Procesados debe ser mayor o igual al total de Reactivos en el grupo de edad ",$AF$11),"")</f>
        <v/>
      </c>
      <c r="CT17" s="219">
        <f>IF(AH17&lt;AI17,CONCATENATE("* El total de Procesados debe ser mayor o igual al total de Reactivos en el grupo de edad ",$AH$11),"")</f>
        <v/>
      </c>
      <c r="CU17" s="219">
        <f>IF(AJ17&lt;AK17,CONCATENATE("* El total de Procesados debe ser mayor o igual al total de Reactivos en el grupo de edad ",$AJ$11),"")</f>
        <v/>
      </c>
      <c r="CV17" s="219">
        <f>IF(AL17&lt;AM17,CONCATENATE("* El total de Procesados debe ser mayor o igual al total de Reactivos en el grupo de edad ",$AL$11),"")</f>
        <v/>
      </c>
      <c r="CW17" s="219">
        <f>IF(AN17&lt;AO17,CONCATENATE("* El total de Procesados debe ser mayor o igual al total de Reactivos en el grupo de edad ",$AN$11),"")</f>
        <v/>
      </c>
      <c r="CX17" s="219">
        <f>IF(AP17&lt;AQ17,CONCATENATE("* El total de Procesados debe ser mayor o igual al total de Reactivos en el grupo de edad ",$AP$11),"")</f>
        <v/>
      </c>
      <c r="DE17" s="226" t="n"/>
      <c r="DF17" s="376">
        <f>IF(B17&lt;&gt;(AS17),1,0)</f>
        <v/>
      </c>
      <c r="DG17" s="376">
        <f>IF(AND($B17&gt;0,AND(AT17="",AU17="")),1,IF((AT17+AU17)&gt;$B17,1,0))</f>
        <v/>
      </c>
      <c r="DH17" s="376">
        <f>IF(AND($B17&gt;0,AV17=""),1,IF(AV17&gt;$B17,1,0))</f>
        <v/>
      </c>
      <c r="DI17" s="376">
        <f>IF(AND($B17&gt;0,AW17=""),1,IF(AW17&gt;$B17,1,0))</f>
        <v/>
      </c>
      <c r="DJ17" s="220" t="n"/>
      <c r="DK17" s="220" t="n"/>
      <c r="DL17" s="220" t="n"/>
      <c r="DM17" s="220" t="n"/>
      <c r="DN17" s="220" t="n"/>
      <c r="DO17" s="376">
        <f>IF(N17&lt;O17,1,0)</f>
        <v/>
      </c>
      <c r="DP17" s="376">
        <f>IF(P17&lt;Q17,1,0)</f>
        <v/>
      </c>
      <c r="DQ17" s="376">
        <f>IF(R17&lt;S17,1,0)</f>
        <v/>
      </c>
      <c r="DR17" s="376">
        <f>IF($T17&lt;$U17,1,0)</f>
        <v/>
      </c>
      <c r="DS17" s="376">
        <f>IF(V17&lt;W17,1,0)</f>
        <v/>
      </c>
      <c r="DT17" s="376">
        <f>IF(X17&lt;Y17,1,0)</f>
        <v/>
      </c>
      <c r="DU17" s="376">
        <f>IF(Z17&lt;AA17,1,0)</f>
        <v/>
      </c>
      <c r="DV17" s="376">
        <f>IF(AB17&lt;AC17,1,0)</f>
        <v/>
      </c>
      <c r="DW17" s="376">
        <f>IF(AD17&lt;AE17,1,0)</f>
        <v/>
      </c>
      <c r="DX17" s="376">
        <f>IF(AF17&lt;AG17,1,0)</f>
        <v/>
      </c>
      <c r="DY17" s="376">
        <f>IF(AH17&lt;AI17,1,0)</f>
        <v/>
      </c>
      <c r="DZ17" s="376">
        <f>IF(AJ17&lt;AK17,1,0)</f>
        <v/>
      </c>
      <c r="EA17" s="376">
        <f>IF(AL17&lt;AM17,1,0)</f>
        <v/>
      </c>
      <c r="EB17" s="376">
        <f>IF(AN17&lt;AO17,1,0)</f>
        <v/>
      </c>
      <c r="EC17" s="376">
        <f>IF(AP17&lt;AQ17,1,0)</f>
        <v/>
      </c>
    </row>
    <row r="18">
      <c r="A18" s="8510" t="inlineStr">
        <is>
          <t>Pareja de gestante con serología reactiva</t>
        </is>
      </c>
      <c r="B18" s="3103">
        <f>+N18+P18+R18+T18+V18+X18+Z18+AB18+AD18+AF18+AH18+AJ18+AL18+AN18+AP18</f>
        <v/>
      </c>
      <c r="C18" s="1171">
        <f>+O18+Q18+S18+U18+W18+Y18+AA18+AC18+AE18+AG18+AI18+AK18+AM18+AO18+AQ18</f>
        <v/>
      </c>
      <c r="D18" s="3104" t="n"/>
      <c r="E18" s="3105" t="n"/>
      <c r="F18" s="3104" t="n"/>
      <c r="G18" s="3105" t="n"/>
      <c r="H18" s="3104" t="n"/>
      <c r="I18" s="3105" t="n"/>
      <c r="J18" s="3104" t="n"/>
      <c r="K18" s="3105" t="n"/>
      <c r="L18" s="3104" t="n"/>
      <c r="M18" s="3106" t="n"/>
      <c r="N18" s="3100" t="n"/>
      <c r="O18" s="3107" t="n"/>
      <c r="P18" s="3108" t="n"/>
      <c r="Q18" s="3107" t="n"/>
      <c r="R18" s="3108" t="n"/>
      <c r="S18" s="3107" t="n"/>
      <c r="T18" s="3108" t="n"/>
      <c r="U18" s="3107" t="n"/>
      <c r="V18" s="3108" t="n"/>
      <c r="W18" s="3107" t="n"/>
      <c r="X18" s="3108" t="n"/>
      <c r="Y18" s="3107" t="n"/>
      <c r="Z18" s="3108" t="n"/>
      <c r="AA18" s="3107" t="n"/>
      <c r="AB18" s="3108" t="n"/>
      <c r="AC18" s="3107" t="n"/>
      <c r="AD18" s="3108" t="n"/>
      <c r="AE18" s="3107" t="n"/>
      <c r="AF18" s="3108" t="n"/>
      <c r="AG18" s="3107" t="n"/>
      <c r="AH18" s="3108" t="n"/>
      <c r="AI18" s="3107" t="n"/>
      <c r="AJ18" s="3108" t="n"/>
      <c r="AK18" s="3107" t="n"/>
      <c r="AL18" s="3108" t="n"/>
      <c r="AM18" s="3107" t="n"/>
      <c r="AN18" s="3108" t="n"/>
      <c r="AO18" s="3107" t="n"/>
      <c r="AP18" s="3108" t="n"/>
      <c r="AQ18" s="3098" t="n"/>
      <c r="AR18" s="3100" t="n"/>
      <c r="AS18" s="3098" t="n"/>
      <c r="AT18" s="3099" t="n"/>
      <c r="AU18" s="3098" t="n"/>
      <c r="AV18" s="3660" t="n"/>
      <c r="AW18" s="4008" t="n"/>
      <c r="AX18" s="218">
        <f>$CA18&amp;CB18&amp;CC18&amp;$CD18&amp;CJ18&amp;CK18&amp;CL18&amp;CM18&amp;CN18&amp;CO18&amp;CP18&amp;CQ18&amp;CR18&amp;CS18&amp;CT18&amp;CU18&amp;CV18&amp;CW18&amp;CX18</f>
        <v/>
      </c>
      <c r="CA18" s="219">
        <f>IF(B18&lt;&gt;(AS18+AR18)," * La suma de las columnas "&amp;AR$10&amp;""&amp;" DEBE SER IGUAL a los Exámenes Procesados. ","")</f>
        <v/>
      </c>
      <c r="CB18" s="219">
        <f>IF(AND($B18&gt;0,AND(AT18="",AU18="")),"* No olvide ingresar las columnas Trans Masculino o Femenino (Digite CERO si no tiene). ",IF((AT18+AU18)&gt;$B18,"* El Número de Trans Masculino o Femenino no puede superar el Total Procesados. ",""))</f>
        <v/>
      </c>
      <c r="CC18" s="219">
        <f>IF(AND($B18&gt;0,AV18=""),"* No olvide ingresar la columna "&amp;AV$10&amp;""&amp;" *(Digite CERO si no tiene). ",IF(AV18&gt;$B18," *El Número de "&amp;AV$10&amp;""&amp;" no puede superar el Total Procesados. ",""))</f>
        <v/>
      </c>
      <c r="CD18" s="219">
        <f>IF(AND($B18&gt;0,AW18=""),"* No olvide ingresar la columna "&amp;AW$10&amp;""&amp;" *(Digite CERO si no tiene). ",IF(AW18&gt;$B18," *El Número de "&amp;AW$10&amp;""&amp;" no puede superar el Total Procesados. ",""))</f>
        <v/>
      </c>
      <c r="CE18" s="220" t="n"/>
      <c r="CF18" s="220" t="n"/>
      <c r="CG18" s="220" t="n"/>
      <c r="CH18" s="220" t="n"/>
      <c r="CI18" s="220" t="n"/>
      <c r="CJ18" s="219">
        <f>IF(N18&lt;O18,CONCATENATE("* El total de Procesados debe ser mayor o igual al total de Reactivos en el grupo de edad ",$N$11),"")</f>
        <v/>
      </c>
      <c r="CK18" s="219">
        <f>IF(P18&lt;Q18,CONCATENATE("* El total de Procesados debe ser mayor o igual al total de Reactivos en el grupo de edad ",$P$11),"")</f>
        <v/>
      </c>
      <c r="CL18" s="219">
        <f>IF(R18&lt;S18,CONCATENATE("* El total de Procesados debe ser mayor o igual al total de Reactivos en el grupo de edad ",$R$11),"")</f>
        <v/>
      </c>
      <c r="CM18" s="219">
        <f>IF($T18&lt;$U18,CONCATENATE("* El total de Procesados debe ser mayor o igual al total de Reactivos en el grupo de edad ",$T$11),"")</f>
        <v/>
      </c>
      <c r="CN18" s="219">
        <f>IF(V18&lt;W18,CONCATENATE("* El total de Procesados debe ser mayor o igual al total de Reactivos en el grupo de edad ",$V$11),"")</f>
        <v/>
      </c>
      <c r="CO18" s="219">
        <f>IF(X18&lt;Y18,CONCATENATE("* El total de Procesados debe ser mayor o igual al total de Reactivos en el grupo de edad ",$X$11),"")</f>
        <v/>
      </c>
      <c r="CP18" s="219">
        <f>IF(Z18&lt;AA18,CONCATENATE("* El total de Procesados debe ser mayor o igual al total de Reactivos en el grupo de edad ",$Z$11),"")</f>
        <v/>
      </c>
      <c r="CQ18" s="219">
        <f>IF(AB18&lt;AC18,CONCATENATE("* El total de Procesados debe ser mayor o igual al total de Reactivos en el grupo de edad ",$AB$11),"")</f>
        <v/>
      </c>
      <c r="CR18" s="219">
        <f>IF(AD18&lt;AE18,CONCATENATE("* El total de Procesados debe ser mayor o igual al total de Reactivos en el grupo de edad ",$AD$11),"")</f>
        <v/>
      </c>
      <c r="CS18" s="219">
        <f>IF(AF18&lt;AG18,CONCATENATE("* El total de Procesados debe ser mayor o igual al total de Reactivos en el grupo de edad ",$AF$11),"")</f>
        <v/>
      </c>
      <c r="CT18" s="219">
        <f>IF(AH18&lt;AI18,CONCATENATE("* El total de Procesados debe ser mayor o igual al total de Reactivos en el grupo de edad ",$AH$11),"")</f>
        <v/>
      </c>
      <c r="CU18" s="219">
        <f>IF(AJ18&lt;AK18,CONCATENATE("* El total de Procesados debe ser mayor o igual al total de Reactivos en el grupo de edad ",$AJ$11),"")</f>
        <v/>
      </c>
      <c r="CV18" s="219">
        <f>IF(AL18&lt;AM18,CONCATENATE("* El total de Procesados debe ser mayor o igual al total de Reactivos en el grupo de edad ",$AL$11),"")</f>
        <v/>
      </c>
      <c r="CW18" s="219">
        <f>IF(AN18&lt;AO18,CONCATENATE("* El total de Procesados debe ser mayor o igual al total de Reactivos en el grupo de edad ",$AN$11),"")</f>
        <v/>
      </c>
      <c r="CX18" s="219">
        <f>IF(AP18&lt;AQ18,CONCATENATE("* El total de Procesados debe ser mayor o igual al total de Reactivos en el grupo de edad ",$AP$11),"")</f>
        <v/>
      </c>
      <c r="DE18" s="226" t="n"/>
      <c r="DF18" s="376">
        <f>IF(B18&lt;&gt;(AS18+AR18),1,0)</f>
        <v/>
      </c>
      <c r="DG18" s="376">
        <f>IF(AND($B18&gt;0,AND(AT18="",AU18="")),1,IF((AT18+AU18)&gt;$B18,1,0))</f>
        <v/>
      </c>
      <c r="DH18" s="376">
        <f>IF(AND($B18&gt;0,AV18=""),1,IF(AV18&gt;$B18,1,0))</f>
        <v/>
      </c>
      <c r="DI18" s="376">
        <f>IF(AND($B18&gt;0,AW18=""),1,IF(AW18&gt;$B18,1,0))</f>
        <v/>
      </c>
      <c r="DJ18" s="220" t="n"/>
      <c r="DK18" s="220" t="n"/>
      <c r="DL18" s="220" t="n"/>
      <c r="DM18" s="220" t="n"/>
      <c r="DN18" s="220" t="n"/>
      <c r="DO18" s="376">
        <f>IF(N18&lt;O18,1,0)</f>
        <v/>
      </c>
      <c r="DP18" s="376">
        <f>IF(P18&lt;Q18,1,0)</f>
        <v/>
      </c>
      <c r="DQ18" s="376">
        <f>IF(R18&lt;S18,1,0)</f>
        <v/>
      </c>
      <c r="DR18" s="376">
        <f>IF($T18&lt;$U18,1,0)</f>
        <v/>
      </c>
      <c r="DS18" s="376">
        <f>IF(V18&lt;W18,1,0)</f>
        <v/>
      </c>
      <c r="DT18" s="376">
        <f>IF(X18&lt;Y18,1,0)</f>
        <v/>
      </c>
      <c r="DU18" s="376">
        <f>IF(Z18&lt;AA18,1,0)</f>
        <v/>
      </c>
      <c r="DV18" s="376">
        <f>IF(AB18&lt;AC18,1,0)</f>
        <v/>
      </c>
      <c r="DW18" s="376">
        <f>IF(AD18&lt;AE18,1,0)</f>
        <v/>
      </c>
      <c r="DX18" s="376">
        <f>IF(AF18&lt;AG18,1,0)</f>
        <v/>
      </c>
      <c r="DY18" s="376">
        <f>IF(AH18&lt;AI18,1,0)</f>
        <v/>
      </c>
      <c r="DZ18" s="376">
        <f>IF(AJ18&lt;AK18,1,0)</f>
        <v/>
      </c>
      <c r="EA18" s="376">
        <f>IF(AL18&lt;AM18,1,0)</f>
        <v/>
      </c>
      <c r="EB18" s="376">
        <f>IF(AN18&lt;AO18,1,0)</f>
        <v/>
      </c>
      <c r="EC18" s="376">
        <f>IF(AP18&lt;AQ18,1,0)</f>
        <v/>
      </c>
    </row>
    <row r="19">
      <c r="A19" s="8510" t="inlineStr">
        <is>
          <t>Mujeres que ingresan a maternidad por parto</t>
        </is>
      </c>
      <c r="B19" s="3103">
        <f>+N19+P19+R19+T19+V19+X19+Z19+AB19+AD19+AF19+AH19+AJ19+AL19+AN19+AP19</f>
        <v/>
      </c>
      <c r="C19" s="1171">
        <f>+O19+Q19+S19+U19+W19+Y19+AA19+AC19+AE19+AG19+AI19+AK19+AM19+AO19+AQ19</f>
        <v/>
      </c>
      <c r="D19" s="3104" t="n"/>
      <c r="E19" s="3105" t="n"/>
      <c r="F19" s="3104" t="n"/>
      <c r="G19" s="3105" t="n"/>
      <c r="H19" s="3104" t="n"/>
      <c r="I19" s="3105" t="n"/>
      <c r="J19" s="3104" t="n"/>
      <c r="K19" s="3105" t="n"/>
      <c r="L19" s="3104" t="n"/>
      <c r="M19" s="3106" t="n"/>
      <c r="N19" s="3100" t="n"/>
      <c r="O19" s="3107" t="n"/>
      <c r="P19" s="3108" t="n"/>
      <c r="Q19" s="3107" t="n"/>
      <c r="R19" s="3108" t="n"/>
      <c r="S19" s="3107" t="n"/>
      <c r="T19" s="3108" t="n"/>
      <c r="U19" s="3107" t="n"/>
      <c r="V19" s="3108" t="n"/>
      <c r="W19" s="3107" t="n"/>
      <c r="X19" s="3108" t="n"/>
      <c r="Y19" s="3107" t="n"/>
      <c r="Z19" s="3108" t="n"/>
      <c r="AA19" s="3107" t="n"/>
      <c r="AB19" s="3108" t="n"/>
      <c r="AC19" s="3107" t="n"/>
      <c r="AD19" s="3108" t="n"/>
      <c r="AE19" s="3107" t="n"/>
      <c r="AF19" s="3108" t="n"/>
      <c r="AG19" s="3107" t="n"/>
      <c r="AH19" s="3108" t="n"/>
      <c r="AI19" s="3107" t="n"/>
      <c r="AJ19" s="3108" t="n"/>
      <c r="AK19" s="3107" t="n"/>
      <c r="AL19" s="3108" t="n"/>
      <c r="AM19" s="3107" t="n"/>
      <c r="AN19" s="3108" t="n"/>
      <c r="AO19" s="3107" t="n"/>
      <c r="AP19" s="3108" t="n"/>
      <c r="AQ19" s="3098" t="n"/>
      <c r="AR19" s="3097" t="n"/>
      <c r="AS19" s="3098" t="n"/>
      <c r="AT19" s="3099" t="n"/>
      <c r="AU19" s="3098" t="n"/>
      <c r="AV19" s="3660" t="n"/>
      <c r="AW19" s="4008" t="n"/>
      <c r="AX19" s="218">
        <f>$CA19&amp;CB19&amp;CC19&amp;$CD19&amp;CJ19&amp;CK19&amp;CL19&amp;CM19&amp;CN19&amp;CO19&amp;CP19&amp;CQ19&amp;CR19&amp;CS19&amp;CT19&amp;CU19&amp;CV19&amp;CW19&amp;CX19</f>
        <v/>
      </c>
      <c r="CA19" s="219">
        <f>IF(B19&lt;&gt;(AS19)," * La suma de las columnas "&amp;AR$10&amp;""&amp;" DEBE SER IGUAL a los Exámenes Procesados. ","")</f>
        <v/>
      </c>
      <c r="CB19" s="219">
        <f>IF(AND($B19&gt;0,AND(AT19="",AU19="")),"* No olvide ingresar las columnas Trans Masculino o Femenino (Digite CERO si no tiene). ",IF((AT19+AU19)&gt;$B19,"* El Número de Trans Masculino o Femenino no puede superar el Total Procesados. ",""))</f>
        <v/>
      </c>
      <c r="CC19" s="219">
        <f>IF(AND($B19&gt;0,AV19=""),"* No olvide ingresar la columna "&amp;AV$10&amp;""&amp;" *(Digite CERO si no tiene). ",IF(AV19&gt;$B19," *El Número de "&amp;AV$10&amp;""&amp;" no puede superar el Total Procesados. ",""))</f>
        <v/>
      </c>
      <c r="CD19" s="219">
        <f>IF(AND($B19&gt;0,AW19=""),"* No olvide ingresar la columna "&amp;AW$10&amp;""&amp;" *(Digite CERO si no tiene). ",IF(AW19&gt;$B19," *El Número de "&amp;AW$10&amp;""&amp;" no puede superar el Total Procesados. ",""))</f>
        <v/>
      </c>
      <c r="CE19" s="220" t="n"/>
      <c r="CF19" s="220" t="n"/>
      <c r="CG19" s="220" t="n"/>
      <c r="CH19" s="220" t="n"/>
      <c r="CI19" s="220" t="n"/>
      <c r="CJ19" s="219">
        <f>IF(N19&lt;O19,CONCATENATE("* El total de Procesados debe ser mayor o igual al total de Reactivos en el grupo de edad ",$N$11),"")</f>
        <v/>
      </c>
      <c r="CK19" s="219">
        <f>IF(P19&lt;Q19,CONCATENATE("* El total de Procesados debe ser mayor o igual al total de Reactivos en el grupo de edad ",$P$11),"")</f>
        <v/>
      </c>
      <c r="CL19" s="219">
        <f>IF(R19&lt;S19,CONCATENATE("* El total de Procesados debe ser mayor o igual al total de Reactivos en el grupo de edad ",$R$11),"")</f>
        <v/>
      </c>
      <c r="CM19" s="219">
        <f>IF($T19&lt;$U19,CONCATENATE("* El total de Procesados debe ser mayor o igual al total de Reactivos en el grupo de edad ",$T$11),"")</f>
        <v/>
      </c>
      <c r="CN19" s="219">
        <f>IF(V19&lt;W19,CONCATENATE("* El total de Procesados debe ser mayor o igual al total de Reactivos en el grupo de edad ",$V$11),"")</f>
        <v/>
      </c>
      <c r="CO19" s="219">
        <f>IF(X19&lt;Y19,CONCATENATE("* El total de Procesados debe ser mayor o igual al total de Reactivos en el grupo de edad ",$X$11),"")</f>
        <v/>
      </c>
      <c r="CP19" s="219">
        <f>IF(Z19&lt;AA19,CONCATENATE("* El total de Procesados debe ser mayor o igual al total de Reactivos en el grupo de edad ",$Z$11),"")</f>
        <v/>
      </c>
      <c r="CQ19" s="219">
        <f>IF(AB19&lt;AC19,CONCATENATE("* El total de Procesados debe ser mayor o igual al total de Reactivos en el grupo de edad ",$AB$11),"")</f>
        <v/>
      </c>
      <c r="CR19" s="219">
        <f>IF(AD19&lt;AE19,CONCATENATE("* El total de Procesados debe ser mayor o igual al total de Reactivos en el grupo de edad ",$AD$11),"")</f>
        <v/>
      </c>
      <c r="CS19" s="219">
        <f>IF(AF19&lt;AG19,CONCATENATE("* El total de Procesados debe ser mayor o igual al total de Reactivos en el grupo de edad ",$AF$11),"")</f>
        <v/>
      </c>
      <c r="CT19" s="219">
        <f>IF(AH19&lt;AI19,CONCATENATE("* El total de Procesados debe ser mayor o igual al total de Reactivos en el grupo de edad ",$AH$11),"")</f>
        <v/>
      </c>
      <c r="CU19" s="219">
        <f>IF(AJ19&lt;AK19,CONCATENATE("* El total de Procesados debe ser mayor o igual al total de Reactivos en el grupo de edad ",$AJ$11),"")</f>
        <v/>
      </c>
      <c r="CV19" s="219">
        <f>IF(AL19&lt;AM19,CONCATENATE("* El total de Procesados debe ser mayor o igual al total de Reactivos en el grupo de edad ",$AL$11),"")</f>
        <v/>
      </c>
      <c r="CW19" s="219">
        <f>IF(AN19&lt;AO19,CONCATENATE("* El total de Procesados debe ser mayor o igual al total de Reactivos en el grupo de edad ",$AN$11),"")</f>
        <v/>
      </c>
      <c r="CX19" s="219">
        <f>IF(AP19&lt;AQ19,CONCATENATE("* El total de Procesados debe ser mayor o igual al total de Reactivos en el grupo de edad ",$AP$11),"")</f>
        <v/>
      </c>
      <c r="DE19" s="226" t="n"/>
      <c r="DF19" s="376">
        <f>IF(B19&lt;&gt;(AS19),1,0)</f>
        <v/>
      </c>
      <c r="DG19" s="376">
        <f>IF(AND($B19&gt;0,AND(AT19="",AU19="")),1,IF((AT19+AU19)&gt;$B19,1,0))</f>
        <v/>
      </c>
      <c r="DH19" s="376">
        <f>IF(AND($B19&gt;0,AV19=""),1,IF(AV19&gt;$B19,1,0))</f>
        <v/>
      </c>
      <c r="DI19" s="376">
        <f>IF(AND($B19&gt;0,AW19=""),1,IF(AW19&gt;$B19,1,0))</f>
        <v/>
      </c>
      <c r="DJ19" s="220" t="n"/>
      <c r="DK19" s="220" t="n"/>
      <c r="DL19" s="220" t="n"/>
      <c r="DM19" s="220" t="n"/>
      <c r="DN19" s="220" t="n"/>
      <c r="DO19" s="376">
        <f>IF(N19&lt;O19,1,0)</f>
        <v/>
      </c>
      <c r="DP19" s="376">
        <f>IF(P19&lt;Q19,1,0)</f>
        <v/>
      </c>
      <c r="DQ19" s="376">
        <f>IF(R19&lt;S19,1,0)</f>
        <v/>
      </c>
      <c r="DR19" s="376">
        <f>IF($T19&lt;$U19,1,0)</f>
        <v/>
      </c>
      <c r="DS19" s="376">
        <f>IF(V19&lt;W19,1,0)</f>
        <v/>
      </c>
      <c r="DT19" s="376">
        <f>IF(X19&lt;Y19,1,0)</f>
        <v/>
      </c>
      <c r="DU19" s="376">
        <f>IF(Z19&lt;AA19,1,0)</f>
        <v/>
      </c>
      <c r="DV19" s="376">
        <f>IF(AB19&lt;AC19,1,0)</f>
        <v/>
      </c>
      <c r="DW19" s="376">
        <f>IF(AD19&lt;AE19,1,0)</f>
        <v/>
      </c>
      <c r="DX19" s="376">
        <f>IF(AF19&lt;AG19,1,0)</f>
        <v/>
      </c>
      <c r="DY19" s="376">
        <f>IF(AH19&lt;AI19,1,0)</f>
        <v/>
      </c>
      <c r="DZ19" s="376">
        <f>IF(AJ19&lt;AK19,1,0)</f>
        <v/>
      </c>
      <c r="EA19" s="376">
        <f>IF(AL19&lt;AM19,1,0)</f>
        <v/>
      </c>
      <c r="EB19" s="376">
        <f>IF(AN19&lt;AO19,1,0)</f>
        <v/>
      </c>
      <c r="EC19" s="376">
        <f>IF(AP19&lt;AQ19,1,0)</f>
        <v/>
      </c>
    </row>
    <row r="20">
      <c r="A20" s="3102" t="inlineStr">
        <is>
          <t>Mujeres que ingresan por aborto</t>
        </is>
      </c>
      <c r="B20" s="3103">
        <f>+N20+P20+R20+T20+V20+X20+Z20+AB20+AD20+AF20+AH20+AJ20+AL20+AN20+AP20</f>
        <v/>
      </c>
      <c r="C20" s="1171">
        <f>+O20+Q20+S20+U20+W20+Y20+AA20+AC20+AE20+AG20+AI20+AK20+AM20+AO20+AQ20</f>
        <v/>
      </c>
      <c r="D20" s="3104" t="n"/>
      <c r="E20" s="3105" t="n"/>
      <c r="F20" s="3104" t="n"/>
      <c r="G20" s="3105" t="n"/>
      <c r="H20" s="3104" t="n"/>
      <c r="I20" s="3105" t="n"/>
      <c r="J20" s="3104" t="n"/>
      <c r="K20" s="3105" t="n"/>
      <c r="L20" s="3104" t="n"/>
      <c r="M20" s="3106" t="n"/>
      <c r="N20" s="3100" t="n"/>
      <c r="O20" s="3107" t="n"/>
      <c r="P20" s="3108" t="n"/>
      <c r="Q20" s="3107" t="n"/>
      <c r="R20" s="3108" t="n"/>
      <c r="S20" s="3107" t="n"/>
      <c r="T20" s="3108" t="n"/>
      <c r="U20" s="3107" t="n"/>
      <c r="V20" s="3108" t="n"/>
      <c r="W20" s="3107" t="n"/>
      <c r="X20" s="3108" t="n"/>
      <c r="Y20" s="3107" t="n"/>
      <c r="Z20" s="3108" t="n"/>
      <c r="AA20" s="3107" t="n"/>
      <c r="AB20" s="3108" t="n"/>
      <c r="AC20" s="3107" t="n"/>
      <c r="AD20" s="3108" t="n"/>
      <c r="AE20" s="3107" t="n"/>
      <c r="AF20" s="3108" t="n"/>
      <c r="AG20" s="3107" t="n"/>
      <c r="AH20" s="3108" t="n"/>
      <c r="AI20" s="3107" t="n"/>
      <c r="AJ20" s="3108" t="n"/>
      <c r="AK20" s="3107" t="n"/>
      <c r="AL20" s="3108" t="n"/>
      <c r="AM20" s="3107" t="n"/>
      <c r="AN20" s="3108" t="n"/>
      <c r="AO20" s="3107" t="n"/>
      <c r="AP20" s="3108" t="n"/>
      <c r="AQ20" s="3098" t="n"/>
      <c r="AR20" s="3097" t="n"/>
      <c r="AS20" s="3098" t="n"/>
      <c r="AT20" s="3099" t="n"/>
      <c r="AU20" s="3098" t="n"/>
      <c r="AV20" s="3660" t="n"/>
      <c r="AW20" s="4008" t="n"/>
      <c r="AX20" s="218">
        <f>$CA20&amp;CB20&amp;CC20&amp;$CD20&amp;CJ20&amp;CK20&amp;CL20&amp;CM20&amp;CN20&amp;CO20&amp;CP20&amp;CQ20&amp;CR20&amp;CS20&amp;CT20&amp;CU20&amp;CV20&amp;CW20&amp;CX20</f>
        <v/>
      </c>
      <c r="CA20" s="219">
        <f>IF(B20&lt;&gt;(AS20)," * La suma de las columnas "&amp;AR$10&amp;""&amp;" DEBE SER IGUAL a los Exámenes Procesados. ","")</f>
        <v/>
      </c>
      <c r="CB20" s="219">
        <f>IF(AND($B20&gt;0,AND(AT20="",AU20="")),"* No olvide ingresar las columnas Trans Masculino o Femenino (Digite CERO si no tiene). ",IF((AT20+AU20)&gt;$B20,"* El Número de Trans Masculino o Femenino no puede superar el Total Procesados. ",""))</f>
        <v/>
      </c>
      <c r="CC20" s="219">
        <f>IF(AND($B20&gt;0,AV20=""),"* No olvide ingresar la columna "&amp;AV$10&amp;""&amp;" *(Digite CERO si no tiene). ",IF(AV20&gt;$B20," *El Número de "&amp;AV$10&amp;""&amp;" no puede superar el Total Procesados. ",""))</f>
        <v/>
      </c>
      <c r="CD20" s="219">
        <f>IF(AND($B20&gt;0,AW20=""),"* No olvide ingresar la columna "&amp;AW$10&amp;""&amp;" *(Digite CERO si no tiene). ",IF(AW20&gt;$B20," *El Número de "&amp;AW$10&amp;""&amp;" no puede superar el Total Procesados. ",""))</f>
        <v/>
      </c>
      <c r="CE20" s="220" t="n"/>
      <c r="CF20" s="220" t="n"/>
      <c r="CG20" s="220" t="n"/>
      <c r="CH20" s="220" t="n"/>
      <c r="CI20" s="220" t="n"/>
      <c r="CJ20" s="219">
        <f>IF(N20&lt;O20,CONCATENATE("* El total de Procesados debe ser mayor o igual al total de Reactivos en el grupo de edad ",$N$11),"")</f>
        <v/>
      </c>
      <c r="CK20" s="219">
        <f>IF(P20&lt;Q20,CONCATENATE("* El total de Procesados debe ser mayor o igual al total de Reactivos en el grupo de edad ",$P$11),"")</f>
        <v/>
      </c>
      <c r="CL20" s="219">
        <f>IF(R20&lt;S20,CONCATENATE("* El total de Procesados debe ser mayor o igual al total de Reactivos en el grupo de edad ",$R$11),"")</f>
        <v/>
      </c>
      <c r="CM20" s="219">
        <f>IF($T20&lt;$U20,CONCATENATE("* El total de Procesados debe ser mayor o igual al total de Reactivos en el grupo de edad ",$T$11),"")</f>
        <v/>
      </c>
      <c r="CN20" s="219">
        <f>IF(V20&lt;W20,CONCATENATE("* El total de Procesados debe ser mayor o igual al total de Reactivos en el grupo de edad ",$V$11),"")</f>
        <v/>
      </c>
      <c r="CO20" s="219">
        <f>IF(X20&lt;Y20,CONCATENATE("* El total de Procesados debe ser mayor o igual al total de Reactivos en el grupo de edad ",$X$11),"")</f>
        <v/>
      </c>
      <c r="CP20" s="219">
        <f>IF(Z20&lt;AA20,CONCATENATE("* El total de Procesados debe ser mayor o igual al total de Reactivos en el grupo de edad ",$Z$11),"")</f>
        <v/>
      </c>
      <c r="CQ20" s="219">
        <f>IF(AB20&lt;AC20,CONCATENATE("* El total de Procesados debe ser mayor o igual al total de Reactivos en el grupo de edad ",$AB$11),"")</f>
        <v/>
      </c>
      <c r="CR20" s="219">
        <f>IF(AD20&lt;AE20,CONCATENATE("* El total de Procesados debe ser mayor o igual al total de Reactivos en el grupo de edad ",$AD$11),"")</f>
        <v/>
      </c>
      <c r="CS20" s="219">
        <f>IF(AF20&lt;AG20,CONCATENATE("* El total de Procesados debe ser mayor o igual al total de Reactivos en el grupo de edad ",$AF$11),"")</f>
        <v/>
      </c>
      <c r="CT20" s="219">
        <f>IF(AH20&lt;AI20,CONCATENATE("* El total de Procesados debe ser mayor o igual al total de Reactivos en el grupo de edad ",$AH$11),"")</f>
        <v/>
      </c>
      <c r="CU20" s="219">
        <f>IF(AJ20&lt;AK20,CONCATENATE("* El total de Procesados debe ser mayor o igual al total de Reactivos en el grupo de edad ",$AJ$11),"")</f>
        <v/>
      </c>
      <c r="CV20" s="219">
        <f>IF(AL20&lt;AM20,CONCATENATE("* El total de Procesados debe ser mayor o igual al total de Reactivos en el grupo de edad ",$AL$11),"")</f>
        <v/>
      </c>
      <c r="CW20" s="219">
        <f>IF(AN20&lt;AO20,CONCATENATE("* El total de Procesados debe ser mayor o igual al total de Reactivos en el grupo de edad ",$AN$11),"")</f>
        <v/>
      </c>
      <c r="CX20" s="219">
        <f>IF(AP20&lt;AQ20,CONCATENATE("* El total de Procesados debe ser mayor o igual al total de Reactivos en el grupo de edad ",$AP$11),"")</f>
        <v/>
      </c>
      <c r="DE20" s="226" t="n"/>
      <c r="DF20" s="376">
        <f>IF(B20&lt;&gt;(AS20),1,0)</f>
        <v/>
      </c>
      <c r="DG20" s="376">
        <f>IF(AND($B20&gt;0,AND(AT20="",AU20="")),1,IF((AT20+AU20)&gt;$B20,1,0))</f>
        <v/>
      </c>
      <c r="DH20" s="376">
        <f>IF(AND($B20&gt;0,AV20=""),1,IF(AV20&gt;$B20,1,0))</f>
        <v/>
      </c>
      <c r="DI20" s="376">
        <f>IF(AND($B20&gt;0,AW20=""),1,IF(AW20&gt;$B20,1,0))</f>
        <v/>
      </c>
      <c r="DJ20" s="220" t="n"/>
      <c r="DK20" s="220" t="n"/>
      <c r="DL20" s="220" t="n"/>
      <c r="DM20" s="220" t="n"/>
      <c r="DN20" s="220" t="n"/>
      <c r="DO20" s="376">
        <f>IF(N20&lt;O20,1,0)</f>
        <v/>
      </c>
      <c r="DP20" s="376">
        <f>IF(P20&lt;Q20,1,0)</f>
        <v/>
      </c>
      <c r="DQ20" s="376">
        <f>IF(R20&lt;S20,1,0)</f>
        <v/>
      </c>
      <c r="DR20" s="376">
        <f>IF($T20&lt;$U20,1,0)</f>
        <v/>
      </c>
      <c r="DS20" s="376">
        <f>IF(V20&lt;W20,1,0)</f>
        <v/>
      </c>
      <c r="DT20" s="376">
        <f>IF(X20&lt;Y20,1,0)</f>
        <v/>
      </c>
      <c r="DU20" s="376">
        <f>IF(Z20&lt;AA20,1,0)</f>
        <v/>
      </c>
      <c r="DV20" s="376">
        <f>IF(AB20&lt;AC20,1,0)</f>
        <v/>
      </c>
      <c r="DW20" s="376">
        <f>IF(AD20&lt;AE20,1,0)</f>
        <v/>
      </c>
      <c r="DX20" s="376">
        <f>IF(AF20&lt;AG20,1,0)</f>
        <v/>
      </c>
      <c r="DY20" s="376">
        <f>IF(AH20&lt;AI20,1,0)</f>
        <v/>
      </c>
      <c r="DZ20" s="376">
        <f>IF(AJ20&lt;AK20,1,0)</f>
        <v/>
      </c>
      <c r="EA20" s="376">
        <f>IF(AL20&lt;AM20,1,0)</f>
        <v/>
      </c>
      <c r="EB20" s="376">
        <f>IF(AN20&lt;AO20,1,0)</f>
        <v/>
      </c>
      <c r="EC20" s="376">
        <f>IF(AP20&lt;AQ20,1,0)</f>
        <v/>
      </c>
    </row>
    <row r="21">
      <c r="A21" s="3102" t="inlineStr">
        <is>
          <t>Mujeres en control ginecológico</t>
        </is>
      </c>
      <c r="B21" s="3103">
        <f>+D21+F21+H21+J21+L21+N21+P21+R21+T21+V21+X21+Z21+AB21+AD21+AF21+AH21+AJ21+AL21+AN21+AP21</f>
        <v/>
      </c>
      <c r="C21" s="1171">
        <f>+E21+G21+I21+K21+M21+O21+Q21+S21+U21+W21+Y21+AA21+AC21+AE21+AG21+AI21+AK21+AM21+AO21+AQ21</f>
        <v/>
      </c>
      <c r="D21" s="3108" t="n"/>
      <c r="E21" s="3107" t="n"/>
      <c r="F21" s="3108" t="n"/>
      <c r="G21" s="3107" t="n"/>
      <c r="H21" s="3108" t="n"/>
      <c r="I21" s="3101" t="n"/>
      <c r="J21" s="3100" t="n"/>
      <c r="K21" s="3100" t="n"/>
      <c r="L21" s="3108" t="n"/>
      <c r="M21" s="3101" t="n"/>
      <c r="N21" s="3100" t="n"/>
      <c r="O21" s="3107" t="n"/>
      <c r="P21" s="3108" t="n"/>
      <c r="Q21" s="3107" t="n"/>
      <c r="R21" s="3108" t="n"/>
      <c r="S21" s="3107" t="n"/>
      <c r="T21" s="3108" t="n"/>
      <c r="U21" s="3107" t="n"/>
      <c r="V21" s="3108" t="n"/>
      <c r="W21" s="3107" t="n"/>
      <c r="X21" s="3108" t="n"/>
      <c r="Y21" s="3107" t="n"/>
      <c r="Z21" s="3108" t="n"/>
      <c r="AA21" s="3107" t="n"/>
      <c r="AB21" s="3108" t="n"/>
      <c r="AC21" s="3107" t="n"/>
      <c r="AD21" s="3108" t="n"/>
      <c r="AE21" s="3107" t="n"/>
      <c r="AF21" s="3108" t="n"/>
      <c r="AG21" s="3107" t="n"/>
      <c r="AH21" s="3108" t="n"/>
      <c r="AI21" s="3107" t="n"/>
      <c r="AJ21" s="3108" t="n"/>
      <c r="AK21" s="3107" t="n"/>
      <c r="AL21" s="3108" t="n"/>
      <c r="AM21" s="3107" t="n"/>
      <c r="AN21" s="3108" t="n"/>
      <c r="AO21" s="3107" t="n"/>
      <c r="AP21" s="3108" t="n"/>
      <c r="AQ21" s="3098" t="n"/>
      <c r="AR21" s="3097" t="n"/>
      <c r="AS21" s="3098" t="n"/>
      <c r="AT21" s="3099" t="n"/>
      <c r="AU21" s="3098" t="n"/>
      <c r="AV21" s="3660" t="n"/>
      <c r="AW21" s="4008" t="n"/>
      <c r="AX21" s="218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>
        <f>IF(B21&lt;&gt;(AS21)," * La suma de las columnas "&amp;AR$10&amp;""&amp;" DEBE SER IGUAL a los Exámenes Procesados. ","")</f>
        <v/>
      </c>
      <c r="CB21" s="219">
        <f>IF(AND($B21&gt;0,AND(AT21="",AU21="")),"* No olvide ingresar las columnas Trans Masculino o Femenino (Digite CERO si no tiene). ",IF((AT21+AU21)&gt;$B21,"* El Número de Trans Masculino o Femenino no puede superar el Total Procesados. ",""))</f>
        <v/>
      </c>
      <c r="CC21" s="219">
        <f>IF(AND($B21&gt;0,AV21=""),"* No olvide ingresar la columna "&amp;AV$10&amp;""&amp;" *(Digite CERO si no tiene). ",IF(AV21&gt;$B21," *El Número de "&amp;AV$10&amp;""&amp;" no puede superar el Total Procesados. ",""))</f>
        <v/>
      </c>
      <c r="CD21" s="219">
        <f>IF(AND($B21&gt;0,AW21=""),"* No olvide ingresar la columna "&amp;AW$10&amp;""&amp;" *(Digite CERO si no tiene). ",IF(AW21&gt;$B21," *El Número de "&amp;AW$10&amp;""&amp;" no puede superar el Total Procesados. ",""))</f>
        <v/>
      </c>
      <c r="CE21" s="219">
        <f>IF(D21&lt;E21,CONCATENATE("* El total de Procesados debe ser mayor o igual al total de Reactivos en el grupo de edad ",$D$11),"")</f>
        <v/>
      </c>
      <c r="CF21" s="219">
        <f>IF(F21&lt;G21,CONCATENATE("* El total de Procesados debe ser mayor o igual al total de Reactivos en el grupo de edad ",$F$11),"")</f>
        <v/>
      </c>
      <c r="CG21" s="219">
        <f>IF(H21&lt;I21,CONCATENATE("* El total de Procesados debe ser mayor o igual al total de Reactivos en el grupo de edad ",$H$11),"")</f>
        <v/>
      </c>
      <c r="CH21" s="219">
        <f>IF(J21&lt;K21,CONCATENATE("* El total de Procesados debe ser mayor o igual al total de Reactivos en el grupo de edad ",$J$11),"")</f>
        <v/>
      </c>
      <c r="CI21" s="219">
        <f>IF(L21&lt;M21,CONCATENATE("* El total de Procesados debe ser mayor o igual al total de Reactivos en el grupo de edad ",$L$11),"")</f>
        <v/>
      </c>
      <c r="CJ21" s="219">
        <f>IF(N21&lt;O21,CONCATENATE("* El total de Procesados debe ser mayor o igual al total de Reactivos en el grupo de edad ",$N$11),"")</f>
        <v/>
      </c>
      <c r="CK21" s="219">
        <f>IF(P21&lt;Q21,CONCATENATE("* El total de Procesados debe ser mayor o igual al total de Reactivos en el grupo de edad ",$P$11),"")</f>
        <v/>
      </c>
      <c r="CL21" s="219">
        <f>IF(R21&lt;S21,CONCATENATE("* El total de Procesados debe ser mayor o igual al total de Reactivos en el grupo de edad ",$R$11),"")</f>
        <v/>
      </c>
      <c r="CM21" s="219">
        <f>IF($T21&lt;$U21,CONCATENATE("* El total de Procesados debe ser mayor o igual al total de Reactivos en el grupo de edad ",$T$11),"")</f>
        <v/>
      </c>
      <c r="CN21" s="219">
        <f>IF(V21&lt;W21,CONCATENATE("* El total de Procesados debe ser mayor o igual al total de Reactivos en el grupo de edad ",$V$11),"")</f>
        <v/>
      </c>
      <c r="CO21" s="219">
        <f>IF(X21&lt;Y21,CONCATENATE("* El total de Procesados debe ser mayor o igual al total de Reactivos en el grupo de edad ",$X$11),"")</f>
        <v/>
      </c>
      <c r="CP21" s="219">
        <f>IF(Z21&lt;AA21,CONCATENATE("* El total de Procesados debe ser mayor o igual al total de Reactivos en el grupo de edad ",$Z$11),"")</f>
        <v/>
      </c>
      <c r="CQ21" s="219">
        <f>IF(AB21&lt;AC21,CONCATENATE("* El total de Procesados debe ser mayor o igual al total de Reactivos en el grupo de edad ",$AB$11),"")</f>
        <v/>
      </c>
      <c r="CR21" s="219">
        <f>IF(AD21&lt;AE21,CONCATENATE("* El total de Procesados debe ser mayor o igual al total de Reactivos en el grupo de edad ",$AD$11),"")</f>
        <v/>
      </c>
      <c r="CS21" s="219">
        <f>IF(AF21&lt;AG21,CONCATENATE("* El total de Procesados debe ser mayor o igual al total de Reactivos en el grupo de edad ",$AF$11),"")</f>
        <v/>
      </c>
      <c r="CT21" s="219">
        <f>IF(AH21&lt;AI21,CONCATENATE("* El total de Procesados debe ser mayor o igual al total de Reactivos en el grupo de edad ",$AH$11),"")</f>
        <v/>
      </c>
      <c r="CU21" s="219">
        <f>IF(AJ21&lt;AK21,CONCATENATE("* El total de Procesados debe ser mayor o igual al total de Reactivos en el grupo de edad ",$AJ$11),"")</f>
        <v/>
      </c>
      <c r="CV21" s="219">
        <f>IF(AL21&lt;AM21,CONCATENATE("* El total de Procesados debe ser mayor o igual al total de Reactivos en el grupo de edad ",$AL$11),"")</f>
        <v/>
      </c>
      <c r="CW21" s="219">
        <f>IF(AN21&lt;AO21,CONCATENATE("* El total de Procesados debe ser mayor o igual al total de Reactivos en el grupo de edad ",$AN$11),"")</f>
        <v/>
      </c>
      <c r="CX21" s="219">
        <f>IF(AP21&lt;AQ21,CONCATENATE("* El total de Procesados debe ser mayor o igual al total de Reactivos en el grupo de edad ",$AP$11),"")</f>
        <v/>
      </c>
      <c r="DE21" s="226" t="n"/>
      <c r="DF21" s="376">
        <f>IF(B21&lt;&gt;(AS21),1,0)</f>
        <v/>
      </c>
      <c r="DG21" s="376">
        <f>IF(AND($B21&gt;0,AND(AT21="",AU21="")),1,IF((AT21+AU21)&gt;$B21,1,0))</f>
        <v/>
      </c>
      <c r="DH21" s="376">
        <f>IF(AND($B21&gt;0,AV21=""),1,IF(AV21&gt;$B21,1,0))</f>
        <v/>
      </c>
      <c r="DI21" s="376">
        <f>IF(AND($B21&gt;0,AW21=""),1,IF(AW21&gt;$B21,1,0))</f>
        <v/>
      </c>
      <c r="DJ21" s="376">
        <f>IF(D21&lt;E21,1,0)</f>
        <v/>
      </c>
      <c r="DK21" s="376">
        <f>IF(F21&lt;G21,1,0)</f>
        <v/>
      </c>
      <c r="DL21" s="376">
        <f>IF(H21&lt;I21,1,0)</f>
        <v/>
      </c>
      <c r="DM21" s="376">
        <f>IF(J21&lt;K21,1,0)</f>
        <v/>
      </c>
      <c r="DN21" s="376">
        <f>IF(L21&lt;M21,1,0)</f>
        <v/>
      </c>
      <c r="DO21" s="376">
        <f>IF(N21&lt;O21,1,0)</f>
        <v/>
      </c>
      <c r="DP21" s="376">
        <f>IF(P21&lt;Q21,1,0)</f>
        <v/>
      </c>
      <c r="DQ21" s="376">
        <f>IF(R21&lt;S21,1,0)</f>
        <v/>
      </c>
      <c r="DR21" s="376">
        <f>IF($T21&lt;$U21,1,0)</f>
        <v/>
      </c>
      <c r="DS21" s="376">
        <f>IF(V21&lt;W21,1,0)</f>
        <v/>
      </c>
      <c r="DT21" s="376">
        <f>IF(X21&lt;Y21,1,0)</f>
        <v/>
      </c>
      <c r="DU21" s="376">
        <f>IF(Z21&lt;AA21,1,0)</f>
        <v/>
      </c>
      <c r="DV21" s="376">
        <f>IF(AB21&lt;AC21,1,0)</f>
        <v/>
      </c>
      <c r="DW21" s="376">
        <f>IF(AD21&lt;AE21,1,0)</f>
        <v/>
      </c>
      <c r="DX21" s="376">
        <f>IF(AF21&lt;AG21,1,0)</f>
        <v/>
      </c>
      <c r="DY21" s="376">
        <f>IF(AH21&lt;AI21,1,0)</f>
        <v/>
      </c>
      <c r="DZ21" s="376">
        <f>IF(AJ21&lt;AK21,1,0)</f>
        <v/>
      </c>
      <c r="EA21" s="376">
        <f>IF(AL21&lt;AM21,1,0)</f>
        <v/>
      </c>
      <c r="EB21" s="376">
        <f>IF(AN21&lt;AO21,1,0)</f>
        <v/>
      </c>
      <c r="EC21" s="376">
        <f>IF(AP21&lt;AQ21,1,0)</f>
        <v/>
      </c>
    </row>
    <row r="22" ht="21" customHeight="1" s="8286">
      <c r="A22" s="8510" t="inlineStr">
        <is>
          <t>Recién nacido y lactante para detección de sífilis congénita</t>
        </is>
      </c>
      <c r="B22" s="3103">
        <f>+D22+F22+H22</f>
        <v/>
      </c>
      <c r="C22" s="1171">
        <f>+E22+G22+I22</f>
        <v/>
      </c>
      <c r="D22" s="3108" t="n"/>
      <c r="E22" s="3107" t="n"/>
      <c r="F22" s="3108" t="n"/>
      <c r="G22" s="3107" t="n"/>
      <c r="H22" s="3108" t="n"/>
      <c r="I22" s="3101" t="n"/>
      <c r="J22" s="3109" t="n"/>
      <c r="K22" s="3110" t="n"/>
      <c r="L22" s="3109" t="n"/>
      <c r="M22" s="3110" t="n"/>
      <c r="N22" s="3109" t="n"/>
      <c r="O22" s="3110" t="n"/>
      <c r="P22" s="3109" t="n"/>
      <c r="Q22" s="3110" t="n"/>
      <c r="R22" s="3109" t="n"/>
      <c r="S22" s="3110" t="n"/>
      <c r="T22" s="3109" t="n"/>
      <c r="U22" s="3110" t="n"/>
      <c r="V22" s="3109" t="n"/>
      <c r="W22" s="3110" t="n"/>
      <c r="X22" s="3109" t="n"/>
      <c r="Y22" s="3110" t="n"/>
      <c r="Z22" s="3109" t="n"/>
      <c r="AA22" s="3110" t="n"/>
      <c r="AB22" s="3109" t="n"/>
      <c r="AC22" s="3110" t="n"/>
      <c r="AD22" s="3109" t="n"/>
      <c r="AE22" s="3110" t="n"/>
      <c r="AF22" s="3109" t="n"/>
      <c r="AG22" s="3110" t="n"/>
      <c r="AH22" s="3109" t="n"/>
      <c r="AI22" s="3110" t="n"/>
      <c r="AJ22" s="3109" t="n"/>
      <c r="AK22" s="3110" t="n"/>
      <c r="AL22" s="3109" t="n"/>
      <c r="AM22" s="3110" t="n"/>
      <c r="AN22" s="3109" t="n"/>
      <c r="AO22" s="3110" t="n"/>
      <c r="AP22" s="3109" t="n"/>
      <c r="AQ22" s="3111" t="n"/>
      <c r="AR22" s="3100" t="n"/>
      <c r="AS22" s="3098" t="n"/>
      <c r="AT22" s="3099" t="n"/>
      <c r="AU22" s="3098" t="n"/>
      <c r="AV22" s="3660" t="n"/>
      <c r="AW22" s="4008" t="n"/>
      <c r="AX22" s="218">
        <f>$CA22&amp;CB22&amp;CC22&amp;$CD22&amp;CE22&amp;CF22&amp;CG22</f>
        <v/>
      </c>
      <c r="CA22" s="219">
        <f>IF(B22&lt;&gt;(AS22+AR22)," * La suma de las columnas "&amp;AR$10&amp;""&amp;" DEBE SER IGUAL a los Exámenes Procesados. ","")</f>
        <v/>
      </c>
      <c r="CB22" s="219">
        <f>IF(AND($B22&gt;0,AND(AT22="",AU22="")),"* No olvide ingresar las columnas Trans Masculino o Femenino (Digite CERO si no tiene). ",IF((AT22+AU22)&gt;$B22,"* El Número de Trans Masculino o Femenino no puede superar el Total Procesados. ",""))</f>
        <v/>
      </c>
      <c r="CC22" s="219">
        <f>IF(AND($B22&gt;0,AV22=""),"* No olvide ingresar la columna "&amp;AV$10&amp;""&amp;" *(Digite CERO si no tiene). ",IF(AV22&gt;$B22," *El Número de "&amp;AV$10&amp;""&amp;" no puede superar el Total Procesados. ",""))</f>
        <v/>
      </c>
      <c r="CD22" s="219">
        <f>IF(AND($B22&gt;0,AW22=""),"* No olvide ingresar la columna "&amp;AW$10&amp;""&amp;" *(Digite CERO si no tiene). ",IF(AW22&gt;$B22," *El Número de "&amp;AW$10&amp;""&amp;" no puede superar el Total Procesados. ",""))</f>
        <v/>
      </c>
      <c r="CE22" s="219">
        <f>IF(D22&lt;E22,CONCATENATE("* El total de Procesados debe ser mayor o igual al total de Reactivos en el grupo de edad ",$D$11),"")</f>
        <v/>
      </c>
      <c r="CF22" s="219">
        <f>IF(F22&lt;G22,CONCATENATE("* El total de Procesados debe ser mayor o igual al total de Reactivos en el grupo de edad ",$F$11),"")</f>
        <v/>
      </c>
      <c r="CG22" s="219">
        <f>IF(H22&lt;I22,CONCATENATE("* El total de Procesados debe ser mayor o igual al total de Reactivos en el grupo de edad ",$H$11),"")</f>
        <v/>
      </c>
      <c r="CH22" s="222" t="n"/>
      <c r="CI22" s="222" t="n"/>
      <c r="CJ22" s="377" t="n"/>
      <c r="CK22" s="222" t="n"/>
      <c r="CL22" s="222" t="n"/>
      <c r="CM22" s="222" t="n"/>
      <c r="CN22" s="222" t="n"/>
      <c r="CO22" s="222" t="n"/>
      <c r="CP22" s="222" t="n"/>
      <c r="CQ22" s="222" t="n"/>
      <c r="CR22" s="222" t="n"/>
      <c r="CS22" s="222" t="n"/>
      <c r="CT22" s="222" t="n"/>
      <c r="CU22" s="222" t="n"/>
      <c r="CV22" s="222" t="n"/>
      <c r="CW22" s="222" t="n"/>
      <c r="CX22" s="222" t="n"/>
      <c r="DE22" s="226" t="n"/>
      <c r="DF22" s="376">
        <f>IF(B22&lt;&gt;(AS22+AR22),1,0)</f>
        <v/>
      </c>
      <c r="DG22" s="376">
        <f>IF(AND($B22&gt;0,AND(AT22="",AU22="")),1,IF((AT22+AU22)&gt;$B22,1,0))</f>
        <v/>
      </c>
      <c r="DH22" s="376">
        <f>IF(AND($B22&gt;0,AV22=""),1,IF(AV22&gt;$B22,1,0))</f>
        <v/>
      </c>
      <c r="DI22" s="376">
        <f>IF(AND($B22&gt;0,AW22=""),1,IF(AW22&gt;$B22,1,0))</f>
        <v/>
      </c>
      <c r="DJ22" s="376">
        <f>IF(D22&lt;E22,1,0)</f>
        <v/>
      </c>
      <c r="DK22" s="376">
        <f>IF(F22&lt;G22,1,0)</f>
        <v/>
      </c>
      <c r="DL22" s="376">
        <f>IF(H22&lt;I22,1,0)</f>
        <v/>
      </c>
      <c r="DM22" s="222" t="n"/>
      <c r="DN22" s="222" t="n"/>
      <c r="DO22" s="220" t="n"/>
      <c r="DP22" s="220" t="n"/>
      <c r="DQ22" s="220" t="n"/>
      <c r="DR22" s="220" t="n"/>
      <c r="DS22" s="220" t="n"/>
      <c r="DT22" s="220" t="n"/>
      <c r="DU22" s="220" t="n"/>
      <c r="DV22" s="220" t="n"/>
      <c r="DW22" s="220" t="n"/>
      <c r="DX22" s="220" t="n"/>
      <c r="DY22" s="220" t="n"/>
      <c r="DZ22" s="220" t="n"/>
      <c r="EA22" s="220" t="n"/>
      <c r="EB22" s="220" t="n"/>
      <c r="EC22" s="220" t="n"/>
    </row>
    <row r="23">
      <c r="A23" s="8510" t="inlineStr">
        <is>
          <t>Personas en control por comercio sexual</t>
        </is>
      </c>
      <c r="B23" s="3103">
        <f>+P23+R23+T23+V23+X23+Z23+AB23+AD23+AF23+AH23+AJ23+AL23+AN23+AP23</f>
        <v/>
      </c>
      <c r="C23" s="1171">
        <f>+Q23+S23+U23+W23+Y23+AA23+AC23+AE23+AG23+AI23+AK23+AM23+AO23+AQ23</f>
        <v/>
      </c>
      <c r="D23" s="3104" t="n"/>
      <c r="E23" s="3105" t="n"/>
      <c r="F23" s="3104" t="n"/>
      <c r="G23" s="3105" t="n"/>
      <c r="H23" s="3104" t="n"/>
      <c r="I23" s="3105" t="n"/>
      <c r="J23" s="3104" t="n"/>
      <c r="K23" s="3105" t="n"/>
      <c r="L23" s="3104" t="n"/>
      <c r="M23" s="3106" t="n"/>
      <c r="N23" s="3112" t="n"/>
      <c r="O23" s="3105" t="n"/>
      <c r="P23" s="3108" t="n"/>
      <c r="Q23" s="3107" t="n"/>
      <c r="R23" s="3108" t="n"/>
      <c r="S23" s="3107" t="n"/>
      <c r="T23" s="3108" t="n"/>
      <c r="U23" s="3107" t="n"/>
      <c r="V23" s="3108" t="n"/>
      <c r="W23" s="3107" t="n"/>
      <c r="X23" s="3108" t="n"/>
      <c r="Y23" s="3107" t="n"/>
      <c r="Z23" s="3108" t="n"/>
      <c r="AA23" s="3107" t="n"/>
      <c r="AB23" s="3108" t="n"/>
      <c r="AC23" s="3107" t="n"/>
      <c r="AD23" s="3108" t="n"/>
      <c r="AE23" s="3107" t="n"/>
      <c r="AF23" s="3108" t="n"/>
      <c r="AG23" s="3107" t="n"/>
      <c r="AH23" s="3108" t="n"/>
      <c r="AI23" s="3107" t="n"/>
      <c r="AJ23" s="3108" t="n"/>
      <c r="AK23" s="3107" t="n"/>
      <c r="AL23" s="3108" t="n"/>
      <c r="AM23" s="3107" t="n"/>
      <c r="AN23" s="3108" t="n"/>
      <c r="AO23" s="3107" t="n"/>
      <c r="AP23" s="3108" t="n"/>
      <c r="AQ23" s="3098" t="n"/>
      <c r="AR23" s="3100" t="n"/>
      <c r="AS23" s="3098" t="n"/>
      <c r="AT23" s="3099" t="n"/>
      <c r="AU23" s="3098" t="n"/>
      <c r="AV23" s="3660" t="n"/>
      <c r="AW23" s="4008" t="n"/>
      <c r="AX23" s="218">
        <f>$CA23&amp;CB23&amp;CC23&amp;$CD23&amp;CK23&amp;CL23&amp;CM23&amp;CN23&amp;CO23&amp;CP23&amp;CQ23&amp;CR23&amp;CS23&amp;CT23&amp;CU23&amp;CV23&amp;CW23&amp;CX23</f>
        <v/>
      </c>
      <c r="CA23" s="219">
        <f>IF(B23&lt;&gt;(AS23+AR23)," * La suma de las columnas "&amp;AR$10&amp;""&amp;" DEBE SER IGUAL a los Exámenes Procesados. ","")</f>
        <v/>
      </c>
      <c r="CB23" s="219">
        <f>IF(AND($B23&gt;0,AND(AT23="",AU23="")),"* No olvide ingresar las columnas Trans Masculino o Femenino (Digite CERO si no tiene). ",IF((AT23+AU23)&gt;$B23,"* El Número de Trans Masculino o Femenino no puede superar el Total Procesados. ",""))</f>
        <v/>
      </c>
      <c r="CC23" s="219">
        <f>IF(AND($B23&gt;0,AV23=""),"* No olvide ingresar la columna "&amp;AV$10&amp;""&amp;" *(Digite CERO si no tiene). ",IF(AV23&gt;$B23," *El Número de "&amp;AV$10&amp;""&amp;" no puede superar el Total Procesados. ",""))</f>
        <v/>
      </c>
      <c r="CD23" s="219">
        <f>IF(AND($B23&gt;0,AW23=""),"* No olvide ingresar la columna "&amp;AW$10&amp;""&amp;" *(Digite CERO si no tiene). ",IF(AW23&gt;$B23," *El Número de "&amp;AW$10&amp;""&amp;" no puede superar el Total Procesados. ",""))</f>
        <v/>
      </c>
      <c r="CE23" s="377" t="n"/>
      <c r="CF23" s="377" t="n"/>
      <c r="CG23" s="222" t="n"/>
      <c r="CH23" s="222" t="n"/>
      <c r="CI23" s="222" t="n"/>
      <c r="CJ23" s="377" t="n"/>
      <c r="CK23" s="219">
        <f>IF(P23&lt;Q23,CONCATENATE("* El total de Procesados debe ser mayor o igual al total de Reactivos en el grupo de edad ",$P$11),"")</f>
        <v/>
      </c>
      <c r="CL23" s="219">
        <f>IF(R23&lt;S23,CONCATENATE("* El total de Procesados debe ser mayor o igual al total de Reactivos en el grupo de edad ",$R$11),"")</f>
        <v/>
      </c>
      <c r="CM23" s="219">
        <f>IF($T23&lt;$U23,CONCATENATE("* El total de Procesados debe ser mayor o igual al total de Reactivos en el grupo de edad ",$T$11),"")</f>
        <v/>
      </c>
      <c r="CN23" s="219">
        <f>IF(V23&lt;W23,CONCATENATE("* El total de Procesados debe ser mayor o igual al total de Reactivos en el grupo de edad ",$V$11),"")</f>
        <v/>
      </c>
      <c r="CO23" s="219">
        <f>IF(X23&lt;Y23,CONCATENATE("* El total de Procesados debe ser mayor o igual al total de Reactivos en el grupo de edad ",$X$11),"")</f>
        <v/>
      </c>
      <c r="CP23" s="219">
        <f>IF(Z23&lt;AA23,CONCATENATE("* El total de Procesados debe ser mayor o igual al total de Reactivos en el grupo de edad ",$Z$11),"")</f>
        <v/>
      </c>
      <c r="CQ23" s="219">
        <f>IF(AB23&lt;AC23,CONCATENATE("* El total de Procesados debe ser mayor o igual al total de Reactivos en el grupo de edad ",$AB$11),"")</f>
        <v/>
      </c>
      <c r="CR23" s="219">
        <f>IF(AD23&lt;AE23,CONCATENATE("* El total de Procesados debe ser mayor o igual al total de Reactivos en el grupo de edad ",$AD$11),"")</f>
        <v/>
      </c>
      <c r="CS23" s="219">
        <f>IF(AF23&lt;AG23,CONCATENATE("* El total de Procesados debe ser mayor o igual al total de Reactivos en el grupo de edad ",$AF$11),"")</f>
        <v/>
      </c>
      <c r="CT23" s="219">
        <f>IF(AH23&lt;AI23,CONCATENATE("* El total de Procesados debe ser mayor o igual al total de Reactivos en el grupo de edad ",$AH$11),"")</f>
        <v/>
      </c>
      <c r="CU23" s="219">
        <f>IF(AJ23&lt;AK23,CONCATENATE("* El total de Procesados debe ser mayor o igual al total de Reactivos en el grupo de edad ",$AJ$11),"")</f>
        <v/>
      </c>
      <c r="CV23" s="219">
        <f>IF(AL23&lt;AM23,CONCATENATE("* El total de Procesados debe ser mayor o igual al total de Reactivos en el grupo de edad ",$AL$11),"")</f>
        <v/>
      </c>
      <c r="CW23" s="219">
        <f>IF(AN23&lt;AO23,CONCATENATE("* El total de Procesados debe ser mayor o igual al total de Reactivos en el grupo de edad ",$AN$11),"")</f>
        <v/>
      </c>
      <c r="CX23" s="219">
        <f>IF(AP23&lt;AQ23,CONCATENATE("* El total de Procesados debe ser mayor o igual al total de Reactivos en el grupo de edad ",$AP$11),"")</f>
        <v/>
      </c>
      <c r="DE23" s="226" t="n"/>
      <c r="DF23" s="376">
        <f>IF(B23&lt;&gt;(AS23+AR23),1,0)</f>
        <v/>
      </c>
      <c r="DG23" s="376">
        <f>IF(AND($B23&gt;0,AND(AT23="",AU23="")),1,IF((AT23+AU23)&gt;$B23,1,0))</f>
        <v/>
      </c>
      <c r="DH23" s="376">
        <f>IF(AND($B23&gt;0,AV23=""),1,IF(AV23&gt;$B23,1,0))</f>
        <v/>
      </c>
      <c r="DI23" s="376">
        <f>IF(AND($B23&gt;0,AW23=""),1,IF(AW23&gt;$B23,1,0))</f>
        <v/>
      </c>
      <c r="DJ23" s="222" t="n"/>
      <c r="DK23" s="222" t="n"/>
      <c r="DL23" s="222" t="n"/>
      <c r="DM23" s="222" t="n"/>
      <c r="DN23" s="222" t="n"/>
      <c r="DO23" s="220" t="n"/>
      <c r="DP23" s="376">
        <f>IF(P23&lt;Q23,1,0)</f>
        <v/>
      </c>
      <c r="DQ23" s="376">
        <f>IF(R23&lt;S23,1,0)</f>
        <v/>
      </c>
      <c r="DR23" s="376">
        <f>IF($T23&lt;$U23,1,0)</f>
        <v/>
      </c>
      <c r="DS23" s="376">
        <f>IF(V23&lt;W23,1,0)</f>
        <v/>
      </c>
      <c r="DT23" s="376">
        <f>IF(X23&lt;Y23,1,0)</f>
        <v/>
      </c>
      <c r="DU23" s="376">
        <f>IF(Z23&lt;AA23,1,0)</f>
        <v/>
      </c>
      <c r="DV23" s="376">
        <f>IF(AB23&lt;AC23,1,0)</f>
        <v/>
      </c>
      <c r="DW23" s="376">
        <f>IF(AD23&lt;AE23,1,0)</f>
        <v/>
      </c>
      <c r="DX23" s="376">
        <f>IF(AF23&lt;AG23,1,0)</f>
        <v/>
      </c>
      <c r="DY23" s="376">
        <f>IF(AH23&lt;AI23,1,0)</f>
        <v/>
      </c>
      <c r="DZ23" s="376">
        <f>IF(AJ23&lt;AK23,1,0)</f>
        <v/>
      </c>
      <c r="EA23" s="376">
        <f>IF(AL23&lt;AM23,1,0)</f>
        <v/>
      </c>
      <c r="EB23" s="376">
        <f>IF(AN23&lt;AO23,1,0)</f>
        <v/>
      </c>
      <c r="EC23" s="376">
        <f>IF(AP23&lt;AQ23,1,0)</f>
        <v/>
      </c>
    </row>
    <row r="24">
      <c r="A24" s="3102" t="inlineStr">
        <is>
          <t>Personas en control fecundidad</t>
        </is>
      </c>
      <c r="B24" s="3103">
        <f>+N24+P24+R24+T24+V24+X24+Z24+AB24+AD24+AF24+AH24+AJ24+AL24+AN24+AP24</f>
        <v/>
      </c>
      <c r="C24" s="1171">
        <f>+O24+Q24+S24+U24+W24+Y24+AA24+AC24+AE24+AG24+AI24+AK24+AM24+AO24+AQ24</f>
        <v/>
      </c>
      <c r="D24" s="3109" t="n"/>
      <c r="E24" s="3110" t="n"/>
      <c r="F24" s="3109" t="n"/>
      <c r="G24" s="3110" t="n"/>
      <c r="H24" s="3109" t="n"/>
      <c r="I24" s="3113" t="n"/>
      <c r="J24" s="3097" t="n"/>
      <c r="K24" s="3097" t="n"/>
      <c r="L24" s="3109" t="n"/>
      <c r="M24" s="3113" t="n"/>
      <c r="N24" s="3100" t="n"/>
      <c r="O24" s="3107" t="n"/>
      <c r="P24" s="3108" t="n"/>
      <c r="Q24" s="3107" t="n"/>
      <c r="R24" s="3108" t="n"/>
      <c r="S24" s="3107" t="n"/>
      <c r="T24" s="3108" t="n"/>
      <c r="U24" s="3107" t="n"/>
      <c r="V24" s="3108" t="n"/>
      <c r="W24" s="3107" t="n"/>
      <c r="X24" s="3108" t="n"/>
      <c r="Y24" s="3107" t="n"/>
      <c r="Z24" s="3108" t="n"/>
      <c r="AA24" s="3107" t="n"/>
      <c r="AB24" s="3108" t="n"/>
      <c r="AC24" s="3107" t="n"/>
      <c r="AD24" s="3108" t="n"/>
      <c r="AE24" s="3107" t="n"/>
      <c r="AF24" s="3108" t="n"/>
      <c r="AG24" s="3107" t="n"/>
      <c r="AH24" s="3108" t="n"/>
      <c r="AI24" s="3107" t="n"/>
      <c r="AJ24" s="3108" t="n"/>
      <c r="AK24" s="3107" t="n"/>
      <c r="AL24" s="3108" t="n"/>
      <c r="AM24" s="3107" t="n"/>
      <c r="AN24" s="3108" t="n"/>
      <c r="AO24" s="3101" t="n"/>
      <c r="AP24" s="3108" t="n"/>
      <c r="AQ24" s="3098" t="n"/>
      <c r="AR24" s="3100" t="n"/>
      <c r="AS24" s="3098" t="n"/>
      <c r="AT24" s="3099" t="n"/>
      <c r="AU24" s="3098" t="n"/>
      <c r="AV24" s="3660" t="n"/>
      <c r="AW24" s="4008" t="n"/>
      <c r="AX24" s="218">
        <f>$CA24&amp;CB24&amp;CC24&amp;$CD24&amp;CJ24&amp;CK24&amp;CL24&amp;CM24&amp;CN24&amp;CO24&amp;CP24&amp;CQ24&amp;CR24&amp;CS24&amp;CT24&amp;CU24&amp;CV24&amp;CW24&amp;CX24</f>
        <v/>
      </c>
      <c r="CA24" s="219">
        <f>IF(B24&lt;&gt;(AS24+AR24)," * La suma de las columnas "&amp;AR$10&amp;""&amp;" DEBE SER IGUAL a los Exámenes Procesados. ","")</f>
        <v/>
      </c>
      <c r="CB24" s="219">
        <f>IF(AND($B24&gt;0,AND(AT24="",AU24="")),"* No olvide ingresar las columnas Trans Masculino o Femenino (Digite CERO si no tiene). ",IF((AT24+AU24)&gt;$B24,"* El Número de Trans Masculino o Femenino no puede superar el Total Procesados. ",""))</f>
        <v/>
      </c>
      <c r="CC24" s="219">
        <f>IF(AND($B24&gt;0,AV24=""),"* No olvide ingresar la columna "&amp;AV$10&amp;""&amp;" *(Digite CERO si no tiene). ",IF(AV24&gt;$B24," *El Número de "&amp;AV$10&amp;""&amp;" no puede superar el Total Procesados. ",""))</f>
        <v/>
      </c>
      <c r="CD24" s="219">
        <f>IF(AND($B24&gt;0,AW24=""),"* No olvide ingresar la columna "&amp;AW$10&amp;""&amp;" *(Digite CERO si no tiene). ",IF(AW24&gt;$B24," *El Número de "&amp;AW$10&amp;""&amp;" no puede superar el Total Procesados. ",""))</f>
        <v/>
      </c>
      <c r="CE24" s="377" t="n"/>
      <c r="CF24" s="377" t="n"/>
      <c r="CG24" s="222" t="n"/>
      <c r="CH24" s="222" t="n"/>
      <c r="CI24" s="222" t="n"/>
      <c r="CJ24" s="219">
        <f>IF(N24&lt;O24,CONCATENATE("* El total de Procesados debe ser mayor o igual al total de Reactivos en el grupo de edad ",$N$11),"")</f>
        <v/>
      </c>
      <c r="CK24" s="219">
        <f>IF(P24&lt;Q24,CONCATENATE("* El total de Procesados debe ser mayor o igual al total de Reactivos en el grupo de edad ",$P$11),"")</f>
        <v/>
      </c>
      <c r="CL24" s="219">
        <f>IF(R24&lt;S24,CONCATENATE("* El total de Procesados debe ser mayor o igual al total de Reactivos en el grupo de edad ",$R$11),"")</f>
        <v/>
      </c>
      <c r="CM24" s="219">
        <f>IF($T24&lt;$U24,CONCATENATE("* El total de Procesados debe ser mayor o igual al total de Reactivos en el grupo de edad ",$T$11),"")</f>
        <v/>
      </c>
      <c r="CN24" s="219">
        <f>IF(V24&lt;W24,CONCATENATE("* El total de Procesados debe ser mayor o igual al total de Reactivos en el grupo de edad ",$V$11),"")</f>
        <v/>
      </c>
      <c r="CO24" s="219">
        <f>IF(X24&lt;Y24,CONCATENATE("* El total de Procesados debe ser mayor o igual al total de Reactivos en el grupo de edad ",$X$11),"")</f>
        <v/>
      </c>
      <c r="CP24" s="219">
        <f>IF(Z24&lt;AA24,CONCATENATE("* El total de Procesados debe ser mayor o igual al total de Reactivos en el grupo de edad ",$Z$11),"")</f>
        <v/>
      </c>
      <c r="CQ24" s="219">
        <f>IF(AB24&lt;AC24,CONCATENATE("* El total de Procesados debe ser mayor o igual al total de Reactivos en el grupo de edad ",$AB$11),"")</f>
        <v/>
      </c>
      <c r="CR24" s="219">
        <f>IF(AD24&lt;AE24,CONCATENATE("* El total de Procesados debe ser mayor o igual al total de Reactivos en el grupo de edad ",$AD$11),"")</f>
        <v/>
      </c>
      <c r="CS24" s="219">
        <f>IF(AF24&lt;AG24,CONCATENATE("* El total de Procesados debe ser mayor o igual al total de Reactivos en el grupo de edad ",$AF$11),"")</f>
        <v/>
      </c>
      <c r="CT24" s="219">
        <f>IF(AH24&lt;AI24,CONCATENATE("* El total de Procesados debe ser mayor o igual al total de Reactivos en el grupo de edad ",$AH$11),"")</f>
        <v/>
      </c>
      <c r="CU24" s="219">
        <f>IF(AJ24&lt;AK24,CONCATENATE("* El total de Procesados debe ser mayor o igual al total de Reactivos en el grupo de edad ",$AJ$11),"")</f>
        <v/>
      </c>
      <c r="CV24" s="219">
        <f>IF(AL24&lt;AM24,CONCATENATE("* El total de Procesados debe ser mayor o igual al total de Reactivos en el grupo de edad ",$AL$11),"")</f>
        <v/>
      </c>
      <c r="CW24" s="219">
        <f>IF(AN24&lt;AO24,CONCATENATE("* El total de Procesados debe ser mayor o igual al total de Reactivos en el grupo de edad ",$AN$11),"")</f>
        <v/>
      </c>
      <c r="CX24" s="219">
        <f>IF(AP24&lt;AQ24,CONCATENATE("* El total de Procesados debe ser mayor o igual al total de Reactivos en el grupo de edad ",$AP$11),"")</f>
        <v/>
      </c>
      <c r="DE24" s="226" t="n"/>
      <c r="DF24" s="376">
        <f>IF(B24&lt;&gt;(AS24+AR24),1,0)</f>
        <v/>
      </c>
      <c r="DG24" s="376">
        <f>IF(AND($B24&gt;0,AND(AT24="",AU24="")),1,IF((AT24+AU24)&gt;$B24,1,0))</f>
        <v/>
      </c>
      <c r="DH24" s="376">
        <f>IF(AND($B24&gt;0,AV24=""),1,IF(AV24&gt;$B24,1,0))</f>
        <v/>
      </c>
      <c r="DI24" s="376">
        <f>IF(AND($B24&gt;0,AW24=""),1,IF(AW24&gt;$B24,1,0))</f>
        <v/>
      </c>
      <c r="DJ24" s="222" t="n"/>
      <c r="DK24" s="222" t="n"/>
      <c r="DL24" s="222" t="n"/>
      <c r="DM24" s="222" t="n"/>
      <c r="DN24" s="222" t="n"/>
      <c r="DO24" s="376">
        <f>IF(N24&lt;O24,1,0)</f>
        <v/>
      </c>
      <c r="DP24" s="376">
        <f>IF(P24&lt;Q24,1,0)</f>
        <v/>
      </c>
      <c r="DQ24" s="376">
        <f>IF(R24&lt;S24,1,0)</f>
        <v/>
      </c>
      <c r="DR24" s="376">
        <f>IF($T24&lt;$U24,1,0)</f>
        <v/>
      </c>
      <c r="DS24" s="376">
        <f>IF(V24&lt;W24,1,0)</f>
        <v/>
      </c>
      <c r="DT24" s="376">
        <f>IF(X24&lt;Y24,1,0)</f>
        <v/>
      </c>
      <c r="DU24" s="376">
        <f>IF(Z24&lt;AA24,1,0)</f>
        <v/>
      </c>
      <c r="DV24" s="376">
        <f>IF(AB24&lt;AC24,1,0)</f>
        <v/>
      </c>
      <c r="DW24" s="376">
        <f>IF(AD24&lt;AE24,1,0)</f>
        <v/>
      </c>
      <c r="DX24" s="376">
        <f>IF(AF24&lt;AG24,1,0)</f>
        <v/>
      </c>
      <c r="DY24" s="376">
        <f>IF(AH24&lt;AI24,1,0)</f>
        <v/>
      </c>
      <c r="DZ24" s="376">
        <f>IF(AJ24&lt;AK24,1,0)</f>
        <v/>
      </c>
      <c r="EA24" s="376">
        <f>IF(AL24&lt;AM24,1,0)</f>
        <v/>
      </c>
      <c r="EB24" s="376">
        <f>IF(AN24&lt;AO24,1,0)</f>
        <v/>
      </c>
      <c r="EC24" s="376">
        <f>IF(AP24&lt;AQ24,1,0)</f>
        <v/>
      </c>
    </row>
    <row r="25">
      <c r="A25" s="3102" t="inlineStr">
        <is>
          <t>Consultantes por ITS</t>
        </is>
      </c>
      <c r="B25" s="3103">
        <f>+D25+F25+H25+J25+L25+N25+P25+R25+T25+V25+X25+Z25+AB25+AD25+AF25+AH25+AJ25+AL25+AN25+AP25</f>
        <v/>
      </c>
      <c r="C25" s="1171">
        <f>+E25+G25+I25+K25+M25+O25+Q25+S25+U25+W25+Y25+AA25+AC25+AE25+AG25+AI25+AK25+AM25+AO25+AQ25</f>
        <v/>
      </c>
      <c r="D25" s="3108" t="n"/>
      <c r="E25" s="3107" t="n"/>
      <c r="F25" s="3108" t="n"/>
      <c r="G25" s="3107" t="n"/>
      <c r="H25" s="3108" t="n"/>
      <c r="I25" s="3101" t="n"/>
      <c r="J25" s="3100" t="n"/>
      <c r="K25" s="3100" t="n"/>
      <c r="L25" s="3108" t="n"/>
      <c r="M25" s="3101" t="n"/>
      <c r="N25" s="3100" t="n"/>
      <c r="O25" s="3107" t="n"/>
      <c r="P25" s="3108" t="n"/>
      <c r="Q25" s="3107" t="n"/>
      <c r="R25" s="3108" t="n"/>
      <c r="S25" s="3107" t="n"/>
      <c r="T25" s="3108" t="n"/>
      <c r="U25" s="3107" t="n"/>
      <c r="V25" s="3108" t="n"/>
      <c r="W25" s="3107" t="n"/>
      <c r="X25" s="3108" t="n"/>
      <c r="Y25" s="3107" t="n"/>
      <c r="Z25" s="3108" t="n"/>
      <c r="AA25" s="3107" t="n"/>
      <c r="AB25" s="3108" t="n"/>
      <c r="AC25" s="3107" t="n"/>
      <c r="AD25" s="3108" t="n"/>
      <c r="AE25" s="3107" t="n"/>
      <c r="AF25" s="3108" t="n"/>
      <c r="AG25" s="3107" t="n"/>
      <c r="AH25" s="3108" t="n"/>
      <c r="AI25" s="3107" t="n"/>
      <c r="AJ25" s="3108" t="n"/>
      <c r="AK25" s="3107" t="n"/>
      <c r="AL25" s="3108" t="n"/>
      <c r="AM25" s="3107" t="n"/>
      <c r="AN25" s="3108" t="n"/>
      <c r="AO25" s="3107" t="n"/>
      <c r="AP25" s="3108" t="n"/>
      <c r="AQ25" s="3098" t="n"/>
      <c r="AR25" s="3100" t="n"/>
      <c r="AS25" s="3098" t="n"/>
      <c r="AT25" s="3099" t="n"/>
      <c r="AU25" s="3098" t="n"/>
      <c r="AV25" s="3660" t="n"/>
      <c r="AW25" s="4008" t="n"/>
      <c r="AX25" s="218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>
        <f>IF(B25&lt;&gt;(AS25+AR25)," * La suma de las columnas "&amp;AR$10&amp;""&amp;" DEBE SER IGUAL a los Exámenes Procesados. ","")</f>
        <v/>
      </c>
      <c r="CB25" s="219">
        <f>IF(AND($B25&gt;0,AND(AT25="",AU25="")),"* No olvide ingresar las columnas Trans Masculino o Femenino (Digite CERO si no tiene). ",IF((AT25+AU25)&gt;$B25,"* El Número de Trans Masculino o Femenino no puede superar el Total Procesados. ",""))</f>
        <v/>
      </c>
      <c r="CC25" s="219">
        <f>IF(AND($B25&gt;0,AV25=""),"* No olvide ingresar la columna "&amp;AV$10&amp;""&amp;" *(Digite CERO si no tiene). ",IF(AV25&gt;$B25," *El Número de "&amp;AV$10&amp;""&amp;" no puede superar el Total Procesados. ",""))</f>
        <v/>
      </c>
      <c r="CD25" s="219">
        <f>IF(AND($B25&gt;0,AW25=""),"* No olvide ingresar la columna "&amp;AW$10&amp;""&amp;" *(Digite CERO si no tiene). ",IF(AW25&gt;$B25," *El Número de "&amp;AW$10&amp;""&amp;" no puede superar el Total Procesados. ",""))</f>
        <v/>
      </c>
      <c r="CE25" s="219">
        <f>IF(D25&lt;E25,CONCATENATE("* El total de Procesados debe ser mayor o igual al total de Reactivos en el grupo de edad ",$D$11),"")</f>
        <v/>
      </c>
      <c r="CF25" s="219">
        <f>IF(F25&lt;G25,CONCATENATE("* El total de Procesados debe ser mayor o igual al total de Reactivos en el grupo de edad ",$F$11),"")</f>
        <v/>
      </c>
      <c r="CG25" s="219">
        <f>IF(H25&lt;I25,CONCATENATE("* El total de Procesados debe ser mayor o igual al total de Reactivos en el grupo de edad ",$H$11),"")</f>
        <v/>
      </c>
      <c r="CH25" s="219">
        <f>IF(J25&lt;K25,CONCATENATE("* El total de Procesados debe ser mayor o igual al total de Reactivos en el grupo de edad ",$J$11),"")</f>
        <v/>
      </c>
      <c r="CI25" s="219">
        <f>IF(L25&lt;M25,CONCATENATE("* El total de Procesados debe ser mayor o igual al total de Reactivos en el grupo de edad ",$L$11),"")</f>
        <v/>
      </c>
      <c r="CJ25" s="219">
        <f>IF(N25&lt;O25,CONCATENATE("* El total de Procesados debe ser mayor o igual al total de Reactivos en el grupo de edad ",$N$11),"")</f>
        <v/>
      </c>
      <c r="CK25" s="219">
        <f>IF(P25&lt;Q25,CONCATENATE("* El total de Procesados debe ser mayor o igual al total de Reactivos en el grupo de edad ",$P$11),"")</f>
        <v/>
      </c>
      <c r="CL25" s="219">
        <f>IF(R25&lt;S25,CONCATENATE("* El total de Procesados debe ser mayor o igual al total de Reactivos en el grupo de edad ",$R$11),"")</f>
        <v/>
      </c>
      <c r="CM25" s="219">
        <f>IF($T25&lt;$U25,CONCATENATE("* El total de Procesados debe ser mayor o igual al total de Reactivos en el grupo de edad ",$T$11),"")</f>
        <v/>
      </c>
      <c r="CN25" s="219">
        <f>IF(V25&lt;W25,CONCATENATE("* El total de Procesados debe ser mayor o igual al total de Reactivos en el grupo de edad ",$V$11),"")</f>
        <v/>
      </c>
      <c r="CO25" s="219">
        <f>IF(X25&lt;Y25,CONCATENATE("* El total de Procesados debe ser mayor o igual al total de Reactivos en el grupo de edad ",$X$11),"")</f>
        <v/>
      </c>
      <c r="CP25" s="219">
        <f>IF(Z25&lt;AA25,CONCATENATE("* El total de Procesados debe ser mayor o igual al total de Reactivos en el grupo de edad ",$Z$11),"")</f>
        <v/>
      </c>
      <c r="CQ25" s="219">
        <f>IF(AB25&lt;AC25,CONCATENATE("* El total de Procesados debe ser mayor o igual al total de Reactivos en el grupo de edad ",$AB$11),"")</f>
        <v/>
      </c>
      <c r="CR25" s="219">
        <f>IF(AD25&lt;AE25,CONCATENATE("* El total de Procesados debe ser mayor o igual al total de Reactivos en el grupo de edad ",$AD$11),"")</f>
        <v/>
      </c>
      <c r="CS25" s="219">
        <f>IF(AF25&lt;AG25,CONCATENATE("* El total de Procesados debe ser mayor o igual al total de Reactivos en el grupo de edad ",$AF$11),"")</f>
        <v/>
      </c>
      <c r="CT25" s="219">
        <f>IF(AH25&lt;AI25,CONCATENATE("* El total de Procesados debe ser mayor o igual al total de Reactivos en el grupo de edad ",$AH$11),"")</f>
        <v/>
      </c>
      <c r="CU25" s="219">
        <f>IF(AJ25&lt;AK25,CONCATENATE("* El total de Procesados debe ser mayor o igual al total de Reactivos en el grupo de edad ",$AJ$11),"")</f>
        <v/>
      </c>
      <c r="CV25" s="219">
        <f>IF(AL25&lt;AM25,CONCATENATE("* El total de Procesados debe ser mayor o igual al total de Reactivos en el grupo de edad ",$AL$11),"")</f>
        <v/>
      </c>
      <c r="CW25" s="219">
        <f>IF(AN25&lt;AO25,CONCATENATE("* El total de Procesados debe ser mayor o igual al total de Reactivos en el grupo de edad ",$AN$11),"")</f>
        <v/>
      </c>
      <c r="CX25" s="219">
        <f>IF(AP25&lt;AQ25,CONCATENATE("* El total de Procesados debe ser mayor o igual al total de Reactivos en el grupo de edad ",$AP$11),"")</f>
        <v/>
      </c>
      <c r="DE25" s="226" t="n"/>
      <c r="DF25" s="376">
        <f>IF(B25&lt;&gt;(AS25+AR25),1,0)</f>
        <v/>
      </c>
      <c r="DG25" s="376">
        <f>IF(AND($B25&gt;0,AND(AT25="",AU25="")),1,IF((AT25+AU25)&gt;$B25,1,0))</f>
        <v/>
      </c>
      <c r="DH25" s="376">
        <f>IF(AND($B25&gt;0,AV25=""),1,IF(AV25&gt;$B25,1,0))</f>
        <v/>
      </c>
      <c r="DI25" s="376">
        <f>IF(AND($B25&gt;0,AW25=""),1,IF(AW25&gt;$B25,1,0))</f>
        <v/>
      </c>
      <c r="DJ25" s="376">
        <f>IF(D25&lt;E25,1,0)</f>
        <v/>
      </c>
      <c r="DK25" s="376">
        <f>IF(F25&lt;G25,1,0)</f>
        <v/>
      </c>
      <c r="DL25" s="376">
        <f>IF(H25&lt;I25,1,0)</f>
        <v/>
      </c>
      <c r="DM25" s="376">
        <f>IF(J25&lt;K25,1,0)</f>
        <v/>
      </c>
      <c r="DN25" s="376">
        <f>IF(L25&lt;M25,1,0)</f>
        <v/>
      </c>
      <c r="DO25" s="376">
        <f>IF(N25&lt;O25,1,0)</f>
        <v/>
      </c>
      <c r="DP25" s="376">
        <f>IF(P25&lt;Q25,1,0)</f>
        <v/>
      </c>
      <c r="DQ25" s="376">
        <f>IF(R25&lt;S25,1,0)</f>
        <v/>
      </c>
      <c r="DR25" s="376">
        <f>IF($T25&lt;$U25,1,0)</f>
        <v/>
      </c>
      <c r="DS25" s="376">
        <f>IF(V25&lt;W25,1,0)</f>
        <v/>
      </c>
      <c r="DT25" s="376">
        <f>IF(X25&lt;Y25,1,0)</f>
        <v/>
      </c>
      <c r="DU25" s="376">
        <f>IF(Z25&lt;AA25,1,0)</f>
        <v/>
      </c>
      <c r="DV25" s="376">
        <f>IF(AB25&lt;AC25,1,0)</f>
        <v/>
      </c>
      <c r="DW25" s="376">
        <f>IF(AD25&lt;AE25,1,0)</f>
        <v/>
      </c>
      <c r="DX25" s="376">
        <f>IF(AF25&lt;AG25,1,0)</f>
        <v/>
      </c>
      <c r="DY25" s="376">
        <f>IF(AH25&lt;AI25,1,0)</f>
        <v/>
      </c>
      <c r="DZ25" s="376">
        <f>IF(AJ25&lt;AK25,1,0)</f>
        <v/>
      </c>
      <c r="EA25" s="376">
        <f>IF(AL25&lt;AM25,1,0)</f>
        <v/>
      </c>
      <c r="EB25" s="376">
        <f>IF(AN25&lt;AO25,1,0)</f>
        <v/>
      </c>
      <c r="EC25" s="376">
        <f>IF(AP25&lt;AQ25,1,0)</f>
        <v/>
      </c>
    </row>
    <row r="26">
      <c r="A26" s="3102" t="inlineStr">
        <is>
          <t>Personas EMP/EMPAM</t>
        </is>
      </c>
      <c r="B26" s="3103">
        <f>+P26+R26+T26+V26+X26+Z26+AB26+AD26+AF26+AH26+AJ26+AL26+AN26+AP26</f>
        <v/>
      </c>
      <c r="C26" s="1171">
        <f>+Q26+S26+U26+W26+Y26+AA26+AC26+AE26+AG26+AI26+AK26+AM26+AO26+AQ26</f>
        <v/>
      </c>
      <c r="D26" s="3104" t="n"/>
      <c r="E26" s="3105" t="n"/>
      <c r="F26" s="3104" t="n"/>
      <c r="G26" s="3105" t="n"/>
      <c r="H26" s="3104" t="n"/>
      <c r="I26" s="3105" t="n"/>
      <c r="J26" s="3104" t="n"/>
      <c r="K26" s="3105" t="n"/>
      <c r="L26" s="3104" t="n"/>
      <c r="M26" s="3106" t="n"/>
      <c r="N26" s="3112" t="n"/>
      <c r="O26" s="3105" t="n"/>
      <c r="P26" s="3108" t="n"/>
      <c r="Q26" s="3107" t="n"/>
      <c r="R26" s="3108" t="n"/>
      <c r="S26" s="3107" t="n"/>
      <c r="T26" s="3108" t="n"/>
      <c r="U26" s="3107" t="n"/>
      <c r="V26" s="3108" t="n"/>
      <c r="W26" s="3107" t="n"/>
      <c r="X26" s="3108" t="n"/>
      <c r="Y26" s="3107" t="n"/>
      <c r="Z26" s="3108" t="n"/>
      <c r="AA26" s="3107" t="n"/>
      <c r="AB26" s="3108" t="n"/>
      <c r="AC26" s="3107" t="n"/>
      <c r="AD26" s="3108" t="n"/>
      <c r="AE26" s="3107" t="n"/>
      <c r="AF26" s="3108" t="n"/>
      <c r="AG26" s="3107" t="n"/>
      <c r="AH26" s="3108" t="n"/>
      <c r="AI26" s="3107" t="n"/>
      <c r="AJ26" s="3108" t="n"/>
      <c r="AK26" s="3107" t="n"/>
      <c r="AL26" s="3108" t="n"/>
      <c r="AM26" s="3107" t="n"/>
      <c r="AN26" s="3108" t="n"/>
      <c r="AO26" s="3107" t="n"/>
      <c r="AP26" s="3108" t="n"/>
      <c r="AQ26" s="3098" t="n"/>
      <c r="AR26" s="3100" t="n"/>
      <c r="AS26" s="3098" t="n"/>
      <c r="AT26" s="3099" t="n"/>
      <c r="AU26" s="3098" t="n"/>
      <c r="AV26" s="3660" t="n"/>
      <c r="AW26" s="4008" t="n"/>
      <c r="AX26" s="218">
        <f>$CA26&amp;CB26&amp;CC26&amp;$CD26&amp;CJ26&amp;CK26&amp;CL26&amp;CM26&amp;CN26&amp;CO26&amp;CP26&amp;CQ26&amp;CR26&amp;CS26&amp;CT26&amp;CU26&amp;CV26&amp;CW26&amp;CX26</f>
        <v/>
      </c>
      <c r="CA26" s="219">
        <f>IF(B26&lt;&gt;(AS26+AR26)," * La suma de las columnas "&amp;AR$10&amp;""&amp;" DEBE SER IGUAL a los Exámenes Procesados. ","")</f>
        <v/>
      </c>
      <c r="CB26" s="219">
        <f>IF(AND($B26&gt;0,AND(AT26="",AU26="")),"* No olvide ingresar las columnas Trans Masculino o Femenino (Digite CERO si no tiene). ",IF((AT26+AU26)&gt;$B26,"* El Número de Trans Masculino o Femenino no puede superar el Total Procesados. ",""))</f>
        <v/>
      </c>
      <c r="CC26" s="219">
        <f>IF(AND($B26&gt;0,AV26=""),"* No olvide ingresar la columna "&amp;AV$10&amp;""&amp;" *(Digite CERO si no tiene). ",IF(AV26&gt;$B26," *El Número de "&amp;AV$10&amp;""&amp;" no puede superar el Total Procesados. ",""))</f>
        <v/>
      </c>
      <c r="CD26" s="219">
        <f>IF(AND($B26&gt;0,AW26=""),"* No olvide ingresar la columna "&amp;AW$10&amp;""&amp;" *(Digite CERO si no tiene). ",IF(AW26&gt;$B26," *El Número de "&amp;AW$10&amp;""&amp;" no puede superar el Total Procesados. ",""))</f>
        <v/>
      </c>
      <c r="CE26" s="377" t="n"/>
      <c r="CF26" s="377" t="n"/>
      <c r="CG26" s="222" t="n"/>
      <c r="CH26" s="222" t="n"/>
      <c r="CI26" s="222" t="n"/>
      <c r="CJ26" s="377" t="n"/>
      <c r="CK26" s="219">
        <f>IF(P26&lt;Q26,CONCATENATE("* El total de Procesados debe ser mayor o igual al total de Reactivos en el grupo de edad ",$P$11),"")</f>
        <v/>
      </c>
      <c r="CL26" s="219">
        <f>IF(R26&lt;S26,CONCATENATE("* El total de Procesados debe ser mayor o igual al total de Reactivos en el grupo de edad ",$R$11),"")</f>
        <v/>
      </c>
      <c r="CM26" s="219">
        <f>IF($T26&lt;$U26,CONCATENATE("* El total de Procesados debe ser mayor o igual al total de Reactivos en el grupo de edad ",$T$11),"")</f>
        <v/>
      </c>
      <c r="CN26" s="219">
        <f>IF(V26&lt;W26,CONCATENATE("* El total de Procesados debe ser mayor o igual al total de Reactivos en el grupo de edad ",$V$11),"")</f>
        <v/>
      </c>
      <c r="CO26" s="219">
        <f>IF(X26&lt;Y26,CONCATENATE("* El total de Procesados debe ser mayor o igual al total de Reactivos en el grupo de edad ",$X$11),"")</f>
        <v/>
      </c>
      <c r="CP26" s="219">
        <f>IF(Z26&lt;AA26,CONCATENATE("* El total de Procesados debe ser mayor o igual al total de Reactivos en el grupo de edad ",$Z$11),"")</f>
        <v/>
      </c>
      <c r="CQ26" s="219">
        <f>IF(AB26&lt;AC26,CONCATENATE("* El total de Procesados debe ser mayor o igual al total de Reactivos en el grupo de edad ",$AB$11),"")</f>
        <v/>
      </c>
      <c r="CR26" s="219">
        <f>IF(AD26&lt;AE26,CONCATENATE("* El total de Procesados debe ser mayor o igual al total de Reactivos en el grupo de edad ",$AD$11),"")</f>
        <v/>
      </c>
      <c r="CS26" s="219">
        <f>IF(AF26&lt;AG26,CONCATENATE("* El total de Procesados debe ser mayor o igual al total de Reactivos en el grupo de edad ",$AF$11),"")</f>
        <v/>
      </c>
      <c r="CT26" s="219">
        <f>IF(AH26&lt;AI26,CONCATENATE("* El total de Procesados debe ser mayor o igual al total de Reactivos en el grupo de edad ",$AH$11),"")</f>
        <v/>
      </c>
      <c r="CU26" s="219">
        <f>IF(AJ26&lt;AK26,CONCATENATE("* El total de Procesados debe ser mayor o igual al total de Reactivos en el grupo de edad ",$AJ$11),"")</f>
        <v/>
      </c>
      <c r="CV26" s="219">
        <f>IF(AL26&lt;AM26,CONCATENATE("* El total de Procesados debe ser mayor o igual al total de Reactivos en el grupo de edad ",$AL$11),"")</f>
        <v/>
      </c>
      <c r="CW26" s="219">
        <f>IF(AN26&lt;AO26,CONCATENATE("* El total de Procesados debe ser mayor o igual al total de Reactivos en el grupo de edad ",$AN$11),"")</f>
        <v/>
      </c>
      <c r="CX26" s="219">
        <f>IF(AP26&lt;AQ26,CONCATENATE("* El total de Procesados debe ser mayor o igual al total de Reactivos en el grupo de edad ",$AP$11),"")</f>
        <v/>
      </c>
      <c r="DE26" s="226" t="n"/>
      <c r="DF26" s="376">
        <f>IF(B26&lt;&gt;(AS26+AR26),1,0)</f>
        <v/>
      </c>
      <c r="DG26" s="376">
        <f>IF(AND($B26&gt;0,AND(AT26="",AU26="")),1,IF((AT26+AU26)&gt;$B26,1,0))</f>
        <v/>
      </c>
      <c r="DH26" s="376">
        <f>IF(AND($B26&gt;0,AV26=""),1,IF(AV26&gt;$B26,1,0))</f>
        <v/>
      </c>
      <c r="DI26" s="376">
        <f>IF(AND($B26&gt;0,AW26=""),1,IF(AW26&gt;$B26,1,0))</f>
        <v/>
      </c>
      <c r="DJ26" s="222" t="n"/>
      <c r="DK26" s="222" t="n"/>
      <c r="DL26" s="222" t="n"/>
      <c r="DM26" s="222" t="n"/>
      <c r="DN26" s="222" t="n"/>
      <c r="DO26" s="220" t="n"/>
      <c r="DP26" s="376">
        <f>IF(P26&lt;Q26,1,0)</f>
        <v/>
      </c>
      <c r="DQ26" s="376">
        <f>IF(R26&lt;S26,1,0)</f>
        <v/>
      </c>
      <c r="DR26" s="376">
        <f>IF($T26&lt;$U26,1,0)</f>
        <v/>
      </c>
      <c r="DS26" s="376">
        <f>IF(V26&lt;W26,1,0)</f>
        <v/>
      </c>
      <c r="DT26" s="376">
        <f>IF(X26&lt;Y26,1,0)</f>
        <v/>
      </c>
      <c r="DU26" s="376">
        <f>IF(Z26&lt;AA26,1,0)</f>
        <v/>
      </c>
      <c r="DV26" s="376">
        <f>IF(AB26&lt;AC26,1,0)</f>
        <v/>
      </c>
      <c r="DW26" s="376">
        <f>IF(AD26&lt;AE26,1,0)</f>
        <v/>
      </c>
      <c r="DX26" s="376">
        <f>IF(AF26&lt;AG26,1,0)</f>
        <v/>
      </c>
      <c r="DY26" s="376">
        <f>IF(AH26&lt;AI26,1,0)</f>
        <v/>
      </c>
      <c r="DZ26" s="376">
        <f>IF(AJ26&lt;AK26,1,0)</f>
        <v/>
      </c>
      <c r="EA26" s="376">
        <f>IF(AL26&lt;AM26,1,0)</f>
        <v/>
      </c>
      <c r="EB26" s="376">
        <f>IF(AN26&lt;AO26,1,0)</f>
        <v/>
      </c>
      <c r="EC26" s="376">
        <f>IF(AP26&lt;AQ26,1,0)</f>
        <v/>
      </c>
    </row>
    <row r="27">
      <c r="A27" s="3102" t="inlineStr">
        <is>
          <t>Donantes de sangre</t>
        </is>
      </c>
      <c r="B27" s="3103">
        <f>+P27+R27+T27+V27+X27+Z27+AB27+AD27+AF27+AH27</f>
        <v/>
      </c>
      <c r="C27" s="1171">
        <f>+Q27+S27+U27+W27+Y27+AA27+AC27+AE27+AG27+AI27</f>
        <v/>
      </c>
      <c r="D27" s="3104" t="n"/>
      <c r="E27" s="3105" t="n"/>
      <c r="F27" s="3104" t="n"/>
      <c r="G27" s="3105" t="n"/>
      <c r="H27" s="3104" t="n"/>
      <c r="I27" s="3105" t="n"/>
      <c r="J27" s="3104" t="n"/>
      <c r="K27" s="3105" t="n"/>
      <c r="L27" s="3104" t="n"/>
      <c r="M27" s="3106" t="n"/>
      <c r="N27" s="3112" t="n"/>
      <c r="O27" s="3105" t="n"/>
      <c r="P27" s="3108" t="n"/>
      <c r="Q27" s="3107" t="n"/>
      <c r="R27" s="3108" t="n"/>
      <c r="S27" s="3107" t="n"/>
      <c r="T27" s="3108" t="n"/>
      <c r="U27" s="3107" t="n"/>
      <c r="V27" s="3108" t="n"/>
      <c r="W27" s="3107" t="n"/>
      <c r="X27" s="3108" t="n"/>
      <c r="Y27" s="3107" t="n"/>
      <c r="Z27" s="3108" t="n"/>
      <c r="AA27" s="3107" t="n"/>
      <c r="AB27" s="3108" t="n"/>
      <c r="AC27" s="3107" t="n"/>
      <c r="AD27" s="3108" t="n"/>
      <c r="AE27" s="3107" t="n"/>
      <c r="AF27" s="3108" t="n"/>
      <c r="AG27" s="3107" t="n"/>
      <c r="AH27" s="3108" t="n"/>
      <c r="AI27" s="3107" t="n"/>
      <c r="AJ27" s="3104" t="n"/>
      <c r="AK27" s="3105" t="n"/>
      <c r="AL27" s="3104" t="n"/>
      <c r="AM27" s="3105" t="n"/>
      <c r="AN27" s="3104" t="n"/>
      <c r="AO27" s="3105" t="n"/>
      <c r="AP27" s="3104" t="n"/>
      <c r="AQ27" s="3114" t="n"/>
      <c r="AR27" s="3100" t="n"/>
      <c r="AS27" s="3098" t="n"/>
      <c r="AT27" s="3099" t="n"/>
      <c r="AU27" s="3098" t="n"/>
      <c r="AV27" s="3660" t="n"/>
      <c r="AW27" s="4008" t="n"/>
      <c r="AX27" s="218">
        <f>$CA27&amp;CB27&amp;CC27&amp;$CD27&amp;CK27&amp;CL27&amp;CM27&amp;CN27&amp;CO27&amp;CP27&amp;CQ27&amp;CR27&amp;CS27&amp;CT27</f>
        <v/>
      </c>
      <c r="CA27" s="219">
        <f>IF(B27&lt;&gt;(AS27+AR27)," * La suma de las columnas "&amp;AR$10&amp;""&amp;" DEBE SER IGUAL a los Exámenes Procesados. ","")</f>
        <v/>
      </c>
      <c r="CB27" s="219">
        <f>IF(AND($B27&gt;0,AND(AT27="",AU27="")),"* No olvide ingresar las columnas Trans Masculino o Femenino (Digite CERO si no tiene). ",IF((AT27+AU27)&gt;$B27,"* El Número de Trans Masculino o Femenino no puede superar el Total Procesados. ",""))</f>
        <v/>
      </c>
      <c r="CC27" s="219">
        <f>IF(AND($B27&gt;0,AV27=""),"* No olvide ingresar la columna "&amp;AV$10&amp;""&amp;" *(Digite CERO si no tiene). ",IF(AV27&gt;$B27," *El Número de "&amp;AV$10&amp;""&amp;" no puede superar el Total Procesados. ",""))</f>
        <v/>
      </c>
      <c r="CD27" s="219">
        <f>IF(AND($B27&gt;0,AW27=""),"* No olvide ingresar la columna "&amp;AW$10&amp;""&amp;" *(Digite CERO si no tiene). ",IF(AW27&gt;$B27," *El Número de "&amp;AW$10&amp;""&amp;" no puede superar el Total Procesados. ",""))</f>
        <v/>
      </c>
      <c r="CE27" s="377" t="n"/>
      <c r="CF27" s="377" t="n"/>
      <c r="CG27" s="222" t="n"/>
      <c r="CH27" s="222" t="n"/>
      <c r="CI27" s="222" t="n"/>
      <c r="CJ27" s="377" t="n"/>
      <c r="CK27" s="219">
        <f>IF(P27&lt;Q27,CONCATENATE("* El total de Procesados debe ser mayor o igual al total de Reactivos en el grupo de edad ",$P$11),"")</f>
        <v/>
      </c>
      <c r="CL27" s="219">
        <f>IF(R27&lt;S27,CONCATENATE("* El total de Procesados debe ser mayor o igual al total de Reactivos en el grupo de edad ",$R$11),"")</f>
        <v/>
      </c>
      <c r="CM27" s="219">
        <f>IF($T27&lt;$U27,CONCATENATE("* El total de Procesados debe ser mayor o igual al total de Reactivos en el grupo de edad ",$T$11),"")</f>
        <v/>
      </c>
      <c r="CN27" s="219">
        <f>IF(V27&lt;W27,CONCATENATE("* El total de Procesados debe ser mayor o igual al total de Reactivos en el grupo de edad ",$V$11),"")</f>
        <v/>
      </c>
      <c r="CO27" s="219">
        <f>IF(X27&lt;Y27,CONCATENATE("* El total de Procesados debe ser mayor o igual al total de Reactivos en el grupo de edad ",$X$11),"")</f>
        <v/>
      </c>
      <c r="CP27" s="219">
        <f>IF(Z27&lt;AA27,CONCATENATE("* El total de Procesados debe ser mayor o igual al total de Reactivos en el grupo de edad ",$Z$11),"")</f>
        <v/>
      </c>
      <c r="CQ27" s="219">
        <f>IF(AB27&lt;AC27,CONCATENATE("* El total de Procesados debe ser mayor o igual al total de Reactivos en el grupo de edad ",$AB$11),"")</f>
        <v/>
      </c>
      <c r="CR27" s="219">
        <f>IF(AD27&lt;AE27,CONCATENATE("* El total de Procesados debe ser mayor o igual al total de Reactivos en el grupo de edad ",$AD$11),"")</f>
        <v/>
      </c>
      <c r="CS27" s="219">
        <f>IF(AF27&lt;AG27,CONCATENATE("* El total de Procesados debe ser mayor o igual al total de Reactivos en el grupo de edad ",$AF$11),"")</f>
        <v/>
      </c>
      <c r="CT27" s="219">
        <f>IF(AH27&lt;AI27,CONCATENATE("* El total de Procesados debe ser mayor o igual al total de Reactivos en el grupo de edad ",$AH$11),"")</f>
        <v/>
      </c>
      <c r="CU27" s="220" t="n"/>
      <c r="CV27" s="220" t="n"/>
      <c r="CW27" s="220" t="n"/>
      <c r="CX27" s="220" t="n"/>
      <c r="DE27" s="226" t="n"/>
      <c r="DF27" s="376">
        <f>IF(B27&lt;&gt;(AS27+AR27),1,0)</f>
        <v/>
      </c>
      <c r="DG27" s="376">
        <f>IF(AND($B27&gt;0,AND(AT27="",AU27="")),1,IF((AT27+AU27)&gt;$B27,1,0))</f>
        <v/>
      </c>
      <c r="DH27" s="376">
        <f>IF(AND($B27&gt;0,AV27=""),1,IF(AV27&gt;$B27,1,0))</f>
        <v/>
      </c>
      <c r="DI27" s="376">
        <f>IF(AND($B27&gt;0,AW27=""),1,IF(AW27&gt;$B27,1,0))</f>
        <v/>
      </c>
      <c r="DJ27" s="222" t="n"/>
      <c r="DK27" s="222" t="n"/>
      <c r="DL27" s="222" t="n"/>
      <c r="DM27" s="222" t="n"/>
      <c r="DN27" s="222" t="n"/>
      <c r="DO27" s="220" t="n"/>
      <c r="DP27" s="376">
        <f>IF(P27&lt;Q27,1,0)</f>
        <v/>
      </c>
      <c r="DQ27" s="376">
        <f>IF(R27&lt;S27,1,0)</f>
        <v/>
      </c>
      <c r="DR27" s="376">
        <f>IF($T27&lt;$U27,1,0)</f>
        <v/>
      </c>
      <c r="DS27" s="376">
        <f>IF(V27&lt;W27,1,0)</f>
        <v/>
      </c>
      <c r="DT27" s="376">
        <f>IF(X27&lt;Y27,1,0)</f>
        <v/>
      </c>
      <c r="DU27" s="376">
        <f>IF(Z27&lt;AA27,1,0)</f>
        <v/>
      </c>
      <c r="DV27" s="376">
        <f>IF(AB27&lt;AC27,1,0)</f>
        <v/>
      </c>
      <c r="DW27" s="376">
        <f>IF(AD27&lt;AE27,1,0)</f>
        <v/>
      </c>
      <c r="DX27" s="376">
        <f>IF(AF27&lt;AG27,1,0)</f>
        <v/>
      </c>
      <c r="DY27" s="376">
        <f>IF(AH27&lt;AI27,1,0)</f>
        <v/>
      </c>
      <c r="DZ27" s="220" t="n"/>
      <c r="EA27" s="220" t="n"/>
      <c r="EB27" s="220" t="n"/>
      <c r="EC27" s="220" t="n"/>
    </row>
    <row r="28">
      <c r="A28" s="3102" t="inlineStr">
        <is>
          <t>Donantes de órganos y/o tejidos</t>
        </is>
      </c>
      <c r="B28" s="3103">
        <f>+D28+F28+H28+J28+L28+N28+P28+R28+T28+V28+X28+Z28+AB28+AD28+AF28+AH28+AJ28+AL28+AN28+AP28</f>
        <v/>
      </c>
      <c r="C28" s="1171">
        <f>+E28+G28+I28+K28+M28+O28+Q28+S28+U28+W28+Y28+AA28+AC28+AE28+AG28+AI28+AK28+AM28+AO28+AQ28</f>
        <v/>
      </c>
      <c r="D28" s="3108" t="n"/>
      <c r="E28" s="3107" t="n"/>
      <c r="F28" s="3108" t="n"/>
      <c r="G28" s="3107" t="n"/>
      <c r="H28" s="3108" t="n"/>
      <c r="I28" s="3101" t="n"/>
      <c r="J28" s="3100" t="n"/>
      <c r="K28" s="3100" t="n"/>
      <c r="L28" s="3108" t="n"/>
      <c r="M28" s="3101" t="n"/>
      <c r="N28" s="3100" t="n"/>
      <c r="O28" s="3107" t="n"/>
      <c r="P28" s="3108" t="n"/>
      <c r="Q28" s="3107" t="n"/>
      <c r="R28" s="3108" t="n"/>
      <c r="S28" s="3107" t="n"/>
      <c r="T28" s="3108" t="n"/>
      <c r="U28" s="3107" t="n"/>
      <c r="V28" s="3108" t="n"/>
      <c r="W28" s="3107" t="n"/>
      <c r="X28" s="3108" t="n"/>
      <c r="Y28" s="3107" t="n"/>
      <c r="Z28" s="3108" t="n"/>
      <c r="AA28" s="3107" t="n"/>
      <c r="AB28" s="3108" t="n"/>
      <c r="AC28" s="3107" t="n"/>
      <c r="AD28" s="3108" t="n"/>
      <c r="AE28" s="3107" t="n"/>
      <c r="AF28" s="3108" t="n"/>
      <c r="AG28" s="3107" t="n"/>
      <c r="AH28" s="3108" t="n"/>
      <c r="AI28" s="3107" t="n"/>
      <c r="AJ28" s="3108" t="n"/>
      <c r="AK28" s="3107" t="n"/>
      <c r="AL28" s="3108" t="n"/>
      <c r="AM28" s="3107" t="n"/>
      <c r="AN28" s="3108" t="n"/>
      <c r="AO28" s="3107" t="n"/>
      <c r="AP28" s="3108" t="n"/>
      <c r="AQ28" s="3098" t="n"/>
      <c r="AR28" s="3100" t="n"/>
      <c r="AS28" s="3098" t="n"/>
      <c r="AT28" s="3099" t="n"/>
      <c r="AU28" s="3098" t="n"/>
      <c r="AV28" s="3660" t="n"/>
      <c r="AW28" s="4008" t="n"/>
      <c r="AX28" s="218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>
        <f>IF(B28&lt;&gt;(AS28+AR28)," * La suma de las columnas "&amp;AR$10&amp;""&amp;" DEBE SER IGUAL a los Exámenes Procesados. ","")</f>
        <v/>
      </c>
      <c r="CB28" s="219">
        <f>IF(AND($B28&gt;0,AND(AT28="",AU28="")),"* No olvide ingresar las columnas Trans Masculino o Femenino (Digite CERO si no tiene). ",IF((AT28+AU28)&gt;$B28,"* El Número de Trans Masculino o Femenino no puede superar el Total Procesados. ",""))</f>
        <v/>
      </c>
      <c r="CC28" s="219">
        <f>IF(AND($B28&gt;0,AV28=""),"* No olvide ingresar la columna "&amp;AV$10&amp;""&amp;" *(Digite CERO si no tiene). ",IF(AV28&gt;$B28," *El Número de "&amp;AV$10&amp;""&amp;" no puede superar el Total Procesados. ",""))</f>
        <v/>
      </c>
      <c r="CD28" s="219">
        <f>IF(AND($B28&gt;0,AW28=""),"* No olvide ingresar la columna "&amp;AW$10&amp;""&amp;" *(Digite CERO si no tiene). ",IF(AW28&gt;$B28," *El Número de "&amp;AW$10&amp;""&amp;" no puede superar el Total Procesados. ",""))</f>
        <v/>
      </c>
      <c r="CE28" s="219">
        <f>IF(D28&lt;E28,CONCATENATE("* El total de Procesados debe ser mayor o igual al total de Reactivos en el grupo de edad ",$D$11),"")</f>
        <v/>
      </c>
      <c r="CF28" s="219">
        <f>IF(F28&lt;G28,CONCATENATE("* El total de Procesados debe ser mayor o igual al total de Reactivos en el grupo de edad ",$F$11),"")</f>
        <v/>
      </c>
      <c r="CG28" s="219">
        <f>IF(H28&lt;I28,CONCATENATE("* El total de Procesados debe ser mayor o igual al total de Reactivos en el grupo de edad ",$H$11),"")</f>
        <v/>
      </c>
      <c r="CH28" s="219">
        <f>IF(J28&lt;K28,CONCATENATE("* El total de Procesados debe ser mayor o igual al total de Reactivos en el grupo de edad ",$J$11),"")</f>
        <v/>
      </c>
      <c r="CI28" s="219">
        <f>IF(L28&lt;M28,CONCATENATE("* El total de Procesados debe ser mayor o igual al total de Reactivos en el grupo de edad ",$L$11),"")</f>
        <v/>
      </c>
      <c r="CJ28" s="219">
        <f>IF(N28&lt;O28,CONCATENATE("* El total de Procesados debe ser mayor o igual al total de Reactivos en el grupo de edad ",$N$11),"")</f>
        <v/>
      </c>
      <c r="CK28" s="219">
        <f>IF(P28&lt;Q28,CONCATENATE("* El total de Procesados debe ser mayor o igual al total de Reactivos en el grupo de edad ",$P$11),"")</f>
        <v/>
      </c>
      <c r="CL28" s="219">
        <f>IF(R28&lt;S28,CONCATENATE("* El total de Procesados debe ser mayor o igual al total de Reactivos en el grupo de edad ",$R$11),"")</f>
        <v/>
      </c>
      <c r="CM28" s="219">
        <f>IF($T28&lt;$U28,CONCATENATE("* El total de Procesados debe ser mayor o igual al total de Reactivos en el grupo de edad ",$T$11),"")</f>
        <v/>
      </c>
      <c r="CN28" s="219">
        <f>IF(V28&lt;W28,CONCATENATE("* El total de Procesados debe ser mayor o igual al total de Reactivos en el grupo de edad ",$V$11),"")</f>
        <v/>
      </c>
      <c r="CO28" s="219">
        <f>IF(X28&lt;Y28,CONCATENATE("* El total de Procesados debe ser mayor o igual al total de Reactivos en el grupo de edad ",$X$11),"")</f>
        <v/>
      </c>
      <c r="CP28" s="219">
        <f>IF(Z28&lt;AA28,CONCATENATE("* El total de Procesados debe ser mayor o igual al total de Reactivos en el grupo de edad ",$Z$11),"")</f>
        <v/>
      </c>
      <c r="CQ28" s="219">
        <f>IF(AB28&lt;AC28,CONCATENATE("* El total de Procesados debe ser mayor o igual al total de Reactivos en el grupo de edad ",$AB$11),"")</f>
        <v/>
      </c>
      <c r="CR28" s="219">
        <f>IF(AD28&lt;AE28,CONCATENATE("* El total de Procesados debe ser mayor o igual al total de Reactivos en el grupo de edad ",$AD$11),"")</f>
        <v/>
      </c>
      <c r="CS28" s="219">
        <f>IF(AF28&lt;AG28,CONCATENATE("* El total de Procesados debe ser mayor o igual al total de Reactivos en el grupo de edad ",$AF$11),"")</f>
        <v/>
      </c>
      <c r="CT28" s="219">
        <f>IF(AH28&lt;AI28,CONCATENATE("* El total de Procesados debe ser mayor o igual al total de Reactivos en el grupo de edad ",$AH$11),"")</f>
        <v/>
      </c>
      <c r="CU28" s="219">
        <f>IF(AJ28&lt;AK28,CONCATENATE("* El total de Procesados debe ser mayor o igual al total de Reactivos en el grupo de edad ",$AJ$11),"")</f>
        <v/>
      </c>
      <c r="CV28" s="219">
        <f>IF(AL28&lt;AM28,CONCATENATE("* El total de Procesados debe ser mayor o igual al total de Reactivos en el grupo de edad ",$AL$11),"")</f>
        <v/>
      </c>
      <c r="CW28" s="219">
        <f>IF(AN28&lt;AO28,CONCATENATE("* El total de Procesados debe ser mayor o igual al total de Reactivos en el grupo de edad ",$AN$11),"")</f>
        <v/>
      </c>
      <c r="CX28" s="219">
        <f>IF(AP28&lt;AQ28,CONCATENATE("* El total de Procesados debe ser mayor o igual al total de Reactivos en el grupo de edad ",$AP$11),"")</f>
        <v/>
      </c>
      <c r="DE28" s="226" t="n"/>
      <c r="DF28" s="376">
        <f>IF(B28&lt;&gt;(AS28+AR28),1,0)</f>
        <v/>
      </c>
      <c r="DG28" s="376">
        <f>IF(AND($B28&gt;0,AND(AT28="",AU28="")),1,IF((AT28+AU28)&gt;$B28,1,0))</f>
        <v/>
      </c>
      <c r="DH28" s="376">
        <f>IF(AND($B28&gt;0,AV28=""),1,IF(AV28&gt;$B28,1,0))</f>
        <v/>
      </c>
      <c r="DI28" s="376">
        <f>IF(AND($B28&gt;0,AW28=""),1,IF(AW28&gt;$B28,1,0))</f>
        <v/>
      </c>
      <c r="DJ28" s="376">
        <f>IF(D28&lt;E28,1,0)</f>
        <v/>
      </c>
      <c r="DK28" s="376">
        <f>IF(F28&lt;G28,1,0)</f>
        <v/>
      </c>
      <c r="DL28" s="376">
        <f>IF(H28&lt;I28,1,0)</f>
        <v/>
      </c>
      <c r="DM28" s="376">
        <f>IF(J28&lt;K28,1,0)</f>
        <v/>
      </c>
      <c r="DN28" s="376">
        <f>IF(L28&lt;M28,1,0)</f>
        <v/>
      </c>
      <c r="DO28" s="376">
        <f>IF(N28&lt;O28,1,0)</f>
        <v/>
      </c>
      <c r="DP28" s="376">
        <f>IF(P28&lt;Q28,1,0)</f>
        <v/>
      </c>
      <c r="DQ28" s="376">
        <f>IF(R28&lt;S28,1,0)</f>
        <v/>
      </c>
      <c r="DR28" s="376">
        <f>IF($T28&lt;$U28,1,0)</f>
        <v/>
      </c>
      <c r="DS28" s="376">
        <f>IF(V28&lt;W28,1,0)</f>
        <v/>
      </c>
      <c r="DT28" s="376">
        <f>IF(X28&lt;Y28,1,0)</f>
        <v/>
      </c>
      <c r="DU28" s="376">
        <f>IF(Z28&lt;AA28,1,0)</f>
        <v/>
      </c>
      <c r="DV28" s="376">
        <f>IF(AB28&lt;AC28,1,0)</f>
        <v/>
      </c>
      <c r="DW28" s="376">
        <f>IF(AD28&lt;AE28,1,0)</f>
        <v/>
      </c>
      <c r="DX28" s="376">
        <f>IF(AF28&lt;AG28,1,0)</f>
        <v/>
      </c>
      <c r="DY28" s="376">
        <f>IF(AH28&lt;AI28,1,0)</f>
        <v/>
      </c>
      <c r="DZ28" s="376">
        <f>IF(AJ28&lt;AK28,1,0)</f>
        <v/>
      </c>
      <c r="EA28" s="376">
        <f>IF(AL28&lt;AM28,1,0)</f>
        <v/>
      </c>
      <c r="EB28" s="376">
        <f>IF(AN28&lt;AO28,1,0)</f>
        <v/>
      </c>
      <c r="EC28" s="376">
        <f>IF(AP28&lt;AQ28,1,0)</f>
        <v/>
      </c>
    </row>
    <row r="29">
      <c r="A29" s="3102" t="inlineStr">
        <is>
          <t>Pacientes en diálisis</t>
        </is>
      </c>
      <c r="B29" s="3103">
        <f>+D29+F29+H29+J29+L29+N29+P29+R29+T29+V29+X29+Z29+AB29+AD29+AF29+AH29+AJ29+AL29+AN29+AP29</f>
        <v/>
      </c>
      <c r="C29" s="1171">
        <f>+E29+G29+I29+K29+M29+O29+Q29+S29+U29+W29+Y29+AA29+AC29+AE29+AG29+AI29+AK29+AM29+AO29+AQ29</f>
        <v/>
      </c>
      <c r="D29" s="3108" t="n"/>
      <c r="E29" s="3107" t="n"/>
      <c r="F29" s="3108" t="n"/>
      <c r="G29" s="3107" t="n"/>
      <c r="H29" s="3108" t="n"/>
      <c r="I29" s="3101" t="n"/>
      <c r="J29" s="3100" t="n"/>
      <c r="K29" s="3100" t="n"/>
      <c r="L29" s="3108" t="n"/>
      <c r="M29" s="3101" t="n"/>
      <c r="N29" s="3100" t="n"/>
      <c r="O29" s="3107" t="n"/>
      <c r="P29" s="3108" t="n"/>
      <c r="Q29" s="3107" t="n"/>
      <c r="R29" s="3108" t="n"/>
      <c r="S29" s="3107" t="n"/>
      <c r="T29" s="3108" t="n"/>
      <c r="U29" s="3107" t="n"/>
      <c r="V29" s="3108" t="n"/>
      <c r="W29" s="3107" t="n"/>
      <c r="X29" s="3108" t="n"/>
      <c r="Y29" s="3107" t="n"/>
      <c r="Z29" s="3108" t="n"/>
      <c r="AA29" s="3107" t="n"/>
      <c r="AB29" s="3108" t="n"/>
      <c r="AC29" s="3107" t="n"/>
      <c r="AD29" s="3108" t="n"/>
      <c r="AE29" s="3107" t="n"/>
      <c r="AF29" s="3108" t="n"/>
      <c r="AG29" s="3107" t="n"/>
      <c r="AH29" s="3108" t="n"/>
      <c r="AI29" s="3107" t="n"/>
      <c r="AJ29" s="3108" t="n"/>
      <c r="AK29" s="3107" t="n"/>
      <c r="AL29" s="3108" t="n"/>
      <c r="AM29" s="3107" t="n"/>
      <c r="AN29" s="3108" t="n"/>
      <c r="AO29" s="3107" t="n"/>
      <c r="AP29" s="3108" t="n"/>
      <c r="AQ29" s="3098" t="n"/>
      <c r="AR29" s="3100" t="n"/>
      <c r="AS29" s="3098" t="n"/>
      <c r="AT29" s="3099" t="n"/>
      <c r="AU29" s="3098" t="n"/>
      <c r="AV29" s="3660" t="n"/>
      <c r="AW29" s="4008" t="n"/>
      <c r="AX29" s="218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>
        <f>IF(B29&lt;&gt;(AS29+AR29)," * La suma de las columnas "&amp;AR$10&amp;""&amp;" DEBE SER IGUAL a los Exámenes Procesados. ","")</f>
        <v/>
      </c>
      <c r="CB29" s="219">
        <f>IF(AND($B29&gt;0,AND(AT29="",AU29="")),"* No olvide ingresar las columnas Trans Masculino o Femenino (Digite CERO si no tiene). ",IF((AT29+AU29)&gt;$B29,"* El Número de Trans Masculino o Femenino no puede superar el Total Procesados. ",""))</f>
        <v/>
      </c>
      <c r="CC29" s="219">
        <f>IF(AND($B29&gt;0,AV29=""),"* No olvide ingresar la columna "&amp;AV$10&amp;""&amp;" *(Digite CERO si no tiene). ",IF(AV29&gt;$B29," *El Número de "&amp;AV$10&amp;""&amp;" no puede superar el Total Procesados. ",""))</f>
        <v/>
      </c>
      <c r="CD29" s="219">
        <f>IF(AND($B29&gt;0,AW29=""),"* No olvide ingresar la columna "&amp;AW$10&amp;""&amp;" *(Digite CERO si no tiene). ",IF(AW29&gt;$B29," *El Número de "&amp;AW$10&amp;""&amp;" no puede superar el Total Procesados. ",""))</f>
        <v/>
      </c>
      <c r="CE29" s="219">
        <f>IF(D29&lt;E29,CONCATENATE("* El total de Procesados debe ser mayor o igual al total de Reactivos en el grupo de edad ",$D$11),"")</f>
        <v/>
      </c>
      <c r="CF29" s="219">
        <f>IF(F29&lt;G29,CONCATENATE("* El total de Procesados debe ser mayor o igual al total de Reactivos en el grupo de edad ",$F$11),"")</f>
        <v/>
      </c>
      <c r="CG29" s="219">
        <f>IF(H29&lt;I29,CONCATENATE("* El total de Procesados debe ser mayor o igual al total de Reactivos en el grupo de edad ",$H$11),"")</f>
        <v/>
      </c>
      <c r="CH29" s="219">
        <f>IF(J29&lt;K29,CONCATENATE("* El total de Procesados debe ser mayor o igual al total de Reactivos en el grupo de edad ",$J$11),"")</f>
        <v/>
      </c>
      <c r="CI29" s="219">
        <f>IF(L29&lt;M29,CONCATENATE("* El total de Procesados debe ser mayor o igual al total de Reactivos en el grupo de edad ",$L$11),"")</f>
        <v/>
      </c>
      <c r="CJ29" s="219">
        <f>IF(N29&lt;O29,CONCATENATE("* El total de Procesados debe ser mayor o igual al total de Reactivos en el grupo de edad ",$N$11),"")</f>
        <v/>
      </c>
      <c r="CK29" s="219">
        <f>IF(P29&lt;Q29,CONCATENATE("* El total de Procesados debe ser mayor o igual al total de Reactivos en el grupo de edad ",$P$11),"")</f>
        <v/>
      </c>
      <c r="CL29" s="219">
        <f>IF(R29&lt;S29,CONCATENATE("* El total de Procesados debe ser mayor o igual al total de Reactivos en el grupo de edad ",$R$11),"")</f>
        <v/>
      </c>
      <c r="CM29" s="219">
        <f>IF($T29&lt;$U29,CONCATENATE("* El total de Procesados debe ser mayor o igual al total de Reactivos en el grupo de edad ",$T$11),"")</f>
        <v/>
      </c>
      <c r="CN29" s="219">
        <f>IF(V29&lt;W29,CONCATENATE("* El total de Procesados debe ser mayor o igual al total de Reactivos en el grupo de edad ",$V$11),"")</f>
        <v/>
      </c>
      <c r="CO29" s="219">
        <f>IF(X29&lt;Y29,CONCATENATE("* El total de Procesados debe ser mayor o igual al total de Reactivos en el grupo de edad ",$X$11),"")</f>
        <v/>
      </c>
      <c r="CP29" s="219">
        <f>IF(Z29&lt;AA29,CONCATENATE("* El total de Procesados debe ser mayor o igual al total de Reactivos en el grupo de edad ",$Z$11),"")</f>
        <v/>
      </c>
      <c r="CQ29" s="219">
        <f>IF(AB29&lt;AC29,CONCATENATE("* El total de Procesados debe ser mayor o igual al total de Reactivos en el grupo de edad ",$AB$11),"")</f>
        <v/>
      </c>
      <c r="CR29" s="219">
        <f>IF(AD29&lt;AE29,CONCATENATE("* El total de Procesados debe ser mayor o igual al total de Reactivos en el grupo de edad ",$AD$11),"")</f>
        <v/>
      </c>
      <c r="CS29" s="219">
        <f>IF(AF29&lt;AG29,CONCATENATE("* El total de Procesados debe ser mayor o igual al total de Reactivos en el grupo de edad ",$AF$11),"")</f>
        <v/>
      </c>
      <c r="CT29" s="219">
        <f>IF(AH29&lt;AI29,CONCATENATE("* El total de Procesados debe ser mayor o igual al total de Reactivos en el grupo de edad ",$AH$11),"")</f>
        <v/>
      </c>
      <c r="CU29" s="219">
        <f>IF(AJ29&lt;AK29,CONCATENATE("* El total de Procesados debe ser mayor o igual al total de Reactivos en el grupo de edad ",$AJ$11),"")</f>
        <v/>
      </c>
      <c r="CV29" s="219">
        <f>IF(AL29&lt;AM29,CONCATENATE("* El total de Procesados debe ser mayor o igual al total de Reactivos en el grupo de edad ",$AL$11),"")</f>
        <v/>
      </c>
      <c r="CW29" s="219">
        <f>IF(AN29&lt;AO29,CONCATENATE("* El total de Procesados debe ser mayor o igual al total de Reactivos en el grupo de edad ",$AN$11),"")</f>
        <v/>
      </c>
      <c r="CX29" s="219">
        <f>IF(AP29&lt;AQ29,CONCATENATE("* El total de Procesados debe ser mayor o igual al total de Reactivos en el grupo de edad ",$AP$11),"")</f>
        <v/>
      </c>
      <c r="DE29" s="226" t="n"/>
      <c r="DF29" s="376">
        <f>IF(B29&lt;&gt;(AS29+AR29),1,0)</f>
        <v/>
      </c>
      <c r="DG29" s="376">
        <f>IF(AND($B29&gt;0,AND(AT29="",AU29="")),1,IF((AT29+AU29)&gt;$B29,1,0))</f>
        <v/>
      </c>
      <c r="DH29" s="376">
        <f>IF(AND($B29&gt;0,AV29=""),1,IF(AV29&gt;$B29,1,0))</f>
        <v/>
      </c>
      <c r="DI29" s="376">
        <f>IF(AND($B29&gt;0,AW29=""),1,IF(AW29&gt;$B29,1,0))</f>
        <v/>
      </c>
      <c r="DJ29" s="376">
        <f>IF(D29&lt;E29,1,0)</f>
        <v/>
      </c>
      <c r="DK29" s="376">
        <f>IF(F29&lt;G29,1,0)</f>
        <v/>
      </c>
      <c r="DL29" s="376">
        <f>IF(H29&lt;I29,1,0)</f>
        <v/>
      </c>
      <c r="DM29" s="376">
        <f>IF(J29&lt;K29,1,0)</f>
        <v/>
      </c>
      <c r="DN29" s="376">
        <f>IF(L29&lt;M29,1,0)</f>
        <v/>
      </c>
      <c r="DO29" s="376">
        <f>IF(N29&lt;O29,1,0)</f>
        <v/>
      </c>
      <c r="DP29" s="376">
        <f>IF(P29&lt;Q29,1,0)</f>
        <v/>
      </c>
      <c r="DQ29" s="376">
        <f>IF(R29&lt;S29,1,0)</f>
        <v/>
      </c>
      <c r="DR29" s="376">
        <f>IF($T29&lt;$U29,1,0)</f>
        <v/>
      </c>
      <c r="DS29" s="376">
        <f>IF(V29&lt;W29,1,0)</f>
        <v/>
      </c>
      <c r="DT29" s="376">
        <f>IF(X29&lt;Y29,1,0)</f>
        <v/>
      </c>
      <c r="DU29" s="376">
        <f>IF(Z29&lt;AA29,1,0)</f>
        <v/>
      </c>
      <c r="DV29" s="376">
        <f>IF(AB29&lt;AC29,1,0)</f>
        <v/>
      </c>
      <c r="DW29" s="376">
        <f>IF(AD29&lt;AE29,1,0)</f>
        <v/>
      </c>
      <c r="DX29" s="376">
        <f>IF(AF29&lt;AG29,1,0)</f>
        <v/>
      </c>
      <c r="DY29" s="376">
        <f>IF(AH29&lt;AI29,1,0)</f>
        <v/>
      </c>
      <c r="DZ29" s="376">
        <f>IF(AJ29&lt;AK29,1,0)</f>
        <v/>
      </c>
      <c r="EA29" s="376">
        <f>IF(AL29&lt;AM29,1,0)</f>
        <v/>
      </c>
      <c r="EB29" s="376">
        <f>IF(AN29&lt;AO29,1,0)</f>
        <v/>
      </c>
      <c r="EC29" s="376">
        <f>IF(AP29&lt;AQ29,1,0)</f>
        <v/>
      </c>
    </row>
    <row r="30">
      <c r="A30" s="3115" t="inlineStr">
        <is>
          <t>Víctima de violencia sexual</t>
        </is>
      </c>
      <c r="B30" s="2576">
        <f>+D30+F30+H30+J30+L30+N30+P30+R30+T30+V30+X30+Z30+AB30+AD30+AF30+AH30+AJ30+AL30+AN30+AP30</f>
        <v/>
      </c>
      <c r="C30" s="2464">
        <f>+E30+G30+I30+K30+M30+O30+Q30+S30+U30+W30+Y30+AA30+AC30+AE30+AG30+AI30+AK30+AM30+AO30+AQ30</f>
        <v/>
      </c>
      <c r="D30" s="1137" t="n"/>
      <c r="E30" s="1153" t="n"/>
      <c r="F30" s="1137" t="n"/>
      <c r="G30" s="1153" t="n"/>
      <c r="H30" s="1137" t="n"/>
      <c r="I30" s="1139" t="n"/>
      <c r="J30" s="1140" t="n"/>
      <c r="K30" s="1140" t="n"/>
      <c r="L30" s="1137" t="n"/>
      <c r="M30" s="1139" t="n"/>
      <c r="N30" s="1140" t="n"/>
      <c r="O30" s="1153" t="n"/>
      <c r="P30" s="1137" t="n"/>
      <c r="Q30" s="1153" t="n"/>
      <c r="R30" s="1137" t="n"/>
      <c r="S30" s="1153" t="n"/>
      <c r="T30" s="1137" t="n"/>
      <c r="U30" s="1153" t="n"/>
      <c r="V30" s="1137" t="n"/>
      <c r="W30" s="1153" t="n"/>
      <c r="X30" s="1137" t="n"/>
      <c r="Y30" s="1153" t="n"/>
      <c r="Z30" s="1137" t="n"/>
      <c r="AA30" s="1153" t="n"/>
      <c r="AB30" s="1137" t="n"/>
      <c r="AC30" s="1153" t="n"/>
      <c r="AD30" s="1137" t="n"/>
      <c r="AE30" s="1153" t="n"/>
      <c r="AF30" s="1137" t="n"/>
      <c r="AG30" s="1153" t="n"/>
      <c r="AH30" s="1137" t="n"/>
      <c r="AI30" s="1153" t="n"/>
      <c r="AJ30" s="1137" t="n"/>
      <c r="AK30" s="1153" t="n"/>
      <c r="AL30" s="1137" t="n"/>
      <c r="AM30" s="1153" t="n"/>
      <c r="AN30" s="1137" t="n"/>
      <c r="AO30" s="1153" t="n"/>
      <c r="AP30" s="1137" t="n"/>
      <c r="AQ30" s="1143" t="n"/>
      <c r="AR30" s="1140" t="n"/>
      <c r="AS30" s="1143" t="n"/>
      <c r="AT30" s="1152" t="n"/>
      <c r="AU30" s="1143" t="n"/>
      <c r="AV30" s="1142" t="n"/>
      <c r="AW30" s="1299" t="n"/>
      <c r="AX30" s="218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>
        <f>IF(B30&lt;&gt;(AS30+AR30)," * La suma de las columnas "&amp;AR$10&amp;""&amp;" DEBE SER IGUAL a los Exámenes Procesados. ","")</f>
        <v/>
      </c>
      <c r="CB30" s="219">
        <f>IF(AND($B30&gt;0,AND(AT30="",AU30="")),"* No olvide ingresar las columnas Trans Masculino o Femenino (Digite CERO si no tiene). ",IF((AT30+AU30)&gt;$B30,"* El Número de Trans Masculino o Femenino no puede superar el Total Procesados. ",""))</f>
        <v/>
      </c>
      <c r="CC30" s="219">
        <f>IF(AND($B30&gt;0,AV30=""),"* No olvide ingresar la columna "&amp;AV$10&amp;""&amp;" *(Digite CERO si no tiene). ",IF(AV30&gt;$B30," *El Número de "&amp;AV$10&amp;""&amp;" no puede superar el Total Procesados. ",""))</f>
        <v/>
      </c>
      <c r="CD30" s="219">
        <f>IF(AND($B30&gt;0,AW30=""),"* No olvide ingresar la columna "&amp;AW$10&amp;""&amp;" *(Digite CERO si no tiene). ",IF(AW30&gt;$B30," *El Número de "&amp;AW$10&amp;""&amp;" no puede superar el Total Procesados. ",""))</f>
        <v/>
      </c>
      <c r="CE30" s="219">
        <f>IF(D30&lt;E30,CONCATENATE("* El total de Procesados debe ser mayor o igual al total de Reactivos en el grupo de edad ",$D$11),"")</f>
        <v/>
      </c>
      <c r="CF30" s="219">
        <f>IF(F30&lt;G30,CONCATENATE("* El total de Procesados debe ser mayor o igual al total de Reactivos en el grupo de edad ",$F$11),"")</f>
        <v/>
      </c>
      <c r="CG30" s="219">
        <f>IF(H30&lt;I30,CONCATENATE("* El total de Procesados debe ser mayor o igual al total de Reactivos en el grupo de edad ",$H$11),"")</f>
        <v/>
      </c>
      <c r="CH30" s="219">
        <f>IF(J30&lt;K30,CONCATENATE("* El total de Procesados debe ser mayor o igual al total de Reactivos en el grupo de edad ",$J$11),"")</f>
        <v/>
      </c>
      <c r="CI30" s="219">
        <f>IF(L30&lt;M30,CONCATENATE("* El total de Procesados debe ser mayor o igual al total de Reactivos en el grupo de edad ",$L$11),"")</f>
        <v/>
      </c>
      <c r="CJ30" s="219">
        <f>IF(N30&lt;O30,CONCATENATE("* El total de Procesados debe ser mayor o igual al total de Reactivos en el grupo de edad ",$N$11),"")</f>
        <v/>
      </c>
      <c r="CK30" s="219">
        <f>IF(P30&lt;Q30,CONCATENATE("* El total de Procesados debe ser mayor o igual al total de Reactivos en el grupo de edad ",$P$11),"")</f>
        <v/>
      </c>
      <c r="CL30" s="219">
        <f>IF(R30&lt;S30,CONCATENATE("* El total de Procesados debe ser mayor o igual al total de Reactivos en el grupo de edad ",$R$11),"")</f>
        <v/>
      </c>
      <c r="CM30" s="219">
        <f>IF($T30&lt;$U30,CONCATENATE("* El total de Procesados debe ser mayor o igual al total de Reactivos en el grupo de edad ",$T$11),"")</f>
        <v/>
      </c>
      <c r="CN30" s="219">
        <f>IF(V30&lt;W30,CONCATENATE("* El total de Procesados debe ser mayor o igual al total de Reactivos en el grupo de edad ",$V$11),"")</f>
        <v/>
      </c>
      <c r="CO30" s="219">
        <f>IF(X30&lt;Y30,CONCATENATE("* El total de Procesados debe ser mayor o igual al total de Reactivos en el grupo de edad ",$X$11),"")</f>
        <v/>
      </c>
      <c r="CP30" s="219">
        <f>IF(Z30&lt;AA30,CONCATENATE("* El total de Procesados debe ser mayor o igual al total de Reactivos en el grupo de edad ",$Z$11),"")</f>
        <v/>
      </c>
      <c r="CQ30" s="219">
        <f>IF(AB30&lt;AC30,CONCATENATE("* El total de Procesados debe ser mayor o igual al total de Reactivos en el grupo de edad ",$AB$11),"")</f>
        <v/>
      </c>
      <c r="CR30" s="219">
        <f>IF(AD30&lt;AE30,CONCATENATE("* El total de Procesados debe ser mayor o igual al total de Reactivos en el grupo de edad ",$AD$11),"")</f>
        <v/>
      </c>
      <c r="CS30" s="219">
        <f>IF(AF30&lt;AG30,CONCATENATE("* El total de Procesados debe ser mayor o igual al total de Reactivos en el grupo de edad ",$AF$11),"")</f>
        <v/>
      </c>
      <c r="CT30" s="219">
        <f>IF(AH30&lt;AI30,CONCATENATE("* El total de Procesados debe ser mayor o igual al total de Reactivos en el grupo de edad ",$AH$11),"")</f>
        <v/>
      </c>
      <c r="CU30" s="219">
        <f>IF(AJ30&lt;AK30,CONCATENATE("* El total de Procesados debe ser mayor o igual al total de Reactivos en el grupo de edad ",$AJ$11),"")</f>
        <v/>
      </c>
      <c r="CV30" s="219">
        <f>IF(AL30&lt;AM30,CONCATENATE("* El total de Procesados debe ser mayor o igual al total de Reactivos en el grupo de edad ",$AL$11),"")</f>
        <v/>
      </c>
      <c r="CW30" s="219">
        <f>IF(AN30&lt;AO30,CONCATENATE("* El total de Procesados debe ser mayor o igual al total de Reactivos en el grupo de edad ",$AN$11),"")</f>
        <v/>
      </c>
      <c r="CX30" s="219">
        <f>IF(AP30&lt;AQ30,CONCATENATE("* El total de Procesados debe ser mayor o igual al total de Reactivos en el grupo de edad ",$AP$11),"")</f>
        <v/>
      </c>
      <c r="DE30" s="226" t="n"/>
      <c r="DF30" s="376">
        <f>IF(B30&lt;&gt;(AS30+AR30),1,0)</f>
        <v/>
      </c>
      <c r="DG30" s="376">
        <f>IF(AND($B30&gt;0,AND(AT30="",AU30="")),1,IF((AT30+AU30)&gt;$B30,1,0))</f>
        <v/>
      </c>
      <c r="DH30" s="376">
        <f>IF(AND($B30&gt;0,AV30=""),1,IF(AV30&gt;$B30,1,0))</f>
        <v/>
      </c>
      <c r="DI30" s="376">
        <f>IF(AND($B30&gt;0,AW30=""),1,IF(AW30&gt;$B30,1,0))</f>
        <v/>
      </c>
      <c r="DJ30" s="376">
        <f>IF(D30&lt;E30,1,0)</f>
        <v/>
      </c>
      <c r="DK30" s="376">
        <f>IF(F30&lt;G30,1,0)</f>
        <v/>
      </c>
      <c r="DL30" s="376">
        <f>IF(H30&lt;I30,1,0)</f>
        <v/>
      </c>
      <c r="DM30" s="376">
        <f>IF(J30&lt;K30,1,0)</f>
        <v/>
      </c>
      <c r="DN30" s="376">
        <f>IF(L30&lt;M30,1,0)</f>
        <v/>
      </c>
      <c r="DO30" s="376">
        <f>IF(N30&lt;O30,1,0)</f>
        <v/>
      </c>
      <c r="DP30" s="376">
        <f>IF(P30&lt;Q30,1,0)</f>
        <v/>
      </c>
      <c r="DQ30" s="376">
        <f>IF(R30&lt;S30,1,0)</f>
        <v/>
      </c>
      <c r="DR30" s="376">
        <f>IF($T30&lt;$U30,1,0)</f>
        <v/>
      </c>
      <c r="DS30" s="376">
        <f>IF(V30&lt;W30,1,0)</f>
        <v/>
      </c>
      <c r="DT30" s="376">
        <f>IF(X30&lt;Y30,1,0)</f>
        <v/>
      </c>
      <c r="DU30" s="376">
        <f>IF(Z30&lt;AA30,1,0)</f>
        <v/>
      </c>
      <c r="DV30" s="376">
        <f>IF(AB30&lt;AC30,1,0)</f>
        <v/>
      </c>
      <c r="DW30" s="376">
        <f>IF(AD30&lt;AE30,1,0)</f>
        <v/>
      </c>
      <c r="DX30" s="376">
        <f>IF(AF30&lt;AG30,1,0)</f>
        <v/>
      </c>
      <c r="DY30" s="376">
        <f>IF(AH30&lt;AI30,1,0)</f>
        <v/>
      </c>
      <c r="DZ30" s="376">
        <f>IF(AJ30&lt;AK30,1,0)</f>
        <v/>
      </c>
      <c r="EA30" s="376">
        <f>IF(AL30&lt;AM30,1,0)</f>
        <v/>
      </c>
      <c r="EB30" s="376">
        <f>IF(AN30&lt;AO30,1,0)</f>
        <v/>
      </c>
      <c r="EC30" s="376">
        <f>IF(AP30&lt;AQ30,1,0)</f>
        <v/>
      </c>
    </row>
    <row r="31" ht="18" customHeight="1" s="8286">
      <c r="A31" s="3116" t="inlineStr">
        <is>
          <t>SECCIÓN A.2: EXAMEN VDRL POR GRUPO DE USUARIOS (USO EXCLUSIVO DE ESTABLECIMIENTOS QUE COMPRAN SERVICIO)</t>
        </is>
      </c>
      <c r="B31" s="3116" t="n"/>
      <c r="C31" s="3116" t="n"/>
      <c r="D31" s="3116" t="n"/>
      <c r="E31" s="3116" t="n"/>
      <c r="F31" s="3116" t="n"/>
      <c r="G31" s="3116" t="n"/>
      <c r="H31" s="3116" t="n"/>
      <c r="I31" s="3116" t="n"/>
      <c r="J31" s="3116" t="n"/>
      <c r="K31" s="3116" t="n"/>
      <c r="L31" s="3116" t="n"/>
      <c r="M31" s="3116" t="n"/>
      <c r="N31" s="3116" t="n"/>
      <c r="O31" s="3116" t="n"/>
      <c r="P31" s="3116" t="n"/>
      <c r="Q31" s="3116" t="n"/>
      <c r="R31" s="3116" t="n"/>
      <c r="S31" s="3116" t="n"/>
      <c r="T31" s="3116" t="n"/>
      <c r="U31" s="3116" t="n"/>
      <c r="V31" s="3116" t="n"/>
      <c r="W31" s="3116" t="n"/>
      <c r="X31" s="3116" t="n"/>
      <c r="Y31" s="3116" t="n"/>
      <c r="Z31" s="3116" t="n"/>
      <c r="AA31" s="3116" t="n"/>
      <c r="AB31" s="3116" t="n"/>
      <c r="AC31" s="3116" t="n"/>
      <c r="AD31" s="3116" t="n"/>
      <c r="AE31" s="3116" t="n"/>
      <c r="AF31" s="3116" t="n"/>
      <c r="AG31" s="3116" t="n"/>
      <c r="AH31" s="3116" t="n"/>
      <c r="AI31" s="3116" t="n"/>
      <c r="AJ31" s="3116" t="n"/>
      <c r="AK31" s="3116" t="n"/>
      <c r="AL31" s="3116" t="n"/>
      <c r="AM31" s="3116" t="n"/>
      <c r="AN31" s="3116" t="n"/>
      <c r="AO31" s="3116" t="n"/>
      <c r="AP31" s="3116" t="n"/>
      <c r="AQ31" s="3116" t="n"/>
      <c r="AR31" s="227" t="n"/>
      <c r="AS31" s="227" t="n"/>
      <c r="AT31" s="227" t="n"/>
      <c r="AU31" s="227" t="n"/>
      <c r="AV31" s="227" t="n"/>
      <c r="AW31" s="227" t="n"/>
    </row>
    <row r="32">
      <c r="A32" s="9690" t="inlineStr">
        <is>
          <t>GRUPO DE PESQUISA</t>
        </is>
      </c>
      <c r="B32" s="10199" t="inlineStr">
        <is>
          <t>TOTAL</t>
        </is>
      </c>
      <c r="C32" s="9630" t="n"/>
      <c r="D32" s="9915" t="inlineStr">
        <is>
          <t>RANGO ETARIO</t>
        </is>
      </c>
      <c r="E32" s="9584" t="n"/>
      <c r="F32" s="9584" t="n"/>
      <c r="G32" s="9584" t="n"/>
      <c r="H32" s="9584" t="n"/>
      <c r="I32" s="9584" t="n"/>
      <c r="J32" s="9584" t="n"/>
      <c r="K32" s="9584" t="n"/>
      <c r="L32" s="9584" t="n"/>
      <c r="M32" s="9584" t="n"/>
      <c r="N32" s="9584" t="n"/>
      <c r="O32" s="9584" t="n"/>
      <c r="P32" s="9584" t="n"/>
      <c r="Q32" s="9584" t="n"/>
      <c r="R32" s="9584" t="n"/>
      <c r="S32" s="9584" t="n"/>
      <c r="T32" s="9584" t="n"/>
      <c r="U32" s="9584" t="n"/>
      <c r="V32" s="9584" t="n"/>
      <c r="W32" s="9584" t="n"/>
      <c r="X32" s="9584" t="n"/>
      <c r="Y32" s="9584" t="n"/>
      <c r="Z32" s="9584" t="n"/>
      <c r="AA32" s="9584" t="n"/>
      <c r="AB32" s="9584" t="n"/>
      <c r="AC32" s="9584" t="n"/>
      <c r="AD32" s="9584" t="n"/>
      <c r="AE32" s="9584" t="n"/>
      <c r="AF32" s="9584" t="n"/>
      <c r="AG32" s="9584" t="n"/>
      <c r="AH32" s="9584" t="n"/>
      <c r="AI32" s="9584" t="n"/>
      <c r="AJ32" s="9584" t="n"/>
      <c r="AK32" s="9584" t="n"/>
      <c r="AL32" s="9584" t="n"/>
      <c r="AM32" s="9584" t="n"/>
      <c r="AN32" s="9584" t="n"/>
      <c r="AO32" s="9584" t="n"/>
      <c r="AP32" s="9584" t="n"/>
      <c r="AQ32" s="9595" t="n"/>
      <c r="AR32" s="9982" t="inlineStr">
        <is>
          <t>POR SEXO (Procesados)</t>
        </is>
      </c>
      <c r="AS32" s="10211" t="n"/>
      <c r="AT32" s="10295" t="inlineStr">
        <is>
          <t>TRANS</t>
        </is>
      </c>
      <c r="AU32" s="9886" t="n"/>
      <c r="AV32" s="7829" t="inlineStr">
        <is>
          <t>Pueblos Originarios</t>
        </is>
      </c>
      <c r="AW32" s="8400" t="inlineStr">
        <is>
          <t>Migrantes</t>
        </is>
      </c>
    </row>
    <row r="33">
      <c r="A33" s="9588" t="n"/>
      <c r="B33" s="9697" t="n"/>
      <c r="C33" s="9639" t="n"/>
      <c r="D33" s="10006" t="inlineStr">
        <is>
          <t>Menos de 6 meses</t>
        </is>
      </c>
      <c r="E33" s="9584" t="n"/>
      <c r="F33" s="10006" t="inlineStr">
        <is>
          <t>6 - 11 meses</t>
        </is>
      </c>
      <c r="G33" s="9584" t="n"/>
      <c r="H33" s="8400" t="inlineStr">
        <is>
          <t>12-24 meses</t>
        </is>
      </c>
      <c r="I33" s="9582" t="n"/>
      <c r="J33" s="5448" t="inlineStr">
        <is>
          <t>3 - 4 años</t>
        </is>
      </c>
      <c r="K33" s="10190" t="n"/>
      <c r="L33" s="10006" t="inlineStr">
        <is>
          <t>5 - 9 años</t>
        </is>
      </c>
      <c r="M33" s="9584" t="n"/>
      <c r="N33" s="10006" t="inlineStr">
        <is>
          <t>10 - 14 años</t>
        </is>
      </c>
      <c r="O33" s="9584" t="n"/>
      <c r="P33" s="10006" t="inlineStr">
        <is>
          <t>15 - 19 años</t>
        </is>
      </c>
      <c r="Q33" s="9584" t="n"/>
      <c r="R33" s="10006" t="inlineStr">
        <is>
          <t>20 - 24 años</t>
        </is>
      </c>
      <c r="S33" s="9584" t="n"/>
      <c r="T33" s="8400" t="inlineStr">
        <is>
          <t>25 - 29 años</t>
        </is>
      </c>
      <c r="U33" s="9582" t="n"/>
      <c r="V33" s="8400" t="inlineStr">
        <is>
          <t>30 - 34 años</t>
        </is>
      </c>
      <c r="W33" s="9582" t="n"/>
      <c r="X33" s="8400" t="inlineStr">
        <is>
          <t>35 - 39 años</t>
        </is>
      </c>
      <c r="Y33" s="9582" t="n"/>
      <c r="Z33" s="8400" t="inlineStr">
        <is>
          <t>40 - 44 años</t>
        </is>
      </c>
      <c r="AA33" s="9582" t="n"/>
      <c r="AB33" s="8400" t="inlineStr">
        <is>
          <t>45 - 49 años</t>
        </is>
      </c>
      <c r="AC33" s="9582" t="n"/>
      <c r="AD33" s="8400" t="inlineStr">
        <is>
          <t>50 - 54 años</t>
        </is>
      </c>
      <c r="AE33" s="9582" t="n"/>
      <c r="AF33" s="8400" t="inlineStr">
        <is>
          <t>55 - 59 años</t>
        </is>
      </c>
      <c r="AG33" s="9582" t="n"/>
      <c r="AH33" s="8400" t="inlineStr">
        <is>
          <t>60 - 64 años</t>
        </is>
      </c>
      <c r="AI33" s="9582" t="n"/>
      <c r="AJ33" s="8400" t="inlineStr">
        <is>
          <t>65 - 69 años</t>
        </is>
      </c>
      <c r="AK33" s="9582" t="n"/>
      <c r="AL33" s="8400" t="inlineStr">
        <is>
          <t>70 - 74 años</t>
        </is>
      </c>
      <c r="AM33" s="9582" t="n"/>
      <c r="AN33" s="8400" t="inlineStr">
        <is>
          <t>75 - 79 años</t>
        </is>
      </c>
      <c r="AO33" s="9582" t="n"/>
      <c r="AP33" s="9976" t="inlineStr">
        <is>
          <t>80 y más años</t>
        </is>
      </c>
      <c r="AQ33" s="9595" t="n"/>
      <c r="AR33" s="10002" t="inlineStr">
        <is>
          <t>Hombres</t>
        </is>
      </c>
      <c r="AS33" s="9925" t="inlineStr">
        <is>
          <t>Mujeres</t>
        </is>
      </c>
      <c r="AT33" s="9890" t="n"/>
      <c r="AU33" s="9865" t="n"/>
      <c r="AW33" s="9614" t="n"/>
    </row>
    <row r="34">
      <c r="A34" s="9589" t="n"/>
      <c r="B34" s="3091" t="inlineStr">
        <is>
          <t>Procesados</t>
        </is>
      </c>
      <c r="C34" s="3090" t="inlineStr">
        <is>
          <t>Reactivos</t>
        </is>
      </c>
      <c r="D34" s="3088" t="inlineStr">
        <is>
          <t>Procesados</t>
        </is>
      </c>
      <c r="E34" s="3089" t="inlineStr">
        <is>
          <t>Reactivos</t>
        </is>
      </c>
      <c r="F34" s="3088" t="inlineStr">
        <is>
          <t>Procesados</t>
        </is>
      </c>
      <c r="G34" s="3089" t="inlineStr">
        <is>
          <t>Reactivos</t>
        </is>
      </c>
      <c r="H34" s="3088" t="inlineStr">
        <is>
          <t>Procesados</t>
        </is>
      </c>
      <c r="I34" s="3090" t="inlineStr">
        <is>
          <t>Reactivos</t>
        </is>
      </c>
      <c r="J34" s="3091" t="inlineStr">
        <is>
          <t>Procesados</t>
        </is>
      </c>
      <c r="K34" s="3089" t="inlineStr">
        <is>
          <t>Reactivos</t>
        </is>
      </c>
      <c r="L34" s="3088" t="inlineStr">
        <is>
          <t>Procesados</t>
        </is>
      </c>
      <c r="M34" s="3089" t="inlineStr">
        <is>
          <t>Reactivos</t>
        </is>
      </c>
      <c r="N34" s="3088" t="inlineStr">
        <is>
          <t>Procesados</t>
        </is>
      </c>
      <c r="O34" s="3089" t="inlineStr">
        <is>
          <t>Reactivos</t>
        </is>
      </c>
      <c r="P34" s="3088" t="inlineStr">
        <is>
          <t>Procesados</t>
        </is>
      </c>
      <c r="Q34" s="3089" t="inlineStr">
        <is>
          <t>Reactivos</t>
        </is>
      </c>
      <c r="R34" s="3088" t="inlineStr">
        <is>
          <t>Procesados</t>
        </is>
      </c>
      <c r="S34" s="3089" t="inlineStr">
        <is>
          <t>Reactivos</t>
        </is>
      </c>
      <c r="T34" s="3088" t="inlineStr">
        <is>
          <t>Procesados</t>
        </is>
      </c>
      <c r="U34" s="3089" t="inlineStr">
        <is>
          <t>Reactivos</t>
        </is>
      </c>
      <c r="V34" s="3088" t="inlineStr">
        <is>
          <t>Procesados</t>
        </is>
      </c>
      <c r="W34" s="3089" t="inlineStr">
        <is>
          <t>Reactivos</t>
        </is>
      </c>
      <c r="X34" s="3088" t="inlineStr">
        <is>
          <t>Procesados</t>
        </is>
      </c>
      <c r="Y34" s="3089" t="inlineStr">
        <is>
          <t>Reactivos</t>
        </is>
      </c>
      <c r="Z34" s="3088" t="inlineStr">
        <is>
          <t>Procesados</t>
        </is>
      </c>
      <c r="AA34" s="3089" t="inlineStr">
        <is>
          <t>Reactivos</t>
        </is>
      </c>
      <c r="AB34" s="3088" t="inlineStr">
        <is>
          <t>Procesados</t>
        </is>
      </c>
      <c r="AC34" s="3089" t="inlineStr">
        <is>
          <t>Reactivos</t>
        </is>
      </c>
      <c r="AD34" s="3088" t="inlineStr">
        <is>
          <t>Procesados</t>
        </is>
      </c>
      <c r="AE34" s="3089" t="inlineStr">
        <is>
          <t>Reactivos</t>
        </is>
      </c>
      <c r="AF34" s="3088" t="inlineStr">
        <is>
          <t>Procesados</t>
        </is>
      </c>
      <c r="AG34" s="3089" t="inlineStr">
        <is>
          <t>Reactivos</t>
        </is>
      </c>
      <c r="AH34" s="3088" t="inlineStr">
        <is>
          <t>Procesados</t>
        </is>
      </c>
      <c r="AI34" s="3089" t="inlineStr">
        <is>
          <t>Reactivos</t>
        </is>
      </c>
      <c r="AJ34" s="3088" t="inlineStr">
        <is>
          <t>Procesados</t>
        </is>
      </c>
      <c r="AK34" s="3089" t="inlineStr">
        <is>
          <t>Reactivos</t>
        </is>
      </c>
      <c r="AL34" s="3088" t="inlineStr">
        <is>
          <t>Procesados</t>
        </is>
      </c>
      <c r="AM34" s="3089" t="inlineStr">
        <is>
          <t>Reactivos</t>
        </is>
      </c>
      <c r="AN34" s="3088" t="inlineStr">
        <is>
          <t>Procesados</t>
        </is>
      </c>
      <c r="AO34" s="3089" t="inlineStr">
        <is>
          <t>Reactivos</t>
        </is>
      </c>
      <c r="AP34" s="3088" t="inlineStr">
        <is>
          <t>Procesados</t>
        </is>
      </c>
      <c r="AQ34" s="3092" t="inlineStr">
        <is>
          <t>Reactivos</t>
        </is>
      </c>
      <c r="AR34" s="9688" t="n"/>
      <c r="AS34" s="9926" t="n"/>
      <c r="AT34" s="7688" t="inlineStr">
        <is>
          <t>Masculino</t>
        </is>
      </c>
      <c r="AU34" s="8008" t="inlineStr">
        <is>
          <t>Femenino</t>
        </is>
      </c>
      <c r="AV34" s="9591" t="n"/>
      <c r="AW34" s="9610" t="n"/>
    </row>
    <row r="35">
      <c r="A35" s="3118" t="inlineStr">
        <is>
          <t>Gestantes primer trimestre embarazo</t>
        </is>
      </c>
      <c r="B35" s="3094">
        <f>+N35+P35+R35+T35+V35+X35+Z35+AB35+AD35+AF35+AH35+AJ35+AL35+AN35+AP35</f>
        <v/>
      </c>
      <c r="C35" s="3095">
        <f>+O35+Q35+S35+U35+W35+Y35+AA35+AC35+AE35+AG35+AI35+AK35+AM35+AO35+AQ35</f>
        <v/>
      </c>
      <c r="D35" s="3112" t="n"/>
      <c r="E35" s="3105" t="n"/>
      <c r="F35" s="3104" t="n"/>
      <c r="G35" s="3105" t="n"/>
      <c r="H35" s="3104" t="n"/>
      <c r="I35" s="3105" t="n"/>
      <c r="J35" s="3104" t="n"/>
      <c r="K35" s="3105" t="n"/>
      <c r="L35" s="3104" t="n"/>
      <c r="M35" s="3106" t="n"/>
      <c r="N35" s="3100" t="n">
        <v>1</v>
      </c>
      <c r="O35" s="3107" t="n"/>
      <c r="P35" s="3108" t="n">
        <v>1</v>
      </c>
      <c r="Q35" s="3107" t="n">
        <v>0</v>
      </c>
      <c r="R35" s="3108" t="n">
        <v>5</v>
      </c>
      <c r="S35" s="3107" t="n">
        <v>0</v>
      </c>
      <c r="T35" s="3108" t="n">
        <v>9</v>
      </c>
      <c r="U35" s="3107" t="n">
        <v>0</v>
      </c>
      <c r="V35" s="3108" t="n">
        <v>10</v>
      </c>
      <c r="W35" s="3107" t="n">
        <v>0</v>
      </c>
      <c r="X35" s="3108" t="n">
        <v>5</v>
      </c>
      <c r="Y35" s="3107" t="n">
        <v>0</v>
      </c>
      <c r="Z35" s="3108" t="n">
        <v>2</v>
      </c>
      <c r="AA35" s="3107" t="n">
        <v>0</v>
      </c>
      <c r="AB35" s="3108" t="n">
        <v>0</v>
      </c>
      <c r="AC35" s="3107" t="n">
        <v>0</v>
      </c>
      <c r="AD35" s="3108" t="n">
        <v>0</v>
      </c>
      <c r="AE35" s="3107" t="n">
        <v>0</v>
      </c>
      <c r="AF35" s="3108" t="n">
        <v>0</v>
      </c>
      <c r="AG35" s="3107" t="n">
        <v>0</v>
      </c>
      <c r="AH35" s="3108" t="n">
        <v>0</v>
      </c>
      <c r="AI35" s="3107" t="n">
        <v>0</v>
      </c>
      <c r="AJ35" s="3108" t="n">
        <v>0</v>
      </c>
      <c r="AK35" s="3107" t="n">
        <v>0</v>
      </c>
      <c r="AL35" s="3108" t="n">
        <v>0</v>
      </c>
      <c r="AM35" s="3107" t="n">
        <v>0</v>
      </c>
      <c r="AN35" s="3108" t="n">
        <v>0</v>
      </c>
      <c r="AO35" s="3107" t="n">
        <v>0</v>
      </c>
      <c r="AP35" s="3108" t="n">
        <v>0</v>
      </c>
      <c r="AQ35" s="3098" t="n">
        <v>0</v>
      </c>
      <c r="AR35" s="3097" t="n"/>
      <c r="AS35" s="3098" t="n">
        <v>32</v>
      </c>
      <c r="AT35" s="3099" t="n">
        <v>0</v>
      </c>
      <c r="AU35" s="3098" t="n">
        <v>0</v>
      </c>
      <c r="AV35" s="3660" t="n">
        <v>0</v>
      </c>
      <c r="AW35" s="5286" t="n">
        <v>0</v>
      </c>
      <c r="AX35" s="218">
        <f>$CA35&amp;CB35&amp;CC35&amp;$CD35&amp;CJ35&amp;CK35&amp;CL35&amp;CM35&amp;CN35&amp;CO35&amp;CP35&amp;CQ35&amp;CR35&amp;CS35&amp;CT35&amp;CU35&amp;CV35&amp;CW35&amp;CX35</f>
        <v/>
      </c>
      <c r="CA35" s="219">
        <f>IF(B35&lt;&gt;(AS35)," * La suma de las columnas "&amp;AR$10&amp;""&amp;" DEBE SER IGUAL a los Exámenes Procesados. ","")</f>
        <v/>
      </c>
      <c r="CB35" s="219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>
        <f>IF(AND($B35&gt;0,AV35=""),"* No olvide ingresar la columna "&amp;AV$10&amp;""&amp;" *(Digite CERO si no tiene). ",IF(AV35&gt;$B35," *El Número de "&amp;AV$10&amp;""&amp;" no puede superar el Total Procesados. ",""))</f>
        <v/>
      </c>
      <c r="CD35" s="219">
        <f>IF(AND($B35&gt;0,AW35=""),"* No olvide ingresar la columna "&amp;AW$10&amp;""&amp;" *(Digite CERO si no tiene). ",IF(AW35&gt;$B35," *El Número de "&amp;AW$10&amp;""&amp;" no puede superar el Total Procesados. ",""))</f>
        <v/>
      </c>
      <c r="CE35" s="220" t="n"/>
      <c r="CF35" s="220" t="n"/>
      <c r="CG35" s="220" t="n"/>
      <c r="CH35" s="220" t="n"/>
      <c r="CI35" s="220" t="n"/>
      <c r="CJ35" s="219">
        <f>IF(N35&lt;O35,CONCATENATE("* El total de Procesados debe ser mayor o igual al total de Reactivos en el grupo de edad ",$N$11),"")</f>
        <v/>
      </c>
      <c r="CK35" s="219">
        <f>IF(P35&lt;Q35,CONCATENATE("* El total de Procesados debe ser mayor o igual al total de Reactivos en el grupo de edad ",$P$11),"")</f>
        <v/>
      </c>
      <c r="CL35" s="219">
        <f>IF(R35&lt;S35,CONCATENATE("* El total de Procesados debe ser mayor o igual al total de Reactivos en el grupo de edad ",$R$11),"")</f>
        <v/>
      </c>
      <c r="CM35" s="219">
        <f>IF($T35&lt;$U35,CONCATENATE("* El total de Procesados debe ser mayor o igual al total de Reactivos en el grupo de edad ",$T$11),"")</f>
        <v/>
      </c>
      <c r="CN35" s="219">
        <f>IF(V35&lt;W35,CONCATENATE("* El total de Procesados debe ser mayor o igual al total de Reactivos en el grupo de edad ",$V$11),"")</f>
        <v/>
      </c>
      <c r="CO35" s="219">
        <f>IF(X35&lt;Y35,CONCATENATE("* El total de Procesados debe ser mayor o igual al total de Reactivos en el grupo de edad ",$X$11),"")</f>
        <v/>
      </c>
      <c r="CP35" s="219">
        <f>IF(Z35&lt;AA35,CONCATENATE("* El total de Procesados debe ser mayor o igual al total de Reactivos en el grupo de edad ",$Z$11),"")</f>
        <v/>
      </c>
      <c r="CQ35" s="219">
        <f>IF(AB35&lt;AC35,CONCATENATE("* El total de Procesados debe ser mayor o igual al total de Reactivos en el grupo de edad ",$AB$11),"")</f>
        <v/>
      </c>
      <c r="CR35" s="219">
        <f>IF(AD35&lt;AE35,CONCATENATE("* El total de Procesados debe ser mayor o igual al total de Reactivos en el grupo de edad ",$AD$11),"")</f>
        <v/>
      </c>
      <c r="CS35" s="219">
        <f>IF(AF35&lt;AG35,CONCATENATE("* El total de Procesados debe ser mayor o igual al total de Reactivos en el grupo de edad ",$AF$11),"")</f>
        <v/>
      </c>
      <c r="CT35" s="219">
        <f>IF(AH35&lt;AI35,CONCATENATE("* El total de Procesados debe ser mayor o igual al total de Reactivos en el grupo de edad ",$AH$11),"")</f>
        <v/>
      </c>
      <c r="CU35" s="219">
        <f>IF(AJ35&lt;AK35,CONCATENATE("* El total de Procesados debe ser mayor o igual al total de Reactivos en el grupo de edad ",$AJ$11),"")</f>
        <v/>
      </c>
      <c r="CV35" s="219">
        <f>IF(AL35&lt;AM35,CONCATENATE("* El total de Procesados debe ser mayor o igual al total de Reactivos en el grupo de edad ",$AL$11),"")</f>
        <v/>
      </c>
      <c r="CW35" s="219">
        <f>IF(AN35&lt;AO35,CONCATENATE("* El total de Procesados debe ser mayor o igual al total de Reactivos en el grupo de edad ",$AN$11),"")</f>
        <v/>
      </c>
      <c r="CX35" s="219">
        <f>IF(AP35&lt;AQ35,CONCATENATE("* El total de Procesados debe ser mayor o igual al total de Reactivos en el grupo de edad ",$AP$11),"")</f>
        <v/>
      </c>
      <c r="DE35" s="226" t="n"/>
      <c r="DF35" s="378">
        <f>IF(B35&lt;&gt;(AS35),1,0)</f>
        <v/>
      </c>
      <c r="DG35" s="376">
        <f>IF(AND($B35&gt;0,AND(AT35="",AU35="")),1,IF((AT35+AU35)&gt;$B35,1,0))</f>
        <v/>
      </c>
      <c r="DH35" s="376">
        <f>IF(AND($B35&gt;0,AV35=""),1,IF(AV35&gt;$B35,1,0))</f>
        <v/>
      </c>
      <c r="DI35" s="376">
        <f>IF(AND($B35&gt;0,AW35=""),1,IF(AW35&gt;$B35,1,0))</f>
        <v/>
      </c>
      <c r="DJ35" s="220" t="n"/>
      <c r="DK35" s="220" t="n"/>
      <c r="DL35" s="220" t="n"/>
      <c r="DM35" s="220" t="n"/>
      <c r="DN35" s="220" t="n"/>
      <c r="DO35" s="376">
        <f>IF(N35&lt;O35,1,0)</f>
        <v/>
      </c>
      <c r="DP35" s="376">
        <f>IF(P35&lt;Q35,1,0)</f>
        <v/>
      </c>
      <c r="DQ35" s="376">
        <f>IF(R35&lt;S35,1,0)</f>
        <v/>
      </c>
      <c r="DR35" s="376">
        <f>IF($T35&lt;$U35,1,0)</f>
        <v/>
      </c>
      <c r="DS35" s="376">
        <f>IF(V35&lt;W35,1,0)</f>
        <v/>
      </c>
      <c r="DT35" s="376">
        <f>IF(X35&lt;Y35,1,0)</f>
        <v/>
      </c>
      <c r="DU35" s="376">
        <f>IF(Z35&lt;AA35,1,0)</f>
        <v/>
      </c>
      <c r="DV35" s="376">
        <f>IF(AB35&lt;AC35,1,0)</f>
        <v/>
      </c>
      <c r="DW35" s="376">
        <f>IF(AD35&lt;AE35,1,0)</f>
        <v/>
      </c>
      <c r="DX35" s="376">
        <f>IF(AF35&lt;AG35,1,0)</f>
        <v/>
      </c>
      <c r="DY35" s="376">
        <f>IF(AH35&lt;AI35,1,0)</f>
        <v/>
      </c>
      <c r="DZ35" s="376">
        <f>IF(AJ35&lt;AK35,1,0)</f>
        <v/>
      </c>
      <c r="EA35" s="376">
        <f>IF(AL35&lt;AM35,1,0)</f>
        <v/>
      </c>
      <c r="EB35" s="376">
        <f>IF(AN35&lt;AO35,1,0)</f>
        <v/>
      </c>
      <c r="EC35" s="376">
        <f>IF(AP35&lt;AQ35,1,0)</f>
        <v/>
      </c>
    </row>
    <row r="36">
      <c r="A36" s="3119" t="inlineStr">
        <is>
          <t>Gestantes segundo trimestre embarazo</t>
        </is>
      </c>
      <c r="B36" s="3103">
        <f>+N36+P36+R36+T36+V36+X36+Z36+AB36+AD36+AF36+AH36+AJ36+AL36+AN36+AP36</f>
        <v/>
      </c>
      <c r="C36" s="1171">
        <f>+O36+Q36+S36+U36+W36+Y36+AA36+AC36+AE36+AG36+AI36+AK36+AM36+AO36+AQ36</f>
        <v/>
      </c>
      <c r="D36" s="3112" t="n"/>
      <c r="E36" s="3105" t="n"/>
      <c r="F36" s="3104" t="n"/>
      <c r="G36" s="3105" t="n"/>
      <c r="H36" s="3104" t="n"/>
      <c r="I36" s="3105" t="n"/>
      <c r="J36" s="3104" t="n"/>
      <c r="K36" s="3105" t="n"/>
      <c r="L36" s="3104" t="n"/>
      <c r="M36" s="3106" t="n"/>
      <c r="N36" s="3100" t="n"/>
      <c r="O36" s="3107" t="n"/>
      <c r="P36" s="3108" t="n">
        <v>2</v>
      </c>
      <c r="Q36" s="3107" t="n">
        <v>0</v>
      </c>
      <c r="R36" s="3108" t="n">
        <v>5</v>
      </c>
      <c r="S36" s="3107" t="n">
        <v>0</v>
      </c>
      <c r="T36" s="3108" t="n">
        <v>14</v>
      </c>
      <c r="U36" s="3107" t="n">
        <v>0</v>
      </c>
      <c r="V36" s="3108" t="n">
        <v>17</v>
      </c>
      <c r="W36" s="3107" t="n">
        <v>0</v>
      </c>
      <c r="X36" s="3108" t="n">
        <v>4</v>
      </c>
      <c r="Y36" s="3107" t="n">
        <v>0</v>
      </c>
      <c r="Z36" s="3108" t="n">
        <v>0</v>
      </c>
      <c r="AA36" s="3107" t="n">
        <v>0</v>
      </c>
      <c r="AB36" s="3108" t="n">
        <v>0</v>
      </c>
      <c r="AC36" s="3107" t="n">
        <v>0</v>
      </c>
      <c r="AD36" s="3108" t="n">
        <v>0</v>
      </c>
      <c r="AE36" s="3107" t="n">
        <v>0</v>
      </c>
      <c r="AF36" s="3108" t="n">
        <v>0</v>
      </c>
      <c r="AG36" s="3107" t="n">
        <v>0</v>
      </c>
      <c r="AH36" s="3108" t="n">
        <v>0</v>
      </c>
      <c r="AI36" s="3107" t="n">
        <v>0</v>
      </c>
      <c r="AJ36" s="3108" t="n">
        <v>0</v>
      </c>
      <c r="AK36" s="3107" t="n">
        <v>0</v>
      </c>
      <c r="AL36" s="3108" t="n">
        <v>0</v>
      </c>
      <c r="AM36" s="3107" t="n">
        <v>0</v>
      </c>
      <c r="AN36" s="3108" t="n">
        <v>0</v>
      </c>
      <c r="AO36" s="3107" t="n">
        <v>0</v>
      </c>
      <c r="AP36" s="3108" t="n">
        <v>0</v>
      </c>
      <c r="AQ36" s="3098" t="n">
        <v>0</v>
      </c>
      <c r="AR36" s="3097" t="n"/>
      <c r="AS36" s="3098" t="n">
        <v>42</v>
      </c>
      <c r="AT36" s="3099" t="n">
        <v>0</v>
      </c>
      <c r="AU36" s="3098" t="n">
        <v>0</v>
      </c>
      <c r="AV36" s="3660" t="n">
        <v>0</v>
      </c>
      <c r="AW36" s="4008" t="n">
        <v>0</v>
      </c>
      <c r="AX36" s="218">
        <f>$CA36&amp;CB36&amp;CC36&amp;$CD36&amp;CJ36&amp;CK36&amp;CL36&amp;CM36&amp;CN36&amp;CO36&amp;CP36&amp;CQ36&amp;CR36&amp;CS36&amp;CT36&amp;CU36&amp;CV36&amp;CW36&amp;CX36</f>
        <v/>
      </c>
      <c r="CA36" s="219">
        <f>IF(B36&lt;&gt;(AS36)," * La suma de las columnas "&amp;AR$10&amp;""&amp;" DEBE SER IGUAL a los Exámenes Procesados. ","")</f>
        <v/>
      </c>
      <c r="CB36" s="219">
        <f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C36" s="219">
        <f>IF(AND($B36&gt;0,AV36=""),"* No olvide ingresar la columna "&amp;AV$10&amp;""&amp;" *(Digite CERO si no tiene). ",IF(AV36&gt;$B36," *El Número de "&amp;AV$10&amp;""&amp;" no puede superar el Total Procesados. ",""))</f>
        <v/>
      </c>
      <c r="CD36" s="219">
        <f>IF(AND($B36&gt;0,AW36=""),"* No olvide ingresar la columna "&amp;AW$10&amp;""&amp;" *(Digite CERO si no tiene). ",IF(AW36&gt;$B36," *El Número de "&amp;AW$10&amp;""&amp;" no puede superar el Total Procesados. ",""))</f>
        <v/>
      </c>
      <c r="CE36" s="220" t="n"/>
      <c r="CF36" s="220" t="n"/>
      <c r="CG36" s="220" t="n"/>
      <c r="CH36" s="220" t="n"/>
      <c r="CI36" s="220" t="n"/>
      <c r="CJ36" s="219">
        <f>IF(N36&lt;O36,CONCATENATE("* El total de Procesados debe ser mayor o igual al total de Reactivos en el grupo de edad ",$N$11),"")</f>
        <v/>
      </c>
      <c r="CK36" s="219">
        <f>IF(P36&lt;Q36,CONCATENATE("* El total de Procesados debe ser mayor o igual al total de Reactivos en el grupo de edad ",$P$11),"")</f>
        <v/>
      </c>
      <c r="CL36" s="219">
        <f>IF(R36&lt;S36,CONCATENATE("* El total de Procesados debe ser mayor o igual al total de Reactivos en el grupo de edad ",$R$11),"")</f>
        <v/>
      </c>
      <c r="CM36" s="219">
        <f>IF($T36&lt;$U36,CONCATENATE("* El total de Procesados debe ser mayor o igual al total de Reactivos en el grupo de edad ",$T$11),"")</f>
        <v/>
      </c>
      <c r="CN36" s="219">
        <f>IF(V36&lt;W36,CONCATENATE("* El total de Procesados debe ser mayor o igual al total de Reactivos en el grupo de edad ",$V$11),"")</f>
        <v/>
      </c>
      <c r="CO36" s="219">
        <f>IF(X36&lt;Y36,CONCATENATE("* El total de Procesados debe ser mayor o igual al total de Reactivos en el grupo de edad ",$X$11),"")</f>
        <v/>
      </c>
      <c r="CP36" s="219">
        <f>IF(Z36&lt;AA36,CONCATENATE("* El total de Procesados debe ser mayor o igual al total de Reactivos en el grupo de edad ",$Z$11),"")</f>
        <v/>
      </c>
      <c r="CQ36" s="219">
        <f>IF(AB36&lt;AC36,CONCATENATE("* El total de Procesados debe ser mayor o igual al total de Reactivos en el grupo de edad ",$AB$11),"")</f>
        <v/>
      </c>
      <c r="CR36" s="219">
        <f>IF(AD36&lt;AE36,CONCATENATE("* El total de Procesados debe ser mayor o igual al total de Reactivos en el grupo de edad ",$AD$11),"")</f>
        <v/>
      </c>
      <c r="CS36" s="219">
        <f>IF(AF36&lt;AG36,CONCATENATE("* El total de Procesados debe ser mayor o igual al total de Reactivos en el grupo de edad ",$AF$11),"")</f>
        <v/>
      </c>
      <c r="CT36" s="219">
        <f>IF(AH36&lt;AI36,CONCATENATE("* El total de Procesados debe ser mayor o igual al total de Reactivos en el grupo de edad ",$AH$11),"")</f>
        <v/>
      </c>
      <c r="CU36" s="219">
        <f>IF(AJ36&lt;AK36,CONCATENATE("* El total de Procesados debe ser mayor o igual al total de Reactivos en el grupo de edad ",$AJ$11),"")</f>
        <v/>
      </c>
      <c r="CV36" s="219">
        <f>IF(AL36&lt;AM36,CONCATENATE("* El total de Procesados debe ser mayor o igual al total de Reactivos en el grupo de edad ",$AL$11),"")</f>
        <v/>
      </c>
      <c r="CW36" s="219">
        <f>IF(AN36&lt;AO36,CONCATENATE("* El total de Procesados debe ser mayor o igual al total de Reactivos en el grupo de edad ",$AN$11),"")</f>
        <v/>
      </c>
      <c r="CX36" s="219">
        <f>IF(AP36&lt;AQ36,CONCATENATE("* El total de Procesados debe ser mayor o igual al total de Reactivos en el grupo de edad ",$AP$11),"")</f>
        <v/>
      </c>
      <c r="DE36" s="226" t="n"/>
      <c r="DF36" s="378">
        <f>IF(B36&lt;&gt;(AS36),1,0)</f>
        <v/>
      </c>
      <c r="DG36" s="376">
        <f>IF(AND($B36&gt;0,AND(AT36="",AU36="")),1,IF((AT36+AU36)&gt;$B36,1,0))</f>
        <v/>
      </c>
      <c r="DH36" s="376">
        <f>IF(AND($B36&gt;0,AV36=""),1,IF(AV36&gt;$B36,1,0))</f>
        <v/>
      </c>
      <c r="DI36" s="376">
        <f>IF(AND($B36&gt;0,AW36=""),1,IF(AW36&gt;$B36,1,0))</f>
        <v/>
      </c>
      <c r="DJ36" s="220" t="n"/>
      <c r="DK36" s="220" t="n"/>
      <c r="DL36" s="220" t="n"/>
      <c r="DM36" s="220" t="n"/>
      <c r="DN36" s="220" t="n"/>
      <c r="DO36" s="376">
        <f>IF(N36&lt;O36,1,0)</f>
        <v/>
      </c>
      <c r="DP36" s="376">
        <f>IF(P36&lt;Q36,1,0)</f>
        <v/>
      </c>
      <c r="DQ36" s="376">
        <f>IF(R36&lt;S36,1,0)</f>
        <v/>
      </c>
      <c r="DR36" s="376">
        <f>IF($T36&lt;$U36,1,0)</f>
        <v/>
      </c>
      <c r="DS36" s="376">
        <f>IF(V36&lt;W36,1,0)</f>
        <v/>
      </c>
      <c r="DT36" s="376">
        <f>IF(X36&lt;Y36,1,0)</f>
        <v/>
      </c>
      <c r="DU36" s="376">
        <f>IF(Z36&lt;AA36,1,0)</f>
        <v/>
      </c>
      <c r="DV36" s="376">
        <f>IF(AB36&lt;AC36,1,0)</f>
        <v/>
      </c>
      <c r="DW36" s="376">
        <f>IF(AD36&lt;AE36,1,0)</f>
        <v/>
      </c>
      <c r="DX36" s="376">
        <f>IF(AF36&lt;AG36,1,0)</f>
        <v/>
      </c>
      <c r="DY36" s="376">
        <f>IF(AH36&lt;AI36,1,0)</f>
        <v/>
      </c>
      <c r="DZ36" s="376">
        <f>IF(AJ36&lt;AK36,1,0)</f>
        <v/>
      </c>
      <c r="EA36" s="376">
        <f>IF(AL36&lt;AM36,1,0)</f>
        <v/>
      </c>
      <c r="EB36" s="376">
        <f>IF(AN36&lt;AO36,1,0)</f>
        <v/>
      </c>
      <c r="EC36" s="376">
        <f>IF(AP36&lt;AQ36,1,0)</f>
        <v/>
      </c>
    </row>
    <row r="37">
      <c r="A37" s="3119" t="inlineStr">
        <is>
          <t>Gestantes tercer trimestre embarazo</t>
        </is>
      </c>
      <c r="B37" s="3103">
        <f>+N37+P37+R37+T37+V37+X37+Z37+AB37+AD37+AF37+AH37+AJ37+AL37+AN37+AP37</f>
        <v/>
      </c>
      <c r="C37" s="1171">
        <f>+O37+Q37+S37+U37+W37+Y37+AA37+AC37+AE37+AG37+AI37+AK37+AM37+AO37+AQ37</f>
        <v/>
      </c>
      <c r="D37" s="3112" t="n"/>
      <c r="E37" s="3105" t="n"/>
      <c r="F37" s="3104" t="n"/>
      <c r="G37" s="3105" t="n"/>
      <c r="H37" s="3104" t="n"/>
      <c r="I37" s="3105" t="n"/>
      <c r="J37" s="3104" t="n"/>
      <c r="K37" s="3105" t="n"/>
      <c r="L37" s="3104" t="n"/>
      <c r="M37" s="3106" t="n"/>
      <c r="N37" s="3100" t="n"/>
      <c r="O37" s="3107" t="n"/>
      <c r="P37" s="3108" t="n"/>
      <c r="Q37" s="3107" t="n"/>
      <c r="R37" s="3108" t="n"/>
      <c r="S37" s="3107" t="n"/>
      <c r="T37" s="3108" t="n"/>
      <c r="U37" s="3107" t="n"/>
      <c r="V37" s="3108" t="n"/>
      <c r="W37" s="3107" t="n"/>
      <c r="X37" s="3108" t="n"/>
      <c r="Y37" s="3107" t="n"/>
      <c r="Z37" s="3108" t="n"/>
      <c r="AA37" s="3107" t="n"/>
      <c r="AB37" s="3108" t="n"/>
      <c r="AC37" s="3107" t="n"/>
      <c r="AD37" s="3108" t="n"/>
      <c r="AE37" s="3107" t="n"/>
      <c r="AF37" s="3108" t="n"/>
      <c r="AG37" s="3107" t="n"/>
      <c r="AH37" s="3108" t="n"/>
      <c r="AI37" s="3107" t="n"/>
      <c r="AJ37" s="3108" t="n"/>
      <c r="AK37" s="3107" t="n"/>
      <c r="AL37" s="3108" t="n"/>
      <c r="AM37" s="3107" t="n"/>
      <c r="AN37" s="3108" t="n"/>
      <c r="AO37" s="3107" t="n"/>
      <c r="AP37" s="3108" t="n"/>
      <c r="AQ37" s="3098" t="n"/>
      <c r="AR37" s="3097" t="n"/>
      <c r="AS37" s="3098" t="n"/>
      <c r="AT37" s="3099" t="n"/>
      <c r="AU37" s="3098" t="n"/>
      <c r="AV37" s="3660" t="n"/>
      <c r="AW37" s="4008" t="n"/>
      <c r="AX37" s="218">
        <f>$CA37&amp;CB37&amp;CC37&amp;$CD37&amp;CJ37&amp;CK37&amp;CL37&amp;CM37&amp;CN37&amp;CO37&amp;CP37&amp;CQ37&amp;CR37&amp;CS37&amp;CT37&amp;CU37&amp;CV37&amp;CW37&amp;CX37</f>
        <v/>
      </c>
      <c r="CA37" s="219">
        <f>IF(B37&lt;&gt;(AS37)," * La suma de las columnas "&amp;AR$10&amp;""&amp;" DEBE SER IGUAL a los Exámenes Procesados. ","")</f>
        <v/>
      </c>
      <c r="CB37" s="219">
        <f>IF(AND($B37&gt;0,AND(AT37="",AU37="")),"* No olvide ingresar las columnas Trans Masculino o Femenino (*Digite CERO si no tiene). ",IF((AT37+AU37)&gt;$B37,"* El Número de Trans Masculino o Femenino no puede superar el Total Procesados. ",""))</f>
        <v/>
      </c>
      <c r="CC37" s="219">
        <f>IF(AND($B37&gt;0,AV37=""),"* No olvide ingresar la columna "&amp;AV$10&amp;""&amp;" *(Digite CERO si no tiene). ",IF(AV37&gt;$B37," *El Número de "&amp;AV$10&amp;""&amp;" no puede superar el Total Procesados. ",""))</f>
        <v/>
      </c>
      <c r="CD37" s="219">
        <f>IF(AND($B37&gt;0,AW37=""),"* No olvide ingresar la columna "&amp;AW$10&amp;""&amp;" *(Digite CERO si no tiene). ",IF(AW37&gt;$B37," *El Número de "&amp;AW$10&amp;""&amp;" no puede superar el Total Procesados. ",""))</f>
        <v/>
      </c>
      <c r="CE37" s="220" t="n"/>
      <c r="CF37" s="220" t="n"/>
      <c r="CG37" s="220" t="n"/>
      <c r="CH37" s="220" t="n"/>
      <c r="CI37" s="220" t="n"/>
      <c r="CJ37" s="219">
        <f>IF(N37&lt;O37,CONCATENATE("* El total de Procesados debe ser mayor o igual al total de Reactivos en el grupo de edad ",$N$11),"")</f>
        <v/>
      </c>
      <c r="CK37" s="219">
        <f>IF(P37&lt;Q37,CONCATENATE("* El total de Procesados debe ser mayor o igual al total de Reactivos en el grupo de edad ",$P$11),"")</f>
        <v/>
      </c>
      <c r="CL37" s="219">
        <f>IF(R37&lt;S37,CONCATENATE("* El total de Procesados debe ser mayor o igual al total de Reactivos en el grupo de edad ",$R$11),"")</f>
        <v/>
      </c>
      <c r="CM37" s="219">
        <f>IF($T37&lt;$U37,CONCATENATE("* El total de Procesados debe ser mayor o igual al total de Reactivos en el grupo de edad ",$T$11),"")</f>
        <v/>
      </c>
      <c r="CN37" s="219">
        <f>IF(V37&lt;W37,CONCATENATE("* El total de Procesados debe ser mayor o igual al total de Reactivos en el grupo de edad ",$V$11),"")</f>
        <v/>
      </c>
      <c r="CO37" s="219">
        <f>IF(X37&lt;Y37,CONCATENATE("* El total de Procesados debe ser mayor o igual al total de Reactivos en el grupo de edad ",$X$11),"")</f>
        <v/>
      </c>
      <c r="CP37" s="219">
        <f>IF(Z37&lt;AA37,CONCATENATE("* El total de Procesados debe ser mayor o igual al total de Reactivos en el grupo de edad ",$Z$11),"")</f>
        <v/>
      </c>
      <c r="CQ37" s="219">
        <f>IF(AB37&lt;AC37,CONCATENATE("* El total de Procesados debe ser mayor o igual al total de Reactivos en el grupo de edad ",$AB$11),"")</f>
        <v/>
      </c>
      <c r="CR37" s="219">
        <f>IF(AD37&lt;AE37,CONCATENATE("* El total de Procesados debe ser mayor o igual al total de Reactivos en el grupo de edad ",$AD$11),"")</f>
        <v/>
      </c>
      <c r="CS37" s="219">
        <f>IF(AF37&lt;AG37,CONCATENATE("* El total de Procesados debe ser mayor o igual al total de Reactivos en el grupo de edad ",$AF$11),"")</f>
        <v/>
      </c>
      <c r="CT37" s="219">
        <f>IF(AH37&lt;AI37,CONCATENATE("* El total de Procesados debe ser mayor o igual al total de Reactivos en el grupo de edad ",$AH$11),"")</f>
        <v/>
      </c>
      <c r="CU37" s="219">
        <f>IF(AJ37&lt;AK37,CONCATENATE("* El total de Procesados debe ser mayor o igual al total de Reactivos en el grupo de edad ",$AJ$11),"")</f>
        <v/>
      </c>
      <c r="CV37" s="219">
        <f>IF(AL37&lt;AM37,CONCATENATE("* El total de Procesados debe ser mayor o igual al total de Reactivos en el grupo de edad ",$AL$11),"")</f>
        <v/>
      </c>
      <c r="CW37" s="219">
        <f>IF(AN37&lt;AO37,CONCATENATE("* El total de Procesados debe ser mayor o igual al total de Reactivos en el grupo de edad ",$AN$11),"")</f>
        <v/>
      </c>
      <c r="CX37" s="219">
        <f>IF(AP37&lt;AQ37,CONCATENATE("* El total de Procesados debe ser mayor o igual al total de Reactivos en el grupo de edad ",$AP$11),"")</f>
        <v/>
      </c>
      <c r="DE37" s="226" t="n"/>
      <c r="DF37" s="378">
        <f>IF(B37&lt;&gt;(AS37),1,0)</f>
        <v/>
      </c>
      <c r="DG37" s="376">
        <f>IF(AND($B37&gt;0,AND(AT37="",AU37="")),1,IF((AT37+AU37)&gt;$B37,1,0))</f>
        <v/>
      </c>
      <c r="DH37" s="376">
        <f>IF(AND($B37&gt;0,AV37=""),1,IF(AV37&gt;$B37,1,0))</f>
        <v/>
      </c>
      <c r="DI37" s="376">
        <f>IF(AND($B37&gt;0,AW37=""),1,IF(AW37&gt;$B37,1,0))</f>
        <v/>
      </c>
      <c r="DJ37" s="220" t="n"/>
      <c r="DK37" s="220" t="n"/>
      <c r="DL37" s="220" t="n"/>
      <c r="DM37" s="220" t="n"/>
      <c r="DN37" s="220" t="n"/>
      <c r="DO37" s="376">
        <f>IF(N37&lt;O37,1,0)</f>
        <v/>
      </c>
      <c r="DP37" s="376">
        <f>IF(P37&lt;Q37,1,0)</f>
        <v/>
      </c>
      <c r="DQ37" s="376">
        <f>IF(R37&lt;S37,1,0)</f>
        <v/>
      </c>
      <c r="DR37" s="376">
        <f>IF($T37&lt;$U37,1,0)</f>
        <v/>
      </c>
      <c r="DS37" s="376">
        <f>IF(V37&lt;W37,1,0)</f>
        <v/>
      </c>
      <c r="DT37" s="376">
        <f>IF(X37&lt;Y37,1,0)</f>
        <v/>
      </c>
      <c r="DU37" s="376">
        <f>IF(Z37&lt;AA37,1,0)</f>
        <v/>
      </c>
      <c r="DV37" s="376">
        <f>IF(AB37&lt;AC37,1,0)</f>
        <v/>
      </c>
      <c r="DW37" s="376">
        <f>IF(AD37&lt;AE37,1,0)</f>
        <v/>
      </c>
      <c r="DX37" s="376">
        <f>IF(AF37&lt;AG37,1,0)</f>
        <v/>
      </c>
      <c r="DY37" s="376">
        <f>IF(AH37&lt;AI37,1,0)</f>
        <v/>
      </c>
      <c r="DZ37" s="376">
        <f>IF(AJ37&lt;AK37,1,0)</f>
        <v/>
      </c>
      <c r="EA37" s="376">
        <f>IF(AL37&lt;AM37,1,0)</f>
        <v/>
      </c>
      <c r="EB37" s="376">
        <f>IF(AN37&lt;AO37,1,0)</f>
        <v/>
      </c>
      <c r="EC37" s="376">
        <f>IF(AP37&lt;AQ37,1,0)</f>
        <v/>
      </c>
    </row>
    <row r="38">
      <c r="A38" s="3119" t="inlineStr">
        <is>
          <t>Gestantes trimestre embarazo ignorado</t>
        </is>
      </c>
      <c r="B38" s="3103">
        <f>+N38+P38+R38+T38+V38+X38+Z38+AB38+AD38+AF38+AH38+AJ38+AL38+AN38+AP38</f>
        <v/>
      </c>
      <c r="C38" s="1171">
        <f>+O38+Q38+S38+U38+W38+Y38+AA38+AC38+AE38+AG38+AI38+AK38+AM38+AO38+AQ38</f>
        <v/>
      </c>
      <c r="D38" s="3112" t="n"/>
      <c r="E38" s="3105" t="n"/>
      <c r="F38" s="3104" t="n"/>
      <c r="G38" s="3105" t="n"/>
      <c r="H38" s="3104" t="n"/>
      <c r="I38" s="3105" t="n"/>
      <c r="J38" s="3104" t="n"/>
      <c r="K38" s="3105" t="n"/>
      <c r="L38" s="3104" t="n"/>
      <c r="M38" s="3106" t="n"/>
      <c r="N38" s="3100" t="n"/>
      <c r="O38" s="3107" t="n"/>
      <c r="P38" s="3108" t="n"/>
      <c r="Q38" s="3107" t="n"/>
      <c r="R38" s="3108" t="n"/>
      <c r="S38" s="3107" t="n"/>
      <c r="T38" s="3108" t="n"/>
      <c r="U38" s="3107" t="n"/>
      <c r="V38" s="3108" t="n"/>
      <c r="W38" s="3107" t="n"/>
      <c r="X38" s="3108" t="n"/>
      <c r="Y38" s="3107" t="n"/>
      <c r="Z38" s="3108" t="n"/>
      <c r="AA38" s="3107" t="n"/>
      <c r="AB38" s="3108" t="n"/>
      <c r="AC38" s="3107" t="n"/>
      <c r="AD38" s="3108" t="n"/>
      <c r="AE38" s="3107" t="n"/>
      <c r="AF38" s="3108" t="n"/>
      <c r="AG38" s="3107" t="n"/>
      <c r="AH38" s="3108" t="n"/>
      <c r="AI38" s="3107" t="n"/>
      <c r="AJ38" s="3108" t="n"/>
      <c r="AK38" s="3107" t="n"/>
      <c r="AL38" s="3108" t="n"/>
      <c r="AM38" s="3107" t="n"/>
      <c r="AN38" s="3108" t="n"/>
      <c r="AO38" s="3107" t="n"/>
      <c r="AP38" s="3108" t="n"/>
      <c r="AQ38" s="3098" t="n"/>
      <c r="AR38" s="3097" t="n"/>
      <c r="AS38" s="3098" t="n"/>
      <c r="AT38" s="3099" t="n"/>
      <c r="AU38" s="3098" t="n"/>
      <c r="AV38" s="3660" t="n"/>
      <c r="AW38" s="4008" t="n"/>
      <c r="AX38" s="218">
        <f>$CA38&amp;CB38&amp;CC38&amp;$CD38&amp;CJ38&amp;CK38&amp;CL38&amp;CM38&amp;CN38&amp;CO38&amp;CP38&amp;CQ38&amp;CR38&amp;CS38&amp;CT38&amp;CU38&amp;CV38&amp;CW38&amp;CX38</f>
        <v/>
      </c>
      <c r="CA38" s="219">
        <f>IF(B38&lt;&gt;(AS38)," * La suma de las columnas "&amp;AR$10&amp;""&amp;" DEBE SER IGUAL a los Exámenes Procesados. ","")</f>
        <v/>
      </c>
      <c r="CB38" s="219">
        <f>IF(AND($B38&gt;0,AND(AT38="",AU38="")),"* No olvide ingresar las columnas Trans Masculino o Femenino (*Digite CERO si no tiene). ",IF((AT38+AU38)&gt;$B38,"* El Número de Trans Masculino o Femenino no puede superar el Total Procesados. ",""))</f>
        <v/>
      </c>
      <c r="CC38" s="219">
        <f>IF(AND($B38&gt;0,AV38=""),"* No olvide ingresar la columna "&amp;AV$10&amp;""&amp;" *(Digite CERO si no tiene). ",IF(AV38&gt;$B38," *El Número de "&amp;AV$10&amp;""&amp;" no puede superar el Total Procesados. ",""))</f>
        <v/>
      </c>
      <c r="CD38" s="219">
        <f>IF(AND($B38&gt;0,AW38=""),"* No olvide ingresar la columna "&amp;AW$10&amp;""&amp;" *(Digite CERO si no tiene). ",IF(AW38&gt;$B38," *El Número de "&amp;AW$10&amp;""&amp;" no puede superar el Total Procesados. ",""))</f>
        <v/>
      </c>
      <c r="CE38" s="220" t="n"/>
      <c r="CF38" s="220" t="n"/>
      <c r="CG38" s="220" t="n"/>
      <c r="CH38" s="220" t="n"/>
      <c r="CI38" s="220" t="n"/>
      <c r="CJ38" s="219">
        <f>IF(N38&lt;O38,CONCATENATE("* El total de Procesados debe ser mayor o igual al total de Reactivos en el grupo de edad ",$N$11),"")</f>
        <v/>
      </c>
      <c r="CK38" s="219">
        <f>IF(P38&lt;Q38,CONCATENATE("* El total de Procesados debe ser mayor o igual al total de Reactivos en el grupo de edad ",$P$11),"")</f>
        <v/>
      </c>
      <c r="CL38" s="219">
        <f>IF(R38&lt;S38,CONCATENATE("* El total de Procesados debe ser mayor o igual al total de Reactivos en el grupo de edad ",$R$11),"")</f>
        <v/>
      </c>
      <c r="CM38" s="219">
        <f>IF($T38&lt;$U38,CONCATENATE("* El total de Procesados debe ser mayor o igual al total de Reactivos en el grupo de edad ",$T$11),"")</f>
        <v/>
      </c>
      <c r="CN38" s="219">
        <f>IF(V38&lt;W38,CONCATENATE("* El total de Procesados debe ser mayor o igual al total de Reactivos en el grupo de edad ",$V$11),"")</f>
        <v/>
      </c>
      <c r="CO38" s="219">
        <f>IF(X38&lt;Y38,CONCATENATE("* El total de Procesados debe ser mayor o igual al total de Reactivos en el grupo de edad ",$X$11),"")</f>
        <v/>
      </c>
      <c r="CP38" s="219">
        <f>IF(Z38&lt;AA38,CONCATENATE("* El total de Procesados debe ser mayor o igual al total de Reactivos en el grupo de edad ",$Z$11),"")</f>
        <v/>
      </c>
      <c r="CQ38" s="219">
        <f>IF(AB38&lt;AC38,CONCATENATE("* El total de Procesados debe ser mayor o igual al total de Reactivos en el grupo de edad ",$AB$11),"")</f>
        <v/>
      </c>
      <c r="CR38" s="219">
        <f>IF(AD38&lt;AE38,CONCATENATE("* El total de Procesados debe ser mayor o igual al total de Reactivos en el grupo de edad ",$AD$11),"")</f>
        <v/>
      </c>
      <c r="CS38" s="219">
        <f>IF(AF38&lt;AG38,CONCATENATE("* El total de Procesados debe ser mayor o igual al total de Reactivos en el grupo de edad ",$AF$11),"")</f>
        <v/>
      </c>
      <c r="CT38" s="219">
        <f>IF(AH38&lt;AI38,CONCATENATE("* El total de Procesados debe ser mayor o igual al total de Reactivos en el grupo de edad ",$AH$11),"")</f>
        <v/>
      </c>
      <c r="CU38" s="219">
        <f>IF(AJ38&lt;AK38,CONCATENATE("* El total de Procesados debe ser mayor o igual al total de Reactivos en el grupo de edad ",$AJ$11),"")</f>
        <v/>
      </c>
      <c r="CV38" s="219">
        <f>IF(AL38&lt;AM38,CONCATENATE("* El total de Procesados debe ser mayor o igual al total de Reactivos en el grupo de edad ",$AL$11),"")</f>
        <v/>
      </c>
      <c r="CW38" s="219">
        <f>IF(AN38&lt;AO38,CONCATENATE("* El total de Procesados debe ser mayor o igual al total de Reactivos en el grupo de edad ",$AN$11),"")</f>
        <v/>
      </c>
      <c r="CX38" s="219">
        <f>IF(AP38&lt;AQ38,CONCATENATE("* El total de Procesados debe ser mayor o igual al total de Reactivos en el grupo de edad ",$AP$11),"")</f>
        <v/>
      </c>
      <c r="DE38" s="226" t="n"/>
      <c r="DF38" s="378">
        <f>IF(B38&lt;&gt;(AS38),1,0)</f>
        <v/>
      </c>
      <c r="DG38" s="376">
        <f>IF(AND($B38&gt;0,AND(AT38="",AU38="")),1,IF((AT38+AU38)&gt;$B38,1,0))</f>
        <v/>
      </c>
      <c r="DH38" s="376">
        <f>IF(AND($B38&gt;0,AV38=""),1,IF(AV38&gt;$B38,1,0))</f>
        <v/>
      </c>
      <c r="DI38" s="376">
        <f>IF(AND($B38&gt;0,AW38=""),1,IF(AW38&gt;$B38,1,0))</f>
        <v/>
      </c>
      <c r="DJ38" s="220" t="n"/>
      <c r="DK38" s="220" t="n"/>
      <c r="DL38" s="220" t="n"/>
      <c r="DM38" s="220" t="n"/>
      <c r="DN38" s="220" t="n"/>
      <c r="DO38" s="376">
        <f>IF(N38&lt;O38,1,0)</f>
        <v/>
      </c>
      <c r="DP38" s="376">
        <f>IF(P38&lt;Q38,1,0)</f>
        <v/>
      </c>
      <c r="DQ38" s="376">
        <f>IF(R38&lt;S38,1,0)</f>
        <v/>
      </c>
      <c r="DR38" s="376">
        <f>IF($T38&lt;$U38,1,0)</f>
        <v/>
      </c>
      <c r="DS38" s="376">
        <f>IF(V38&lt;W38,1,0)</f>
        <v/>
      </c>
      <c r="DT38" s="376">
        <f>IF(X38&lt;Y38,1,0)</f>
        <v/>
      </c>
      <c r="DU38" s="376">
        <f>IF(Z38&lt;AA38,1,0)</f>
        <v/>
      </c>
      <c r="DV38" s="376">
        <f>IF(AB38&lt;AC38,1,0)</f>
        <v/>
      </c>
      <c r="DW38" s="376">
        <f>IF(AD38&lt;AE38,1,0)</f>
        <v/>
      </c>
      <c r="DX38" s="376">
        <f>IF(AF38&lt;AG38,1,0)</f>
        <v/>
      </c>
      <c r="DY38" s="376">
        <f>IF(AH38&lt;AI38,1,0)</f>
        <v/>
      </c>
      <c r="DZ38" s="376">
        <f>IF(AJ38&lt;AK38,1,0)</f>
        <v/>
      </c>
      <c r="EA38" s="376">
        <f>IF(AL38&lt;AM38,1,0)</f>
        <v/>
      </c>
      <c r="EB38" s="376">
        <f>IF(AN38&lt;AO38,1,0)</f>
        <v/>
      </c>
      <c r="EC38" s="376">
        <f>IF(AP38&lt;AQ38,1,0)</f>
        <v/>
      </c>
    </row>
    <row r="39">
      <c r="A39" s="8538" t="inlineStr">
        <is>
          <t>Gestantes en seguimiento por diagnóstico sífilis</t>
        </is>
      </c>
      <c r="B39" s="3103">
        <f>+N39+P39+R39+T39+V39+X39+Z39+AB39+AD39+AF39+AH39+AJ39+AL39+AN39+AP39</f>
        <v/>
      </c>
      <c r="C39" s="1171">
        <f>+O39+Q39+S39+U39+W39+Y39+AA39+AC39+AE39+AG39+AI39+AK39+AM39+AO39+AQ39</f>
        <v/>
      </c>
      <c r="D39" s="3112" t="n"/>
      <c r="E39" s="3105" t="n"/>
      <c r="F39" s="3104" t="n"/>
      <c r="G39" s="3105" t="n"/>
      <c r="H39" s="3104" t="n"/>
      <c r="I39" s="3105" t="n"/>
      <c r="J39" s="3104" t="n"/>
      <c r="K39" s="3105" t="n"/>
      <c r="L39" s="3104" t="n"/>
      <c r="M39" s="3106" t="n"/>
      <c r="N39" s="3100" t="n"/>
      <c r="O39" s="3107" t="n"/>
      <c r="P39" s="3108" t="n"/>
      <c r="Q39" s="3107" t="n"/>
      <c r="R39" s="3108" t="n"/>
      <c r="S39" s="3107" t="n"/>
      <c r="T39" s="3108" t="n"/>
      <c r="U39" s="3107" t="n"/>
      <c r="V39" s="3108" t="n"/>
      <c r="W39" s="3107" t="n"/>
      <c r="X39" s="3108" t="n"/>
      <c r="Y39" s="3107" t="n"/>
      <c r="Z39" s="3108" t="n"/>
      <c r="AA39" s="3107" t="n"/>
      <c r="AB39" s="3108" t="n"/>
      <c r="AC39" s="3107" t="n"/>
      <c r="AD39" s="3108" t="n"/>
      <c r="AE39" s="3107" t="n"/>
      <c r="AF39" s="3108" t="n"/>
      <c r="AG39" s="3107" t="n"/>
      <c r="AH39" s="3108" t="n"/>
      <c r="AI39" s="3107" t="n"/>
      <c r="AJ39" s="3108" t="n"/>
      <c r="AK39" s="3107" t="n"/>
      <c r="AL39" s="3108" t="n"/>
      <c r="AM39" s="3107" t="n"/>
      <c r="AN39" s="3108" t="n"/>
      <c r="AO39" s="3107" t="n"/>
      <c r="AP39" s="3108" t="n"/>
      <c r="AQ39" s="3098" t="n"/>
      <c r="AR39" s="3097" t="n"/>
      <c r="AS39" s="3098" t="n"/>
      <c r="AT39" s="3099" t="n"/>
      <c r="AU39" s="3098" t="n"/>
      <c r="AV39" s="3660" t="n"/>
      <c r="AW39" s="4008" t="n"/>
      <c r="AX39" s="218">
        <f>$CA39&amp;CB39&amp;CC39&amp;$CD39&amp;CJ39&amp;CK39&amp;CL39&amp;CM39&amp;CN39&amp;CO39&amp;CP39&amp;CQ39&amp;CR39&amp;CS39&amp;CT39&amp;CU39&amp;CV39&amp;CW39&amp;CX39</f>
        <v/>
      </c>
      <c r="CA39" s="219">
        <f>IF(B39&lt;&gt;(AS39)," * La suma de las columnas "&amp;AR$10&amp;""&amp;" DEBE SER IGUAL a los Exámenes Procesados. ","")</f>
        <v/>
      </c>
      <c r="CB39" s="219">
        <f>IF(AND($B39&gt;0,AND(AT39="",AU39="")),"* No olvide ingresar las columnas Trans Masculino o Femenino (*Digite CERO si no tiene). ",IF((AT39+AU39)&gt;$B39,"* El Número de Trans Masculino o Femenino no puede superar el Total Procesados. ",""))</f>
        <v/>
      </c>
      <c r="CC39" s="219">
        <f>IF(AND($B39&gt;0,AV39=""),"* No olvide ingresar la columna "&amp;AV$10&amp;""&amp;" *(Digite CERO si no tiene). ",IF(AV39&gt;$B39," *El Número de "&amp;AV$10&amp;""&amp;" no puede superar el Total Procesados. ",""))</f>
        <v/>
      </c>
      <c r="CD39" s="219">
        <f>IF(AND($B39&gt;0,AW39=""),"* No olvide ingresar la columna "&amp;AW$10&amp;""&amp;" *(Digite CERO si no tiene). ",IF(AW39&gt;$B39," *El Número de "&amp;AW$10&amp;""&amp;" no puede superar el Total Procesados. ",""))</f>
        <v/>
      </c>
      <c r="CE39" s="220" t="n"/>
      <c r="CF39" s="220" t="n"/>
      <c r="CG39" s="220" t="n"/>
      <c r="CH39" s="220" t="n"/>
      <c r="CI39" s="220" t="n"/>
      <c r="CJ39" s="219">
        <f>IF(N39&lt;O39,CONCATENATE("* El total de Procesados debe ser mayor o igual al total de Reactivos en el grupo de edad ",$N$11),"")</f>
        <v/>
      </c>
      <c r="CK39" s="219">
        <f>IF(P39&lt;Q39,CONCATENATE("* El total de Procesados debe ser mayor o igual al total de Reactivos en el grupo de edad ",$P$11),"")</f>
        <v/>
      </c>
      <c r="CL39" s="219">
        <f>IF(R39&lt;S39,CONCATENATE("* El total de Procesados debe ser mayor o igual al total de Reactivos en el grupo de edad ",$R$11),"")</f>
        <v/>
      </c>
      <c r="CM39" s="219">
        <f>IF($T39&lt;$U39,CONCATENATE("* El total de Procesados debe ser mayor o igual al total de Reactivos en el grupo de edad ",$T$11),"")</f>
        <v/>
      </c>
      <c r="CN39" s="219">
        <f>IF(V39&lt;W39,CONCATENATE("* El total de Procesados debe ser mayor o igual al total de Reactivos en el grupo de edad ",$V$11),"")</f>
        <v/>
      </c>
      <c r="CO39" s="219">
        <f>IF(X39&lt;Y39,CONCATENATE("* El total de Procesados debe ser mayor o igual al total de Reactivos en el grupo de edad ",$X$11),"")</f>
        <v/>
      </c>
      <c r="CP39" s="219">
        <f>IF(Z39&lt;AA39,CONCATENATE("* El total de Procesados debe ser mayor o igual al total de Reactivos en el grupo de edad ",$Z$11),"")</f>
        <v/>
      </c>
      <c r="CQ39" s="219">
        <f>IF(AB39&lt;AC39,CONCATENATE("* El total de Procesados debe ser mayor o igual al total de Reactivos en el grupo de edad ",$AB$11),"")</f>
        <v/>
      </c>
      <c r="CR39" s="219">
        <f>IF(AD39&lt;AE39,CONCATENATE("* El total de Procesados debe ser mayor o igual al total de Reactivos en el grupo de edad ",$AD$11),"")</f>
        <v/>
      </c>
      <c r="CS39" s="219">
        <f>IF(AF39&lt;AG39,CONCATENATE("* El total de Procesados debe ser mayor o igual al total de Reactivos en el grupo de edad ",$AF$11),"")</f>
        <v/>
      </c>
      <c r="CT39" s="219">
        <f>IF(AH39&lt;AI39,CONCATENATE("* El total de Procesados debe ser mayor o igual al total de Reactivos en el grupo de edad ",$AH$11),"")</f>
        <v/>
      </c>
      <c r="CU39" s="219">
        <f>IF(AJ39&lt;AK39,CONCATENATE("* El total de Procesados debe ser mayor o igual al total de Reactivos en el grupo de edad ",$AJ$11),"")</f>
        <v/>
      </c>
      <c r="CV39" s="219">
        <f>IF(AL39&lt;AM39,CONCATENATE("* El total de Procesados debe ser mayor o igual al total de Reactivos en el grupo de edad ",$AL$11),"")</f>
        <v/>
      </c>
      <c r="CW39" s="219">
        <f>IF(AN39&lt;AO39,CONCATENATE("* El total de Procesados debe ser mayor o igual al total de Reactivos en el grupo de edad ",$AN$11),"")</f>
        <v/>
      </c>
      <c r="CX39" s="219">
        <f>IF(AP39&lt;AQ39,CONCATENATE("* El total de Procesados debe ser mayor o igual al total de Reactivos en el grupo de edad ",$AP$11),"")</f>
        <v/>
      </c>
      <c r="DE39" s="226" t="n"/>
      <c r="DF39" s="378">
        <f>IF(B39&lt;&gt;(AS39),1,0)</f>
        <v/>
      </c>
      <c r="DG39" s="376">
        <f>IF(AND($B39&gt;0,AND(AT39="",AU39="")),1,IF((AT39+AU39)&gt;$B39,1,0))</f>
        <v/>
      </c>
      <c r="DH39" s="376">
        <f>IF(AND($B39&gt;0,AV39=""),1,IF(AV39&gt;$B39,1,0))</f>
        <v/>
      </c>
      <c r="DI39" s="376">
        <f>IF(AND($B39&gt;0,AW39=""),1,IF(AW39&gt;$B39,1,0))</f>
        <v/>
      </c>
      <c r="DJ39" s="220" t="n"/>
      <c r="DK39" s="220" t="n"/>
      <c r="DL39" s="220" t="n"/>
      <c r="DM39" s="220" t="n"/>
      <c r="DN39" s="220" t="n"/>
      <c r="DO39" s="376">
        <f>IF(N39&lt;O39,1,0)</f>
        <v/>
      </c>
      <c r="DP39" s="376">
        <f>IF(P39&lt;Q39,1,0)</f>
        <v/>
      </c>
      <c r="DQ39" s="376">
        <f>IF(R39&lt;S39,1,0)</f>
        <v/>
      </c>
      <c r="DR39" s="376">
        <f>IF($T39&lt;$U39,1,0)</f>
        <v/>
      </c>
      <c r="DS39" s="376">
        <f>IF(V39&lt;W39,1,0)</f>
        <v/>
      </c>
      <c r="DT39" s="376">
        <f>IF(X39&lt;Y39,1,0)</f>
        <v/>
      </c>
      <c r="DU39" s="376">
        <f>IF(Z39&lt;AA39,1,0)</f>
        <v/>
      </c>
      <c r="DV39" s="376">
        <f>IF(AB39&lt;AC39,1,0)</f>
        <v/>
      </c>
      <c r="DW39" s="376">
        <f>IF(AD39&lt;AE39,1,0)</f>
        <v/>
      </c>
      <c r="DX39" s="376">
        <f>IF(AF39&lt;AG39,1,0)</f>
        <v/>
      </c>
      <c r="DY39" s="376">
        <f>IF(AH39&lt;AI39,1,0)</f>
        <v/>
      </c>
      <c r="DZ39" s="376">
        <f>IF(AJ39&lt;AK39,1,0)</f>
        <v/>
      </c>
      <c r="EA39" s="376">
        <f>IF(AL39&lt;AM39,1,0)</f>
        <v/>
      </c>
      <c r="EB39" s="376">
        <f>IF(AN39&lt;AO39,1,0)</f>
        <v/>
      </c>
      <c r="EC39" s="376">
        <f>IF(AP39&lt;AQ39,1,0)</f>
        <v/>
      </c>
    </row>
    <row r="40">
      <c r="A40" s="8538" t="inlineStr">
        <is>
          <t>Pareja de gestante con serología reactiva</t>
        </is>
      </c>
      <c r="B40" s="3103">
        <f>+N40+P40+R40+T40+V40+X40+Z40+AB40+AD40+AF40+AH40+AJ40+AL40+AN40+AP40</f>
        <v/>
      </c>
      <c r="C40" s="1171">
        <f>+O40+Q40+S40+U40+W40+Y40+AA40+AC40+AE40+AG40+AI40+AK40+AM40+AO40+AQ40</f>
        <v/>
      </c>
      <c r="D40" s="3112" t="n"/>
      <c r="E40" s="3105" t="n"/>
      <c r="F40" s="3104" t="n"/>
      <c r="G40" s="3105" t="n"/>
      <c r="H40" s="3104" t="n"/>
      <c r="I40" s="3105" t="n"/>
      <c r="J40" s="3104" t="n"/>
      <c r="K40" s="3105" t="n"/>
      <c r="L40" s="3104" t="n"/>
      <c r="M40" s="3106" t="n"/>
      <c r="N40" s="3100" t="n"/>
      <c r="O40" s="3107" t="n"/>
      <c r="P40" s="3108" t="n"/>
      <c r="Q40" s="3107" t="n"/>
      <c r="R40" s="3108" t="n"/>
      <c r="S40" s="3107" t="n"/>
      <c r="T40" s="3108" t="n"/>
      <c r="U40" s="3107" t="n"/>
      <c r="V40" s="3108" t="n"/>
      <c r="W40" s="3107" t="n"/>
      <c r="X40" s="3108" t="n"/>
      <c r="Y40" s="3107" t="n"/>
      <c r="Z40" s="3108" t="n"/>
      <c r="AA40" s="3107" t="n"/>
      <c r="AB40" s="3108" t="n"/>
      <c r="AC40" s="3107" t="n"/>
      <c r="AD40" s="3108" t="n"/>
      <c r="AE40" s="3107" t="n"/>
      <c r="AF40" s="3108" t="n"/>
      <c r="AG40" s="3107" t="n"/>
      <c r="AH40" s="3108" t="n"/>
      <c r="AI40" s="3107" t="n"/>
      <c r="AJ40" s="3108" t="n"/>
      <c r="AK40" s="3107" t="n"/>
      <c r="AL40" s="3108" t="n"/>
      <c r="AM40" s="3107" t="n"/>
      <c r="AN40" s="3108" t="n"/>
      <c r="AO40" s="3107" t="n"/>
      <c r="AP40" s="3108" t="n"/>
      <c r="AQ40" s="3098" t="n"/>
      <c r="AR40" s="3100" t="n"/>
      <c r="AS40" s="3098" t="n"/>
      <c r="AT40" s="3099" t="n"/>
      <c r="AU40" s="3098" t="n"/>
      <c r="AV40" s="3660" t="n"/>
      <c r="AW40" s="4008" t="n"/>
      <c r="AX40" s="218">
        <f>$CA40&amp;CB40&amp;CC40&amp;$CD40&amp;CJ40&amp;CK40&amp;CL40&amp;CM40&amp;CN40&amp;CO40&amp;CP40&amp;CQ40&amp;CR40&amp;CS40&amp;CT40&amp;CU40&amp;CV40&amp;CW40&amp;CX40</f>
        <v/>
      </c>
      <c r="CA40" s="219">
        <f>IF(B40&lt;&gt;(AS40+AR40)," * La suma de las columnas "&amp;AR$10&amp;""&amp;" DEBE SER IGUAL a los Exámenes Procesados. ","")</f>
        <v/>
      </c>
      <c r="CB40" s="219">
        <f>IF(AND($B40&gt;0,AND(AT40="",AU40="")),"* No olvide ingresar las columnas Trans Masculino o Femenino (*Digite CERO si no tiene). ",IF((AT40+AU40)&gt;$B40,"* El Número de Trans Masculino o Femenino no puede superar el Total Procesados. ",""))</f>
        <v/>
      </c>
      <c r="CC40" s="219">
        <f>IF(AND($B40&gt;0,AV40=""),"* No olvide ingresar la columna "&amp;AV$10&amp;""&amp;" *(Digite CERO si no tiene). ",IF(AV40&gt;$B40," *El Número de "&amp;AV$10&amp;""&amp;" no puede superar el Total Procesados. ",""))</f>
        <v/>
      </c>
      <c r="CD40" s="219">
        <f>IF(AND($B40&gt;0,AW40=""),"* No olvide ingresar la columna "&amp;AW$10&amp;""&amp;" *(Digite CERO si no tiene). ",IF(AW40&gt;$B40," *El Número de "&amp;AW$10&amp;""&amp;" no puede superar el Total Procesados. ",""))</f>
        <v/>
      </c>
      <c r="CE40" s="220" t="n"/>
      <c r="CF40" s="220" t="n"/>
      <c r="CG40" s="220" t="n"/>
      <c r="CH40" s="220" t="n"/>
      <c r="CI40" s="220" t="n"/>
      <c r="CJ40" s="219">
        <f>IF(N40&lt;O40,CONCATENATE("* El total de Procesados debe ser mayor o igual al total de Reactivos en el grupo de edad ",$N$11),"")</f>
        <v/>
      </c>
      <c r="CK40" s="219">
        <f>IF(P40&lt;Q40,CONCATENATE("* El total de Procesados debe ser mayor o igual al total de Reactivos en el grupo de edad ",$P$11),"")</f>
        <v/>
      </c>
      <c r="CL40" s="219">
        <f>IF(R40&lt;S40,CONCATENATE("* El total de Procesados debe ser mayor o igual al total de Reactivos en el grupo de edad ",$R$11),"")</f>
        <v/>
      </c>
      <c r="CM40" s="219">
        <f>IF($T40&lt;$U40,CONCATENATE("* El total de Procesados debe ser mayor o igual al total de Reactivos en el grupo de edad ",$T$11),"")</f>
        <v/>
      </c>
      <c r="CN40" s="219">
        <f>IF(V40&lt;W40,CONCATENATE("* El total de Procesados debe ser mayor o igual al total de Reactivos en el grupo de edad ",$V$11),"")</f>
        <v/>
      </c>
      <c r="CO40" s="219">
        <f>IF(X40&lt;Y40,CONCATENATE("* El total de Procesados debe ser mayor o igual al total de Reactivos en el grupo de edad ",$X$11),"")</f>
        <v/>
      </c>
      <c r="CP40" s="219">
        <f>IF(Z40&lt;AA40,CONCATENATE("* El total de Procesados debe ser mayor o igual al total de Reactivos en el grupo de edad ",$Z$11),"")</f>
        <v/>
      </c>
      <c r="CQ40" s="219">
        <f>IF(AB40&lt;AC40,CONCATENATE("* El total de Procesados debe ser mayor o igual al total de Reactivos en el grupo de edad ",$AB$11),"")</f>
        <v/>
      </c>
      <c r="CR40" s="219">
        <f>IF(AD40&lt;AE40,CONCATENATE("* El total de Procesados debe ser mayor o igual al total de Reactivos en el grupo de edad ",$AD$11),"")</f>
        <v/>
      </c>
      <c r="CS40" s="219">
        <f>IF(AF40&lt;AG40,CONCATENATE("* El total de Procesados debe ser mayor o igual al total de Reactivos en el grupo de edad ",$AF$11),"")</f>
        <v/>
      </c>
      <c r="CT40" s="219">
        <f>IF(AH40&lt;AI40,CONCATENATE("* El total de Procesados debe ser mayor o igual al total de Reactivos en el grupo de edad ",$AH$11),"")</f>
        <v/>
      </c>
      <c r="CU40" s="219">
        <f>IF(AJ40&lt;AK40,CONCATENATE("* El total de Procesados debe ser mayor o igual al total de Reactivos en el grupo de edad ",$AJ$11),"")</f>
        <v/>
      </c>
      <c r="CV40" s="219">
        <f>IF(AL40&lt;AM40,CONCATENATE("* El total de Procesados debe ser mayor o igual al total de Reactivos en el grupo de edad ",$AL$11),"")</f>
        <v/>
      </c>
      <c r="CW40" s="219">
        <f>IF(AN40&lt;AO40,CONCATENATE("* El total de Procesados debe ser mayor o igual al total de Reactivos en el grupo de edad ",$AN$11),"")</f>
        <v/>
      </c>
      <c r="CX40" s="219">
        <f>IF(AP40&lt;AQ40,CONCATENATE("* El total de Procesados debe ser mayor o igual al total de Reactivos en el grupo de edad ",$AP$11),"")</f>
        <v/>
      </c>
      <c r="DE40" s="226" t="n"/>
      <c r="DF40" s="378">
        <f>IF(B40&lt;&gt;(AS40+AR40),1,0)</f>
        <v/>
      </c>
      <c r="DG40" s="376">
        <f>IF(AND($B40&gt;0,AND(AT40="",AU40="")),1,IF((AT40+AU40)&gt;$B40,1,0))</f>
        <v/>
      </c>
      <c r="DH40" s="376">
        <f>IF(AND($B40&gt;0,AV40=""),1,IF(AV40&gt;$B40,1,0))</f>
        <v/>
      </c>
      <c r="DI40" s="376">
        <f>IF(AND($B40&gt;0,AW40=""),1,IF(AW40&gt;$B40,1,0))</f>
        <v/>
      </c>
      <c r="DJ40" s="220" t="n"/>
      <c r="DK40" s="220" t="n"/>
      <c r="DL40" s="220" t="n"/>
      <c r="DM40" s="220" t="n"/>
      <c r="DN40" s="220" t="n"/>
      <c r="DO40" s="376">
        <f>IF(N40&lt;O40,1,0)</f>
        <v/>
      </c>
      <c r="DP40" s="376">
        <f>IF(P40&lt;Q40,1,0)</f>
        <v/>
      </c>
      <c r="DQ40" s="376">
        <f>IF(R40&lt;S40,1,0)</f>
        <v/>
      </c>
      <c r="DR40" s="376">
        <f>IF($T40&lt;$U40,1,0)</f>
        <v/>
      </c>
      <c r="DS40" s="376">
        <f>IF(V40&lt;W40,1,0)</f>
        <v/>
      </c>
      <c r="DT40" s="376">
        <f>IF(X40&lt;Y40,1,0)</f>
        <v/>
      </c>
      <c r="DU40" s="376">
        <f>IF(Z40&lt;AA40,1,0)</f>
        <v/>
      </c>
      <c r="DV40" s="376">
        <f>IF(AB40&lt;AC40,1,0)</f>
        <v/>
      </c>
      <c r="DW40" s="376">
        <f>IF(AD40&lt;AE40,1,0)</f>
        <v/>
      </c>
      <c r="DX40" s="376">
        <f>IF(AF40&lt;AG40,1,0)</f>
        <v/>
      </c>
      <c r="DY40" s="376">
        <f>IF(AH40&lt;AI40,1,0)</f>
        <v/>
      </c>
      <c r="DZ40" s="376">
        <f>IF(AJ40&lt;AK40,1,0)</f>
        <v/>
      </c>
      <c r="EA40" s="376">
        <f>IF(AL40&lt;AM40,1,0)</f>
        <v/>
      </c>
      <c r="EB40" s="376">
        <f>IF(AN40&lt;AO40,1,0)</f>
        <v/>
      </c>
      <c r="EC40" s="376">
        <f>IF(AP40&lt;AQ40,1,0)</f>
        <v/>
      </c>
    </row>
    <row r="41">
      <c r="A41" s="8538" t="inlineStr">
        <is>
          <t>Mujeres que ingresan a maternidad por parto</t>
        </is>
      </c>
      <c r="B41" s="3103">
        <f>+N41+P41+R41+T41+V41+X41+Z41+AB41+AD41+AF41+AH41+AJ41+AL41+AN41+AP41</f>
        <v/>
      </c>
      <c r="C41" s="1171">
        <f>+O41+Q41+S41+U41+W41+Y41+AA41+AC41+AE41+AG41+AI41+AK41+AM41+AO41+AQ41</f>
        <v/>
      </c>
      <c r="D41" s="3112" t="n"/>
      <c r="E41" s="3105" t="n"/>
      <c r="F41" s="3104" t="n"/>
      <c r="G41" s="3105" t="n"/>
      <c r="H41" s="3104" t="n"/>
      <c r="I41" s="3105" t="n"/>
      <c r="J41" s="3104" t="n"/>
      <c r="K41" s="3105" t="n"/>
      <c r="L41" s="3104" t="n"/>
      <c r="M41" s="3106" t="n"/>
      <c r="N41" s="3100" t="n"/>
      <c r="O41" s="3107" t="n"/>
      <c r="P41" s="3108" t="n"/>
      <c r="Q41" s="3107" t="n"/>
      <c r="R41" s="3108" t="n"/>
      <c r="S41" s="3107" t="n"/>
      <c r="T41" s="3108" t="n"/>
      <c r="U41" s="3107" t="n"/>
      <c r="V41" s="3108" t="n"/>
      <c r="W41" s="3107" t="n"/>
      <c r="X41" s="3108" t="n"/>
      <c r="Y41" s="3107" t="n"/>
      <c r="Z41" s="3108" t="n"/>
      <c r="AA41" s="3107" t="n"/>
      <c r="AB41" s="3108" t="n"/>
      <c r="AC41" s="3107" t="n"/>
      <c r="AD41" s="3108" t="n"/>
      <c r="AE41" s="3107" t="n"/>
      <c r="AF41" s="3108" t="n"/>
      <c r="AG41" s="3107" t="n"/>
      <c r="AH41" s="3108" t="n"/>
      <c r="AI41" s="3107" t="n"/>
      <c r="AJ41" s="3108" t="n"/>
      <c r="AK41" s="3107" t="n"/>
      <c r="AL41" s="3108" t="n"/>
      <c r="AM41" s="3107" t="n"/>
      <c r="AN41" s="3108" t="n"/>
      <c r="AO41" s="3107" t="n"/>
      <c r="AP41" s="3108" t="n"/>
      <c r="AQ41" s="3098" t="n"/>
      <c r="AR41" s="3097" t="n"/>
      <c r="AS41" s="3098" t="n"/>
      <c r="AT41" s="3099" t="n"/>
      <c r="AU41" s="3098" t="n"/>
      <c r="AV41" s="3660" t="n"/>
      <c r="AW41" s="4008" t="n"/>
      <c r="AX41" s="218">
        <f>$CA41&amp;CB41&amp;CC41&amp;$CD41&amp;CJ41&amp;CK41&amp;CL41&amp;CM41&amp;CN41&amp;CO41&amp;CP41&amp;CQ41&amp;CR41&amp;CS41&amp;CT41&amp;CU41&amp;CV41&amp;CW41&amp;CX41</f>
        <v/>
      </c>
      <c r="CA41" s="219">
        <f>IF(B41&lt;&gt;(AS41)," * La suma de las columnas "&amp;AR$10&amp;""&amp;" DEBE SER IGUAL a los Exámenes Procesados. ","")</f>
        <v/>
      </c>
      <c r="CB41" s="219">
        <f>IF(AND($B41&gt;0,AND(AT41="",AU41="")),"* No olvide ingresar las columnas Trans Masculino o Femenino (*Digite CERO si no tiene). ",IF((AT41+AU41)&gt;$B41,"* El Número de Trans Masculino o Femenino no puede superar el Total Procesados. ",""))</f>
        <v/>
      </c>
      <c r="CC41" s="219">
        <f>IF(AND($B41&gt;0,AV41=""),"* No olvide ingresar la columna "&amp;AV$10&amp;""&amp;" *(Digite CERO si no tiene). ",IF(AV41&gt;$B41," *El Número de "&amp;AV$10&amp;""&amp;" no puede superar el Total Procesados. ",""))</f>
        <v/>
      </c>
      <c r="CD41" s="219">
        <f>IF(AND($B41&gt;0,AW41=""),"* No olvide ingresar la columna "&amp;AW$10&amp;""&amp;" *(Digite CERO si no tiene). ",IF(AW41&gt;$B41," *El Número de "&amp;AW$10&amp;""&amp;" no puede superar el Total Procesados. ",""))</f>
        <v/>
      </c>
      <c r="CE41" s="220" t="n"/>
      <c r="CF41" s="220" t="n"/>
      <c r="CG41" s="220" t="n"/>
      <c r="CH41" s="220" t="n"/>
      <c r="CI41" s="220" t="n"/>
      <c r="CJ41" s="219">
        <f>IF(N41&lt;O41,CONCATENATE("* El total de Procesados debe ser mayor o igual al total de Reactivos en el grupo de edad ",$N$11),"")</f>
        <v/>
      </c>
      <c r="CK41" s="219">
        <f>IF(P41&lt;Q41,CONCATENATE("* El total de Procesados debe ser mayor o igual al total de Reactivos en el grupo de edad ",$P$11),"")</f>
        <v/>
      </c>
      <c r="CL41" s="219">
        <f>IF(R41&lt;S41,CONCATENATE("* El total de Procesados debe ser mayor o igual al total de Reactivos en el grupo de edad ",$R$11),"")</f>
        <v/>
      </c>
      <c r="CM41" s="219">
        <f>IF($T41&lt;$U41,CONCATENATE("* El total de Procesados debe ser mayor o igual al total de Reactivos en el grupo de edad ",$T$11),"")</f>
        <v/>
      </c>
      <c r="CN41" s="219">
        <f>IF(V41&lt;W41,CONCATENATE("* El total de Procesados debe ser mayor o igual al total de Reactivos en el grupo de edad ",$V$11),"")</f>
        <v/>
      </c>
      <c r="CO41" s="219">
        <f>IF(X41&lt;Y41,CONCATENATE("* El total de Procesados debe ser mayor o igual al total de Reactivos en el grupo de edad ",$X$11),"")</f>
        <v/>
      </c>
      <c r="CP41" s="219">
        <f>IF(Z41&lt;AA41,CONCATENATE("* El total de Procesados debe ser mayor o igual al total de Reactivos en el grupo de edad ",$Z$11),"")</f>
        <v/>
      </c>
      <c r="CQ41" s="219">
        <f>IF(AB41&lt;AC41,CONCATENATE("* El total de Procesados debe ser mayor o igual al total de Reactivos en el grupo de edad ",$AB$11),"")</f>
        <v/>
      </c>
      <c r="CR41" s="219">
        <f>IF(AD41&lt;AE41,CONCATENATE("* El total de Procesados debe ser mayor o igual al total de Reactivos en el grupo de edad ",$AD$11),"")</f>
        <v/>
      </c>
      <c r="CS41" s="219">
        <f>IF(AF41&lt;AG41,CONCATENATE("* El total de Procesados debe ser mayor o igual al total de Reactivos en el grupo de edad ",$AF$11),"")</f>
        <v/>
      </c>
      <c r="CT41" s="219">
        <f>IF(AH41&lt;AI41,CONCATENATE("* El total de Procesados debe ser mayor o igual al total de Reactivos en el grupo de edad ",$AH$11),"")</f>
        <v/>
      </c>
      <c r="CU41" s="219">
        <f>IF(AJ41&lt;AK41,CONCATENATE("* El total de Procesados debe ser mayor o igual al total de Reactivos en el grupo de edad ",$AJ$11),"")</f>
        <v/>
      </c>
      <c r="CV41" s="219">
        <f>IF(AL41&lt;AM41,CONCATENATE("* El total de Procesados debe ser mayor o igual al total de Reactivos en el grupo de edad ",$AL$11),"")</f>
        <v/>
      </c>
      <c r="CW41" s="219">
        <f>IF(AN41&lt;AO41,CONCATENATE("* El total de Procesados debe ser mayor o igual al total de Reactivos en el grupo de edad ",$AN$11),"")</f>
        <v/>
      </c>
      <c r="CX41" s="219">
        <f>IF(AP41&lt;AQ41,CONCATENATE("* El total de Procesados debe ser mayor o igual al total de Reactivos en el grupo de edad ",$AP$11),"")</f>
        <v/>
      </c>
      <c r="DE41" s="226" t="n"/>
      <c r="DF41" s="378">
        <f>IF(B41&lt;&gt;(AS41),1,0)</f>
        <v/>
      </c>
      <c r="DG41" s="376">
        <f>IF(AND($B41&gt;0,AND(AT41="",AU41="")),1,IF((AT41+AU41)&gt;$B41,1,0))</f>
        <v/>
      </c>
      <c r="DH41" s="376">
        <f>IF(AND($B41&gt;0,AV41=""),1,IF(AV41&gt;$B41,1,0))</f>
        <v/>
      </c>
      <c r="DI41" s="376">
        <f>IF(AND($B41&gt;0,AW41=""),1,IF(AW41&gt;$B41,1,0))</f>
        <v/>
      </c>
      <c r="DJ41" s="220" t="n"/>
      <c r="DK41" s="220" t="n"/>
      <c r="DL41" s="220" t="n"/>
      <c r="DM41" s="220" t="n"/>
      <c r="DN41" s="220" t="n"/>
      <c r="DO41" s="376">
        <f>IF(N41&lt;O41,1,0)</f>
        <v/>
      </c>
      <c r="DP41" s="376">
        <f>IF(P41&lt;Q41,1,0)</f>
        <v/>
      </c>
      <c r="DQ41" s="376">
        <f>IF(R41&lt;S41,1,0)</f>
        <v/>
      </c>
      <c r="DR41" s="376">
        <f>IF($T41&lt;$U41,1,0)</f>
        <v/>
      </c>
      <c r="DS41" s="376">
        <f>IF(V41&lt;W41,1,0)</f>
        <v/>
      </c>
      <c r="DT41" s="376">
        <f>IF(X41&lt;Y41,1,0)</f>
        <v/>
      </c>
      <c r="DU41" s="376">
        <f>IF(Z41&lt;AA41,1,0)</f>
        <v/>
      </c>
      <c r="DV41" s="376">
        <f>IF(AB41&lt;AC41,1,0)</f>
        <v/>
      </c>
      <c r="DW41" s="376">
        <f>IF(AD41&lt;AE41,1,0)</f>
        <v/>
      </c>
      <c r="DX41" s="376">
        <f>IF(AF41&lt;AG41,1,0)</f>
        <v/>
      </c>
      <c r="DY41" s="376">
        <f>IF(AH41&lt;AI41,1,0)</f>
        <v/>
      </c>
      <c r="DZ41" s="376">
        <f>IF(AJ41&lt;AK41,1,0)</f>
        <v/>
      </c>
      <c r="EA41" s="376">
        <f>IF(AL41&lt;AM41,1,0)</f>
        <v/>
      </c>
      <c r="EB41" s="376">
        <f>IF(AN41&lt;AO41,1,0)</f>
        <v/>
      </c>
      <c r="EC41" s="376">
        <f>IF(AP41&lt;AQ41,1,0)</f>
        <v/>
      </c>
    </row>
    <row r="42">
      <c r="A42" s="3119" t="inlineStr">
        <is>
          <t>Mujeres que ingresan por aborto</t>
        </is>
      </c>
      <c r="B42" s="3103">
        <f>+N42+P42+R42+T42+V42+X42+Z42+AB42+AD42+AF42+AH42+AJ42+AL42+AN42+AP42</f>
        <v/>
      </c>
      <c r="C42" s="1171">
        <f>+O42+Q42+S42+U42+W42+Y42+AA42+AC42+AE42+AG42+AI42+AK42+AM42+AO42+AQ42</f>
        <v/>
      </c>
      <c r="D42" s="3112" t="n"/>
      <c r="E42" s="3105" t="n"/>
      <c r="F42" s="3104" t="n"/>
      <c r="G42" s="3105" t="n"/>
      <c r="H42" s="3104" t="n"/>
      <c r="I42" s="3105" t="n"/>
      <c r="J42" s="3104" t="n"/>
      <c r="K42" s="3105" t="n"/>
      <c r="L42" s="3104" t="n"/>
      <c r="M42" s="3106" t="n"/>
      <c r="N42" s="3100" t="n"/>
      <c r="O42" s="3107" t="n"/>
      <c r="P42" s="3108" t="n"/>
      <c r="Q42" s="3107" t="n"/>
      <c r="R42" s="3108" t="n"/>
      <c r="S42" s="3107" t="n"/>
      <c r="T42" s="3108" t="n"/>
      <c r="U42" s="3107" t="n"/>
      <c r="V42" s="3108" t="n"/>
      <c r="W42" s="3107" t="n"/>
      <c r="X42" s="3108" t="n"/>
      <c r="Y42" s="3107" t="n"/>
      <c r="Z42" s="3108" t="n"/>
      <c r="AA42" s="3107" t="n"/>
      <c r="AB42" s="3108" t="n"/>
      <c r="AC42" s="3107" t="n"/>
      <c r="AD42" s="3108" t="n"/>
      <c r="AE42" s="3107" t="n"/>
      <c r="AF42" s="3108" t="n"/>
      <c r="AG42" s="3107" t="n"/>
      <c r="AH42" s="3108" t="n"/>
      <c r="AI42" s="3107" t="n"/>
      <c r="AJ42" s="3108" t="n"/>
      <c r="AK42" s="3107" t="n"/>
      <c r="AL42" s="3108" t="n"/>
      <c r="AM42" s="3107" t="n"/>
      <c r="AN42" s="3108" t="n"/>
      <c r="AO42" s="3107" t="n"/>
      <c r="AP42" s="3108" t="n"/>
      <c r="AQ42" s="3098" t="n"/>
      <c r="AR42" s="3097" t="n"/>
      <c r="AS42" s="3098" t="n"/>
      <c r="AT42" s="3099" t="n"/>
      <c r="AU42" s="3098" t="n"/>
      <c r="AV42" s="3660" t="n"/>
      <c r="AW42" s="4008" t="n"/>
      <c r="AX42" s="218">
        <f>$CA42&amp;CB42&amp;CC42&amp;$CD42&amp;CJ42&amp;CK42&amp;CL42&amp;CM42&amp;CN42&amp;CO42&amp;CP42&amp;CQ42&amp;CR42&amp;CS42&amp;CT42&amp;CU42&amp;CV42&amp;CW42&amp;CX42</f>
        <v/>
      </c>
      <c r="CA42" s="219">
        <f>IF(B42&lt;&gt;(AS42)," * La suma de las columnas "&amp;AR$10&amp;""&amp;" DEBE SER IGUAL a los Exámenes Procesados. ","")</f>
        <v/>
      </c>
      <c r="CB42" s="219">
        <f>IF(AND($B42&gt;0,AND(AT42="",AU42="")),"* No olvide ingresar las columnas Trans Masculino o Femenino (*Digite CERO si no tiene). ",IF((AT42+AU42)&gt;$B42,"* El Número de Trans Masculino o Femenino no puede superar el Total Procesados. ",""))</f>
        <v/>
      </c>
      <c r="CC42" s="219">
        <f>IF(AND($B42&gt;0,AV42=""),"* No olvide ingresar la columna "&amp;AV$10&amp;""&amp;" *(Digite CERO si no tiene). ",IF(AV42&gt;$B42," *El Número de "&amp;AV$10&amp;""&amp;" no puede superar el Total Procesados. ",""))</f>
        <v/>
      </c>
      <c r="CD42" s="219">
        <f>IF(AND($B42&gt;0,AW42=""),"* No olvide ingresar la columna "&amp;AW$10&amp;""&amp;" *(Digite CERO si no tiene). ",IF(AW42&gt;$B42," *El Número de "&amp;AW$10&amp;""&amp;" no puede superar el Total Procesados. ",""))</f>
        <v/>
      </c>
      <c r="CE42" s="220" t="n"/>
      <c r="CF42" s="220" t="n"/>
      <c r="CG42" s="220" t="n"/>
      <c r="CH42" s="220" t="n"/>
      <c r="CI42" s="220" t="n"/>
      <c r="CJ42" s="219">
        <f>IF(N42&lt;O42,CONCATENATE("* El total de Procesados debe ser mayor o igual al total de Reactivos en el grupo de edad ",$N$11),"")</f>
        <v/>
      </c>
      <c r="CK42" s="219">
        <f>IF(P42&lt;Q42,CONCATENATE("* El total de Procesados debe ser mayor o igual al total de Reactivos en el grupo de edad ",$P$11),"")</f>
        <v/>
      </c>
      <c r="CL42" s="219">
        <f>IF(R42&lt;S42,CONCATENATE("* El total de Procesados debe ser mayor o igual al total de Reactivos en el grupo de edad ",$R$11),"")</f>
        <v/>
      </c>
      <c r="CM42" s="219">
        <f>IF($T42&lt;$U42,CONCATENATE("* El total de Procesados debe ser mayor o igual al total de Reactivos en el grupo de edad ",$T$11),"")</f>
        <v/>
      </c>
      <c r="CN42" s="219">
        <f>IF(V42&lt;W42,CONCATENATE("* El total de Procesados debe ser mayor o igual al total de Reactivos en el grupo de edad ",$V$11),"")</f>
        <v/>
      </c>
      <c r="CO42" s="219">
        <f>IF(X42&lt;Y42,CONCATENATE("* El total de Procesados debe ser mayor o igual al total de Reactivos en el grupo de edad ",$X$11),"")</f>
        <v/>
      </c>
      <c r="CP42" s="219">
        <f>IF(Z42&lt;AA42,CONCATENATE("* El total de Procesados debe ser mayor o igual al total de Reactivos en el grupo de edad ",$Z$11),"")</f>
        <v/>
      </c>
      <c r="CQ42" s="219">
        <f>IF(AB42&lt;AC42,CONCATENATE("* El total de Procesados debe ser mayor o igual al total de Reactivos en el grupo de edad ",$AB$11),"")</f>
        <v/>
      </c>
      <c r="CR42" s="219">
        <f>IF(AD42&lt;AE42,CONCATENATE("* El total de Procesados debe ser mayor o igual al total de Reactivos en el grupo de edad ",$AD$11),"")</f>
        <v/>
      </c>
      <c r="CS42" s="219">
        <f>IF(AF42&lt;AG42,CONCATENATE("* El total de Procesados debe ser mayor o igual al total de Reactivos en el grupo de edad ",$AF$11),"")</f>
        <v/>
      </c>
      <c r="CT42" s="219">
        <f>IF(AH42&lt;AI42,CONCATENATE("* El total de Procesados debe ser mayor o igual al total de Reactivos en el grupo de edad ",$AH$11),"")</f>
        <v/>
      </c>
      <c r="CU42" s="219">
        <f>IF(AJ42&lt;AK42,CONCATENATE("* El total de Procesados debe ser mayor o igual al total de Reactivos en el grupo de edad ",$AJ$11),"")</f>
        <v/>
      </c>
      <c r="CV42" s="219">
        <f>IF(AL42&lt;AM42,CONCATENATE("* El total de Procesados debe ser mayor o igual al total de Reactivos en el grupo de edad ",$AL$11),"")</f>
        <v/>
      </c>
      <c r="CW42" s="219">
        <f>IF(AN42&lt;AO42,CONCATENATE("* El total de Procesados debe ser mayor o igual al total de Reactivos en el grupo de edad ",$AN$11),"")</f>
        <v/>
      </c>
      <c r="CX42" s="219">
        <f>IF(AP42&lt;AQ42,CONCATENATE("* El total de Procesados debe ser mayor o igual al total de Reactivos en el grupo de edad ",$AP$11),"")</f>
        <v/>
      </c>
      <c r="DE42" s="226" t="n"/>
      <c r="DF42" s="378">
        <f>IF(B42&lt;&gt;(AS42),1,0)</f>
        <v/>
      </c>
      <c r="DG42" s="376">
        <f>IF(AND($B42&gt;0,AND(AT42="",AU42="")),1,IF((AT42+AU42)&gt;$B42,1,0))</f>
        <v/>
      </c>
      <c r="DH42" s="376">
        <f>IF(AND($B42&gt;0,AV42=""),1,IF(AV42&gt;$B42,1,0))</f>
        <v/>
      </c>
      <c r="DI42" s="376">
        <f>IF(AND($B42&gt;0,AW42=""),1,IF(AW42&gt;$B42,1,0))</f>
        <v/>
      </c>
      <c r="DJ42" s="220" t="n"/>
      <c r="DK42" s="220" t="n"/>
      <c r="DL42" s="220" t="n"/>
      <c r="DM42" s="220" t="n"/>
      <c r="DN42" s="220" t="n"/>
      <c r="DO42" s="376">
        <f>IF(N42&lt;O42,1,0)</f>
        <v/>
      </c>
      <c r="DP42" s="376">
        <f>IF(P42&lt;Q42,1,0)</f>
        <v/>
      </c>
      <c r="DQ42" s="376">
        <f>IF(R42&lt;S42,1,0)</f>
        <v/>
      </c>
      <c r="DR42" s="376">
        <f>IF($T42&lt;$U42,1,0)</f>
        <v/>
      </c>
      <c r="DS42" s="376">
        <f>IF(V42&lt;W42,1,0)</f>
        <v/>
      </c>
      <c r="DT42" s="376">
        <f>IF(X42&lt;Y42,1,0)</f>
        <v/>
      </c>
      <c r="DU42" s="376">
        <f>IF(Z42&lt;AA42,1,0)</f>
        <v/>
      </c>
      <c r="DV42" s="376">
        <f>IF(AB42&lt;AC42,1,0)</f>
        <v/>
      </c>
      <c r="DW42" s="376">
        <f>IF(AD42&lt;AE42,1,0)</f>
        <v/>
      </c>
      <c r="DX42" s="376">
        <f>IF(AF42&lt;AG42,1,0)</f>
        <v/>
      </c>
      <c r="DY42" s="376">
        <f>IF(AH42&lt;AI42,1,0)</f>
        <v/>
      </c>
      <c r="DZ42" s="376">
        <f>IF(AJ42&lt;AK42,1,0)</f>
        <v/>
      </c>
      <c r="EA42" s="376">
        <f>IF(AL42&lt;AM42,1,0)</f>
        <v/>
      </c>
      <c r="EB42" s="376">
        <f>IF(AN42&lt;AO42,1,0)</f>
        <v/>
      </c>
      <c r="EC42" s="376">
        <f>IF(AP42&lt;AQ42,1,0)</f>
        <v/>
      </c>
    </row>
    <row r="43">
      <c r="A43" s="3119" t="inlineStr">
        <is>
          <t>Mujeres en control ginecológico</t>
        </is>
      </c>
      <c r="B43" s="3103">
        <f>+D43+F43+H43+J43+L43+N43+P43+R43+T43+V43+X43+Z43+AB43+AD43+AF43+AH43+AJ43+AL43+AN43+AP43</f>
        <v/>
      </c>
      <c r="C43" s="1171">
        <f>+E43+G43+I43+K43+M43+O43+Q43+S43+U43+W43+Y43+AA43+AC43+AE43+AG43+AI43+AK43+AM43+AO43+AQ43</f>
        <v/>
      </c>
      <c r="D43" s="3100" t="n"/>
      <c r="E43" s="3107" t="n"/>
      <c r="F43" s="3108" t="n"/>
      <c r="G43" s="3107" t="n"/>
      <c r="H43" s="3108" t="n"/>
      <c r="I43" s="3101" t="n"/>
      <c r="J43" s="3100" t="n"/>
      <c r="K43" s="3100" t="n"/>
      <c r="L43" s="3108" t="n"/>
      <c r="M43" s="3101" t="n"/>
      <c r="N43" s="3100" t="n"/>
      <c r="O43" s="3107" t="n"/>
      <c r="P43" s="3108" t="n">
        <v>14</v>
      </c>
      <c r="Q43" s="3107" t="n">
        <v>0</v>
      </c>
      <c r="R43" s="3108" t="n">
        <v>17</v>
      </c>
      <c r="S43" s="3107" t="n">
        <v>0</v>
      </c>
      <c r="T43" s="3108" t="n">
        <v>22</v>
      </c>
      <c r="U43" s="3107" t="n">
        <v>0</v>
      </c>
      <c r="V43" s="3108" t="n">
        <v>15</v>
      </c>
      <c r="W43" s="3107" t="n">
        <v>0</v>
      </c>
      <c r="X43" s="3108" t="n">
        <v>14</v>
      </c>
      <c r="Y43" s="3107" t="n">
        <v>0</v>
      </c>
      <c r="Z43" s="3108" t="n">
        <v>27</v>
      </c>
      <c r="AA43" s="3107" t="n">
        <v>0</v>
      </c>
      <c r="AB43" s="3108" t="n">
        <v>25</v>
      </c>
      <c r="AC43" s="3107" t="n">
        <v>1</v>
      </c>
      <c r="AD43" s="3108" t="n">
        <v>23</v>
      </c>
      <c r="AE43" s="3107" t="n">
        <v>0</v>
      </c>
      <c r="AF43" s="3108" t="n">
        <v>22</v>
      </c>
      <c r="AG43" s="3107" t="n">
        <v>0</v>
      </c>
      <c r="AH43" s="3108" t="n">
        <v>23</v>
      </c>
      <c r="AI43" s="3107" t="n">
        <v>0</v>
      </c>
      <c r="AJ43" s="3108" t="n">
        <v>9</v>
      </c>
      <c r="AK43" s="3107" t="n">
        <v>0</v>
      </c>
      <c r="AL43" s="3108" t="n">
        <v>3</v>
      </c>
      <c r="AM43" s="3107" t="n">
        <v>0</v>
      </c>
      <c r="AN43" s="3108" t="n">
        <v>2</v>
      </c>
      <c r="AO43" s="3107" t="n">
        <v>0</v>
      </c>
      <c r="AP43" s="3108" t="n">
        <v>2</v>
      </c>
      <c r="AQ43" s="3098" t="n">
        <v>0</v>
      </c>
      <c r="AR43" s="3097" t="n"/>
      <c r="AS43" s="3098" t="n">
        <v>218</v>
      </c>
      <c r="AT43" s="3099" t="n">
        <v>0</v>
      </c>
      <c r="AU43" s="3098" t="n">
        <v>0</v>
      </c>
      <c r="AV43" s="3660" t="n">
        <v>0</v>
      </c>
      <c r="AW43" s="4008" t="n">
        <v>0</v>
      </c>
      <c r="AX43" s="218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>
        <f>IF(B43&lt;&gt;(AS43)," * La suma de las columnas "&amp;AR$10&amp;""&amp;" DEBE SER IGUAL a los Exámenes Procesados. ","")</f>
        <v/>
      </c>
      <c r="CB43" s="219">
        <f>IF(AND($B43&gt;0,AND(AT43="",AU43="")),"* No olvide ingresar las columnas Trans Masculino o Femenino (*Digite CERO si no tiene). ",IF((AT43+AU43)&gt;$B43,"* El Número de Trans Masculino o Femenino no puede superar el Total Procesados. ",""))</f>
        <v/>
      </c>
      <c r="CC43" s="219">
        <f>IF(AND($B43&gt;0,AV43=""),"* No olvide ingresar la columna "&amp;AV$10&amp;""&amp;" *(Digite CERO si no tiene). ",IF(AV43&gt;$B43," *El Número de "&amp;AV$10&amp;""&amp;" no puede superar el Total Procesados. ",""))</f>
        <v/>
      </c>
      <c r="CD43" s="219">
        <f>IF(AND($B43&gt;0,AW43=""),"* No olvide ingresar la columna "&amp;AW$10&amp;""&amp;" *(Digite CERO si no tiene). ",IF(AW43&gt;$B43," *El Número de "&amp;AW$10&amp;""&amp;" no puede superar el Total Procesados. ",""))</f>
        <v/>
      </c>
      <c r="CE43" s="219">
        <f>IF(D43&lt;E43,CONCATENATE("* El total de Procesados debe ser mayor o igual al total de Reactivos en el grupo de edad ",$D$11),"")</f>
        <v/>
      </c>
      <c r="CF43" s="219">
        <f>IF(F43&lt;G43,CONCATENATE("* El total de Procesados debe ser mayor o igual al total de Reactivos en el grupo de edad ",$F$11),"")</f>
        <v/>
      </c>
      <c r="CG43" s="219">
        <f>IF(H43&lt;I43,CONCATENATE("* El total de Procesados debe ser mayor o igual al total de Reactivos en el grupo de edad ",$H$11),"")</f>
        <v/>
      </c>
      <c r="CH43" s="219">
        <f>IF(J43&lt;K43,CONCATENATE("* El total de Procesados debe ser mayor o igual al total de Reactivos en el grupo de edad ",$J$11),"")</f>
        <v/>
      </c>
      <c r="CI43" s="219">
        <f>IF(L43&lt;M43,CONCATENATE("* El total de Procesados debe ser mayor o igual al total de Reactivos en el grupo de edad ",$L$11),"")</f>
        <v/>
      </c>
      <c r="CJ43" s="219">
        <f>IF(N43&lt;O43,CONCATENATE("* El total de Procesados debe ser mayor o igual al total de Reactivos en el grupo de edad ",$N$11),"")</f>
        <v/>
      </c>
      <c r="CK43" s="219">
        <f>IF(P43&lt;Q43,CONCATENATE("* El total de Procesados debe ser mayor o igual al total de Reactivos en el grupo de edad ",$P$11),"")</f>
        <v/>
      </c>
      <c r="CL43" s="219">
        <f>IF(R43&lt;S43,CONCATENATE("* El total de Procesados debe ser mayor o igual al total de Reactivos en el grupo de edad ",$R$11),"")</f>
        <v/>
      </c>
      <c r="CM43" s="219">
        <f>IF($T43&lt;$U43,CONCATENATE("* El total de Procesados debe ser mayor o igual al total de Reactivos en el grupo de edad ",$T$11),"")</f>
        <v/>
      </c>
      <c r="CN43" s="219">
        <f>IF(V43&lt;W43,CONCATENATE("* El total de Procesados debe ser mayor o igual al total de Reactivos en el grupo de edad ",$V$11),"")</f>
        <v/>
      </c>
      <c r="CO43" s="219">
        <f>IF(X43&lt;Y43,CONCATENATE("* El total de Procesados debe ser mayor o igual al total de Reactivos en el grupo de edad ",$X$11),"")</f>
        <v/>
      </c>
      <c r="CP43" s="219">
        <f>IF(Z43&lt;AA43,CONCATENATE("* El total de Procesados debe ser mayor o igual al total de Reactivos en el grupo de edad ",$Z$11),"")</f>
        <v/>
      </c>
      <c r="CQ43" s="219">
        <f>IF(AB43&lt;AC43,CONCATENATE("* El total de Procesados debe ser mayor o igual al total de Reactivos en el grupo de edad ",$AB$11),"")</f>
        <v/>
      </c>
      <c r="CR43" s="219">
        <f>IF(AD43&lt;AE43,CONCATENATE("* El total de Procesados debe ser mayor o igual al total de Reactivos en el grupo de edad ",$AD$11),"")</f>
        <v/>
      </c>
      <c r="CS43" s="219">
        <f>IF(AF43&lt;AG43,CONCATENATE("* El total de Procesados debe ser mayor o igual al total de Reactivos en el grupo de edad ",$AF$11),"")</f>
        <v/>
      </c>
      <c r="CT43" s="219">
        <f>IF(AH43&lt;AI43,CONCATENATE("* El total de Procesados debe ser mayor o igual al total de Reactivos en el grupo de edad ",$AH$11),"")</f>
        <v/>
      </c>
      <c r="CU43" s="219">
        <f>IF(AJ43&lt;AK43,CONCATENATE("* El total de Procesados debe ser mayor o igual al total de Reactivos en el grupo de edad ",$AJ$11),"")</f>
        <v/>
      </c>
      <c r="CV43" s="219">
        <f>IF(AL43&lt;AM43,CONCATENATE("* El total de Procesados debe ser mayor o igual al total de Reactivos en el grupo de edad ",$AL$11),"")</f>
        <v/>
      </c>
      <c r="CW43" s="219">
        <f>IF(AN43&lt;AO43,CONCATENATE("* El total de Procesados debe ser mayor o igual al total de Reactivos en el grupo de edad ",$AN$11),"")</f>
        <v/>
      </c>
      <c r="CX43" s="219">
        <f>IF(AP43&lt;AQ43,CONCATENATE("* El total de Procesados debe ser mayor o igual al total de Reactivos en el grupo de edad ",$AP$11),"")</f>
        <v/>
      </c>
      <c r="DE43" s="226" t="n"/>
      <c r="DF43" s="378">
        <f>IF(B43&lt;&gt;(AS43),1,0)</f>
        <v/>
      </c>
      <c r="DG43" s="376">
        <f>IF(AND($B43&gt;0,AND(AT43="",AU43="")),1,IF((AT43+AU43)&gt;$B43,1,0))</f>
        <v/>
      </c>
      <c r="DH43" s="376">
        <f>IF(AND($B43&gt;0,AV43=""),1,IF(AV43&gt;$B43,1,0))</f>
        <v/>
      </c>
      <c r="DI43" s="376">
        <f>IF(AND($B43&gt;0,AW43=""),1,IF(AW43&gt;$B43,1,0))</f>
        <v/>
      </c>
      <c r="DJ43" s="376">
        <f>IF(D43&lt;E43,1,0)</f>
        <v/>
      </c>
      <c r="DK43" s="376">
        <f>IF(F43&lt;G43,1,0)</f>
        <v/>
      </c>
      <c r="DL43" s="376">
        <f>IF(H43&lt;I43,1,0)</f>
        <v/>
      </c>
      <c r="DM43" s="376">
        <f>IF(J43&lt;K43,1,0)</f>
        <v/>
      </c>
      <c r="DN43" s="376">
        <f>IF(L43&lt;M43,1,0)</f>
        <v/>
      </c>
      <c r="DO43" s="376">
        <f>IF(N43&lt;O43,1,0)</f>
        <v/>
      </c>
      <c r="DP43" s="376">
        <f>IF(P43&lt;Q43,1,0)</f>
        <v/>
      </c>
      <c r="DQ43" s="376">
        <f>IF(R43&lt;S43,1,0)</f>
        <v/>
      </c>
      <c r="DR43" s="376">
        <f>IF($T43&lt;$U43,1,0)</f>
        <v/>
      </c>
      <c r="DS43" s="376">
        <f>IF(V43&lt;W43,1,0)</f>
        <v/>
      </c>
      <c r="DT43" s="376">
        <f>IF(X43&lt;Y43,1,0)</f>
        <v/>
      </c>
      <c r="DU43" s="376">
        <f>IF(Z43&lt;AA43,1,0)</f>
        <v/>
      </c>
      <c r="DV43" s="376">
        <f>IF(AB43&lt;AC43,1,0)</f>
        <v/>
      </c>
      <c r="DW43" s="376">
        <f>IF(AD43&lt;AE43,1,0)</f>
        <v/>
      </c>
      <c r="DX43" s="376">
        <f>IF(AF43&lt;AG43,1,0)</f>
        <v/>
      </c>
      <c r="DY43" s="376">
        <f>IF(AH43&lt;AI43,1,0)</f>
        <v/>
      </c>
      <c r="DZ43" s="376">
        <f>IF(AJ43&lt;AK43,1,0)</f>
        <v/>
      </c>
      <c r="EA43" s="376">
        <f>IF(AL43&lt;AM43,1,0)</f>
        <v/>
      </c>
      <c r="EB43" s="376">
        <f>IF(AN43&lt;AO43,1,0)</f>
        <v/>
      </c>
      <c r="EC43" s="376">
        <f>IF(AP43&lt;AQ43,1,0)</f>
        <v/>
      </c>
    </row>
    <row r="44" ht="21" customHeight="1" s="8286">
      <c r="A44" s="8538" t="inlineStr">
        <is>
          <t>Recién nacido y lactante para detección de sífilis congénita</t>
        </is>
      </c>
      <c r="B44" s="3103">
        <f>+D44+F44+H44</f>
        <v/>
      </c>
      <c r="C44" s="1171">
        <f>+E44+G44+I44</f>
        <v/>
      </c>
      <c r="D44" s="3100" t="n"/>
      <c r="E44" s="3107" t="n"/>
      <c r="F44" s="3108" t="n"/>
      <c r="G44" s="3107" t="n"/>
      <c r="H44" s="3108" t="n"/>
      <c r="I44" s="3101" t="n"/>
      <c r="J44" s="3109" t="n"/>
      <c r="K44" s="3110" t="n"/>
      <c r="L44" s="3109" t="n"/>
      <c r="M44" s="3110" t="n"/>
      <c r="N44" s="3109" t="n"/>
      <c r="O44" s="3110" t="n"/>
      <c r="P44" s="3109" t="n"/>
      <c r="Q44" s="3110" t="n"/>
      <c r="R44" s="3109" t="n"/>
      <c r="S44" s="3110" t="n"/>
      <c r="T44" s="3109" t="n"/>
      <c r="U44" s="3110" t="n"/>
      <c r="V44" s="3109" t="n"/>
      <c r="W44" s="3110" t="n"/>
      <c r="X44" s="3109" t="n"/>
      <c r="Y44" s="3110" t="n"/>
      <c r="Z44" s="3109" t="n"/>
      <c r="AA44" s="3110" t="n"/>
      <c r="AB44" s="3109" t="n"/>
      <c r="AC44" s="3110" t="n"/>
      <c r="AD44" s="3109" t="n"/>
      <c r="AE44" s="3110" t="n"/>
      <c r="AF44" s="3109" t="n"/>
      <c r="AG44" s="3110" t="n"/>
      <c r="AH44" s="3109" t="n"/>
      <c r="AI44" s="3110" t="n"/>
      <c r="AJ44" s="3109" t="n"/>
      <c r="AK44" s="3110" t="n"/>
      <c r="AL44" s="3109" t="n"/>
      <c r="AM44" s="3110" t="n"/>
      <c r="AN44" s="3109" t="n"/>
      <c r="AO44" s="3110" t="n"/>
      <c r="AP44" s="3109" t="n"/>
      <c r="AQ44" s="3111" t="n"/>
      <c r="AR44" s="3100" t="n"/>
      <c r="AS44" s="3098" t="n"/>
      <c r="AT44" s="3099" t="n"/>
      <c r="AU44" s="3098" t="n"/>
      <c r="AV44" s="3660" t="n"/>
      <c r="AW44" s="4008" t="n"/>
      <c r="AX44" s="218">
        <f>$CA44&amp;CB44&amp;CC44&amp;$CD44&amp;CE44&amp;CF44&amp;CG44</f>
        <v/>
      </c>
      <c r="CA44" s="219">
        <f>IF(B44&lt;&gt;(AS44+AR44)," * La suma de las columnas "&amp;AR$10&amp;""&amp;" DEBE SER IGUAL a los Exámenes Procesados. ","")</f>
        <v/>
      </c>
      <c r="CB44" s="219">
        <f>IF(AND($B44&gt;0,AND(AT44="",AU44="")),"* No olvide ingresar las columnas Trans Masculino o Femenino (*Digite CERO si no tiene). ",IF((AT44+AU44)&gt;$B44,"* El Número de Trans Masculino o Femenino no puede superar el Total Procesados. ",""))</f>
        <v/>
      </c>
      <c r="CC44" s="219">
        <f>IF(AND($B44&gt;0,AV44=""),"* No olvide ingresar la columna "&amp;AV$10&amp;""&amp;" *(Digite CERO si no tiene). ",IF(AV44&gt;$B44," *El Número de "&amp;AV$10&amp;""&amp;" no puede superar el Total Procesados. ",""))</f>
        <v/>
      </c>
      <c r="CD44" s="219">
        <f>IF(AND($B44&gt;0,AW44=""),"* No olvide ingresar la columna "&amp;AW$10&amp;""&amp;" *(Digite CERO si no tiene). ",IF(AW44&gt;$B44," *El Número de "&amp;AW$10&amp;""&amp;" no puede superar el Total Procesados. ",""))</f>
        <v/>
      </c>
      <c r="CE44" s="219">
        <f>IF(D44&lt;E44,CONCATENATE("* El total de Procesados debe ser mayor o igual al total de Reactivos en el grupo de edad ",$D$11),"")</f>
        <v/>
      </c>
      <c r="CF44" s="219">
        <f>IF(F44&lt;G44,CONCATENATE("* El total de Procesados debe ser mayor o igual al total de Reactivos en el grupo de edad ",$F$11),"")</f>
        <v/>
      </c>
      <c r="CG44" s="219">
        <f>IF(H44&lt;I44,CONCATENATE("* El total de Procesados debe ser mayor o igual al total de Reactivos en el grupo de edad ",$H$11),"")</f>
        <v/>
      </c>
      <c r="CH44" s="222" t="n"/>
      <c r="CI44" s="222" t="n"/>
      <c r="CJ44" s="377" t="n"/>
      <c r="CK44" s="222" t="n"/>
      <c r="CL44" s="222" t="n"/>
      <c r="CM44" s="222" t="n"/>
      <c r="CN44" s="222" t="n"/>
      <c r="CO44" s="222" t="n"/>
      <c r="CP44" s="222" t="n"/>
      <c r="CQ44" s="222" t="n"/>
      <c r="CR44" s="222" t="n"/>
      <c r="CS44" s="222" t="n"/>
      <c r="CT44" s="222" t="n"/>
      <c r="CU44" s="222" t="n"/>
      <c r="CV44" s="222" t="n"/>
      <c r="CW44" s="222" t="n"/>
      <c r="CX44" s="222" t="n"/>
      <c r="DE44" s="226" t="n"/>
      <c r="DF44" s="378">
        <f>IF(B44&lt;&gt;(AS44+AR44),1,0)</f>
        <v/>
      </c>
      <c r="DG44" s="376">
        <f>IF(AND($B44&gt;0,AND(AT44="",AU44="")),1,IF((AT44+AU44)&gt;$B44,1,0))</f>
        <v/>
      </c>
      <c r="DH44" s="376">
        <f>IF(AND($B44&gt;0,AV44=""),1,IF(AV44&gt;$B44,1,0))</f>
        <v/>
      </c>
      <c r="DI44" s="376">
        <f>IF(AND($B44&gt;0,AW44=""),1,IF(AW44&gt;$B44,1,0))</f>
        <v/>
      </c>
      <c r="DJ44" s="376">
        <f>IF(D44&lt;E44,1,0)</f>
        <v/>
      </c>
      <c r="DK44" s="376">
        <f>IF(F44&lt;G44,1,0)</f>
        <v/>
      </c>
      <c r="DL44" s="376">
        <f>IF(H44&lt;I44,1,0)</f>
        <v/>
      </c>
      <c r="DM44" s="222" t="n"/>
      <c r="DN44" s="222" t="n"/>
      <c r="DO44" s="220" t="n"/>
      <c r="DP44" s="220" t="n"/>
      <c r="DQ44" s="220" t="n"/>
      <c r="DR44" s="220" t="n"/>
      <c r="DS44" s="220" t="n"/>
      <c r="DT44" s="220" t="n"/>
      <c r="DU44" s="220" t="n"/>
      <c r="DV44" s="220" t="n"/>
      <c r="DW44" s="220" t="n"/>
      <c r="DX44" s="220" t="n"/>
      <c r="DY44" s="220" t="n"/>
      <c r="DZ44" s="220" t="n"/>
      <c r="EA44" s="220" t="n"/>
      <c r="EB44" s="220" t="n"/>
      <c r="EC44" s="220" t="n"/>
    </row>
    <row r="45">
      <c r="A45" s="8538" t="inlineStr">
        <is>
          <t>Personas en control por comercio sexual</t>
        </is>
      </c>
      <c r="B45" s="3103">
        <f>+P45+R45+T45+V45+X45+Z45+AB45+AD45+AF45+AH45+AJ45+AL45+AN45+AP45</f>
        <v/>
      </c>
      <c r="C45" s="1171">
        <f>+Q45+S45+U45+W45+Y45+AA45+AC45+AE45+AG45+AI45+AK45+AM45+AO45+AQ45</f>
        <v/>
      </c>
      <c r="D45" s="3112" t="n"/>
      <c r="E45" s="3105" t="n"/>
      <c r="F45" s="3104" t="n"/>
      <c r="G45" s="3105" t="n"/>
      <c r="H45" s="3104" t="n"/>
      <c r="I45" s="3105" t="n"/>
      <c r="J45" s="3104" t="n"/>
      <c r="K45" s="3105" t="n"/>
      <c r="L45" s="3104" t="n"/>
      <c r="M45" s="3106" t="n"/>
      <c r="N45" s="3112" t="n"/>
      <c r="O45" s="3105" t="n"/>
      <c r="P45" s="3108" t="n"/>
      <c r="Q45" s="3107" t="n"/>
      <c r="R45" s="3108" t="n"/>
      <c r="S45" s="3107" t="n"/>
      <c r="T45" s="3108" t="n"/>
      <c r="U45" s="3107" t="n"/>
      <c r="V45" s="3108" t="n"/>
      <c r="W45" s="3107" t="n"/>
      <c r="X45" s="3108" t="n"/>
      <c r="Y45" s="3107" t="n"/>
      <c r="Z45" s="3108" t="n"/>
      <c r="AA45" s="3107" t="n"/>
      <c r="AB45" s="3108" t="n"/>
      <c r="AC45" s="3107" t="n"/>
      <c r="AD45" s="3108" t="n"/>
      <c r="AE45" s="3107" t="n"/>
      <c r="AF45" s="3108" t="n"/>
      <c r="AG45" s="3107" t="n"/>
      <c r="AH45" s="3108" t="n"/>
      <c r="AI45" s="3107" t="n"/>
      <c r="AJ45" s="3108" t="n"/>
      <c r="AK45" s="3107" t="n"/>
      <c r="AL45" s="3108" t="n"/>
      <c r="AM45" s="3107" t="n"/>
      <c r="AN45" s="3108" t="n"/>
      <c r="AO45" s="3107" t="n"/>
      <c r="AP45" s="3108" t="n"/>
      <c r="AQ45" s="3098" t="n"/>
      <c r="AR45" s="3100" t="n"/>
      <c r="AS45" s="3098" t="n"/>
      <c r="AT45" s="3099" t="n"/>
      <c r="AU45" s="3098" t="n"/>
      <c r="AV45" s="3660" t="n"/>
      <c r="AW45" s="4008" t="n"/>
      <c r="AX45" s="218">
        <f>$CA45&amp;CB45&amp;CC45&amp;$CD45&amp;CK45&amp;CL45&amp;CM45&amp;CN45&amp;CO45&amp;CP45&amp;CQ45&amp;CR45&amp;CS45&amp;CT45&amp;CU45&amp;CV45&amp;CW45&amp;CX45</f>
        <v/>
      </c>
      <c r="CA45" s="219">
        <f>IF(B45&lt;&gt;(AS45+AR45)," * La suma de las columnas "&amp;AR$10&amp;""&amp;" DEBE SER IGUAL a los Exámenes Procesados. ","")</f>
        <v/>
      </c>
      <c r="CB45" s="219">
        <f>IF(AND($B45&gt;0,AND(AT45="",AU45="")),"* No olvide ingresar las columnas Trans Masculino o Femenino (*Digite CERO si no tiene). ",IF((AT45+AU45)&gt;$B45,"* El Número de Trans Masculino o Femenino no puede superar el Total Procesados. ",""))</f>
        <v/>
      </c>
      <c r="CC45" s="219">
        <f>IF(AND($B45&gt;0,AV45=""),"* No olvide ingresar la columna "&amp;AV$10&amp;""&amp;" *(Digite CERO si no tiene). ",IF(AV45&gt;$B45," *El Número de "&amp;AV$10&amp;""&amp;" no puede superar el Total Procesados. ",""))</f>
        <v/>
      </c>
      <c r="CD45" s="219">
        <f>IF(AND($B45&gt;0,AW45=""),"* No olvide ingresar la columna "&amp;AW$10&amp;""&amp;" *(Digite CERO si no tiene). ",IF(AW45&gt;$B45," *El Número de "&amp;AW$10&amp;""&amp;" no puede superar el Total Procesados. ",""))</f>
        <v/>
      </c>
      <c r="CE45" s="377" t="n"/>
      <c r="CF45" s="377" t="n"/>
      <c r="CG45" s="222" t="n"/>
      <c r="CH45" s="222" t="n"/>
      <c r="CI45" s="222" t="n"/>
      <c r="CJ45" s="377" t="n"/>
      <c r="CK45" s="219">
        <f>IF(P45&lt;Q45,CONCATENATE("* El total de Procesados debe ser mayor o igual al total de Reactivos en el grupo de edad ",$P$11),"")</f>
        <v/>
      </c>
      <c r="CL45" s="219">
        <f>IF(R45&lt;S45,CONCATENATE("* El total de Procesados debe ser mayor o igual al total de Reactivos en el grupo de edad ",$R$11),"")</f>
        <v/>
      </c>
      <c r="CM45" s="219">
        <f>IF($T45&lt;$U45,CONCATENATE("* El total de Procesados debe ser mayor o igual al total de Reactivos en el grupo de edad ",$T$11),"")</f>
        <v/>
      </c>
      <c r="CN45" s="219">
        <f>IF(V45&lt;W45,CONCATENATE("* El total de Procesados debe ser mayor o igual al total de Reactivos en el grupo de edad ",$V$11),"")</f>
        <v/>
      </c>
      <c r="CO45" s="219">
        <f>IF(X45&lt;Y45,CONCATENATE("* El total de Procesados debe ser mayor o igual al total de Reactivos en el grupo de edad ",$X$11),"")</f>
        <v/>
      </c>
      <c r="CP45" s="219">
        <f>IF(Z45&lt;AA45,CONCATENATE("* El total de Procesados debe ser mayor o igual al total de Reactivos en el grupo de edad ",$Z$11),"")</f>
        <v/>
      </c>
      <c r="CQ45" s="219">
        <f>IF(AB45&lt;AC45,CONCATENATE("* El total de Procesados debe ser mayor o igual al total de Reactivos en el grupo de edad ",$AB$11),"")</f>
        <v/>
      </c>
      <c r="CR45" s="219">
        <f>IF(AD45&lt;AE45,CONCATENATE("* El total de Procesados debe ser mayor o igual al total de Reactivos en el grupo de edad ",$AD$11),"")</f>
        <v/>
      </c>
      <c r="CS45" s="219">
        <f>IF(AF45&lt;AG45,CONCATENATE("* El total de Procesados debe ser mayor o igual al total de Reactivos en el grupo de edad ",$AF$11),"")</f>
        <v/>
      </c>
      <c r="CT45" s="219">
        <f>IF(AH45&lt;AI45,CONCATENATE("* El total de Procesados debe ser mayor o igual al total de Reactivos en el grupo de edad ",$AH$11),"")</f>
        <v/>
      </c>
      <c r="CU45" s="219">
        <f>IF(AJ45&lt;AK45,CONCATENATE("* El total de Procesados debe ser mayor o igual al total de Reactivos en el grupo de edad ",$AJ$11),"")</f>
        <v/>
      </c>
      <c r="CV45" s="219">
        <f>IF(AL45&lt;AM45,CONCATENATE("* El total de Procesados debe ser mayor o igual al total de Reactivos en el grupo de edad ",$AL$11),"")</f>
        <v/>
      </c>
      <c r="CW45" s="219">
        <f>IF(AN45&lt;AO45,CONCATENATE("* El total de Procesados debe ser mayor o igual al total de Reactivos en el grupo de edad ",$AN$11),"")</f>
        <v/>
      </c>
      <c r="CX45" s="219">
        <f>IF(AP45&lt;AQ45,CONCATENATE("* El total de Procesados debe ser mayor o igual al total de Reactivos en el grupo de edad ",$AP$11),"")</f>
        <v/>
      </c>
      <c r="DE45" s="226" t="n"/>
      <c r="DF45" s="378">
        <f>IF(B45&lt;&gt;(AS45+AR45),1,0)</f>
        <v/>
      </c>
      <c r="DG45" s="376">
        <f>IF(AND($B45&gt;0,AND(AT45="",AU45="")),1,IF((AT45+AU45)&gt;$B45,1,0))</f>
        <v/>
      </c>
      <c r="DH45" s="376">
        <f>IF(AND($B45&gt;0,AV45=""),1,IF(AV45&gt;$B45,1,0))</f>
        <v/>
      </c>
      <c r="DI45" s="376">
        <f>IF(AND($B45&gt;0,AW45=""),1,IF(AW45&gt;$B45,1,0))</f>
        <v/>
      </c>
      <c r="DJ45" s="222" t="n"/>
      <c r="DK45" s="222" t="n"/>
      <c r="DL45" s="222" t="n"/>
      <c r="DM45" s="222" t="n"/>
      <c r="DN45" s="222" t="n"/>
      <c r="DO45" s="220" t="n"/>
      <c r="DP45" s="376">
        <f>IF(P45&lt;Q45,1,0)</f>
        <v/>
      </c>
      <c r="DQ45" s="376">
        <f>IF(R45&lt;S45,1,0)</f>
        <v/>
      </c>
      <c r="DR45" s="376">
        <f>IF($T45&lt;$U45,1,0)</f>
        <v/>
      </c>
      <c r="DS45" s="376">
        <f>IF(V45&lt;W45,1,0)</f>
        <v/>
      </c>
      <c r="DT45" s="376">
        <f>IF(X45&lt;Y45,1,0)</f>
        <v/>
      </c>
      <c r="DU45" s="376">
        <f>IF(Z45&lt;AA45,1,0)</f>
        <v/>
      </c>
      <c r="DV45" s="376">
        <f>IF(AB45&lt;AC45,1,0)</f>
        <v/>
      </c>
      <c r="DW45" s="376">
        <f>IF(AD45&lt;AE45,1,0)</f>
        <v/>
      </c>
      <c r="DX45" s="376">
        <f>IF(AF45&lt;AG45,1,0)</f>
        <v/>
      </c>
      <c r="DY45" s="376">
        <f>IF(AH45&lt;AI45,1,0)</f>
        <v/>
      </c>
      <c r="DZ45" s="376">
        <f>IF(AJ45&lt;AK45,1,0)</f>
        <v/>
      </c>
      <c r="EA45" s="376">
        <f>IF(AL45&lt;AM45,1,0)</f>
        <v/>
      </c>
      <c r="EB45" s="376">
        <f>IF(AN45&lt;AO45,1,0)</f>
        <v/>
      </c>
      <c r="EC45" s="376">
        <f>IF(AP45&lt;AQ45,1,0)</f>
        <v/>
      </c>
    </row>
    <row r="46">
      <c r="A46" s="3119" t="inlineStr">
        <is>
          <t>Personas en control fecundidad</t>
        </is>
      </c>
      <c r="B46" s="3103">
        <f>+N46+P46+R46+T46+V46+X46+Z46+AB46+AD46+AF46+AH46+AJ46+AL46+AN46+AP46</f>
        <v/>
      </c>
      <c r="C46" s="1171">
        <f>+O46+Q46+S46+U46+W46+Y46+AA46+AC46+AE46+AG46+AI46+AK46+AM46+AO46+AQ46</f>
        <v/>
      </c>
      <c r="D46" s="3097" t="n"/>
      <c r="E46" s="3110" t="n"/>
      <c r="F46" s="3109" t="n"/>
      <c r="G46" s="3110" t="n"/>
      <c r="H46" s="3109" t="n"/>
      <c r="I46" s="3113" t="n"/>
      <c r="J46" s="3097" t="n"/>
      <c r="K46" s="3097" t="n"/>
      <c r="L46" s="3109" t="n"/>
      <c r="M46" s="3113" t="n"/>
      <c r="N46" s="3100" t="n"/>
      <c r="O46" s="3107" t="n"/>
      <c r="P46" s="3108" t="n"/>
      <c r="Q46" s="3107" t="n"/>
      <c r="R46" s="3108" t="n"/>
      <c r="S46" s="3107" t="n"/>
      <c r="T46" s="3108" t="n"/>
      <c r="U46" s="3107" t="n"/>
      <c r="V46" s="3108" t="n"/>
      <c r="W46" s="3107" t="n"/>
      <c r="X46" s="3108" t="n"/>
      <c r="Y46" s="3107" t="n"/>
      <c r="Z46" s="3108" t="n"/>
      <c r="AA46" s="3107" t="n"/>
      <c r="AB46" s="3108" t="n"/>
      <c r="AC46" s="3107" t="n"/>
      <c r="AD46" s="3108" t="n"/>
      <c r="AE46" s="3107" t="n"/>
      <c r="AF46" s="3108" t="n"/>
      <c r="AG46" s="3107" t="n"/>
      <c r="AH46" s="3108" t="n"/>
      <c r="AI46" s="3107" t="n"/>
      <c r="AJ46" s="3108" t="n"/>
      <c r="AK46" s="3107" t="n"/>
      <c r="AL46" s="3108" t="n"/>
      <c r="AM46" s="3107" t="n"/>
      <c r="AN46" s="3108" t="n"/>
      <c r="AO46" s="3107" t="n"/>
      <c r="AP46" s="3108" t="n"/>
      <c r="AQ46" s="3098" t="n"/>
      <c r="AR46" s="3100" t="n"/>
      <c r="AS46" s="3098" t="n"/>
      <c r="AT46" s="3099" t="n"/>
      <c r="AU46" s="3098" t="n"/>
      <c r="AV46" s="3660" t="n"/>
      <c r="AW46" s="4008" t="n"/>
      <c r="AX46" s="218">
        <f>$CA46&amp;CB46&amp;CC46&amp;$CD46&amp;CJ46&amp;CK46&amp;CL46&amp;CM46&amp;CN46&amp;CO46&amp;CP46&amp;CQ46&amp;CR46&amp;CS46&amp;CT46&amp;CU46&amp;CV46&amp;CW46&amp;CX46</f>
        <v/>
      </c>
      <c r="CA46" s="219">
        <f>IF(B46&lt;&gt;(AS46+AR46)," * La suma de las columnas "&amp;AR$10&amp;""&amp;" DEBE SER IGUAL a los Exámenes Procesados. ","")</f>
        <v/>
      </c>
      <c r="CB46" s="219">
        <f>IF(AND($B46&gt;0,AND(AT46="",AU46="")),"* No olvide ingresar las columnas Trans Masculino o Femenino (*Digite CERO si no tiene). ",IF((AT46+AU46)&gt;$B46,"* El Número de Trans Masculino o Femenino no puede superar el Total Procesados. ",""))</f>
        <v/>
      </c>
      <c r="CC46" s="219">
        <f>IF(AND($B46&gt;0,AV46=""),"* No olvide ingresar la columna "&amp;AV$10&amp;""&amp;" *(Digite CERO si no tiene). ",IF(AV46&gt;$B46," *El Número de "&amp;AV$10&amp;""&amp;" no puede superar el Total Procesados. ",""))</f>
        <v/>
      </c>
      <c r="CD46" s="219">
        <f>IF(AND($B46&gt;0,AW46=""),"* No olvide ingresar la columna "&amp;AW$10&amp;""&amp;" *(Digite CERO si no tiene). ",IF(AW46&gt;$B46," *El Número de "&amp;AW$10&amp;""&amp;" no puede superar el Total Procesados. ",""))</f>
        <v/>
      </c>
      <c r="CE46" s="377" t="n"/>
      <c r="CF46" s="377" t="n"/>
      <c r="CG46" s="222" t="n"/>
      <c r="CH46" s="222" t="n"/>
      <c r="CI46" s="222" t="n"/>
      <c r="CJ46" s="219">
        <f>IF(N46&lt;O46,CONCATENATE("* El total de Procesados debe ser mayor o igual al total de Reactivos en el grupo de edad ",$N$11),"")</f>
        <v/>
      </c>
      <c r="CK46" s="219">
        <f>IF(P46&lt;Q46,CONCATENATE("* El total de Procesados debe ser mayor o igual al total de Reactivos en el grupo de edad ",$P$11),"")</f>
        <v/>
      </c>
      <c r="CL46" s="219">
        <f>IF(R46&lt;S46,CONCATENATE("* El total de Procesados debe ser mayor o igual al total de Reactivos en el grupo de edad ",$R$11),"")</f>
        <v/>
      </c>
      <c r="CM46" s="219">
        <f>IF($T46&lt;$U46,CONCATENATE("* El total de Procesados debe ser mayor o igual al total de Reactivos en el grupo de edad ",$T$11),"")</f>
        <v/>
      </c>
      <c r="CN46" s="219">
        <f>IF(V46&lt;W46,CONCATENATE("* El total de Procesados debe ser mayor o igual al total de Reactivos en el grupo de edad ",$V$11),"")</f>
        <v/>
      </c>
      <c r="CO46" s="219">
        <f>IF(X46&lt;Y46,CONCATENATE("* El total de Procesados debe ser mayor o igual al total de Reactivos en el grupo de edad ",$X$11),"")</f>
        <v/>
      </c>
      <c r="CP46" s="219">
        <f>IF(Z46&lt;AA46,CONCATENATE("* El total de Procesados debe ser mayor o igual al total de Reactivos en el grupo de edad ",$Z$11),"")</f>
        <v/>
      </c>
      <c r="CQ46" s="219">
        <f>IF(AB46&lt;AC46,CONCATENATE("* El total de Procesados debe ser mayor o igual al total de Reactivos en el grupo de edad ",$AB$11),"")</f>
        <v/>
      </c>
      <c r="CR46" s="219">
        <f>IF(AD46&lt;AE46,CONCATENATE("* El total de Procesados debe ser mayor o igual al total de Reactivos en el grupo de edad ",$AD$11),"")</f>
        <v/>
      </c>
      <c r="CS46" s="219">
        <f>IF(AF46&lt;AG46,CONCATENATE("* El total de Procesados debe ser mayor o igual al total de Reactivos en el grupo de edad ",$AF$11),"")</f>
        <v/>
      </c>
      <c r="CT46" s="219">
        <f>IF(AH46&lt;AI46,CONCATENATE("* El total de Procesados debe ser mayor o igual al total de Reactivos en el grupo de edad ",$AH$11),"")</f>
        <v/>
      </c>
      <c r="CU46" s="219">
        <f>IF(AJ46&lt;AK46,CONCATENATE("* El total de Procesados debe ser mayor o igual al total de Reactivos en el grupo de edad ",$AJ$11),"")</f>
        <v/>
      </c>
      <c r="CV46" s="219">
        <f>IF(AL46&lt;AM46,CONCATENATE("* El total de Procesados debe ser mayor o igual al total de Reactivos en el grupo de edad ",$AL$11),"")</f>
        <v/>
      </c>
      <c r="CW46" s="219">
        <f>IF(AN46&lt;AO46,CONCATENATE("* El total de Procesados debe ser mayor o igual al total de Reactivos en el grupo de edad ",$AN$11),"")</f>
        <v/>
      </c>
      <c r="CX46" s="219">
        <f>IF(AP46&lt;AQ46,CONCATENATE("* El total de Procesados debe ser mayor o igual al total de Reactivos en el grupo de edad ",$AP$11),"")</f>
        <v/>
      </c>
      <c r="DE46" s="226" t="n"/>
      <c r="DF46" s="378">
        <f>IF(B46&lt;&gt;(AS46+AR46),1,0)</f>
        <v/>
      </c>
      <c r="DG46" s="376">
        <f>IF(AND($B46&gt;0,AND(AT46="",AU46="")),1,IF((AT46+AU46)&gt;$B46,1,0))</f>
        <v/>
      </c>
      <c r="DH46" s="376">
        <f>IF(AND($B46&gt;0,AV46=""),1,IF(AV46&gt;$B46,1,0))</f>
        <v/>
      </c>
      <c r="DI46" s="376">
        <f>IF(AND($B46&gt;0,AW46=""),1,IF(AW46&gt;$B46,1,0))</f>
        <v/>
      </c>
      <c r="DJ46" s="222" t="n"/>
      <c r="DK46" s="222" t="n"/>
      <c r="DL46" s="222" t="n"/>
      <c r="DM46" s="222" t="n"/>
      <c r="DN46" s="222" t="n"/>
      <c r="DO46" s="376">
        <f>IF(N46&lt;O46,1,0)</f>
        <v/>
      </c>
      <c r="DP46" s="376">
        <f>IF(P46&lt;Q46,1,0)</f>
        <v/>
      </c>
      <c r="DQ46" s="376">
        <f>IF(R46&lt;S46,1,0)</f>
        <v/>
      </c>
      <c r="DR46" s="376">
        <f>IF($T46&lt;$U46,1,0)</f>
        <v/>
      </c>
      <c r="DS46" s="376">
        <f>IF(V46&lt;W46,1,0)</f>
        <v/>
      </c>
      <c r="DT46" s="376">
        <f>IF(X46&lt;Y46,1,0)</f>
        <v/>
      </c>
      <c r="DU46" s="376">
        <f>IF(Z46&lt;AA46,1,0)</f>
        <v/>
      </c>
      <c r="DV46" s="376">
        <f>IF(AB46&lt;AC46,1,0)</f>
        <v/>
      </c>
      <c r="DW46" s="376">
        <f>IF(AD46&lt;AE46,1,0)</f>
        <v/>
      </c>
      <c r="DX46" s="376">
        <f>IF(AF46&lt;AG46,1,0)</f>
        <v/>
      </c>
      <c r="DY46" s="376">
        <f>IF(AH46&lt;AI46,1,0)</f>
        <v/>
      </c>
      <c r="DZ46" s="376">
        <f>IF(AJ46&lt;AK46,1,0)</f>
        <v/>
      </c>
      <c r="EA46" s="376">
        <f>IF(AL46&lt;AM46,1,0)</f>
        <v/>
      </c>
      <c r="EB46" s="376">
        <f>IF(AN46&lt;AO46,1,0)</f>
        <v/>
      </c>
      <c r="EC46" s="376">
        <f>IF(AP46&lt;AQ46,1,0)</f>
        <v/>
      </c>
    </row>
    <row r="47">
      <c r="A47" s="3119" t="inlineStr">
        <is>
          <t>Consultantes por ITS</t>
        </is>
      </c>
      <c r="B47" s="3103">
        <f>+D47+F47+H47+J47+L47+N47+P47+R47+T47+V47+X47+Z47+AB47+AD47+AF47+AH47+AJ47+AL47+AN47+AP47</f>
        <v/>
      </c>
      <c r="C47" s="1171">
        <f>+E47+G47+I47+K47+M47+O47+Q47+S47+U47+W47+Y47+AA47+AC47+AE47+AG47+AI47+AK47+AM47+AO47+AQ47</f>
        <v/>
      </c>
      <c r="D47" s="3100" t="n"/>
      <c r="E47" s="3107" t="n"/>
      <c r="F47" s="3108" t="n"/>
      <c r="G47" s="3107" t="n"/>
      <c r="H47" s="3108" t="n"/>
      <c r="I47" s="3101" t="n"/>
      <c r="J47" s="3100" t="n"/>
      <c r="K47" s="3100" t="n"/>
      <c r="L47" s="3108" t="n"/>
      <c r="M47" s="3101" t="n"/>
      <c r="N47" s="3100" t="n"/>
      <c r="O47" s="3107" t="n"/>
      <c r="P47" s="3108" t="n"/>
      <c r="Q47" s="3107" t="n"/>
      <c r="R47" s="3108" t="n"/>
      <c r="S47" s="3107" t="n"/>
      <c r="T47" s="3108" t="n"/>
      <c r="U47" s="3107" t="n"/>
      <c r="V47" s="3108" t="n"/>
      <c r="W47" s="3107" t="n"/>
      <c r="X47" s="3108" t="n"/>
      <c r="Y47" s="3107" t="n"/>
      <c r="Z47" s="3108" t="n"/>
      <c r="AA47" s="3107" t="n"/>
      <c r="AB47" s="3108" t="n"/>
      <c r="AC47" s="3107" t="n"/>
      <c r="AD47" s="3108" t="n"/>
      <c r="AE47" s="3107" t="n"/>
      <c r="AF47" s="3108" t="n"/>
      <c r="AG47" s="3107" t="n"/>
      <c r="AH47" s="3108" t="n"/>
      <c r="AI47" s="3107" t="n"/>
      <c r="AJ47" s="3108" t="n"/>
      <c r="AK47" s="3107" t="n"/>
      <c r="AL47" s="3108" t="n"/>
      <c r="AM47" s="3107" t="n"/>
      <c r="AN47" s="3108" t="n"/>
      <c r="AO47" s="3107" t="n"/>
      <c r="AP47" s="3108" t="n"/>
      <c r="AQ47" s="3098" t="n"/>
      <c r="AR47" s="3100" t="n"/>
      <c r="AS47" s="3098" t="n"/>
      <c r="AT47" s="3099" t="n"/>
      <c r="AU47" s="3098" t="n"/>
      <c r="AV47" s="3660" t="n"/>
      <c r="AW47" s="4008" t="n"/>
      <c r="AX47" s="218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>
        <f>IF(B47&lt;&gt;(AS47+AR47)," * La suma de las columnas "&amp;AR$10&amp;""&amp;" DEBE SER IGUAL a los Exámenes Procesados. ","")</f>
        <v/>
      </c>
      <c r="CB47" s="219">
        <f>IF(AND($B47&gt;0,AND(AT47="",AU47="")),"* No olvide ingresar las columnas Trans Masculino o Femenino (*Digite CERO si no tiene). ",IF((AT47+AU47)&gt;$B47,"* El Número de Trans Masculino o Femenino no puede superar el Total Procesados. ",""))</f>
        <v/>
      </c>
      <c r="CC47" s="219">
        <f>IF(AND($B47&gt;0,AV47=""),"* No olvide ingresar la columna "&amp;AV$10&amp;""&amp;" *(Digite CERO si no tiene). ",IF(AV47&gt;$B47," *El Número de "&amp;AV$10&amp;""&amp;" no puede superar el Total Procesados. ",""))</f>
        <v/>
      </c>
      <c r="CD47" s="219">
        <f>IF(AND($B47&gt;0,AW47=""),"* No olvide ingresar la columna "&amp;AW$10&amp;""&amp;" *(Digite CERO si no tiene). ",IF(AW47&gt;$B47," *El Número de "&amp;AW$10&amp;""&amp;" no puede superar el Total Procesados. ",""))</f>
        <v/>
      </c>
      <c r="CE47" s="219">
        <f>IF(D47&lt;E47,CONCATENATE("* El total de Procesados debe ser mayor o igual al total de Reactivos en el grupo de edad ",$D$11),"")</f>
        <v/>
      </c>
      <c r="CF47" s="219">
        <f>IF(F47&lt;G47,CONCATENATE("* El total de Procesados debe ser mayor o igual al total de Reactivos en el grupo de edad ",$F$11),"")</f>
        <v/>
      </c>
      <c r="CG47" s="219">
        <f>IF(H47&lt;I47,CONCATENATE("* El total de Procesados debe ser mayor o igual al total de Reactivos en el grupo de edad ",$H$11),"")</f>
        <v/>
      </c>
      <c r="CH47" s="219">
        <f>IF(J47&lt;K47,CONCATENATE("* El total de Procesados debe ser mayor o igual al total de Reactivos en el grupo de edad ",$J$11),"")</f>
        <v/>
      </c>
      <c r="CI47" s="219">
        <f>IF(L47&lt;M47,CONCATENATE("* El total de Procesados debe ser mayor o igual al total de Reactivos en el grupo de edad ",$L$11),"")</f>
        <v/>
      </c>
      <c r="CJ47" s="219">
        <f>IF(N47&lt;O47,CONCATENATE("* El total de Procesados debe ser mayor o igual al total de Reactivos en el grupo de edad ",$N$11),"")</f>
        <v/>
      </c>
      <c r="CK47" s="219">
        <f>IF(P47&lt;Q47,CONCATENATE("* El total de Procesados debe ser mayor o igual al total de Reactivos en el grupo de edad ",$P$11),"")</f>
        <v/>
      </c>
      <c r="CL47" s="219">
        <f>IF(R47&lt;S47,CONCATENATE("* El total de Procesados debe ser mayor o igual al total de Reactivos en el grupo de edad ",$R$11),"")</f>
        <v/>
      </c>
      <c r="CM47" s="219">
        <f>IF($T47&lt;$U47,CONCATENATE("* El total de Procesados debe ser mayor o igual al total de Reactivos en el grupo de edad ",$T$11),"")</f>
        <v/>
      </c>
      <c r="CN47" s="219">
        <f>IF(V47&lt;W47,CONCATENATE("* El total de Procesados debe ser mayor o igual al total de Reactivos en el grupo de edad ",$V$11),"")</f>
        <v/>
      </c>
      <c r="CO47" s="219">
        <f>IF(X47&lt;Y47,CONCATENATE("* El total de Procesados debe ser mayor o igual al total de Reactivos en el grupo de edad ",$X$11),"")</f>
        <v/>
      </c>
      <c r="CP47" s="219">
        <f>IF(Z47&lt;AA47,CONCATENATE("* El total de Procesados debe ser mayor o igual al total de Reactivos en el grupo de edad ",$Z$11),"")</f>
        <v/>
      </c>
      <c r="CQ47" s="219">
        <f>IF(AB47&lt;AC47,CONCATENATE("* El total de Procesados debe ser mayor o igual al total de Reactivos en el grupo de edad ",$AB$11),"")</f>
        <v/>
      </c>
      <c r="CR47" s="219">
        <f>IF(AD47&lt;AE47,CONCATENATE("* El total de Procesados debe ser mayor o igual al total de Reactivos en el grupo de edad ",$AD$11),"")</f>
        <v/>
      </c>
      <c r="CS47" s="219">
        <f>IF(AF47&lt;AG47,CONCATENATE("* El total de Procesados debe ser mayor o igual al total de Reactivos en el grupo de edad ",$AF$11),"")</f>
        <v/>
      </c>
      <c r="CT47" s="219">
        <f>IF(AH47&lt;AI47,CONCATENATE("* El total de Procesados debe ser mayor o igual al total de Reactivos en el grupo de edad ",$AH$11),"")</f>
        <v/>
      </c>
      <c r="CU47" s="219">
        <f>IF(AJ47&lt;AK47,CONCATENATE("* El total de Procesados debe ser mayor o igual al total de Reactivos en el grupo de edad ",$AJ$11),"")</f>
        <v/>
      </c>
      <c r="CV47" s="219">
        <f>IF(AL47&lt;AM47,CONCATENATE("* El total de Procesados debe ser mayor o igual al total de Reactivos en el grupo de edad ",$AL$11),"")</f>
        <v/>
      </c>
      <c r="CW47" s="219">
        <f>IF(AN47&lt;AO47,CONCATENATE("* El total de Procesados debe ser mayor o igual al total de Reactivos en el grupo de edad ",$AN$11),"")</f>
        <v/>
      </c>
      <c r="CX47" s="219">
        <f>IF(AP47&lt;AQ47,CONCATENATE("* El total de Procesados debe ser mayor o igual al total de Reactivos en el grupo de edad ",$AP$11),"")</f>
        <v/>
      </c>
      <c r="DE47" s="226" t="n"/>
      <c r="DF47" s="378">
        <f>IF(B47&lt;&gt;(AS47+AR47),1,0)</f>
        <v/>
      </c>
      <c r="DG47" s="376">
        <f>IF(AND($B47&gt;0,AND(AT47="",AU47="")),1,IF((AT47+AU47)&gt;$B47,1,0))</f>
        <v/>
      </c>
      <c r="DH47" s="376">
        <f>IF(AND($B47&gt;0,AV47=""),1,IF(AV47&gt;$B47,1,0))</f>
        <v/>
      </c>
      <c r="DI47" s="376">
        <f>IF(AND($B47&gt;0,AW47=""),1,IF(AW47&gt;$B47,1,0))</f>
        <v/>
      </c>
      <c r="DJ47" s="376">
        <f>IF(D47&lt;E47,1,0)</f>
        <v/>
      </c>
      <c r="DK47" s="376">
        <f>IF(F47&lt;G47,1,0)</f>
        <v/>
      </c>
      <c r="DL47" s="376">
        <f>IF(H47&lt;I47,1,0)</f>
        <v/>
      </c>
      <c r="DM47" s="376">
        <f>IF(J47&lt;K47,1,0)</f>
        <v/>
      </c>
      <c r="DN47" s="376">
        <f>IF(L47&lt;M47,1,0)</f>
        <v/>
      </c>
      <c r="DO47" s="376">
        <f>IF(N47&lt;O47,1,0)</f>
        <v/>
      </c>
      <c r="DP47" s="376">
        <f>IF(P47&lt;Q47,1,0)</f>
        <v/>
      </c>
      <c r="DQ47" s="376">
        <f>IF(R47&lt;S47,1,0)</f>
        <v/>
      </c>
      <c r="DR47" s="376">
        <f>IF($T47&lt;$U47,1,0)</f>
        <v/>
      </c>
      <c r="DS47" s="376">
        <f>IF(V47&lt;W47,1,0)</f>
        <v/>
      </c>
      <c r="DT47" s="376">
        <f>IF(X47&lt;Y47,1,0)</f>
        <v/>
      </c>
      <c r="DU47" s="376">
        <f>IF(Z47&lt;AA47,1,0)</f>
        <v/>
      </c>
      <c r="DV47" s="376">
        <f>IF(AB47&lt;AC47,1,0)</f>
        <v/>
      </c>
      <c r="DW47" s="376">
        <f>IF(AD47&lt;AE47,1,0)</f>
        <v/>
      </c>
      <c r="DX47" s="376">
        <f>IF(AF47&lt;AG47,1,0)</f>
        <v/>
      </c>
      <c r="DY47" s="376">
        <f>IF(AH47&lt;AI47,1,0)</f>
        <v/>
      </c>
      <c r="DZ47" s="376">
        <f>IF(AJ47&lt;AK47,1,0)</f>
        <v/>
      </c>
      <c r="EA47" s="376">
        <f>IF(AL47&lt;AM47,1,0)</f>
        <v/>
      </c>
      <c r="EB47" s="376">
        <f>IF(AN47&lt;AO47,1,0)</f>
        <v/>
      </c>
      <c r="EC47" s="376">
        <f>IF(AP47&lt;AQ47,1,0)</f>
        <v/>
      </c>
    </row>
    <row r="48">
      <c r="A48" s="3102" t="inlineStr">
        <is>
          <t>Personas EMP/EMPAM</t>
        </is>
      </c>
      <c r="B48" s="3103">
        <f>+P48+R48+T48+V48+X48+Z48+AB48+AD48+AF48+AH48+AJ48+AL48+AN48+AP48</f>
        <v/>
      </c>
      <c r="C48" s="1171">
        <f>+Q48+S48+U48+W48+Y48+AA48+AC48+AE48+AG48+AI48+AK48+AM48+AO48+AQ48</f>
        <v/>
      </c>
      <c r="D48" s="3112" t="n"/>
      <c r="E48" s="3105" t="n"/>
      <c r="F48" s="3104" t="n"/>
      <c r="G48" s="3105" t="n"/>
      <c r="H48" s="3104" t="n"/>
      <c r="I48" s="3105" t="n"/>
      <c r="J48" s="3104" t="n"/>
      <c r="K48" s="3105" t="n"/>
      <c r="L48" s="3104" t="n"/>
      <c r="M48" s="3106" t="n"/>
      <c r="N48" s="3112" t="n"/>
      <c r="O48" s="3105" t="n"/>
      <c r="P48" s="3108" t="n">
        <v>1</v>
      </c>
      <c r="Q48" s="3107" t="n">
        <v>0</v>
      </c>
      <c r="R48" s="3108" t="n">
        <v>0</v>
      </c>
      <c r="S48" s="3107" t="n">
        <v>0</v>
      </c>
      <c r="T48" s="3108" t="n">
        <v>2</v>
      </c>
      <c r="U48" s="3107" t="n">
        <v>0</v>
      </c>
      <c r="V48" s="3108" t="n">
        <v>1</v>
      </c>
      <c r="W48" s="3107" t="n">
        <v>0</v>
      </c>
      <c r="X48" s="3108" t="n">
        <v>1</v>
      </c>
      <c r="Y48" s="3107" t="n">
        <v>0</v>
      </c>
      <c r="Z48" s="3108" t="n">
        <v>1</v>
      </c>
      <c r="AA48" s="3107" t="n">
        <v>0</v>
      </c>
      <c r="AB48" s="3108" t="n">
        <v>2</v>
      </c>
      <c r="AC48" s="3107" t="n">
        <v>0</v>
      </c>
      <c r="AD48" s="3108" t="n">
        <v>0</v>
      </c>
      <c r="AE48" s="3107" t="n">
        <v>0</v>
      </c>
      <c r="AF48" s="3108" t="n">
        <v>0</v>
      </c>
      <c r="AG48" s="3107" t="n">
        <v>0</v>
      </c>
      <c r="AH48" s="3108" t="n">
        <v>0</v>
      </c>
      <c r="AI48" s="3107" t="n">
        <v>0</v>
      </c>
      <c r="AJ48" s="3108" t="n">
        <v>1</v>
      </c>
      <c r="AK48" s="3107" t="n">
        <v>0</v>
      </c>
      <c r="AL48" s="3108" t="n">
        <v>1</v>
      </c>
      <c r="AM48" s="3107" t="n">
        <v>0</v>
      </c>
      <c r="AN48" s="3108" t="n">
        <v>0</v>
      </c>
      <c r="AO48" s="3107" t="n">
        <v>0</v>
      </c>
      <c r="AP48" s="3108" t="n">
        <v>1</v>
      </c>
      <c r="AQ48" s="3098" t="n">
        <v>0</v>
      </c>
      <c r="AR48" s="3100" t="n">
        <v>11</v>
      </c>
      <c r="AS48" s="3098" t="n">
        <v>0</v>
      </c>
      <c r="AT48" s="3099" t="n">
        <v>0</v>
      </c>
      <c r="AU48" s="3098" t="n">
        <v>0</v>
      </c>
      <c r="AV48" s="3660" t="n">
        <v>0</v>
      </c>
      <c r="AW48" s="4008" t="n">
        <v>0</v>
      </c>
      <c r="AX48" s="218">
        <f>$CA48&amp;CB48&amp;CC48&amp;$CD48&amp;CJ48&amp;CK48&amp;CL48&amp;CM48&amp;CN48&amp;CO48&amp;CP48&amp;CQ48&amp;CR48&amp;CS48&amp;CT48&amp;CU48&amp;CV48&amp;CW48&amp;CX48</f>
        <v/>
      </c>
      <c r="CA48" s="219">
        <f>IF(B48&lt;&gt;(AS48+AR48)," * La suma de las columnas "&amp;AR$10&amp;""&amp;" DEBE SER IGUAL a los Exámenes Procesados. ","")</f>
        <v/>
      </c>
      <c r="CB48" s="219">
        <f>IF(AND($B48&gt;0,AND(AT48="",AU48="")),"* No olvide ingresar las columnas Trans Masculino o Femenino (*Digite CERO si no tiene). ",IF((AT48+AU48)&gt;$B48,"* El Número de Trans Masculino o Femenino no puede superar el Total Procesados. ",""))</f>
        <v/>
      </c>
      <c r="CC48" s="219">
        <f>IF(AND($B48&gt;0,AV48=""),"* No olvide ingresar la columna "&amp;AV$10&amp;""&amp;" *(Digite CERO si no tiene). ",IF(AV48&gt;$B48," *El Número de "&amp;AV$10&amp;""&amp;" no puede superar el Total Procesados. ",""))</f>
        <v/>
      </c>
      <c r="CD48" s="219">
        <f>IF(AND($B48&gt;0,AW48=""),"* No olvide ingresar la columna "&amp;AW$10&amp;""&amp;" *(Digite CERO si no tiene). ",IF(AW48&gt;$B48," *El Número de "&amp;AW$10&amp;""&amp;" no puede superar el Total Procesados. ",""))</f>
        <v/>
      </c>
      <c r="CE48" s="377" t="n"/>
      <c r="CF48" s="377" t="n"/>
      <c r="CG48" s="222" t="n"/>
      <c r="CH48" s="222" t="n"/>
      <c r="CI48" s="222" t="n"/>
      <c r="CJ48" s="377" t="n"/>
      <c r="CK48" s="219">
        <f>IF(P48&lt;Q48,CONCATENATE("* El total de Procesados debe ser mayor o igual al total de Reactivos en el grupo de edad ",$P$11),"")</f>
        <v/>
      </c>
      <c r="CL48" s="219">
        <f>IF(R48&lt;S48,CONCATENATE("* El total de Procesados debe ser mayor o igual al total de Reactivos en el grupo de edad ",$R$11),"")</f>
        <v/>
      </c>
      <c r="CM48" s="219">
        <f>IF($T48&lt;$U48,CONCATENATE("* El total de Procesados debe ser mayor o igual al total de Reactivos en el grupo de edad ",$T$11),"")</f>
        <v/>
      </c>
      <c r="CN48" s="219">
        <f>IF(V48&lt;W48,CONCATENATE("* El total de Procesados debe ser mayor o igual al total de Reactivos en el grupo de edad ",$V$11),"")</f>
        <v/>
      </c>
      <c r="CO48" s="219">
        <f>IF(X48&lt;Y48,CONCATENATE("* El total de Procesados debe ser mayor o igual al total de Reactivos en el grupo de edad ",$X$11),"")</f>
        <v/>
      </c>
      <c r="CP48" s="219">
        <f>IF(Z48&lt;AA48,CONCATENATE("* El total de Procesados debe ser mayor o igual al total de Reactivos en el grupo de edad ",$Z$11),"")</f>
        <v/>
      </c>
      <c r="CQ48" s="219">
        <f>IF(AB48&lt;AC48,CONCATENATE("* El total de Procesados debe ser mayor o igual al total de Reactivos en el grupo de edad ",$AB$11),"")</f>
        <v/>
      </c>
      <c r="CR48" s="219">
        <f>IF(AD48&lt;AE48,CONCATENATE("* El total de Procesados debe ser mayor o igual al total de Reactivos en el grupo de edad ",$AD$11),"")</f>
        <v/>
      </c>
      <c r="CS48" s="219">
        <f>IF(AF48&lt;AG48,CONCATENATE("* El total de Procesados debe ser mayor o igual al total de Reactivos en el grupo de edad ",$AF$11),"")</f>
        <v/>
      </c>
      <c r="CT48" s="219">
        <f>IF(AH48&lt;AI48,CONCATENATE("* El total de Procesados debe ser mayor o igual al total de Reactivos en el grupo de edad ",$AH$11),"")</f>
        <v/>
      </c>
      <c r="CU48" s="219">
        <f>IF(AJ48&lt;AK48,CONCATENATE("* El total de Procesados debe ser mayor o igual al total de Reactivos en el grupo de edad ",$AJ$11),"")</f>
        <v/>
      </c>
      <c r="CV48" s="219">
        <f>IF(AL48&lt;AM48,CONCATENATE("* El total de Procesados debe ser mayor o igual al total de Reactivos en el grupo de edad ",$AL$11),"")</f>
        <v/>
      </c>
      <c r="CW48" s="219">
        <f>IF(AN48&lt;AO48,CONCATENATE("* El total de Procesados debe ser mayor o igual al total de Reactivos en el grupo de edad ",$AN$11),"")</f>
        <v/>
      </c>
      <c r="CX48" s="219">
        <f>IF(AP48&lt;AQ48,CONCATENATE("* El total de Procesados debe ser mayor o igual al total de Reactivos en el grupo de edad ",$AP$11),"")</f>
        <v/>
      </c>
      <c r="DE48" s="226" t="n"/>
      <c r="DF48" s="378">
        <f>IF(B48&lt;&gt;(AS48+AR48),1,0)</f>
        <v/>
      </c>
      <c r="DG48" s="376">
        <f>IF(AND($B48&gt;0,AND(AT48="",AU48="")),1,IF((AT48+AU48)&gt;$B48,1,0))</f>
        <v/>
      </c>
      <c r="DH48" s="376">
        <f>IF(AND($B48&gt;0,AV48=""),1,IF(AV48&gt;$B48,1,0))</f>
        <v/>
      </c>
      <c r="DI48" s="376">
        <f>IF(AND($B48&gt;0,AW48=""),1,IF(AW48&gt;$B48,1,0))</f>
        <v/>
      </c>
      <c r="DJ48" s="222" t="n"/>
      <c r="DK48" s="222" t="n"/>
      <c r="DL48" s="222" t="n"/>
      <c r="DM48" s="222" t="n"/>
      <c r="DN48" s="222" t="n"/>
      <c r="DO48" s="220" t="n"/>
      <c r="DP48" s="376">
        <f>IF(P48&lt;Q48,1,0)</f>
        <v/>
      </c>
      <c r="DQ48" s="376">
        <f>IF(R48&lt;S48,1,0)</f>
        <v/>
      </c>
      <c r="DR48" s="376">
        <f>IF($T48&lt;$U48,1,0)</f>
        <v/>
      </c>
      <c r="DS48" s="376">
        <f>IF(V48&lt;W48,1,0)</f>
        <v/>
      </c>
      <c r="DT48" s="376">
        <f>IF(X48&lt;Y48,1,0)</f>
        <v/>
      </c>
      <c r="DU48" s="376">
        <f>IF(Z48&lt;AA48,1,0)</f>
        <v/>
      </c>
      <c r="DV48" s="376">
        <f>IF(AB48&lt;AC48,1,0)</f>
        <v/>
      </c>
      <c r="DW48" s="376">
        <f>IF(AD48&lt;AE48,1,0)</f>
        <v/>
      </c>
      <c r="DX48" s="376">
        <f>IF(AF48&lt;AG48,1,0)</f>
        <v/>
      </c>
      <c r="DY48" s="376">
        <f>IF(AH48&lt;AI48,1,0)</f>
        <v/>
      </c>
      <c r="DZ48" s="376">
        <f>IF(AJ48&lt;AK48,1,0)</f>
        <v/>
      </c>
      <c r="EA48" s="376">
        <f>IF(AL48&lt;AM48,1,0)</f>
        <v/>
      </c>
      <c r="EB48" s="376">
        <f>IF(AN48&lt;AO48,1,0)</f>
        <v/>
      </c>
      <c r="EC48" s="376">
        <f>IF(AP48&lt;AQ48,1,0)</f>
        <v/>
      </c>
    </row>
    <row r="49">
      <c r="A49" s="3119" t="inlineStr">
        <is>
          <t>Donantes de sangre</t>
        </is>
      </c>
      <c r="B49" s="3103">
        <f>+P49+R49+T49+V49+X49+Z49+AB49+AD49+AF49+AH49</f>
        <v/>
      </c>
      <c r="C49" s="1171">
        <f>+Q49+S49+U49+W49+Y49+AA49+AC49+AE49+AG49+AI49</f>
        <v/>
      </c>
      <c r="D49" s="3112" t="n"/>
      <c r="E49" s="3105" t="n"/>
      <c r="F49" s="3104" t="n"/>
      <c r="G49" s="3105" t="n"/>
      <c r="H49" s="3104" t="n"/>
      <c r="I49" s="3105" t="n"/>
      <c r="J49" s="3104" t="n"/>
      <c r="K49" s="3105" t="n"/>
      <c r="L49" s="3104" t="n"/>
      <c r="M49" s="3106" t="n"/>
      <c r="N49" s="3112" t="n"/>
      <c r="O49" s="3105" t="n"/>
      <c r="P49" s="3108" t="n"/>
      <c r="Q49" s="3107" t="n"/>
      <c r="R49" s="3108" t="n"/>
      <c r="S49" s="3107" t="n"/>
      <c r="T49" s="3108" t="n"/>
      <c r="U49" s="3107" t="n"/>
      <c r="V49" s="3108" t="n"/>
      <c r="W49" s="3107" t="n"/>
      <c r="X49" s="3108" t="n"/>
      <c r="Y49" s="3107" t="n"/>
      <c r="Z49" s="3108" t="n"/>
      <c r="AA49" s="3107" t="n"/>
      <c r="AB49" s="3108" t="n"/>
      <c r="AC49" s="3107" t="n"/>
      <c r="AD49" s="3108" t="n"/>
      <c r="AE49" s="3107" t="n"/>
      <c r="AF49" s="3108" t="n"/>
      <c r="AG49" s="3107" t="n"/>
      <c r="AH49" s="3108" t="n"/>
      <c r="AI49" s="3107" t="n"/>
      <c r="AJ49" s="3104" t="n"/>
      <c r="AK49" s="3105" t="n"/>
      <c r="AL49" s="3104" t="n"/>
      <c r="AM49" s="3105" t="n"/>
      <c r="AN49" s="3104" t="n"/>
      <c r="AO49" s="3105" t="n"/>
      <c r="AP49" s="3104" t="n"/>
      <c r="AQ49" s="3114" t="n"/>
      <c r="AR49" s="3100" t="n"/>
      <c r="AS49" s="3098" t="n"/>
      <c r="AT49" s="3099" t="n"/>
      <c r="AU49" s="3098" t="n"/>
      <c r="AV49" s="3660" t="n"/>
      <c r="AW49" s="4008" t="n"/>
      <c r="AX49" s="218">
        <f>$CA49&amp;CB49&amp;CC49&amp;$CD49&amp;CK49&amp;CL49&amp;CM49&amp;CN49&amp;CO49&amp;CP49&amp;CQ49&amp;CR49&amp;CS49&amp;CT49</f>
        <v/>
      </c>
      <c r="CA49" s="219">
        <f>IF(B49&lt;&gt;(AS49+AR49)," * La suma de las columnas "&amp;AR$10&amp;""&amp;" DEBE SER IGUAL a los Exámenes Procesados. ","")</f>
        <v/>
      </c>
      <c r="CB49" s="219">
        <f>IF(AND($B49&gt;0,AND(AT49="",AU49="")),"* No olvide ingresar las columnas Trans Masculino o Femenino (*Digite CERO si no tiene). ",IF((AT49+AU49)&gt;$B49,"* El Número de Trans Masculino o Femenino no puede superar el Total Procesados. ",""))</f>
        <v/>
      </c>
      <c r="CC49" s="219">
        <f>IF(AND($B49&gt;0,AV49=""),"* No olvide ingresar la columna "&amp;AV$10&amp;""&amp;" *(Digite CERO si no tiene). ",IF(AV49&gt;$B49," *El Número de "&amp;AV$10&amp;""&amp;" no puede superar el Total Procesados. ",""))</f>
        <v/>
      </c>
      <c r="CD49" s="219">
        <f>IF(AND($B49&gt;0,AW49=""),"* No olvide ingresar la columna "&amp;AW$10&amp;""&amp;" *(Digite CERO si no tiene). ",IF(AW49&gt;$B49," *El Número de "&amp;AW$10&amp;""&amp;" no puede superar el Total Procesados. ",""))</f>
        <v/>
      </c>
      <c r="CE49" s="377" t="n"/>
      <c r="CF49" s="377" t="n"/>
      <c r="CG49" s="222" t="n"/>
      <c r="CH49" s="222" t="n"/>
      <c r="CI49" s="222" t="n"/>
      <c r="CJ49" s="377" t="n"/>
      <c r="CK49" s="219">
        <f>IF(P49&lt;Q49,CONCATENATE("* El total de Procesados debe ser mayor o igual al total de Reactivos en el grupo de edad ",$P$11),"")</f>
        <v/>
      </c>
      <c r="CL49" s="219">
        <f>IF(R49&lt;S49,CONCATENATE("* El total de Procesados debe ser mayor o igual al total de Reactivos en el grupo de edad ",$R$11),"")</f>
        <v/>
      </c>
      <c r="CM49" s="219">
        <f>IF($T49&lt;$U49,CONCATENATE("* El total de Procesados debe ser mayor o igual al total de Reactivos en el grupo de edad ",$T$11),"")</f>
        <v/>
      </c>
      <c r="CN49" s="219">
        <f>IF(V49&lt;W49,CONCATENATE("* El total de Procesados debe ser mayor o igual al total de Reactivos en el grupo de edad ",$V$11),"")</f>
        <v/>
      </c>
      <c r="CO49" s="219">
        <f>IF(X49&lt;Y49,CONCATENATE("* El total de Procesados debe ser mayor o igual al total de Reactivos en el grupo de edad ",$X$11),"")</f>
        <v/>
      </c>
      <c r="CP49" s="219">
        <f>IF(Z49&lt;AA49,CONCATENATE("* El total de Procesados debe ser mayor o igual al total de Reactivos en el grupo de edad ",$Z$11),"")</f>
        <v/>
      </c>
      <c r="CQ49" s="219">
        <f>IF(AB49&lt;AC49,CONCATENATE("* El total de Procesados debe ser mayor o igual al total de Reactivos en el grupo de edad ",$AB$11),"")</f>
        <v/>
      </c>
      <c r="CR49" s="219">
        <f>IF(AD49&lt;AE49,CONCATENATE("* El total de Procesados debe ser mayor o igual al total de Reactivos en el grupo de edad ",$AD$11),"")</f>
        <v/>
      </c>
      <c r="CS49" s="219">
        <f>IF(AF49&lt;AG49,CONCATENATE("* El total de Procesados debe ser mayor o igual al total de Reactivos en el grupo de edad ",$AF$11),"")</f>
        <v/>
      </c>
      <c r="CT49" s="219">
        <f>IF(AH49&lt;AI49,CONCATENATE("* El total de Procesados debe ser mayor o igual al total de Reactivos en el grupo de edad ",$AH$11),"")</f>
        <v/>
      </c>
      <c r="CU49" s="220" t="n"/>
      <c r="CV49" s="220" t="n"/>
      <c r="CW49" s="220" t="n"/>
      <c r="CX49" s="220" t="n"/>
      <c r="DE49" s="226" t="n"/>
      <c r="DF49" s="378">
        <f>IF(B49&lt;&gt;(AS49+AR49),1,0)</f>
        <v/>
      </c>
      <c r="DG49" s="376">
        <f>IF(AND($B49&gt;0,AND(AT49="",AU49="")),1,IF((AT49+AU49)&gt;$B49,1,0))</f>
        <v/>
      </c>
      <c r="DH49" s="376">
        <f>IF(AND($B49&gt;0,AV49=""),1,IF(AV49&gt;$B49,1,0))</f>
        <v/>
      </c>
      <c r="DI49" s="376">
        <f>IF(AND($B49&gt;0,AW49=""),1,IF(AW49&gt;$B49,1,0))</f>
        <v/>
      </c>
      <c r="DJ49" s="222" t="n"/>
      <c r="DK49" s="222" t="n"/>
      <c r="DL49" s="222" t="n"/>
      <c r="DM49" s="222" t="n"/>
      <c r="DN49" s="222" t="n"/>
      <c r="DO49" s="220" t="n"/>
      <c r="DP49" s="376">
        <f>IF(P49&lt;Q49,1,0)</f>
        <v/>
      </c>
      <c r="DQ49" s="376">
        <f>IF(R49&lt;S49,1,0)</f>
        <v/>
      </c>
      <c r="DR49" s="376">
        <f>IF($T49&lt;$U49,1,0)</f>
        <v/>
      </c>
      <c r="DS49" s="376">
        <f>IF(V49&lt;W49,1,0)</f>
        <v/>
      </c>
      <c r="DT49" s="376">
        <f>IF(X49&lt;Y49,1,0)</f>
        <v/>
      </c>
      <c r="DU49" s="376">
        <f>IF(Z49&lt;AA49,1,0)</f>
        <v/>
      </c>
      <c r="DV49" s="376">
        <f>IF(AB49&lt;AC49,1,0)</f>
        <v/>
      </c>
      <c r="DW49" s="376">
        <f>IF(AD49&lt;AE49,1,0)</f>
        <v/>
      </c>
      <c r="DX49" s="376">
        <f>IF(AF49&lt;AG49,1,0)</f>
        <v/>
      </c>
      <c r="DY49" s="376">
        <f>IF(AH49&lt;AI49,1,0)</f>
        <v/>
      </c>
      <c r="DZ49" s="220" t="n"/>
      <c r="EA49" s="220" t="n"/>
      <c r="EB49" s="220" t="n"/>
      <c r="EC49" s="220" t="n"/>
    </row>
    <row r="50">
      <c r="A50" s="3119" t="inlineStr">
        <is>
          <t>Donantes de órganos y/o tejidos</t>
        </is>
      </c>
      <c r="B50" s="3103">
        <f>+D50+F50+H50+J50+L50+N50+P50+R50+T50+V50+X50+Z50+AB50+AD50+AF50+AH50+AJ50+AL50+AN50+AP50</f>
        <v/>
      </c>
      <c r="C50" s="1171">
        <f>+E50+G50+I50+K50+M50+O50+Q50+S50+U50+W50+Y50+AA50+AC50+AE50+AG50+AI50+AK50+AM50+AO50+AQ50</f>
        <v/>
      </c>
      <c r="D50" s="3100" t="n"/>
      <c r="E50" s="3107" t="n"/>
      <c r="F50" s="3108" t="n"/>
      <c r="G50" s="3107" t="n"/>
      <c r="H50" s="3108" t="n"/>
      <c r="I50" s="3101" t="n"/>
      <c r="J50" s="3100" t="n"/>
      <c r="K50" s="3100" t="n"/>
      <c r="L50" s="3108" t="n"/>
      <c r="M50" s="3101" t="n"/>
      <c r="N50" s="3100" t="n"/>
      <c r="O50" s="3107" t="n"/>
      <c r="P50" s="3108" t="n"/>
      <c r="Q50" s="3107" t="n"/>
      <c r="R50" s="3108" t="n"/>
      <c r="S50" s="3107" t="n"/>
      <c r="T50" s="3108" t="n"/>
      <c r="U50" s="3107" t="n"/>
      <c r="V50" s="3108" t="n"/>
      <c r="W50" s="3107" t="n"/>
      <c r="X50" s="3108" t="n"/>
      <c r="Y50" s="3107" t="n"/>
      <c r="Z50" s="3108" t="n"/>
      <c r="AA50" s="3107" t="n"/>
      <c r="AB50" s="3108" t="n"/>
      <c r="AC50" s="3107" t="n"/>
      <c r="AD50" s="3108" t="n"/>
      <c r="AE50" s="3107" t="n"/>
      <c r="AF50" s="3108" t="n"/>
      <c r="AG50" s="3107" t="n"/>
      <c r="AH50" s="3108" t="n"/>
      <c r="AI50" s="3107" t="n"/>
      <c r="AJ50" s="3108" t="n"/>
      <c r="AK50" s="3107" t="n"/>
      <c r="AL50" s="3108" t="n"/>
      <c r="AM50" s="3107" t="n"/>
      <c r="AN50" s="3108" t="n"/>
      <c r="AO50" s="3107" t="n"/>
      <c r="AP50" s="3108" t="n"/>
      <c r="AQ50" s="3098" t="n"/>
      <c r="AR50" s="3100" t="n"/>
      <c r="AS50" s="3098" t="n"/>
      <c r="AT50" s="3099" t="n"/>
      <c r="AU50" s="3098" t="n"/>
      <c r="AV50" s="3660" t="n"/>
      <c r="AW50" s="4008" t="n"/>
      <c r="AX50" s="218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>
        <f>IF(B50&lt;&gt;(AS50+AR50)," * La suma de las columnas "&amp;AR$10&amp;""&amp;" DEBE SER IGUAL a los Exámenes Procesados. ","")</f>
        <v/>
      </c>
      <c r="CB50" s="219">
        <f>IF(AND($B50&gt;0,AND(AT50="",AU50="")),"* No olvide ingresar las columnas Trans Masculino o Femenino (*Digite CERO si no tiene). ",IF((AT50+AU50)&gt;$B50,"* El Número de Trans Masculino o Femenino no puede superar el Total Procesados. ",""))</f>
        <v/>
      </c>
      <c r="CC50" s="219">
        <f>IF(AND($B50&gt;0,AV50=""),"* No olvide ingresar la columna "&amp;AV$10&amp;""&amp;" *(Digite CERO si no tiene). ",IF(AV50&gt;$B50," *El Número de "&amp;AV$10&amp;""&amp;" no puede superar el Total Procesados. ",""))</f>
        <v/>
      </c>
      <c r="CD50" s="219">
        <f>IF(AND($B50&gt;0,AW50=""),"* No olvide ingresar la columna "&amp;AW$10&amp;""&amp;" *(Digite CERO si no tiene). ",IF(AW50&gt;$B50," *El Número de "&amp;AW$10&amp;""&amp;" no puede superar el Total Procesados. ",""))</f>
        <v/>
      </c>
      <c r="CE50" s="219">
        <f>IF(D50&lt;E50,CONCATENATE("* El total de Procesados debe ser mayor o igual al total de Reactivos en el grupo de edad ",$D$11),"")</f>
        <v/>
      </c>
      <c r="CF50" s="219">
        <f>IF(F50&lt;G50,CONCATENATE("* El total de Procesados debe ser mayor o igual al total de Reactivos en el grupo de edad ",$F$11),"")</f>
        <v/>
      </c>
      <c r="CG50" s="219">
        <f>IF(H50&lt;I50,CONCATENATE("* El total de Procesados debe ser mayor o igual al total de Reactivos en el grupo de edad ",$H$11),"")</f>
        <v/>
      </c>
      <c r="CH50" s="219">
        <f>IF(J50&lt;K50,CONCATENATE("* El total de Procesados debe ser mayor o igual al total de Reactivos en el grupo de edad ",$J$11),"")</f>
        <v/>
      </c>
      <c r="CI50" s="219">
        <f>IF(L50&lt;M50,CONCATENATE("* El total de Procesados debe ser mayor o igual al total de Reactivos en el grupo de edad ",$L$11),"")</f>
        <v/>
      </c>
      <c r="CJ50" s="219">
        <f>IF(N50&lt;O50,CONCATENATE("* El total de Procesados debe ser mayor o igual al total de Reactivos en el grupo de edad ",$N$11),"")</f>
        <v/>
      </c>
      <c r="CK50" s="219">
        <f>IF(P50&lt;Q50,CONCATENATE("* El total de Procesados debe ser mayor o igual al total de Reactivos en el grupo de edad ",$P$11),"")</f>
        <v/>
      </c>
      <c r="CL50" s="219">
        <f>IF(R50&lt;S50,CONCATENATE("* El total de Procesados debe ser mayor o igual al total de Reactivos en el grupo de edad ",$R$11),"")</f>
        <v/>
      </c>
      <c r="CM50" s="219">
        <f>IF($T50&lt;$U50,CONCATENATE("* El total de Procesados debe ser mayor o igual al total de Reactivos en el grupo de edad ",$T$11),"")</f>
        <v/>
      </c>
      <c r="CN50" s="219">
        <f>IF(V50&lt;W50,CONCATENATE("* El total de Procesados debe ser mayor o igual al total de Reactivos en el grupo de edad ",$V$11),"")</f>
        <v/>
      </c>
      <c r="CO50" s="219">
        <f>IF(X50&lt;Y50,CONCATENATE("* El total de Procesados debe ser mayor o igual al total de Reactivos en el grupo de edad ",$X$11),"")</f>
        <v/>
      </c>
      <c r="CP50" s="219">
        <f>IF(Z50&lt;AA50,CONCATENATE("* El total de Procesados debe ser mayor o igual al total de Reactivos en el grupo de edad ",$Z$11),"")</f>
        <v/>
      </c>
      <c r="CQ50" s="219">
        <f>IF(AB50&lt;AC50,CONCATENATE("* El total de Procesados debe ser mayor o igual al total de Reactivos en el grupo de edad ",$AB$11),"")</f>
        <v/>
      </c>
      <c r="CR50" s="219">
        <f>IF(AD50&lt;AE50,CONCATENATE("* El total de Procesados debe ser mayor o igual al total de Reactivos en el grupo de edad ",$AD$11),"")</f>
        <v/>
      </c>
      <c r="CS50" s="219">
        <f>IF(AF50&lt;AG50,CONCATENATE("* El total de Procesados debe ser mayor o igual al total de Reactivos en el grupo de edad ",$AF$11),"")</f>
        <v/>
      </c>
      <c r="CT50" s="219">
        <f>IF(AH50&lt;AI50,CONCATENATE("* El total de Procesados debe ser mayor o igual al total de Reactivos en el grupo de edad ",$AH$11),"")</f>
        <v/>
      </c>
      <c r="CU50" s="219">
        <f>IF(AJ50&lt;AK50,CONCATENATE("* El total de Procesados debe ser mayor o igual al total de Reactivos en el grupo de edad ",$AJ$11),"")</f>
        <v/>
      </c>
      <c r="CV50" s="219">
        <f>IF(AL50&lt;AM50,CONCATENATE("* El total de Procesados debe ser mayor o igual al total de Reactivos en el grupo de edad ",$AL$11),"")</f>
        <v/>
      </c>
      <c r="CW50" s="219">
        <f>IF(AN50&lt;AO50,CONCATENATE("* El total de Procesados debe ser mayor o igual al total de Reactivos en el grupo de edad ",$AN$11),"")</f>
        <v/>
      </c>
      <c r="CX50" s="219">
        <f>IF(AP50&lt;AQ50,CONCATENATE("* El total de Procesados debe ser mayor o igual al total de Reactivos en el grupo de edad ",$AP$11),"")</f>
        <v/>
      </c>
      <c r="DE50" s="226" t="n"/>
      <c r="DF50" s="378">
        <f>IF(B50&lt;&gt;(AS50+AR50),1,0)</f>
        <v/>
      </c>
      <c r="DG50" s="376">
        <f>IF(AND($B50&gt;0,AND(AT50="",AU50="")),1,IF((AT50+AU50)&gt;$B50,1,0))</f>
        <v/>
      </c>
      <c r="DH50" s="376">
        <f>IF(AND($B50&gt;0,AV50=""),1,IF(AV50&gt;$B50,1,0))</f>
        <v/>
      </c>
      <c r="DI50" s="376">
        <f>IF(AND($B50&gt;0,AW50=""),1,IF(AW50&gt;$B50,1,0))</f>
        <v/>
      </c>
      <c r="DJ50" s="376">
        <f>IF(D50&lt;E50,1,0)</f>
        <v/>
      </c>
      <c r="DK50" s="376">
        <f>IF(F50&lt;G50,1,0)</f>
        <v/>
      </c>
      <c r="DL50" s="376">
        <f>IF(H50&lt;I50,1,0)</f>
        <v/>
      </c>
      <c r="DM50" s="376">
        <f>IF(J50&lt;K50,1,0)</f>
        <v/>
      </c>
      <c r="DN50" s="376">
        <f>IF(L50&lt;M50,1,0)</f>
        <v/>
      </c>
      <c r="DO50" s="376">
        <f>IF(N50&lt;O50,1,0)</f>
        <v/>
      </c>
      <c r="DP50" s="376">
        <f>IF(P50&lt;Q50,1,0)</f>
        <v/>
      </c>
      <c r="DQ50" s="376">
        <f>IF(R50&lt;S50,1,0)</f>
        <v/>
      </c>
      <c r="DR50" s="376">
        <f>IF($T50&lt;$U50,1,0)</f>
        <v/>
      </c>
      <c r="DS50" s="376">
        <f>IF(V50&lt;W50,1,0)</f>
        <v/>
      </c>
      <c r="DT50" s="376">
        <f>IF(X50&lt;Y50,1,0)</f>
        <v/>
      </c>
      <c r="DU50" s="376">
        <f>IF(Z50&lt;AA50,1,0)</f>
        <v/>
      </c>
      <c r="DV50" s="376">
        <f>IF(AB50&lt;AC50,1,0)</f>
        <v/>
      </c>
      <c r="DW50" s="376">
        <f>IF(AD50&lt;AE50,1,0)</f>
        <v/>
      </c>
      <c r="DX50" s="376">
        <f>IF(AF50&lt;AG50,1,0)</f>
        <v/>
      </c>
      <c r="DY50" s="376">
        <f>IF(AH50&lt;AI50,1,0)</f>
        <v/>
      </c>
      <c r="DZ50" s="376">
        <f>IF(AJ50&lt;AK50,1,0)</f>
        <v/>
      </c>
      <c r="EA50" s="376">
        <f>IF(AL50&lt;AM50,1,0)</f>
        <v/>
      </c>
      <c r="EB50" s="376">
        <f>IF(AN50&lt;AO50,1,0)</f>
        <v/>
      </c>
      <c r="EC50" s="376">
        <f>IF(AP50&lt;AQ50,1,0)</f>
        <v/>
      </c>
    </row>
    <row r="51">
      <c r="A51" s="3119" t="inlineStr">
        <is>
          <t>Pacientes en diálisis</t>
        </is>
      </c>
      <c r="B51" s="3103">
        <f>+D51+F51+H51+J51+L51+N51+P51+R51+T51+V51+X51+Z51+AB51+AD51+AF51+AH51+AJ51+AL51+AN51+AP51</f>
        <v/>
      </c>
      <c r="C51" s="1171">
        <f>+E51+G51+I51+K51+M51+O51+Q51+S51+U51+W51+Y51+AA51+AC51+AE51+AG51+AI51+AK51+AM51+AO51+AQ51</f>
        <v/>
      </c>
      <c r="D51" s="3100" t="n"/>
      <c r="E51" s="3107" t="n"/>
      <c r="F51" s="3108" t="n"/>
      <c r="G51" s="3107" t="n"/>
      <c r="H51" s="3108" t="n"/>
      <c r="I51" s="3101" t="n"/>
      <c r="J51" s="3100" t="n"/>
      <c r="K51" s="3100" t="n"/>
      <c r="L51" s="3108" t="n"/>
      <c r="M51" s="3101" t="n"/>
      <c r="N51" s="3100" t="n"/>
      <c r="O51" s="3107" t="n"/>
      <c r="P51" s="3108" t="n"/>
      <c r="Q51" s="3107" t="n"/>
      <c r="R51" s="3108" t="n"/>
      <c r="S51" s="3107" t="n"/>
      <c r="T51" s="3108" t="n"/>
      <c r="U51" s="3107" t="n"/>
      <c r="V51" s="3108" t="n"/>
      <c r="W51" s="3107" t="n"/>
      <c r="X51" s="3108" t="n"/>
      <c r="Y51" s="3107" t="n"/>
      <c r="Z51" s="3108" t="n"/>
      <c r="AA51" s="3107" t="n"/>
      <c r="AB51" s="3108" t="n"/>
      <c r="AC51" s="3107" t="n"/>
      <c r="AD51" s="3108" t="n"/>
      <c r="AE51" s="3107" t="n"/>
      <c r="AF51" s="3108" t="n"/>
      <c r="AG51" s="3107" t="n"/>
      <c r="AH51" s="3108" t="n"/>
      <c r="AI51" s="3107" t="n"/>
      <c r="AJ51" s="3108" t="n"/>
      <c r="AK51" s="3107" t="n"/>
      <c r="AL51" s="3108" t="n"/>
      <c r="AM51" s="3107" t="n"/>
      <c r="AN51" s="3108" t="n"/>
      <c r="AO51" s="3107" t="n"/>
      <c r="AP51" s="3108" t="n"/>
      <c r="AQ51" s="3098" t="n"/>
      <c r="AR51" s="3100" t="n"/>
      <c r="AS51" s="3098" t="n"/>
      <c r="AT51" s="3099" t="n"/>
      <c r="AU51" s="3098" t="n"/>
      <c r="AV51" s="3660" t="n"/>
      <c r="AW51" s="4008" t="n"/>
      <c r="AX51" s="218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>
        <f>IF(B51&lt;&gt;(AS51+AR51)," * La suma de las columnas "&amp;AR$10&amp;""&amp;" DEBE SER IGUAL a los Exámenes Procesados. ","")</f>
        <v/>
      </c>
      <c r="CB51" s="219">
        <f>IF(AND($B51&gt;0,AND(AT51="",AU51="")),"* No olvide ingresar las columnas Trans Masculino o Femenino (*Digite CERO si no tiene). ",IF((AT51+AU51)&gt;$B51,"* El Número de Trans Masculino o Femenino no puede superar el Total Procesados. ",""))</f>
        <v/>
      </c>
      <c r="CC51" s="219">
        <f>IF(AND($B51&gt;0,AV51=""),"* No olvide ingresar la columna "&amp;AV$10&amp;""&amp;" *(Digite CERO si no tiene). ",IF(AV51&gt;$B51," *El Número de "&amp;AV$10&amp;""&amp;" no puede superar el Total Procesados. ",""))</f>
        <v/>
      </c>
      <c r="CD51" s="219">
        <f>IF(AND($B51&gt;0,AW51=""),"* No olvide ingresar la columna "&amp;AW$10&amp;""&amp;" *(Digite CERO si no tiene). ",IF(AW51&gt;$B51," *El Número de "&amp;AW$10&amp;""&amp;" no puede superar el Total Procesados. ",""))</f>
        <v/>
      </c>
      <c r="CE51" s="219">
        <f>IF(D51&lt;E51,CONCATENATE("* El total de Procesados debe ser mayor o igual al total de Reactivos en el grupo de edad ",$D$11),"")</f>
        <v/>
      </c>
      <c r="CF51" s="219">
        <f>IF(F51&lt;G51,CONCATENATE("* El total de Procesados debe ser mayor o igual al total de Reactivos en el grupo de edad ",$F$11),"")</f>
        <v/>
      </c>
      <c r="CG51" s="219">
        <f>IF(H51&lt;I51,CONCATENATE("* El total de Procesados debe ser mayor o igual al total de Reactivos en el grupo de edad ",$H$11),"")</f>
        <v/>
      </c>
      <c r="CH51" s="219">
        <f>IF(J51&lt;K51,CONCATENATE("* El total de Procesados debe ser mayor o igual al total de Reactivos en el grupo de edad ",$J$11),"")</f>
        <v/>
      </c>
      <c r="CI51" s="219">
        <f>IF(L51&lt;M51,CONCATENATE("* El total de Procesados debe ser mayor o igual al total de Reactivos en el grupo de edad ",$L$11),"")</f>
        <v/>
      </c>
      <c r="CJ51" s="219">
        <f>IF(N51&lt;O51,CONCATENATE("* El total de Procesados debe ser mayor o igual al total de Reactivos en el grupo de edad ",$N$11),"")</f>
        <v/>
      </c>
      <c r="CK51" s="219">
        <f>IF(P51&lt;Q51,CONCATENATE("* El total de Procesados debe ser mayor o igual al total de Reactivos en el grupo de edad ",$P$11),"")</f>
        <v/>
      </c>
      <c r="CL51" s="219">
        <f>IF(R51&lt;S51,CONCATENATE("* El total de Procesados debe ser mayor o igual al total de Reactivos en el grupo de edad ",$R$11),"")</f>
        <v/>
      </c>
      <c r="CM51" s="219">
        <f>IF($T51&lt;$U51,CONCATENATE("* El total de Procesados debe ser mayor o igual al total de Reactivos en el grupo de edad ",$T$11),"")</f>
        <v/>
      </c>
      <c r="CN51" s="219">
        <f>IF(V51&lt;W51,CONCATENATE("* El total de Procesados debe ser mayor o igual al total de Reactivos en el grupo de edad ",$V$11),"")</f>
        <v/>
      </c>
      <c r="CO51" s="219">
        <f>IF(X51&lt;Y51,CONCATENATE("* El total de Procesados debe ser mayor o igual al total de Reactivos en el grupo de edad ",$X$11),"")</f>
        <v/>
      </c>
      <c r="CP51" s="219">
        <f>IF(Z51&lt;AA51,CONCATENATE("* El total de Procesados debe ser mayor o igual al total de Reactivos en el grupo de edad ",$Z$11),"")</f>
        <v/>
      </c>
      <c r="CQ51" s="219">
        <f>IF(AB51&lt;AC51,CONCATENATE("* El total de Procesados debe ser mayor o igual al total de Reactivos en el grupo de edad ",$AB$11),"")</f>
        <v/>
      </c>
      <c r="CR51" s="219">
        <f>IF(AD51&lt;AE51,CONCATENATE("* El total de Procesados debe ser mayor o igual al total de Reactivos en el grupo de edad ",$AD$11),"")</f>
        <v/>
      </c>
      <c r="CS51" s="219">
        <f>IF(AF51&lt;AG51,CONCATENATE("* El total de Procesados debe ser mayor o igual al total de Reactivos en el grupo de edad ",$AF$11),"")</f>
        <v/>
      </c>
      <c r="CT51" s="219">
        <f>IF(AH51&lt;AI51,CONCATENATE("* El total de Procesados debe ser mayor o igual al total de Reactivos en el grupo de edad ",$AH$11),"")</f>
        <v/>
      </c>
      <c r="CU51" s="219">
        <f>IF(AJ51&lt;AK51,CONCATENATE("* El total de Procesados debe ser mayor o igual al total de Reactivos en el grupo de edad ",$AJ$11),"")</f>
        <v/>
      </c>
      <c r="CV51" s="219">
        <f>IF(AL51&lt;AM51,CONCATENATE("* El total de Procesados debe ser mayor o igual al total de Reactivos en el grupo de edad ",$AL$11),"")</f>
        <v/>
      </c>
      <c r="CW51" s="219">
        <f>IF(AN51&lt;AO51,CONCATENATE("* El total de Procesados debe ser mayor o igual al total de Reactivos en el grupo de edad ",$AN$11),"")</f>
        <v/>
      </c>
      <c r="CX51" s="219">
        <f>IF(AP51&lt;AQ51,CONCATENATE("* El total de Procesados debe ser mayor o igual al total de Reactivos en el grupo de edad ",$AP$11),"")</f>
        <v/>
      </c>
      <c r="DE51" s="226" t="n"/>
      <c r="DF51" s="378">
        <f>IF(B51&lt;&gt;(AS51+AR51),1,0)</f>
        <v/>
      </c>
      <c r="DG51" s="376">
        <f>IF(AND($B51&gt;0,AND(AT51="",AU51="")),1,IF((AT51+AU51)&gt;$B51,1,0))</f>
        <v/>
      </c>
      <c r="DH51" s="376">
        <f>IF(AND($B51&gt;0,AV51=""),1,IF(AV51&gt;$B51,1,0))</f>
        <v/>
      </c>
      <c r="DI51" s="376">
        <f>IF(AND($B51&gt;0,AW51=""),1,IF(AW51&gt;$B51,1,0))</f>
        <v/>
      </c>
      <c r="DJ51" s="376">
        <f>IF(D51&lt;E51,1,0)</f>
        <v/>
      </c>
      <c r="DK51" s="376">
        <f>IF(F51&lt;G51,1,0)</f>
        <v/>
      </c>
      <c r="DL51" s="376">
        <f>IF(H51&lt;I51,1,0)</f>
        <v/>
      </c>
      <c r="DM51" s="376">
        <f>IF(J51&lt;K51,1,0)</f>
        <v/>
      </c>
      <c r="DN51" s="376">
        <f>IF(L51&lt;M51,1,0)</f>
        <v/>
      </c>
      <c r="DO51" s="376">
        <f>IF(N51&lt;O51,1,0)</f>
        <v/>
      </c>
      <c r="DP51" s="376">
        <f>IF(P51&lt;Q51,1,0)</f>
        <v/>
      </c>
      <c r="DQ51" s="376">
        <f>IF(R51&lt;S51,1,0)</f>
        <v/>
      </c>
      <c r="DR51" s="376">
        <f>IF($T51&lt;$U51,1,0)</f>
        <v/>
      </c>
      <c r="DS51" s="376">
        <f>IF(V51&lt;W51,1,0)</f>
        <v/>
      </c>
      <c r="DT51" s="376">
        <f>IF(X51&lt;Y51,1,0)</f>
        <v/>
      </c>
      <c r="DU51" s="376">
        <f>IF(Z51&lt;AA51,1,0)</f>
        <v/>
      </c>
      <c r="DV51" s="376">
        <f>IF(AB51&lt;AC51,1,0)</f>
        <v/>
      </c>
      <c r="DW51" s="376">
        <f>IF(AD51&lt;AE51,1,0)</f>
        <v/>
      </c>
      <c r="DX51" s="376">
        <f>IF(AF51&lt;AG51,1,0)</f>
        <v/>
      </c>
      <c r="DY51" s="376">
        <f>IF(AH51&lt;AI51,1,0)</f>
        <v/>
      </c>
      <c r="DZ51" s="376">
        <f>IF(AJ51&lt;AK51,1,0)</f>
        <v/>
      </c>
      <c r="EA51" s="376">
        <f>IF(AL51&lt;AM51,1,0)</f>
        <v/>
      </c>
      <c r="EB51" s="376">
        <f>IF(AN51&lt;AO51,1,0)</f>
        <v/>
      </c>
      <c r="EC51" s="376">
        <f>IF(AP51&lt;AQ51,1,0)</f>
        <v/>
      </c>
    </row>
    <row r="52">
      <c r="A52" s="8771" t="inlineStr">
        <is>
          <t>Víctima de violencia sexual</t>
        </is>
      </c>
      <c r="B52" s="2576">
        <f>+D52+F52+H52+J52+L52+N52+P52+R52+T52+V52+X52+Z52+AB52+AD52+AF52+AH52+AJ52+AL52+AN52+AP52</f>
        <v/>
      </c>
      <c r="C52" s="2464">
        <f>+E52+G52+I52+K52+M52+O52+Q52+S52+U52+W52+Y52+AA52+AC52+AE52+AG52+AI52+AK52+AM52+AO52+AQ52</f>
        <v/>
      </c>
      <c r="D52" s="1140" t="n"/>
      <c r="E52" s="1153" t="n"/>
      <c r="F52" s="1137" t="n"/>
      <c r="G52" s="1153" t="n"/>
      <c r="H52" s="1137" t="n"/>
      <c r="I52" s="1139" t="n"/>
      <c r="J52" s="1140" t="n"/>
      <c r="K52" s="1140" t="n"/>
      <c r="L52" s="1137" t="n"/>
      <c r="M52" s="1139" t="n"/>
      <c r="N52" s="1140" t="n"/>
      <c r="O52" s="1153" t="n"/>
      <c r="P52" s="1137" t="n"/>
      <c r="Q52" s="1153" t="n"/>
      <c r="R52" s="1137" t="n"/>
      <c r="S52" s="1153" t="n"/>
      <c r="T52" s="1137" t="n"/>
      <c r="U52" s="1153" t="n"/>
      <c r="V52" s="1137" t="n"/>
      <c r="W52" s="1153" t="n"/>
      <c r="X52" s="1137" t="n"/>
      <c r="Y52" s="1153" t="n"/>
      <c r="Z52" s="1137" t="n"/>
      <c r="AA52" s="1153" t="n"/>
      <c r="AB52" s="1137" t="n"/>
      <c r="AC52" s="1153" t="n"/>
      <c r="AD52" s="1137" t="n"/>
      <c r="AE52" s="1153" t="n"/>
      <c r="AF52" s="1137" t="n"/>
      <c r="AG52" s="1153" t="n"/>
      <c r="AH52" s="1137" t="n"/>
      <c r="AI52" s="1153" t="n"/>
      <c r="AJ52" s="1137" t="n"/>
      <c r="AK52" s="1153" t="n"/>
      <c r="AL52" s="1137" t="n"/>
      <c r="AM52" s="1153" t="n"/>
      <c r="AN52" s="1137" t="n"/>
      <c r="AO52" s="1153" t="n"/>
      <c r="AP52" s="1137" t="n"/>
      <c r="AQ52" s="1143" t="n"/>
      <c r="AR52" s="1140" t="n"/>
      <c r="AS52" s="1143" t="n"/>
      <c r="AT52" s="1152" t="n"/>
      <c r="AU52" s="1143" t="n"/>
      <c r="AV52" s="1142" t="n"/>
      <c r="AW52" s="1299" t="n"/>
      <c r="AX52" s="218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>
        <f>IF(B52&lt;&gt;(AS52+AR52)," * La suma de las columnas "&amp;AR$10&amp;""&amp;" DEBE SER IGUAL a los Exámenes Procesados. ","")</f>
        <v/>
      </c>
      <c r="CB52" s="219">
        <f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>
        <f>IF(AND($B52&gt;0,AV52=""),"* No olvide ingresar la columna "&amp;AV$10&amp;""&amp;" *(Digite CERO si no tiene). ",IF(AV52&gt;$B52," *El Número de "&amp;AV$10&amp;""&amp;" no puede superar el Total Procesados. ",""))</f>
        <v/>
      </c>
      <c r="CD52" s="219">
        <f>IF(AND($B52&gt;0,AW52=""),"* No olvide ingresar la columna "&amp;AW$10&amp;""&amp;" *(Digite CERO si no tiene). ",IF(AW52&gt;$B52," *El Número de "&amp;AW$10&amp;""&amp;" no puede superar el Total Procesados. ",""))</f>
        <v/>
      </c>
      <c r="CE52" s="219">
        <f>IF(D52&lt;E52,CONCATENATE("* El total de Procesados debe ser mayor o igual al total de Reactivos en el grupo de edad ",$D$11),"")</f>
        <v/>
      </c>
      <c r="CF52" s="219">
        <f>IF(F52&lt;G52,CONCATENATE("* El total de Procesados debe ser mayor o igual al total de Reactivos en el grupo de edad ",$F$11),"")</f>
        <v/>
      </c>
      <c r="CG52" s="219">
        <f>IF(H52&lt;I52,CONCATENATE("* El total de Procesados debe ser mayor o igual al total de Reactivos en el grupo de edad ",$H$11),"")</f>
        <v/>
      </c>
      <c r="CH52" s="219">
        <f>IF(J52&lt;K52,CONCATENATE("* El total de Procesados debe ser mayor o igual al total de Reactivos en el grupo de edad ",$J$11),"")</f>
        <v/>
      </c>
      <c r="CI52" s="219">
        <f>IF(L52&lt;M52,CONCATENATE("* El total de Procesados debe ser mayor o igual al total de Reactivos en el grupo de edad ",$L$11),"")</f>
        <v/>
      </c>
      <c r="CJ52" s="219">
        <f>IF(N52&lt;O52,CONCATENATE("* El total de Procesados debe ser mayor o igual al total de Reactivos en el grupo de edad ",$N$11),"")</f>
        <v/>
      </c>
      <c r="CK52" s="219">
        <f>IF(P52&lt;Q52,CONCATENATE("* El total de Procesados debe ser mayor o igual al total de Reactivos en el grupo de edad ",$P$11),"")</f>
        <v/>
      </c>
      <c r="CL52" s="219">
        <f>IF(R52&lt;S52,CONCATENATE("* El total de Procesados debe ser mayor o igual al total de Reactivos en el grupo de edad ",$R$11),"")</f>
        <v/>
      </c>
      <c r="CM52" s="219">
        <f>IF($T52&lt;$U52,CONCATENATE("* El total de Procesados debe ser mayor o igual al total de Reactivos en el grupo de edad ",$T$11),"")</f>
        <v/>
      </c>
      <c r="CN52" s="219">
        <f>IF(V52&lt;W52,CONCATENATE("* El total de Procesados debe ser mayor o igual al total de Reactivos en el grupo de edad ",$V$11),"")</f>
        <v/>
      </c>
      <c r="CO52" s="219">
        <f>IF(X52&lt;Y52,CONCATENATE("* El total de Procesados debe ser mayor o igual al total de Reactivos en el grupo de edad ",$X$11),"")</f>
        <v/>
      </c>
      <c r="CP52" s="219">
        <f>IF(Z52&lt;AA52,CONCATENATE("* El total de Procesados debe ser mayor o igual al total de Reactivos en el grupo de edad ",$Z$11),"")</f>
        <v/>
      </c>
      <c r="CQ52" s="219">
        <f>IF(AB52&lt;AC52,CONCATENATE("* El total de Procesados debe ser mayor o igual al total de Reactivos en el grupo de edad ",$AB$11),"")</f>
        <v/>
      </c>
      <c r="CR52" s="219">
        <f>IF(AD52&lt;AE52,CONCATENATE("* El total de Procesados debe ser mayor o igual al total de Reactivos en el grupo de edad ",$AD$11),"")</f>
        <v/>
      </c>
      <c r="CS52" s="219">
        <f>IF(AF52&lt;AG52,CONCATENATE("* El total de Procesados debe ser mayor o igual al total de Reactivos en el grupo de edad ",$AF$11),"")</f>
        <v/>
      </c>
      <c r="CT52" s="219">
        <f>IF(AH52&lt;AI52,CONCATENATE("* El total de Procesados debe ser mayor o igual al total de Reactivos en el grupo de edad ",$AH$11),"")</f>
        <v/>
      </c>
      <c r="CU52" s="219">
        <f>IF(AJ52&lt;AK52,CONCATENATE("* El total de Procesados debe ser mayor o igual al total de Reactivos en el grupo de edad ",$AJ$11),"")</f>
        <v/>
      </c>
      <c r="CV52" s="219">
        <f>IF(AL52&lt;AM52,CONCATENATE("* El total de Procesados debe ser mayor o igual al total de Reactivos en el grupo de edad ",$AL$11),"")</f>
        <v/>
      </c>
      <c r="CW52" s="219">
        <f>IF(AN52&lt;AO52,CONCATENATE("* El total de Procesados debe ser mayor o igual al total de Reactivos en el grupo de edad ",$AN$11),"")</f>
        <v/>
      </c>
      <c r="CX52" s="219">
        <f>IF(AP52&lt;AQ52,CONCATENATE("* El total de Procesados debe ser mayor o igual al total de Reactivos en el grupo de edad ",$AP$11),"")</f>
        <v/>
      </c>
      <c r="DE52" s="226" t="n"/>
      <c r="DF52" s="378">
        <f>IF(B52&lt;&gt;(AS52+AR52),1,0)</f>
        <v/>
      </c>
      <c r="DG52" s="376">
        <f>IF(AND($B52&gt;0,AND(AT52="",AU52="")),1,IF((AT52+AU52)&gt;$B52,1,0))</f>
        <v/>
      </c>
      <c r="DH52" s="376">
        <f>IF(AND($B52&gt;0,AV52=""),1,IF(AV52&gt;$B52,1,0))</f>
        <v/>
      </c>
      <c r="DI52" s="376">
        <f>IF(AND($B52&gt;0,AW52=""),1,IF(AW52&gt;$B52,1,0))</f>
        <v/>
      </c>
      <c r="DJ52" s="376">
        <f>IF(D52&lt;E52,1,0)</f>
        <v/>
      </c>
      <c r="DK52" s="376">
        <f>IF(F52&lt;G52,1,0)</f>
        <v/>
      </c>
      <c r="DL52" s="376">
        <f>IF(H52&lt;I52,1,0)</f>
        <v/>
      </c>
      <c r="DM52" s="376">
        <f>IF(J52&lt;K52,1,0)</f>
        <v/>
      </c>
      <c r="DN52" s="376">
        <f>IF(L52&lt;M52,1,0)</f>
        <v/>
      </c>
      <c r="DO52" s="376">
        <f>IF(N52&lt;O52,1,0)</f>
        <v/>
      </c>
      <c r="DP52" s="376">
        <f>IF(P52&lt;Q52,1,0)</f>
        <v/>
      </c>
      <c r="DQ52" s="376">
        <f>IF(R52&lt;S52,1,0)</f>
        <v/>
      </c>
      <c r="DR52" s="376">
        <f>IF($T52&lt;$U52,1,0)</f>
        <v/>
      </c>
      <c r="DS52" s="376">
        <f>IF(V52&lt;W52,1,0)</f>
        <v/>
      </c>
      <c r="DT52" s="376">
        <f>IF(X52&lt;Y52,1,0)</f>
        <v/>
      </c>
      <c r="DU52" s="376">
        <f>IF(Z52&lt;AA52,1,0)</f>
        <v/>
      </c>
      <c r="DV52" s="376">
        <f>IF(AB52&lt;AC52,1,0)</f>
        <v/>
      </c>
      <c r="DW52" s="376">
        <f>IF(AD52&lt;AE52,1,0)</f>
        <v/>
      </c>
      <c r="DX52" s="376">
        <f>IF(AF52&lt;AG52,1,0)</f>
        <v/>
      </c>
      <c r="DY52" s="376">
        <f>IF(AH52&lt;AI52,1,0)</f>
        <v/>
      </c>
      <c r="DZ52" s="376">
        <f>IF(AJ52&lt;AK52,1,0)</f>
        <v/>
      </c>
      <c r="EA52" s="376">
        <f>IF(AL52&lt;AM52,1,0)</f>
        <v/>
      </c>
      <c r="EB52" s="376">
        <f>IF(AN52&lt;AO52,1,0)</f>
        <v/>
      </c>
      <c r="EC52" s="376">
        <f>IF(AP52&lt;AQ52,1,0)</f>
        <v/>
      </c>
    </row>
    <row r="53" ht="18" customHeight="1" s="8286">
      <c r="A53" s="3116" t="inlineStr">
        <is>
          <t>SECCIÓN A.3: EXAMEN RPR POR GRUPO DE USUARIOS (USO EXCLUSIVO DE ESTABLECIMIENTOS CON LABORATORIO QUE PROCESAN)</t>
        </is>
      </c>
      <c r="B53" s="3116" t="n"/>
      <c r="C53" s="3116" t="n"/>
      <c r="D53" s="3116" t="n"/>
      <c r="E53" s="3116" t="n"/>
      <c r="F53" s="3116" t="n"/>
      <c r="G53" s="3116" t="n"/>
      <c r="H53" s="3116" t="n"/>
      <c r="I53" s="3116" t="n"/>
      <c r="J53" s="3116" t="n"/>
      <c r="K53" s="3116" t="n"/>
      <c r="L53" s="3116" t="n"/>
      <c r="M53" s="3116" t="n"/>
      <c r="N53" s="3116" t="n"/>
      <c r="O53" s="3116" t="n"/>
      <c r="P53" s="3116" t="n"/>
      <c r="Q53" s="3116" t="n"/>
      <c r="R53" s="3116" t="n"/>
      <c r="S53" s="3116" t="n"/>
      <c r="T53" s="3116" t="n"/>
      <c r="U53" s="3116" t="n"/>
      <c r="V53" s="3116" t="n"/>
      <c r="W53" s="3116" t="n"/>
      <c r="X53" s="3116" t="n"/>
      <c r="Y53" s="3116" t="n"/>
      <c r="Z53" s="3116" t="n"/>
      <c r="AA53" s="3116" t="n"/>
      <c r="AB53" s="3116" t="n"/>
      <c r="AC53" s="3116" t="n"/>
      <c r="AD53" s="3116" t="n"/>
      <c r="AE53" s="3116" t="n"/>
      <c r="AF53" s="3116" t="n"/>
      <c r="AG53" s="3116" t="n"/>
      <c r="AH53" s="3116" t="n"/>
      <c r="AI53" s="3116" t="n"/>
      <c r="AJ53" s="3116" t="n"/>
      <c r="AK53" s="3116" t="n"/>
      <c r="AL53" s="3116" t="n"/>
      <c r="AM53" s="3116" t="n"/>
      <c r="AN53" s="3116" t="n"/>
      <c r="AO53" s="3116" t="n"/>
      <c r="AP53" s="3116" t="n"/>
      <c r="AQ53" s="3116" t="n"/>
      <c r="AR53" s="227" t="n"/>
      <c r="AS53" s="227" t="n"/>
      <c r="AT53" s="227" t="n"/>
      <c r="AU53" s="227" t="n"/>
      <c r="AV53" s="227" t="n"/>
      <c r="AW53" s="227" t="n"/>
    </row>
    <row r="54">
      <c r="A54" s="9690" t="inlineStr">
        <is>
          <t>GRUPO DE PESQUISA</t>
        </is>
      </c>
      <c r="B54" s="10199" t="inlineStr">
        <is>
          <t>TOTAL</t>
        </is>
      </c>
      <c r="C54" s="9630" t="n"/>
      <c r="D54" s="9915" t="inlineStr">
        <is>
          <t>RANGO ETARIO</t>
        </is>
      </c>
      <c r="E54" s="9584" t="n"/>
      <c r="F54" s="9584" t="n"/>
      <c r="G54" s="9584" t="n"/>
      <c r="H54" s="9584" t="n"/>
      <c r="I54" s="9584" t="n"/>
      <c r="J54" s="9584" t="n"/>
      <c r="K54" s="9584" t="n"/>
      <c r="L54" s="9584" t="n"/>
      <c r="M54" s="9584" t="n"/>
      <c r="N54" s="9584" t="n"/>
      <c r="O54" s="9584" t="n"/>
      <c r="P54" s="9584" t="n"/>
      <c r="Q54" s="9584" t="n"/>
      <c r="R54" s="9584" t="n"/>
      <c r="S54" s="9584" t="n"/>
      <c r="T54" s="9584" t="n"/>
      <c r="U54" s="9584" t="n"/>
      <c r="V54" s="9584" t="n"/>
      <c r="W54" s="9584" t="n"/>
      <c r="X54" s="9584" t="n"/>
      <c r="Y54" s="9584" t="n"/>
      <c r="Z54" s="9584" t="n"/>
      <c r="AA54" s="9584" t="n"/>
      <c r="AB54" s="9584" t="n"/>
      <c r="AC54" s="9584" t="n"/>
      <c r="AD54" s="9584" t="n"/>
      <c r="AE54" s="9584" t="n"/>
      <c r="AF54" s="9584" t="n"/>
      <c r="AG54" s="9584" t="n"/>
      <c r="AH54" s="9584" t="n"/>
      <c r="AI54" s="9584" t="n"/>
      <c r="AJ54" s="9584" t="n"/>
      <c r="AK54" s="9584" t="n"/>
      <c r="AL54" s="9584" t="n"/>
      <c r="AM54" s="9584" t="n"/>
      <c r="AN54" s="9584" t="n"/>
      <c r="AO54" s="9584" t="n"/>
      <c r="AP54" s="9584" t="n"/>
      <c r="AQ54" s="9595" t="n"/>
      <c r="AR54" s="9982" t="inlineStr">
        <is>
          <t>POR SEXO (Procesados)</t>
        </is>
      </c>
      <c r="AS54" s="10211" t="n"/>
      <c r="AT54" s="10295" t="inlineStr">
        <is>
          <t>TRANS</t>
        </is>
      </c>
      <c r="AU54" s="9886" t="n"/>
      <c r="AV54" s="10296" t="inlineStr">
        <is>
          <t>Pueblos Originarios</t>
        </is>
      </c>
      <c r="AW54" s="9975" t="inlineStr">
        <is>
          <t>Migrantes</t>
        </is>
      </c>
    </row>
    <row r="55">
      <c r="A55" s="9588" t="n"/>
      <c r="B55" s="9697" t="n"/>
      <c r="C55" s="9639" t="n"/>
      <c r="D55" s="10006" t="inlineStr">
        <is>
          <t>Menos de 6 meses</t>
        </is>
      </c>
      <c r="E55" s="9584" t="n"/>
      <c r="F55" s="10006" t="inlineStr">
        <is>
          <t>6 - 11 meses</t>
        </is>
      </c>
      <c r="G55" s="9584" t="n"/>
      <c r="H55" s="8400" t="inlineStr">
        <is>
          <t>12-24 meses</t>
        </is>
      </c>
      <c r="I55" s="9582" t="n"/>
      <c r="J55" s="5448" t="inlineStr">
        <is>
          <t>3 - 4 años</t>
        </is>
      </c>
      <c r="K55" s="10190" t="n"/>
      <c r="L55" s="10006" t="inlineStr">
        <is>
          <t>5 - 9 años</t>
        </is>
      </c>
      <c r="M55" s="9584" t="n"/>
      <c r="N55" s="10006" t="inlineStr">
        <is>
          <t>10 - 14 años</t>
        </is>
      </c>
      <c r="O55" s="9584" t="n"/>
      <c r="P55" s="10006" t="inlineStr">
        <is>
          <t>15 - 19 años</t>
        </is>
      </c>
      <c r="Q55" s="9584" t="n"/>
      <c r="R55" s="10006" t="inlineStr">
        <is>
          <t>20 - 24 años</t>
        </is>
      </c>
      <c r="S55" s="9584" t="n"/>
      <c r="T55" s="8400" t="inlineStr">
        <is>
          <t>25 - 29 años</t>
        </is>
      </c>
      <c r="U55" s="9582" t="n"/>
      <c r="V55" s="8400" t="inlineStr">
        <is>
          <t>30 - 34 años</t>
        </is>
      </c>
      <c r="W55" s="9582" t="n"/>
      <c r="X55" s="8400" t="inlineStr">
        <is>
          <t>35 - 39 años</t>
        </is>
      </c>
      <c r="Y55" s="9582" t="n"/>
      <c r="Z55" s="8400" t="inlineStr">
        <is>
          <t>40 - 44 años</t>
        </is>
      </c>
      <c r="AA55" s="9582" t="n"/>
      <c r="AB55" s="8400" t="inlineStr">
        <is>
          <t>45 - 49 años</t>
        </is>
      </c>
      <c r="AC55" s="9582" t="n"/>
      <c r="AD55" s="8400" t="inlineStr">
        <is>
          <t>50 - 54 años</t>
        </is>
      </c>
      <c r="AE55" s="9582" t="n"/>
      <c r="AF55" s="8400" t="inlineStr">
        <is>
          <t>55 - 59 años</t>
        </is>
      </c>
      <c r="AG55" s="9582" t="n"/>
      <c r="AH55" s="8400" t="inlineStr">
        <is>
          <t>60 - 64 años</t>
        </is>
      </c>
      <c r="AI55" s="9582" t="n"/>
      <c r="AJ55" s="8400" t="inlineStr">
        <is>
          <t>65 - 69 años</t>
        </is>
      </c>
      <c r="AK55" s="9582" t="n"/>
      <c r="AL55" s="8400" t="inlineStr">
        <is>
          <t>70 - 74 años</t>
        </is>
      </c>
      <c r="AM55" s="9582" t="n"/>
      <c r="AN55" s="8400" t="inlineStr">
        <is>
          <t>75 - 79 años</t>
        </is>
      </c>
      <c r="AO55" s="9582" t="n"/>
      <c r="AP55" s="9976" t="inlineStr">
        <is>
          <t>80 y más años</t>
        </is>
      </c>
      <c r="AQ55" s="9595" t="n"/>
      <c r="AR55" s="10002" t="inlineStr">
        <is>
          <t>Hombres</t>
        </is>
      </c>
      <c r="AS55" s="9925" t="inlineStr">
        <is>
          <t>Mujeres</t>
        </is>
      </c>
      <c r="AT55" s="9890" t="n"/>
      <c r="AU55" s="9865" t="n"/>
      <c r="AV55" s="10169" t="n"/>
      <c r="AW55" s="9625" t="n"/>
    </row>
    <row r="56">
      <c r="A56" s="9589" t="n"/>
      <c r="B56" s="3091" t="inlineStr">
        <is>
          <t>Procesados</t>
        </is>
      </c>
      <c r="C56" s="3090" t="inlineStr">
        <is>
          <t>Reactivos</t>
        </is>
      </c>
      <c r="D56" s="3088" t="inlineStr">
        <is>
          <t>Procesados</t>
        </is>
      </c>
      <c r="E56" s="3089" t="inlineStr">
        <is>
          <t>Reactivos</t>
        </is>
      </c>
      <c r="F56" s="3088" t="inlineStr">
        <is>
          <t>Procesados</t>
        </is>
      </c>
      <c r="G56" s="3089" t="inlineStr">
        <is>
          <t>Reactivos</t>
        </is>
      </c>
      <c r="H56" s="3088" t="inlineStr">
        <is>
          <t>Procesados</t>
        </is>
      </c>
      <c r="I56" s="3090" t="inlineStr">
        <is>
          <t>Reactivos</t>
        </is>
      </c>
      <c r="J56" s="3091" t="inlineStr">
        <is>
          <t>Procesados</t>
        </is>
      </c>
      <c r="K56" s="3089" t="inlineStr">
        <is>
          <t>Reactivos</t>
        </is>
      </c>
      <c r="L56" s="3088" t="inlineStr">
        <is>
          <t>Procesados</t>
        </is>
      </c>
      <c r="M56" s="3089" t="inlineStr">
        <is>
          <t>Reactivos</t>
        </is>
      </c>
      <c r="N56" s="3088" t="inlineStr">
        <is>
          <t>Procesados</t>
        </is>
      </c>
      <c r="O56" s="3089" t="inlineStr">
        <is>
          <t>Reactivos</t>
        </is>
      </c>
      <c r="P56" s="3088" t="inlineStr">
        <is>
          <t>Procesados</t>
        </is>
      </c>
      <c r="Q56" s="3089" t="inlineStr">
        <is>
          <t>Reactivos</t>
        </is>
      </c>
      <c r="R56" s="3088" t="inlineStr">
        <is>
          <t>Procesados</t>
        </is>
      </c>
      <c r="S56" s="3089" t="inlineStr">
        <is>
          <t>Reactivos</t>
        </is>
      </c>
      <c r="T56" s="3088" t="inlineStr">
        <is>
          <t>Procesados</t>
        </is>
      </c>
      <c r="U56" s="3089" t="inlineStr">
        <is>
          <t>Reactivos</t>
        </is>
      </c>
      <c r="V56" s="3088" t="inlineStr">
        <is>
          <t>Procesados</t>
        </is>
      </c>
      <c r="W56" s="3089" t="inlineStr">
        <is>
          <t>Reactivos</t>
        </is>
      </c>
      <c r="X56" s="3088" t="inlineStr">
        <is>
          <t>Procesados</t>
        </is>
      </c>
      <c r="Y56" s="3089" t="inlineStr">
        <is>
          <t>Reactivos</t>
        </is>
      </c>
      <c r="Z56" s="3088" t="inlineStr">
        <is>
          <t>Procesados</t>
        </is>
      </c>
      <c r="AA56" s="3089" t="inlineStr">
        <is>
          <t>Reactivos</t>
        </is>
      </c>
      <c r="AB56" s="3088" t="inlineStr">
        <is>
          <t>Procesados</t>
        </is>
      </c>
      <c r="AC56" s="3089" t="inlineStr">
        <is>
          <t>Reactivos</t>
        </is>
      </c>
      <c r="AD56" s="3088" t="inlineStr">
        <is>
          <t>Procesados</t>
        </is>
      </c>
      <c r="AE56" s="3089" t="inlineStr">
        <is>
          <t>Reactivos</t>
        </is>
      </c>
      <c r="AF56" s="3088" t="inlineStr">
        <is>
          <t>Procesados</t>
        </is>
      </c>
      <c r="AG56" s="3089" t="inlineStr">
        <is>
          <t>Reactivos</t>
        </is>
      </c>
      <c r="AH56" s="3088" t="inlineStr">
        <is>
          <t>Procesados</t>
        </is>
      </c>
      <c r="AI56" s="3089" t="inlineStr">
        <is>
          <t>Reactivos</t>
        </is>
      </c>
      <c r="AJ56" s="3088" t="inlineStr">
        <is>
          <t>Procesados</t>
        </is>
      </c>
      <c r="AK56" s="3089" t="inlineStr">
        <is>
          <t>Reactivos</t>
        </is>
      </c>
      <c r="AL56" s="3088" t="inlineStr">
        <is>
          <t>Procesados</t>
        </is>
      </c>
      <c r="AM56" s="3089" t="inlineStr">
        <is>
          <t>Reactivos</t>
        </is>
      </c>
      <c r="AN56" s="3088" t="inlineStr">
        <is>
          <t>Procesados</t>
        </is>
      </c>
      <c r="AO56" s="3089" t="inlineStr">
        <is>
          <t>Reactivos</t>
        </is>
      </c>
      <c r="AP56" s="3088" t="inlineStr">
        <is>
          <t>Procesados</t>
        </is>
      </c>
      <c r="AQ56" s="3092" t="inlineStr">
        <is>
          <t>Reactivos</t>
        </is>
      </c>
      <c r="AR56" s="9688" t="n"/>
      <c r="AS56" s="9926" t="n"/>
      <c r="AT56" s="7688" t="inlineStr">
        <is>
          <t>Masculino</t>
        </is>
      </c>
      <c r="AU56" s="8008" t="inlineStr">
        <is>
          <t>Femenino</t>
        </is>
      </c>
      <c r="AV56" s="10170" t="n"/>
      <c r="AW56" s="9611" t="n"/>
    </row>
    <row r="57">
      <c r="A57" s="3118" t="inlineStr">
        <is>
          <t>Gestantes primer trimestre embarazo</t>
        </is>
      </c>
      <c r="B57" s="3094">
        <f>+N57+P57+R57+T57+V57+X57+Z57+AB57+AD57+AF57+AH57+AJ57+AL57+AN57+AP57</f>
        <v/>
      </c>
      <c r="C57" s="3095">
        <f>+O57+Q57+S57+U57+W57+Y57+AA57+AC57+AE57+AG57+AI57+AK57+AM57+AO57+AQ57</f>
        <v/>
      </c>
      <c r="D57" s="3112" t="n"/>
      <c r="E57" s="3105" t="n"/>
      <c r="F57" s="3104" t="n"/>
      <c r="G57" s="3105" t="n"/>
      <c r="H57" s="3104" t="n"/>
      <c r="I57" s="3105" t="n"/>
      <c r="J57" s="3104" t="n"/>
      <c r="K57" s="3105" t="n"/>
      <c r="L57" s="3104" t="n"/>
      <c r="M57" s="3106" t="n"/>
      <c r="N57" s="3100" t="n"/>
      <c r="O57" s="3107" t="n"/>
      <c r="P57" s="3108" t="n"/>
      <c r="Q57" s="3107" t="n"/>
      <c r="R57" s="3108" t="n"/>
      <c r="S57" s="3107" t="n"/>
      <c r="T57" s="3108" t="n"/>
      <c r="U57" s="3107" t="n"/>
      <c r="V57" s="3108" t="n"/>
      <c r="W57" s="3107" t="n"/>
      <c r="X57" s="3108" t="n"/>
      <c r="Y57" s="3107" t="n"/>
      <c r="Z57" s="3108" t="n"/>
      <c r="AA57" s="3107" t="n"/>
      <c r="AB57" s="3108" t="n"/>
      <c r="AC57" s="3107" t="n"/>
      <c r="AD57" s="3108" t="n"/>
      <c r="AE57" s="3107" t="n"/>
      <c r="AF57" s="3108" t="n"/>
      <c r="AG57" s="3107" t="n"/>
      <c r="AH57" s="3108" t="n"/>
      <c r="AI57" s="3107" t="n"/>
      <c r="AJ57" s="3108" t="n"/>
      <c r="AK57" s="3107" t="n"/>
      <c r="AL57" s="3108" t="n"/>
      <c r="AM57" s="3107" t="n"/>
      <c r="AN57" s="3108" t="n"/>
      <c r="AO57" s="3107" t="n"/>
      <c r="AP57" s="3108" t="n"/>
      <c r="AQ57" s="3098" t="n"/>
      <c r="AR57" s="3097" t="n"/>
      <c r="AS57" s="3098" t="n"/>
      <c r="AT57" s="3099" t="n"/>
      <c r="AU57" s="3098" t="n"/>
      <c r="AV57" s="3840" t="n"/>
      <c r="AW57" s="3656" t="n"/>
      <c r="AX57" s="218">
        <f>$CA57&amp;CB57&amp;CC57&amp;$CD57&amp;CJ57&amp;CK57&amp;CL57&amp;CM57&amp;CN57&amp;CO57&amp;CP57&amp;CQ57&amp;CR57&amp;CS57&amp;CT57&amp;CU57&amp;CV57&amp;CW57&amp;CX57</f>
        <v/>
      </c>
      <c r="CA57" s="219">
        <f>IF(B57&lt;&gt;(AS57)," * La suma de las columnas "&amp;AR$10&amp;""&amp;" DEBE SER IGUAL a los Exámenes Procesados. ","")</f>
        <v/>
      </c>
      <c r="CB57" s="219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>
        <f>IF(AND($B57&gt;0,AV57=""),"* No olvide ingresar la columna "&amp;AV$10&amp;""&amp;" *(Digite CERO si no tiene). ",IF(AV57&gt;$B57," *El Número de "&amp;AV$10&amp;""&amp;" no puede superar el Total Procesados. ",""))</f>
        <v/>
      </c>
      <c r="CD57" s="219">
        <f>IF(AND($B57&gt;0,AW57=""),"* No olvide ingresar la columna "&amp;AW$10&amp;""&amp;" *(Digite CERO si no tiene). ",IF(AW57&gt;$B57," *El Número de "&amp;AW$10&amp;""&amp;" no puede superar el Total Procesados. ",""))</f>
        <v/>
      </c>
      <c r="CE57" s="220" t="n"/>
      <c r="CF57" s="220" t="n"/>
      <c r="CG57" s="220" t="n"/>
      <c r="CH57" s="220" t="n"/>
      <c r="CI57" s="220" t="n"/>
      <c r="CJ57" s="219">
        <f>IF(N57&lt;O57,CONCATENATE("* El total de Procesados debe ser mayor o igual al total de Reactivos en el grupo de edad ",$N$11),"")</f>
        <v/>
      </c>
      <c r="CK57" s="219">
        <f>IF(P57&lt;Q57,CONCATENATE("* El total de Procesados debe ser mayor o igual al total de Reactivos en el grupo de edad ",$P$11),"")</f>
        <v/>
      </c>
      <c r="CL57" s="219">
        <f>IF(R57&lt;S57,CONCATENATE("* El total de Procesados debe ser mayor o igual al total de Reactivos en el grupo de edad ",$R$11),"")</f>
        <v/>
      </c>
      <c r="CM57" s="219">
        <f>IF($T57&lt;$U57,CONCATENATE("* El total de Procesados debe ser mayor o igual al total de Reactivos en el grupo de edad ",$T$11),"")</f>
        <v/>
      </c>
      <c r="CN57" s="219">
        <f>IF(V57&lt;W57,CONCATENATE("* El total de Procesados debe ser mayor o igual al total de Reactivos en el grupo de edad ",$V$11),"")</f>
        <v/>
      </c>
      <c r="CO57" s="219">
        <f>IF(X57&lt;Y57,CONCATENATE("* El total de Procesados debe ser mayor o igual al total de Reactivos en el grupo de edad ",$X$11),"")</f>
        <v/>
      </c>
      <c r="CP57" s="219">
        <f>IF(Z57&lt;AA57,CONCATENATE("* El total de Procesados debe ser mayor o igual al total de Reactivos en el grupo de edad ",$Z$11),"")</f>
        <v/>
      </c>
      <c r="CQ57" s="219">
        <f>IF(AB57&lt;AC57,CONCATENATE("* El total de Procesados debe ser mayor o igual al total de Reactivos en el grupo de edad ",$AB$11),"")</f>
        <v/>
      </c>
      <c r="CR57" s="219">
        <f>IF(AD57&lt;AE57,CONCATENATE("* El total de Procesados debe ser mayor o igual al total de Reactivos en el grupo de edad ",$AD$11),"")</f>
        <v/>
      </c>
      <c r="CS57" s="219">
        <f>IF(AF57&lt;AG57,CONCATENATE("* El total de Procesados debe ser mayor o igual al total de Reactivos en el grupo de edad ",$AF$11),"")</f>
        <v/>
      </c>
      <c r="CT57" s="219">
        <f>IF(AH57&lt;AI57,CONCATENATE("* El total de Procesados debe ser mayor o igual al total de Reactivos en el grupo de edad ",$AH$11),"")</f>
        <v/>
      </c>
      <c r="CU57" s="219">
        <f>IF(AJ57&lt;AK57,CONCATENATE("* El total de Procesados debe ser mayor o igual al total de Reactivos en el grupo de edad ",$AJ$11),"")</f>
        <v/>
      </c>
      <c r="CV57" s="219">
        <f>IF(AL57&lt;AM57,CONCATENATE("* El total de Procesados debe ser mayor o igual al total de Reactivos en el grupo de edad ",$AL$11),"")</f>
        <v/>
      </c>
      <c r="CW57" s="219">
        <f>IF(AN57&lt;AO57,CONCATENATE("* El total de Procesados debe ser mayor o igual al total de Reactivos en el grupo de edad ",$AN$11),"")</f>
        <v/>
      </c>
      <c r="CX57" s="219">
        <f>IF(AP57&lt;AQ57,CONCATENATE("* El total de Procesados debe ser mayor o igual al total de Reactivos en el grupo de edad ",$AP$11),"")</f>
        <v/>
      </c>
      <c r="DE57" s="226" t="n"/>
      <c r="DF57" s="378">
        <f>IF(B57&lt;&gt;(AS57),1,0)</f>
        <v/>
      </c>
      <c r="DG57" s="376">
        <f>IF(AND($B57&gt;0,AND(AT57="",AU57="")),1,IF((AT57+AU57)&gt;$B57,1,0))</f>
        <v/>
      </c>
      <c r="DH57" s="376">
        <f>IF(AND($B57&gt;0,AV57=""),1,IF(AV57&gt;$B57,1,0))</f>
        <v/>
      </c>
      <c r="DI57" s="376">
        <f>IF(AND($B57&gt;0,AW57=""),1,IF(AW57&gt;$B57,1,0))</f>
        <v/>
      </c>
      <c r="DJ57" s="220" t="n"/>
      <c r="DK57" s="220" t="n"/>
      <c r="DL57" s="220" t="n"/>
      <c r="DM57" s="220" t="n"/>
      <c r="DN57" s="220" t="n"/>
      <c r="DO57" s="376">
        <f>IF(N57&lt;O57,1,0)</f>
        <v/>
      </c>
      <c r="DP57" s="376">
        <f>IF(P57&lt;Q57,1,0)</f>
        <v/>
      </c>
      <c r="DQ57" s="376">
        <f>IF(R57&lt;S57,1,0)</f>
        <v/>
      </c>
      <c r="DR57" s="376">
        <f>IF($T57&lt;$U57,1,0)</f>
        <v/>
      </c>
      <c r="DS57" s="376">
        <f>IF(V57&lt;W57,1,0)</f>
        <v/>
      </c>
      <c r="DT57" s="376">
        <f>IF(X57&lt;Y57,1,0)</f>
        <v/>
      </c>
      <c r="DU57" s="376">
        <f>IF(Z57&lt;AA57,1,0)</f>
        <v/>
      </c>
      <c r="DV57" s="376">
        <f>IF(AB57&lt;AC57,1,0)</f>
        <v/>
      </c>
      <c r="DW57" s="376">
        <f>IF(AD57&lt;AE57,1,0)</f>
        <v/>
      </c>
      <c r="DX57" s="376">
        <f>IF(AF57&lt;AG57,1,0)</f>
        <v/>
      </c>
      <c r="DY57" s="376">
        <f>IF(AH57&lt;AI57,1,0)</f>
        <v/>
      </c>
      <c r="DZ57" s="376">
        <f>IF(AJ57&lt;AK57,1,0)</f>
        <v/>
      </c>
      <c r="EA57" s="376">
        <f>IF(AL57&lt;AM57,1,0)</f>
        <v/>
      </c>
      <c r="EB57" s="376">
        <f>IF(AN57&lt;AO57,1,0)</f>
        <v/>
      </c>
      <c r="EC57" s="376">
        <f>IF(AP57&lt;AQ57,1,0)</f>
        <v/>
      </c>
    </row>
    <row r="58">
      <c r="A58" s="3119" t="inlineStr">
        <is>
          <t>Gestantes segundo trimestre embarazo</t>
        </is>
      </c>
      <c r="B58" s="3103">
        <f>+N58+P58+R58+T58+V58+X58+Z58+AB58+AD58+AF58+AH58+AJ58+AL58+AN58+AP58</f>
        <v/>
      </c>
      <c r="C58" s="1171">
        <f>+O58+Q58+S58+U58+W58+Y58+AA58+AC58+AE58+AG58+AI58+AK58+AM58+AO58+AQ58</f>
        <v/>
      </c>
      <c r="D58" s="3112" t="n"/>
      <c r="E58" s="3105" t="n"/>
      <c r="F58" s="3104" t="n"/>
      <c r="G58" s="3105" t="n"/>
      <c r="H58" s="3104" t="n"/>
      <c r="I58" s="3105" t="n"/>
      <c r="J58" s="3104" t="n"/>
      <c r="K58" s="3105" t="n"/>
      <c r="L58" s="3104" t="n"/>
      <c r="M58" s="3106" t="n"/>
      <c r="N58" s="3100" t="n"/>
      <c r="O58" s="3107" t="n"/>
      <c r="P58" s="3108" t="n"/>
      <c r="Q58" s="3107" t="n"/>
      <c r="R58" s="3108" t="n"/>
      <c r="S58" s="3107" t="n"/>
      <c r="T58" s="3108" t="n"/>
      <c r="U58" s="3107" t="n"/>
      <c r="V58" s="3108" t="n"/>
      <c r="W58" s="3107" t="n"/>
      <c r="X58" s="3108" t="n"/>
      <c r="Y58" s="3107" t="n"/>
      <c r="Z58" s="3108" t="n"/>
      <c r="AA58" s="3107" t="n"/>
      <c r="AB58" s="3108" t="n"/>
      <c r="AC58" s="3107" t="n"/>
      <c r="AD58" s="3108" t="n"/>
      <c r="AE58" s="3107" t="n"/>
      <c r="AF58" s="3108" t="n"/>
      <c r="AG58" s="3107" t="n"/>
      <c r="AH58" s="3108" t="n"/>
      <c r="AI58" s="3107" t="n"/>
      <c r="AJ58" s="3108" t="n"/>
      <c r="AK58" s="3107" t="n"/>
      <c r="AL58" s="3108" t="n"/>
      <c r="AM58" s="3107" t="n"/>
      <c r="AN58" s="3108" t="n"/>
      <c r="AO58" s="3107" t="n"/>
      <c r="AP58" s="3108" t="n"/>
      <c r="AQ58" s="3098" t="n"/>
      <c r="AR58" s="3097" t="n"/>
      <c r="AS58" s="3098" t="n"/>
      <c r="AT58" s="3099" t="n"/>
      <c r="AU58" s="3098" t="n"/>
      <c r="AV58" s="3845" t="n"/>
      <c r="AW58" s="3656" t="n"/>
      <c r="AX58" s="218">
        <f>$CA58&amp;CB58&amp;CC58&amp;$CD58&amp;CJ58&amp;CK58&amp;CL58&amp;CM58&amp;CN58&amp;CO58&amp;CP58&amp;CQ58&amp;CR58&amp;CS58&amp;CT58&amp;CU58&amp;CV58&amp;CW58&amp;CX58</f>
        <v/>
      </c>
      <c r="CA58" s="219">
        <f>IF(B58&lt;&gt;(AS58)," * La suma de las columnas "&amp;AR$10&amp;""&amp;" DEBE SER IGUAL a los Exámenes Procesados. ","")</f>
        <v/>
      </c>
      <c r="CB58" s="219">
        <f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C58" s="219">
        <f>IF(AND($B58&gt;0,AV58=""),"* No olvide ingresar la columna "&amp;AV$10&amp;""&amp;" *(Digite CERO si no tiene). ",IF(AV58&gt;$B58," *El Número de "&amp;AV$10&amp;""&amp;" no puede superar el Total Procesados. ",""))</f>
        <v/>
      </c>
      <c r="CD58" s="219">
        <f>IF(AND($B58&gt;0,AW58=""),"* No olvide ingresar la columna "&amp;AW$10&amp;""&amp;" *(Digite CERO si no tiene). ",IF(AW58&gt;$B58," *El Número de "&amp;AW$10&amp;""&amp;" no puede superar el Total Procesados. ",""))</f>
        <v/>
      </c>
      <c r="CE58" s="220" t="n"/>
      <c r="CF58" s="220" t="n"/>
      <c r="CG58" s="220" t="n"/>
      <c r="CH58" s="220" t="n"/>
      <c r="CI58" s="220" t="n"/>
      <c r="CJ58" s="219">
        <f>IF(N58&lt;O58,CONCATENATE("* El total de Procesados debe ser mayor o igual al total de Reactivos en el grupo de edad ",$N$11),"")</f>
        <v/>
      </c>
      <c r="CK58" s="219">
        <f>IF(P58&lt;Q58,CONCATENATE("* El total de Procesados debe ser mayor o igual al total de Reactivos en el grupo de edad ",$P$11),"")</f>
        <v/>
      </c>
      <c r="CL58" s="219">
        <f>IF(R58&lt;S58,CONCATENATE("* El total de Procesados debe ser mayor o igual al total de Reactivos en el grupo de edad ",$R$11),"")</f>
        <v/>
      </c>
      <c r="CM58" s="219">
        <f>IF($T58&lt;$U58,CONCATENATE("* El total de Procesados debe ser mayor o igual al total de Reactivos en el grupo de edad ",$T$11),"")</f>
        <v/>
      </c>
      <c r="CN58" s="219">
        <f>IF(V58&lt;W58,CONCATENATE("* El total de Procesados debe ser mayor o igual al total de Reactivos en el grupo de edad ",$V$11),"")</f>
        <v/>
      </c>
      <c r="CO58" s="219">
        <f>IF(X58&lt;Y58,CONCATENATE("* El total de Procesados debe ser mayor o igual al total de Reactivos en el grupo de edad ",$X$11),"")</f>
        <v/>
      </c>
      <c r="CP58" s="219">
        <f>IF(Z58&lt;AA58,CONCATENATE("* El total de Procesados debe ser mayor o igual al total de Reactivos en el grupo de edad ",$Z$11),"")</f>
        <v/>
      </c>
      <c r="CQ58" s="219">
        <f>IF(AB58&lt;AC58,CONCATENATE("* El total de Procesados debe ser mayor o igual al total de Reactivos en el grupo de edad ",$AB$11),"")</f>
        <v/>
      </c>
      <c r="CR58" s="219">
        <f>IF(AD58&lt;AE58,CONCATENATE("* El total de Procesados debe ser mayor o igual al total de Reactivos en el grupo de edad ",$AD$11),"")</f>
        <v/>
      </c>
      <c r="CS58" s="219">
        <f>IF(AF58&lt;AG58,CONCATENATE("* El total de Procesados debe ser mayor o igual al total de Reactivos en el grupo de edad ",$AF$11),"")</f>
        <v/>
      </c>
      <c r="CT58" s="219">
        <f>IF(AH58&lt;AI58,CONCATENATE("* El total de Procesados debe ser mayor o igual al total de Reactivos en el grupo de edad ",$AH$11),"")</f>
        <v/>
      </c>
      <c r="CU58" s="219">
        <f>IF(AJ58&lt;AK58,CONCATENATE("* El total de Procesados debe ser mayor o igual al total de Reactivos en el grupo de edad ",$AJ$11),"")</f>
        <v/>
      </c>
      <c r="CV58" s="219">
        <f>IF(AL58&lt;AM58,CONCATENATE("* El total de Procesados debe ser mayor o igual al total de Reactivos en el grupo de edad ",$AL$11),"")</f>
        <v/>
      </c>
      <c r="CW58" s="219">
        <f>IF(AN58&lt;AO58,CONCATENATE("* El total de Procesados debe ser mayor o igual al total de Reactivos en el grupo de edad ",$AN$11),"")</f>
        <v/>
      </c>
      <c r="CX58" s="219">
        <f>IF(AP58&lt;AQ58,CONCATENATE("* El total de Procesados debe ser mayor o igual al total de Reactivos en el grupo de edad ",$AP$11),"")</f>
        <v/>
      </c>
      <c r="DE58" s="226" t="n"/>
      <c r="DF58" s="378">
        <f>IF(B58&lt;&gt;(AS58),1,0)</f>
        <v/>
      </c>
      <c r="DG58" s="376">
        <f>IF(AND($B58&gt;0,AND(AT58="",AU58="")),1,IF((AT58+AU58)&gt;$B58,1,0))</f>
        <v/>
      </c>
      <c r="DH58" s="376">
        <f>IF(AND($B58&gt;0,AV58=""),1,IF(AV58&gt;$B58,1,0))</f>
        <v/>
      </c>
      <c r="DI58" s="376">
        <f>IF(AND($B58&gt;0,AW58=""),1,IF(AW58&gt;$B58,1,0))</f>
        <v/>
      </c>
      <c r="DJ58" s="220" t="n"/>
      <c r="DK58" s="220" t="n"/>
      <c r="DL58" s="220" t="n"/>
      <c r="DM58" s="220" t="n"/>
      <c r="DN58" s="220" t="n"/>
      <c r="DO58" s="376">
        <f>IF(N58&lt;O58,1,0)</f>
        <v/>
      </c>
      <c r="DP58" s="376">
        <f>IF(P58&lt;Q58,1,0)</f>
        <v/>
      </c>
      <c r="DQ58" s="376">
        <f>IF(R58&lt;S58,1,0)</f>
        <v/>
      </c>
      <c r="DR58" s="376">
        <f>IF($T58&lt;$U58,1,0)</f>
        <v/>
      </c>
      <c r="DS58" s="376">
        <f>IF(V58&lt;W58,1,0)</f>
        <v/>
      </c>
      <c r="DT58" s="376">
        <f>IF(X58&lt;Y58,1,0)</f>
        <v/>
      </c>
      <c r="DU58" s="376">
        <f>IF(Z58&lt;AA58,1,0)</f>
        <v/>
      </c>
      <c r="DV58" s="376">
        <f>IF(AB58&lt;AC58,1,0)</f>
        <v/>
      </c>
      <c r="DW58" s="376">
        <f>IF(AD58&lt;AE58,1,0)</f>
        <v/>
      </c>
      <c r="DX58" s="376">
        <f>IF(AF58&lt;AG58,1,0)</f>
        <v/>
      </c>
      <c r="DY58" s="376">
        <f>IF(AH58&lt;AI58,1,0)</f>
        <v/>
      </c>
      <c r="DZ58" s="376">
        <f>IF(AJ58&lt;AK58,1,0)</f>
        <v/>
      </c>
      <c r="EA58" s="376">
        <f>IF(AL58&lt;AM58,1,0)</f>
        <v/>
      </c>
      <c r="EB58" s="376">
        <f>IF(AN58&lt;AO58,1,0)</f>
        <v/>
      </c>
      <c r="EC58" s="376">
        <f>IF(AP58&lt;AQ58,1,0)</f>
        <v/>
      </c>
    </row>
    <row r="59">
      <c r="A59" s="3119" t="inlineStr">
        <is>
          <t>Gestantes tercer trimestre embarazo</t>
        </is>
      </c>
      <c r="B59" s="3103">
        <f>+N59+P59+R59+T59+V59+X59+Z59+AB59+AD59+AF59+AH59+AJ59+AL59+AN59+AP59</f>
        <v/>
      </c>
      <c r="C59" s="1171">
        <f>+O59+Q59+S59+U59+W59+Y59+AA59+AC59+AE59+AG59+AI59+AK59+AM59+AO59+AQ59</f>
        <v/>
      </c>
      <c r="D59" s="3112" t="n"/>
      <c r="E59" s="3105" t="n"/>
      <c r="F59" s="3104" t="n"/>
      <c r="G59" s="3105" t="n"/>
      <c r="H59" s="3104" t="n"/>
      <c r="I59" s="3105" t="n"/>
      <c r="J59" s="3104" t="n"/>
      <c r="K59" s="3105" t="n"/>
      <c r="L59" s="3104" t="n"/>
      <c r="M59" s="3106" t="n"/>
      <c r="N59" s="3100" t="n"/>
      <c r="O59" s="3107" t="n"/>
      <c r="P59" s="3108" t="n"/>
      <c r="Q59" s="3107" t="n"/>
      <c r="R59" s="3108" t="n"/>
      <c r="S59" s="3107" t="n"/>
      <c r="T59" s="3108" t="n"/>
      <c r="U59" s="3107" t="n"/>
      <c r="V59" s="3108" t="n"/>
      <c r="W59" s="3107" t="n"/>
      <c r="X59" s="3108" t="n"/>
      <c r="Y59" s="3107" t="n"/>
      <c r="Z59" s="3108" t="n"/>
      <c r="AA59" s="3107" t="n"/>
      <c r="AB59" s="3108" t="n"/>
      <c r="AC59" s="3107" t="n"/>
      <c r="AD59" s="3108" t="n"/>
      <c r="AE59" s="3107" t="n"/>
      <c r="AF59" s="3108" t="n"/>
      <c r="AG59" s="3107" t="n"/>
      <c r="AH59" s="3108" t="n"/>
      <c r="AI59" s="3107" t="n"/>
      <c r="AJ59" s="3108" t="n"/>
      <c r="AK59" s="3107" t="n"/>
      <c r="AL59" s="3108" t="n"/>
      <c r="AM59" s="3107" t="n"/>
      <c r="AN59" s="3108" t="n"/>
      <c r="AO59" s="3107" t="n"/>
      <c r="AP59" s="3108" t="n"/>
      <c r="AQ59" s="3098" t="n"/>
      <c r="AR59" s="3097" t="n"/>
      <c r="AS59" s="3098" t="n"/>
      <c r="AT59" s="3099" t="n"/>
      <c r="AU59" s="3098" t="n"/>
      <c r="AV59" s="3845" t="n"/>
      <c r="AW59" s="3656" t="n"/>
      <c r="AX59" s="218">
        <f>$CA59&amp;CB59&amp;CC59&amp;$CD59&amp;CJ59&amp;CK59&amp;CL59&amp;CM59&amp;CN59&amp;CO59&amp;CP59&amp;CQ59&amp;CR59&amp;CS59&amp;CT59&amp;CU59&amp;CV59&amp;CW59&amp;CX59</f>
        <v/>
      </c>
      <c r="CA59" s="219">
        <f>IF(B59&lt;&gt;(AS59)," * La suma de las columnas "&amp;AR$10&amp;""&amp;" DEBE SER IGUAL a los Exámenes Procesados. ","")</f>
        <v/>
      </c>
      <c r="CB59" s="219">
        <f>IF(AND($B59&gt;0,AND(AT59="",AU59="")),"* No olvide ingresar las columnas Trans Masculino o Femenino (*Digite CERO si no tiene). ",IF((AT59+AU59)&gt;$B59,"* El Número de Trans Masculino o Femenino no puede superar el Total Procesados. ",""))</f>
        <v/>
      </c>
      <c r="CC59" s="219">
        <f>IF(AND($B59&gt;0,AV59=""),"* No olvide ingresar la columna "&amp;AV$10&amp;""&amp;" *(Digite CERO si no tiene). ",IF(AV59&gt;$B59," *El Número de "&amp;AV$10&amp;""&amp;" no puede superar el Total Procesados. ",""))</f>
        <v/>
      </c>
      <c r="CD59" s="219">
        <f>IF(AND($B59&gt;0,AW59=""),"* No olvide ingresar la columna "&amp;AW$10&amp;""&amp;" *(Digite CERO si no tiene). ",IF(AW59&gt;$B59," *El Número de "&amp;AW$10&amp;""&amp;" no puede superar el Total Procesados. ",""))</f>
        <v/>
      </c>
      <c r="CE59" s="220" t="n"/>
      <c r="CF59" s="220" t="n"/>
      <c r="CG59" s="220" t="n"/>
      <c r="CH59" s="220" t="n"/>
      <c r="CI59" s="220" t="n"/>
      <c r="CJ59" s="219">
        <f>IF(N59&lt;O59,CONCATENATE("* El total de Procesados debe ser mayor o igual al total de Reactivos en el grupo de edad ",$N$11),"")</f>
        <v/>
      </c>
      <c r="CK59" s="219">
        <f>IF(P59&lt;Q59,CONCATENATE("* El total de Procesados debe ser mayor o igual al total de Reactivos en el grupo de edad ",$P$11),"")</f>
        <v/>
      </c>
      <c r="CL59" s="219">
        <f>IF(R59&lt;S59,CONCATENATE("* El total de Procesados debe ser mayor o igual al total de Reactivos en el grupo de edad ",$R$11),"")</f>
        <v/>
      </c>
      <c r="CM59" s="219">
        <f>IF($T59&lt;$U59,CONCATENATE("* El total de Procesados debe ser mayor o igual al total de Reactivos en el grupo de edad ",$T$11),"")</f>
        <v/>
      </c>
      <c r="CN59" s="219">
        <f>IF(V59&lt;W59,CONCATENATE("* El total de Procesados debe ser mayor o igual al total de Reactivos en el grupo de edad ",$V$11),"")</f>
        <v/>
      </c>
      <c r="CO59" s="219">
        <f>IF(X59&lt;Y59,CONCATENATE("* El total de Procesados debe ser mayor o igual al total de Reactivos en el grupo de edad ",$X$11),"")</f>
        <v/>
      </c>
      <c r="CP59" s="219">
        <f>IF(Z59&lt;AA59,CONCATENATE("* El total de Procesados debe ser mayor o igual al total de Reactivos en el grupo de edad ",$Z$11),"")</f>
        <v/>
      </c>
      <c r="CQ59" s="219">
        <f>IF(AB59&lt;AC59,CONCATENATE("* El total de Procesados debe ser mayor o igual al total de Reactivos en el grupo de edad ",$AB$11),"")</f>
        <v/>
      </c>
      <c r="CR59" s="219">
        <f>IF(AD59&lt;AE59,CONCATENATE("* El total de Procesados debe ser mayor o igual al total de Reactivos en el grupo de edad ",$AD$11),"")</f>
        <v/>
      </c>
      <c r="CS59" s="219">
        <f>IF(AF59&lt;AG59,CONCATENATE("* El total de Procesados debe ser mayor o igual al total de Reactivos en el grupo de edad ",$AF$11),"")</f>
        <v/>
      </c>
      <c r="CT59" s="219">
        <f>IF(AH59&lt;AI59,CONCATENATE("* El total de Procesados debe ser mayor o igual al total de Reactivos en el grupo de edad ",$AH$11),"")</f>
        <v/>
      </c>
      <c r="CU59" s="219">
        <f>IF(AJ59&lt;AK59,CONCATENATE("* El total de Procesados debe ser mayor o igual al total de Reactivos en el grupo de edad ",$AJ$11),"")</f>
        <v/>
      </c>
      <c r="CV59" s="219">
        <f>IF(AL59&lt;AM59,CONCATENATE("* El total de Procesados debe ser mayor o igual al total de Reactivos en el grupo de edad ",$AL$11),"")</f>
        <v/>
      </c>
      <c r="CW59" s="219">
        <f>IF(AN59&lt;AO59,CONCATENATE("* El total de Procesados debe ser mayor o igual al total de Reactivos en el grupo de edad ",$AN$11),"")</f>
        <v/>
      </c>
      <c r="CX59" s="219">
        <f>IF(AP59&lt;AQ59,CONCATENATE("* El total de Procesados debe ser mayor o igual al total de Reactivos en el grupo de edad ",$AP$11),"")</f>
        <v/>
      </c>
      <c r="DE59" s="226" t="n"/>
      <c r="DF59" s="378">
        <f>IF(B59&lt;&gt;(AS59),1,0)</f>
        <v/>
      </c>
      <c r="DG59" s="376">
        <f>IF(AND($B59&gt;0,AND(AT59="",AU59="")),1,IF((AT59+AU59)&gt;$B59,1,0))</f>
        <v/>
      </c>
      <c r="DH59" s="376">
        <f>IF(AND($B59&gt;0,AV59=""),1,IF(AV59&gt;$B59,1,0))</f>
        <v/>
      </c>
      <c r="DI59" s="376">
        <f>IF(AND($B59&gt;0,AW59=""),1,IF(AW59&gt;$B59,1,0))</f>
        <v/>
      </c>
      <c r="DJ59" s="220" t="n"/>
      <c r="DK59" s="220" t="n"/>
      <c r="DL59" s="220" t="n"/>
      <c r="DM59" s="220" t="n"/>
      <c r="DN59" s="220" t="n"/>
      <c r="DO59" s="376">
        <f>IF(N59&lt;O59,1,0)</f>
        <v/>
      </c>
      <c r="DP59" s="376">
        <f>IF(P59&lt;Q59,1,0)</f>
        <v/>
      </c>
      <c r="DQ59" s="376">
        <f>IF(R59&lt;S59,1,0)</f>
        <v/>
      </c>
      <c r="DR59" s="376">
        <f>IF($T59&lt;$U59,1,0)</f>
        <v/>
      </c>
      <c r="DS59" s="376">
        <f>IF(V59&lt;W59,1,0)</f>
        <v/>
      </c>
      <c r="DT59" s="376">
        <f>IF(X59&lt;Y59,1,0)</f>
        <v/>
      </c>
      <c r="DU59" s="376">
        <f>IF(Z59&lt;AA59,1,0)</f>
        <v/>
      </c>
      <c r="DV59" s="376">
        <f>IF(AB59&lt;AC59,1,0)</f>
        <v/>
      </c>
      <c r="DW59" s="376">
        <f>IF(AD59&lt;AE59,1,0)</f>
        <v/>
      </c>
      <c r="DX59" s="376">
        <f>IF(AF59&lt;AG59,1,0)</f>
        <v/>
      </c>
      <c r="DY59" s="376">
        <f>IF(AH59&lt;AI59,1,0)</f>
        <v/>
      </c>
      <c r="DZ59" s="376">
        <f>IF(AJ59&lt;AK59,1,0)</f>
        <v/>
      </c>
      <c r="EA59" s="376">
        <f>IF(AL59&lt;AM59,1,0)</f>
        <v/>
      </c>
      <c r="EB59" s="376">
        <f>IF(AN59&lt;AO59,1,0)</f>
        <v/>
      </c>
      <c r="EC59" s="376">
        <f>IF(AP59&lt;AQ59,1,0)</f>
        <v/>
      </c>
    </row>
    <row r="60">
      <c r="A60" s="3119" t="inlineStr">
        <is>
          <t>Gestantes trimestre embarazo ignorado</t>
        </is>
      </c>
      <c r="B60" s="3103">
        <f>+N60+P60+R60+T60+V60+X60+Z60+AB60+AD60+AF60+AH60+AJ60+AL60+AN60+AP60</f>
        <v/>
      </c>
      <c r="C60" s="1171">
        <f>+O60+Q60+S60+U60+W60+Y60+AA60+AC60+AE60+AG60+AI60+AK60+AM60+AO60+AQ60</f>
        <v/>
      </c>
      <c r="D60" s="3112" t="n"/>
      <c r="E60" s="3105" t="n"/>
      <c r="F60" s="3104" t="n"/>
      <c r="G60" s="3105" t="n"/>
      <c r="H60" s="3104" t="n"/>
      <c r="I60" s="3105" t="n"/>
      <c r="J60" s="3104" t="n"/>
      <c r="K60" s="3105" t="n"/>
      <c r="L60" s="3104" t="n"/>
      <c r="M60" s="3106" t="n"/>
      <c r="N60" s="3100" t="n"/>
      <c r="O60" s="3107" t="n"/>
      <c r="P60" s="3108" t="n"/>
      <c r="Q60" s="3107" t="n"/>
      <c r="R60" s="3108" t="n"/>
      <c r="S60" s="3107" t="n"/>
      <c r="T60" s="3108" t="n"/>
      <c r="U60" s="3107" t="n"/>
      <c r="V60" s="3108" t="n"/>
      <c r="W60" s="3107" t="n"/>
      <c r="X60" s="3108" t="n"/>
      <c r="Y60" s="3107" t="n"/>
      <c r="Z60" s="3108" t="n"/>
      <c r="AA60" s="3107" t="n"/>
      <c r="AB60" s="3108" t="n"/>
      <c r="AC60" s="3107" t="n"/>
      <c r="AD60" s="3108" t="n"/>
      <c r="AE60" s="3107" t="n"/>
      <c r="AF60" s="3108" t="n"/>
      <c r="AG60" s="3107" t="n"/>
      <c r="AH60" s="3108" t="n"/>
      <c r="AI60" s="3107" t="n"/>
      <c r="AJ60" s="3108" t="n"/>
      <c r="AK60" s="3107" t="n"/>
      <c r="AL60" s="3108" t="n"/>
      <c r="AM60" s="3107" t="n"/>
      <c r="AN60" s="3108" t="n"/>
      <c r="AO60" s="3107" t="n"/>
      <c r="AP60" s="3108" t="n"/>
      <c r="AQ60" s="3098" t="n"/>
      <c r="AR60" s="3097" t="n"/>
      <c r="AS60" s="3098" t="n"/>
      <c r="AT60" s="3099" t="n"/>
      <c r="AU60" s="3098" t="n"/>
      <c r="AV60" s="3845" t="n"/>
      <c r="AW60" s="3656" t="n"/>
      <c r="AX60" s="218">
        <f>$CA60&amp;CB60&amp;CC60&amp;$CD60&amp;CJ60&amp;CK60&amp;CL60&amp;CM60&amp;CN60&amp;CO60&amp;CP60&amp;CQ60&amp;CR60&amp;CS60&amp;CT60&amp;CU60&amp;CV60&amp;CW60&amp;CX60</f>
        <v/>
      </c>
      <c r="CA60" s="219">
        <f>IF(B60&lt;&gt;(AS60)," * La suma de las columnas "&amp;AR$10&amp;""&amp;" DEBE SER IGUAL a los Exámenes Procesados. ","")</f>
        <v/>
      </c>
      <c r="CB60" s="219">
        <f>IF(AND($B60&gt;0,AND(AT60="",AU60="")),"* No olvide ingresar las columnas Trans Masculino o Femenino (*Digite CERO si no tiene). ",IF((AT60+AU60)&gt;$B60,"* El Número de Trans Masculino o Femenino no puede superar el Total Procesados. ",""))</f>
        <v/>
      </c>
      <c r="CC60" s="219">
        <f>IF(AND($B60&gt;0,AV60=""),"* No olvide ingresar la columna "&amp;AV$10&amp;""&amp;" *(Digite CERO si no tiene). ",IF(AV60&gt;$B60," *El Número de "&amp;AV$10&amp;""&amp;" no puede superar el Total Procesados. ",""))</f>
        <v/>
      </c>
      <c r="CD60" s="219">
        <f>IF(AND($B60&gt;0,AW60=""),"* No olvide ingresar la columna "&amp;AW$10&amp;""&amp;" *(Digite CERO si no tiene). ",IF(AW60&gt;$B60," *El Número de "&amp;AW$10&amp;""&amp;" no puede superar el Total Procesados. ",""))</f>
        <v/>
      </c>
      <c r="CE60" s="220" t="n"/>
      <c r="CF60" s="220" t="n"/>
      <c r="CG60" s="220" t="n"/>
      <c r="CH60" s="220" t="n"/>
      <c r="CI60" s="220" t="n"/>
      <c r="CJ60" s="219">
        <f>IF(N60&lt;O60,CONCATENATE("* El total de Procesados debe ser mayor o igual al total de Reactivos en el grupo de edad ",$N$11),"")</f>
        <v/>
      </c>
      <c r="CK60" s="219">
        <f>IF(P60&lt;Q60,CONCATENATE("* El total de Procesados debe ser mayor o igual al total de Reactivos en el grupo de edad ",$P$11),"")</f>
        <v/>
      </c>
      <c r="CL60" s="219">
        <f>IF(R60&lt;S60,CONCATENATE("* El total de Procesados debe ser mayor o igual al total de Reactivos en el grupo de edad ",$R$11),"")</f>
        <v/>
      </c>
      <c r="CM60" s="219">
        <f>IF($T60&lt;$U60,CONCATENATE("* El total de Procesados debe ser mayor o igual al total de Reactivos en el grupo de edad ",$T$11),"")</f>
        <v/>
      </c>
      <c r="CN60" s="219">
        <f>IF(V60&lt;W60,CONCATENATE("* El total de Procesados debe ser mayor o igual al total de Reactivos en el grupo de edad ",$V$11),"")</f>
        <v/>
      </c>
      <c r="CO60" s="219">
        <f>IF(X60&lt;Y60,CONCATENATE("* El total de Procesados debe ser mayor o igual al total de Reactivos en el grupo de edad ",$X$11),"")</f>
        <v/>
      </c>
      <c r="CP60" s="219">
        <f>IF(Z60&lt;AA60,CONCATENATE("* El total de Procesados debe ser mayor o igual al total de Reactivos en el grupo de edad ",$Z$11),"")</f>
        <v/>
      </c>
      <c r="CQ60" s="219">
        <f>IF(AB60&lt;AC60,CONCATENATE("* El total de Procesados debe ser mayor o igual al total de Reactivos en el grupo de edad ",$AB$11),"")</f>
        <v/>
      </c>
      <c r="CR60" s="219">
        <f>IF(AD60&lt;AE60,CONCATENATE("* El total de Procesados debe ser mayor o igual al total de Reactivos en el grupo de edad ",$AD$11),"")</f>
        <v/>
      </c>
      <c r="CS60" s="219">
        <f>IF(AF60&lt;AG60,CONCATENATE("* El total de Procesados debe ser mayor o igual al total de Reactivos en el grupo de edad ",$AF$11),"")</f>
        <v/>
      </c>
      <c r="CT60" s="219">
        <f>IF(AH60&lt;AI60,CONCATENATE("* El total de Procesados debe ser mayor o igual al total de Reactivos en el grupo de edad ",$AH$11),"")</f>
        <v/>
      </c>
      <c r="CU60" s="219">
        <f>IF(AJ60&lt;AK60,CONCATENATE("* El total de Procesados debe ser mayor o igual al total de Reactivos en el grupo de edad ",$AJ$11),"")</f>
        <v/>
      </c>
      <c r="CV60" s="219">
        <f>IF(AL60&lt;AM60,CONCATENATE("* El total de Procesados debe ser mayor o igual al total de Reactivos en el grupo de edad ",$AL$11),"")</f>
        <v/>
      </c>
      <c r="CW60" s="219">
        <f>IF(AN60&lt;AO60,CONCATENATE("* El total de Procesados debe ser mayor o igual al total de Reactivos en el grupo de edad ",$AN$11),"")</f>
        <v/>
      </c>
      <c r="CX60" s="219">
        <f>IF(AP60&lt;AQ60,CONCATENATE("* El total de Procesados debe ser mayor o igual al total de Reactivos en el grupo de edad ",$AP$11),"")</f>
        <v/>
      </c>
      <c r="DE60" s="226" t="n"/>
      <c r="DF60" s="378">
        <f>IF(B60&lt;&gt;(AS60),1,0)</f>
        <v/>
      </c>
      <c r="DG60" s="376">
        <f>IF(AND($B60&gt;0,AND(AT60="",AU60="")),1,IF((AT60+AU60)&gt;$B60,1,0))</f>
        <v/>
      </c>
      <c r="DH60" s="376">
        <f>IF(AND($B60&gt;0,AV60=""),1,IF(AV60&gt;$B60,1,0))</f>
        <v/>
      </c>
      <c r="DI60" s="376">
        <f>IF(AND($B60&gt;0,AW60=""),1,IF(AW60&gt;$B60,1,0))</f>
        <v/>
      </c>
      <c r="DJ60" s="220" t="n"/>
      <c r="DK60" s="220" t="n"/>
      <c r="DL60" s="220" t="n"/>
      <c r="DM60" s="220" t="n"/>
      <c r="DN60" s="220" t="n"/>
      <c r="DO60" s="376">
        <f>IF(N60&lt;O60,1,0)</f>
        <v/>
      </c>
      <c r="DP60" s="376">
        <f>IF(P60&lt;Q60,1,0)</f>
        <v/>
      </c>
      <c r="DQ60" s="376">
        <f>IF(R60&lt;S60,1,0)</f>
        <v/>
      </c>
      <c r="DR60" s="376">
        <f>IF($T60&lt;$U60,1,0)</f>
        <v/>
      </c>
      <c r="DS60" s="376">
        <f>IF(V60&lt;W60,1,0)</f>
        <v/>
      </c>
      <c r="DT60" s="376">
        <f>IF(X60&lt;Y60,1,0)</f>
        <v/>
      </c>
      <c r="DU60" s="376">
        <f>IF(Z60&lt;AA60,1,0)</f>
        <v/>
      </c>
      <c r="DV60" s="376">
        <f>IF(AB60&lt;AC60,1,0)</f>
        <v/>
      </c>
      <c r="DW60" s="376">
        <f>IF(AD60&lt;AE60,1,0)</f>
        <v/>
      </c>
      <c r="DX60" s="376">
        <f>IF(AF60&lt;AG60,1,0)</f>
        <v/>
      </c>
      <c r="DY60" s="376">
        <f>IF(AH60&lt;AI60,1,0)</f>
        <v/>
      </c>
      <c r="DZ60" s="376">
        <f>IF(AJ60&lt;AK60,1,0)</f>
        <v/>
      </c>
      <c r="EA60" s="376">
        <f>IF(AL60&lt;AM60,1,0)</f>
        <v/>
      </c>
      <c r="EB60" s="376">
        <f>IF(AN60&lt;AO60,1,0)</f>
        <v/>
      </c>
      <c r="EC60" s="376">
        <f>IF(AP60&lt;AQ60,1,0)</f>
        <v/>
      </c>
    </row>
    <row r="61">
      <c r="A61" s="8538" t="inlineStr">
        <is>
          <t>Gestantes en seguimiento por diagnóstico sífilis</t>
        </is>
      </c>
      <c r="B61" s="3103">
        <f>+N61+P61+R61+T61+V61+X61+Z61+AB61+AD61+AF61+AH61+AJ61+AL61+AN61+AP61</f>
        <v/>
      </c>
      <c r="C61" s="1171">
        <f>+O61+Q61+S61+U61+W61+Y61+AA61+AC61+AE61+AG61+AI61+AK61+AM61+AO61+AQ61</f>
        <v/>
      </c>
      <c r="D61" s="3112" t="n"/>
      <c r="E61" s="3105" t="n"/>
      <c r="F61" s="3104" t="n"/>
      <c r="G61" s="3105" t="n"/>
      <c r="H61" s="3104" t="n"/>
      <c r="I61" s="3105" t="n"/>
      <c r="J61" s="3104" t="n"/>
      <c r="K61" s="3105" t="n"/>
      <c r="L61" s="3104" t="n"/>
      <c r="M61" s="3106" t="n"/>
      <c r="N61" s="3100" t="n"/>
      <c r="O61" s="3107" t="n"/>
      <c r="P61" s="3108" t="n"/>
      <c r="Q61" s="3107" t="n"/>
      <c r="R61" s="3108" t="n"/>
      <c r="S61" s="3107" t="n"/>
      <c r="T61" s="3108" t="n"/>
      <c r="U61" s="3107" t="n"/>
      <c r="V61" s="3108" t="n"/>
      <c r="W61" s="3107" t="n"/>
      <c r="X61" s="3108" t="n"/>
      <c r="Y61" s="3107" t="n"/>
      <c r="Z61" s="3108" t="n"/>
      <c r="AA61" s="3107" t="n"/>
      <c r="AB61" s="3108" t="n"/>
      <c r="AC61" s="3107" t="n"/>
      <c r="AD61" s="3108" t="n"/>
      <c r="AE61" s="3107" t="n"/>
      <c r="AF61" s="3108" t="n"/>
      <c r="AG61" s="3107" t="n"/>
      <c r="AH61" s="3108" t="n"/>
      <c r="AI61" s="3107" t="n"/>
      <c r="AJ61" s="3108" t="n"/>
      <c r="AK61" s="3107" t="n"/>
      <c r="AL61" s="3108" t="n"/>
      <c r="AM61" s="3107" t="n"/>
      <c r="AN61" s="3108" t="n"/>
      <c r="AO61" s="3107" t="n"/>
      <c r="AP61" s="3108" t="n"/>
      <c r="AQ61" s="3098" t="n"/>
      <c r="AR61" s="3097" t="n"/>
      <c r="AS61" s="3098" t="n"/>
      <c r="AT61" s="3099" t="n"/>
      <c r="AU61" s="3098" t="n"/>
      <c r="AV61" s="3845" t="n"/>
      <c r="AW61" s="3656" t="n"/>
      <c r="AX61" s="218">
        <f>$CA61&amp;CB61&amp;CC61&amp;$CD61&amp;CJ61&amp;CK61&amp;CL61&amp;CM61&amp;CN61&amp;CO61&amp;CP61&amp;CQ61&amp;CR61&amp;CS61&amp;CT61&amp;CU61&amp;CV61&amp;CW61&amp;CX61</f>
        <v/>
      </c>
      <c r="CA61" s="219">
        <f>IF(B61&lt;&gt;(AS61)," * La suma de las columnas "&amp;AR$10&amp;""&amp;" DEBE SER IGUAL a los Exámenes Procesados. ","")</f>
        <v/>
      </c>
      <c r="CB61" s="219">
        <f>IF(AND($B61&gt;0,AND(AT61="",AU61="")),"* No olvide ingresar las columnas Trans Masculino o Femenino (*Digite CERO si no tiene). ",IF((AT61+AU61)&gt;$B61,"* El Número de Trans Masculino o Femenino no puede superar el Total Procesados. ",""))</f>
        <v/>
      </c>
      <c r="CC61" s="219">
        <f>IF(AND($B61&gt;0,AV61=""),"* No olvide ingresar la columna "&amp;AV$10&amp;""&amp;" *(Digite CERO si no tiene). ",IF(AV61&gt;$B61," *El Número de "&amp;AV$10&amp;""&amp;" no puede superar el Total Procesados. ",""))</f>
        <v/>
      </c>
      <c r="CD61" s="219">
        <f>IF(AND($B61&gt;0,AW61=""),"* No olvide ingresar la columna "&amp;AW$10&amp;""&amp;" *(Digite CERO si no tiene). ",IF(AW61&gt;$B61," *El Número de "&amp;AW$10&amp;""&amp;" no puede superar el Total Procesados. ",""))</f>
        <v/>
      </c>
      <c r="CE61" s="220" t="n"/>
      <c r="CF61" s="220" t="n"/>
      <c r="CG61" s="220" t="n"/>
      <c r="CH61" s="220" t="n"/>
      <c r="CI61" s="220" t="n"/>
      <c r="CJ61" s="219">
        <f>IF(N61&lt;O61,CONCATENATE("* El total de Procesados debe ser mayor o igual al total de Reactivos en el grupo de edad ",$N$11),"")</f>
        <v/>
      </c>
      <c r="CK61" s="219">
        <f>IF(P61&lt;Q61,CONCATENATE("* El total de Procesados debe ser mayor o igual al total de Reactivos en el grupo de edad ",$P$11),"")</f>
        <v/>
      </c>
      <c r="CL61" s="219">
        <f>IF(R61&lt;S61,CONCATENATE("* El total de Procesados debe ser mayor o igual al total de Reactivos en el grupo de edad ",$R$11),"")</f>
        <v/>
      </c>
      <c r="CM61" s="219">
        <f>IF($T61&lt;$U61,CONCATENATE("* El total de Procesados debe ser mayor o igual al total de Reactivos en el grupo de edad ",$T$11),"")</f>
        <v/>
      </c>
      <c r="CN61" s="219">
        <f>IF(V61&lt;W61,CONCATENATE("* El total de Procesados debe ser mayor o igual al total de Reactivos en el grupo de edad ",$V$11),"")</f>
        <v/>
      </c>
      <c r="CO61" s="219">
        <f>IF(X61&lt;Y61,CONCATENATE("* El total de Procesados debe ser mayor o igual al total de Reactivos en el grupo de edad ",$X$11),"")</f>
        <v/>
      </c>
      <c r="CP61" s="219">
        <f>IF(Z61&lt;AA61,CONCATENATE("* El total de Procesados debe ser mayor o igual al total de Reactivos en el grupo de edad ",$Z$11),"")</f>
        <v/>
      </c>
      <c r="CQ61" s="219">
        <f>IF(AB61&lt;AC61,CONCATENATE("* El total de Procesados debe ser mayor o igual al total de Reactivos en el grupo de edad ",$AB$11),"")</f>
        <v/>
      </c>
      <c r="CR61" s="219">
        <f>IF(AD61&lt;AE61,CONCATENATE("* El total de Procesados debe ser mayor o igual al total de Reactivos en el grupo de edad ",$AD$11),"")</f>
        <v/>
      </c>
      <c r="CS61" s="219">
        <f>IF(AF61&lt;AG61,CONCATENATE("* El total de Procesados debe ser mayor o igual al total de Reactivos en el grupo de edad ",$AF$11),"")</f>
        <v/>
      </c>
      <c r="CT61" s="219">
        <f>IF(AH61&lt;AI61,CONCATENATE("* El total de Procesados debe ser mayor o igual al total de Reactivos en el grupo de edad ",$AH$11),"")</f>
        <v/>
      </c>
      <c r="CU61" s="219">
        <f>IF(AJ61&lt;AK61,CONCATENATE("* El total de Procesados debe ser mayor o igual al total de Reactivos en el grupo de edad ",$AJ$11),"")</f>
        <v/>
      </c>
      <c r="CV61" s="219">
        <f>IF(AL61&lt;AM61,CONCATENATE("* El total de Procesados debe ser mayor o igual al total de Reactivos en el grupo de edad ",$AL$11),"")</f>
        <v/>
      </c>
      <c r="CW61" s="219">
        <f>IF(AN61&lt;AO61,CONCATENATE("* El total de Procesados debe ser mayor o igual al total de Reactivos en el grupo de edad ",$AN$11),"")</f>
        <v/>
      </c>
      <c r="CX61" s="219">
        <f>IF(AP61&lt;AQ61,CONCATENATE("* El total de Procesados debe ser mayor o igual al total de Reactivos en el grupo de edad ",$AP$11),"")</f>
        <v/>
      </c>
      <c r="DE61" s="226" t="n"/>
      <c r="DF61" s="378">
        <f>IF(B61&lt;&gt;(AS61),1,0)</f>
        <v/>
      </c>
      <c r="DG61" s="376">
        <f>IF(AND($B61&gt;0,AND(AT61="",AU61="")),1,IF((AT61+AU61)&gt;$B61,1,0))</f>
        <v/>
      </c>
      <c r="DH61" s="376">
        <f>IF(AND($B61&gt;0,AV61=""),1,IF(AV61&gt;$B61,1,0))</f>
        <v/>
      </c>
      <c r="DI61" s="376">
        <f>IF(AND($B61&gt;0,AW61=""),1,IF(AW61&gt;$B61,1,0))</f>
        <v/>
      </c>
      <c r="DJ61" s="220" t="n"/>
      <c r="DK61" s="220" t="n"/>
      <c r="DL61" s="220" t="n"/>
      <c r="DM61" s="220" t="n"/>
      <c r="DN61" s="220" t="n"/>
      <c r="DO61" s="376">
        <f>IF(N61&lt;O61,1,0)</f>
        <v/>
      </c>
      <c r="DP61" s="376">
        <f>IF(P61&lt;Q61,1,0)</f>
        <v/>
      </c>
      <c r="DQ61" s="376">
        <f>IF(R61&lt;S61,1,0)</f>
        <v/>
      </c>
      <c r="DR61" s="376">
        <f>IF($T61&lt;$U61,1,0)</f>
        <v/>
      </c>
      <c r="DS61" s="376">
        <f>IF(V61&lt;W61,1,0)</f>
        <v/>
      </c>
      <c r="DT61" s="376">
        <f>IF(X61&lt;Y61,1,0)</f>
        <v/>
      </c>
      <c r="DU61" s="376">
        <f>IF(Z61&lt;AA61,1,0)</f>
        <v/>
      </c>
      <c r="DV61" s="376">
        <f>IF(AB61&lt;AC61,1,0)</f>
        <v/>
      </c>
      <c r="DW61" s="376">
        <f>IF(AD61&lt;AE61,1,0)</f>
        <v/>
      </c>
      <c r="DX61" s="376">
        <f>IF(AF61&lt;AG61,1,0)</f>
        <v/>
      </c>
      <c r="DY61" s="376">
        <f>IF(AH61&lt;AI61,1,0)</f>
        <v/>
      </c>
      <c r="DZ61" s="376">
        <f>IF(AJ61&lt;AK61,1,0)</f>
        <v/>
      </c>
      <c r="EA61" s="376">
        <f>IF(AL61&lt;AM61,1,0)</f>
        <v/>
      </c>
      <c r="EB61" s="376">
        <f>IF(AN61&lt;AO61,1,0)</f>
        <v/>
      </c>
      <c r="EC61" s="376">
        <f>IF(AP61&lt;AQ61,1,0)</f>
        <v/>
      </c>
    </row>
    <row r="62">
      <c r="A62" s="8538" t="inlineStr">
        <is>
          <t>Pareja de gestante con serología reactiva</t>
        </is>
      </c>
      <c r="B62" s="3103">
        <f>+N62+P62+R62+T62+V62+X62+Z62+AB62+AD62+AF62+AH62+AJ62+AL62+AN62+AP62</f>
        <v/>
      </c>
      <c r="C62" s="1171">
        <f>+O62+Q62+S62+U62+W62+Y62+AA62+AC62+AE62+AG62+AI62+AK62+AM62+AO62+AQ62</f>
        <v/>
      </c>
      <c r="D62" s="3112" t="n"/>
      <c r="E62" s="3105" t="n"/>
      <c r="F62" s="3104" t="n"/>
      <c r="G62" s="3105" t="n"/>
      <c r="H62" s="3104" t="n"/>
      <c r="I62" s="3105" t="n"/>
      <c r="J62" s="3104" t="n"/>
      <c r="K62" s="3105" t="n"/>
      <c r="L62" s="3104" t="n"/>
      <c r="M62" s="3106" t="n"/>
      <c r="N62" s="3100" t="n"/>
      <c r="O62" s="3107" t="n"/>
      <c r="P62" s="3108" t="n"/>
      <c r="Q62" s="3107" t="n"/>
      <c r="R62" s="3108" t="n"/>
      <c r="S62" s="3107" t="n"/>
      <c r="T62" s="3108" t="n"/>
      <c r="U62" s="3107" t="n"/>
      <c r="V62" s="3108" t="n"/>
      <c r="W62" s="3107" t="n"/>
      <c r="X62" s="3108" t="n"/>
      <c r="Y62" s="3107" t="n"/>
      <c r="Z62" s="3108" t="n"/>
      <c r="AA62" s="3107" t="n"/>
      <c r="AB62" s="3108" t="n"/>
      <c r="AC62" s="3107" t="n"/>
      <c r="AD62" s="3108" t="n"/>
      <c r="AE62" s="3107" t="n"/>
      <c r="AF62" s="3108" t="n"/>
      <c r="AG62" s="3107" t="n"/>
      <c r="AH62" s="3108" t="n"/>
      <c r="AI62" s="3107" t="n"/>
      <c r="AJ62" s="3108" t="n"/>
      <c r="AK62" s="3107" t="n"/>
      <c r="AL62" s="3108" t="n"/>
      <c r="AM62" s="3107" t="n"/>
      <c r="AN62" s="3108" t="n"/>
      <c r="AO62" s="3107" t="n"/>
      <c r="AP62" s="3108" t="n"/>
      <c r="AQ62" s="3098" t="n"/>
      <c r="AR62" s="3100" t="n"/>
      <c r="AS62" s="3098" t="n"/>
      <c r="AT62" s="3099" t="n"/>
      <c r="AU62" s="3098" t="n"/>
      <c r="AV62" s="3845" t="n"/>
      <c r="AW62" s="3656" t="n"/>
      <c r="AX62" s="218">
        <f>$CA62&amp;CB62&amp;CC62&amp;$CD62&amp;CJ62&amp;CK62&amp;CL62&amp;CM62&amp;CN62&amp;CO62&amp;CP62&amp;CQ62&amp;CR62&amp;CS62&amp;CT62&amp;CU62&amp;CV62&amp;CW62&amp;CX62</f>
        <v/>
      </c>
      <c r="CA62" s="219">
        <f>IF(B62&lt;&gt;(AS62+AR62)," * La suma de las columnas "&amp;AR$10&amp;""&amp;" DEBE SER IGUAL a los Exámenes Procesados. ","")</f>
        <v/>
      </c>
      <c r="CB62" s="219">
        <f>IF(AND($B62&gt;0,AND(AT62="",AU62="")),"* No olvide ingresar las columnas Trans Masculino o Femenino (*Digite CERO si no tiene). ",IF((AT62+AU62)&gt;$B62,"* El Número de Trans Masculino o Femenino no puede superar el Total Procesados. ",""))</f>
        <v/>
      </c>
      <c r="CC62" s="219">
        <f>IF(AND($B62&gt;0,AV62=""),"* No olvide ingresar la columna "&amp;AV$10&amp;""&amp;" *(Digite CERO si no tiene). ",IF(AV62&gt;$B62," *El Número de "&amp;AV$10&amp;""&amp;" no puede superar el Total Procesados. ",""))</f>
        <v/>
      </c>
      <c r="CD62" s="219">
        <f>IF(AND($B62&gt;0,AW62=""),"* No olvide ingresar la columna "&amp;AW$10&amp;""&amp;" *(Digite CERO si no tiene). ",IF(AW62&gt;$B62," *El Número de "&amp;AW$10&amp;""&amp;" no puede superar el Total Procesados. ",""))</f>
        <v/>
      </c>
      <c r="CE62" s="220" t="n"/>
      <c r="CF62" s="220" t="n"/>
      <c r="CG62" s="220" t="n"/>
      <c r="CH62" s="220" t="n"/>
      <c r="CI62" s="220" t="n"/>
      <c r="CJ62" s="219">
        <f>IF(N62&lt;O62,CONCATENATE("* El total de Procesados debe ser mayor o igual al total de Reactivos en el grupo de edad ",$N$11),"")</f>
        <v/>
      </c>
      <c r="CK62" s="219">
        <f>IF(P62&lt;Q62,CONCATENATE("* El total de Procesados debe ser mayor o igual al total de Reactivos en el grupo de edad ",$P$11),"")</f>
        <v/>
      </c>
      <c r="CL62" s="219">
        <f>IF(R62&lt;S62,CONCATENATE("* El total de Procesados debe ser mayor o igual al total de Reactivos en el grupo de edad ",$R$11),"")</f>
        <v/>
      </c>
      <c r="CM62" s="219">
        <f>IF($T62&lt;$U62,CONCATENATE("* El total de Procesados debe ser mayor o igual al total de Reactivos en el grupo de edad ",$T$11),"")</f>
        <v/>
      </c>
      <c r="CN62" s="219">
        <f>IF(V62&lt;W62,CONCATENATE("* El total de Procesados debe ser mayor o igual al total de Reactivos en el grupo de edad ",$V$11),"")</f>
        <v/>
      </c>
      <c r="CO62" s="219">
        <f>IF(X62&lt;Y62,CONCATENATE("* El total de Procesados debe ser mayor o igual al total de Reactivos en el grupo de edad ",$X$11),"")</f>
        <v/>
      </c>
      <c r="CP62" s="219">
        <f>IF(Z62&lt;AA62,CONCATENATE("* El total de Procesados debe ser mayor o igual al total de Reactivos en el grupo de edad ",$Z$11),"")</f>
        <v/>
      </c>
      <c r="CQ62" s="219">
        <f>IF(AB62&lt;AC62,CONCATENATE("* El total de Procesados debe ser mayor o igual al total de Reactivos en el grupo de edad ",$AB$11),"")</f>
        <v/>
      </c>
      <c r="CR62" s="219">
        <f>IF(AD62&lt;AE62,CONCATENATE("* El total de Procesados debe ser mayor o igual al total de Reactivos en el grupo de edad ",$AD$11),"")</f>
        <v/>
      </c>
      <c r="CS62" s="219">
        <f>IF(AF62&lt;AG62,CONCATENATE("* El total de Procesados debe ser mayor o igual al total de Reactivos en el grupo de edad ",$AF$11),"")</f>
        <v/>
      </c>
      <c r="CT62" s="219">
        <f>IF(AH62&lt;AI62,CONCATENATE("* El total de Procesados debe ser mayor o igual al total de Reactivos en el grupo de edad ",$AH$11),"")</f>
        <v/>
      </c>
      <c r="CU62" s="219">
        <f>IF(AJ62&lt;AK62,CONCATENATE("* El total de Procesados debe ser mayor o igual al total de Reactivos en el grupo de edad ",$AJ$11),"")</f>
        <v/>
      </c>
      <c r="CV62" s="219">
        <f>IF(AL62&lt;AM62,CONCATENATE("* El total de Procesados debe ser mayor o igual al total de Reactivos en el grupo de edad ",$AL$11),"")</f>
        <v/>
      </c>
      <c r="CW62" s="219">
        <f>IF(AN62&lt;AO62,CONCATENATE("* El total de Procesados debe ser mayor o igual al total de Reactivos en el grupo de edad ",$AN$11),"")</f>
        <v/>
      </c>
      <c r="CX62" s="219">
        <f>IF(AP62&lt;AQ62,CONCATENATE("* El total de Procesados debe ser mayor o igual al total de Reactivos en el grupo de edad ",$AP$11),"")</f>
        <v/>
      </c>
      <c r="DE62" s="226" t="n"/>
      <c r="DF62" s="378">
        <f>IF(B62&lt;&gt;(AS62+AR62),1,0)</f>
        <v/>
      </c>
      <c r="DG62" s="376">
        <f>IF(AND($B62&gt;0,AND(AT62="",AU62="")),1,IF((AT62+AU62)&gt;$B62,1,0))</f>
        <v/>
      </c>
      <c r="DH62" s="376">
        <f>IF(AND($B62&gt;0,AV62=""),1,IF(AV62&gt;$B62,1,0))</f>
        <v/>
      </c>
      <c r="DI62" s="376">
        <f>IF(AND($B62&gt;0,AW62=""),1,IF(AW62&gt;$B62,1,0))</f>
        <v/>
      </c>
      <c r="DJ62" s="220" t="n"/>
      <c r="DK62" s="220" t="n"/>
      <c r="DL62" s="220" t="n"/>
      <c r="DM62" s="220" t="n"/>
      <c r="DN62" s="220" t="n"/>
      <c r="DO62" s="376">
        <f>IF(N62&lt;O62,1,0)</f>
        <v/>
      </c>
      <c r="DP62" s="376">
        <f>IF(P62&lt;Q62,1,0)</f>
        <v/>
      </c>
      <c r="DQ62" s="376">
        <f>IF(R62&lt;S62,1,0)</f>
        <v/>
      </c>
      <c r="DR62" s="376">
        <f>IF($T62&lt;$U62,1,0)</f>
        <v/>
      </c>
      <c r="DS62" s="376">
        <f>IF(V62&lt;W62,1,0)</f>
        <v/>
      </c>
      <c r="DT62" s="376">
        <f>IF(X62&lt;Y62,1,0)</f>
        <v/>
      </c>
      <c r="DU62" s="376">
        <f>IF(Z62&lt;AA62,1,0)</f>
        <v/>
      </c>
      <c r="DV62" s="376">
        <f>IF(AB62&lt;AC62,1,0)</f>
        <v/>
      </c>
      <c r="DW62" s="376">
        <f>IF(AD62&lt;AE62,1,0)</f>
        <v/>
      </c>
      <c r="DX62" s="376">
        <f>IF(AF62&lt;AG62,1,0)</f>
        <v/>
      </c>
      <c r="DY62" s="376">
        <f>IF(AH62&lt;AI62,1,0)</f>
        <v/>
      </c>
      <c r="DZ62" s="376">
        <f>IF(AJ62&lt;AK62,1,0)</f>
        <v/>
      </c>
      <c r="EA62" s="376">
        <f>IF(AL62&lt;AM62,1,0)</f>
        <v/>
      </c>
      <c r="EB62" s="376">
        <f>IF(AN62&lt;AO62,1,0)</f>
        <v/>
      </c>
      <c r="EC62" s="376">
        <f>IF(AP62&lt;AQ62,1,0)</f>
        <v/>
      </c>
    </row>
    <row r="63">
      <c r="A63" s="8538" t="inlineStr">
        <is>
          <t>Mujeres que ingresan a maternidad por parto</t>
        </is>
      </c>
      <c r="B63" s="3103">
        <f>+N63+P63+R63+T63+V63+X63+Z63+AB63+AD63+AF63+AH63+AJ63+AL63+AN63+AP63</f>
        <v/>
      </c>
      <c r="C63" s="1171">
        <f>+O63+Q63+S63+U63+W63+Y63+AA63+AC63+AE63+AG63+AI63+AK63+AM63+AO63+AQ63</f>
        <v/>
      </c>
      <c r="D63" s="3112" t="n"/>
      <c r="E63" s="3105" t="n"/>
      <c r="F63" s="3104" t="n"/>
      <c r="G63" s="3105" t="n"/>
      <c r="H63" s="3104" t="n"/>
      <c r="I63" s="3105" t="n"/>
      <c r="J63" s="3104" t="n"/>
      <c r="K63" s="3105" t="n"/>
      <c r="L63" s="3104" t="n"/>
      <c r="M63" s="3106" t="n"/>
      <c r="N63" s="3100" t="n"/>
      <c r="O63" s="3107" t="n"/>
      <c r="P63" s="3108" t="n"/>
      <c r="Q63" s="3107" t="n"/>
      <c r="R63" s="3108" t="n"/>
      <c r="S63" s="3107" t="n"/>
      <c r="T63" s="3108" t="n"/>
      <c r="U63" s="3107" t="n"/>
      <c r="V63" s="3108" t="n"/>
      <c r="W63" s="3107" t="n"/>
      <c r="X63" s="3108" t="n"/>
      <c r="Y63" s="3107" t="n"/>
      <c r="Z63" s="3108" t="n"/>
      <c r="AA63" s="3107" t="n"/>
      <c r="AB63" s="3108" t="n"/>
      <c r="AC63" s="3107" t="n"/>
      <c r="AD63" s="3108" t="n"/>
      <c r="AE63" s="3107" t="n"/>
      <c r="AF63" s="3108" t="n"/>
      <c r="AG63" s="3107" t="n"/>
      <c r="AH63" s="3108" t="n"/>
      <c r="AI63" s="3107" t="n"/>
      <c r="AJ63" s="3108" t="n"/>
      <c r="AK63" s="3107" t="n"/>
      <c r="AL63" s="3108" t="n"/>
      <c r="AM63" s="3107" t="n"/>
      <c r="AN63" s="3108" t="n"/>
      <c r="AO63" s="3107" t="n"/>
      <c r="AP63" s="3108" t="n"/>
      <c r="AQ63" s="3098" t="n"/>
      <c r="AR63" s="3097" t="n"/>
      <c r="AS63" s="3098" t="n"/>
      <c r="AT63" s="3099" t="n"/>
      <c r="AU63" s="3098" t="n"/>
      <c r="AV63" s="3845" t="n"/>
      <c r="AW63" s="3656" t="n"/>
      <c r="AX63" s="218">
        <f>$CA63&amp;CB63&amp;CC63&amp;$CD63&amp;CJ63&amp;CK63&amp;CL63&amp;CM63&amp;CN63&amp;CO63&amp;CP63&amp;CQ63&amp;CR63&amp;CS63&amp;CT63&amp;CU63&amp;CV63&amp;CW63&amp;CX63</f>
        <v/>
      </c>
      <c r="CA63" s="219">
        <f>IF(B63&lt;&gt;(AS63)," * La suma de las columnas "&amp;AR$10&amp;""&amp;" DEBE SER IGUAL a los Exámenes Procesados. ","")</f>
        <v/>
      </c>
      <c r="CB63" s="219">
        <f>IF(AND($B63&gt;0,AND(AT63="",AU63="")),"* No olvide ingresar las columnas Trans Masculino o Femenino (*Digite CERO si no tiene). ",IF((AT63+AU63)&gt;$B63,"* El Número de Trans Masculino o Femenino no puede superar el Total Procesados. ",""))</f>
        <v/>
      </c>
      <c r="CC63" s="219">
        <f>IF(AND($B63&gt;0,AV63=""),"* No olvide ingresar la columna "&amp;AV$10&amp;""&amp;" *(Digite CERO si no tiene). ",IF(AV63&gt;$B63," *El Número de "&amp;AV$10&amp;""&amp;" no puede superar el Total Procesados. ",""))</f>
        <v/>
      </c>
      <c r="CD63" s="219">
        <f>IF(AND($B63&gt;0,AW63=""),"* No olvide ingresar la columna "&amp;AW$10&amp;""&amp;" *(Digite CERO si no tiene). ",IF(AW63&gt;$B63," *El Número de "&amp;AW$10&amp;""&amp;" no puede superar el Total Procesados. ",""))</f>
        <v/>
      </c>
      <c r="CE63" s="220" t="n"/>
      <c r="CF63" s="220" t="n"/>
      <c r="CG63" s="220" t="n"/>
      <c r="CH63" s="220" t="n"/>
      <c r="CI63" s="220" t="n"/>
      <c r="CJ63" s="219">
        <f>IF(N63&lt;O63,CONCATENATE("* El total de Procesados debe ser mayor o igual al total de Reactivos en el grupo de edad ",$N$11),"")</f>
        <v/>
      </c>
      <c r="CK63" s="219">
        <f>IF(P63&lt;Q63,CONCATENATE("* El total de Procesados debe ser mayor o igual al total de Reactivos en el grupo de edad ",$P$11),"")</f>
        <v/>
      </c>
      <c r="CL63" s="219">
        <f>IF(R63&lt;S63,CONCATENATE("* El total de Procesados debe ser mayor o igual al total de Reactivos en el grupo de edad ",$R$11),"")</f>
        <v/>
      </c>
      <c r="CM63" s="219">
        <f>IF($T63&lt;$U63,CONCATENATE("* El total de Procesados debe ser mayor o igual al total de Reactivos en el grupo de edad ",$T$11),"")</f>
        <v/>
      </c>
      <c r="CN63" s="219">
        <f>IF(V63&lt;W63,CONCATENATE("* El total de Procesados debe ser mayor o igual al total de Reactivos en el grupo de edad ",$V$11),"")</f>
        <v/>
      </c>
      <c r="CO63" s="219">
        <f>IF(X63&lt;Y63,CONCATENATE("* El total de Procesados debe ser mayor o igual al total de Reactivos en el grupo de edad ",$X$11),"")</f>
        <v/>
      </c>
      <c r="CP63" s="219">
        <f>IF(Z63&lt;AA63,CONCATENATE("* El total de Procesados debe ser mayor o igual al total de Reactivos en el grupo de edad ",$Z$11),"")</f>
        <v/>
      </c>
      <c r="CQ63" s="219">
        <f>IF(AB63&lt;AC63,CONCATENATE("* El total de Procesados debe ser mayor o igual al total de Reactivos en el grupo de edad ",$AB$11),"")</f>
        <v/>
      </c>
      <c r="CR63" s="219">
        <f>IF(AD63&lt;AE63,CONCATENATE("* El total de Procesados debe ser mayor o igual al total de Reactivos en el grupo de edad ",$AD$11),"")</f>
        <v/>
      </c>
      <c r="CS63" s="219">
        <f>IF(AF63&lt;AG63,CONCATENATE("* El total de Procesados debe ser mayor o igual al total de Reactivos en el grupo de edad ",$AF$11),"")</f>
        <v/>
      </c>
      <c r="CT63" s="219">
        <f>IF(AH63&lt;AI63,CONCATENATE("* El total de Procesados debe ser mayor o igual al total de Reactivos en el grupo de edad ",$AH$11),"")</f>
        <v/>
      </c>
      <c r="CU63" s="219">
        <f>IF(AJ63&lt;AK63,CONCATENATE("* El total de Procesados debe ser mayor o igual al total de Reactivos en el grupo de edad ",$AJ$11),"")</f>
        <v/>
      </c>
      <c r="CV63" s="219">
        <f>IF(AL63&lt;AM63,CONCATENATE("* El total de Procesados debe ser mayor o igual al total de Reactivos en el grupo de edad ",$AL$11),"")</f>
        <v/>
      </c>
      <c r="CW63" s="219">
        <f>IF(AN63&lt;AO63,CONCATENATE("* El total de Procesados debe ser mayor o igual al total de Reactivos en el grupo de edad ",$AN$11),"")</f>
        <v/>
      </c>
      <c r="CX63" s="219">
        <f>IF(AP63&lt;AQ63,CONCATENATE("* El total de Procesados debe ser mayor o igual al total de Reactivos en el grupo de edad ",$AP$11),"")</f>
        <v/>
      </c>
      <c r="DE63" s="226" t="n"/>
      <c r="DF63" s="378">
        <f>IF(B63&lt;&gt;(AS63),1,0)</f>
        <v/>
      </c>
      <c r="DG63" s="376">
        <f>IF(AND($B63&gt;0,AND(AT63="",AU63="")),1,IF((AT63+AU63)&gt;$B63,1,0))</f>
        <v/>
      </c>
      <c r="DH63" s="376">
        <f>IF(AND($B63&gt;0,AV63=""),1,IF(AV63&gt;$B63,1,0))</f>
        <v/>
      </c>
      <c r="DI63" s="376">
        <f>IF(AND($B63&gt;0,AW63=""),1,IF(AW63&gt;$B63,1,0))</f>
        <v/>
      </c>
      <c r="DJ63" s="220" t="n"/>
      <c r="DK63" s="220" t="n"/>
      <c r="DL63" s="220" t="n"/>
      <c r="DM63" s="220" t="n"/>
      <c r="DN63" s="220" t="n"/>
      <c r="DO63" s="376">
        <f>IF(N63&lt;O63,1,0)</f>
        <v/>
      </c>
      <c r="DP63" s="376">
        <f>IF(P63&lt;Q63,1,0)</f>
        <v/>
      </c>
      <c r="DQ63" s="376">
        <f>IF(R63&lt;S63,1,0)</f>
        <v/>
      </c>
      <c r="DR63" s="376">
        <f>IF($T63&lt;$U63,1,0)</f>
        <v/>
      </c>
      <c r="DS63" s="376">
        <f>IF(V63&lt;W63,1,0)</f>
        <v/>
      </c>
      <c r="DT63" s="376">
        <f>IF(X63&lt;Y63,1,0)</f>
        <v/>
      </c>
      <c r="DU63" s="376">
        <f>IF(Z63&lt;AA63,1,0)</f>
        <v/>
      </c>
      <c r="DV63" s="376">
        <f>IF(AB63&lt;AC63,1,0)</f>
        <v/>
      </c>
      <c r="DW63" s="376">
        <f>IF(AD63&lt;AE63,1,0)</f>
        <v/>
      </c>
      <c r="DX63" s="376">
        <f>IF(AF63&lt;AG63,1,0)</f>
        <v/>
      </c>
      <c r="DY63" s="376">
        <f>IF(AH63&lt;AI63,1,0)</f>
        <v/>
      </c>
      <c r="DZ63" s="376">
        <f>IF(AJ63&lt;AK63,1,0)</f>
        <v/>
      </c>
      <c r="EA63" s="376">
        <f>IF(AL63&lt;AM63,1,0)</f>
        <v/>
      </c>
      <c r="EB63" s="376">
        <f>IF(AN63&lt;AO63,1,0)</f>
        <v/>
      </c>
      <c r="EC63" s="376">
        <f>IF(AP63&lt;AQ63,1,0)</f>
        <v/>
      </c>
    </row>
    <row r="64">
      <c r="A64" s="3119" t="inlineStr">
        <is>
          <t>Mujeres que ingresan por aborto</t>
        </is>
      </c>
      <c r="B64" s="3103">
        <f>+N64+P64+R64+T64+V64+X64+Z64+AB64+AD64+AF64+AH64+AJ64+AL64+AN64+AP64</f>
        <v/>
      </c>
      <c r="C64" s="1171">
        <f>+O64+Q64+S64+U64+W64+Y64+AA64+AC64+AE64+AG64+AI64+AK64+AM64+AO64+AQ64</f>
        <v/>
      </c>
      <c r="D64" s="3112" t="n"/>
      <c r="E64" s="3105" t="n"/>
      <c r="F64" s="3104" t="n"/>
      <c r="G64" s="3105" t="n"/>
      <c r="H64" s="3104" t="n"/>
      <c r="I64" s="3105" t="n"/>
      <c r="J64" s="3104" t="n"/>
      <c r="K64" s="3105" t="n"/>
      <c r="L64" s="3104" t="n"/>
      <c r="M64" s="3106" t="n"/>
      <c r="N64" s="3100" t="n"/>
      <c r="O64" s="3107" t="n"/>
      <c r="P64" s="3108" t="n"/>
      <c r="Q64" s="3107" t="n"/>
      <c r="R64" s="3108" t="n"/>
      <c r="S64" s="3107" t="n"/>
      <c r="T64" s="3108" t="n"/>
      <c r="U64" s="3107" t="n"/>
      <c r="V64" s="3108" t="n"/>
      <c r="W64" s="3107" t="n"/>
      <c r="X64" s="3108" t="n"/>
      <c r="Y64" s="3107" t="n"/>
      <c r="Z64" s="3108" t="n"/>
      <c r="AA64" s="3107" t="n"/>
      <c r="AB64" s="3108" t="n"/>
      <c r="AC64" s="3107" t="n"/>
      <c r="AD64" s="3108" t="n"/>
      <c r="AE64" s="3107" t="n"/>
      <c r="AF64" s="3108" t="n"/>
      <c r="AG64" s="3107" t="n"/>
      <c r="AH64" s="3108" t="n"/>
      <c r="AI64" s="3107" t="n"/>
      <c r="AJ64" s="3108" t="n"/>
      <c r="AK64" s="3107" t="n"/>
      <c r="AL64" s="3108" t="n"/>
      <c r="AM64" s="3107" t="n"/>
      <c r="AN64" s="3108" t="n"/>
      <c r="AO64" s="3107" t="n"/>
      <c r="AP64" s="3108" t="n"/>
      <c r="AQ64" s="3098" t="n"/>
      <c r="AR64" s="3097" t="n"/>
      <c r="AS64" s="3098" t="n"/>
      <c r="AT64" s="3099" t="n"/>
      <c r="AU64" s="3098" t="n"/>
      <c r="AV64" s="3845" t="n"/>
      <c r="AW64" s="3656" t="n"/>
      <c r="AX64" s="218">
        <f>$CA64&amp;CB64&amp;CC64&amp;$CD64&amp;CJ64&amp;CK64&amp;CL64&amp;CM64&amp;CN64&amp;CO64&amp;CP64&amp;CQ64&amp;CR64&amp;CS64&amp;CT64&amp;CU64&amp;CV64&amp;CW64&amp;CX64</f>
        <v/>
      </c>
      <c r="CA64" s="219">
        <f>IF(B64&lt;&gt;(AS64)," * La suma de las columnas "&amp;AR$10&amp;""&amp;" DEBE SER IGUAL a los Exámenes Procesados. ","")</f>
        <v/>
      </c>
      <c r="CB64" s="219">
        <f>IF(AND($B64&gt;0,AND(AT64="",AU64="")),"* No olvide ingresar las columnas Trans Masculino o Femenino (*Digite CERO si no tiene). ",IF((AT64+AU64)&gt;$B64,"* El Número de Trans Masculino o Femenino no puede superar el Total Procesados. ",""))</f>
        <v/>
      </c>
      <c r="CC64" s="219">
        <f>IF(AND($B64&gt;0,AV64=""),"* No olvide ingresar la columna "&amp;AV$10&amp;""&amp;" *(Digite CERO si no tiene). ",IF(AV64&gt;$B64," *El Número de "&amp;AV$10&amp;""&amp;" no puede superar el Total Procesados. ",""))</f>
        <v/>
      </c>
      <c r="CD64" s="219">
        <f>IF(AND($B64&gt;0,AW64=""),"* No olvide ingresar la columna "&amp;AW$10&amp;""&amp;" *(Digite CERO si no tiene). ",IF(AW64&gt;$B64," *El Número de "&amp;AW$10&amp;""&amp;" no puede superar el Total Procesados. ",""))</f>
        <v/>
      </c>
      <c r="CE64" s="220" t="n"/>
      <c r="CF64" s="220" t="n"/>
      <c r="CG64" s="220" t="n"/>
      <c r="CH64" s="220" t="n"/>
      <c r="CI64" s="220" t="n"/>
      <c r="CJ64" s="219">
        <f>IF(N64&lt;O64,CONCATENATE("* El total de Procesados debe ser mayor o igual al total de Reactivos en el grupo de edad ",$N$11),"")</f>
        <v/>
      </c>
      <c r="CK64" s="219">
        <f>IF(P64&lt;Q64,CONCATENATE("* El total de Procesados debe ser mayor o igual al total de Reactivos en el grupo de edad ",$P$11),"")</f>
        <v/>
      </c>
      <c r="CL64" s="219">
        <f>IF(R64&lt;S64,CONCATENATE("* El total de Procesados debe ser mayor o igual al total de Reactivos en el grupo de edad ",$R$11),"")</f>
        <v/>
      </c>
      <c r="CM64" s="219">
        <f>IF($T64&lt;$U64,CONCATENATE("* El total de Procesados debe ser mayor o igual al total de Reactivos en el grupo de edad ",$T$11),"")</f>
        <v/>
      </c>
      <c r="CN64" s="219">
        <f>IF(V64&lt;W64,CONCATENATE("* El total de Procesados debe ser mayor o igual al total de Reactivos en el grupo de edad ",$V$11),"")</f>
        <v/>
      </c>
      <c r="CO64" s="219">
        <f>IF(X64&lt;Y64,CONCATENATE("* El total de Procesados debe ser mayor o igual al total de Reactivos en el grupo de edad ",$X$11),"")</f>
        <v/>
      </c>
      <c r="CP64" s="219">
        <f>IF(Z64&lt;AA64,CONCATENATE("* El total de Procesados debe ser mayor o igual al total de Reactivos en el grupo de edad ",$Z$11),"")</f>
        <v/>
      </c>
      <c r="CQ64" s="219">
        <f>IF(AB64&lt;AC64,CONCATENATE("* El total de Procesados debe ser mayor o igual al total de Reactivos en el grupo de edad ",$AB$11),"")</f>
        <v/>
      </c>
      <c r="CR64" s="219">
        <f>IF(AD64&lt;AE64,CONCATENATE("* El total de Procesados debe ser mayor o igual al total de Reactivos en el grupo de edad ",$AD$11),"")</f>
        <v/>
      </c>
      <c r="CS64" s="219">
        <f>IF(AF64&lt;AG64,CONCATENATE("* El total de Procesados debe ser mayor o igual al total de Reactivos en el grupo de edad ",$AF$11),"")</f>
        <v/>
      </c>
      <c r="CT64" s="219">
        <f>IF(AH64&lt;AI64,CONCATENATE("* El total de Procesados debe ser mayor o igual al total de Reactivos en el grupo de edad ",$AH$11),"")</f>
        <v/>
      </c>
      <c r="CU64" s="219">
        <f>IF(AJ64&lt;AK64,CONCATENATE("* El total de Procesados debe ser mayor o igual al total de Reactivos en el grupo de edad ",$AJ$11),"")</f>
        <v/>
      </c>
      <c r="CV64" s="219">
        <f>IF(AL64&lt;AM64,CONCATENATE("* El total de Procesados debe ser mayor o igual al total de Reactivos en el grupo de edad ",$AL$11),"")</f>
        <v/>
      </c>
      <c r="CW64" s="219">
        <f>IF(AN64&lt;AO64,CONCATENATE("* El total de Procesados debe ser mayor o igual al total de Reactivos en el grupo de edad ",$AN$11),"")</f>
        <v/>
      </c>
      <c r="CX64" s="219">
        <f>IF(AP64&lt;AQ64,CONCATENATE("* El total de Procesados debe ser mayor o igual al total de Reactivos en el grupo de edad ",$AP$11),"")</f>
        <v/>
      </c>
      <c r="DE64" s="226" t="n"/>
      <c r="DF64" s="378">
        <f>IF(B64&lt;&gt;(AS64),1,0)</f>
        <v/>
      </c>
      <c r="DG64" s="376">
        <f>IF(AND($B64&gt;0,AND(AT64="",AU64="")),1,IF((AT64+AU64)&gt;$B64,1,0))</f>
        <v/>
      </c>
      <c r="DH64" s="376">
        <f>IF(AND($B64&gt;0,AV64=""),1,IF(AV64&gt;$B64,1,0))</f>
        <v/>
      </c>
      <c r="DI64" s="376">
        <f>IF(AND($B64&gt;0,AW64=""),1,IF(AW64&gt;$B64,1,0))</f>
        <v/>
      </c>
      <c r="DJ64" s="220" t="n"/>
      <c r="DK64" s="220" t="n"/>
      <c r="DL64" s="220" t="n"/>
      <c r="DM64" s="220" t="n"/>
      <c r="DN64" s="220" t="n"/>
      <c r="DO64" s="376">
        <f>IF(N64&lt;O64,1,0)</f>
        <v/>
      </c>
      <c r="DP64" s="376">
        <f>IF(P64&lt;Q64,1,0)</f>
        <v/>
      </c>
      <c r="DQ64" s="376">
        <f>IF(R64&lt;S64,1,0)</f>
        <v/>
      </c>
      <c r="DR64" s="376">
        <f>IF($T64&lt;$U64,1,0)</f>
        <v/>
      </c>
      <c r="DS64" s="376">
        <f>IF(V64&lt;W64,1,0)</f>
        <v/>
      </c>
      <c r="DT64" s="376">
        <f>IF(X64&lt;Y64,1,0)</f>
        <v/>
      </c>
      <c r="DU64" s="376">
        <f>IF(Z64&lt;AA64,1,0)</f>
        <v/>
      </c>
      <c r="DV64" s="376">
        <f>IF(AB64&lt;AC64,1,0)</f>
        <v/>
      </c>
      <c r="DW64" s="376">
        <f>IF(AD64&lt;AE64,1,0)</f>
        <v/>
      </c>
      <c r="DX64" s="376">
        <f>IF(AF64&lt;AG64,1,0)</f>
        <v/>
      </c>
      <c r="DY64" s="376">
        <f>IF(AH64&lt;AI64,1,0)</f>
        <v/>
      </c>
      <c r="DZ64" s="376">
        <f>IF(AJ64&lt;AK64,1,0)</f>
        <v/>
      </c>
      <c r="EA64" s="376">
        <f>IF(AL64&lt;AM64,1,0)</f>
        <v/>
      </c>
      <c r="EB64" s="376">
        <f>IF(AN64&lt;AO64,1,0)</f>
        <v/>
      </c>
      <c r="EC64" s="376">
        <f>IF(AP64&lt;AQ64,1,0)</f>
        <v/>
      </c>
    </row>
    <row r="65">
      <c r="A65" s="3119" t="inlineStr">
        <is>
          <t>Mujeres en control ginecológico</t>
        </is>
      </c>
      <c r="B65" s="3103">
        <f>+D65+F65+H65+J65+L65+N65+P65+R65+T65+V65+X65+Z65+AB65+AD65+AF65+AH65+AJ65+AL65+AN65+AP65</f>
        <v/>
      </c>
      <c r="C65" s="1171">
        <f>+E65+G65+I65+K65+M65+O65+Q65+S65+U65+W65+Y65+AA65+AC65+AE65+AG65+AI65+AK65+AM65+AO65+AQ65</f>
        <v/>
      </c>
      <c r="D65" s="3100" t="n"/>
      <c r="E65" s="3107" t="n"/>
      <c r="F65" s="3108" t="n"/>
      <c r="G65" s="3107" t="n"/>
      <c r="H65" s="3108" t="n"/>
      <c r="I65" s="3101" t="n"/>
      <c r="J65" s="3100" t="n"/>
      <c r="K65" s="3100" t="n"/>
      <c r="L65" s="3108" t="n"/>
      <c r="M65" s="3101" t="n"/>
      <c r="N65" s="3100" t="n"/>
      <c r="O65" s="3107" t="n"/>
      <c r="P65" s="3108" t="n"/>
      <c r="Q65" s="3107" t="n"/>
      <c r="R65" s="3108" t="n"/>
      <c r="S65" s="3107" t="n"/>
      <c r="T65" s="3108" t="n"/>
      <c r="U65" s="3107" t="n"/>
      <c r="V65" s="3108" t="n"/>
      <c r="W65" s="3107" t="n"/>
      <c r="X65" s="3108" t="n"/>
      <c r="Y65" s="3107" t="n"/>
      <c r="Z65" s="3108" t="n"/>
      <c r="AA65" s="3107" t="n"/>
      <c r="AB65" s="3108" t="n"/>
      <c r="AC65" s="3107" t="n"/>
      <c r="AD65" s="3108" t="n"/>
      <c r="AE65" s="3107" t="n"/>
      <c r="AF65" s="3108" t="n"/>
      <c r="AG65" s="3107" t="n"/>
      <c r="AH65" s="3108" t="n"/>
      <c r="AI65" s="3107" t="n"/>
      <c r="AJ65" s="3108" t="n"/>
      <c r="AK65" s="3107" t="n"/>
      <c r="AL65" s="3108" t="n"/>
      <c r="AM65" s="3107" t="n"/>
      <c r="AN65" s="3108" t="n"/>
      <c r="AO65" s="3107" t="n"/>
      <c r="AP65" s="3108" t="n"/>
      <c r="AQ65" s="3098" t="n"/>
      <c r="AR65" s="3097" t="n"/>
      <c r="AS65" s="3098" t="n"/>
      <c r="AT65" s="3099" t="n"/>
      <c r="AU65" s="3098" t="n"/>
      <c r="AV65" s="3845" t="n"/>
      <c r="AW65" s="3656" t="n"/>
      <c r="AX65" s="218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>
        <f>IF(B65&lt;&gt;(AS65)," * La suma de las columnas "&amp;AR$10&amp;""&amp;" DEBE SER IGUAL a los Exámenes Procesados. ","")</f>
        <v/>
      </c>
      <c r="CB65" s="219">
        <f>IF(AND($B65&gt;0,AND(AT65="",AU65="")),"* No olvide ingresar las columnas Trans Masculino o Femenino (*Digite CERO si no tiene). ",IF((AT65+AU65)&gt;$B65,"* El Número de Trans Masculino o Femenino no puede superar el Total Procesados. ",""))</f>
        <v/>
      </c>
      <c r="CC65" s="219">
        <f>IF(AND($B65&gt;0,AV65=""),"* No olvide ingresar la columna "&amp;AV$10&amp;""&amp;" *(Digite CERO si no tiene). ",IF(AV65&gt;$B65," *El Número de "&amp;AV$10&amp;""&amp;" no puede superar el Total Procesados. ",""))</f>
        <v/>
      </c>
      <c r="CD65" s="219">
        <f>IF(AND($B65&gt;0,AW65=""),"* No olvide ingresar la columna "&amp;AW$10&amp;""&amp;" *(Digite CERO si no tiene). ",IF(AW65&gt;$B65," *El Número de "&amp;AW$10&amp;""&amp;" no puede superar el Total Procesados. ",""))</f>
        <v/>
      </c>
      <c r="CE65" s="219">
        <f>IF(D65&lt;E65,CONCATENATE("* El total de Procesados debe ser mayor o igual al total de Reactivos en el grupo de edad ",$D$11),"")</f>
        <v/>
      </c>
      <c r="CF65" s="219">
        <f>IF(F65&lt;G65,CONCATENATE("* El total de Procesados debe ser mayor o igual al total de Reactivos en el grupo de edad ",$F$11),"")</f>
        <v/>
      </c>
      <c r="CG65" s="219">
        <f>IF(H65&lt;I65,CONCATENATE("* El total de Procesados debe ser mayor o igual al total de Reactivos en el grupo de edad ",$H$11),"")</f>
        <v/>
      </c>
      <c r="CH65" s="219">
        <f>IF(J65&lt;K65,CONCATENATE("* El total de Procesados debe ser mayor o igual al total de Reactivos en el grupo de edad ",$J$11),"")</f>
        <v/>
      </c>
      <c r="CI65" s="219">
        <f>IF(L65&lt;M65,CONCATENATE("* El total de Procesados debe ser mayor o igual al total de Reactivos en el grupo de edad ",$L$11),"")</f>
        <v/>
      </c>
      <c r="CJ65" s="219">
        <f>IF(N65&lt;O65,CONCATENATE("* El total de Procesados debe ser mayor o igual al total de Reactivos en el grupo de edad ",$N$11),"")</f>
        <v/>
      </c>
      <c r="CK65" s="219">
        <f>IF(P65&lt;Q65,CONCATENATE("* El total de Procesados debe ser mayor o igual al total de Reactivos en el grupo de edad ",$P$11),"")</f>
        <v/>
      </c>
      <c r="CL65" s="219">
        <f>IF(R65&lt;S65,CONCATENATE("* El total de Procesados debe ser mayor o igual al total de Reactivos en el grupo de edad ",$R$11),"")</f>
        <v/>
      </c>
      <c r="CM65" s="219">
        <f>IF($T65&lt;$U65,CONCATENATE("* El total de Procesados debe ser mayor o igual al total de Reactivos en el grupo de edad ",$T$11),"")</f>
        <v/>
      </c>
      <c r="CN65" s="219">
        <f>IF(V65&lt;W65,CONCATENATE("* El total de Procesados debe ser mayor o igual al total de Reactivos en el grupo de edad ",$V$11),"")</f>
        <v/>
      </c>
      <c r="CO65" s="219">
        <f>IF(X65&lt;Y65,CONCATENATE("* El total de Procesados debe ser mayor o igual al total de Reactivos en el grupo de edad ",$X$11),"")</f>
        <v/>
      </c>
      <c r="CP65" s="219">
        <f>IF(Z65&lt;AA65,CONCATENATE("* El total de Procesados debe ser mayor o igual al total de Reactivos en el grupo de edad ",$Z$11),"")</f>
        <v/>
      </c>
      <c r="CQ65" s="219">
        <f>IF(AB65&lt;AC65,CONCATENATE("* El total de Procesados debe ser mayor o igual al total de Reactivos en el grupo de edad ",$AB$11),"")</f>
        <v/>
      </c>
      <c r="CR65" s="219">
        <f>IF(AD65&lt;AE65,CONCATENATE("* El total de Procesados debe ser mayor o igual al total de Reactivos en el grupo de edad ",$AD$11),"")</f>
        <v/>
      </c>
      <c r="CS65" s="219">
        <f>IF(AF65&lt;AG65,CONCATENATE("* El total de Procesados debe ser mayor o igual al total de Reactivos en el grupo de edad ",$AF$11),"")</f>
        <v/>
      </c>
      <c r="CT65" s="219">
        <f>IF(AH65&lt;AI65,CONCATENATE("* El total de Procesados debe ser mayor o igual al total de Reactivos en el grupo de edad ",$AH$11),"")</f>
        <v/>
      </c>
      <c r="CU65" s="219">
        <f>IF(AJ65&lt;AK65,CONCATENATE("* El total de Procesados debe ser mayor o igual al total de Reactivos en el grupo de edad ",$AJ$11),"")</f>
        <v/>
      </c>
      <c r="CV65" s="219">
        <f>IF(AL65&lt;AM65,CONCATENATE("* El total de Procesados debe ser mayor o igual al total de Reactivos en el grupo de edad ",$AL$11),"")</f>
        <v/>
      </c>
      <c r="CW65" s="219">
        <f>IF(AN65&lt;AO65,CONCATENATE("* El total de Procesados debe ser mayor o igual al total de Reactivos en el grupo de edad ",$AN$11),"")</f>
        <v/>
      </c>
      <c r="CX65" s="219">
        <f>IF(AP65&lt;AQ65,CONCATENATE("* El total de Procesados debe ser mayor o igual al total de Reactivos en el grupo de edad ",$AP$11),"")</f>
        <v/>
      </c>
      <c r="DE65" s="226" t="n"/>
      <c r="DF65" s="378">
        <f>IF(B65&lt;&gt;(AS65),1,0)</f>
        <v/>
      </c>
      <c r="DG65" s="376">
        <f>IF(AND($B65&gt;0,AND(AT65="",AU65="")),1,IF((AT65+AU65)&gt;$B65,1,0))</f>
        <v/>
      </c>
      <c r="DH65" s="376">
        <f>IF(AND($B65&gt;0,AV65=""),1,IF(AV65&gt;$B65,1,0))</f>
        <v/>
      </c>
      <c r="DI65" s="376">
        <f>IF(AND($B65&gt;0,AW65=""),1,IF(AW65&gt;$B65,1,0))</f>
        <v/>
      </c>
      <c r="DJ65" s="376">
        <f>IF(D65&lt;E65,1,0)</f>
        <v/>
      </c>
      <c r="DK65" s="376">
        <f>IF(F65&lt;G65,1,0)</f>
        <v/>
      </c>
      <c r="DL65" s="376">
        <f>IF(H65&lt;I65,1,0)</f>
        <v/>
      </c>
      <c r="DM65" s="376">
        <f>IF(J65&lt;K65,1,0)</f>
        <v/>
      </c>
      <c r="DN65" s="376">
        <f>IF(L65&lt;M65,1,0)</f>
        <v/>
      </c>
      <c r="DO65" s="376">
        <f>IF(N65&lt;O65,1,0)</f>
        <v/>
      </c>
      <c r="DP65" s="376">
        <f>IF(P65&lt;Q65,1,0)</f>
        <v/>
      </c>
      <c r="DQ65" s="376">
        <f>IF(R65&lt;S65,1,0)</f>
        <v/>
      </c>
      <c r="DR65" s="376">
        <f>IF($T65&lt;$U65,1,0)</f>
        <v/>
      </c>
      <c r="DS65" s="376">
        <f>IF(V65&lt;W65,1,0)</f>
        <v/>
      </c>
      <c r="DT65" s="376">
        <f>IF(X65&lt;Y65,1,0)</f>
        <v/>
      </c>
      <c r="DU65" s="376">
        <f>IF(Z65&lt;AA65,1,0)</f>
        <v/>
      </c>
      <c r="DV65" s="376">
        <f>IF(AB65&lt;AC65,1,0)</f>
        <v/>
      </c>
      <c r="DW65" s="376">
        <f>IF(AD65&lt;AE65,1,0)</f>
        <v/>
      </c>
      <c r="DX65" s="376">
        <f>IF(AF65&lt;AG65,1,0)</f>
        <v/>
      </c>
      <c r="DY65" s="376">
        <f>IF(AH65&lt;AI65,1,0)</f>
        <v/>
      </c>
      <c r="DZ65" s="376">
        <f>IF(AJ65&lt;AK65,1,0)</f>
        <v/>
      </c>
      <c r="EA65" s="376">
        <f>IF(AL65&lt;AM65,1,0)</f>
        <v/>
      </c>
      <c r="EB65" s="376">
        <f>IF(AN65&lt;AO65,1,0)</f>
        <v/>
      </c>
      <c r="EC65" s="376">
        <f>IF(AP65&lt;AQ65,1,0)</f>
        <v/>
      </c>
    </row>
    <row r="66" ht="21" customHeight="1" s="8286">
      <c r="A66" s="8538" t="inlineStr">
        <is>
          <t>Recién nacido y lactante para detección de sífilis congénita</t>
        </is>
      </c>
      <c r="B66" s="3103">
        <f>+D66+F66+H66</f>
        <v/>
      </c>
      <c r="C66" s="1171">
        <f>+E66+G66+I66</f>
        <v/>
      </c>
      <c r="D66" s="3100" t="n"/>
      <c r="E66" s="3107" t="n"/>
      <c r="F66" s="3108" t="n"/>
      <c r="G66" s="3107" t="n"/>
      <c r="H66" s="3108" t="n"/>
      <c r="I66" s="3101" t="n"/>
      <c r="J66" s="3109" t="n"/>
      <c r="K66" s="3110" t="n"/>
      <c r="L66" s="3109" t="n"/>
      <c r="M66" s="3110" t="n"/>
      <c r="N66" s="3109" t="n"/>
      <c r="O66" s="3110" t="n"/>
      <c r="P66" s="3109" t="n"/>
      <c r="Q66" s="3110" t="n"/>
      <c r="R66" s="3109" t="n"/>
      <c r="S66" s="3110" t="n"/>
      <c r="T66" s="3109" t="n"/>
      <c r="U66" s="3110" t="n"/>
      <c r="V66" s="3109" t="n"/>
      <c r="W66" s="3110" t="n"/>
      <c r="X66" s="3109" t="n"/>
      <c r="Y66" s="3110" t="n"/>
      <c r="Z66" s="3109" t="n"/>
      <c r="AA66" s="3110" t="n"/>
      <c r="AB66" s="3109" t="n"/>
      <c r="AC66" s="3110" t="n"/>
      <c r="AD66" s="3109" t="n"/>
      <c r="AE66" s="3110" t="n"/>
      <c r="AF66" s="3109" t="n"/>
      <c r="AG66" s="3110" t="n"/>
      <c r="AH66" s="3109" t="n"/>
      <c r="AI66" s="3110" t="n"/>
      <c r="AJ66" s="3109" t="n"/>
      <c r="AK66" s="3110" t="n"/>
      <c r="AL66" s="3109" t="n"/>
      <c r="AM66" s="3110" t="n"/>
      <c r="AN66" s="3109" t="n"/>
      <c r="AO66" s="3110" t="n"/>
      <c r="AP66" s="3109" t="n"/>
      <c r="AQ66" s="3111" t="n"/>
      <c r="AR66" s="3100" t="n"/>
      <c r="AS66" s="3098" t="n"/>
      <c r="AT66" s="3099" t="n"/>
      <c r="AU66" s="3098" t="n"/>
      <c r="AV66" s="3845" t="n"/>
      <c r="AW66" s="3656" t="n"/>
      <c r="AX66" s="218">
        <f>$CA66&amp;CB66&amp;CC66&amp;$CD66&amp;CE66&amp;CF66&amp;CG66</f>
        <v/>
      </c>
      <c r="CA66" s="219">
        <f>IF(B66&lt;&gt;(AS66+AR66)," * La suma de las columnas "&amp;AR$10&amp;""&amp;" DEBE SER IGUAL a los Exámenes Procesados. ","")</f>
        <v/>
      </c>
      <c r="CB66" s="219">
        <f>IF(AND($B66&gt;0,AND(AT66="",AU66="")),"* No olvide ingresar las columnas Trans Masculino o Femenino (*Digite CERO si no tiene). ",IF((AT66+AU66)&gt;$B66,"* El Número de Trans Masculino o Femenino no puede superar el Total Procesados. ",""))</f>
        <v/>
      </c>
      <c r="CC66" s="219">
        <f>IF(AND($B66&gt;0,AV66=""),"* No olvide ingresar la columna "&amp;AV$10&amp;""&amp;" *(Digite CERO si no tiene). ",IF(AV66&gt;$B66," *El Número de "&amp;AV$10&amp;""&amp;" no puede superar el Total Procesados. ",""))</f>
        <v/>
      </c>
      <c r="CD66" s="219">
        <f>IF(AND($B66&gt;0,AW66=""),"* No olvide ingresar la columna "&amp;AW$10&amp;""&amp;" *(Digite CERO si no tiene). ",IF(AW66&gt;$B66," *El Número de "&amp;AW$10&amp;""&amp;" no puede superar el Total Procesados. ",""))</f>
        <v/>
      </c>
      <c r="CE66" s="219">
        <f>IF(D66&lt;E66,CONCATENATE("* El total de Procesados debe ser mayor o igual al total de Reactivos en el grupo de edad ",$D$11),"")</f>
        <v/>
      </c>
      <c r="CF66" s="219">
        <f>IF(F66&lt;G66,CONCATENATE("* El total de Procesados debe ser mayor o igual al total de Reactivos en el grupo de edad ",$F$11),"")</f>
        <v/>
      </c>
      <c r="CG66" s="219">
        <f>IF(H66&lt;I66,CONCATENATE("* El total de Procesados debe ser mayor o igual al total de Reactivos en el grupo de edad ",$H$11),"")</f>
        <v/>
      </c>
      <c r="CH66" s="222" t="n"/>
      <c r="CI66" s="222" t="n"/>
      <c r="CJ66" s="377" t="n"/>
      <c r="CK66" s="222" t="n"/>
      <c r="CL66" s="222" t="n"/>
      <c r="CM66" s="222" t="n"/>
      <c r="CN66" s="222" t="n"/>
      <c r="CO66" s="222" t="n"/>
      <c r="CP66" s="222" t="n"/>
      <c r="CQ66" s="222" t="n"/>
      <c r="CR66" s="222" t="n"/>
      <c r="CS66" s="222" t="n"/>
      <c r="CT66" s="222" t="n"/>
      <c r="CU66" s="222" t="n"/>
      <c r="CV66" s="222" t="n"/>
      <c r="CW66" s="222" t="n"/>
      <c r="CX66" s="222" t="n"/>
      <c r="DE66" s="226" t="n"/>
      <c r="DF66" s="378">
        <f>IF(B66&lt;&gt;(AS66+AR66),1,0)</f>
        <v/>
      </c>
      <c r="DG66" s="376">
        <f>IF(AND($B66&gt;0,AND(AT66="",AU66="")),1,IF((AT66+AU66)&gt;$B66,1,0))</f>
        <v/>
      </c>
      <c r="DH66" s="376">
        <f>IF(AND($B66&gt;0,AV66=""),1,IF(AV66&gt;$B66,1,0))</f>
        <v/>
      </c>
      <c r="DI66" s="376">
        <f>IF(AND($B66&gt;0,AW66=""),1,IF(AW66&gt;$B66,1,0))</f>
        <v/>
      </c>
      <c r="DJ66" s="376">
        <f>IF(D66&lt;E66,1,0)</f>
        <v/>
      </c>
      <c r="DK66" s="376">
        <f>IF(F66&lt;G66,1,0)</f>
        <v/>
      </c>
      <c r="DL66" s="376">
        <f>IF(H66&lt;I66,1,0)</f>
        <v/>
      </c>
      <c r="DM66" s="222" t="n"/>
      <c r="DN66" s="222" t="n"/>
      <c r="DO66" s="220" t="n"/>
      <c r="DP66" s="220" t="n"/>
      <c r="DQ66" s="220" t="n"/>
      <c r="DR66" s="220" t="n"/>
      <c r="DS66" s="220" t="n"/>
      <c r="DT66" s="220" t="n"/>
      <c r="DU66" s="220" t="n"/>
      <c r="DV66" s="220" t="n"/>
      <c r="DW66" s="220" t="n"/>
      <c r="DX66" s="220" t="n"/>
      <c r="DY66" s="220" t="n"/>
      <c r="DZ66" s="220" t="n"/>
      <c r="EA66" s="220" t="n"/>
      <c r="EB66" s="220" t="n"/>
      <c r="EC66" s="220" t="n"/>
    </row>
    <row r="67">
      <c r="A67" s="8538" t="inlineStr">
        <is>
          <t>Personas en control por comercio sexual</t>
        </is>
      </c>
      <c r="B67" s="3103">
        <f>+P67+R67+T67+V67+X67+Z67+AB67+AD67+AF67+AH67+AJ67+AL67+AN67+AP67</f>
        <v/>
      </c>
      <c r="C67" s="1171">
        <f>+Q67+S67+U67+W67+Y67+AA67+AC67+AE67+AG67+AI67+AK67+AM67+AO67+AQ67</f>
        <v/>
      </c>
      <c r="D67" s="3112" t="n"/>
      <c r="E67" s="3105" t="n"/>
      <c r="F67" s="3104" t="n"/>
      <c r="G67" s="3105" t="n"/>
      <c r="H67" s="3104" t="n"/>
      <c r="I67" s="3105" t="n"/>
      <c r="J67" s="3104" t="n"/>
      <c r="K67" s="3105" t="n"/>
      <c r="L67" s="3104" t="n"/>
      <c r="M67" s="3106" t="n"/>
      <c r="N67" s="3112" t="n"/>
      <c r="O67" s="3105" t="n"/>
      <c r="P67" s="3108" t="n"/>
      <c r="Q67" s="3107" t="n"/>
      <c r="R67" s="3108" t="n"/>
      <c r="S67" s="3107" t="n"/>
      <c r="T67" s="3108" t="n"/>
      <c r="U67" s="3107" t="n"/>
      <c r="V67" s="3108" t="n"/>
      <c r="W67" s="3107" t="n"/>
      <c r="X67" s="3108" t="n"/>
      <c r="Y67" s="3107" t="n"/>
      <c r="Z67" s="3108" t="n"/>
      <c r="AA67" s="3107" t="n"/>
      <c r="AB67" s="3108" t="n"/>
      <c r="AC67" s="3107" t="n"/>
      <c r="AD67" s="3108" t="n"/>
      <c r="AE67" s="3107" t="n"/>
      <c r="AF67" s="3108" t="n"/>
      <c r="AG67" s="3107" t="n"/>
      <c r="AH67" s="3108" t="n"/>
      <c r="AI67" s="3107" t="n"/>
      <c r="AJ67" s="3108" t="n"/>
      <c r="AK67" s="3107" t="n"/>
      <c r="AL67" s="3108" t="n"/>
      <c r="AM67" s="3107" t="n"/>
      <c r="AN67" s="3108" t="n"/>
      <c r="AO67" s="3107" t="n"/>
      <c r="AP67" s="3108" t="n"/>
      <c r="AQ67" s="3098" t="n"/>
      <c r="AR67" s="3100" t="n"/>
      <c r="AS67" s="3098" t="n"/>
      <c r="AT67" s="3099" t="n"/>
      <c r="AU67" s="3098" t="n"/>
      <c r="AV67" s="3845" t="n"/>
      <c r="AW67" s="3656" t="n"/>
      <c r="AX67" s="218">
        <f>$CA67&amp;CB67&amp;CC67&amp;$CD67&amp;CK67&amp;CL67&amp;CM67&amp;CN67&amp;CO67&amp;CP67&amp;CQ67&amp;CR67&amp;CS67&amp;CT67&amp;CU67&amp;CV67&amp;CW67&amp;CX67</f>
        <v/>
      </c>
      <c r="CA67" s="219">
        <f>IF(B67&lt;&gt;(AS67+AR67)," * La suma de las columnas "&amp;AR$10&amp;""&amp;" DEBE SER IGUAL a los Exámenes Procesados. ","")</f>
        <v/>
      </c>
      <c r="CB67" s="219">
        <f>IF(AND($B67&gt;0,AND(AT67="",AU67="")),"* No olvide ingresar las columnas Trans Masculino o Femenino (*Digite CERO si no tiene). ",IF((AT67+AU67)&gt;$B67,"* El Número de Trans Masculino o Femenino no puede superar el Total Procesados. ",""))</f>
        <v/>
      </c>
      <c r="CC67" s="219">
        <f>IF(AND($B67&gt;0,AV67=""),"* No olvide ingresar la columna "&amp;AV$10&amp;""&amp;" *(Digite CERO si no tiene). ",IF(AV67&gt;$B67," *El Número de "&amp;AV$10&amp;""&amp;" no puede superar el Total Procesados. ",""))</f>
        <v/>
      </c>
      <c r="CD67" s="219">
        <f>IF(AND($B67&gt;0,AW67=""),"* No olvide ingresar la columna "&amp;AW$10&amp;""&amp;" *(Digite CERO si no tiene). ",IF(AW67&gt;$B67," *El Número de "&amp;AW$10&amp;""&amp;" no puede superar el Total Procesados. ",""))</f>
        <v/>
      </c>
      <c r="CE67" s="377" t="n"/>
      <c r="CF67" s="377" t="n"/>
      <c r="CG67" s="222" t="n"/>
      <c r="CH67" s="222" t="n"/>
      <c r="CI67" s="222" t="n"/>
      <c r="CJ67" s="377" t="n"/>
      <c r="CK67" s="219">
        <f>IF(P67&lt;Q67,CONCATENATE("* El total de Procesados debe ser mayor o igual al total de Reactivos en el grupo de edad ",$P$11),"")</f>
        <v/>
      </c>
      <c r="CL67" s="219">
        <f>IF(R67&lt;S67,CONCATENATE("* El total de Procesados debe ser mayor o igual al total de Reactivos en el grupo de edad ",$R$11),"")</f>
        <v/>
      </c>
      <c r="CM67" s="219">
        <f>IF($T67&lt;$U67,CONCATENATE("* El total de Procesados debe ser mayor o igual al total de Reactivos en el grupo de edad ",$T$11),"")</f>
        <v/>
      </c>
      <c r="CN67" s="219">
        <f>IF(V67&lt;W67,CONCATENATE("* El total de Procesados debe ser mayor o igual al total de Reactivos en el grupo de edad ",$V$11),"")</f>
        <v/>
      </c>
      <c r="CO67" s="219">
        <f>IF(X67&lt;Y67,CONCATENATE("* El total de Procesados debe ser mayor o igual al total de Reactivos en el grupo de edad ",$X$11),"")</f>
        <v/>
      </c>
      <c r="CP67" s="219">
        <f>IF(Z67&lt;AA67,CONCATENATE("* El total de Procesados debe ser mayor o igual al total de Reactivos en el grupo de edad ",$Z$11),"")</f>
        <v/>
      </c>
      <c r="CQ67" s="219">
        <f>IF(AB67&lt;AC67,CONCATENATE("* El total de Procesados debe ser mayor o igual al total de Reactivos en el grupo de edad ",$AB$11),"")</f>
        <v/>
      </c>
      <c r="CR67" s="219">
        <f>IF(AD67&lt;AE67,CONCATENATE("* El total de Procesados debe ser mayor o igual al total de Reactivos en el grupo de edad ",$AD$11),"")</f>
        <v/>
      </c>
      <c r="CS67" s="219">
        <f>IF(AF67&lt;AG67,CONCATENATE("* El total de Procesados debe ser mayor o igual al total de Reactivos en el grupo de edad ",$AF$11),"")</f>
        <v/>
      </c>
      <c r="CT67" s="219">
        <f>IF(AH67&lt;AI67,CONCATENATE("* El total de Procesados debe ser mayor o igual al total de Reactivos en el grupo de edad ",$AH$11),"")</f>
        <v/>
      </c>
      <c r="CU67" s="219">
        <f>IF(AJ67&lt;AK67,CONCATENATE("* El total de Procesados debe ser mayor o igual al total de Reactivos en el grupo de edad ",$AJ$11),"")</f>
        <v/>
      </c>
      <c r="CV67" s="219">
        <f>IF(AL67&lt;AM67,CONCATENATE("* El total de Procesados debe ser mayor o igual al total de Reactivos en el grupo de edad ",$AL$11),"")</f>
        <v/>
      </c>
      <c r="CW67" s="219">
        <f>IF(AN67&lt;AO67,CONCATENATE("* El total de Procesados debe ser mayor o igual al total de Reactivos en el grupo de edad ",$AN$11),"")</f>
        <v/>
      </c>
      <c r="CX67" s="219">
        <f>IF(AP67&lt;AQ67,CONCATENATE("* El total de Procesados debe ser mayor o igual al total de Reactivos en el grupo de edad ",$AP$11),"")</f>
        <v/>
      </c>
      <c r="DE67" s="226" t="n"/>
      <c r="DF67" s="378">
        <f>IF(B67&lt;&gt;(AS67+AR67),1,0)</f>
        <v/>
      </c>
      <c r="DG67" s="376">
        <f>IF(AND($B67&gt;0,AND(AT67="",AU67="")),1,IF((AT67+AU67)&gt;$B67,1,0))</f>
        <v/>
      </c>
      <c r="DH67" s="376">
        <f>IF(AND($B67&gt;0,AV67=""),1,IF(AV67&gt;$B67,1,0))</f>
        <v/>
      </c>
      <c r="DI67" s="376">
        <f>IF(AND($B67&gt;0,AW67=""),1,IF(AW67&gt;$B67,1,0))</f>
        <v/>
      </c>
      <c r="DJ67" s="222" t="n"/>
      <c r="DK67" s="222" t="n"/>
      <c r="DL67" s="222" t="n"/>
      <c r="DM67" s="222" t="n"/>
      <c r="DN67" s="222" t="n"/>
      <c r="DO67" s="220" t="n"/>
      <c r="DP67" s="376">
        <f>IF(P67&lt;Q67,1,0)</f>
        <v/>
      </c>
      <c r="DQ67" s="376">
        <f>IF(R67&lt;S67,1,0)</f>
        <v/>
      </c>
      <c r="DR67" s="376">
        <f>IF($T67&lt;$U67,1,0)</f>
        <v/>
      </c>
      <c r="DS67" s="376">
        <f>IF(V67&lt;W67,1,0)</f>
        <v/>
      </c>
      <c r="DT67" s="376">
        <f>IF(X67&lt;Y67,1,0)</f>
        <v/>
      </c>
      <c r="DU67" s="376">
        <f>IF(Z67&lt;AA67,1,0)</f>
        <v/>
      </c>
      <c r="DV67" s="376">
        <f>IF(AB67&lt;AC67,1,0)</f>
        <v/>
      </c>
      <c r="DW67" s="376">
        <f>IF(AD67&lt;AE67,1,0)</f>
        <v/>
      </c>
      <c r="DX67" s="376">
        <f>IF(AF67&lt;AG67,1,0)</f>
        <v/>
      </c>
      <c r="DY67" s="376">
        <f>IF(AH67&lt;AI67,1,0)</f>
        <v/>
      </c>
      <c r="DZ67" s="376">
        <f>IF(AJ67&lt;AK67,1,0)</f>
        <v/>
      </c>
      <c r="EA67" s="376">
        <f>IF(AL67&lt;AM67,1,0)</f>
        <v/>
      </c>
      <c r="EB67" s="376">
        <f>IF(AN67&lt;AO67,1,0)</f>
        <v/>
      </c>
      <c r="EC67" s="376">
        <f>IF(AP67&lt;AQ67,1,0)</f>
        <v/>
      </c>
    </row>
    <row r="68">
      <c r="A68" s="3119" t="inlineStr">
        <is>
          <t>Personas en control fecundidad</t>
        </is>
      </c>
      <c r="B68" s="3103">
        <f>+N68+P68+R68+T68+V68+X68+Z68+AB68+AD68+AF68+AH68+AJ68+AL68+AN68+AP68</f>
        <v/>
      </c>
      <c r="C68" s="1171">
        <f>+O68+Q68+S68+U68+W68+Y68+AA68+AC68+AE68+AG68+AI68+AK68+AM68+AO68+AQ68</f>
        <v/>
      </c>
      <c r="D68" s="3097" t="n"/>
      <c r="E68" s="3110" t="n"/>
      <c r="F68" s="3109" t="n"/>
      <c r="G68" s="3110" t="n"/>
      <c r="H68" s="3109" t="n"/>
      <c r="I68" s="3113" t="n"/>
      <c r="J68" s="3097" t="n"/>
      <c r="K68" s="3097" t="n"/>
      <c r="L68" s="3109" t="n"/>
      <c r="M68" s="3113" t="n"/>
      <c r="N68" s="3100" t="n"/>
      <c r="O68" s="3107" t="n"/>
      <c r="P68" s="3108" t="n"/>
      <c r="Q68" s="3107" t="n"/>
      <c r="R68" s="3108" t="n"/>
      <c r="S68" s="3107" t="n"/>
      <c r="T68" s="3108" t="n"/>
      <c r="U68" s="3107" t="n"/>
      <c r="V68" s="3108" t="n"/>
      <c r="W68" s="3107" t="n"/>
      <c r="X68" s="3108" t="n"/>
      <c r="Y68" s="3107" t="n"/>
      <c r="Z68" s="3108" t="n"/>
      <c r="AA68" s="3107" t="n"/>
      <c r="AB68" s="3108" t="n"/>
      <c r="AC68" s="3107" t="n"/>
      <c r="AD68" s="3108" t="n"/>
      <c r="AE68" s="3107" t="n"/>
      <c r="AF68" s="3108" t="n"/>
      <c r="AG68" s="3107" t="n"/>
      <c r="AH68" s="3108" t="n"/>
      <c r="AI68" s="3107" t="n"/>
      <c r="AJ68" s="3108" t="n"/>
      <c r="AK68" s="3107" t="n"/>
      <c r="AL68" s="3108" t="n"/>
      <c r="AM68" s="3107" t="n"/>
      <c r="AN68" s="3108" t="n"/>
      <c r="AO68" s="3107" t="n"/>
      <c r="AP68" s="3108" t="n"/>
      <c r="AQ68" s="3098" t="n"/>
      <c r="AR68" s="3100" t="n"/>
      <c r="AS68" s="3098" t="n"/>
      <c r="AT68" s="3099" t="n"/>
      <c r="AU68" s="3098" t="n"/>
      <c r="AV68" s="3845" t="n"/>
      <c r="AW68" s="3656" t="n"/>
      <c r="AX68" s="218">
        <f>$CA68&amp;CB68&amp;CC68&amp;$CD68&amp;CJ68&amp;CK68&amp;CL68&amp;CM68&amp;CN68&amp;CO68&amp;CP68&amp;CQ68&amp;CR68&amp;CS68&amp;CT68&amp;CU68&amp;CV68&amp;CW68&amp;CX68</f>
        <v/>
      </c>
      <c r="CA68" s="219">
        <f>IF(B68&lt;&gt;(AS68+AR68)," * La suma de las columnas "&amp;AR$10&amp;""&amp;" DEBE SER IGUAL a los Exámenes Procesados. ","")</f>
        <v/>
      </c>
      <c r="CB68" s="219">
        <f>IF(AND($B68&gt;0,AND(AT68="",AU68="")),"* No olvide ingresar las columnas Trans Masculino o Femenino (*Digite CERO si no tiene). ",IF((AT68+AU68)&gt;$B68,"* El Número de Trans Masculino o Femenino no puede superar el Total Procesados. ",""))</f>
        <v/>
      </c>
      <c r="CC68" s="219">
        <f>IF(AND($B68&gt;0,AV68=""),"* No olvide ingresar la columna "&amp;AV$10&amp;""&amp;" *(Digite CERO si no tiene). ",IF(AV68&gt;$B68," *El Número de "&amp;AV$10&amp;""&amp;" no puede superar el Total Procesados. ",""))</f>
        <v/>
      </c>
      <c r="CD68" s="219">
        <f>IF(AND($B68&gt;0,AW68=""),"* No olvide ingresar la columna "&amp;AW$10&amp;""&amp;" *(Digite CERO si no tiene). ",IF(AW68&gt;$B68," *El Número de "&amp;AW$10&amp;""&amp;" no puede superar el Total Procesados. ",""))</f>
        <v/>
      </c>
      <c r="CE68" s="377" t="n"/>
      <c r="CF68" s="377" t="n"/>
      <c r="CG68" s="222" t="n"/>
      <c r="CH68" s="222" t="n"/>
      <c r="CI68" s="222" t="n"/>
      <c r="CJ68" s="219">
        <f>IF(N68&lt;O68,CONCATENATE("* El total de Procesados debe ser mayor o igual al total de Reactivos en el grupo de edad ",$N$11),"")</f>
        <v/>
      </c>
      <c r="CK68" s="219">
        <f>IF(P68&lt;Q68,CONCATENATE("* El total de Procesados debe ser mayor o igual al total de Reactivos en el grupo de edad ",$P$11),"")</f>
        <v/>
      </c>
      <c r="CL68" s="219">
        <f>IF(R68&lt;S68,CONCATENATE("* El total de Procesados debe ser mayor o igual al total de Reactivos en el grupo de edad ",$R$11),"")</f>
        <v/>
      </c>
      <c r="CM68" s="219">
        <f>IF($T68&lt;$U68,CONCATENATE("* El total de Procesados debe ser mayor o igual al total de Reactivos en el grupo de edad ",$T$11),"")</f>
        <v/>
      </c>
      <c r="CN68" s="219">
        <f>IF(V68&lt;W68,CONCATENATE("* El total de Procesados debe ser mayor o igual al total de Reactivos en el grupo de edad ",$V$11),"")</f>
        <v/>
      </c>
      <c r="CO68" s="219">
        <f>IF(X68&lt;Y68,CONCATENATE("* El total de Procesados debe ser mayor o igual al total de Reactivos en el grupo de edad ",$X$11),"")</f>
        <v/>
      </c>
      <c r="CP68" s="219">
        <f>IF(Z68&lt;AA68,CONCATENATE("* El total de Procesados debe ser mayor o igual al total de Reactivos en el grupo de edad ",$Z$11),"")</f>
        <v/>
      </c>
      <c r="CQ68" s="219">
        <f>IF(AB68&lt;AC68,CONCATENATE("* El total de Procesados debe ser mayor o igual al total de Reactivos en el grupo de edad ",$AB$11),"")</f>
        <v/>
      </c>
      <c r="CR68" s="219">
        <f>IF(AD68&lt;AE68,CONCATENATE("* El total de Procesados debe ser mayor o igual al total de Reactivos en el grupo de edad ",$AD$11),"")</f>
        <v/>
      </c>
      <c r="CS68" s="219">
        <f>IF(AF68&lt;AG68,CONCATENATE("* El total de Procesados debe ser mayor o igual al total de Reactivos en el grupo de edad ",$AF$11),"")</f>
        <v/>
      </c>
      <c r="CT68" s="219">
        <f>IF(AH68&lt;AI68,CONCATENATE("* El total de Procesados debe ser mayor o igual al total de Reactivos en el grupo de edad ",$AH$11),"")</f>
        <v/>
      </c>
      <c r="CU68" s="219">
        <f>IF(AJ68&lt;AK68,CONCATENATE("* El total de Procesados debe ser mayor o igual al total de Reactivos en el grupo de edad ",$AJ$11),"")</f>
        <v/>
      </c>
      <c r="CV68" s="219">
        <f>IF(AL68&lt;AM68,CONCATENATE("* El total de Procesados debe ser mayor o igual al total de Reactivos en el grupo de edad ",$AL$11),"")</f>
        <v/>
      </c>
      <c r="CW68" s="219">
        <f>IF(AN68&lt;AO68,CONCATENATE("* El total de Procesados debe ser mayor o igual al total de Reactivos en el grupo de edad ",$AN$11),"")</f>
        <v/>
      </c>
      <c r="CX68" s="219">
        <f>IF(AP68&lt;AQ68,CONCATENATE("* El total de Procesados debe ser mayor o igual al total de Reactivos en el grupo de edad ",$AP$11),"")</f>
        <v/>
      </c>
      <c r="DE68" s="226" t="n"/>
      <c r="DF68" s="378">
        <f>IF(B68&lt;&gt;(AS68+AR68),1,0)</f>
        <v/>
      </c>
      <c r="DG68" s="376">
        <f>IF(AND($B68&gt;0,AND(AT68="",AU68="")),1,IF((AT68+AU68)&gt;$B68,1,0))</f>
        <v/>
      </c>
      <c r="DH68" s="376">
        <f>IF(AND($B68&gt;0,AV68=""),1,IF(AV68&gt;$B68,1,0))</f>
        <v/>
      </c>
      <c r="DI68" s="376">
        <f>IF(AND($B68&gt;0,AW68=""),1,IF(AW68&gt;$B68,1,0))</f>
        <v/>
      </c>
      <c r="DJ68" s="222" t="n"/>
      <c r="DK68" s="222" t="n"/>
      <c r="DL68" s="222" t="n"/>
      <c r="DM68" s="222" t="n"/>
      <c r="DN68" s="222" t="n"/>
      <c r="DO68" s="376">
        <f>IF(N68&lt;O68,1,0)</f>
        <v/>
      </c>
      <c r="DP68" s="376">
        <f>IF(P68&lt;Q68,1,0)</f>
        <v/>
      </c>
      <c r="DQ68" s="376">
        <f>IF(R68&lt;S68,1,0)</f>
        <v/>
      </c>
      <c r="DR68" s="376">
        <f>IF($T68&lt;$U68,1,0)</f>
        <v/>
      </c>
      <c r="DS68" s="376">
        <f>IF(V68&lt;W68,1,0)</f>
        <v/>
      </c>
      <c r="DT68" s="376">
        <f>IF(X68&lt;Y68,1,0)</f>
        <v/>
      </c>
      <c r="DU68" s="376">
        <f>IF(Z68&lt;AA68,1,0)</f>
        <v/>
      </c>
      <c r="DV68" s="376">
        <f>IF(AB68&lt;AC68,1,0)</f>
        <v/>
      </c>
      <c r="DW68" s="376">
        <f>IF(AD68&lt;AE68,1,0)</f>
        <v/>
      </c>
      <c r="DX68" s="376">
        <f>IF(AF68&lt;AG68,1,0)</f>
        <v/>
      </c>
      <c r="DY68" s="376">
        <f>IF(AH68&lt;AI68,1,0)</f>
        <v/>
      </c>
      <c r="DZ68" s="376">
        <f>IF(AJ68&lt;AK68,1,0)</f>
        <v/>
      </c>
      <c r="EA68" s="376">
        <f>IF(AL68&lt;AM68,1,0)</f>
        <v/>
      </c>
      <c r="EB68" s="376">
        <f>IF(AN68&lt;AO68,1,0)</f>
        <v/>
      </c>
      <c r="EC68" s="376">
        <f>IF(AP68&lt;AQ68,1,0)</f>
        <v/>
      </c>
    </row>
    <row r="69">
      <c r="A69" s="3119" t="inlineStr">
        <is>
          <t>Consultantes por ITS</t>
        </is>
      </c>
      <c r="B69" s="3103">
        <f>+D69+F69+H69+J69+L69+N69+P69+R69+T69+V69+X69+Z69+AB69+AD69+AF69+AH69+AJ69+AL69+AN69+AP69</f>
        <v/>
      </c>
      <c r="C69" s="1171">
        <f>+E69+G69+I69+K69+M69+O69+Q69+S69+U69+W69+Y69+AA69+AC69+AE69+AG69+AI69+AK69+AM69+AO69+AQ69</f>
        <v/>
      </c>
      <c r="D69" s="3100" t="n"/>
      <c r="E69" s="3107" t="n"/>
      <c r="F69" s="3108" t="n"/>
      <c r="G69" s="3107" t="n"/>
      <c r="H69" s="3108" t="n"/>
      <c r="I69" s="3101" t="n"/>
      <c r="J69" s="3100" t="n"/>
      <c r="K69" s="3100" t="n"/>
      <c r="L69" s="3108" t="n"/>
      <c r="M69" s="3101" t="n"/>
      <c r="N69" s="3100" t="n"/>
      <c r="O69" s="3107" t="n"/>
      <c r="P69" s="3108" t="n"/>
      <c r="Q69" s="3107" t="n"/>
      <c r="R69" s="3108" t="n"/>
      <c r="S69" s="3107" t="n"/>
      <c r="T69" s="3108" t="n"/>
      <c r="U69" s="3107" t="n"/>
      <c r="V69" s="3108" t="n"/>
      <c r="W69" s="3107" t="n"/>
      <c r="X69" s="3108" t="n"/>
      <c r="Y69" s="3107" t="n"/>
      <c r="Z69" s="3108" t="n"/>
      <c r="AA69" s="3107" t="n"/>
      <c r="AB69" s="3108" t="n"/>
      <c r="AC69" s="3107" t="n"/>
      <c r="AD69" s="3108" t="n"/>
      <c r="AE69" s="3107" t="n"/>
      <c r="AF69" s="3108" t="n"/>
      <c r="AG69" s="3107" t="n"/>
      <c r="AH69" s="3108" t="n"/>
      <c r="AI69" s="3107" t="n"/>
      <c r="AJ69" s="3108" t="n"/>
      <c r="AK69" s="3107" t="n"/>
      <c r="AL69" s="3108" t="n"/>
      <c r="AM69" s="3107" t="n"/>
      <c r="AN69" s="3108" t="n"/>
      <c r="AO69" s="3107" t="n"/>
      <c r="AP69" s="3108" t="n"/>
      <c r="AQ69" s="3098" t="n"/>
      <c r="AR69" s="3100" t="n"/>
      <c r="AS69" s="3098" t="n"/>
      <c r="AT69" s="3099" t="n"/>
      <c r="AU69" s="3098" t="n"/>
      <c r="AV69" s="3845" t="n"/>
      <c r="AW69" s="3656" t="n"/>
      <c r="AX69" s="218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>
        <f>IF(B69&lt;&gt;(AS69+AR69)," * La suma de las columnas "&amp;AR$10&amp;""&amp;" DEBE SER IGUAL a los Exámenes Procesados. ","")</f>
        <v/>
      </c>
      <c r="CB69" s="219">
        <f>IF(AND($B69&gt;0,AND(AT69="",AU69="")),"* No olvide ingresar las columnas Trans Masculino o Femenino (*Digite CERO si no tiene). ",IF((AT69+AU69)&gt;$B69,"* El Número de Trans Masculino o Femenino no puede superar el Total Procesados. ",""))</f>
        <v/>
      </c>
      <c r="CC69" s="219">
        <f>IF(AND($B69&gt;0,AV69=""),"* No olvide ingresar la columna "&amp;AV$10&amp;""&amp;" *(Digite CERO si no tiene). ",IF(AV69&gt;$B69," *El Número de "&amp;AV$10&amp;""&amp;" no puede superar el Total Procesados. ",""))</f>
        <v/>
      </c>
      <c r="CD69" s="219">
        <f>IF(AND($B69&gt;0,AW69=""),"* No olvide ingresar la columna "&amp;AW$10&amp;""&amp;" *(Digite CERO si no tiene). ",IF(AW69&gt;$B69," *El Número de "&amp;AW$10&amp;""&amp;" no puede superar el Total Procesados. ",""))</f>
        <v/>
      </c>
      <c r="CE69" s="219">
        <f>IF(D69&lt;E69,CONCATENATE("* El total de Procesados debe ser mayor o igual al total de Reactivos en el grupo de edad ",$D$11),"")</f>
        <v/>
      </c>
      <c r="CF69" s="219">
        <f>IF(F69&lt;G69,CONCATENATE("* El total de Procesados debe ser mayor o igual al total de Reactivos en el grupo de edad ",$F$11),"")</f>
        <v/>
      </c>
      <c r="CG69" s="219">
        <f>IF(H69&lt;I69,CONCATENATE("* El total de Procesados debe ser mayor o igual al total de Reactivos en el grupo de edad ",$H$11),"")</f>
        <v/>
      </c>
      <c r="CH69" s="219">
        <f>IF(J69&lt;K69,CONCATENATE("* El total de Procesados debe ser mayor o igual al total de Reactivos en el grupo de edad ",$J$11),"")</f>
        <v/>
      </c>
      <c r="CI69" s="219">
        <f>IF(L69&lt;M69,CONCATENATE("* El total de Procesados debe ser mayor o igual al total de Reactivos en el grupo de edad ",$L$11),"")</f>
        <v/>
      </c>
      <c r="CJ69" s="219">
        <f>IF(N69&lt;O69,CONCATENATE("* El total de Procesados debe ser mayor o igual al total de Reactivos en el grupo de edad ",$N$11),"")</f>
        <v/>
      </c>
      <c r="CK69" s="219">
        <f>IF(P69&lt;Q69,CONCATENATE("* El total de Procesados debe ser mayor o igual al total de Reactivos en el grupo de edad ",$P$11),"")</f>
        <v/>
      </c>
      <c r="CL69" s="219">
        <f>IF(R69&lt;S69,CONCATENATE("* El total de Procesados debe ser mayor o igual al total de Reactivos en el grupo de edad ",$R$11),"")</f>
        <v/>
      </c>
      <c r="CM69" s="219">
        <f>IF($T69&lt;$U69,CONCATENATE("* El total de Procesados debe ser mayor o igual al total de Reactivos en el grupo de edad ",$T$11),"")</f>
        <v/>
      </c>
      <c r="CN69" s="219">
        <f>IF(V69&lt;W69,CONCATENATE("* El total de Procesados debe ser mayor o igual al total de Reactivos en el grupo de edad ",$V$11),"")</f>
        <v/>
      </c>
      <c r="CO69" s="219">
        <f>IF(X69&lt;Y69,CONCATENATE("* El total de Procesados debe ser mayor o igual al total de Reactivos en el grupo de edad ",$X$11),"")</f>
        <v/>
      </c>
      <c r="CP69" s="219">
        <f>IF(Z69&lt;AA69,CONCATENATE("* El total de Procesados debe ser mayor o igual al total de Reactivos en el grupo de edad ",$Z$11),"")</f>
        <v/>
      </c>
      <c r="CQ69" s="219">
        <f>IF(AB69&lt;AC69,CONCATENATE("* El total de Procesados debe ser mayor o igual al total de Reactivos en el grupo de edad ",$AB$11),"")</f>
        <v/>
      </c>
      <c r="CR69" s="219">
        <f>IF(AD69&lt;AE69,CONCATENATE("* El total de Procesados debe ser mayor o igual al total de Reactivos en el grupo de edad ",$AD$11),"")</f>
        <v/>
      </c>
      <c r="CS69" s="219">
        <f>IF(AF69&lt;AG69,CONCATENATE("* El total de Procesados debe ser mayor o igual al total de Reactivos en el grupo de edad ",$AF$11),"")</f>
        <v/>
      </c>
      <c r="CT69" s="219">
        <f>IF(AH69&lt;AI69,CONCATENATE("* El total de Procesados debe ser mayor o igual al total de Reactivos en el grupo de edad ",$AH$11),"")</f>
        <v/>
      </c>
      <c r="CU69" s="219">
        <f>IF(AJ69&lt;AK69,CONCATENATE("* El total de Procesados debe ser mayor o igual al total de Reactivos en el grupo de edad ",$AJ$11),"")</f>
        <v/>
      </c>
      <c r="CV69" s="219">
        <f>IF(AL69&lt;AM69,CONCATENATE("* El total de Procesados debe ser mayor o igual al total de Reactivos en el grupo de edad ",$AL$11),"")</f>
        <v/>
      </c>
      <c r="CW69" s="219">
        <f>IF(AN69&lt;AO69,CONCATENATE("* El total de Procesados debe ser mayor o igual al total de Reactivos en el grupo de edad ",$AN$11),"")</f>
        <v/>
      </c>
      <c r="CX69" s="219">
        <f>IF(AP69&lt;AQ69,CONCATENATE("* El total de Procesados debe ser mayor o igual al total de Reactivos en el grupo de edad ",$AP$11),"")</f>
        <v/>
      </c>
      <c r="DE69" s="226" t="n"/>
      <c r="DF69" s="378">
        <f>IF(B69&lt;&gt;(AS69+AR69),1,0)</f>
        <v/>
      </c>
      <c r="DG69" s="376">
        <f>IF(AND($B69&gt;0,AND(AT69="",AU69="")),1,IF((AT69+AU69)&gt;$B69,1,0))</f>
        <v/>
      </c>
      <c r="DH69" s="376">
        <f>IF(AND($B69&gt;0,AV69=""),1,IF(AV69&gt;$B69,1,0))</f>
        <v/>
      </c>
      <c r="DI69" s="376">
        <f>IF(AND($B69&gt;0,AW69=""),1,IF(AW69&gt;$B69,1,0))</f>
        <v/>
      </c>
      <c r="DJ69" s="376">
        <f>IF(D69&lt;E69,1,0)</f>
        <v/>
      </c>
      <c r="DK69" s="376">
        <f>IF(F69&lt;G69,1,0)</f>
        <v/>
      </c>
      <c r="DL69" s="376">
        <f>IF(H69&lt;I69,1,0)</f>
        <v/>
      </c>
      <c r="DM69" s="376">
        <f>IF(J69&lt;K69,1,0)</f>
        <v/>
      </c>
      <c r="DN69" s="376">
        <f>IF(L69&lt;M69,1,0)</f>
        <v/>
      </c>
      <c r="DO69" s="376">
        <f>IF(N69&lt;O69,1,0)</f>
        <v/>
      </c>
      <c r="DP69" s="376">
        <f>IF(P69&lt;Q69,1,0)</f>
        <v/>
      </c>
      <c r="DQ69" s="376">
        <f>IF(R69&lt;S69,1,0)</f>
        <v/>
      </c>
      <c r="DR69" s="376">
        <f>IF($T69&lt;$U69,1,0)</f>
        <v/>
      </c>
      <c r="DS69" s="376">
        <f>IF(V69&lt;W69,1,0)</f>
        <v/>
      </c>
      <c r="DT69" s="376">
        <f>IF(X69&lt;Y69,1,0)</f>
        <v/>
      </c>
      <c r="DU69" s="376">
        <f>IF(Z69&lt;AA69,1,0)</f>
        <v/>
      </c>
      <c r="DV69" s="376">
        <f>IF(AB69&lt;AC69,1,0)</f>
        <v/>
      </c>
      <c r="DW69" s="376">
        <f>IF(AD69&lt;AE69,1,0)</f>
        <v/>
      </c>
      <c r="DX69" s="376">
        <f>IF(AF69&lt;AG69,1,0)</f>
        <v/>
      </c>
      <c r="DY69" s="376">
        <f>IF(AH69&lt;AI69,1,0)</f>
        <v/>
      </c>
      <c r="DZ69" s="376">
        <f>IF(AJ69&lt;AK69,1,0)</f>
        <v/>
      </c>
      <c r="EA69" s="376">
        <f>IF(AL69&lt;AM69,1,0)</f>
        <v/>
      </c>
      <c r="EB69" s="376">
        <f>IF(AN69&lt;AO69,1,0)</f>
        <v/>
      </c>
      <c r="EC69" s="376">
        <f>IF(AP69&lt;AQ69,1,0)</f>
        <v/>
      </c>
    </row>
    <row r="70">
      <c r="A70" s="3102" t="inlineStr">
        <is>
          <t>Personas EMP/EMPAM</t>
        </is>
      </c>
      <c r="B70" s="3103">
        <f>+P70+R70+T70+V70+X70+Z70+AB70+AD70+AF70+AH70+AJ70+AL70+AN70+AP70</f>
        <v/>
      </c>
      <c r="C70" s="1171">
        <f>+Q70+S70+U70+W70+Y70+AA70+AC70+AE70+AG70+AI70+AK70+AM70+AO70+AQ70</f>
        <v/>
      </c>
      <c r="D70" s="3112" t="n"/>
      <c r="E70" s="3105" t="n"/>
      <c r="F70" s="3104" t="n"/>
      <c r="G70" s="3105" t="n"/>
      <c r="H70" s="3104" t="n"/>
      <c r="I70" s="3105" t="n"/>
      <c r="J70" s="3104" t="n"/>
      <c r="K70" s="3105" t="n"/>
      <c r="L70" s="3104" t="n"/>
      <c r="M70" s="3106" t="n"/>
      <c r="N70" s="3112" t="n"/>
      <c r="O70" s="3105" t="n"/>
      <c r="P70" s="3108" t="n"/>
      <c r="Q70" s="3107" t="n"/>
      <c r="R70" s="3108" t="n"/>
      <c r="S70" s="3107" t="n"/>
      <c r="T70" s="3108" t="n"/>
      <c r="U70" s="3107" t="n"/>
      <c r="V70" s="3108" t="n"/>
      <c r="W70" s="3107" t="n"/>
      <c r="X70" s="3108" t="n"/>
      <c r="Y70" s="3107" t="n"/>
      <c r="Z70" s="3108" t="n"/>
      <c r="AA70" s="3107" t="n"/>
      <c r="AB70" s="3108" t="n"/>
      <c r="AC70" s="3107" t="n"/>
      <c r="AD70" s="3108" t="n"/>
      <c r="AE70" s="3107" t="n"/>
      <c r="AF70" s="3108" t="n"/>
      <c r="AG70" s="3107" t="n"/>
      <c r="AH70" s="3108" t="n"/>
      <c r="AI70" s="3107" t="n"/>
      <c r="AJ70" s="3108" t="n"/>
      <c r="AK70" s="3107" t="n"/>
      <c r="AL70" s="3108" t="n"/>
      <c r="AM70" s="3107" t="n"/>
      <c r="AN70" s="3108" t="n"/>
      <c r="AO70" s="3107" t="n"/>
      <c r="AP70" s="3108" t="n"/>
      <c r="AQ70" s="3098" t="n"/>
      <c r="AR70" s="3100" t="n"/>
      <c r="AS70" s="3098" t="n"/>
      <c r="AT70" s="3099" t="n"/>
      <c r="AU70" s="3098" t="n"/>
      <c r="AV70" s="3845" t="n"/>
      <c r="AW70" s="3656" t="n"/>
      <c r="AX70" s="218">
        <f>$CA70&amp;CB70&amp;CC70&amp;$CD70&amp;CJ70&amp;CK70&amp;CL70&amp;CM70&amp;CN70&amp;CO70&amp;CP70&amp;CQ70&amp;CR70&amp;CS70&amp;CT70&amp;CU70&amp;CV70&amp;CW70&amp;CX70</f>
        <v/>
      </c>
      <c r="CA70" s="219">
        <f>IF(B70&lt;&gt;(AS70+AR70)," * La suma de las columnas "&amp;AR$10&amp;""&amp;" DEBE SER IGUAL a los Exámenes Procesados. ","")</f>
        <v/>
      </c>
      <c r="CB70" s="219">
        <f>IF(AND($B70&gt;0,AND(AT70="",AU70="")),"* No olvide ingresar las columnas Trans Masculino o Femenino (*Digite CERO si no tiene). ",IF((AT70+AU70)&gt;$B70,"* El Número de Trans Masculino o Femenino no puede superar el Total Procesados. ",""))</f>
        <v/>
      </c>
      <c r="CC70" s="219">
        <f>IF(AND($B70&gt;0,AV70=""),"* No olvide ingresar la columna "&amp;AV$10&amp;""&amp;" *(Digite CERO si no tiene). ",IF(AV70&gt;$B70," *El Número de "&amp;AV$10&amp;""&amp;" no puede superar el Total Procesados. ",""))</f>
        <v/>
      </c>
      <c r="CD70" s="219">
        <f>IF(AND($B70&gt;0,AW70=""),"* No olvide ingresar la columna "&amp;AW$10&amp;""&amp;" *(Digite CERO si no tiene). ",IF(AW70&gt;$B70," *El Número de "&amp;AW$10&amp;""&amp;" no puede superar el Total Procesados. ",""))</f>
        <v/>
      </c>
      <c r="CE70" s="377" t="n"/>
      <c r="CF70" s="377" t="n"/>
      <c r="CG70" s="222" t="n"/>
      <c r="CH70" s="222" t="n"/>
      <c r="CI70" s="222" t="n"/>
      <c r="CJ70" s="377" t="n"/>
      <c r="CK70" s="219">
        <f>IF(P70&lt;Q70,CONCATENATE("* El total de Procesados debe ser mayor o igual al total de Reactivos en el grupo de edad ",$P$11),"")</f>
        <v/>
      </c>
      <c r="CL70" s="219">
        <f>IF(R70&lt;S70,CONCATENATE("* El total de Procesados debe ser mayor o igual al total de Reactivos en el grupo de edad ",$R$11),"")</f>
        <v/>
      </c>
      <c r="CM70" s="219">
        <f>IF($T70&lt;$U70,CONCATENATE("* El total de Procesados debe ser mayor o igual al total de Reactivos en el grupo de edad ",$T$11),"")</f>
        <v/>
      </c>
      <c r="CN70" s="219">
        <f>IF(V70&lt;W70,CONCATENATE("* El total de Procesados debe ser mayor o igual al total de Reactivos en el grupo de edad ",$V$11),"")</f>
        <v/>
      </c>
      <c r="CO70" s="219">
        <f>IF(X70&lt;Y70,CONCATENATE("* El total de Procesados debe ser mayor o igual al total de Reactivos en el grupo de edad ",$X$11),"")</f>
        <v/>
      </c>
      <c r="CP70" s="219">
        <f>IF(Z70&lt;AA70,CONCATENATE("* El total de Procesados debe ser mayor o igual al total de Reactivos en el grupo de edad ",$Z$11),"")</f>
        <v/>
      </c>
      <c r="CQ70" s="219">
        <f>IF(AB70&lt;AC70,CONCATENATE("* El total de Procesados debe ser mayor o igual al total de Reactivos en el grupo de edad ",$AB$11),"")</f>
        <v/>
      </c>
      <c r="CR70" s="219">
        <f>IF(AD70&lt;AE70,CONCATENATE("* El total de Procesados debe ser mayor o igual al total de Reactivos en el grupo de edad ",$AD$11),"")</f>
        <v/>
      </c>
      <c r="CS70" s="219">
        <f>IF(AF70&lt;AG70,CONCATENATE("* El total de Procesados debe ser mayor o igual al total de Reactivos en el grupo de edad ",$AF$11),"")</f>
        <v/>
      </c>
      <c r="CT70" s="219">
        <f>IF(AH70&lt;AI70,CONCATENATE("* El total de Procesados debe ser mayor o igual al total de Reactivos en el grupo de edad ",$AH$11),"")</f>
        <v/>
      </c>
      <c r="CU70" s="219">
        <f>IF(AJ70&lt;AK70,CONCATENATE("* El total de Procesados debe ser mayor o igual al total de Reactivos en el grupo de edad ",$AJ$11),"")</f>
        <v/>
      </c>
      <c r="CV70" s="219">
        <f>IF(AL70&lt;AM70,CONCATENATE("* El total de Procesados debe ser mayor o igual al total de Reactivos en el grupo de edad ",$AL$11),"")</f>
        <v/>
      </c>
      <c r="CW70" s="219">
        <f>IF(AN70&lt;AO70,CONCATENATE("* El total de Procesados debe ser mayor o igual al total de Reactivos en el grupo de edad ",$AN$11),"")</f>
        <v/>
      </c>
      <c r="CX70" s="219">
        <f>IF(AP70&lt;AQ70,CONCATENATE("* El total de Procesados debe ser mayor o igual al total de Reactivos en el grupo de edad ",$AP$11),"")</f>
        <v/>
      </c>
      <c r="DE70" s="226" t="n"/>
      <c r="DF70" s="378">
        <f>IF(B70&lt;&gt;(AS70+AR70),1,0)</f>
        <v/>
      </c>
      <c r="DG70" s="376">
        <f>IF(AND($B70&gt;0,AND(AT70="",AU70="")),1,IF((AT70+AU70)&gt;$B70,1,0))</f>
        <v/>
      </c>
      <c r="DH70" s="376">
        <f>IF(AND($B70&gt;0,AV70=""),1,IF(AV70&gt;$B70,1,0))</f>
        <v/>
      </c>
      <c r="DI70" s="376">
        <f>IF(AND($B70&gt;0,AW70=""),1,IF(AW70&gt;$B70,1,0))</f>
        <v/>
      </c>
      <c r="DJ70" s="222" t="n"/>
      <c r="DK70" s="222" t="n"/>
      <c r="DL70" s="222" t="n"/>
      <c r="DM70" s="222" t="n"/>
      <c r="DN70" s="222" t="n"/>
      <c r="DO70" s="220" t="n"/>
      <c r="DP70" s="376">
        <f>IF(P70&lt;Q70,1,0)</f>
        <v/>
      </c>
      <c r="DQ70" s="376">
        <f>IF(R70&lt;S70,1,0)</f>
        <v/>
      </c>
      <c r="DR70" s="376">
        <f>IF($T70&lt;$U70,1,0)</f>
        <v/>
      </c>
      <c r="DS70" s="376">
        <f>IF(V70&lt;W70,1,0)</f>
        <v/>
      </c>
      <c r="DT70" s="376">
        <f>IF(X70&lt;Y70,1,0)</f>
        <v/>
      </c>
      <c r="DU70" s="376">
        <f>IF(Z70&lt;AA70,1,0)</f>
        <v/>
      </c>
      <c r="DV70" s="376">
        <f>IF(AB70&lt;AC70,1,0)</f>
        <v/>
      </c>
      <c r="DW70" s="376">
        <f>IF(AD70&lt;AE70,1,0)</f>
        <v/>
      </c>
      <c r="DX70" s="376">
        <f>IF(AF70&lt;AG70,1,0)</f>
        <v/>
      </c>
      <c r="DY70" s="376">
        <f>IF(AH70&lt;AI70,1,0)</f>
        <v/>
      </c>
      <c r="DZ70" s="376">
        <f>IF(AJ70&lt;AK70,1,0)</f>
        <v/>
      </c>
      <c r="EA70" s="376">
        <f>IF(AL70&lt;AM70,1,0)</f>
        <v/>
      </c>
      <c r="EB70" s="376">
        <f>IF(AN70&lt;AO70,1,0)</f>
        <v/>
      </c>
      <c r="EC70" s="376">
        <f>IF(AP70&lt;AQ70,1,0)</f>
        <v/>
      </c>
    </row>
    <row r="71">
      <c r="A71" s="3119" t="inlineStr">
        <is>
          <t>Donantes de sangre</t>
        </is>
      </c>
      <c r="B71" s="3103">
        <f>+P71+R71+T71+V71+X71+Z71+AB71+AD71+AF71+AH71</f>
        <v/>
      </c>
      <c r="C71" s="1171">
        <f>+Q71+S71+U71+W71+Y71+AA71+AC71+AE71+AG71+AI71</f>
        <v/>
      </c>
      <c r="D71" s="3112" t="n"/>
      <c r="E71" s="3105" t="n"/>
      <c r="F71" s="3104" t="n"/>
      <c r="G71" s="3105" t="n"/>
      <c r="H71" s="3104" t="n"/>
      <c r="I71" s="3105" t="n"/>
      <c r="J71" s="3104" t="n"/>
      <c r="K71" s="3105" t="n"/>
      <c r="L71" s="3104" t="n"/>
      <c r="M71" s="3106" t="n"/>
      <c r="N71" s="3112" t="n"/>
      <c r="O71" s="3105" t="n"/>
      <c r="P71" s="3108" t="n"/>
      <c r="Q71" s="3107" t="n"/>
      <c r="R71" s="3108" t="n"/>
      <c r="S71" s="3107" t="n"/>
      <c r="T71" s="3108" t="n"/>
      <c r="U71" s="3107" t="n"/>
      <c r="V71" s="3108" t="n"/>
      <c r="W71" s="3107" t="n"/>
      <c r="X71" s="3108" t="n"/>
      <c r="Y71" s="3107" t="n"/>
      <c r="Z71" s="3108" t="n"/>
      <c r="AA71" s="3107" t="n"/>
      <c r="AB71" s="3108" t="n"/>
      <c r="AC71" s="3107" t="n"/>
      <c r="AD71" s="3108" t="n"/>
      <c r="AE71" s="3107" t="n"/>
      <c r="AF71" s="3108" t="n"/>
      <c r="AG71" s="3107" t="n"/>
      <c r="AH71" s="3108" t="n"/>
      <c r="AI71" s="3107" t="n"/>
      <c r="AJ71" s="3104" t="n"/>
      <c r="AK71" s="3105" t="n"/>
      <c r="AL71" s="3104" t="n"/>
      <c r="AM71" s="3105" t="n"/>
      <c r="AN71" s="3104" t="n"/>
      <c r="AO71" s="3105" t="n"/>
      <c r="AP71" s="3104" t="n"/>
      <c r="AQ71" s="3114" t="n"/>
      <c r="AR71" s="3100" t="n"/>
      <c r="AS71" s="3098" t="n"/>
      <c r="AT71" s="3099" t="n"/>
      <c r="AU71" s="3098" t="n"/>
      <c r="AV71" s="3845" t="n"/>
      <c r="AW71" s="3656" t="n"/>
      <c r="AX71" s="218">
        <f>$CA71&amp;CB71&amp;CC71&amp;$CD71&amp;CK71&amp;CL71&amp;CM71&amp;CN71&amp;CO71&amp;CP71&amp;CQ71&amp;CR71&amp;CS71&amp;CT71</f>
        <v/>
      </c>
      <c r="CA71" s="219">
        <f>IF(B71&lt;&gt;(AS71+AR71)," * La suma de las columnas "&amp;AR$10&amp;""&amp;" DEBE SER IGUAL a los Exámenes Procesados. ","")</f>
        <v/>
      </c>
      <c r="CB71" s="219">
        <f>IF(AND($B71&gt;0,AND(AT71="",AU71="")),"* No olvide ingresar las columnas Trans Masculino o Femenino (*Digite CERO si no tiene). ",IF((AT71+AU71)&gt;$B71,"* El Número de Trans Masculino o Femenino no puede superar el Total Procesados. ",""))</f>
        <v/>
      </c>
      <c r="CC71" s="219">
        <f>IF(AND($B71&gt;0,AV71=""),"* No olvide ingresar la columna "&amp;AV$10&amp;""&amp;" *(Digite CERO si no tiene). ",IF(AV71&gt;$B71," *El Número de "&amp;AV$10&amp;""&amp;" no puede superar el Total Procesados. ",""))</f>
        <v/>
      </c>
      <c r="CD71" s="219">
        <f>IF(AND($B71&gt;0,AW71=""),"* No olvide ingresar la columna "&amp;AW$10&amp;""&amp;" *(Digite CERO si no tiene). ",IF(AW71&gt;$B71," *El Número de "&amp;AW$10&amp;""&amp;" no puede superar el Total Procesados. ",""))</f>
        <v/>
      </c>
      <c r="CE71" s="377" t="n"/>
      <c r="CF71" s="377" t="n"/>
      <c r="CG71" s="222" t="n"/>
      <c r="CH71" s="222" t="n"/>
      <c r="CI71" s="222" t="n"/>
      <c r="CJ71" s="377" t="n"/>
      <c r="CK71" s="219">
        <f>IF(P71&lt;Q71,CONCATENATE("* El total de Procesados debe ser mayor o igual al total de Reactivos en el grupo de edad ",$P$11),"")</f>
        <v/>
      </c>
      <c r="CL71" s="219">
        <f>IF(R71&lt;S71,CONCATENATE("* El total de Procesados debe ser mayor o igual al total de Reactivos en el grupo de edad ",$R$11),"")</f>
        <v/>
      </c>
      <c r="CM71" s="219">
        <f>IF($T71&lt;$U71,CONCATENATE("* El total de Procesados debe ser mayor o igual al total de Reactivos en el grupo de edad ",$T$11),"")</f>
        <v/>
      </c>
      <c r="CN71" s="219">
        <f>IF(V71&lt;W71,CONCATENATE("* El total de Procesados debe ser mayor o igual al total de Reactivos en el grupo de edad ",$V$11),"")</f>
        <v/>
      </c>
      <c r="CO71" s="219">
        <f>IF(X71&lt;Y71,CONCATENATE("* El total de Procesados debe ser mayor o igual al total de Reactivos en el grupo de edad ",$X$11),"")</f>
        <v/>
      </c>
      <c r="CP71" s="219">
        <f>IF(Z71&lt;AA71,CONCATENATE("* El total de Procesados debe ser mayor o igual al total de Reactivos en el grupo de edad ",$Z$11),"")</f>
        <v/>
      </c>
      <c r="CQ71" s="219">
        <f>IF(AB71&lt;AC71,CONCATENATE("* El total de Procesados debe ser mayor o igual al total de Reactivos en el grupo de edad ",$AB$11),"")</f>
        <v/>
      </c>
      <c r="CR71" s="219">
        <f>IF(AD71&lt;AE71,CONCATENATE("* El total de Procesados debe ser mayor o igual al total de Reactivos en el grupo de edad ",$AD$11),"")</f>
        <v/>
      </c>
      <c r="CS71" s="219">
        <f>IF(AF71&lt;AG71,CONCATENATE("* El total de Procesados debe ser mayor o igual al total de Reactivos en el grupo de edad ",$AF$11),"")</f>
        <v/>
      </c>
      <c r="CT71" s="219">
        <f>IF(AH71&lt;AI71,CONCATENATE("* El total de Procesados debe ser mayor o igual al total de Reactivos en el grupo de edad ",$AH$11),"")</f>
        <v/>
      </c>
      <c r="CU71" s="220" t="n"/>
      <c r="CV71" s="220" t="n"/>
      <c r="CW71" s="220" t="n"/>
      <c r="CX71" s="220" t="n"/>
      <c r="DE71" s="226" t="n"/>
      <c r="DF71" s="378">
        <f>IF(B71&lt;&gt;(AS71+AR71),1,0)</f>
        <v/>
      </c>
      <c r="DG71" s="376">
        <f>IF(AND($B71&gt;0,AND(AT71="",AU71="")),1,IF((AT71+AU71)&gt;$B71,1,0))</f>
        <v/>
      </c>
      <c r="DH71" s="376">
        <f>IF(AND($B71&gt;0,AV71=""),1,IF(AV71&gt;$B71,1,0))</f>
        <v/>
      </c>
      <c r="DI71" s="376">
        <f>IF(AND($B71&gt;0,AW71=""),1,IF(AW71&gt;$B71,1,0))</f>
        <v/>
      </c>
      <c r="DJ71" s="222" t="n"/>
      <c r="DK71" s="222" t="n"/>
      <c r="DL71" s="222" t="n"/>
      <c r="DM71" s="222" t="n"/>
      <c r="DN71" s="222" t="n"/>
      <c r="DO71" s="220" t="n"/>
      <c r="DP71" s="376">
        <f>IF(P71&lt;Q71,1,0)</f>
        <v/>
      </c>
      <c r="DQ71" s="376">
        <f>IF(R71&lt;S71,1,0)</f>
        <v/>
      </c>
      <c r="DR71" s="376">
        <f>IF($T71&lt;$U71,1,0)</f>
        <v/>
      </c>
      <c r="DS71" s="376">
        <f>IF(V71&lt;W71,1,0)</f>
        <v/>
      </c>
      <c r="DT71" s="376">
        <f>IF(X71&lt;Y71,1,0)</f>
        <v/>
      </c>
      <c r="DU71" s="376">
        <f>IF(Z71&lt;AA71,1,0)</f>
        <v/>
      </c>
      <c r="DV71" s="376">
        <f>IF(AB71&lt;AC71,1,0)</f>
        <v/>
      </c>
      <c r="DW71" s="376">
        <f>IF(AD71&lt;AE71,1,0)</f>
        <v/>
      </c>
      <c r="DX71" s="376">
        <f>IF(AF71&lt;AG71,1,0)</f>
        <v/>
      </c>
      <c r="DY71" s="376">
        <f>IF(AH71&lt;AI71,1,0)</f>
        <v/>
      </c>
      <c r="DZ71" s="220" t="n"/>
      <c r="EA71" s="220" t="n"/>
      <c r="EB71" s="220" t="n"/>
      <c r="EC71" s="220" t="n"/>
    </row>
    <row r="72">
      <c r="A72" s="3119" t="inlineStr">
        <is>
          <t>Donantes de órganos y/o tejidos</t>
        </is>
      </c>
      <c r="B72" s="3103">
        <f>+D72+F72+H72+J72+L72+N72+P72+R72+T72+V72+X72+Z72+AB72+AD72+AF72+AH72+AJ72+AL72+AN72+AP72</f>
        <v/>
      </c>
      <c r="C72" s="1171">
        <f>+E72+G72+I72+K72+M72+O72+Q72+S72+U72+W72+Y72+AA72+AC72+AE72+AG72+AI72+AK72+AM72+AO72+AQ72</f>
        <v/>
      </c>
      <c r="D72" s="3100" t="n"/>
      <c r="E72" s="3107" t="n"/>
      <c r="F72" s="3108" t="n"/>
      <c r="G72" s="3107" t="n"/>
      <c r="H72" s="3108" t="n"/>
      <c r="I72" s="3101" t="n"/>
      <c r="J72" s="3100" t="n"/>
      <c r="K72" s="3100" t="n"/>
      <c r="L72" s="3108" t="n"/>
      <c r="M72" s="3101" t="n"/>
      <c r="N72" s="3100" t="n"/>
      <c r="O72" s="3107" t="n"/>
      <c r="P72" s="3108" t="n"/>
      <c r="Q72" s="3107" t="n"/>
      <c r="R72" s="3108" t="n"/>
      <c r="S72" s="3107" t="n"/>
      <c r="T72" s="3108" t="n"/>
      <c r="U72" s="3107" t="n"/>
      <c r="V72" s="3108" t="n"/>
      <c r="W72" s="3107" t="n"/>
      <c r="X72" s="3108" t="n"/>
      <c r="Y72" s="3107" t="n"/>
      <c r="Z72" s="3108" t="n"/>
      <c r="AA72" s="3107" t="n"/>
      <c r="AB72" s="3108" t="n"/>
      <c r="AC72" s="3107" t="n"/>
      <c r="AD72" s="3108" t="n"/>
      <c r="AE72" s="3107" t="n"/>
      <c r="AF72" s="3108" t="n"/>
      <c r="AG72" s="3107" t="n"/>
      <c r="AH72" s="3108" t="n"/>
      <c r="AI72" s="3107" t="n"/>
      <c r="AJ72" s="3108" t="n"/>
      <c r="AK72" s="3107" t="n"/>
      <c r="AL72" s="3108" t="n"/>
      <c r="AM72" s="3107" t="n"/>
      <c r="AN72" s="3108" t="n"/>
      <c r="AO72" s="3107" t="n"/>
      <c r="AP72" s="3108" t="n"/>
      <c r="AQ72" s="3098" t="n"/>
      <c r="AR72" s="3100" t="n"/>
      <c r="AS72" s="3098" t="n"/>
      <c r="AT72" s="3099" t="n"/>
      <c r="AU72" s="3098" t="n"/>
      <c r="AV72" s="3845" t="n"/>
      <c r="AW72" s="3656" t="n"/>
      <c r="AX72" s="218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>
        <f>IF(B72&lt;&gt;(AS72+AR72)," * La suma de las columnas "&amp;AR$10&amp;""&amp;" DEBE SER IGUAL a los Exámenes Procesados. ","")</f>
        <v/>
      </c>
      <c r="CB72" s="219">
        <f>IF(AND($B72&gt;0,AND(AT72="",AU72="")),"* No olvide ingresar las columnas Trans Masculino o Femenino (*Digite CERO si no tiene). ",IF((AT72+AU72)&gt;$B72,"* El Número de Trans Masculino o Femenino no puede superar el Total Procesados. ",""))</f>
        <v/>
      </c>
      <c r="CC72" s="219">
        <f>IF(AND($B72&gt;0,AV72=""),"* No olvide ingresar la columna "&amp;AV$10&amp;""&amp;" *(Digite CERO si no tiene). ",IF(AV72&gt;$B72," *El Número de "&amp;AV$10&amp;""&amp;" no puede superar el Total Procesados. ",""))</f>
        <v/>
      </c>
      <c r="CD72" s="219">
        <f>IF(AND($B72&gt;0,AW72=""),"* No olvide ingresar la columna "&amp;AW$10&amp;""&amp;" *(Digite CERO si no tiene). ",IF(AW72&gt;$B72," *El Número de "&amp;AW$10&amp;""&amp;" no puede superar el Total Procesados. ",""))</f>
        <v/>
      </c>
      <c r="CE72" s="219">
        <f>IF(D72&lt;E72,CONCATENATE("* El total de Procesados debe ser mayor o igual al total de Reactivos en el grupo de edad ",$D$11),"")</f>
        <v/>
      </c>
      <c r="CF72" s="219">
        <f>IF(F72&lt;G72,CONCATENATE("* El total de Procesados debe ser mayor o igual al total de Reactivos en el grupo de edad ",$F$11),"")</f>
        <v/>
      </c>
      <c r="CG72" s="219">
        <f>IF(H72&lt;I72,CONCATENATE("* El total de Procesados debe ser mayor o igual al total de Reactivos en el grupo de edad ",$H$11),"")</f>
        <v/>
      </c>
      <c r="CH72" s="219">
        <f>IF(J72&lt;K72,CONCATENATE("* El total de Procesados debe ser mayor o igual al total de Reactivos en el grupo de edad ",$J$11),"")</f>
        <v/>
      </c>
      <c r="CI72" s="219">
        <f>IF(L72&lt;M72,CONCATENATE("* El total de Procesados debe ser mayor o igual al total de Reactivos en el grupo de edad ",$L$11),"")</f>
        <v/>
      </c>
      <c r="CJ72" s="219">
        <f>IF(N72&lt;O72,CONCATENATE("* El total de Procesados debe ser mayor o igual al total de Reactivos en el grupo de edad ",$N$11),"")</f>
        <v/>
      </c>
      <c r="CK72" s="219">
        <f>IF(P72&lt;Q72,CONCATENATE("* El total de Procesados debe ser mayor o igual al total de Reactivos en el grupo de edad ",$P$11),"")</f>
        <v/>
      </c>
      <c r="CL72" s="219">
        <f>IF(R72&lt;S72,CONCATENATE("* El total de Procesados debe ser mayor o igual al total de Reactivos en el grupo de edad ",$R$11),"")</f>
        <v/>
      </c>
      <c r="CM72" s="219">
        <f>IF($T72&lt;$U72,CONCATENATE("* El total de Procesados debe ser mayor o igual al total de Reactivos en el grupo de edad ",$T$11),"")</f>
        <v/>
      </c>
      <c r="CN72" s="219">
        <f>IF(V72&lt;W72,CONCATENATE("* El total de Procesados debe ser mayor o igual al total de Reactivos en el grupo de edad ",$V$11),"")</f>
        <v/>
      </c>
      <c r="CO72" s="219">
        <f>IF(X72&lt;Y72,CONCATENATE("* El total de Procesados debe ser mayor o igual al total de Reactivos en el grupo de edad ",$X$11),"")</f>
        <v/>
      </c>
      <c r="CP72" s="219">
        <f>IF(Z72&lt;AA72,CONCATENATE("* El total de Procesados debe ser mayor o igual al total de Reactivos en el grupo de edad ",$Z$11),"")</f>
        <v/>
      </c>
      <c r="CQ72" s="219">
        <f>IF(AB72&lt;AC72,CONCATENATE("* El total de Procesados debe ser mayor o igual al total de Reactivos en el grupo de edad ",$AB$11),"")</f>
        <v/>
      </c>
      <c r="CR72" s="219">
        <f>IF(AD72&lt;AE72,CONCATENATE("* El total de Procesados debe ser mayor o igual al total de Reactivos en el grupo de edad ",$AD$11),"")</f>
        <v/>
      </c>
      <c r="CS72" s="219">
        <f>IF(AF72&lt;AG72,CONCATENATE("* El total de Procesados debe ser mayor o igual al total de Reactivos en el grupo de edad ",$AF$11),"")</f>
        <v/>
      </c>
      <c r="CT72" s="219">
        <f>IF(AH72&lt;AI72,CONCATENATE("* El total de Procesados debe ser mayor o igual al total de Reactivos en el grupo de edad ",$AH$11),"")</f>
        <v/>
      </c>
      <c r="CU72" s="219">
        <f>IF(AJ72&lt;AK72,CONCATENATE("* El total de Procesados debe ser mayor o igual al total de Reactivos en el grupo de edad ",$AJ$11),"")</f>
        <v/>
      </c>
      <c r="CV72" s="219">
        <f>IF(AL72&lt;AM72,CONCATENATE("* El total de Procesados debe ser mayor o igual al total de Reactivos en el grupo de edad ",$AL$11),"")</f>
        <v/>
      </c>
      <c r="CW72" s="219">
        <f>IF(AN72&lt;AO72,CONCATENATE("* El total de Procesados debe ser mayor o igual al total de Reactivos en el grupo de edad ",$AN$11),"")</f>
        <v/>
      </c>
      <c r="CX72" s="219">
        <f>IF(AP72&lt;AQ72,CONCATENATE("* El total de Procesados debe ser mayor o igual al total de Reactivos en el grupo de edad ",$AP$11),"")</f>
        <v/>
      </c>
      <c r="DE72" s="226" t="n"/>
      <c r="DF72" s="378">
        <f>IF(B72&lt;&gt;(AS72+AR72),1,0)</f>
        <v/>
      </c>
      <c r="DG72" s="376">
        <f>IF(AND($B72&gt;0,AND(AT72="",AU72="")),1,IF((AT72+AU72)&gt;$B72,1,0))</f>
        <v/>
      </c>
      <c r="DH72" s="376">
        <f>IF(AND($B72&gt;0,AV72=""),1,IF(AV72&gt;$B72,1,0))</f>
        <v/>
      </c>
      <c r="DI72" s="376">
        <f>IF(AND($B72&gt;0,AW72=""),1,IF(AW72&gt;$B72,1,0))</f>
        <v/>
      </c>
      <c r="DJ72" s="376">
        <f>IF(D72&lt;E72,1,0)</f>
        <v/>
      </c>
      <c r="DK72" s="376">
        <f>IF(F72&lt;G72,1,0)</f>
        <v/>
      </c>
      <c r="DL72" s="376">
        <f>IF(H72&lt;I72,1,0)</f>
        <v/>
      </c>
      <c r="DM72" s="376">
        <f>IF(J72&lt;K72,1,0)</f>
        <v/>
      </c>
      <c r="DN72" s="376">
        <f>IF(L72&lt;M72,1,0)</f>
        <v/>
      </c>
      <c r="DO72" s="376">
        <f>IF(N72&lt;O72,1,0)</f>
        <v/>
      </c>
      <c r="DP72" s="376">
        <f>IF(P72&lt;Q72,1,0)</f>
        <v/>
      </c>
      <c r="DQ72" s="376">
        <f>IF(R72&lt;S72,1,0)</f>
        <v/>
      </c>
      <c r="DR72" s="376">
        <f>IF($T72&lt;$U72,1,0)</f>
        <v/>
      </c>
      <c r="DS72" s="376">
        <f>IF(V72&lt;W72,1,0)</f>
        <v/>
      </c>
      <c r="DT72" s="376">
        <f>IF(X72&lt;Y72,1,0)</f>
        <v/>
      </c>
      <c r="DU72" s="376">
        <f>IF(Z72&lt;AA72,1,0)</f>
        <v/>
      </c>
      <c r="DV72" s="376">
        <f>IF(AB72&lt;AC72,1,0)</f>
        <v/>
      </c>
      <c r="DW72" s="376">
        <f>IF(AD72&lt;AE72,1,0)</f>
        <v/>
      </c>
      <c r="DX72" s="376">
        <f>IF(AF72&lt;AG72,1,0)</f>
        <v/>
      </c>
      <c r="DY72" s="376">
        <f>IF(AH72&lt;AI72,1,0)</f>
        <v/>
      </c>
      <c r="DZ72" s="376">
        <f>IF(AJ72&lt;AK72,1,0)</f>
        <v/>
      </c>
      <c r="EA72" s="376">
        <f>IF(AL72&lt;AM72,1,0)</f>
        <v/>
      </c>
      <c r="EB72" s="376">
        <f>IF(AN72&lt;AO72,1,0)</f>
        <v/>
      </c>
      <c r="EC72" s="376">
        <f>IF(AP72&lt;AQ72,1,0)</f>
        <v/>
      </c>
    </row>
    <row r="73">
      <c r="A73" s="3119" t="inlineStr">
        <is>
          <t>Pacientes en diálisis</t>
        </is>
      </c>
      <c r="B73" s="3103">
        <f>+D73+F73+H73+J73+L73+N73+P73+R73+T73+V73+X73+Z73+AB73+AD73+AF73+AH73+AJ73+AL73+AN73+AP73</f>
        <v/>
      </c>
      <c r="C73" s="1171">
        <f>+E73+G73+I73+K73+M73+O73+Q73+S73+U73+W73+Y73+AA73+AC73+AE73+AG73+AI73+AK73+AM73+AO73+AQ73</f>
        <v/>
      </c>
      <c r="D73" s="3100" t="n"/>
      <c r="E73" s="3107" t="n"/>
      <c r="F73" s="3108" t="n"/>
      <c r="G73" s="3107" t="n"/>
      <c r="H73" s="3108" t="n"/>
      <c r="I73" s="3101" t="n"/>
      <c r="J73" s="3100" t="n"/>
      <c r="K73" s="3100" t="n"/>
      <c r="L73" s="3108" t="n"/>
      <c r="M73" s="3101" t="n"/>
      <c r="N73" s="3100" t="n"/>
      <c r="O73" s="3107" t="n"/>
      <c r="P73" s="3108" t="n"/>
      <c r="Q73" s="3107" t="n"/>
      <c r="R73" s="3108" t="n"/>
      <c r="S73" s="3107" t="n"/>
      <c r="T73" s="3108" t="n"/>
      <c r="U73" s="3107" t="n"/>
      <c r="V73" s="3108" t="n"/>
      <c r="W73" s="3107" t="n"/>
      <c r="X73" s="3108" t="n"/>
      <c r="Y73" s="3107" t="n"/>
      <c r="Z73" s="3108" t="n"/>
      <c r="AA73" s="3107" t="n"/>
      <c r="AB73" s="3108" t="n"/>
      <c r="AC73" s="3107" t="n"/>
      <c r="AD73" s="3108" t="n"/>
      <c r="AE73" s="3107" t="n"/>
      <c r="AF73" s="3108" t="n"/>
      <c r="AG73" s="3107" t="n"/>
      <c r="AH73" s="3108" t="n"/>
      <c r="AI73" s="3107" t="n"/>
      <c r="AJ73" s="3108" t="n"/>
      <c r="AK73" s="3107" t="n"/>
      <c r="AL73" s="3108" t="n"/>
      <c r="AM73" s="3107" t="n"/>
      <c r="AN73" s="3108" t="n"/>
      <c r="AO73" s="3107" t="n"/>
      <c r="AP73" s="3108" t="n"/>
      <c r="AQ73" s="3098" t="n"/>
      <c r="AR73" s="3100" t="n"/>
      <c r="AS73" s="3098" t="n"/>
      <c r="AT73" s="3099" t="n"/>
      <c r="AU73" s="3098" t="n"/>
      <c r="AV73" s="3845" t="n"/>
      <c r="AW73" s="3656" t="n"/>
      <c r="AX73" s="218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>
        <f>IF(B73&lt;&gt;(AS73+AR73)," * La suma de las columnas "&amp;AR$10&amp;""&amp;" DEBE SER IGUAL a los Exámenes Procesados. ","")</f>
        <v/>
      </c>
      <c r="CB73" s="219">
        <f>IF(AND($B73&gt;0,AND(AT73="",AU73="")),"* No olvide ingresar las columnas Trans Masculino o Femenino (*Digite CERO si no tiene). ",IF((AT73+AU73)&gt;$B73,"* El Número de Trans Masculino o Femenino no puede superar el Total Procesados. ",""))</f>
        <v/>
      </c>
      <c r="CC73" s="219">
        <f>IF(AND($B73&gt;0,AV73=""),"* No olvide ingresar la columna "&amp;AV$10&amp;""&amp;" *(Digite CERO si no tiene). ",IF(AV73&gt;$B73," *El Número de "&amp;AV$10&amp;""&amp;" no puede superar el Total Procesados. ",""))</f>
        <v/>
      </c>
      <c r="CD73" s="219">
        <f>IF(AND($B73&gt;0,AW73=""),"* No olvide ingresar la columna "&amp;AW$10&amp;""&amp;" *(Digite CERO si no tiene). ",IF(AW73&gt;$B73," *El Número de "&amp;AW$10&amp;""&amp;" no puede superar el Total Procesados. ",""))</f>
        <v/>
      </c>
      <c r="CE73" s="219">
        <f>IF(D73&lt;E73,CONCATENATE("* El total de Procesados debe ser mayor o igual al total de Reactivos en el grupo de edad ",$D$11),"")</f>
        <v/>
      </c>
      <c r="CF73" s="219">
        <f>IF(F73&lt;G73,CONCATENATE("* El total de Procesados debe ser mayor o igual al total de Reactivos en el grupo de edad ",$F$11),"")</f>
        <v/>
      </c>
      <c r="CG73" s="219">
        <f>IF(H73&lt;I73,CONCATENATE("* El total de Procesados debe ser mayor o igual al total de Reactivos en el grupo de edad ",$H$11),"")</f>
        <v/>
      </c>
      <c r="CH73" s="219">
        <f>IF(J73&lt;K73,CONCATENATE("* El total de Procesados debe ser mayor o igual al total de Reactivos en el grupo de edad ",$J$11),"")</f>
        <v/>
      </c>
      <c r="CI73" s="219">
        <f>IF(L73&lt;M73,CONCATENATE("* El total de Procesados debe ser mayor o igual al total de Reactivos en el grupo de edad ",$L$11),"")</f>
        <v/>
      </c>
      <c r="CJ73" s="219">
        <f>IF(N73&lt;O73,CONCATENATE("* El total de Procesados debe ser mayor o igual al total de Reactivos en el grupo de edad ",$N$11),"")</f>
        <v/>
      </c>
      <c r="CK73" s="219">
        <f>IF(P73&lt;Q73,CONCATENATE("* El total de Procesados debe ser mayor o igual al total de Reactivos en el grupo de edad ",$P$11),"")</f>
        <v/>
      </c>
      <c r="CL73" s="219">
        <f>IF(R73&lt;S73,CONCATENATE("* El total de Procesados debe ser mayor o igual al total de Reactivos en el grupo de edad ",$R$11),"")</f>
        <v/>
      </c>
      <c r="CM73" s="219">
        <f>IF($T73&lt;$U73,CONCATENATE("* El total de Procesados debe ser mayor o igual al total de Reactivos en el grupo de edad ",$T$11),"")</f>
        <v/>
      </c>
      <c r="CN73" s="219">
        <f>IF(V73&lt;W73,CONCATENATE("* El total de Procesados debe ser mayor o igual al total de Reactivos en el grupo de edad ",$V$11),"")</f>
        <v/>
      </c>
      <c r="CO73" s="219">
        <f>IF(X73&lt;Y73,CONCATENATE("* El total de Procesados debe ser mayor o igual al total de Reactivos en el grupo de edad ",$X$11),"")</f>
        <v/>
      </c>
      <c r="CP73" s="219">
        <f>IF(Z73&lt;AA73,CONCATENATE("* El total de Procesados debe ser mayor o igual al total de Reactivos en el grupo de edad ",$Z$11),"")</f>
        <v/>
      </c>
      <c r="CQ73" s="219">
        <f>IF(AB73&lt;AC73,CONCATENATE("* El total de Procesados debe ser mayor o igual al total de Reactivos en el grupo de edad ",$AB$11),"")</f>
        <v/>
      </c>
      <c r="CR73" s="219">
        <f>IF(AD73&lt;AE73,CONCATENATE("* El total de Procesados debe ser mayor o igual al total de Reactivos en el grupo de edad ",$AD$11),"")</f>
        <v/>
      </c>
      <c r="CS73" s="219">
        <f>IF(AF73&lt;AG73,CONCATENATE("* El total de Procesados debe ser mayor o igual al total de Reactivos en el grupo de edad ",$AF$11),"")</f>
        <v/>
      </c>
      <c r="CT73" s="219">
        <f>IF(AH73&lt;AI73,CONCATENATE("* El total de Procesados debe ser mayor o igual al total de Reactivos en el grupo de edad ",$AH$11),"")</f>
        <v/>
      </c>
      <c r="CU73" s="219">
        <f>IF(AJ73&lt;AK73,CONCATENATE("* El total de Procesados debe ser mayor o igual al total de Reactivos en el grupo de edad ",$AJ$11),"")</f>
        <v/>
      </c>
      <c r="CV73" s="219">
        <f>IF(AL73&lt;AM73,CONCATENATE("* El total de Procesados debe ser mayor o igual al total de Reactivos en el grupo de edad ",$AL$11),"")</f>
        <v/>
      </c>
      <c r="CW73" s="219">
        <f>IF(AN73&lt;AO73,CONCATENATE("* El total de Procesados debe ser mayor o igual al total de Reactivos en el grupo de edad ",$AN$11),"")</f>
        <v/>
      </c>
      <c r="CX73" s="219">
        <f>IF(AP73&lt;AQ73,CONCATENATE("* El total de Procesados debe ser mayor o igual al total de Reactivos en el grupo de edad ",$AP$11),"")</f>
        <v/>
      </c>
      <c r="DE73" s="226" t="n"/>
      <c r="DF73" s="378">
        <f>IF(B73&lt;&gt;(AS73+AR73),1,0)</f>
        <v/>
      </c>
      <c r="DG73" s="376">
        <f>IF(AND($B73&gt;0,AND(AT73="",AU73="")),1,IF((AT73+AU73)&gt;$B73,1,0))</f>
        <v/>
      </c>
      <c r="DH73" s="376">
        <f>IF(AND($B73&gt;0,AV73=""),1,IF(AV73&gt;$B73,1,0))</f>
        <v/>
      </c>
      <c r="DI73" s="376">
        <f>IF(AND($B73&gt;0,AW73=""),1,IF(AW73&gt;$B73,1,0))</f>
        <v/>
      </c>
      <c r="DJ73" s="376">
        <f>IF(D73&lt;E73,1,0)</f>
        <v/>
      </c>
      <c r="DK73" s="376">
        <f>IF(F73&lt;G73,1,0)</f>
        <v/>
      </c>
      <c r="DL73" s="376">
        <f>IF(H73&lt;I73,1,0)</f>
        <v/>
      </c>
      <c r="DM73" s="376">
        <f>IF(J73&lt;K73,1,0)</f>
        <v/>
      </c>
      <c r="DN73" s="376">
        <f>IF(L73&lt;M73,1,0)</f>
        <v/>
      </c>
      <c r="DO73" s="376">
        <f>IF(N73&lt;O73,1,0)</f>
        <v/>
      </c>
      <c r="DP73" s="376">
        <f>IF(P73&lt;Q73,1,0)</f>
        <v/>
      </c>
      <c r="DQ73" s="376">
        <f>IF(R73&lt;S73,1,0)</f>
        <v/>
      </c>
      <c r="DR73" s="376">
        <f>IF($T73&lt;$U73,1,0)</f>
        <v/>
      </c>
      <c r="DS73" s="376">
        <f>IF(V73&lt;W73,1,0)</f>
        <v/>
      </c>
      <c r="DT73" s="376">
        <f>IF(X73&lt;Y73,1,0)</f>
        <v/>
      </c>
      <c r="DU73" s="376">
        <f>IF(Z73&lt;AA73,1,0)</f>
        <v/>
      </c>
      <c r="DV73" s="376">
        <f>IF(AB73&lt;AC73,1,0)</f>
        <v/>
      </c>
      <c r="DW73" s="376">
        <f>IF(AD73&lt;AE73,1,0)</f>
        <v/>
      </c>
      <c r="DX73" s="376">
        <f>IF(AF73&lt;AG73,1,0)</f>
        <v/>
      </c>
      <c r="DY73" s="376">
        <f>IF(AH73&lt;AI73,1,0)</f>
        <v/>
      </c>
      <c r="DZ73" s="376">
        <f>IF(AJ73&lt;AK73,1,0)</f>
        <v/>
      </c>
      <c r="EA73" s="376">
        <f>IF(AL73&lt;AM73,1,0)</f>
        <v/>
      </c>
      <c r="EB73" s="376">
        <f>IF(AN73&lt;AO73,1,0)</f>
        <v/>
      </c>
      <c r="EC73" s="376">
        <f>IF(AP73&lt;AQ73,1,0)</f>
        <v/>
      </c>
    </row>
    <row r="74">
      <c r="A74" s="8771" t="inlineStr">
        <is>
          <t>Víctima de violencia sexual</t>
        </is>
      </c>
      <c r="B74" s="2576">
        <f>+D74+F74+H74+J74+L74+N74+P74+R74+T74+V74+X74+Z74+AB74+AD74+AF74+AH74+AJ74+AL74+AN74+AP74</f>
        <v/>
      </c>
      <c r="C74" s="2464">
        <f>+E74+G74+I74+K74+M74+O74+Q74+S74+U74+W74+Y74+AA74+AC74+AE74+AG74+AI74+AK74+AM74+AO74+AQ74</f>
        <v/>
      </c>
      <c r="D74" s="1140" t="n"/>
      <c r="E74" s="1153" t="n"/>
      <c r="F74" s="1137" t="n"/>
      <c r="G74" s="1153" t="n"/>
      <c r="H74" s="1137" t="n"/>
      <c r="I74" s="1139" t="n"/>
      <c r="J74" s="1140" t="n"/>
      <c r="K74" s="1140" t="n"/>
      <c r="L74" s="1137" t="n"/>
      <c r="M74" s="1139" t="n"/>
      <c r="N74" s="1140" t="n"/>
      <c r="O74" s="1153" t="n"/>
      <c r="P74" s="1137" t="n"/>
      <c r="Q74" s="1153" t="n"/>
      <c r="R74" s="1137" t="n"/>
      <c r="S74" s="1153" t="n"/>
      <c r="T74" s="1137" t="n"/>
      <c r="U74" s="1153" t="n"/>
      <c r="V74" s="1137" t="n"/>
      <c r="W74" s="1153" t="n"/>
      <c r="X74" s="1137" t="n"/>
      <c r="Y74" s="1153" t="n"/>
      <c r="Z74" s="1137" t="n"/>
      <c r="AA74" s="1153" t="n"/>
      <c r="AB74" s="1137" t="n"/>
      <c r="AC74" s="1153" t="n"/>
      <c r="AD74" s="1137" t="n"/>
      <c r="AE74" s="1153" t="n"/>
      <c r="AF74" s="1137" t="n"/>
      <c r="AG74" s="1153" t="n"/>
      <c r="AH74" s="1137" t="n"/>
      <c r="AI74" s="1153" t="n"/>
      <c r="AJ74" s="1137" t="n"/>
      <c r="AK74" s="1153" t="n"/>
      <c r="AL74" s="1137" t="n"/>
      <c r="AM74" s="1153" t="n"/>
      <c r="AN74" s="1137" t="n"/>
      <c r="AO74" s="1153" t="n"/>
      <c r="AP74" s="1137" t="n"/>
      <c r="AQ74" s="1143" t="n"/>
      <c r="AR74" s="1140" t="n"/>
      <c r="AS74" s="1143" t="n"/>
      <c r="AT74" s="1152" t="n"/>
      <c r="AU74" s="1143" t="n"/>
      <c r="AV74" s="3847" t="n"/>
      <c r="AW74" s="1138" t="n"/>
      <c r="AX74" s="218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>
        <f>IF(B74&lt;&gt;(AS74+AR74)," * La suma de las columnas "&amp;AR$10&amp;""&amp;" DEBE SER IGUAL a los Exámenes Procesados. ","")</f>
        <v/>
      </c>
      <c r="CB74" s="219">
        <f>IF(AND($B74&gt;0,AND(AT74="",AU74="")),"* No olvide ingresar las columnas Trans Masculino o Femenino (*Digite CERO si no tiene). ",IF((AT74+AU74)&gt;$B74,"* El Número de Trans Masculino o Femenino no puede superar el Total Procesados. ",""))</f>
        <v/>
      </c>
      <c r="CC74" s="219">
        <f>IF(AND($B74&gt;0,AV74=""),"* No olvide ingresar la columna "&amp;AV$10&amp;""&amp;" *(Digite CERO si no tiene). ",IF(AV74&gt;$B74," *El Número de "&amp;AV$10&amp;""&amp;" no puede superar el Total Procesados. ",""))</f>
        <v/>
      </c>
      <c r="CD74" s="219">
        <f>IF(AND($B74&gt;0,AW74=""),"* No olvide ingresar la columna "&amp;AW$10&amp;""&amp;" *(Digite CERO si no tiene). ",IF(AW74&gt;$B74," *El Número de "&amp;AW$10&amp;""&amp;" no puede superar el Total Procesados. ",""))</f>
        <v/>
      </c>
      <c r="CE74" s="219">
        <f>IF(D74&lt;E74,CONCATENATE("* El total de Procesados debe ser mayor o igual al total de Reactivos en el grupo de edad ",$D$11),"")</f>
        <v/>
      </c>
      <c r="CF74" s="219">
        <f>IF(F74&lt;G74,CONCATENATE("* El total de Procesados debe ser mayor o igual al total de Reactivos en el grupo de edad ",$F$11),"")</f>
        <v/>
      </c>
      <c r="CG74" s="219">
        <f>IF(H74&lt;I74,CONCATENATE("* El total de Procesados debe ser mayor o igual al total de Reactivos en el grupo de edad ",$H$11),"")</f>
        <v/>
      </c>
      <c r="CH74" s="219">
        <f>IF(J74&lt;K74,CONCATENATE("* El total de Procesados debe ser mayor o igual al total de Reactivos en el grupo de edad ",$J$11),"")</f>
        <v/>
      </c>
      <c r="CI74" s="219">
        <f>IF(L74&lt;M74,CONCATENATE("* El total de Procesados debe ser mayor o igual al total de Reactivos en el grupo de edad ",$L$11),"")</f>
        <v/>
      </c>
      <c r="CJ74" s="219">
        <f>IF(N74&lt;O74,CONCATENATE("* El total de Procesados debe ser mayor o igual al total de Reactivos en el grupo de edad ",$N$11),"")</f>
        <v/>
      </c>
      <c r="CK74" s="219">
        <f>IF(P74&lt;Q74,CONCATENATE("* El total de Procesados debe ser mayor o igual al total de Reactivos en el grupo de edad ",$P$11),"")</f>
        <v/>
      </c>
      <c r="CL74" s="219">
        <f>IF(R74&lt;S74,CONCATENATE("* El total de Procesados debe ser mayor o igual al total de Reactivos en el grupo de edad ",$R$11),"")</f>
        <v/>
      </c>
      <c r="CM74" s="219">
        <f>IF($T74&lt;$U74,CONCATENATE("* El total de Procesados debe ser mayor o igual al total de Reactivos en el grupo de edad ",$T$11),"")</f>
        <v/>
      </c>
      <c r="CN74" s="219">
        <f>IF(V74&lt;W74,CONCATENATE("* El total de Procesados debe ser mayor o igual al total de Reactivos en el grupo de edad ",$V$11),"")</f>
        <v/>
      </c>
      <c r="CO74" s="219">
        <f>IF(X74&lt;Y74,CONCATENATE("* El total de Procesados debe ser mayor o igual al total de Reactivos en el grupo de edad ",$X$11),"")</f>
        <v/>
      </c>
      <c r="CP74" s="219">
        <f>IF(Z74&lt;AA74,CONCATENATE("* El total de Procesados debe ser mayor o igual al total de Reactivos en el grupo de edad ",$Z$11),"")</f>
        <v/>
      </c>
      <c r="CQ74" s="219">
        <f>IF(AB74&lt;AC74,CONCATENATE("* El total de Procesados debe ser mayor o igual al total de Reactivos en el grupo de edad ",$AB$11),"")</f>
        <v/>
      </c>
      <c r="CR74" s="219">
        <f>IF(AD74&lt;AE74,CONCATENATE("* El total de Procesados debe ser mayor o igual al total de Reactivos en el grupo de edad ",$AD$11),"")</f>
        <v/>
      </c>
      <c r="CS74" s="219">
        <f>IF(AF74&lt;AG74,CONCATENATE("* El total de Procesados debe ser mayor o igual al total de Reactivos en el grupo de edad ",$AF$11),"")</f>
        <v/>
      </c>
      <c r="CT74" s="219">
        <f>IF(AH74&lt;AI74,CONCATENATE("* El total de Procesados debe ser mayor o igual al total de Reactivos en el grupo de edad ",$AH$11),"")</f>
        <v/>
      </c>
      <c r="CU74" s="219">
        <f>IF(AJ74&lt;AK74,CONCATENATE("* El total de Procesados debe ser mayor o igual al total de Reactivos en el grupo de edad ",$AJ$11),"")</f>
        <v/>
      </c>
      <c r="CV74" s="219">
        <f>IF(AL74&lt;AM74,CONCATENATE("* El total de Procesados debe ser mayor o igual al total de Reactivos en el grupo de edad ",$AL$11),"")</f>
        <v/>
      </c>
      <c r="CW74" s="219">
        <f>IF(AN74&lt;AO74,CONCATENATE("* El total de Procesados debe ser mayor o igual al total de Reactivos en el grupo de edad ",$AN$11),"")</f>
        <v/>
      </c>
      <c r="CX74" s="219">
        <f>IF(AP74&lt;AQ74,CONCATENATE("* El total de Procesados debe ser mayor o igual al total de Reactivos en el grupo de edad ",$AP$11),"")</f>
        <v/>
      </c>
      <c r="DE74" s="226" t="n"/>
      <c r="DF74" s="378">
        <f>IF(B74&lt;&gt;(AS74+AR74),1,0)</f>
        <v/>
      </c>
      <c r="DG74" s="376">
        <f>IF(AND($B74&gt;0,AND(AT74="",AU74="")),1,IF((AT74+AU74)&gt;$B74,1,0))</f>
        <v/>
      </c>
      <c r="DH74" s="376">
        <f>IF(AND($B74&gt;0,AV74=""),1,IF(AV74&gt;$B74,1,0))</f>
        <v/>
      </c>
      <c r="DI74" s="376">
        <f>IF(AND($B74&gt;0,AW74=""),1,IF(AW74&gt;$B74,1,0))</f>
        <v/>
      </c>
      <c r="DJ74" s="376">
        <f>IF(D74&lt;E74,1,0)</f>
        <v/>
      </c>
      <c r="DK74" s="376">
        <f>IF(F74&lt;G74,1,0)</f>
        <v/>
      </c>
      <c r="DL74" s="376">
        <f>IF(H74&lt;I74,1,0)</f>
        <v/>
      </c>
      <c r="DM74" s="376">
        <f>IF(J74&lt;K74,1,0)</f>
        <v/>
      </c>
      <c r="DN74" s="376">
        <f>IF(L74&lt;M74,1,0)</f>
        <v/>
      </c>
      <c r="DO74" s="376">
        <f>IF(N74&lt;O74,1,0)</f>
        <v/>
      </c>
      <c r="DP74" s="376">
        <f>IF(P74&lt;Q74,1,0)</f>
        <v/>
      </c>
      <c r="DQ74" s="376">
        <f>IF(R74&lt;S74,1,0)</f>
        <v/>
      </c>
      <c r="DR74" s="376">
        <f>IF($T74&lt;$U74,1,0)</f>
        <v/>
      </c>
      <c r="DS74" s="376">
        <f>IF(V74&lt;W74,1,0)</f>
        <v/>
      </c>
      <c r="DT74" s="376">
        <f>IF(X74&lt;Y74,1,0)</f>
        <v/>
      </c>
      <c r="DU74" s="376">
        <f>IF(Z74&lt;AA74,1,0)</f>
        <v/>
      </c>
      <c r="DV74" s="376">
        <f>IF(AB74&lt;AC74,1,0)</f>
        <v/>
      </c>
      <c r="DW74" s="376">
        <f>IF(AD74&lt;AE74,1,0)</f>
        <v/>
      </c>
      <c r="DX74" s="376">
        <f>IF(AF74&lt;AG74,1,0)</f>
        <v/>
      </c>
      <c r="DY74" s="376">
        <f>IF(AH74&lt;AI74,1,0)</f>
        <v/>
      </c>
      <c r="DZ74" s="376">
        <f>IF(AJ74&lt;AK74,1,0)</f>
        <v/>
      </c>
      <c r="EA74" s="376">
        <f>IF(AL74&lt;AM74,1,0)</f>
        <v/>
      </c>
      <c r="EB74" s="376">
        <f>IF(AN74&lt;AO74,1,0)</f>
        <v/>
      </c>
      <c r="EC74" s="376">
        <f>IF(AP74&lt;AQ74,1,0)</f>
        <v/>
      </c>
    </row>
    <row r="75" ht="18" customHeight="1" s="8286">
      <c r="A75" s="3116" t="inlineStr">
        <is>
          <t>SECCIÓN A.4: EXAMEN RPR POR GRUPO DE USUARIOS (USO EXCLUSIVO DE ESTABLECIMIENTOS QUE COMPRAN SERVICIO)</t>
        </is>
      </c>
      <c r="B75" s="3116" t="n"/>
      <c r="C75" s="3116" t="n"/>
      <c r="D75" s="3116" t="n"/>
      <c r="E75" s="3116" t="n"/>
      <c r="F75" s="3116" t="n"/>
      <c r="G75" s="3116" t="n"/>
      <c r="H75" s="3116" t="n"/>
      <c r="I75" s="3116" t="n"/>
      <c r="J75" s="3116" t="n"/>
      <c r="K75" s="3116" t="n"/>
      <c r="L75" s="3116" t="n"/>
      <c r="M75" s="3116" t="n"/>
      <c r="N75" s="3116" t="n"/>
      <c r="O75" s="3116" t="n"/>
      <c r="P75" s="3116" t="n"/>
      <c r="Q75" s="3116" t="n"/>
      <c r="R75" s="3116" t="n"/>
      <c r="S75" s="3116" t="n"/>
      <c r="T75" s="3116" t="n"/>
      <c r="U75" s="3116" t="n"/>
      <c r="V75" s="3116" t="n"/>
      <c r="W75" s="3116" t="n"/>
      <c r="X75" s="3116" t="n"/>
      <c r="Y75" s="3116" t="n"/>
      <c r="Z75" s="3116" t="n"/>
      <c r="AA75" s="3116" t="n"/>
      <c r="AB75" s="3116" t="n"/>
      <c r="AC75" s="3116" t="n"/>
      <c r="AD75" s="3116" t="n"/>
      <c r="AE75" s="3116" t="n"/>
      <c r="AF75" s="3116" t="n"/>
      <c r="AG75" s="3116" t="n"/>
      <c r="AH75" s="3116" t="n"/>
      <c r="AI75" s="3116" t="n"/>
      <c r="AJ75" s="3116" t="n"/>
      <c r="AK75" s="3116" t="n"/>
      <c r="AL75" s="3116" t="n"/>
      <c r="AM75" s="3116" t="n"/>
      <c r="AN75" s="3116" t="n"/>
      <c r="AO75" s="3116" t="n"/>
      <c r="AP75" s="3116" t="n"/>
      <c r="AQ75" s="3116" t="n"/>
      <c r="AR75" s="227" t="n"/>
      <c r="AS75" s="227" t="n"/>
      <c r="AT75" s="227" t="n"/>
      <c r="AU75" s="227" t="n"/>
      <c r="AV75" s="227" t="n"/>
      <c r="AW75" s="227" t="n"/>
    </row>
    <row r="76">
      <c r="A76" s="9690" t="inlineStr">
        <is>
          <t>GRUPO DE PESQUISA</t>
        </is>
      </c>
      <c r="B76" s="10199" t="inlineStr">
        <is>
          <t>TOTAL</t>
        </is>
      </c>
      <c r="C76" s="9630" t="n"/>
      <c r="D76" s="9915" t="inlineStr">
        <is>
          <t>RANGO ETARIO</t>
        </is>
      </c>
      <c r="E76" s="9584" t="n"/>
      <c r="F76" s="9584" t="n"/>
      <c r="G76" s="9584" t="n"/>
      <c r="H76" s="9584" t="n"/>
      <c r="I76" s="9584" t="n"/>
      <c r="J76" s="9584" t="n"/>
      <c r="K76" s="9584" t="n"/>
      <c r="L76" s="9584" t="n"/>
      <c r="M76" s="9584" t="n"/>
      <c r="N76" s="9584" t="n"/>
      <c r="O76" s="9584" t="n"/>
      <c r="P76" s="9584" t="n"/>
      <c r="Q76" s="9584" t="n"/>
      <c r="R76" s="9584" t="n"/>
      <c r="S76" s="9584" t="n"/>
      <c r="T76" s="9584" t="n"/>
      <c r="U76" s="9584" t="n"/>
      <c r="V76" s="9584" t="n"/>
      <c r="W76" s="9584" t="n"/>
      <c r="X76" s="9584" t="n"/>
      <c r="Y76" s="9584" t="n"/>
      <c r="Z76" s="9584" t="n"/>
      <c r="AA76" s="9584" t="n"/>
      <c r="AB76" s="9584" t="n"/>
      <c r="AC76" s="9584" t="n"/>
      <c r="AD76" s="9584" t="n"/>
      <c r="AE76" s="9584" t="n"/>
      <c r="AF76" s="9584" t="n"/>
      <c r="AG76" s="9584" t="n"/>
      <c r="AH76" s="9584" t="n"/>
      <c r="AI76" s="9584" t="n"/>
      <c r="AJ76" s="9584" t="n"/>
      <c r="AK76" s="9584" t="n"/>
      <c r="AL76" s="9584" t="n"/>
      <c r="AM76" s="9584" t="n"/>
      <c r="AN76" s="9584" t="n"/>
      <c r="AO76" s="9584" t="n"/>
      <c r="AP76" s="9584" t="n"/>
      <c r="AQ76" s="9595" t="n"/>
      <c r="AR76" s="9982" t="inlineStr">
        <is>
          <t>POR SEXO (Procesados)</t>
        </is>
      </c>
      <c r="AS76" s="10211" t="n"/>
      <c r="AT76" s="10295" t="inlineStr">
        <is>
          <t>TRANS</t>
        </is>
      </c>
      <c r="AU76" s="9886" t="n"/>
      <c r="AV76" s="10296" t="inlineStr">
        <is>
          <t>Pueblos Originarios</t>
        </is>
      </c>
      <c r="AW76" s="9975" t="inlineStr">
        <is>
          <t>Migrantes</t>
        </is>
      </c>
    </row>
    <row r="77">
      <c r="A77" s="9588" t="n"/>
      <c r="B77" s="9697" t="n"/>
      <c r="C77" s="9639" t="n"/>
      <c r="D77" s="10006" t="inlineStr">
        <is>
          <t>Menos de 6 meses</t>
        </is>
      </c>
      <c r="E77" s="9584" t="n"/>
      <c r="F77" s="10006" t="inlineStr">
        <is>
          <t>6 - 11 meses</t>
        </is>
      </c>
      <c r="G77" s="9584" t="n"/>
      <c r="H77" s="8400" t="inlineStr">
        <is>
          <t>12-24 meses</t>
        </is>
      </c>
      <c r="I77" s="9582" t="n"/>
      <c r="J77" s="5448" t="inlineStr">
        <is>
          <t>3 - 4 años</t>
        </is>
      </c>
      <c r="K77" s="10190" t="n"/>
      <c r="L77" s="10006" t="inlineStr">
        <is>
          <t>5 - 9 años</t>
        </is>
      </c>
      <c r="M77" s="9584" t="n"/>
      <c r="N77" s="10006" t="inlineStr">
        <is>
          <t>10 - 14 años</t>
        </is>
      </c>
      <c r="O77" s="9584" t="n"/>
      <c r="P77" s="10006" t="inlineStr">
        <is>
          <t>15 - 19 años</t>
        </is>
      </c>
      <c r="Q77" s="9584" t="n"/>
      <c r="R77" s="10006" t="inlineStr">
        <is>
          <t>20 - 24 años</t>
        </is>
      </c>
      <c r="S77" s="9584" t="n"/>
      <c r="T77" s="8400" t="inlineStr">
        <is>
          <t>25 - 29 años</t>
        </is>
      </c>
      <c r="U77" s="9582" t="n"/>
      <c r="V77" s="8400" t="inlineStr">
        <is>
          <t>30 - 34 años</t>
        </is>
      </c>
      <c r="W77" s="9582" t="n"/>
      <c r="X77" s="8400" t="inlineStr">
        <is>
          <t>35 - 39 años</t>
        </is>
      </c>
      <c r="Y77" s="9582" t="n"/>
      <c r="Z77" s="8400" t="inlineStr">
        <is>
          <t>40 - 44 años</t>
        </is>
      </c>
      <c r="AA77" s="9582" t="n"/>
      <c r="AB77" s="8400" t="inlineStr">
        <is>
          <t>45 - 49 años</t>
        </is>
      </c>
      <c r="AC77" s="9582" t="n"/>
      <c r="AD77" s="8400" t="inlineStr">
        <is>
          <t>50 - 54 años</t>
        </is>
      </c>
      <c r="AE77" s="9582" t="n"/>
      <c r="AF77" s="8400" t="inlineStr">
        <is>
          <t>55 - 59 años</t>
        </is>
      </c>
      <c r="AG77" s="9582" t="n"/>
      <c r="AH77" s="8400" t="inlineStr">
        <is>
          <t>60 - 64 años</t>
        </is>
      </c>
      <c r="AI77" s="9582" t="n"/>
      <c r="AJ77" s="8400" t="inlineStr">
        <is>
          <t>65 - 69 años</t>
        </is>
      </c>
      <c r="AK77" s="9582" t="n"/>
      <c r="AL77" s="8400" t="inlineStr">
        <is>
          <t>70 - 74 años</t>
        </is>
      </c>
      <c r="AM77" s="9582" t="n"/>
      <c r="AN77" s="8400" t="inlineStr">
        <is>
          <t>75 - 79 años</t>
        </is>
      </c>
      <c r="AO77" s="9582" t="n"/>
      <c r="AP77" s="9976" t="inlineStr">
        <is>
          <t>80 y más años</t>
        </is>
      </c>
      <c r="AQ77" s="9595" t="n"/>
      <c r="AR77" s="10002" t="inlineStr">
        <is>
          <t>Hombres</t>
        </is>
      </c>
      <c r="AS77" s="9925" t="inlineStr">
        <is>
          <t>Mujeres</t>
        </is>
      </c>
      <c r="AT77" s="9890" t="n"/>
      <c r="AU77" s="9865" t="n"/>
      <c r="AV77" s="10169" t="n"/>
      <c r="AW77" s="9625" t="n"/>
    </row>
    <row r="78">
      <c r="A78" s="9589" t="n"/>
      <c r="B78" s="3091" t="inlineStr">
        <is>
          <t>Procesados</t>
        </is>
      </c>
      <c r="C78" s="3090" t="inlineStr">
        <is>
          <t>Reactivos</t>
        </is>
      </c>
      <c r="D78" s="3088" t="inlineStr">
        <is>
          <t>Procesados</t>
        </is>
      </c>
      <c r="E78" s="3089" t="inlineStr">
        <is>
          <t>Reactivos</t>
        </is>
      </c>
      <c r="F78" s="3088" t="inlineStr">
        <is>
          <t>Procesados</t>
        </is>
      </c>
      <c r="G78" s="3089" t="inlineStr">
        <is>
          <t>Reactivos</t>
        </is>
      </c>
      <c r="H78" s="3088" t="inlineStr">
        <is>
          <t>Procesados</t>
        </is>
      </c>
      <c r="I78" s="3090" t="inlineStr">
        <is>
          <t>Reactivos</t>
        </is>
      </c>
      <c r="J78" s="3091" t="inlineStr">
        <is>
          <t>Procesados</t>
        </is>
      </c>
      <c r="K78" s="3089" t="inlineStr">
        <is>
          <t>Reactivos</t>
        </is>
      </c>
      <c r="L78" s="3088" t="inlineStr">
        <is>
          <t>Procesados</t>
        </is>
      </c>
      <c r="M78" s="3089" t="inlineStr">
        <is>
          <t>Reactivos</t>
        </is>
      </c>
      <c r="N78" s="3088" t="inlineStr">
        <is>
          <t>Procesados</t>
        </is>
      </c>
      <c r="O78" s="3089" t="inlineStr">
        <is>
          <t>Reactivos</t>
        </is>
      </c>
      <c r="P78" s="3088" t="inlineStr">
        <is>
          <t>Procesados</t>
        </is>
      </c>
      <c r="Q78" s="3089" t="inlineStr">
        <is>
          <t>Reactivos</t>
        </is>
      </c>
      <c r="R78" s="3088" t="inlineStr">
        <is>
          <t>Procesados</t>
        </is>
      </c>
      <c r="S78" s="3089" t="inlineStr">
        <is>
          <t>Reactivos</t>
        </is>
      </c>
      <c r="T78" s="3088" t="inlineStr">
        <is>
          <t>Procesados</t>
        </is>
      </c>
      <c r="U78" s="3089" t="inlineStr">
        <is>
          <t>Reactivos</t>
        </is>
      </c>
      <c r="V78" s="3088" t="inlineStr">
        <is>
          <t>Procesados</t>
        </is>
      </c>
      <c r="W78" s="3089" t="inlineStr">
        <is>
          <t>Reactivos</t>
        </is>
      </c>
      <c r="X78" s="3088" t="inlineStr">
        <is>
          <t>Procesados</t>
        </is>
      </c>
      <c r="Y78" s="3089" t="inlineStr">
        <is>
          <t>Reactivos</t>
        </is>
      </c>
      <c r="Z78" s="3088" t="inlineStr">
        <is>
          <t>Procesados</t>
        </is>
      </c>
      <c r="AA78" s="3089" t="inlineStr">
        <is>
          <t>Reactivos</t>
        </is>
      </c>
      <c r="AB78" s="3088" t="inlineStr">
        <is>
          <t>Procesados</t>
        </is>
      </c>
      <c r="AC78" s="3089" t="inlineStr">
        <is>
          <t>Reactivos</t>
        </is>
      </c>
      <c r="AD78" s="3088" t="inlineStr">
        <is>
          <t>Procesados</t>
        </is>
      </c>
      <c r="AE78" s="3089" t="inlineStr">
        <is>
          <t>Reactivos</t>
        </is>
      </c>
      <c r="AF78" s="3088" t="inlineStr">
        <is>
          <t>Procesados</t>
        </is>
      </c>
      <c r="AG78" s="3089" t="inlineStr">
        <is>
          <t>Reactivos</t>
        </is>
      </c>
      <c r="AH78" s="3088" t="inlineStr">
        <is>
          <t>Procesados</t>
        </is>
      </c>
      <c r="AI78" s="3089" t="inlineStr">
        <is>
          <t>Reactivos</t>
        </is>
      </c>
      <c r="AJ78" s="3088" t="inlineStr">
        <is>
          <t>Procesados</t>
        </is>
      </c>
      <c r="AK78" s="3089" t="inlineStr">
        <is>
          <t>Reactivos</t>
        </is>
      </c>
      <c r="AL78" s="3088" t="inlineStr">
        <is>
          <t>Procesados</t>
        </is>
      </c>
      <c r="AM78" s="3089" t="inlineStr">
        <is>
          <t>Reactivos</t>
        </is>
      </c>
      <c r="AN78" s="3088" t="inlineStr">
        <is>
          <t>Procesados</t>
        </is>
      </c>
      <c r="AO78" s="3089" t="inlineStr">
        <is>
          <t>Reactivos</t>
        </is>
      </c>
      <c r="AP78" s="3088" t="inlineStr">
        <is>
          <t>Procesados</t>
        </is>
      </c>
      <c r="AQ78" s="3092" t="inlineStr">
        <is>
          <t>Reactivos</t>
        </is>
      </c>
      <c r="AR78" s="9688" t="n"/>
      <c r="AS78" s="9926" t="n"/>
      <c r="AT78" s="7688" t="inlineStr">
        <is>
          <t>Masculino</t>
        </is>
      </c>
      <c r="AU78" s="8008" t="inlineStr">
        <is>
          <t>Femenino</t>
        </is>
      </c>
      <c r="AV78" s="10170" t="n"/>
      <c r="AW78" s="9611" t="n"/>
    </row>
    <row r="79">
      <c r="A79" s="3118" t="inlineStr">
        <is>
          <t>Gestantes primer trimestre embarazo</t>
        </is>
      </c>
      <c r="B79" s="3094">
        <f>+N79+P79+R79+T79+V79+X79+Z79+AB79+AD79+AF79+AH79+AJ79+AL79+AN79+AP79</f>
        <v/>
      </c>
      <c r="C79" s="3095">
        <f>+O79+Q79+S79+U79+W79+Y79+AA79+AC79+AE79+AG79+AI79+AK79+AM79+AO79+AQ79</f>
        <v/>
      </c>
      <c r="D79" s="3112" t="n"/>
      <c r="E79" s="3105" t="n"/>
      <c r="F79" s="3104" t="n"/>
      <c r="G79" s="3105" t="n"/>
      <c r="H79" s="3104" t="n"/>
      <c r="I79" s="3105" t="n"/>
      <c r="J79" s="3104" t="n"/>
      <c r="K79" s="3105" t="n"/>
      <c r="L79" s="3104" t="n"/>
      <c r="M79" s="3106" t="n"/>
      <c r="N79" s="3100" t="n"/>
      <c r="O79" s="3107" t="n"/>
      <c r="P79" s="3108" t="n"/>
      <c r="Q79" s="3107" t="n"/>
      <c r="R79" s="3108" t="n"/>
      <c r="S79" s="3107" t="n"/>
      <c r="T79" s="3108" t="n"/>
      <c r="U79" s="3107" t="n"/>
      <c r="V79" s="3108" t="n"/>
      <c r="W79" s="3107" t="n"/>
      <c r="X79" s="3108" t="n"/>
      <c r="Y79" s="3107" t="n"/>
      <c r="Z79" s="3108" t="n"/>
      <c r="AA79" s="3107" t="n"/>
      <c r="AB79" s="3108" t="n"/>
      <c r="AC79" s="3107" t="n"/>
      <c r="AD79" s="3108" t="n"/>
      <c r="AE79" s="3107" t="n"/>
      <c r="AF79" s="3108" t="n"/>
      <c r="AG79" s="3107" t="n"/>
      <c r="AH79" s="3108" t="n"/>
      <c r="AI79" s="3107" t="n"/>
      <c r="AJ79" s="3108" t="n"/>
      <c r="AK79" s="3107" t="n"/>
      <c r="AL79" s="3108" t="n"/>
      <c r="AM79" s="3107" t="n"/>
      <c r="AN79" s="3108" t="n"/>
      <c r="AO79" s="3107" t="n"/>
      <c r="AP79" s="3108" t="n"/>
      <c r="AQ79" s="3098" t="n"/>
      <c r="AR79" s="3097" t="n"/>
      <c r="AS79" s="3098" t="n"/>
      <c r="AT79" s="3099" t="n"/>
      <c r="AU79" s="3098" t="n"/>
      <c r="AV79" s="3840" t="n"/>
      <c r="AW79" s="3656" t="n"/>
      <c r="AX79" s="218">
        <f>$CA79&amp;CB79&amp;CC79&amp;$CD79&amp;CJ79&amp;CK79&amp;CL79&amp;CM79&amp;CN79&amp;CO79&amp;CP79&amp;CQ79&amp;CR79&amp;CS79&amp;CT79&amp;CU79&amp;CV79&amp;CW79&amp;CX79</f>
        <v/>
      </c>
      <c r="CA79" s="219">
        <f>IF(B79&lt;&gt;(AS79)," * La suma de las columnas "&amp;AR$10&amp;""&amp;" DEBE SER IGUAL a los Exámenes Procesados. ","")</f>
        <v/>
      </c>
      <c r="CB79" s="219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>
        <f>IF(AND($B79&gt;0,AV79=""),"* No olvide ingresar la columna "&amp;AV$10&amp;""&amp;" *(Digite CERO si no tiene). ",IF(AV79&gt;$B79," *El Número de "&amp;AV$10&amp;""&amp;" no puede superar el Total Procesados. ",""))</f>
        <v/>
      </c>
      <c r="CD79" s="219">
        <f>IF(AND($B79&gt;0,AW79=""),"* No olvide ingresar la columna "&amp;AW$10&amp;""&amp;" *(Digite CERO si no tiene). ",IF(AW79&gt;$B79," *El Número de "&amp;AW$10&amp;""&amp;" no puede superar el Total Procesados. ",""))</f>
        <v/>
      </c>
      <c r="CE79" s="220" t="n"/>
      <c r="CF79" s="220" t="n"/>
      <c r="CG79" s="220" t="n"/>
      <c r="CH79" s="220" t="n"/>
      <c r="CI79" s="220" t="n"/>
      <c r="CJ79" s="219">
        <f>IF(N79&lt;O79,CONCATENATE("* El total de Procesados debe ser mayor o igual al total de Reactivos en el grupo de edad ",$N$11),"")</f>
        <v/>
      </c>
      <c r="CK79" s="219">
        <f>IF(P79&lt;Q79,CONCATENATE("* El total de Procesados debe ser mayor o igual al total de Reactivos en el grupo de edad ",$P$11),"")</f>
        <v/>
      </c>
      <c r="CL79" s="219">
        <f>IF(R79&lt;S79,CONCATENATE("* El total de Procesados debe ser mayor o igual al total de Reactivos en el grupo de edad ",$R$11),"")</f>
        <v/>
      </c>
      <c r="CM79" s="219">
        <f>IF($T79&lt;$U79,CONCATENATE("* El total de Procesados debe ser mayor o igual al total de Reactivos en el grupo de edad ",$T$11),"")</f>
        <v/>
      </c>
      <c r="CN79" s="219">
        <f>IF(V79&lt;W79,CONCATENATE("* El total de Procesados debe ser mayor o igual al total de Reactivos en el grupo de edad ",$V$11),"")</f>
        <v/>
      </c>
      <c r="CO79" s="219">
        <f>IF(X79&lt;Y79,CONCATENATE("* El total de Procesados debe ser mayor o igual al total de Reactivos en el grupo de edad ",$X$11),"")</f>
        <v/>
      </c>
      <c r="CP79" s="219">
        <f>IF(Z79&lt;AA79,CONCATENATE("* El total de Procesados debe ser mayor o igual al total de Reactivos en el grupo de edad ",$Z$11),"")</f>
        <v/>
      </c>
      <c r="CQ79" s="219">
        <f>IF(AB79&lt;AC79,CONCATENATE("* El total de Procesados debe ser mayor o igual al total de Reactivos en el grupo de edad ",$AB$11),"")</f>
        <v/>
      </c>
      <c r="CR79" s="219">
        <f>IF(AD79&lt;AE79,CONCATENATE("* El total de Procesados debe ser mayor o igual al total de Reactivos en el grupo de edad ",$AD$11),"")</f>
        <v/>
      </c>
      <c r="CS79" s="219">
        <f>IF(AF79&lt;AG79,CONCATENATE("* El total de Procesados debe ser mayor o igual al total de Reactivos en el grupo de edad ",$AF$11),"")</f>
        <v/>
      </c>
      <c r="CT79" s="219">
        <f>IF(AH79&lt;AI79,CONCATENATE("* El total de Procesados debe ser mayor o igual al total de Reactivos en el grupo de edad ",$AH$11),"")</f>
        <v/>
      </c>
      <c r="CU79" s="219">
        <f>IF(AJ79&lt;AK79,CONCATENATE("* El total de Procesados debe ser mayor o igual al total de Reactivos en el grupo de edad ",$AJ$11),"")</f>
        <v/>
      </c>
      <c r="CV79" s="219">
        <f>IF(AL79&lt;AM79,CONCATENATE("* El total de Procesados debe ser mayor o igual al total de Reactivos en el grupo de edad ",$AL$11),"")</f>
        <v/>
      </c>
      <c r="CW79" s="219">
        <f>IF(AN79&lt;AO79,CONCATENATE("* El total de Procesados debe ser mayor o igual al total de Reactivos en el grupo de edad ",$AN$11),"")</f>
        <v/>
      </c>
      <c r="CX79" s="219">
        <f>IF(AP79&lt;AQ79,CONCATENATE("* El total de Procesados debe ser mayor o igual al total de Reactivos en el grupo de edad ",$AP$11),"")</f>
        <v/>
      </c>
      <c r="DE79" s="226" t="n"/>
      <c r="DF79" s="378">
        <f>IF(B79&lt;&gt;(AS79),1,0)</f>
        <v/>
      </c>
      <c r="DG79" s="376">
        <f>IF(AND($B79&gt;0,AND(AT79="",AU79="")),1,IF((AT79+AU79)&gt;$B79,1,0))</f>
        <v/>
      </c>
      <c r="DH79" s="376">
        <f>IF(AND($B79&gt;0,AV79=""),1,IF(AV79&gt;$B79,1,0))</f>
        <v/>
      </c>
      <c r="DI79" s="376">
        <f>IF(AND($B79&gt;0,AW79=""),1,IF(AW79&gt;$B79,1,0))</f>
        <v/>
      </c>
      <c r="DJ79" s="220" t="n"/>
      <c r="DK79" s="220" t="n"/>
      <c r="DL79" s="220" t="n"/>
      <c r="DM79" s="220" t="n"/>
      <c r="DN79" s="220" t="n"/>
      <c r="DO79" s="376">
        <f>IF(N79&lt;O79,1,0)</f>
        <v/>
      </c>
      <c r="DP79" s="376">
        <f>IF(P79&lt;Q79,1,0)</f>
        <v/>
      </c>
      <c r="DQ79" s="376">
        <f>IF(R79&lt;S79,1,0)</f>
        <v/>
      </c>
      <c r="DR79" s="376">
        <f>IF($T79&lt;$U79,1,0)</f>
        <v/>
      </c>
      <c r="DS79" s="376">
        <f>IF(V79&lt;W79,1,0)</f>
        <v/>
      </c>
      <c r="DT79" s="376">
        <f>IF(X79&lt;Y79,1,0)</f>
        <v/>
      </c>
      <c r="DU79" s="376">
        <f>IF(Z79&lt;AA79,1,0)</f>
        <v/>
      </c>
      <c r="DV79" s="376">
        <f>IF(AB79&lt;AC79,1,0)</f>
        <v/>
      </c>
      <c r="DW79" s="376">
        <f>IF(AD79&lt;AE79,1,0)</f>
        <v/>
      </c>
      <c r="DX79" s="376">
        <f>IF(AF79&lt;AG79,1,0)</f>
        <v/>
      </c>
      <c r="DY79" s="376">
        <f>IF(AH79&lt;AI79,1,0)</f>
        <v/>
      </c>
      <c r="DZ79" s="376">
        <f>IF(AJ79&lt;AK79,1,0)</f>
        <v/>
      </c>
      <c r="EA79" s="376">
        <f>IF(AL79&lt;AM79,1,0)</f>
        <v/>
      </c>
      <c r="EB79" s="376">
        <f>IF(AN79&lt;AO79,1,0)</f>
        <v/>
      </c>
      <c r="EC79" s="376">
        <f>IF(AP79&lt;AQ79,1,0)</f>
        <v/>
      </c>
    </row>
    <row r="80">
      <c r="A80" s="3119" t="inlineStr">
        <is>
          <t>Gestantes segundo trimestre embarazo</t>
        </is>
      </c>
      <c r="B80" s="3103">
        <f>+N80+P80+R80+T80+V80+X80+Z80+AB80+AD80+AF80+AH80+AJ80+AL80+AN80+AP80</f>
        <v/>
      </c>
      <c r="C80" s="1171">
        <f>+O80+Q80+S80+U80+W80+Y80+AA80+AC80+AE80+AG80+AI80+AK80+AM80+AO80+AQ80</f>
        <v/>
      </c>
      <c r="D80" s="3112" t="n"/>
      <c r="E80" s="3105" t="n"/>
      <c r="F80" s="3104" t="n"/>
      <c r="G80" s="3105" t="n"/>
      <c r="H80" s="3104" t="n"/>
      <c r="I80" s="3105" t="n"/>
      <c r="J80" s="3104" t="n"/>
      <c r="K80" s="3105" t="n"/>
      <c r="L80" s="3104" t="n"/>
      <c r="M80" s="3106" t="n"/>
      <c r="N80" s="3100" t="n"/>
      <c r="O80" s="3107" t="n"/>
      <c r="P80" s="3108" t="n"/>
      <c r="Q80" s="3107" t="n"/>
      <c r="R80" s="3108" t="n"/>
      <c r="S80" s="3107" t="n"/>
      <c r="T80" s="3108" t="n"/>
      <c r="U80" s="3107" t="n"/>
      <c r="V80" s="3108" t="n"/>
      <c r="W80" s="3107" t="n"/>
      <c r="X80" s="3108" t="n"/>
      <c r="Y80" s="3107" t="n"/>
      <c r="Z80" s="3108" t="n"/>
      <c r="AA80" s="3107" t="n"/>
      <c r="AB80" s="3108" t="n"/>
      <c r="AC80" s="3107" t="n"/>
      <c r="AD80" s="3108" t="n"/>
      <c r="AE80" s="3107" t="n"/>
      <c r="AF80" s="3108" t="n"/>
      <c r="AG80" s="3107" t="n"/>
      <c r="AH80" s="3108" t="n"/>
      <c r="AI80" s="3107" t="n"/>
      <c r="AJ80" s="3108" t="n"/>
      <c r="AK80" s="3107" t="n"/>
      <c r="AL80" s="3108" t="n"/>
      <c r="AM80" s="3107" t="n"/>
      <c r="AN80" s="3108" t="n"/>
      <c r="AO80" s="3107" t="n"/>
      <c r="AP80" s="3108" t="n"/>
      <c r="AQ80" s="3098" t="n"/>
      <c r="AR80" s="3097" t="n"/>
      <c r="AS80" s="3098" t="n"/>
      <c r="AT80" s="3099" t="n"/>
      <c r="AU80" s="3098" t="n"/>
      <c r="AV80" s="3845" t="n"/>
      <c r="AW80" s="3656" t="n"/>
      <c r="AX80" s="218">
        <f>$CA80&amp;CB80&amp;CC80&amp;$CD80&amp;CJ80&amp;CK80&amp;CL80&amp;CM80&amp;CN80&amp;CO80&amp;CP80&amp;CQ80&amp;CR80&amp;CS80&amp;CT80&amp;CU80&amp;CV80&amp;CW80&amp;CX80</f>
        <v/>
      </c>
      <c r="CA80" s="219">
        <f>IF(B80&lt;&gt;(AS80)," * La suma de las columnas "&amp;AR$10&amp;""&amp;" DEBE SER IGUAL a los Exámenes Procesados. ","")</f>
        <v/>
      </c>
      <c r="CB80" s="219">
        <f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C80" s="219">
        <f>IF(AND($B80&gt;0,AV80=""),"* No olvide ingresar la columna "&amp;AV$10&amp;""&amp;" *(Digite CERO si no tiene). ",IF(AV80&gt;$B80," *El Número de "&amp;AV$10&amp;""&amp;" no puede superar el Total Procesados. ",""))</f>
        <v/>
      </c>
      <c r="CD80" s="219">
        <f>IF(AND($B80&gt;0,AW80=""),"* No olvide ingresar la columna "&amp;AW$10&amp;""&amp;" *(Digite CERO si no tiene). ",IF(AW80&gt;$B80," *El Número de "&amp;AW$10&amp;""&amp;" no puede superar el Total Procesados. ",""))</f>
        <v/>
      </c>
      <c r="CE80" s="220" t="n"/>
      <c r="CF80" s="220" t="n"/>
      <c r="CG80" s="220" t="n"/>
      <c r="CH80" s="220" t="n"/>
      <c r="CI80" s="220" t="n"/>
      <c r="CJ80" s="219">
        <f>IF(N80&lt;O80,CONCATENATE("* El total de Procesados debe ser mayor o igual al total de Reactivos en el grupo de edad ",$N$11),"")</f>
        <v/>
      </c>
      <c r="CK80" s="219">
        <f>IF(P80&lt;Q80,CONCATENATE("* El total de Procesados debe ser mayor o igual al total de Reactivos en el grupo de edad ",$P$11),"")</f>
        <v/>
      </c>
      <c r="CL80" s="219">
        <f>IF(R80&lt;S80,CONCATENATE("* El total de Procesados debe ser mayor o igual al total de Reactivos en el grupo de edad ",$R$11),"")</f>
        <v/>
      </c>
      <c r="CM80" s="219">
        <f>IF($T80&lt;$U80,CONCATENATE("* El total de Procesados debe ser mayor o igual al total de Reactivos en el grupo de edad ",$T$11),"")</f>
        <v/>
      </c>
      <c r="CN80" s="219">
        <f>IF(V80&lt;W80,CONCATENATE("* El total de Procesados debe ser mayor o igual al total de Reactivos en el grupo de edad ",$V$11),"")</f>
        <v/>
      </c>
      <c r="CO80" s="219">
        <f>IF(X80&lt;Y80,CONCATENATE("* El total de Procesados debe ser mayor o igual al total de Reactivos en el grupo de edad ",$X$11),"")</f>
        <v/>
      </c>
      <c r="CP80" s="219">
        <f>IF(Z80&lt;AA80,CONCATENATE("* El total de Procesados debe ser mayor o igual al total de Reactivos en el grupo de edad ",$Z$11),"")</f>
        <v/>
      </c>
      <c r="CQ80" s="219">
        <f>IF(AB80&lt;AC80,CONCATENATE("* El total de Procesados debe ser mayor o igual al total de Reactivos en el grupo de edad ",$AB$11),"")</f>
        <v/>
      </c>
      <c r="CR80" s="219">
        <f>IF(AD80&lt;AE80,CONCATENATE("* El total de Procesados debe ser mayor o igual al total de Reactivos en el grupo de edad ",$AD$11),"")</f>
        <v/>
      </c>
      <c r="CS80" s="219">
        <f>IF(AF80&lt;AG80,CONCATENATE("* El total de Procesados debe ser mayor o igual al total de Reactivos en el grupo de edad ",$AF$11),"")</f>
        <v/>
      </c>
      <c r="CT80" s="219">
        <f>IF(AH80&lt;AI80,CONCATENATE("* El total de Procesados debe ser mayor o igual al total de Reactivos en el grupo de edad ",$AH$11),"")</f>
        <v/>
      </c>
      <c r="CU80" s="219">
        <f>IF(AJ80&lt;AK80,CONCATENATE("* El total de Procesados debe ser mayor o igual al total de Reactivos en el grupo de edad ",$AJ$11),"")</f>
        <v/>
      </c>
      <c r="CV80" s="219">
        <f>IF(AL80&lt;AM80,CONCATENATE("* El total de Procesados debe ser mayor o igual al total de Reactivos en el grupo de edad ",$AL$11),"")</f>
        <v/>
      </c>
      <c r="CW80" s="219">
        <f>IF(AN80&lt;AO80,CONCATENATE("* El total de Procesados debe ser mayor o igual al total de Reactivos en el grupo de edad ",$AN$11),"")</f>
        <v/>
      </c>
      <c r="CX80" s="219">
        <f>IF(AP80&lt;AQ80,CONCATENATE("* El total de Procesados debe ser mayor o igual al total de Reactivos en el grupo de edad ",$AP$11),"")</f>
        <v/>
      </c>
      <c r="DE80" s="226" t="n"/>
      <c r="DF80" s="378">
        <f>IF(B80&lt;&gt;(AS80),1,0)</f>
        <v/>
      </c>
      <c r="DG80" s="376">
        <f>IF(AND($B80&gt;0,AND(AT80="",AU80="")),1,IF((AT80+AU80)&gt;$B80,1,0))</f>
        <v/>
      </c>
      <c r="DH80" s="376">
        <f>IF(AND($B80&gt;0,AV80=""),1,IF(AV80&gt;$B80,1,0))</f>
        <v/>
      </c>
      <c r="DI80" s="376">
        <f>IF(AND($B80&gt;0,AW80=""),1,IF(AW80&gt;$B80,1,0))</f>
        <v/>
      </c>
      <c r="DJ80" s="220" t="n"/>
      <c r="DK80" s="220" t="n"/>
      <c r="DL80" s="220" t="n"/>
      <c r="DM80" s="220" t="n"/>
      <c r="DN80" s="220" t="n"/>
      <c r="DO80" s="376">
        <f>IF(N80&lt;O80,1,0)</f>
        <v/>
      </c>
      <c r="DP80" s="376">
        <f>IF(P80&lt;Q80,1,0)</f>
        <v/>
      </c>
      <c r="DQ80" s="376">
        <f>IF(R80&lt;S80,1,0)</f>
        <v/>
      </c>
      <c r="DR80" s="376">
        <f>IF($T80&lt;$U80,1,0)</f>
        <v/>
      </c>
      <c r="DS80" s="376">
        <f>IF(V80&lt;W80,1,0)</f>
        <v/>
      </c>
      <c r="DT80" s="376">
        <f>IF(X80&lt;Y80,1,0)</f>
        <v/>
      </c>
      <c r="DU80" s="376">
        <f>IF(Z80&lt;AA80,1,0)</f>
        <v/>
      </c>
      <c r="DV80" s="376">
        <f>IF(AB80&lt;AC80,1,0)</f>
        <v/>
      </c>
      <c r="DW80" s="376">
        <f>IF(AD80&lt;AE80,1,0)</f>
        <v/>
      </c>
      <c r="DX80" s="376">
        <f>IF(AF80&lt;AG80,1,0)</f>
        <v/>
      </c>
      <c r="DY80" s="376">
        <f>IF(AH80&lt;AI80,1,0)</f>
        <v/>
      </c>
      <c r="DZ80" s="376">
        <f>IF(AJ80&lt;AK80,1,0)</f>
        <v/>
      </c>
      <c r="EA80" s="376">
        <f>IF(AL80&lt;AM80,1,0)</f>
        <v/>
      </c>
      <c r="EB80" s="376">
        <f>IF(AN80&lt;AO80,1,0)</f>
        <v/>
      </c>
      <c r="EC80" s="376">
        <f>IF(AP80&lt;AQ80,1,0)</f>
        <v/>
      </c>
    </row>
    <row r="81">
      <c r="A81" s="3119" t="inlineStr">
        <is>
          <t>Gestantes tercer trimestre embarazo</t>
        </is>
      </c>
      <c r="B81" s="3103">
        <f>+N81+P81+R81+T81+V81+X81+Z81+AB81+AD81+AF81+AH81+AJ81+AL81+AN81+AP81</f>
        <v/>
      </c>
      <c r="C81" s="1171">
        <f>+O81+Q81+S81+U81+W81+Y81+AA81+AC81+AE81+AG81+AI81+AK81+AM81+AO81+AQ81</f>
        <v/>
      </c>
      <c r="D81" s="3112" t="n"/>
      <c r="E81" s="3105" t="n"/>
      <c r="F81" s="3104" t="n"/>
      <c r="G81" s="3105" t="n"/>
      <c r="H81" s="3104" t="n"/>
      <c r="I81" s="3105" t="n"/>
      <c r="J81" s="3104" t="n"/>
      <c r="K81" s="3105" t="n"/>
      <c r="L81" s="3104" t="n"/>
      <c r="M81" s="3106" t="n"/>
      <c r="N81" s="3100" t="n"/>
      <c r="O81" s="3107" t="n"/>
      <c r="P81" s="3108" t="n"/>
      <c r="Q81" s="3107" t="n"/>
      <c r="R81" s="3108" t="n"/>
      <c r="S81" s="3107" t="n"/>
      <c r="T81" s="3108" t="n"/>
      <c r="U81" s="3107" t="n"/>
      <c r="V81" s="3108" t="n"/>
      <c r="W81" s="3107" t="n"/>
      <c r="X81" s="3108" t="n"/>
      <c r="Y81" s="3107" t="n"/>
      <c r="Z81" s="3108" t="n"/>
      <c r="AA81" s="3107" t="n"/>
      <c r="AB81" s="3108" t="n"/>
      <c r="AC81" s="3107" t="n"/>
      <c r="AD81" s="3108" t="n"/>
      <c r="AE81" s="3107" t="n"/>
      <c r="AF81" s="3108" t="n"/>
      <c r="AG81" s="3107" t="n"/>
      <c r="AH81" s="3108" t="n"/>
      <c r="AI81" s="3107" t="n"/>
      <c r="AJ81" s="3108" t="n"/>
      <c r="AK81" s="3107" t="n"/>
      <c r="AL81" s="3108" t="n"/>
      <c r="AM81" s="3107" t="n"/>
      <c r="AN81" s="3108" t="n"/>
      <c r="AO81" s="3107" t="n"/>
      <c r="AP81" s="3108" t="n"/>
      <c r="AQ81" s="3098" t="n"/>
      <c r="AR81" s="3097" t="n"/>
      <c r="AS81" s="3098" t="n"/>
      <c r="AT81" s="3099" t="n"/>
      <c r="AU81" s="3098" t="n"/>
      <c r="AV81" s="3845" t="n"/>
      <c r="AW81" s="3656" t="n"/>
      <c r="AX81" s="218">
        <f>$CA81&amp;CB81&amp;CC81&amp;$CD81&amp;CJ81&amp;CK81&amp;CL81&amp;CM81&amp;CN81&amp;CO81&amp;CP81&amp;CQ81&amp;CR81&amp;CS81&amp;CT81&amp;CU81&amp;CV81&amp;CW81&amp;CX81</f>
        <v/>
      </c>
      <c r="CA81" s="219">
        <f>IF(B81&lt;&gt;(AS81)," * La suma de las columnas "&amp;AR$10&amp;""&amp;" DEBE SER IGUAL a los Exámenes Procesados. ","")</f>
        <v/>
      </c>
      <c r="CB81" s="219">
        <f>IF(AND($B81&gt;0,AND(AT81="",AU81="")),"* No olvide ingresar las columnas Trans Masculino o Femenino (*Digite CERO si no tiene). ",IF((AT81+AU81)&gt;$B81,"* El Número de Trans Masculino o Femenino no puede superar el Total Procesados. ",""))</f>
        <v/>
      </c>
      <c r="CC81" s="219">
        <f>IF(AND($B81&gt;0,AV81=""),"* No olvide ingresar la columna "&amp;AV$10&amp;""&amp;" *(Digite CERO si no tiene). ",IF(AV81&gt;$B81," *El Número de "&amp;AV$10&amp;""&amp;" no puede superar el Total Procesados. ",""))</f>
        <v/>
      </c>
      <c r="CD81" s="219">
        <f>IF(AND($B81&gt;0,AW81=""),"* No olvide ingresar la columna "&amp;AW$10&amp;""&amp;" *(Digite CERO si no tiene). ",IF(AW81&gt;$B81," *El Número de "&amp;AW$10&amp;""&amp;" no puede superar el Total Procesados. ",""))</f>
        <v/>
      </c>
      <c r="CE81" s="220" t="n"/>
      <c r="CF81" s="220" t="n"/>
      <c r="CG81" s="220" t="n"/>
      <c r="CH81" s="220" t="n"/>
      <c r="CI81" s="220" t="n"/>
      <c r="CJ81" s="219">
        <f>IF(N81&lt;O81,CONCATENATE("* El total de Procesados debe ser mayor o igual al total de Reactivos en el grupo de edad ",$N$11),"")</f>
        <v/>
      </c>
      <c r="CK81" s="219">
        <f>IF(P81&lt;Q81,CONCATENATE("* El total de Procesados debe ser mayor o igual al total de Reactivos en el grupo de edad ",$P$11),"")</f>
        <v/>
      </c>
      <c r="CL81" s="219">
        <f>IF(R81&lt;S81,CONCATENATE("* El total de Procesados debe ser mayor o igual al total de Reactivos en el grupo de edad ",$R$11),"")</f>
        <v/>
      </c>
      <c r="CM81" s="219">
        <f>IF($T81&lt;$U81,CONCATENATE("* El total de Procesados debe ser mayor o igual al total de Reactivos en el grupo de edad ",$T$11),"")</f>
        <v/>
      </c>
      <c r="CN81" s="219">
        <f>IF(V81&lt;W81,CONCATENATE("* El total de Procesados debe ser mayor o igual al total de Reactivos en el grupo de edad ",$V$11),"")</f>
        <v/>
      </c>
      <c r="CO81" s="219">
        <f>IF(X81&lt;Y81,CONCATENATE("* El total de Procesados debe ser mayor o igual al total de Reactivos en el grupo de edad ",$X$11),"")</f>
        <v/>
      </c>
      <c r="CP81" s="219">
        <f>IF(Z81&lt;AA81,CONCATENATE("* El total de Procesados debe ser mayor o igual al total de Reactivos en el grupo de edad ",$Z$11),"")</f>
        <v/>
      </c>
      <c r="CQ81" s="219">
        <f>IF(AB81&lt;AC81,CONCATENATE("* El total de Procesados debe ser mayor o igual al total de Reactivos en el grupo de edad ",$AB$11),"")</f>
        <v/>
      </c>
      <c r="CR81" s="219">
        <f>IF(AD81&lt;AE81,CONCATENATE("* El total de Procesados debe ser mayor o igual al total de Reactivos en el grupo de edad ",$AD$11),"")</f>
        <v/>
      </c>
      <c r="CS81" s="219">
        <f>IF(AF81&lt;AG81,CONCATENATE("* El total de Procesados debe ser mayor o igual al total de Reactivos en el grupo de edad ",$AF$11),"")</f>
        <v/>
      </c>
      <c r="CT81" s="219">
        <f>IF(AH81&lt;AI81,CONCATENATE("* El total de Procesados debe ser mayor o igual al total de Reactivos en el grupo de edad ",$AH$11),"")</f>
        <v/>
      </c>
      <c r="CU81" s="219">
        <f>IF(AJ81&lt;AK81,CONCATENATE("* El total de Procesados debe ser mayor o igual al total de Reactivos en el grupo de edad ",$AJ$11),"")</f>
        <v/>
      </c>
      <c r="CV81" s="219">
        <f>IF(AL81&lt;AM81,CONCATENATE("* El total de Procesados debe ser mayor o igual al total de Reactivos en el grupo de edad ",$AL$11),"")</f>
        <v/>
      </c>
      <c r="CW81" s="219">
        <f>IF(AN81&lt;AO81,CONCATENATE("* El total de Procesados debe ser mayor o igual al total de Reactivos en el grupo de edad ",$AN$11),"")</f>
        <v/>
      </c>
      <c r="CX81" s="219">
        <f>IF(AP81&lt;AQ81,CONCATENATE("* El total de Procesados debe ser mayor o igual al total de Reactivos en el grupo de edad ",$AP$11),"")</f>
        <v/>
      </c>
      <c r="DE81" s="226" t="n"/>
      <c r="DF81" s="378">
        <f>IF(B81&lt;&gt;(AS81),1,0)</f>
        <v/>
      </c>
      <c r="DG81" s="376">
        <f>IF(AND($B81&gt;0,AND(AT81="",AU81="")),1,IF((AT81+AU81)&gt;$B81,1,0))</f>
        <v/>
      </c>
      <c r="DH81" s="376">
        <f>IF(AND($B81&gt;0,AV81=""),1,IF(AV81&gt;$B81,1,0))</f>
        <v/>
      </c>
      <c r="DI81" s="376">
        <f>IF(AND($B81&gt;0,AW81=""),1,IF(AW81&gt;$B81,1,0))</f>
        <v/>
      </c>
      <c r="DJ81" s="220" t="n"/>
      <c r="DK81" s="220" t="n"/>
      <c r="DL81" s="220" t="n"/>
      <c r="DM81" s="220" t="n"/>
      <c r="DN81" s="220" t="n"/>
      <c r="DO81" s="376">
        <f>IF(N81&lt;O81,1,0)</f>
        <v/>
      </c>
      <c r="DP81" s="376">
        <f>IF(P81&lt;Q81,1,0)</f>
        <v/>
      </c>
      <c r="DQ81" s="376">
        <f>IF(R81&lt;S81,1,0)</f>
        <v/>
      </c>
      <c r="DR81" s="376">
        <f>IF($T81&lt;$U81,1,0)</f>
        <v/>
      </c>
      <c r="DS81" s="376">
        <f>IF(V81&lt;W81,1,0)</f>
        <v/>
      </c>
      <c r="DT81" s="376">
        <f>IF(X81&lt;Y81,1,0)</f>
        <v/>
      </c>
      <c r="DU81" s="376">
        <f>IF(Z81&lt;AA81,1,0)</f>
        <v/>
      </c>
      <c r="DV81" s="376">
        <f>IF(AB81&lt;AC81,1,0)</f>
        <v/>
      </c>
      <c r="DW81" s="376">
        <f>IF(AD81&lt;AE81,1,0)</f>
        <v/>
      </c>
      <c r="DX81" s="376">
        <f>IF(AF81&lt;AG81,1,0)</f>
        <v/>
      </c>
      <c r="DY81" s="376">
        <f>IF(AH81&lt;AI81,1,0)</f>
        <v/>
      </c>
      <c r="DZ81" s="376">
        <f>IF(AJ81&lt;AK81,1,0)</f>
        <v/>
      </c>
      <c r="EA81" s="376">
        <f>IF(AL81&lt;AM81,1,0)</f>
        <v/>
      </c>
      <c r="EB81" s="376">
        <f>IF(AN81&lt;AO81,1,0)</f>
        <v/>
      </c>
      <c r="EC81" s="376">
        <f>IF(AP81&lt;AQ81,1,0)</f>
        <v/>
      </c>
    </row>
    <row r="82">
      <c r="A82" s="3119" t="inlineStr">
        <is>
          <t>Gestantes trimestre embarazo ignorado</t>
        </is>
      </c>
      <c r="B82" s="3103">
        <f>+N82+P82+R82+T82+V82+X82+Z82+AB82+AD82+AF82+AH82+AJ82+AL82+AN82+AP82</f>
        <v/>
      </c>
      <c r="C82" s="1171">
        <f>+O82+Q82+S82+U82+W82+Y82+AA82+AC82+AE82+AG82+AI82+AK82+AM82+AO82+AQ82</f>
        <v/>
      </c>
      <c r="D82" s="3112" t="n"/>
      <c r="E82" s="3105" t="n"/>
      <c r="F82" s="3104" t="n"/>
      <c r="G82" s="3105" t="n"/>
      <c r="H82" s="3104" t="n"/>
      <c r="I82" s="3105" t="n"/>
      <c r="J82" s="3104" t="n"/>
      <c r="K82" s="3105" t="n"/>
      <c r="L82" s="3104" t="n"/>
      <c r="M82" s="3106" t="n"/>
      <c r="N82" s="3100" t="n"/>
      <c r="O82" s="3107" t="n"/>
      <c r="P82" s="3108" t="n"/>
      <c r="Q82" s="3107" t="n"/>
      <c r="R82" s="3108" t="n"/>
      <c r="S82" s="3107" t="n"/>
      <c r="T82" s="3108" t="n"/>
      <c r="U82" s="3107" t="n"/>
      <c r="V82" s="3108" t="n"/>
      <c r="W82" s="3107" t="n"/>
      <c r="X82" s="3108" t="n"/>
      <c r="Y82" s="3107" t="n"/>
      <c r="Z82" s="3108" t="n"/>
      <c r="AA82" s="3107" t="n"/>
      <c r="AB82" s="3108" t="n"/>
      <c r="AC82" s="3107" t="n"/>
      <c r="AD82" s="3108" t="n"/>
      <c r="AE82" s="3107" t="n"/>
      <c r="AF82" s="3108" t="n"/>
      <c r="AG82" s="3107" t="n"/>
      <c r="AH82" s="3108" t="n"/>
      <c r="AI82" s="3107" t="n"/>
      <c r="AJ82" s="3108" t="n"/>
      <c r="AK82" s="3107" t="n"/>
      <c r="AL82" s="3108" t="n"/>
      <c r="AM82" s="3107" t="n"/>
      <c r="AN82" s="3108" t="n"/>
      <c r="AO82" s="3107" t="n"/>
      <c r="AP82" s="3108" t="n"/>
      <c r="AQ82" s="3098" t="n"/>
      <c r="AR82" s="3097" t="n"/>
      <c r="AS82" s="3098" t="n"/>
      <c r="AT82" s="3099" t="n"/>
      <c r="AU82" s="3098" t="n"/>
      <c r="AV82" s="3845" t="n"/>
      <c r="AW82" s="3656" t="n"/>
      <c r="AX82" s="218">
        <f>$CA82&amp;CB82&amp;CC82&amp;$CD82&amp;CJ82&amp;CK82&amp;CL82&amp;CM82&amp;CN82&amp;CO82&amp;CP82&amp;CQ82&amp;CR82&amp;CS82&amp;CT82&amp;CU82&amp;CV82&amp;CW82&amp;CX82</f>
        <v/>
      </c>
      <c r="CA82" s="219">
        <f>IF(B82&lt;&gt;(AS82)," * La suma de las columnas "&amp;AR$10&amp;""&amp;" DEBE SER IGUAL a los Exámenes Procesados. ","")</f>
        <v/>
      </c>
      <c r="CB82" s="219">
        <f>IF(AND($B82&gt;0,AND(AT82="",AU82="")),"* No olvide ingresar las columnas Trans Masculino o Femenino (*Digite CERO si no tiene). ",IF((AT82+AU82)&gt;$B82,"* El Número de Trans Masculino o Femenino no puede superar el Total Procesados. ",""))</f>
        <v/>
      </c>
      <c r="CC82" s="219">
        <f>IF(AND($B82&gt;0,AV82=""),"* No olvide ingresar la columna "&amp;AV$10&amp;""&amp;" *(Digite CERO si no tiene). ",IF(AV82&gt;$B82," *El Número de "&amp;AV$10&amp;""&amp;" no puede superar el Total Procesados. ",""))</f>
        <v/>
      </c>
      <c r="CD82" s="219">
        <f>IF(AND($B82&gt;0,AW82=""),"* No olvide ingresar la columna "&amp;AW$10&amp;""&amp;" *(Digite CERO si no tiene). ",IF(AW82&gt;$B82," *El Número de "&amp;AW$10&amp;""&amp;" no puede superar el Total Procesados. ",""))</f>
        <v/>
      </c>
      <c r="CE82" s="220" t="n"/>
      <c r="CF82" s="220" t="n"/>
      <c r="CG82" s="220" t="n"/>
      <c r="CH82" s="220" t="n"/>
      <c r="CI82" s="220" t="n"/>
      <c r="CJ82" s="219">
        <f>IF(N82&lt;O82,CONCATENATE("* El total de Procesados debe ser mayor o igual al total de Reactivos en el grupo de edad ",$N$11),"")</f>
        <v/>
      </c>
      <c r="CK82" s="219">
        <f>IF(P82&lt;Q82,CONCATENATE("* El total de Procesados debe ser mayor o igual al total de Reactivos en el grupo de edad ",$P$11),"")</f>
        <v/>
      </c>
      <c r="CL82" s="219">
        <f>IF(R82&lt;S82,CONCATENATE("* El total de Procesados debe ser mayor o igual al total de Reactivos en el grupo de edad ",$R$11),"")</f>
        <v/>
      </c>
      <c r="CM82" s="219">
        <f>IF($T82&lt;$U82,CONCATENATE("* El total de Procesados debe ser mayor o igual al total de Reactivos en el grupo de edad ",$T$11),"")</f>
        <v/>
      </c>
      <c r="CN82" s="219">
        <f>IF(V82&lt;W82,CONCATENATE("* El total de Procesados debe ser mayor o igual al total de Reactivos en el grupo de edad ",$V$11),"")</f>
        <v/>
      </c>
      <c r="CO82" s="219">
        <f>IF(X82&lt;Y82,CONCATENATE("* El total de Procesados debe ser mayor o igual al total de Reactivos en el grupo de edad ",$X$11),"")</f>
        <v/>
      </c>
      <c r="CP82" s="219">
        <f>IF(Z82&lt;AA82,CONCATENATE("* El total de Procesados debe ser mayor o igual al total de Reactivos en el grupo de edad ",$Z$11),"")</f>
        <v/>
      </c>
      <c r="CQ82" s="219">
        <f>IF(AB82&lt;AC82,CONCATENATE("* El total de Procesados debe ser mayor o igual al total de Reactivos en el grupo de edad ",$AB$11),"")</f>
        <v/>
      </c>
      <c r="CR82" s="219">
        <f>IF(AD82&lt;AE82,CONCATENATE("* El total de Procesados debe ser mayor o igual al total de Reactivos en el grupo de edad ",$AD$11),"")</f>
        <v/>
      </c>
      <c r="CS82" s="219">
        <f>IF(AF82&lt;AG82,CONCATENATE("* El total de Procesados debe ser mayor o igual al total de Reactivos en el grupo de edad ",$AF$11),"")</f>
        <v/>
      </c>
      <c r="CT82" s="219">
        <f>IF(AH82&lt;AI82,CONCATENATE("* El total de Procesados debe ser mayor o igual al total de Reactivos en el grupo de edad ",$AH$11),"")</f>
        <v/>
      </c>
      <c r="CU82" s="219">
        <f>IF(AJ82&lt;AK82,CONCATENATE("* El total de Procesados debe ser mayor o igual al total de Reactivos en el grupo de edad ",$AJ$11),"")</f>
        <v/>
      </c>
      <c r="CV82" s="219">
        <f>IF(AL82&lt;AM82,CONCATENATE("* El total de Procesados debe ser mayor o igual al total de Reactivos en el grupo de edad ",$AL$11),"")</f>
        <v/>
      </c>
      <c r="CW82" s="219">
        <f>IF(AN82&lt;AO82,CONCATENATE("* El total de Procesados debe ser mayor o igual al total de Reactivos en el grupo de edad ",$AN$11),"")</f>
        <v/>
      </c>
      <c r="CX82" s="219">
        <f>IF(AP82&lt;AQ82,CONCATENATE("* El total de Procesados debe ser mayor o igual al total de Reactivos en el grupo de edad ",$AP$11),"")</f>
        <v/>
      </c>
      <c r="DE82" s="226" t="n"/>
      <c r="DF82" s="378">
        <f>IF(B82&lt;&gt;(AS82),1,0)</f>
        <v/>
      </c>
      <c r="DG82" s="376">
        <f>IF(AND($B82&gt;0,AND(AT82="",AU82="")),1,IF((AT82+AU82)&gt;$B82,1,0))</f>
        <v/>
      </c>
      <c r="DH82" s="376">
        <f>IF(AND($B82&gt;0,AV82=""),1,IF(AV82&gt;$B82,1,0))</f>
        <v/>
      </c>
      <c r="DI82" s="376">
        <f>IF(AND($B82&gt;0,AW82=""),1,IF(AW82&gt;$B82,1,0))</f>
        <v/>
      </c>
      <c r="DJ82" s="220" t="n"/>
      <c r="DK82" s="220" t="n"/>
      <c r="DL82" s="220" t="n"/>
      <c r="DM82" s="220" t="n"/>
      <c r="DN82" s="220" t="n"/>
      <c r="DO82" s="376">
        <f>IF(N82&lt;O82,1,0)</f>
        <v/>
      </c>
      <c r="DP82" s="376">
        <f>IF(P82&lt;Q82,1,0)</f>
        <v/>
      </c>
      <c r="DQ82" s="376">
        <f>IF(R82&lt;S82,1,0)</f>
        <v/>
      </c>
      <c r="DR82" s="376">
        <f>IF($T82&lt;$U82,1,0)</f>
        <v/>
      </c>
      <c r="DS82" s="376">
        <f>IF(V82&lt;W82,1,0)</f>
        <v/>
      </c>
      <c r="DT82" s="376">
        <f>IF(X82&lt;Y82,1,0)</f>
        <v/>
      </c>
      <c r="DU82" s="376">
        <f>IF(Z82&lt;AA82,1,0)</f>
        <v/>
      </c>
      <c r="DV82" s="376">
        <f>IF(AB82&lt;AC82,1,0)</f>
        <v/>
      </c>
      <c r="DW82" s="376">
        <f>IF(AD82&lt;AE82,1,0)</f>
        <v/>
      </c>
      <c r="DX82" s="376">
        <f>IF(AF82&lt;AG82,1,0)</f>
        <v/>
      </c>
      <c r="DY82" s="376">
        <f>IF(AH82&lt;AI82,1,0)</f>
        <v/>
      </c>
      <c r="DZ82" s="376">
        <f>IF(AJ82&lt;AK82,1,0)</f>
        <v/>
      </c>
      <c r="EA82" s="376">
        <f>IF(AL82&lt;AM82,1,0)</f>
        <v/>
      </c>
      <c r="EB82" s="376">
        <f>IF(AN82&lt;AO82,1,0)</f>
        <v/>
      </c>
      <c r="EC82" s="376">
        <f>IF(AP82&lt;AQ82,1,0)</f>
        <v/>
      </c>
    </row>
    <row r="83">
      <c r="A83" s="8538" t="inlineStr">
        <is>
          <t>Gestantes en seguimiento por diagnóstico sífilis</t>
        </is>
      </c>
      <c r="B83" s="3103">
        <f>+N83+P83+R83+T83+V83+X83+Z83+AB83+AD83+AF83+AH83+AJ83+AL83+AN83+AP83</f>
        <v/>
      </c>
      <c r="C83" s="1171">
        <f>+O83+Q83+S83+U83+W83+Y83+AA83+AC83+AE83+AG83+AI83+AK83+AM83+AO83+AQ83</f>
        <v/>
      </c>
      <c r="D83" s="3112" t="n"/>
      <c r="E83" s="3105" t="n"/>
      <c r="F83" s="3104" t="n"/>
      <c r="G83" s="3105" t="n"/>
      <c r="H83" s="3104" t="n"/>
      <c r="I83" s="3105" t="n"/>
      <c r="J83" s="3104" t="n"/>
      <c r="K83" s="3105" t="n"/>
      <c r="L83" s="3104" t="n"/>
      <c r="M83" s="3106" t="n"/>
      <c r="N83" s="3100" t="n"/>
      <c r="O83" s="3107" t="n"/>
      <c r="P83" s="3108" t="n"/>
      <c r="Q83" s="3107" t="n"/>
      <c r="R83" s="3108" t="n"/>
      <c r="S83" s="3107" t="n"/>
      <c r="T83" s="3108" t="n"/>
      <c r="U83" s="3107" t="n"/>
      <c r="V83" s="3108" t="n"/>
      <c r="W83" s="3107" t="n"/>
      <c r="X83" s="3108" t="n"/>
      <c r="Y83" s="3107" t="n"/>
      <c r="Z83" s="3108" t="n"/>
      <c r="AA83" s="3107" t="n"/>
      <c r="AB83" s="3108" t="n"/>
      <c r="AC83" s="3107" t="n"/>
      <c r="AD83" s="3108" t="n"/>
      <c r="AE83" s="3107" t="n"/>
      <c r="AF83" s="3108" t="n"/>
      <c r="AG83" s="3107" t="n"/>
      <c r="AH83" s="3108" t="n"/>
      <c r="AI83" s="3107" t="n"/>
      <c r="AJ83" s="3108" t="n"/>
      <c r="AK83" s="3107" t="n"/>
      <c r="AL83" s="3108" t="n"/>
      <c r="AM83" s="3107" t="n"/>
      <c r="AN83" s="3108" t="n"/>
      <c r="AO83" s="3107" t="n"/>
      <c r="AP83" s="3108" t="n"/>
      <c r="AQ83" s="3098" t="n"/>
      <c r="AR83" s="3097" t="n"/>
      <c r="AS83" s="3098" t="n"/>
      <c r="AT83" s="3099" t="n"/>
      <c r="AU83" s="3098" t="n"/>
      <c r="AV83" s="3845" t="n"/>
      <c r="AW83" s="3656" t="n"/>
      <c r="AX83" s="218">
        <f>$CA83&amp;CB83&amp;CC83&amp;$CD83&amp;CJ83&amp;CK83&amp;CL83&amp;CM83&amp;CN83&amp;CO83&amp;CP83&amp;CQ83&amp;CR83&amp;CS83&amp;CT83&amp;CU83&amp;CV83&amp;CW83&amp;CX83</f>
        <v/>
      </c>
      <c r="CA83" s="219">
        <f>IF(B83&lt;&gt;(AS83)," * La suma de las columnas "&amp;AR$10&amp;""&amp;" DEBE SER IGUAL a los Exámenes Procesados. ","")</f>
        <v/>
      </c>
      <c r="CB83" s="219">
        <f>IF(AND($B83&gt;0,AND(AT83="",AU83="")),"* No olvide ingresar las columnas Trans Masculino o Femenino (*Digite CERO si no tiene). ",IF((AT83+AU83)&gt;$B83,"* El Número de Trans Masculino o Femenino no puede superar el Total Procesados. ",""))</f>
        <v/>
      </c>
      <c r="CC83" s="219">
        <f>IF(AND($B83&gt;0,AV83=""),"* No olvide ingresar la columna "&amp;AV$10&amp;""&amp;" *(Digite CERO si no tiene). ",IF(AV83&gt;$B83," *El Número de "&amp;AV$10&amp;""&amp;" no puede superar el Total Procesados. ",""))</f>
        <v/>
      </c>
      <c r="CD83" s="219">
        <f>IF(AND($B83&gt;0,AW83=""),"* No olvide ingresar la columna "&amp;AW$10&amp;""&amp;" *(Digite CERO si no tiene). ",IF(AW83&gt;$B83," *El Número de "&amp;AW$10&amp;""&amp;" no puede superar el Total Procesados. ",""))</f>
        <v/>
      </c>
      <c r="CE83" s="220" t="n"/>
      <c r="CF83" s="220" t="n"/>
      <c r="CG83" s="220" t="n"/>
      <c r="CH83" s="220" t="n"/>
      <c r="CI83" s="220" t="n"/>
      <c r="CJ83" s="219">
        <f>IF(N83&lt;O83,CONCATENATE("* El total de Procesados debe ser mayor o igual al total de Reactivos en el grupo de edad ",$N$11),"")</f>
        <v/>
      </c>
      <c r="CK83" s="219">
        <f>IF(P83&lt;Q83,CONCATENATE("* El total de Procesados debe ser mayor o igual al total de Reactivos en el grupo de edad ",$P$11),"")</f>
        <v/>
      </c>
      <c r="CL83" s="219">
        <f>IF(R83&lt;S83,CONCATENATE("* El total de Procesados debe ser mayor o igual al total de Reactivos en el grupo de edad ",$R$11),"")</f>
        <v/>
      </c>
      <c r="CM83" s="219">
        <f>IF($T83&lt;$U83,CONCATENATE("* El total de Procesados debe ser mayor o igual al total de Reactivos en el grupo de edad ",$T$11),"")</f>
        <v/>
      </c>
      <c r="CN83" s="219">
        <f>IF(V83&lt;W83,CONCATENATE("* El total de Procesados debe ser mayor o igual al total de Reactivos en el grupo de edad ",$V$11),"")</f>
        <v/>
      </c>
      <c r="CO83" s="219">
        <f>IF(X83&lt;Y83,CONCATENATE("* El total de Procesados debe ser mayor o igual al total de Reactivos en el grupo de edad ",$X$11),"")</f>
        <v/>
      </c>
      <c r="CP83" s="219">
        <f>IF(Z83&lt;AA83,CONCATENATE("* El total de Procesados debe ser mayor o igual al total de Reactivos en el grupo de edad ",$Z$11),"")</f>
        <v/>
      </c>
      <c r="CQ83" s="219">
        <f>IF(AB83&lt;AC83,CONCATENATE("* El total de Procesados debe ser mayor o igual al total de Reactivos en el grupo de edad ",$AB$11),"")</f>
        <v/>
      </c>
      <c r="CR83" s="219">
        <f>IF(AD83&lt;AE83,CONCATENATE("* El total de Procesados debe ser mayor o igual al total de Reactivos en el grupo de edad ",$AD$11),"")</f>
        <v/>
      </c>
      <c r="CS83" s="219">
        <f>IF(AF83&lt;AG83,CONCATENATE("* El total de Procesados debe ser mayor o igual al total de Reactivos en el grupo de edad ",$AF$11),"")</f>
        <v/>
      </c>
      <c r="CT83" s="219">
        <f>IF(AH83&lt;AI83,CONCATENATE("* El total de Procesados debe ser mayor o igual al total de Reactivos en el grupo de edad ",$AH$11),"")</f>
        <v/>
      </c>
      <c r="CU83" s="219">
        <f>IF(AJ83&lt;AK83,CONCATENATE("* El total de Procesados debe ser mayor o igual al total de Reactivos en el grupo de edad ",$AJ$11),"")</f>
        <v/>
      </c>
      <c r="CV83" s="219">
        <f>IF(AL83&lt;AM83,CONCATENATE("* El total de Procesados debe ser mayor o igual al total de Reactivos en el grupo de edad ",$AL$11),"")</f>
        <v/>
      </c>
      <c r="CW83" s="219">
        <f>IF(AN83&lt;AO83,CONCATENATE("* El total de Procesados debe ser mayor o igual al total de Reactivos en el grupo de edad ",$AN$11),"")</f>
        <v/>
      </c>
      <c r="CX83" s="219">
        <f>IF(AP83&lt;AQ83,CONCATENATE("* El total de Procesados debe ser mayor o igual al total de Reactivos en el grupo de edad ",$AP$11),"")</f>
        <v/>
      </c>
      <c r="DE83" s="226" t="n"/>
      <c r="DF83" s="378">
        <f>IF(B83&lt;&gt;(AS83),1,0)</f>
        <v/>
      </c>
      <c r="DG83" s="376">
        <f>IF(AND($B83&gt;0,AND(AT83="",AU83="")),1,IF((AT83+AU83)&gt;$B83,1,0))</f>
        <v/>
      </c>
      <c r="DH83" s="376">
        <f>IF(AND($B83&gt;0,AV83=""),1,IF(AV83&gt;$B83,1,0))</f>
        <v/>
      </c>
      <c r="DI83" s="376">
        <f>IF(AND($B83&gt;0,AW83=""),1,IF(AW83&gt;$B83,1,0))</f>
        <v/>
      </c>
      <c r="DJ83" s="220" t="n"/>
      <c r="DK83" s="220" t="n"/>
      <c r="DL83" s="220" t="n"/>
      <c r="DM83" s="220" t="n"/>
      <c r="DN83" s="220" t="n"/>
      <c r="DO83" s="376">
        <f>IF(N83&lt;O83,1,0)</f>
        <v/>
      </c>
      <c r="DP83" s="376">
        <f>IF(P83&lt;Q83,1,0)</f>
        <v/>
      </c>
      <c r="DQ83" s="376">
        <f>IF(R83&lt;S83,1,0)</f>
        <v/>
      </c>
      <c r="DR83" s="376">
        <f>IF($T83&lt;$U83,1,0)</f>
        <v/>
      </c>
      <c r="DS83" s="376">
        <f>IF(V83&lt;W83,1,0)</f>
        <v/>
      </c>
      <c r="DT83" s="376">
        <f>IF(X83&lt;Y83,1,0)</f>
        <v/>
      </c>
      <c r="DU83" s="376">
        <f>IF(Z83&lt;AA83,1,0)</f>
        <v/>
      </c>
      <c r="DV83" s="376">
        <f>IF(AB83&lt;AC83,1,0)</f>
        <v/>
      </c>
      <c r="DW83" s="376">
        <f>IF(AD83&lt;AE83,1,0)</f>
        <v/>
      </c>
      <c r="DX83" s="376">
        <f>IF(AF83&lt;AG83,1,0)</f>
        <v/>
      </c>
      <c r="DY83" s="376">
        <f>IF(AH83&lt;AI83,1,0)</f>
        <v/>
      </c>
      <c r="DZ83" s="376">
        <f>IF(AJ83&lt;AK83,1,0)</f>
        <v/>
      </c>
      <c r="EA83" s="376">
        <f>IF(AL83&lt;AM83,1,0)</f>
        <v/>
      </c>
      <c r="EB83" s="376">
        <f>IF(AN83&lt;AO83,1,0)</f>
        <v/>
      </c>
      <c r="EC83" s="376">
        <f>IF(AP83&lt;AQ83,1,0)</f>
        <v/>
      </c>
    </row>
    <row r="84">
      <c r="A84" s="8538" t="inlineStr">
        <is>
          <t>Pareja de gestante con serología reactiva</t>
        </is>
      </c>
      <c r="B84" s="3103">
        <f>+N84+P84+R84+T84+V84+X84+Z84+AB84+AD84+AF84+AH84+AJ84+AL84+AN84+AP84</f>
        <v/>
      </c>
      <c r="C84" s="1171">
        <f>+O84+Q84+S84+U84+W84+Y84+AA84+AC84+AE84+AG84+AI84+AK84+AM84+AO84+AQ84</f>
        <v/>
      </c>
      <c r="D84" s="3112" t="n"/>
      <c r="E84" s="3105" t="n"/>
      <c r="F84" s="3104" t="n"/>
      <c r="G84" s="3105" t="n"/>
      <c r="H84" s="3104" t="n"/>
      <c r="I84" s="3105" t="n"/>
      <c r="J84" s="3104" t="n"/>
      <c r="K84" s="3105" t="n"/>
      <c r="L84" s="3104" t="n"/>
      <c r="M84" s="3106" t="n"/>
      <c r="N84" s="3100" t="n"/>
      <c r="O84" s="3107" t="n"/>
      <c r="P84" s="3108" t="n"/>
      <c r="Q84" s="3107" t="n"/>
      <c r="R84" s="3108" t="n"/>
      <c r="S84" s="3107" t="n"/>
      <c r="T84" s="3108" t="n"/>
      <c r="U84" s="3107" t="n"/>
      <c r="V84" s="3108" t="n"/>
      <c r="W84" s="3107" t="n"/>
      <c r="X84" s="3108" t="n"/>
      <c r="Y84" s="3107" t="n"/>
      <c r="Z84" s="3108" t="n"/>
      <c r="AA84" s="3107" t="n"/>
      <c r="AB84" s="3108" t="n"/>
      <c r="AC84" s="3107" t="n"/>
      <c r="AD84" s="3108" t="n"/>
      <c r="AE84" s="3107" t="n"/>
      <c r="AF84" s="3108" t="n"/>
      <c r="AG84" s="3107" t="n"/>
      <c r="AH84" s="3108" t="n"/>
      <c r="AI84" s="3107" t="n"/>
      <c r="AJ84" s="3108" t="n"/>
      <c r="AK84" s="3107" t="n"/>
      <c r="AL84" s="3108" t="n"/>
      <c r="AM84" s="3107" t="n"/>
      <c r="AN84" s="3108" t="n"/>
      <c r="AO84" s="3107" t="n"/>
      <c r="AP84" s="3108" t="n"/>
      <c r="AQ84" s="3098" t="n"/>
      <c r="AR84" s="3100" t="n"/>
      <c r="AS84" s="3098" t="n"/>
      <c r="AT84" s="3099" t="n"/>
      <c r="AU84" s="3098" t="n"/>
      <c r="AV84" s="3845" t="n"/>
      <c r="AW84" s="3656" t="n"/>
      <c r="AX84" s="218">
        <f>$CA84&amp;CB84&amp;CC84&amp;$CD84&amp;CJ84&amp;CK84&amp;CL84&amp;CM84&amp;CN84&amp;CO84&amp;CP84&amp;CQ84&amp;CR84&amp;CS84&amp;CT84&amp;CU84&amp;CV84&amp;CW84&amp;CX84</f>
        <v/>
      </c>
      <c r="CA84" s="219">
        <f>IF(B84&lt;&gt;(AS84+AR84)," * La suma de las columnas "&amp;AR$10&amp;""&amp;" DEBE SER IGUAL a los Exámenes Procesados. ","")</f>
        <v/>
      </c>
      <c r="CB84" s="219">
        <f>IF(AND($B84&gt;0,AND(AT84="",AU84="")),"* No olvide ingresar las columnas Trans Masculino o Femenino (*Digite CERO si no tiene). ",IF((AT84+AU84)&gt;$B84,"* El Número de Trans Masculino o Femenino no puede superar el Total Procesados. ",""))</f>
        <v/>
      </c>
      <c r="CC84" s="219">
        <f>IF(AND($B84&gt;0,AV84=""),"* No olvide ingresar la columna "&amp;AV$10&amp;""&amp;" *(Digite CERO si no tiene). ",IF(AV84&gt;$B84," *El Número de "&amp;AV$10&amp;""&amp;" no puede superar el Total Procesados. ",""))</f>
        <v/>
      </c>
      <c r="CD84" s="219">
        <f>IF(AND($B84&gt;0,AW84=""),"* No olvide ingresar la columna "&amp;AW$10&amp;""&amp;" *(Digite CERO si no tiene). ",IF(AW84&gt;$B84," *El Número de "&amp;AW$10&amp;""&amp;" no puede superar el Total Procesados. ",""))</f>
        <v/>
      </c>
      <c r="CE84" s="220" t="n"/>
      <c r="CF84" s="220" t="n"/>
      <c r="CG84" s="220" t="n"/>
      <c r="CH84" s="220" t="n"/>
      <c r="CI84" s="220" t="n"/>
      <c r="CJ84" s="219">
        <f>IF(N84&lt;O84,CONCATENATE("* El total de Procesados debe ser mayor o igual al total de Reactivos en el grupo de edad ",$N$11),"")</f>
        <v/>
      </c>
      <c r="CK84" s="219">
        <f>IF(P84&lt;Q84,CONCATENATE("* El total de Procesados debe ser mayor o igual al total de Reactivos en el grupo de edad ",$P$11),"")</f>
        <v/>
      </c>
      <c r="CL84" s="219">
        <f>IF(R84&lt;S84,CONCATENATE("* El total de Procesados debe ser mayor o igual al total de Reactivos en el grupo de edad ",$R$11),"")</f>
        <v/>
      </c>
      <c r="CM84" s="219">
        <f>IF($T84&lt;$U84,CONCATENATE("* El total de Procesados debe ser mayor o igual al total de Reactivos en el grupo de edad ",$T$11),"")</f>
        <v/>
      </c>
      <c r="CN84" s="219">
        <f>IF(V84&lt;W84,CONCATENATE("* El total de Procesados debe ser mayor o igual al total de Reactivos en el grupo de edad ",$V$11),"")</f>
        <v/>
      </c>
      <c r="CO84" s="219">
        <f>IF(X84&lt;Y84,CONCATENATE("* El total de Procesados debe ser mayor o igual al total de Reactivos en el grupo de edad ",$X$11),"")</f>
        <v/>
      </c>
      <c r="CP84" s="219">
        <f>IF(Z84&lt;AA84,CONCATENATE("* El total de Procesados debe ser mayor o igual al total de Reactivos en el grupo de edad ",$Z$11),"")</f>
        <v/>
      </c>
      <c r="CQ84" s="219">
        <f>IF(AB84&lt;AC84,CONCATENATE("* El total de Procesados debe ser mayor o igual al total de Reactivos en el grupo de edad ",$AB$11),"")</f>
        <v/>
      </c>
      <c r="CR84" s="219">
        <f>IF(AD84&lt;AE84,CONCATENATE("* El total de Procesados debe ser mayor o igual al total de Reactivos en el grupo de edad ",$AD$11),"")</f>
        <v/>
      </c>
      <c r="CS84" s="219">
        <f>IF(AF84&lt;AG84,CONCATENATE("* El total de Procesados debe ser mayor o igual al total de Reactivos en el grupo de edad ",$AF$11),"")</f>
        <v/>
      </c>
      <c r="CT84" s="219">
        <f>IF(AH84&lt;AI84,CONCATENATE("* El total de Procesados debe ser mayor o igual al total de Reactivos en el grupo de edad ",$AH$11),"")</f>
        <v/>
      </c>
      <c r="CU84" s="219">
        <f>IF(AJ84&lt;AK84,CONCATENATE("* El total de Procesados debe ser mayor o igual al total de Reactivos en el grupo de edad ",$AJ$11),"")</f>
        <v/>
      </c>
      <c r="CV84" s="219">
        <f>IF(AL84&lt;AM84,CONCATENATE("* El total de Procesados debe ser mayor o igual al total de Reactivos en el grupo de edad ",$AL$11),"")</f>
        <v/>
      </c>
      <c r="CW84" s="219">
        <f>IF(AN84&lt;AO84,CONCATENATE("* El total de Procesados debe ser mayor o igual al total de Reactivos en el grupo de edad ",$AN$11),"")</f>
        <v/>
      </c>
      <c r="CX84" s="219">
        <f>IF(AP84&lt;AQ84,CONCATENATE("* El total de Procesados debe ser mayor o igual al total de Reactivos en el grupo de edad ",$AP$11),"")</f>
        <v/>
      </c>
      <c r="DE84" s="226" t="n"/>
      <c r="DF84" s="378">
        <f>IF(B84&lt;&gt;(AS84+AR84),1,0)</f>
        <v/>
      </c>
      <c r="DG84" s="376">
        <f>IF(AND($B84&gt;0,AND(AT84="",AU84="")),1,IF((AT84+AU84)&gt;$B84,1,0))</f>
        <v/>
      </c>
      <c r="DH84" s="376">
        <f>IF(AND($B84&gt;0,AV84=""),1,IF(AV84&gt;$B84,1,0))</f>
        <v/>
      </c>
      <c r="DI84" s="376">
        <f>IF(AND($B84&gt;0,AW84=""),1,IF(AW84&gt;$B84,1,0))</f>
        <v/>
      </c>
      <c r="DJ84" s="220" t="n"/>
      <c r="DK84" s="220" t="n"/>
      <c r="DL84" s="220" t="n"/>
      <c r="DM84" s="220" t="n"/>
      <c r="DN84" s="220" t="n"/>
      <c r="DO84" s="376">
        <f>IF(N84&lt;O84,1,0)</f>
        <v/>
      </c>
      <c r="DP84" s="376">
        <f>IF(P84&lt;Q84,1,0)</f>
        <v/>
      </c>
      <c r="DQ84" s="376">
        <f>IF(R84&lt;S84,1,0)</f>
        <v/>
      </c>
      <c r="DR84" s="376">
        <f>IF($T84&lt;$U84,1,0)</f>
        <v/>
      </c>
      <c r="DS84" s="376">
        <f>IF(V84&lt;W84,1,0)</f>
        <v/>
      </c>
      <c r="DT84" s="376">
        <f>IF(X84&lt;Y84,1,0)</f>
        <v/>
      </c>
      <c r="DU84" s="376">
        <f>IF(Z84&lt;AA84,1,0)</f>
        <v/>
      </c>
      <c r="DV84" s="376">
        <f>IF(AB84&lt;AC84,1,0)</f>
        <v/>
      </c>
      <c r="DW84" s="376">
        <f>IF(AD84&lt;AE84,1,0)</f>
        <v/>
      </c>
      <c r="DX84" s="376">
        <f>IF(AF84&lt;AG84,1,0)</f>
        <v/>
      </c>
      <c r="DY84" s="376">
        <f>IF(AH84&lt;AI84,1,0)</f>
        <v/>
      </c>
      <c r="DZ84" s="376">
        <f>IF(AJ84&lt;AK84,1,0)</f>
        <v/>
      </c>
      <c r="EA84" s="376">
        <f>IF(AL84&lt;AM84,1,0)</f>
        <v/>
      </c>
      <c r="EB84" s="376">
        <f>IF(AN84&lt;AO84,1,0)</f>
        <v/>
      </c>
      <c r="EC84" s="376">
        <f>IF(AP84&lt;AQ84,1,0)</f>
        <v/>
      </c>
    </row>
    <row r="85">
      <c r="A85" s="8538" t="inlineStr">
        <is>
          <t>Mujeres que ingresan a maternidad por parto</t>
        </is>
      </c>
      <c r="B85" s="3103">
        <f>+N85+P85+R85+T85+V85+X85+Z85+AB85+AD85+AF85+AH85+AJ85+AL85+AN85+AP85</f>
        <v/>
      </c>
      <c r="C85" s="1171">
        <f>+O85+Q85+S85+U85+W85+Y85+AA85+AC85+AE85+AG85+AI85+AK85+AM85+AO85+AQ85</f>
        <v/>
      </c>
      <c r="D85" s="3112" t="n"/>
      <c r="E85" s="3105" t="n"/>
      <c r="F85" s="3104" t="n"/>
      <c r="G85" s="3105" t="n"/>
      <c r="H85" s="3104" t="n"/>
      <c r="I85" s="3105" t="n"/>
      <c r="J85" s="3104" t="n"/>
      <c r="K85" s="3105" t="n"/>
      <c r="L85" s="3104" t="n"/>
      <c r="M85" s="3106" t="n"/>
      <c r="N85" s="3100" t="n"/>
      <c r="O85" s="3107" t="n"/>
      <c r="P85" s="3108" t="n"/>
      <c r="Q85" s="3107" t="n"/>
      <c r="R85" s="3108" t="n"/>
      <c r="S85" s="3107" t="n"/>
      <c r="T85" s="3108" t="n"/>
      <c r="U85" s="3107" t="n"/>
      <c r="V85" s="3108" t="n"/>
      <c r="W85" s="3107" t="n"/>
      <c r="X85" s="3108" t="n"/>
      <c r="Y85" s="3107" t="n"/>
      <c r="Z85" s="3108" t="n"/>
      <c r="AA85" s="3107" t="n"/>
      <c r="AB85" s="3108" t="n"/>
      <c r="AC85" s="3107" t="n"/>
      <c r="AD85" s="3108" t="n"/>
      <c r="AE85" s="3107" t="n"/>
      <c r="AF85" s="3108" t="n"/>
      <c r="AG85" s="3107" t="n"/>
      <c r="AH85" s="3108" t="n"/>
      <c r="AI85" s="3107" t="n"/>
      <c r="AJ85" s="3108" t="n"/>
      <c r="AK85" s="3107" t="n"/>
      <c r="AL85" s="3108" t="n"/>
      <c r="AM85" s="3107" t="n"/>
      <c r="AN85" s="3108" t="n"/>
      <c r="AO85" s="3107" t="n"/>
      <c r="AP85" s="3108" t="n"/>
      <c r="AQ85" s="3098" t="n"/>
      <c r="AR85" s="3097" t="n"/>
      <c r="AS85" s="3098" t="n"/>
      <c r="AT85" s="3099" t="n"/>
      <c r="AU85" s="3098" t="n"/>
      <c r="AV85" s="3845" t="n"/>
      <c r="AW85" s="3656" t="n"/>
      <c r="AX85" s="218">
        <f>$CA85&amp;CB85&amp;CC85&amp;$CD85&amp;CJ85&amp;CK85&amp;CL85&amp;CM85&amp;CN85&amp;CO85&amp;CP85&amp;CQ85&amp;CR85&amp;CS85&amp;CT85&amp;CU85&amp;CV85&amp;CW85&amp;CX85</f>
        <v/>
      </c>
      <c r="CA85" s="219">
        <f>IF(B85&lt;&gt;(AS85)," * La suma de las columnas "&amp;AR$10&amp;""&amp;" DEBE SER IGUAL a los Exámenes Procesados. ","")</f>
        <v/>
      </c>
      <c r="CB85" s="219">
        <f>IF(AND($B85&gt;0,AND(AT85="",AU85="")),"* No olvide ingresar las columnas Trans Masculino o Femenino (*Digite CERO si no tiene). ",IF((AT85+AU85)&gt;$B85,"* El Número de Trans Masculino o Femenino no puede superar el Total Procesados. ",""))</f>
        <v/>
      </c>
      <c r="CC85" s="219">
        <f>IF(AND($B85&gt;0,AV85=""),"* No olvide ingresar la columna "&amp;AV$10&amp;""&amp;" *(Digite CERO si no tiene). ",IF(AV85&gt;$B85," *El Número de "&amp;AV$10&amp;""&amp;" no puede superar el Total Procesados. ",""))</f>
        <v/>
      </c>
      <c r="CD85" s="219">
        <f>IF(AND($B85&gt;0,AW85=""),"* No olvide ingresar la columna "&amp;AW$10&amp;""&amp;" *(Digite CERO si no tiene). ",IF(AW85&gt;$B85," *El Número de "&amp;AW$10&amp;""&amp;" no puede superar el Total Procesados. ",""))</f>
        <v/>
      </c>
      <c r="CE85" s="220" t="n"/>
      <c r="CF85" s="220" t="n"/>
      <c r="CG85" s="220" t="n"/>
      <c r="CH85" s="220" t="n"/>
      <c r="CI85" s="220" t="n"/>
      <c r="CJ85" s="219">
        <f>IF(N85&lt;O85,CONCATENATE("* El total de Procesados debe ser mayor o igual al total de Reactivos en el grupo de edad ",$N$11),"")</f>
        <v/>
      </c>
      <c r="CK85" s="219">
        <f>IF(P85&lt;Q85,CONCATENATE("* El total de Procesados debe ser mayor o igual al total de Reactivos en el grupo de edad ",$P$11),"")</f>
        <v/>
      </c>
      <c r="CL85" s="219">
        <f>IF(R85&lt;S85,CONCATENATE("* El total de Procesados debe ser mayor o igual al total de Reactivos en el grupo de edad ",$R$11),"")</f>
        <v/>
      </c>
      <c r="CM85" s="219">
        <f>IF($T85&lt;$U85,CONCATENATE("* El total de Procesados debe ser mayor o igual al total de Reactivos en el grupo de edad ",$T$11),"")</f>
        <v/>
      </c>
      <c r="CN85" s="219">
        <f>IF(V85&lt;W85,CONCATENATE("* El total de Procesados debe ser mayor o igual al total de Reactivos en el grupo de edad ",$V$11),"")</f>
        <v/>
      </c>
      <c r="CO85" s="219">
        <f>IF(X85&lt;Y85,CONCATENATE("* El total de Procesados debe ser mayor o igual al total de Reactivos en el grupo de edad ",$X$11),"")</f>
        <v/>
      </c>
      <c r="CP85" s="219">
        <f>IF(Z85&lt;AA85,CONCATENATE("* El total de Procesados debe ser mayor o igual al total de Reactivos en el grupo de edad ",$Z$11),"")</f>
        <v/>
      </c>
      <c r="CQ85" s="219">
        <f>IF(AB85&lt;AC85,CONCATENATE("* El total de Procesados debe ser mayor o igual al total de Reactivos en el grupo de edad ",$AB$11),"")</f>
        <v/>
      </c>
      <c r="CR85" s="219">
        <f>IF(AD85&lt;AE85,CONCATENATE("* El total de Procesados debe ser mayor o igual al total de Reactivos en el grupo de edad ",$AD$11),"")</f>
        <v/>
      </c>
      <c r="CS85" s="219">
        <f>IF(AF85&lt;AG85,CONCATENATE("* El total de Procesados debe ser mayor o igual al total de Reactivos en el grupo de edad ",$AF$11),"")</f>
        <v/>
      </c>
      <c r="CT85" s="219">
        <f>IF(AH85&lt;AI85,CONCATENATE("* El total de Procesados debe ser mayor o igual al total de Reactivos en el grupo de edad ",$AH$11),"")</f>
        <v/>
      </c>
      <c r="CU85" s="219">
        <f>IF(AJ85&lt;AK85,CONCATENATE("* El total de Procesados debe ser mayor o igual al total de Reactivos en el grupo de edad ",$AJ$11),"")</f>
        <v/>
      </c>
      <c r="CV85" s="219">
        <f>IF(AL85&lt;AM85,CONCATENATE("* El total de Procesados debe ser mayor o igual al total de Reactivos en el grupo de edad ",$AL$11),"")</f>
        <v/>
      </c>
      <c r="CW85" s="219">
        <f>IF(AN85&lt;AO85,CONCATENATE("* El total de Procesados debe ser mayor o igual al total de Reactivos en el grupo de edad ",$AN$11),"")</f>
        <v/>
      </c>
      <c r="CX85" s="219">
        <f>IF(AP85&lt;AQ85,CONCATENATE("* El total de Procesados debe ser mayor o igual al total de Reactivos en el grupo de edad ",$AP$11),"")</f>
        <v/>
      </c>
      <c r="DE85" s="226" t="n"/>
      <c r="DF85" s="378">
        <f>IF(B85&lt;&gt;(AS85),1,0)</f>
        <v/>
      </c>
      <c r="DG85" s="376">
        <f>IF(AND($B85&gt;0,AND(AT85="",AU85="")),1,IF((AT85+AU85)&gt;$B85,1,0))</f>
        <v/>
      </c>
      <c r="DH85" s="376">
        <f>IF(AND($B85&gt;0,AV85=""),1,IF(AV85&gt;$B85,1,0))</f>
        <v/>
      </c>
      <c r="DI85" s="376">
        <f>IF(AND($B85&gt;0,AW85=""),1,IF(AW85&gt;$B85,1,0))</f>
        <v/>
      </c>
      <c r="DJ85" s="220" t="n"/>
      <c r="DK85" s="220" t="n"/>
      <c r="DL85" s="220" t="n"/>
      <c r="DM85" s="220" t="n"/>
      <c r="DN85" s="220" t="n"/>
      <c r="DO85" s="376">
        <f>IF(N85&lt;O85,1,0)</f>
        <v/>
      </c>
      <c r="DP85" s="376">
        <f>IF(P85&lt;Q85,1,0)</f>
        <v/>
      </c>
      <c r="DQ85" s="376">
        <f>IF(R85&lt;S85,1,0)</f>
        <v/>
      </c>
      <c r="DR85" s="376">
        <f>IF($T85&lt;$U85,1,0)</f>
        <v/>
      </c>
      <c r="DS85" s="376">
        <f>IF(V85&lt;W85,1,0)</f>
        <v/>
      </c>
      <c r="DT85" s="376">
        <f>IF(X85&lt;Y85,1,0)</f>
        <v/>
      </c>
      <c r="DU85" s="376">
        <f>IF(Z85&lt;AA85,1,0)</f>
        <v/>
      </c>
      <c r="DV85" s="376">
        <f>IF(AB85&lt;AC85,1,0)</f>
        <v/>
      </c>
      <c r="DW85" s="376">
        <f>IF(AD85&lt;AE85,1,0)</f>
        <v/>
      </c>
      <c r="DX85" s="376">
        <f>IF(AF85&lt;AG85,1,0)</f>
        <v/>
      </c>
      <c r="DY85" s="376">
        <f>IF(AH85&lt;AI85,1,0)</f>
        <v/>
      </c>
      <c r="DZ85" s="376">
        <f>IF(AJ85&lt;AK85,1,0)</f>
        <v/>
      </c>
      <c r="EA85" s="376">
        <f>IF(AL85&lt;AM85,1,0)</f>
        <v/>
      </c>
      <c r="EB85" s="376">
        <f>IF(AN85&lt;AO85,1,0)</f>
        <v/>
      </c>
      <c r="EC85" s="376">
        <f>IF(AP85&lt;AQ85,1,0)</f>
        <v/>
      </c>
    </row>
    <row r="86">
      <c r="A86" s="3119" t="inlineStr">
        <is>
          <t>Mujeres que ingresan por aborto</t>
        </is>
      </c>
      <c r="B86" s="3103">
        <f>+N86+P86+R86+T86+V86+X86+Z86+AB86+AD86+AF86+AH86+AJ86+AL86+AN86+AP86</f>
        <v/>
      </c>
      <c r="C86" s="1171">
        <f>+O86+Q86+S86+U86+W86+Y86+AA86+AC86+AE86+AG86+AI86+AK86+AM86+AO86+AQ86</f>
        <v/>
      </c>
      <c r="D86" s="3112" t="n"/>
      <c r="E86" s="3105" t="n"/>
      <c r="F86" s="3104" t="n"/>
      <c r="G86" s="3105" t="n"/>
      <c r="H86" s="3104" t="n"/>
      <c r="I86" s="3105" t="n"/>
      <c r="J86" s="3104" t="n"/>
      <c r="K86" s="3105" t="n"/>
      <c r="L86" s="3104" t="n"/>
      <c r="M86" s="3106" t="n"/>
      <c r="N86" s="3100" t="n"/>
      <c r="O86" s="3107" t="n"/>
      <c r="P86" s="3108" t="n"/>
      <c r="Q86" s="3107" t="n"/>
      <c r="R86" s="3108" t="n"/>
      <c r="S86" s="3107" t="n"/>
      <c r="T86" s="3108" t="n"/>
      <c r="U86" s="3107" t="n"/>
      <c r="V86" s="3108" t="n"/>
      <c r="W86" s="3107" t="n"/>
      <c r="X86" s="3108" t="n"/>
      <c r="Y86" s="3107" t="n"/>
      <c r="Z86" s="3108" t="n"/>
      <c r="AA86" s="3107" t="n"/>
      <c r="AB86" s="3108" t="n"/>
      <c r="AC86" s="3107" t="n"/>
      <c r="AD86" s="3108" t="n"/>
      <c r="AE86" s="3107" t="n"/>
      <c r="AF86" s="3108" t="n"/>
      <c r="AG86" s="3107" t="n"/>
      <c r="AH86" s="3108" t="n"/>
      <c r="AI86" s="3107" t="n"/>
      <c r="AJ86" s="3108" t="n"/>
      <c r="AK86" s="3107" t="n"/>
      <c r="AL86" s="3108" t="n"/>
      <c r="AM86" s="3107" t="n"/>
      <c r="AN86" s="3108" t="n"/>
      <c r="AO86" s="3107" t="n"/>
      <c r="AP86" s="3108" t="n"/>
      <c r="AQ86" s="3098" t="n"/>
      <c r="AR86" s="3097" t="n"/>
      <c r="AS86" s="3098" t="n"/>
      <c r="AT86" s="3099" t="n"/>
      <c r="AU86" s="3098" t="n"/>
      <c r="AV86" s="3845" t="n"/>
      <c r="AW86" s="3656" t="n"/>
      <c r="AX86" s="218">
        <f>$CA86&amp;CB86&amp;CC86&amp;$CD86&amp;CJ86&amp;CK86&amp;CL86&amp;CM86&amp;CN86&amp;CO86&amp;CP86&amp;CQ86&amp;CR86&amp;CS86&amp;CT86&amp;CU86&amp;CV86&amp;CW86&amp;CX86</f>
        <v/>
      </c>
      <c r="CA86" s="219">
        <f>IF(B86&lt;&gt;(AS86)," * La suma de las columnas "&amp;AR$10&amp;""&amp;" DEBE SER IGUAL a los Exámenes Procesados. ","")</f>
        <v/>
      </c>
      <c r="CB86" s="219">
        <f>IF(AND($B86&gt;0,AND(AT86="",AU86="")),"* No olvide ingresar las columnas Trans Masculino o Femenino (*Digite CERO si no tiene). ",IF((AT86+AU86)&gt;$B86,"* El Número de Trans Masculino o Femenino no puede superar el Total Procesados. ",""))</f>
        <v/>
      </c>
      <c r="CC86" s="219">
        <f>IF(AND($B86&gt;0,AV86=""),"* No olvide ingresar la columna "&amp;AV$10&amp;""&amp;" *(Digite CERO si no tiene). ",IF(AV86&gt;$B86," *El Número de "&amp;AV$10&amp;""&amp;" no puede superar el Total Procesados. ",""))</f>
        <v/>
      </c>
      <c r="CD86" s="219">
        <f>IF(AND($B86&gt;0,AW86=""),"* No olvide ingresar la columna "&amp;AW$10&amp;""&amp;" *(Digite CERO si no tiene). ",IF(AW86&gt;$B86," *El Número de "&amp;AW$10&amp;""&amp;" no puede superar el Total Procesados. ",""))</f>
        <v/>
      </c>
      <c r="CE86" s="220" t="n"/>
      <c r="CF86" s="220" t="n"/>
      <c r="CG86" s="220" t="n"/>
      <c r="CH86" s="220" t="n"/>
      <c r="CI86" s="220" t="n"/>
      <c r="CJ86" s="219">
        <f>IF(N86&lt;O86,CONCATENATE("* El total de Procesados debe ser mayor o igual al total de Reactivos en el grupo de edad ",$N$11),"")</f>
        <v/>
      </c>
      <c r="CK86" s="219">
        <f>IF(P86&lt;Q86,CONCATENATE("* El total de Procesados debe ser mayor o igual al total de Reactivos en el grupo de edad ",$P$11),"")</f>
        <v/>
      </c>
      <c r="CL86" s="219">
        <f>IF(R86&lt;S86,CONCATENATE("* El total de Procesados debe ser mayor o igual al total de Reactivos en el grupo de edad ",$R$11),"")</f>
        <v/>
      </c>
      <c r="CM86" s="219">
        <f>IF($T86&lt;$U86,CONCATENATE("* El total de Procesados debe ser mayor o igual al total de Reactivos en el grupo de edad ",$T$11),"")</f>
        <v/>
      </c>
      <c r="CN86" s="219">
        <f>IF(V86&lt;W86,CONCATENATE("* El total de Procesados debe ser mayor o igual al total de Reactivos en el grupo de edad ",$V$11),"")</f>
        <v/>
      </c>
      <c r="CO86" s="219">
        <f>IF(X86&lt;Y86,CONCATENATE("* El total de Procesados debe ser mayor o igual al total de Reactivos en el grupo de edad ",$X$11),"")</f>
        <v/>
      </c>
      <c r="CP86" s="219">
        <f>IF(Z86&lt;AA86,CONCATENATE("* El total de Procesados debe ser mayor o igual al total de Reactivos en el grupo de edad ",$Z$11),"")</f>
        <v/>
      </c>
      <c r="CQ86" s="219">
        <f>IF(AB86&lt;AC86,CONCATENATE("* El total de Procesados debe ser mayor o igual al total de Reactivos en el grupo de edad ",$AB$11),"")</f>
        <v/>
      </c>
      <c r="CR86" s="219">
        <f>IF(AD86&lt;AE86,CONCATENATE("* El total de Procesados debe ser mayor o igual al total de Reactivos en el grupo de edad ",$AD$11),"")</f>
        <v/>
      </c>
      <c r="CS86" s="219">
        <f>IF(AF86&lt;AG86,CONCATENATE("* El total de Procesados debe ser mayor o igual al total de Reactivos en el grupo de edad ",$AF$11),"")</f>
        <v/>
      </c>
      <c r="CT86" s="219">
        <f>IF(AH86&lt;AI86,CONCATENATE("* El total de Procesados debe ser mayor o igual al total de Reactivos en el grupo de edad ",$AH$11),"")</f>
        <v/>
      </c>
      <c r="CU86" s="219">
        <f>IF(AJ86&lt;AK86,CONCATENATE("* El total de Procesados debe ser mayor o igual al total de Reactivos en el grupo de edad ",$AJ$11),"")</f>
        <v/>
      </c>
      <c r="CV86" s="219">
        <f>IF(AL86&lt;AM86,CONCATENATE("* El total de Procesados debe ser mayor o igual al total de Reactivos en el grupo de edad ",$AL$11),"")</f>
        <v/>
      </c>
      <c r="CW86" s="219">
        <f>IF(AN86&lt;AO86,CONCATENATE("* El total de Procesados debe ser mayor o igual al total de Reactivos en el grupo de edad ",$AN$11),"")</f>
        <v/>
      </c>
      <c r="CX86" s="219">
        <f>IF(AP86&lt;AQ86,CONCATENATE("* El total de Procesados debe ser mayor o igual al total de Reactivos en el grupo de edad ",$AP$11),"")</f>
        <v/>
      </c>
      <c r="DE86" s="226" t="n"/>
      <c r="DF86" s="378">
        <f>IF(B86&lt;&gt;(AS86),1,0)</f>
        <v/>
      </c>
      <c r="DG86" s="376">
        <f>IF(AND($B86&gt;0,AND(AT86="",AU86="")),1,IF((AT86+AU86)&gt;$B86,1,0))</f>
        <v/>
      </c>
      <c r="DH86" s="376">
        <f>IF(AND($B86&gt;0,AV86=""),1,IF(AV86&gt;$B86,1,0))</f>
        <v/>
      </c>
      <c r="DI86" s="376">
        <f>IF(AND($B86&gt;0,AW86=""),1,IF(AW86&gt;$B86,1,0))</f>
        <v/>
      </c>
      <c r="DJ86" s="220" t="n"/>
      <c r="DK86" s="220" t="n"/>
      <c r="DL86" s="220" t="n"/>
      <c r="DM86" s="220" t="n"/>
      <c r="DN86" s="220" t="n"/>
      <c r="DO86" s="376">
        <f>IF(N86&lt;O86,1,0)</f>
        <v/>
      </c>
      <c r="DP86" s="376">
        <f>IF(P86&lt;Q86,1,0)</f>
        <v/>
      </c>
      <c r="DQ86" s="376">
        <f>IF(R86&lt;S86,1,0)</f>
        <v/>
      </c>
      <c r="DR86" s="376">
        <f>IF($T86&lt;$U86,1,0)</f>
        <v/>
      </c>
      <c r="DS86" s="376">
        <f>IF(V86&lt;W86,1,0)</f>
        <v/>
      </c>
      <c r="DT86" s="376">
        <f>IF(X86&lt;Y86,1,0)</f>
        <v/>
      </c>
      <c r="DU86" s="376">
        <f>IF(Z86&lt;AA86,1,0)</f>
        <v/>
      </c>
      <c r="DV86" s="376">
        <f>IF(AB86&lt;AC86,1,0)</f>
        <v/>
      </c>
      <c r="DW86" s="376">
        <f>IF(AD86&lt;AE86,1,0)</f>
        <v/>
      </c>
      <c r="DX86" s="376">
        <f>IF(AF86&lt;AG86,1,0)</f>
        <v/>
      </c>
      <c r="DY86" s="376">
        <f>IF(AH86&lt;AI86,1,0)</f>
        <v/>
      </c>
      <c r="DZ86" s="376">
        <f>IF(AJ86&lt;AK86,1,0)</f>
        <v/>
      </c>
      <c r="EA86" s="376">
        <f>IF(AL86&lt;AM86,1,0)</f>
        <v/>
      </c>
      <c r="EB86" s="376">
        <f>IF(AN86&lt;AO86,1,0)</f>
        <v/>
      </c>
      <c r="EC86" s="376">
        <f>IF(AP86&lt;AQ86,1,0)</f>
        <v/>
      </c>
    </row>
    <row r="87">
      <c r="A87" s="3119" t="inlineStr">
        <is>
          <t>Mujeres en control ginecológico</t>
        </is>
      </c>
      <c r="B87" s="3103">
        <f>+D87+F87+H87+J87+L87+N87+P87+R87+T87+V87+X87+Z87+AB87+AD87+AF87+AH87+AJ87+AL87+AN87+AP87</f>
        <v/>
      </c>
      <c r="C87" s="1171">
        <f>+E87+G87+I87+K87+M87+O87+Q87+S87+U87+W87+Y87+AA87+AC87+AE87+AG87+AI87+AK87+AM87+AO87+AQ87</f>
        <v/>
      </c>
      <c r="D87" s="3100" t="n"/>
      <c r="E87" s="3107" t="n"/>
      <c r="F87" s="3108" t="n"/>
      <c r="G87" s="3107" t="n"/>
      <c r="H87" s="3108" t="n"/>
      <c r="I87" s="3101" t="n"/>
      <c r="J87" s="3100" t="n"/>
      <c r="K87" s="3100" t="n"/>
      <c r="L87" s="3108" t="n"/>
      <c r="M87" s="3101" t="n"/>
      <c r="N87" s="3100" t="n"/>
      <c r="O87" s="3107" t="n"/>
      <c r="P87" s="3108" t="n"/>
      <c r="Q87" s="3107" t="n"/>
      <c r="R87" s="3108" t="n"/>
      <c r="S87" s="3107" t="n"/>
      <c r="T87" s="3108" t="n"/>
      <c r="U87" s="3107" t="n"/>
      <c r="V87" s="3108" t="n"/>
      <c r="W87" s="3107" t="n"/>
      <c r="X87" s="3108" t="n"/>
      <c r="Y87" s="3107" t="n"/>
      <c r="Z87" s="3108" t="n"/>
      <c r="AA87" s="3107" t="n"/>
      <c r="AB87" s="3108" t="n"/>
      <c r="AC87" s="3107" t="n"/>
      <c r="AD87" s="3108" t="n"/>
      <c r="AE87" s="3107" t="n"/>
      <c r="AF87" s="3108" t="n"/>
      <c r="AG87" s="3107" t="n"/>
      <c r="AH87" s="3108" t="n"/>
      <c r="AI87" s="3107" t="n"/>
      <c r="AJ87" s="3108" t="n"/>
      <c r="AK87" s="3107" t="n"/>
      <c r="AL87" s="3108" t="n"/>
      <c r="AM87" s="3107" t="n"/>
      <c r="AN87" s="3108" t="n"/>
      <c r="AO87" s="3107" t="n"/>
      <c r="AP87" s="3108" t="n"/>
      <c r="AQ87" s="3098" t="n"/>
      <c r="AR87" s="3097" t="n"/>
      <c r="AS87" s="3098" t="n"/>
      <c r="AT87" s="3099" t="n"/>
      <c r="AU87" s="3098" t="n"/>
      <c r="AV87" s="3845" t="n"/>
      <c r="AW87" s="3656" t="n"/>
      <c r="AX87" s="218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>
        <f>IF(B87&lt;&gt;(AS87)," * La suma de las columnas "&amp;AR$10&amp;""&amp;" DEBE SER IGUAL a los Exámenes Procesados. ","")</f>
        <v/>
      </c>
      <c r="CB87" s="219">
        <f>IF(AND($B87&gt;0,AND(AT87="",AU87="")),"* No olvide ingresar las columnas Trans Masculino o Femenino (*Digite CERO si no tiene). ",IF((AT87+AU87)&gt;$B87,"* El Número de Trans Masculino o Femenino no puede superar el Total Procesados. ",""))</f>
        <v/>
      </c>
      <c r="CC87" s="219">
        <f>IF(AND($B87&gt;0,AV87=""),"* No olvide ingresar la columna "&amp;AV$10&amp;""&amp;" *(Digite CERO si no tiene). ",IF(AV87&gt;$B87," *El Número de "&amp;AV$10&amp;""&amp;" no puede superar el Total Procesados. ",""))</f>
        <v/>
      </c>
      <c r="CD87" s="219">
        <f>IF(AND($B87&gt;0,AW87=""),"* No olvide ingresar la columna "&amp;AW$10&amp;""&amp;" *(Digite CERO si no tiene). ",IF(AW87&gt;$B87," *El Número de "&amp;AW$10&amp;""&amp;" no puede superar el Total Procesados. ",""))</f>
        <v/>
      </c>
      <c r="CE87" s="219">
        <f>IF(D87&lt;E87,CONCATENATE("* El total de Procesados debe ser mayor o igual al total de Reactivos en el grupo de edad ",$D$11),"")</f>
        <v/>
      </c>
      <c r="CF87" s="219">
        <f>IF(F87&lt;G87,CONCATENATE("* El total de Procesados debe ser mayor o igual al total de Reactivos en el grupo de edad ",$F$11),"")</f>
        <v/>
      </c>
      <c r="CG87" s="219">
        <f>IF(H87&lt;I87,CONCATENATE("* El total de Procesados debe ser mayor o igual al total de Reactivos en el grupo de edad ",$H$11),"")</f>
        <v/>
      </c>
      <c r="CH87" s="219">
        <f>IF(J87&lt;K87,CONCATENATE("* El total de Procesados debe ser mayor o igual al total de Reactivos en el grupo de edad ",$J$11),"")</f>
        <v/>
      </c>
      <c r="CI87" s="219">
        <f>IF(L87&lt;M87,CONCATENATE("* El total de Procesados debe ser mayor o igual al total de Reactivos en el grupo de edad ",$L$11),"")</f>
        <v/>
      </c>
      <c r="CJ87" s="219">
        <f>IF(N87&lt;O87,CONCATENATE("* El total de Procesados debe ser mayor o igual al total de Reactivos en el grupo de edad ",$N$11),"")</f>
        <v/>
      </c>
      <c r="CK87" s="219">
        <f>IF(P87&lt;Q87,CONCATENATE("* El total de Procesados debe ser mayor o igual al total de Reactivos en el grupo de edad ",$P$11),"")</f>
        <v/>
      </c>
      <c r="CL87" s="219">
        <f>IF(R87&lt;S87,CONCATENATE("* El total de Procesados debe ser mayor o igual al total de Reactivos en el grupo de edad ",$R$11),"")</f>
        <v/>
      </c>
      <c r="CM87" s="219">
        <f>IF($T87&lt;$U87,CONCATENATE("* El total de Procesados debe ser mayor o igual al total de Reactivos en el grupo de edad ",$T$11),"")</f>
        <v/>
      </c>
      <c r="CN87" s="219">
        <f>IF(V87&lt;W87,CONCATENATE("* El total de Procesados debe ser mayor o igual al total de Reactivos en el grupo de edad ",$V$11),"")</f>
        <v/>
      </c>
      <c r="CO87" s="219">
        <f>IF(X87&lt;Y87,CONCATENATE("* El total de Procesados debe ser mayor o igual al total de Reactivos en el grupo de edad ",$X$11),"")</f>
        <v/>
      </c>
      <c r="CP87" s="219">
        <f>IF(Z87&lt;AA87,CONCATENATE("* El total de Procesados debe ser mayor o igual al total de Reactivos en el grupo de edad ",$Z$11),"")</f>
        <v/>
      </c>
      <c r="CQ87" s="219">
        <f>IF(AB87&lt;AC87,CONCATENATE("* El total de Procesados debe ser mayor o igual al total de Reactivos en el grupo de edad ",$AB$11),"")</f>
        <v/>
      </c>
      <c r="CR87" s="219">
        <f>IF(AD87&lt;AE87,CONCATENATE("* El total de Procesados debe ser mayor o igual al total de Reactivos en el grupo de edad ",$AD$11),"")</f>
        <v/>
      </c>
      <c r="CS87" s="219">
        <f>IF(AF87&lt;AG87,CONCATENATE("* El total de Procesados debe ser mayor o igual al total de Reactivos en el grupo de edad ",$AF$11),"")</f>
        <v/>
      </c>
      <c r="CT87" s="219">
        <f>IF(AH87&lt;AI87,CONCATENATE("* El total de Procesados debe ser mayor o igual al total de Reactivos en el grupo de edad ",$AH$11),"")</f>
        <v/>
      </c>
      <c r="CU87" s="219">
        <f>IF(AJ87&lt;AK87,CONCATENATE("* El total de Procesados debe ser mayor o igual al total de Reactivos en el grupo de edad ",$AJ$11),"")</f>
        <v/>
      </c>
      <c r="CV87" s="219">
        <f>IF(AL87&lt;AM87,CONCATENATE("* El total de Procesados debe ser mayor o igual al total de Reactivos en el grupo de edad ",$AL$11),"")</f>
        <v/>
      </c>
      <c r="CW87" s="219">
        <f>IF(AN87&lt;AO87,CONCATENATE("* El total de Procesados debe ser mayor o igual al total de Reactivos en el grupo de edad ",$AN$11),"")</f>
        <v/>
      </c>
      <c r="CX87" s="219">
        <f>IF(AP87&lt;AQ87,CONCATENATE("* El total de Procesados debe ser mayor o igual al total de Reactivos en el grupo de edad ",$AP$11),"")</f>
        <v/>
      </c>
      <c r="DE87" s="226" t="n"/>
      <c r="DF87" s="378">
        <f>IF(B87&lt;&gt;(AS87),1,0)</f>
        <v/>
      </c>
      <c r="DG87" s="376">
        <f>IF(AND($B87&gt;0,AND(AT87="",AU87="")),1,IF((AT87+AU87)&gt;$B87,1,0))</f>
        <v/>
      </c>
      <c r="DH87" s="376">
        <f>IF(AND($B87&gt;0,AV87=""),1,IF(AV87&gt;$B87,1,0))</f>
        <v/>
      </c>
      <c r="DI87" s="376">
        <f>IF(AND($B87&gt;0,AW87=""),1,IF(AW87&gt;$B87,1,0))</f>
        <v/>
      </c>
      <c r="DJ87" s="376">
        <f>IF(D87&lt;E87,1,0)</f>
        <v/>
      </c>
      <c r="DK87" s="376">
        <f>IF(F87&lt;G87,1,0)</f>
        <v/>
      </c>
      <c r="DL87" s="376">
        <f>IF(H87&lt;I87,1,0)</f>
        <v/>
      </c>
      <c r="DM87" s="376">
        <f>IF(J87&lt;K87,1,0)</f>
        <v/>
      </c>
      <c r="DN87" s="376">
        <f>IF(L87&lt;M87,1,0)</f>
        <v/>
      </c>
      <c r="DO87" s="376">
        <f>IF(N87&lt;O87,1,0)</f>
        <v/>
      </c>
      <c r="DP87" s="376">
        <f>IF(P87&lt;Q87,1,0)</f>
        <v/>
      </c>
      <c r="DQ87" s="376">
        <f>IF(R87&lt;S87,1,0)</f>
        <v/>
      </c>
      <c r="DR87" s="376">
        <f>IF($T87&lt;$U87,1,0)</f>
        <v/>
      </c>
      <c r="DS87" s="376">
        <f>IF(V87&lt;W87,1,0)</f>
        <v/>
      </c>
      <c r="DT87" s="376">
        <f>IF(X87&lt;Y87,1,0)</f>
        <v/>
      </c>
      <c r="DU87" s="376">
        <f>IF(Z87&lt;AA87,1,0)</f>
        <v/>
      </c>
      <c r="DV87" s="376">
        <f>IF(AB87&lt;AC87,1,0)</f>
        <v/>
      </c>
      <c r="DW87" s="376">
        <f>IF(AD87&lt;AE87,1,0)</f>
        <v/>
      </c>
      <c r="DX87" s="376">
        <f>IF(AF87&lt;AG87,1,0)</f>
        <v/>
      </c>
      <c r="DY87" s="376">
        <f>IF(AH87&lt;AI87,1,0)</f>
        <v/>
      </c>
      <c r="DZ87" s="376">
        <f>IF(AJ87&lt;AK87,1,0)</f>
        <v/>
      </c>
      <c r="EA87" s="376">
        <f>IF(AL87&lt;AM87,1,0)</f>
        <v/>
      </c>
      <c r="EB87" s="376">
        <f>IF(AN87&lt;AO87,1,0)</f>
        <v/>
      </c>
      <c r="EC87" s="376">
        <f>IF(AP87&lt;AQ87,1,0)</f>
        <v/>
      </c>
    </row>
    <row r="88" ht="21" customHeight="1" s="8286">
      <c r="A88" s="8538" t="inlineStr">
        <is>
          <t>Recién nacido y lactante para detección de sífilis congénita</t>
        </is>
      </c>
      <c r="B88" s="3103">
        <f>+D88+F88+H88</f>
        <v/>
      </c>
      <c r="C88" s="1171">
        <f>+E88+G88+I88</f>
        <v/>
      </c>
      <c r="D88" s="3100" t="n"/>
      <c r="E88" s="3107" t="n"/>
      <c r="F88" s="3108" t="n"/>
      <c r="G88" s="3107" t="n"/>
      <c r="H88" s="3108" t="n"/>
      <c r="I88" s="3101" t="n"/>
      <c r="J88" s="3109" t="n"/>
      <c r="K88" s="3110" t="n"/>
      <c r="L88" s="3109" t="n"/>
      <c r="M88" s="3110" t="n"/>
      <c r="N88" s="3109" t="n"/>
      <c r="O88" s="3110" t="n"/>
      <c r="P88" s="3109" t="n"/>
      <c r="Q88" s="3110" t="n"/>
      <c r="R88" s="3109" t="n"/>
      <c r="S88" s="3110" t="n"/>
      <c r="T88" s="3109" t="n"/>
      <c r="U88" s="3110" t="n"/>
      <c r="V88" s="3109" t="n"/>
      <c r="W88" s="3110" t="n"/>
      <c r="X88" s="3109" t="n"/>
      <c r="Y88" s="3110" t="n"/>
      <c r="Z88" s="3109" t="n"/>
      <c r="AA88" s="3110" t="n"/>
      <c r="AB88" s="3109" t="n"/>
      <c r="AC88" s="3110" t="n"/>
      <c r="AD88" s="3109" t="n"/>
      <c r="AE88" s="3110" t="n"/>
      <c r="AF88" s="3109" t="n"/>
      <c r="AG88" s="3110" t="n"/>
      <c r="AH88" s="3109" t="n"/>
      <c r="AI88" s="3110" t="n"/>
      <c r="AJ88" s="3109" t="n"/>
      <c r="AK88" s="3110" t="n"/>
      <c r="AL88" s="3109" t="n"/>
      <c r="AM88" s="3110" t="n"/>
      <c r="AN88" s="3109" t="n"/>
      <c r="AO88" s="3110" t="n"/>
      <c r="AP88" s="3109" t="n"/>
      <c r="AQ88" s="3111" t="n"/>
      <c r="AR88" s="3100" t="n"/>
      <c r="AS88" s="3098" t="n"/>
      <c r="AT88" s="3099" t="n"/>
      <c r="AU88" s="3098" t="n"/>
      <c r="AV88" s="3845" t="n"/>
      <c r="AW88" s="3656" t="n"/>
      <c r="AX88" s="218">
        <f>$CA88&amp;CB88&amp;CC88&amp;$CD88&amp;CE88&amp;CF88&amp;CG88</f>
        <v/>
      </c>
      <c r="CA88" s="219">
        <f>IF(B88&lt;&gt;(AS88+AR88)," * La suma de las columnas "&amp;AR$10&amp;""&amp;" DEBE SER IGUAL a los Exámenes Procesados. ","")</f>
        <v/>
      </c>
      <c r="CB88" s="219">
        <f>IF(AND($B88&gt;0,AND(AT88="",AU88="")),"* No olvide ingresar las columnas Trans Masculino o Femenino (*Digite CERO si no tiene). ",IF((AT88+AU88)&gt;$B88,"* El Número de Trans Masculino o Femenino no puede superar el Total Procesados. ",""))</f>
        <v/>
      </c>
      <c r="CC88" s="219">
        <f>IF(AND($B88&gt;0,AV88=""),"* No olvide ingresar la columna "&amp;AV$10&amp;""&amp;" *(Digite CERO si no tiene). ",IF(AV88&gt;$B88," *El Número de "&amp;AV$10&amp;""&amp;" no puede superar el Total Procesados. ",""))</f>
        <v/>
      </c>
      <c r="CD88" s="219">
        <f>IF(AND($B88&gt;0,AW88=""),"* No olvide ingresar la columna "&amp;AW$10&amp;""&amp;" *(Digite CERO si no tiene). ",IF(AW88&gt;$B88," *El Número de "&amp;AW$10&amp;""&amp;" no puede superar el Total Procesados. ",""))</f>
        <v/>
      </c>
      <c r="CE88" s="219">
        <f>IF(D88&lt;E88,CONCATENATE("* El total de Procesados debe ser mayor o igual al total de Reactivos en el grupo de edad ",$D$11),"")</f>
        <v/>
      </c>
      <c r="CF88" s="219">
        <f>IF(F88&lt;G88,CONCATENATE("* El total de Procesados debe ser mayor o igual al total de Reactivos en el grupo de edad ",$F$11),"")</f>
        <v/>
      </c>
      <c r="CG88" s="219">
        <f>IF(H88&lt;I88,CONCATENATE("* El total de Procesados debe ser mayor o igual al total de Reactivos en el grupo de edad ",$H$11),"")</f>
        <v/>
      </c>
      <c r="CH88" s="222" t="n"/>
      <c r="CI88" s="222" t="n"/>
      <c r="CJ88" s="377" t="n"/>
      <c r="CK88" s="222" t="n"/>
      <c r="CL88" s="222" t="n"/>
      <c r="CM88" s="222" t="n"/>
      <c r="CN88" s="222" t="n"/>
      <c r="CO88" s="222" t="n"/>
      <c r="CP88" s="222" t="n"/>
      <c r="CQ88" s="222" t="n"/>
      <c r="CR88" s="222" t="n"/>
      <c r="CS88" s="222" t="n"/>
      <c r="CT88" s="222" t="n"/>
      <c r="CU88" s="222" t="n"/>
      <c r="CV88" s="222" t="n"/>
      <c r="CW88" s="222" t="n"/>
      <c r="CX88" s="222" t="n"/>
      <c r="DE88" s="226" t="n"/>
      <c r="DF88" s="378">
        <f>IF(B88&lt;&gt;(AS88+AR88),1,0)</f>
        <v/>
      </c>
      <c r="DG88" s="376">
        <f>IF(AND($B88&gt;0,AND(AT88="",AU88="")),1,IF((AT88+AU88)&gt;$B88,1,0))</f>
        <v/>
      </c>
      <c r="DH88" s="376">
        <f>IF(AND($B88&gt;0,AV88=""),1,IF(AV88&gt;$B88,1,0))</f>
        <v/>
      </c>
      <c r="DI88" s="376">
        <f>IF(AND($B88&gt;0,AW88=""),1,IF(AW88&gt;$B88,1,0))</f>
        <v/>
      </c>
      <c r="DJ88" s="376">
        <f>IF(D88&lt;E88,1,0)</f>
        <v/>
      </c>
      <c r="DK88" s="376">
        <f>IF(F88&lt;G88,1,0)</f>
        <v/>
      </c>
      <c r="DL88" s="376">
        <f>IF(H88&lt;I88,1,0)</f>
        <v/>
      </c>
      <c r="DM88" s="222" t="n"/>
      <c r="DN88" s="222" t="n"/>
      <c r="DO88" s="220" t="n"/>
      <c r="DP88" s="220" t="n"/>
      <c r="DQ88" s="220" t="n"/>
      <c r="DR88" s="220" t="n"/>
      <c r="DS88" s="220" t="n"/>
      <c r="DT88" s="220" t="n"/>
      <c r="DU88" s="220" t="n"/>
      <c r="DV88" s="220" t="n"/>
      <c r="DW88" s="220" t="n"/>
      <c r="DX88" s="220" t="n"/>
      <c r="DY88" s="220" t="n"/>
      <c r="DZ88" s="220" t="n"/>
      <c r="EA88" s="220" t="n"/>
      <c r="EB88" s="220" t="n"/>
      <c r="EC88" s="220" t="n"/>
    </row>
    <row r="89">
      <c r="A89" s="8538" t="inlineStr">
        <is>
          <t>Personas en control por comercio sexual</t>
        </is>
      </c>
      <c r="B89" s="3103">
        <f>+P89+R89+T89+V89+X89+Z89+AB89+AD89+AF89+AH89+AJ89+AL89+AN89+AP89</f>
        <v/>
      </c>
      <c r="C89" s="1171">
        <f>+Q89+S89+U89+W89+Y89+AA89+AC89+AE89+AG89+AI89+AK89+AM89+AO89+AQ89</f>
        <v/>
      </c>
      <c r="D89" s="3112" t="n"/>
      <c r="E89" s="3105" t="n"/>
      <c r="F89" s="3104" t="n"/>
      <c r="G89" s="3105" t="n"/>
      <c r="H89" s="3104" t="n"/>
      <c r="I89" s="3105" t="n"/>
      <c r="J89" s="3104" t="n"/>
      <c r="K89" s="3105" t="n"/>
      <c r="L89" s="3104" t="n"/>
      <c r="M89" s="3106" t="n"/>
      <c r="N89" s="3112" t="n"/>
      <c r="O89" s="3105" t="n"/>
      <c r="P89" s="3108" t="n"/>
      <c r="Q89" s="3107" t="n"/>
      <c r="R89" s="3108" t="n"/>
      <c r="S89" s="3107" t="n"/>
      <c r="T89" s="3108" t="n"/>
      <c r="U89" s="3107" t="n"/>
      <c r="V89" s="3108" t="n"/>
      <c r="W89" s="3107" t="n"/>
      <c r="X89" s="3108" t="n"/>
      <c r="Y89" s="3107" t="n"/>
      <c r="Z89" s="3108" t="n"/>
      <c r="AA89" s="3107" t="n"/>
      <c r="AB89" s="3108" t="n"/>
      <c r="AC89" s="3107" t="n"/>
      <c r="AD89" s="3108" t="n"/>
      <c r="AE89" s="3107" t="n"/>
      <c r="AF89" s="3108" t="n"/>
      <c r="AG89" s="3107" t="n"/>
      <c r="AH89" s="3108" t="n"/>
      <c r="AI89" s="3107" t="n"/>
      <c r="AJ89" s="3108" t="n"/>
      <c r="AK89" s="3107" t="n"/>
      <c r="AL89" s="3108" t="n"/>
      <c r="AM89" s="3107" t="n"/>
      <c r="AN89" s="3108" t="n"/>
      <c r="AO89" s="3107" t="n"/>
      <c r="AP89" s="3108" t="n"/>
      <c r="AQ89" s="3098" t="n"/>
      <c r="AR89" s="3100" t="n"/>
      <c r="AS89" s="3098" t="n"/>
      <c r="AT89" s="3099" t="n"/>
      <c r="AU89" s="3098" t="n"/>
      <c r="AV89" s="3845" t="n"/>
      <c r="AW89" s="3656" t="n"/>
      <c r="AX89" s="218">
        <f>$CA89&amp;CB89&amp;CC89&amp;$CD89&amp;CK89&amp;CL89&amp;CM89&amp;CN89&amp;CO89&amp;CP89&amp;CQ89&amp;CR89&amp;CS89&amp;CT89&amp;CU89&amp;CV89&amp;CW89&amp;CX89</f>
        <v/>
      </c>
      <c r="CA89" s="219">
        <f>IF(B89&lt;&gt;(AS89+AR89)," * La suma de las columnas "&amp;AR$10&amp;""&amp;" DEBE SER IGUAL a los Exámenes Procesados. ","")</f>
        <v/>
      </c>
      <c r="CB89" s="219">
        <f>IF(AND($B89&gt;0,AND(AT89="",AU89="")),"* No olvide ingresar las columnas Trans Masculino o Femenino (*Digite CERO si no tiene). ",IF((AT89+AU89)&gt;$B89,"* El Número de Trans Masculino o Femenino no puede superar el Total Procesados. ",""))</f>
        <v/>
      </c>
      <c r="CC89" s="219">
        <f>IF(AND($B89&gt;0,AV89=""),"* No olvide ingresar la columna "&amp;AV$10&amp;""&amp;" *(Digite CERO si no tiene). ",IF(AV89&gt;$B89," *El Número de "&amp;AV$10&amp;""&amp;" no puede superar el Total Procesados. ",""))</f>
        <v/>
      </c>
      <c r="CD89" s="219">
        <f>IF(AND($B89&gt;0,AW89=""),"* No olvide ingresar la columna "&amp;AW$10&amp;""&amp;" *(Digite CERO si no tiene). ",IF(AW89&gt;$B89," *El Número de "&amp;AW$10&amp;""&amp;" no puede superar el Total Procesados. ",""))</f>
        <v/>
      </c>
      <c r="CE89" s="377" t="n"/>
      <c r="CF89" s="377" t="n"/>
      <c r="CG89" s="222" t="n"/>
      <c r="CH89" s="222" t="n"/>
      <c r="CI89" s="222" t="n"/>
      <c r="CJ89" s="377" t="n"/>
      <c r="CK89" s="219">
        <f>IF(P89&lt;Q89,CONCATENATE("* El total de Procesados debe ser mayor o igual al total de Reactivos en el grupo de edad ",$P$11),"")</f>
        <v/>
      </c>
      <c r="CL89" s="219">
        <f>IF(R89&lt;S89,CONCATENATE("* El total de Procesados debe ser mayor o igual al total de Reactivos en el grupo de edad ",$R$11),"")</f>
        <v/>
      </c>
      <c r="CM89" s="219">
        <f>IF($T89&lt;$U89,CONCATENATE("* El total de Procesados debe ser mayor o igual al total de Reactivos en el grupo de edad ",$T$11),"")</f>
        <v/>
      </c>
      <c r="CN89" s="219">
        <f>IF(V89&lt;W89,CONCATENATE("* El total de Procesados debe ser mayor o igual al total de Reactivos en el grupo de edad ",$V$11),"")</f>
        <v/>
      </c>
      <c r="CO89" s="219">
        <f>IF(X89&lt;Y89,CONCATENATE("* El total de Procesados debe ser mayor o igual al total de Reactivos en el grupo de edad ",$X$11),"")</f>
        <v/>
      </c>
      <c r="CP89" s="219">
        <f>IF(Z89&lt;AA89,CONCATENATE("* El total de Procesados debe ser mayor o igual al total de Reactivos en el grupo de edad ",$Z$11),"")</f>
        <v/>
      </c>
      <c r="CQ89" s="219">
        <f>IF(AB89&lt;AC89,CONCATENATE("* El total de Procesados debe ser mayor o igual al total de Reactivos en el grupo de edad ",$AB$11),"")</f>
        <v/>
      </c>
      <c r="CR89" s="219">
        <f>IF(AD89&lt;AE89,CONCATENATE("* El total de Procesados debe ser mayor o igual al total de Reactivos en el grupo de edad ",$AD$11),"")</f>
        <v/>
      </c>
      <c r="CS89" s="219">
        <f>IF(AF89&lt;AG89,CONCATENATE("* El total de Procesados debe ser mayor o igual al total de Reactivos en el grupo de edad ",$AF$11),"")</f>
        <v/>
      </c>
      <c r="CT89" s="219">
        <f>IF(AH89&lt;AI89,CONCATENATE("* El total de Procesados debe ser mayor o igual al total de Reactivos en el grupo de edad ",$AH$11),"")</f>
        <v/>
      </c>
      <c r="CU89" s="219">
        <f>IF(AJ89&lt;AK89,CONCATENATE("* El total de Procesados debe ser mayor o igual al total de Reactivos en el grupo de edad ",$AJ$11),"")</f>
        <v/>
      </c>
      <c r="CV89" s="219">
        <f>IF(AL89&lt;AM89,CONCATENATE("* El total de Procesados debe ser mayor o igual al total de Reactivos en el grupo de edad ",$AL$11),"")</f>
        <v/>
      </c>
      <c r="CW89" s="219">
        <f>IF(AN89&lt;AO89,CONCATENATE("* El total de Procesados debe ser mayor o igual al total de Reactivos en el grupo de edad ",$AN$11),"")</f>
        <v/>
      </c>
      <c r="CX89" s="219">
        <f>IF(AP89&lt;AQ89,CONCATENATE("* El total de Procesados debe ser mayor o igual al total de Reactivos en el grupo de edad ",$AP$11),"")</f>
        <v/>
      </c>
      <c r="DE89" s="226" t="n"/>
      <c r="DF89" s="378">
        <f>IF(B89&lt;&gt;(AS89+AR89),1,0)</f>
        <v/>
      </c>
      <c r="DG89" s="376">
        <f>IF(AND($B89&gt;0,AND(AT89="",AU89="")),1,IF((AT89+AU89)&gt;$B89,1,0))</f>
        <v/>
      </c>
      <c r="DH89" s="376">
        <f>IF(AND($B89&gt;0,AV89=""),1,IF(AV89&gt;$B89,1,0))</f>
        <v/>
      </c>
      <c r="DI89" s="376">
        <f>IF(AND($B89&gt;0,AW89=""),1,IF(AW89&gt;$B89,1,0))</f>
        <v/>
      </c>
      <c r="DJ89" s="222" t="n"/>
      <c r="DK89" s="222" t="n"/>
      <c r="DL89" s="222" t="n"/>
      <c r="DM89" s="222" t="n"/>
      <c r="DN89" s="222" t="n"/>
      <c r="DO89" s="220" t="n"/>
      <c r="DP89" s="376">
        <f>IF(P89&lt;Q89,1,0)</f>
        <v/>
      </c>
      <c r="DQ89" s="376">
        <f>IF(R89&lt;S89,1,0)</f>
        <v/>
      </c>
      <c r="DR89" s="376">
        <f>IF($T89&lt;$U89,1,0)</f>
        <v/>
      </c>
      <c r="DS89" s="376">
        <f>IF(V89&lt;W89,1,0)</f>
        <v/>
      </c>
      <c r="DT89" s="376">
        <f>IF(X89&lt;Y89,1,0)</f>
        <v/>
      </c>
      <c r="DU89" s="376">
        <f>IF(Z89&lt;AA89,1,0)</f>
        <v/>
      </c>
      <c r="DV89" s="376">
        <f>IF(AB89&lt;AC89,1,0)</f>
        <v/>
      </c>
      <c r="DW89" s="376">
        <f>IF(AD89&lt;AE89,1,0)</f>
        <v/>
      </c>
      <c r="DX89" s="376">
        <f>IF(AF89&lt;AG89,1,0)</f>
        <v/>
      </c>
      <c r="DY89" s="376">
        <f>IF(AH89&lt;AI89,1,0)</f>
        <v/>
      </c>
      <c r="DZ89" s="376">
        <f>IF(AJ89&lt;AK89,1,0)</f>
        <v/>
      </c>
      <c r="EA89" s="376">
        <f>IF(AL89&lt;AM89,1,0)</f>
        <v/>
      </c>
      <c r="EB89" s="376">
        <f>IF(AN89&lt;AO89,1,0)</f>
        <v/>
      </c>
      <c r="EC89" s="376">
        <f>IF(AP89&lt;AQ89,1,0)</f>
        <v/>
      </c>
    </row>
    <row r="90">
      <c r="A90" s="3119" t="inlineStr">
        <is>
          <t>Personas en control fecundidad</t>
        </is>
      </c>
      <c r="B90" s="3103">
        <f>+N90+P90+R90+T90+V90+X90+Z90+AB90+AD90+AF90+AH90+AJ90+AL90+AN90+AP90</f>
        <v/>
      </c>
      <c r="C90" s="1171">
        <f>+O90+Q90+S90+U90+W90+Y90+AA90+AC90+AE90+AG90+AI90+AK90+AM90+AO90+AQ90</f>
        <v/>
      </c>
      <c r="D90" s="3097" t="n"/>
      <c r="E90" s="3110" t="n"/>
      <c r="F90" s="3109" t="n"/>
      <c r="G90" s="3110" t="n"/>
      <c r="H90" s="3109" t="n"/>
      <c r="I90" s="3113" t="n"/>
      <c r="J90" s="3097" t="n"/>
      <c r="K90" s="3097" t="n"/>
      <c r="L90" s="3109" t="n"/>
      <c r="M90" s="3113" t="n"/>
      <c r="N90" s="3100" t="n"/>
      <c r="O90" s="3107" t="n"/>
      <c r="P90" s="3108" t="n"/>
      <c r="Q90" s="3107" t="n"/>
      <c r="R90" s="3108" t="n"/>
      <c r="S90" s="3107" t="n"/>
      <c r="T90" s="3108" t="n"/>
      <c r="U90" s="3107" t="n"/>
      <c r="V90" s="3108" t="n"/>
      <c r="W90" s="3107" t="n"/>
      <c r="X90" s="3108" t="n"/>
      <c r="Y90" s="3107" t="n"/>
      <c r="Z90" s="3108" t="n"/>
      <c r="AA90" s="3107" t="n"/>
      <c r="AB90" s="3108" t="n"/>
      <c r="AC90" s="3107" t="n"/>
      <c r="AD90" s="3108" t="n"/>
      <c r="AE90" s="3107" t="n"/>
      <c r="AF90" s="3108" t="n"/>
      <c r="AG90" s="3107" t="n"/>
      <c r="AH90" s="3108" t="n"/>
      <c r="AI90" s="3107" t="n"/>
      <c r="AJ90" s="3108" t="n"/>
      <c r="AK90" s="3107" t="n"/>
      <c r="AL90" s="3108" t="n"/>
      <c r="AM90" s="3107" t="n"/>
      <c r="AN90" s="3108" t="n"/>
      <c r="AO90" s="3107" t="n"/>
      <c r="AP90" s="3108" t="n"/>
      <c r="AQ90" s="3098" t="n"/>
      <c r="AR90" s="3100" t="n"/>
      <c r="AS90" s="3098" t="n"/>
      <c r="AT90" s="3099" t="n"/>
      <c r="AU90" s="3098" t="n"/>
      <c r="AV90" s="3845" t="n"/>
      <c r="AW90" s="3656" t="n"/>
      <c r="AX90" s="218">
        <f>$CA90&amp;CB90&amp;CC90&amp;$CD90&amp;CJ90&amp;CK90&amp;CL90&amp;CM90&amp;CN90&amp;CO90&amp;CP90&amp;CQ90&amp;CR90&amp;CS90&amp;CT90&amp;CU90&amp;CV90&amp;CW90&amp;CX90</f>
        <v/>
      </c>
      <c r="CA90" s="219">
        <f>IF(B90&lt;&gt;(AS90+AR90)," * La suma de las columnas "&amp;AR$10&amp;""&amp;" DEBE SER IGUAL a los Exámenes Procesados. ","")</f>
        <v/>
      </c>
      <c r="CB90" s="219">
        <f>IF(AND($B90&gt;0,AND(AT90="",AU90="")),"* No olvide ingresar las columnas Trans Masculino o Femenino (*Digite CERO si no tiene). ",IF((AT90+AU90)&gt;$B90,"* El Número de Trans Masculino o Femenino no puede superar el Total Procesados. ",""))</f>
        <v/>
      </c>
      <c r="CC90" s="219">
        <f>IF(AND($B90&gt;0,AV90=""),"* No olvide ingresar la columna "&amp;AV$10&amp;""&amp;" *(Digite CERO si no tiene). ",IF(AV90&gt;$B90," *El Número de "&amp;AV$10&amp;""&amp;" no puede superar el Total Procesados. ",""))</f>
        <v/>
      </c>
      <c r="CD90" s="219">
        <f>IF(AND($B90&gt;0,AW90=""),"* No olvide ingresar la columna "&amp;AW$10&amp;""&amp;" *(Digite CERO si no tiene). ",IF(AW90&gt;$B90," *El Número de "&amp;AW$10&amp;""&amp;" no puede superar el Total Procesados. ",""))</f>
        <v/>
      </c>
      <c r="CE90" s="377" t="n"/>
      <c r="CF90" s="377" t="n"/>
      <c r="CG90" s="222" t="n"/>
      <c r="CH90" s="222" t="n"/>
      <c r="CI90" s="222" t="n"/>
      <c r="CJ90" s="219">
        <f>IF(N90&lt;O90,CONCATENATE("* El total de Procesados debe ser mayor o igual al total de Reactivos en el grupo de edad ",$N$11),"")</f>
        <v/>
      </c>
      <c r="CK90" s="219">
        <f>IF(P90&lt;Q90,CONCATENATE("* El total de Procesados debe ser mayor o igual al total de Reactivos en el grupo de edad ",$P$11),"")</f>
        <v/>
      </c>
      <c r="CL90" s="219">
        <f>IF(R90&lt;S90,CONCATENATE("* El total de Procesados debe ser mayor o igual al total de Reactivos en el grupo de edad ",$R$11),"")</f>
        <v/>
      </c>
      <c r="CM90" s="219">
        <f>IF($T90&lt;$U90,CONCATENATE("* El total de Procesados debe ser mayor o igual al total de Reactivos en el grupo de edad ",$T$11),"")</f>
        <v/>
      </c>
      <c r="CN90" s="219">
        <f>IF(V90&lt;W90,CONCATENATE("* El total de Procesados debe ser mayor o igual al total de Reactivos en el grupo de edad ",$V$11),"")</f>
        <v/>
      </c>
      <c r="CO90" s="219">
        <f>IF(X90&lt;Y90,CONCATENATE("* El total de Procesados debe ser mayor o igual al total de Reactivos en el grupo de edad ",$X$11),"")</f>
        <v/>
      </c>
      <c r="CP90" s="219">
        <f>IF(Z90&lt;AA90,CONCATENATE("* El total de Procesados debe ser mayor o igual al total de Reactivos en el grupo de edad ",$Z$11),"")</f>
        <v/>
      </c>
      <c r="CQ90" s="219">
        <f>IF(AB90&lt;AC90,CONCATENATE("* El total de Procesados debe ser mayor o igual al total de Reactivos en el grupo de edad ",$AB$11),"")</f>
        <v/>
      </c>
      <c r="CR90" s="219">
        <f>IF(AD90&lt;AE90,CONCATENATE("* El total de Procesados debe ser mayor o igual al total de Reactivos en el grupo de edad ",$AD$11),"")</f>
        <v/>
      </c>
      <c r="CS90" s="219">
        <f>IF(AF90&lt;AG90,CONCATENATE("* El total de Procesados debe ser mayor o igual al total de Reactivos en el grupo de edad ",$AF$11),"")</f>
        <v/>
      </c>
      <c r="CT90" s="219">
        <f>IF(AH90&lt;AI90,CONCATENATE("* El total de Procesados debe ser mayor o igual al total de Reactivos en el grupo de edad ",$AH$11),"")</f>
        <v/>
      </c>
      <c r="CU90" s="219">
        <f>IF(AJ90&lt;AK90,CONCATENATE("* El total de Procesados debe ser mayor o igual al total de Reactivos en el grupo de edad ",$AJ$11),"")</f>
        <v/>
      </c>
      <c r="CV90" s="219">
        <f>IF(AL90&lt;AM90,CONCATENATE("* El total de Procesados debe ser mayor o igual al total de Reactivos en el grupo de edad ",$AL$11),"")</f>
        <v/>
      </c>
      <c r="CW90" s="219">
        <f>IF(AN90&lt;AO90,CONCATENATE("* El total de Procesados debe ser mayor o igual al total de Reactivos en el grupo de edad ",$AN$11),"")</f>
        <v/>
      </c>
      <c r="CX90" s="219">
        <f>IF(AP90&lt;AQ90,CONCATENATE("* El total de Procesados debe ser mayor o igual al total de Reactivos en el grupo de edad ",$AP$11),"")</f>
        <v/>
      </c>
      <c r="DE90" s="226" t="n"/>
      <c r="DF90" s="378">
        <f>IF(B90&lt;&gt;(AS90+AR90),1,0)</f>
        <v/>
      </c>
      <c r="DG90" s="376">
        <f>IF(AND($B90&gt;0,AND(AT90="",AU90="")),1,IF((AT90+AU90)&gt;$B90,1,0))</f>
        <v/>
      </c>
      <c r="DH90" s="376">
        <f>IF(AND($B90&gt;0,AV90=""),1,IF(AV90&gt;$B90,1,0))</f>
        <v/>
      </c>
      <c r="DI90" s="376">
        <f>IF(AND($B90&gt;0,AW90=""),1,IF(AW90&gt;$B90,1,0))</f>
        <v/>
      </c>
      <c r="DJ90" s="222" t="n"/>
      <c r="DK90" s="222" t="n"/>
      <c r="DL90" s="222" t="n"/>
      <c r="DM90" s="222" t="n"/>
      <c r="DN90" s="222" t="n"/>
      <c r="DO90" s="376">
        <f>IF(N90&lt;O90,1,0)</f>
        <v/>
      </c>
      <c r="DP90" s="376">
        <f>IF(P90&lt;Q90,1,0)</f>
        <v/>
      </c>
      <c r="DQ90" s="376">
        <f>IF(R90&lt;S90,1,0)</f>
        <v/>
      </c>
      <c r="DR90" s="376">
        <f>IF($T90&lt;$U90,1,0)</f>
        <v/>
      </c>
      <c r="DS90" s="376">
        <f>IF(V90&lt;W90,1,0)</f>
        <v/>
      </c>
      <c r="DT90" s="376">
        <f>IF(X90&lt;Y90,1,0)</f>
        <v/>
      </c>
      <c r="DU90" s="376">
        <f>IF(Z90&lt;AA90,1,0)</f>
        <v/>
      </c>
      <c r="DV90" s="376">
        <f>IF(AB90&lt;AC90,1,0)</f>
        <v/>
      </c>
      <c r="DW90" s="376">
        <f>IF(AD90&lt;AE90,1,0)</f>
        <v/>
      </c>
      <c r="DX90" s="376">
        <f>IF(AF90&lt;AG90,1,0)</f>
        <v/>
      </c>
      <c r="DY90" s="376">
        <f>IF(AH90&lt;AI90,1,0)</f>
        <v/>
      </c>
      <c r="DZ90" s="376">
        <f>IF(AJ90&lt;AK90,1,0)</f>
        <v/>
      </c>
      <c r="EA90" s="376">
        <f>IF(AL90&lt;AM90,1,0)</f>
        <v/>
      </c>
      <c r="EB90" s="376">
        <f>IF(AN90&lt;AO90,1,0)</f>
        <v/>
      </c>
      <c r="EC90" s="376">
        <f>IF(AP90&lt;AQ90,1,0)</f>
        <v/>
      </c>
    </row>
    <row r="91">
      <c r="A91" s="3119" t="inlineStr">
        <is>
          <t>Consultantes por ITS</t>
        </is>
      </c>
      <c r="B91" s="3103">
        <f>+D91+F91+H91+J91+L91+N91+P91+R91+T91+V91+X91+Z91+AB91+AD91+AF91+AH91+AJ91+AL91+AN91+AP91</f>
        <v/>
      </c>
      <c r="C91" s="1171">
        <f>+E91+G91+I91+K91+M91+O91+Q91+S91+U91+W91+Y91+AA91+AC91+AE91+AG91+AI91+AK91+AM91+AO91+AQ91</f>
        <v/>
      </c>
      <c r="D91" s="3100" t="n"/>
      <c r="E91" s="3107" t="n"/>
      <c r="F91" s="3108" t="n"/>
      <c r="G91" s="3107" t="n"/>
      <c r="H91" s="3108" t="n"/>
      <c r="I91" s="3101" t="n"/>
      <c r="J91" s="3100" t="n"/>
      <c r="K91" s="3100" t="n"/>
      <c r="L91" s="3108" t="n"/>
      <c r="M91" s="3101" t="n"/>
      <c r="N91" s="3100" t="n"/>
      <c r="O91" s="3107" t="n"/>
      <c r="P91" s="3108" t="n"/>
      <c r="Q91" s="3107" t="n"/>
      <c r="R91" s="3108" t="n"/>
      <c r="S91" s="3107" t="n"/>
      <c r="T91" s="3108" t="n"/>
      <c r="U91" s="3107" t="n"/>
      <c r="V91" s="3108" t="n"/>
      <c r="W91" s="3107" t="n"/>
      <c r="X91" s="3108" t="n"/>
      <c r="Y91" s="3107" t="n"/>
      <c r="Z91" s="3108" t="n"/>
      <c r="AA91" s="3107" t="n"/>
      <c r="AB91" s="3108" t="n"/>
      <c r="AC91" s="3107" t="n"/>
      <c r="AD91" s="3108" t="n"/>
      <c r="AE91" s="3107" t="n"/>
      <c r="AF91" s="3108" t="n"/>
      <c r="AG91" s="3107" t="n"/>
      <c r="AH91" s="3108" t="n"/>
      <c r="AI91" s="3107" t="n"/>
      <c r="AJ91" s="3108" t="n"/>
      <c r="AK91" s="3107" t="n"/>
      <c r="AL91" s="3108" t="n"/>
      <c r="AM91" s="3107" t="n"/>
      <c r="AN91" s="3108" t="n"/>
      <c r="AO91" s="3107" t="n"/>
      <c r="AP91" s="3108" t="n"/>
      <c r="AQ91" s="3098" t="n"/>
      <c r="AR91" s="3100" t="n"/>
      <c r="AS91" s="3098" t="n"/>
      <c r="AT91" s="3099" t="n"/>
      <c r="AU91" s="3098" t="n"/>
      <c r="AV91" s="3845" t="n"/>
      <c r="AW91" s="3656" t="n"/>
      <c r="AX91" s="218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>
        <f>IF(B91&lt;&gt;(AS91+AR91)," * La suma de las columnas "&amp;AR$10&amp;""&amp;" DEBE SER IGUAL a los Exámenes Procesados. ","")</f>
        <v/>
      </c>
      <c r="CB91" s="219">
        <f>IF(AND($B91&gt;0,AND(AT91="",AU91="")),"* No olvide ingresar las columnas Trans Masculino o Femenino (*Digite CERO si no tiene). ",IF((AT91+AU91)&gt;$B91,"* El Número de Trans Masculino o Femenino no puede superar el Total Procesados. ",""))</f>
        <v/>
      </c>
      <c r="CC91" s="219">
        <f>IF(AND($B91&gt;0,AV91=""),"* No olvide ingresar la columna "&amp;AV$10&amp;""&amp;" *(Digite CERO si no tiene). ",IF(AV91&gt;$B91," *El Número de "&amp;AV$10&amp;""&amp;" no puede superar el Total Procesados. ",""))</f>
        <v/>
      </c>
      <c r="CD91" s="219">
        <f>IF(AND($B91&gt;0,AW91=""),"* No olvide ingresar la columna "&amp;AW$10&amp;""&amp;" *(Digite CERO si no tiene). ",IF(AW91&gt;$B91," *El Número de "&amp;AW$10&amp;""&amp;" no puede superar el Total Procesados. ",""))</f>
        <v/>
      </c>
      <c r="CE91" s="219">
        <f>IF(D91&lt;E91,CONCATENATE("* El total de Procesados debe ser mayor o igual al total de Reactivos en el grupo de edad ",$D$11),"")</f>
        <v/>
      </c>
      <c r="CF91" s="219">
        <f>IF(F91&lt;G91,CONCATENATE("* El total de Procesados debe ser mayor o igual al total de Reactivos en el grupo de edad ",$F$11),"")</f>
        <v/>
      </c>
      <c r="CG91" s="219">
        <f>IF(H91&lt;I91,CONCATENATE("* El total de Procesados debe ser mayor o igual al total de Reactivos en el grupo de edad ",$H$11),"")</f>
        <v/>
      </c>
      <c r="CH91" s="219">
        <f>IF(J91&lt;K91,CONCATENATE("* El total de Procesados debe ser mayor o igual al total de Reactivos en el grupo de edad ",$J$11),"")</f>
        <v/>
      </c>
      <c r="CI91" s="219">
        <f>IF(L91&lt;M91,CONCATENATE("* El total de Procesados debe ser mayor o igual al total de Reactivos en el grupo de edad ",$L$11),"")</f>
        <v/>
      </c>
      <c r="CJ91" s="219">
        <f>IF(N91&lt;O91,CONCATENATE("* El total de Procesados debe ser mayor o igual al total de Reactivos en el grupo de edad ",$N$11),"")</f>
        <v/>
      </c>
      <c r="CK91" s="219">
        <f>IF(P91&lt;Q91,CONCATENATE("* El total de Procesados debe ser mayor o igual al total de Reactivos en el grupo de edad ",$P$11),"")</f>
        <v/>
      </c>
      <c r="CL91" s="219">
        <f>IF(R91&lt;S91,CONCATENATE("* El total de Procesados debe ser mayor o igual al total de Reactivos en el grupo de edad ",$R$11),"")</f>
        <v/>
      </c>
      <c r="CM91" s="219">
        <f>IF($T91&lt;$U91,CONCATENATE("* El total de Procesados debe ser mayor o igual al total de Reactivos en el grupo de edad ",$T$11),"")</f>
        <v/>
      </c>
      <c r="CN91" s="219">
        <f>IF(V91&lt;W91,CONCATENATE("* El total de Procesados debe ser mayor o igual al total de Reactivos en el grupo de edad ",$V$11),"")</f>
        <v/>
      </c>
      <c r="CO91" s="219">
        <f>IF(X91&lt;Y91,CONCATENATE("* El total de Procesados debe ser mayor o igual al total de Reactivos en el grupo de edad ",$X$11),"")</f>
        <v/>
      </c>
      <c r="CP91" s="219">
        <f>IF(Z91&lt;AA91,CONCATENATE("* El total de Procesados debe ser mayor o igual al total de Reactivos en el grupo de edad ",$Z$11),"")</f>
        <v/>
      </c>
      <c r="CQ91" s="219">
        <f>IF(AB91&lt;AC91,CONCATENATE("* El total de Procesados debe ser mayor o igual al total de Reactivos en el grupo de edad ",$AB$11),"")</f>
        <v/>
      </c>
      <c r="CR91" s="219">
        <f>IF(AD91&lt;AE91,CONCATENATE("* El total de Procesados debe ser mayor o igual al total de Reactivos en el grupo de edad ",$AD$11),"")</f>
        <v/>
      </c>
      <c r="CS91" s="219">
        <f>IF(AF91&lt;AG91,CONCATENATE("* El total de Procesados debe ser mayor o igual al total de Reactivos en el grupo de edad ",$AF$11),"")</f>
        <v/>
      </c>
      <c r="CT91" s="219">
        <f>IF(AH91&lt;AI91,CONCATENATE("* El total de Procesados debe ser mayor o igual al total de Reactivos en el grupo de edad ",$AH$11),"")</f>
        <v/>
      </c>
      <c r="CU91" s="219">
        <f>IF(AJ91&lt;AK91,CONCATENATE("* El total de Procesados debe ser mayor o igual al total de Reactivos en el grupo de edad ",$AJ$11),"")</f>
        <v/>
      </c>
      <c r="CV91" s="219">
        <f>IF(AL91&lt;AM91,CONCATENATE("* El total de Procesados debe ser mayor o igual al total de Reactivos en el grupo de edad ",$AL$11),"")</f>
        <v/>
      </c>
      <c r="CW91" s="219">
        <f>IF(AN91&lt;AO91,CONCATENATE("* El total de Procesados debe ser mayor o igual al total de Reactivos en el grupo de edad ",$AN$11),"")</f>
        <v/>
      </c>
      <c r="CX91" s="219">
        <f>IF(AP91&lt;AQ91,CONCATENATE("* El total de Procesados debe ser mayor o igual al total de Reactivos en el grupo de edad ",$AP$11),"")</f>
        <v/>
      </c>
      <c r="DE91" s="226" t="n"/>
      <c r="DF91" s="378">
        <f>IF(B91&lt;&gt;(AS91+AR91),1,0)</f>
        <v/>
      </c>
      <c r="DG91" s="376">
        <f>IF(AND($B91&gt;0,AND(AT91="",AU91="")),1,IF((AT91+AU91)&gt;$B91,1,0))</f>
        <v/>
      </c>
      <c r="DH91" s="376">
        <f>IF(AND($B91&gt;0,AV91=""),1,IF(AV91&gt;$B91,1,0))</f>
        <v/>
      </c>
      <c r="DI91" s="376">
        <f>IF(AND($B91&gt;0,AW91=""),1,IF(AW91&gt;$B91,1,0))</f>
        <v/>
      </c>
      <c r="DJ91" s="376">
        <f>IF(D91&lt;E91,1,0)</f>
        <v/>
      </c>
      <c r="DK91" s="376">
        <f>IF(F91&lt;G91,1,0)</f>
        <v/>
      </c>
      <c r="DL91" s="376">
        <f>IF(H91&lt;I91,1,0)</f>
        <v/>
      </c>
      <c r="DM91" s="376">
        <f>IF(J91&lt;K91,1,0)</f>
        <v/>
      </c>
      <c r="DN91" s="376">
        <f>IF(L91&lt;M91,1,0)</f>
        <v/>
      </c>
      <c r="DO91" s="376">
        <f>IF(N91&lt;O91,1,0)</f>
        <v/>
      </c>
      <c r="DP91" s="376">
        <f>IF(P91&lt;Q91,1,0)</f>
        <v/>
      </c>
      <c r="DQ91" s="376">
        <f>IF(R91&lt;S91,1,0)</f>
        <v/>
      </c>
      <c r="DR91" s="376">
        <f>IF($T91&lt;$U91,1,0)</f>
        <v/>
      </c>
      <c r="DS91" s="376">
        <f>IF(V91&lt;W91,1,0)</f>
        <v/>
      </c>
      <c r="DT91" s="376">
        <f>IF(X91&lt;Y91,1,0)</f>
        <v/>
      </c>
      <c r="DU91" s="376">
        <f>IF(Z91&lt;AA91,1,0)</f>
        <v/>
      </c>
      <c r="DV91" s="376">
        <f>IF(AB91&lt;AC91,1,0)</f>
        <v/>
      </c>
      <c r="DW91" s="376">
        <f>IF(AD91&lt;AE91,1,0)</f>
        <v/>
      </c>
      <c r="DX91" s="376">
        <f>IF(AF91&lt;AG91,1,0)</f>
        <v/>
      </c>
      <c r="DY91" s="376">
        <f>IF(AH91&lt;AI91,1,0)</f>
        <v/>
      </c>
      <c r="DZ91" s="376">
        <f>IF(AJ91&lt;AK91,1,0)</f>
        <v/>
      </c>
      <c r="EA91" s="376">
        <f>IF(AL91&lt;AM91,1,0)</f>
        <v/>
      </c>
      <c r="EB91" s="376">
        <f>IF(AN91&lt;AO91,1,0)</f>
        <v/>
      </c>
      <c r="EC91" s="376">
        <f>IF(AP91&lt;AQ91,1,0)</f>
        <v/>
      </c>
    </row>
    <row r="92">
      <c r="A92" s="3102" t="inlineStr">
        <is>
          <t>Personas EMP/EMPAM</t>
        </is>
      </c>
      <c r="B92" s="3103">
        <f>+P92+R92+T92+V92+X92+Z92+AB92+AD92+AF92+AH92+AJ92+AL92+AN92+AP92</f>
        <v/>
      </c>
      <c r="C92" s="1171">
        <f>+Q92+S92+U92+W92+Y92+AA92+AC92+AE92+AG92+AI92+AK92+AM92+AO92+AQ92</f>
        <v/>
      </c>
      <c r="D92" s="3112" t="n"/>
      <c r="E92" s="3105" t="n"/>
      <c r="F92" s="3104" t="n"/>
      <c r="G92" s="3105" t="n"/>
      <c r="H92" s="3104" t="n"/>
      <c r="I92" s="3105" t="n"/>
      <c r="J92" s="3104" t="n"/>
      <c r="K92" s="3105" t="n"/>
      <c r="L92" s="3104" t="n"/>
      <c r="M92" s="3106" t="n"/>
      <c r="N92" s="3112" t="n"/>
      <c r="O92" s="3105" t="n"/>
      <c r="P92" s="3108" t="n"/>
      <c r="Q92" s="3107" t="n"/>
      <c r="R92" s="3108" t="n"/>
      <c r="S92" s="3107" t="n"/>
      <c r="T92" s="3108" t="n"/>
      <c r="U92" s="3107" t="n"/>
      <c r="V92" s="3108" t="n"/>
      <c r="W92" s="3107" t="n"/>
      <c r="X92" s="3108" t="n"/>
      <c r="Y92" s="3107" t="n"/>
      <c r="Z92" s="3108" t="n"/>
      <c r="AA92" s="3107" t="n"/>
      <c r="AB92" s="3108" t="n"/>
      <c r="AC92" s="3107" t="n"/>
      <c r="AD92" s="3108" t="n"/>
      <c r="AE92" s="3107" t="n"/>
      <c r="AF92" s="3108" t="n"/>
      <c r="AG92" s="3107" t="n"/>
      <c r="AH92" s="3108" t="n"/>
      <c r="AI92" s="3107" t="n"/>
      <c r="AJ92" s="3108" t="n"/>
      <c r="AK92" s="3107" t="n"/>
      <c r="AL92" s="3108" t="n"/>
      <c r="AM92" s="3107" t="n"/>
      <c r="AN92" s="3108" t="n"/>
      <c r="AO92" s="3107" t="n"/>
      <c r="AP92" s="3108" t="n"/>
      <c r="AQ92" s="3098" t="n"/>
      <c r="AR92" s="3100" t="n"/>
      <c r="AS92" s="3098" t="n"/>
      <c r="AT92" s="3099" t="n"/>
      <c r="AU92" s="3098" t="n"/>
      <c r="AV92" s="3845" t="n"/>
      <c r="AW92" s="3656" t="n"/>
      <c r="AX92" s="218">
        <f>$CA92&amp;CB92&amp;CC92&amp;$CD92&amp;CJ92&amp;CK92&amp;CL92&amp;CM92&amp;CN92&amp;CO92&amp;CP92&amp;CQ92&amp;CR92&amp;CS92&amp;CT92&amp;CU92&amp;CV92&amp;CW92&amp;CX92</f>
        <v/>
      </c>
      <c r="CA92" s="219">
        <f>IF(B92&lt;&gt;(AS92+AR92)," * La suma de las columnas "&amp;AR$10&amp;""&amp;" DEBE SER IGUAL a los Exámenes Procesados. ","")</f>
        <v/>
      </c>
      <c r="CB92" s="219">
        <f>IF(AND($B92&gt;0,AND(AT92="",AU92="")),"* No olvide ingresar las columnas Trans Masculino o Femenino (*Digite CERO si no tiene). ",IF((AT92+AU92)&gt;$B92,"* El Número de Trans Masculino o Femenino no puede superar el Total Procesados. ",""))</f>
        <v/>
      </c>
      <c r="CC92" s="219">
        <f>IF(AND($B92&gt;0,AV92=""),"* No olvide ingresar la columna "&amp;AV$10&amp;""&amp;" *(Digite CERO si no tiene). ",IF(AV92&gt;$B92," *El Número de "&amp;AV$10&amp;""&amp;" no puede superar el Total Procesados. ",""))</f>
        <v/>
      </c>
      <c r="CD92" s="219">
        <f>IF(AND($B92&gt;0,AW92=""),"* No olvide ingresar la columna "&amp;AW$10&amp;""&amp;" *(Digite CERO si no tiene). ",IF(AW92&gt;$B92," *El Número de "&amp;AW$10&amp;""&amp;" no puede superar el Total Procesados. ",""))</f>
        <v/>
      </c>
      <c r="CE92" s="377" t="n"/>
      <c r="CF92" s="377" t="n"/>
      <c r="CG92" s="222" t="n"/>
      <c r="CH92" s="222" t="n"/>
      <c r="CI92" s="222" t="n"/>
      <c r="CJ92" s="377" t="n"/>
      <c r="CK92" s="219">
        <f>IF(P92&lt;Q92,CONCATENATE("* El total de Procesados debe ser mayor o igual al total de Reactivos en el grupo de edad ",$P$11),"")</f>
        <v/>
      </c>
      <c r="CL92" s="219">
        <f>IF(R92&lt;S92,CONCATENATE("* El total de Procesados debe ser mayor o igual al total de Reactivos en el grupo de edad ",$R$11),"")</f>
        <v/>
      </c>
      <c r="CM92" s="219">
        <f>IF($T92&lt;$U92,CONCATENATE("* El total de Procesados debe ser mayor o igual al total de Reactivos en el grupo de edad ",$T$11),"")</f>
        <v/>
      </c>
      <c r="CN92" s="219">
        <f>IF(V92&lt;W92,CONCATENATE("* El total de Procesados debe ser mayor o igual al total de Reactivos en el grupo de edad ",$V$11),"")</f>
        <v/>
      </c>
      <c r="CO92" s="219">
        <f>IF(X92&lt;Y92,CONCATENATE("* El total de Procesados debe ser mayor o igual al total de Reactivos en el grupo de edad ",$X$11),"")</f>
        <v/>
      </c>
      <c r="CP92" s="219">
        <f>IF(Z92&lt;AA92,CONCATENATE("* El total de Procesados debe ser mayor o igual al total de Reactivos en el grupo de edad ",$Z$11),"")</f>
        <v/>
      </c>
      <c r="CQ92" s="219">
        <f>IF(AB92&lt;AC92,CONCATENATE("* El total de Procesados debe ser mayor o igual al total de Reactivos en el grupo de edad ",$AB$11),"")</f>
        <v/>
      </c>
      <c r="CR92" s="219">
        <f>IF(AD92&lt;AE92,CONCATENATE("* El total de Procesados debe ser mayor o igual al total de Reactivos en el grupo de edad ",$AD$11),"")</f>
        <v/>
      </c>
      <c r="CS92" s="219">
        <f>IF(AF92&lt;AG92,CONCATENATE("* El total de Procesados debe ser mayor o igual al total de Reactivos en el grupo de edad ",$AF$11),"")</f>
        <v/>
      </c>
      <c r="CT92" s="219">
        <f>IF(AH92&lt;AI92,CONCATENATE("* El total de Procesados debe ser mayor o igual al total de Reactivos en el grupo de edad ",$AH$11),"")</f>
        <v/>
      </c>
      <c r="CU92" s="219">
        <f>IF(AJ92&lt;AK92,CONCATENATE("* El total de Procesados debe ser mayor o igual al total de Reactivos en el grupo de edad ",$AJ$11),"")</f>
        <v/>
      </c>
      <c r="CV92" s="219">
        <f>IF(AL92&lt;AM92,CONCATENATE("* El total de Procesados debe ser mayor o igual al total de Reactivos en el grupo de edad ",$AL$11),"")</f>
        <v/>
      </c>
      <c r="CW92" s="219">
        <f>IF(AN92&lt;AO92,CONCATENATE("* El total de Procesados debe ser mayor o igual al total de Reactivos en el grupo de edad ",$AN$11),"")</f>
        <v/>
      </c>
      <c r="CX92" s="219">
        <f>IF(AP92&lt;AQ92,CONCATENATE("* El total de Procesados debe ser mayor o igual al total de Reactivos en el grupo de edad ",$AP$11),"")</f>
        <v/>
      </c>
      <c r="DE92" s="226" t="n"/>
      <c r="DF92" s="378">
        <f>IF(B92&lt;&gt;(AS92+AR92),1,0)</f>
        <v/>
      </c>
      <c r="DG92" s="376">
        <f>IF(AND($B92&gt;0,AND(AT92="",AU92="")),1,IF((AT92+AU92)&gt;$B92,1,0))</f>
        <v/>
      </c>
      <c r="DH92" s="376">
        <f>IF(AND($B92&gt;0,AV92=""),1,IF(AV92&gt;$B92,1,0))</f>
        <v/>
      </c>
      <c r="DI92" s="376">
        <f>IF(AND($B92&gt;0,AW92=""),1,IF(AW92&gt;$B92,1,0))</f>
        <v/>
      </c>
      <c r="DJ92" s="222" t="n"/>
      <c r="DK92" s="222" t="n"/>
      <c r="DL92" s="222" t="n"/>
      <c r="DM92" s="222" t="n"/>
      <c r="DN92" s="222" t="n"/>
      <c r="DO92" s="220" t="n"/>
      <c r="DP92" s="376">
        <f>IF(P92&lt;Q92,1,0)</f>
        <v/>
      </c>
      <c r="DQ92" s="376">
        <f>IF(R92&lt;S92,1,0)</f>
        <v/>
      </c>
      <c r="DR92" s="376">
        <f>IF($T92&lt;$U92,1,0)</f>
        <v/>
      </c>
      <c r="DS92" s="376">
        <f>IF(V92&lt;W92,1,0)</f>
        <v/>
      </c>
      <c r="DT92" s="376">
        <f>IF(X92&lt;Y92,1,0)</f>
        <v/>
      </c>
      <c r="DU92" s="376">
        <f>IF(Z92&lt;AA92,1,0)</f>
        <v/>
      </c>
      <c r="DV92" s="376">
        <f>IF(AB92&lt;AC92,1,0)</f>
        <v/>
      </c>
      <c r="DW92" s="376">
        <f>IF(AD92&lt;AE92,1,0)</f>
        <v/>
      </c>
      <c r="DX92" s="376">
        <f>IF(AF92&lt;AG92,1,0)</f>
        <v/>
      </c>
      <c r="DY92" s="376">
        <f>IF(AH92&lt;AI92,1,0)</f>
        <v/>
      </c>
      <c r="DZ92" s="376">
        <f>IF(AJ92&lt;AK92,1,0)</f>
        <v/>
      </c>
      <c r="EA92" s="376">
        <f>IF(AL92&lt;AM92,1,0)</f>
        <v/>
      </c>
      <c r="EB92" s="376">
        <f>IF(AN92&lt;AO92,1,0)</f>
        <v/>
      </c>
      <c r="EC92" s="376">
        <f>IF(AP92&lt;AQ92,1,0)</f>
        <v/>
      </c>
    </row>
    <row r="93">
      <c r="A93" s="3119" t="inlineStr">
        <is>
          <t>Donantes de sangre</t>
        </is>
      </c>
      <c r="B93" s="3103">
        <f>+P93+R93+T93+V93+X93+Z93+AB93+AD93+AF93+AH93</f>
        <v/>
      </c>
      <c r="C93" s="1171">
        <f>+Q93+S93+U93+W93+Y93+AA93+AC93+AE93+AG93+AI93</f>
        <v/>
      </c>
      <c r="D93" s="3112" t="n"/>
      <c r="E93" s="3105" t="n"/>
      <c r="F93" s="3104" t="n"/>
      <c r="G93" s="3105" t="n"/>
      <c r="H93" s="3104" t="n"/>
      <c r="I93" s="3105" t="n"/>
      <c r="J93" s="3104" t="n"/>
      <c r="K93" s="3105" t="n"/>
      <c r="L93" s="3104" t="n"/>
      <c r="M93" s="3106" t="n"/>
      <c r="N93" s="3112" t="n"/>
      <c r="O93" s="3105" t="n"/>
      <c r="P93" s="3108" t="n"/>
      <c r="Q93" s="3107" t="n"/>
      <c r="R93" s="3108" t="n"/>
      <c r="S93" s="3107" t="n"/>
      <c r="T93" s="3108" t="n"/>
      <c r="U93" s="3107" t="n"/>
      <c r="V93" s="3108" t="n"/>
      <c r="W93" s="3107" t="n"/>
      <c r="X93" s="3108" t="n"/>
      <c r="Y93" s="3107" t="n"/>
      <c r="Z93" s="3108" t="n"/>
      <c r="AA93" s="3107" t="n"/>
      <c r="AB93" s="3108" t="n"/>
      <c r="AC93" s="3107" t="n"/>
      <c r="AD93" s="3108" t="n"/>
      <c r="AE93" s="3107" t="n"/>
      <c r="AF93" s="3108" t="n"/>
      <c r="AG93" s="3107" t="n"/>
      <c r="AH93" s="3108" t="n"/>
      <c r="AI93" s="3107" t="n"/>
      <c r="AJ93" s="3104" t="n"/>
      <c r="AK93" s="3105" t="n"/>
      <c r="AL93" s="3104" t="n"/>
      <c r="AM93" s="3105" t="n"/>
      <c r="AN93" s="3104" t="n"/>
      <c r="AO93" s="3105" t="n"/>
      <c r="AP93" s="3104" t="n"/>
      <c r="AQ93" s="3114" t="n"/>
      <c r="AR93" s="3100" t="n"/>
      <c r="AS93" s="3098" t="n"/>
      <c r="AT93" s="3099" t="n"/>
      <c r="AU93" s="3098" t="n"/>
      <c r="AV93" s="3845" t="n"/>
      <c r="AW93" s="3656" t="n"/>
      <c r="AX93" s="218">
        <f>$CA93&amp;CB93&amp;CC93&amp;$CD93&amp;CK93&amp;CL93&amp;CM93&amp;CN93&amp;CO93&amp;CP93&amp;CQ93&amp;CR93&amp;CS93&amp;CT93</f>
        <v/>
      </c>
      <c r="CA93" s="219">
        <f>IF(B93&lt;&gt;(AS93+AR93)," * La suma de las columnas "&amp;AR$10&amp;""&amp;" DEBE SER IGUAL a los Exámenes Procesados. ","")</f>
        <v/>
      </c>
      <c r="CB93" s="219">
        <f>IF(AND($B93&gt;0,AND(AT93="",AU93="")),"* No olvide ingresar las columnas Trans Masculino o Femenino (*Digite CERO si no tiene). ",IF((AT93+AU93)&gt;$B93,"* El Número de Trans Masculino o Femenino no puede superar el Total Procesados. ",""))</f>
        <v/>
      </c>
      <c r="CC93" s="219">
        <f>IF(AND($B93&gt;0,AV93=""),"* No olvide ingresar la columna "&amp;AV$10&amp;""&amp;" *(Digite CERO si no tiene). ",IF(AV93&gt;$B93," *El Número de "&amp;AV$10&amp;""&amp;" no puede superar el Total Procesados. ",""))</f>
        <v/>
      </c>
      <c r="CD93" s="219">
        <f>IF(AND($B93&gt;0,AW93=""),"* No olvide ingresar la columna "&amp;AW$10&amp;""&amp;" *(Digite CERO si no tiene). ",IF(AW93&gt;$B93," *El Número de "&amp;AW$10&amp;""&amp;" no puede superar el Total Procesados. ",""))</f>
        <v/>
      </c>
      <c r="CE93" s="377" t="n"/>
      <c r="CF93" s="377" t="n"/>
      <c r="CG93" s="222" t="n"/>
      <c r="CH93" s="222" t="n"/>
      <c r="CI93" s="222" t="n"/>
      <c r="CJ93" s="377" t="n"/>
      <c r="CK93" s="219">
        <f>IF(P93&lt;Q93,CONCATENATE("* El total de Procesados debe ser mayor o igual al total de Reactivos en el grupo de edad ",$P$11),"")</f>
        <v/>
      </c>
      <c r="CL93" s="219">
        <f>IF(R93&lt;S93,CONCATENATE("* El total de Procesados debe ser mayor o igual al total de Reactivos en el grupo de edad ",$R$11),"")</f>
        <v/>
      </c>
      <c r="CM93" s="219">
        <f>IF($T93&lt;$U93,CONCATENATE("* El total de Procesados debe ser mayor o igual al total de Reactivos en el grupo de edad ",$T$11),"")</f>
        <v/>
      </c>
      <c r="CN93" s="219">
        <f>IF(V93&lt;W93,CONCATENATE("* El total de Procesados debe ser mayor o igual al total de Reactivos en el grupo de edad ",$V$11),"")</f>
        <v/>
      </c>
      <c r="CO93" s="219">
        <f>IF(X93&lt;Y93,CONCATENATE("* El total de Procesados debe ser mayor o igual al total de Reactivos en el grupo de edad ",$X$11),"")</f>
        <v/>
      </c>
      <c r="CP93" s="219">
        <f>IF(Z93&lt;AA93,CONCATENATE("* El total de Procesados debe ser mayor o igual al total de Reactivos en el grupo de edad ",$Z$11),"")</f>
        <v/>
      </c>
      <c r="CQ93" s="219">
        <f>IF(AB93&lt;AC93,CONCATENATE("* El total de Procesados debe ser mayor o igual al total de Reactivos en el grupo de edad ",$AB$11),"")</f>
        <v/>
      </c>
      <c r="CR93" s="219">
        <f>IF(AD93&lt;AE93,CONCATENATE("* El total de Procesados debe ser mayor o igual al total de Reactivos en el grupo de edad ",$AD$11),"")</f>
        <v/>
      </c>
      <c r="CS93" s="219">
        <f>IF(AF93&lt;AG93,CONCATENATE("* El total de Procesados debe ser mayor o igual al total de Reactivos en el grupo de edad ",$AF$11),"")</f>
        <v/>
      </c>
      <c r="CT93" s="219">
        <f>IF(AH93&lt;AI93,CONCATENATE("* El total de Procesados debe ser mayor o igual al total de Reactivos en el grupo de edad ",$AH$11),"")</f>
        <v/>
      </c>
      <c r="CU93" s="220" t="n"/>
      <c r="CV93" s="220" t="n"/>
      <c r="CW93" s="220" t="n"/>
      <c r="CX93" s="220" t="n"/>
      <c r="DE93" s="226" t="n"/>
      <c r="DF93" s="378">
        <f>IF(B93&lt;&gt;(AS93+AR93),1,0)</f>
        <v/>
      </c>
      <c r="DG93" s="376">
        <f>IF(AND($B93&gt;0,AND(AT93="",AU93="")),1,IF((AT93+AU93)&gt;$B93,1,0))</f>
        <v/>
      </c>
      <c r="DH93" s="376">
        <f>IF(AND($B93&gt;0,AV93=""),1,IF(AV93&gt;$B93,1,0))</f>
        <v/>
      </c>
      <c r="DI93" s="376">
        <f>IF(AND($B93&gt;0,AW93=""),1,IF(AW93&gt;$B93,1,0))</f>
        <v/>
      </c>
      <c r="DJ93" s="222" t="n"/>
      <c r="DK93" s="222" t="n"/>
      <c r="DL93" s="222" t="n"/>
      <c r="DM93" s="222" t="n"/>
      <c r="DN93" s="222" t="n"/>
      <c r="DO93" s="220" t="n"/>
      <c r="DP93" s="376">
        <f>IF(P93&lt;Q93,1,0)</f>
        <v/>
      </c>
      <c r="DQ93" s="376">
        <f>IF(R93&lt;S93,1,0)</f>
        <v/>
      </c>
      <c r="DR93" s="376">
        <f>IF($T93&lt;$U93,1,0)</f>
        <v/>
      </c>
      <c r="DS93" s="376">
        <f>IF(V93&lt;W93,1,0)</f>
        <v/>
      </c>
      <c r="DT93" s="376">
        <f>IF(X93&lt;Y93,1,0)</f>
        <v/>
      </c>
      <c r="DU93" s="376">
        <f>IF(Z93&lt;AA93,1,0)</f>
        <v/>
      </c>
      <c r="DV93" s="376">
        <f>IF(AB93&lt;AC93,1,0)</f>
        <v/>
      </c>
      <c r="DW93" s="376">
        <f>IF(AD93&lt;AE93,1,0)</f>
        <v/>
      </c>
      <c r="DX93" s="376">
        <f>IF(AF93&lt;AG93,1,0)</f>
        <v/>
      </c>
      <c r="DY93" s="376">
        <f>IF(AH93&lt;AI93,1,0)</f>
        <v/>
      </c>
      <c r="DZ93" s="220" t="n"/>
      <c r="EA93" s="220" t="n"/>
      <c r="EB93" s="220" t="n"/>
      <c r="EC93" s="220" t="n"/>
    </row>
    <row r="94">
      <c r="A94" s="3119" t="inlineStr">
        <is>
          <t>Donantes de órganos y/o tejidos</t>
        </is>
      </c>
      <c r="B94" s="3103">
        <f>+D94+F94+H94+J94+L94+N94+P94+R94+T94+V94+X94+Z94+AB94+AD94+AF94+AH94+AJ94+AL94+AN94+AP94</f>
        <v/>
      </c>
      <c r="C94" s="1171">
        <f>+E94+G94+I94+K94+M94+O94+Q94+S94+U94+W94+Y94+AA94+AC94+AE94+AG94+AI94+AK94+AM94+AO94+AQ94</f>
        <v/>
      </c>
      <c r="D94" s="3100" t="n"/>
      <c r="E94" s="3107" t="n"/>
      <c r="F94" s="3108" t="n"/>
      <c r="G94" s="3107" t="n"/>
      <c r="H94" s="3108" t="n"/>
      <c r="I94" s="3101" t="n"/>
      <c r="J94" s="3100" t="n"/>
      <c r="K94" s="3100" t="n"/>
      <c r="L94" s="3108" t="n"/>
      <c r="M94" s="3101" t="n"/>
      <c r="N94" s="3100" t="n"/>
      <c r="O94" s="3107" t="n"/>
      <c r="P94" s="3108" t="n"/>
      <c r="Q94" s="3107" t="n"/>
      <c r="R94" s="3108" t="n"/>
      <c r="S94" s="3107" t="n"/>
      <c r="T94" s="3108" t="n"/>
      <c r="U94" s="3107" t="n"/>
      <c r="V94" s="3108" t="n"/>
      <c r="W94" s="3107" t="n"/>
      <c r="X94" s="3108" t="n"/>
      <c r="Y94" s="3107" t="n"/>
      <c r="Z94" s="3108" t="n"/>
      <c r="AA94" s="3107" t="n"/>
      <c r="AB94" s="3108" t="n"/>
      <c r="AC94" s="3107" t="n"/>
      <c r="AD94" s="3108" t="n"/>
      <c r="AE94" s="3107" t="n"/>
      <c r="AF94" s="3108" t="n"/>
      <c r="AG94" s="3107" t="n"/>
      <c r="AH94" s="3108" t="n"/>
      <c r="AI94" s="3107" t="n"/>
      <c r="AJ94" s="3108" t="n"/>
      <c r="AK94" s="3107" t="n"/>
      <c r="AL94" s="3108" t="n"/>
      <c r="AM94" s="3107" t="n"/>
      <c r="AN94" s="3108" t="n"/>
      <c r="AO94" s="3107" t="n"/>
      <c r="AP94" s="3108" t="n"/>
      <c r="AQ94" s="3098" t="n"/>
      <c r="AR94" s="3100" t="n"/>
      <c r="AS94" s="3098" t="n"/>
      <c r="AT94" s="3099" t="n"/>
      <c r="AU94" s="3098" t="n"/>
      <c r="AV94" s="3845" t="n"/>
      <c r="AW94" s="3656" t="n"/>
      <c r="AX94" s="218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>
        <f>IF(B94&lt;&gt;(AS94+AR94)," * La suma de las columnas "&amp;AR$10&amp;""&amp;" DEBE SER IGUAL a los Exámenes Procesados. ","")</f>
        <v/>
      </c>
      <c r="CB94" s="219">
        <f>IF(AND($B94&gt;0,AND(AT94="",AU94="")),"* No olvide ingresar las columnas Trans Masculino o Femenino (*Digite CERO si no tiene). ",IF((AT94+AU94)&gt;$B94,"* El Número de Trans Masculino o Femenino no puede superar el Total Procesados. ",""))</f>
        <v/>
      </c>
      <c r="CC94" s="219">
        <f>IF(AND($B94&gt;0,AV94=""),"* No olvide ingresar la columna "&amp;AV$10&amp;""&amp;" *(Digite CERO si no tiene). ",IF(AV94&gt;$B94," *El Número de "&amp;AV$10&amp;""&amp;" no puede superar el Total Procesados. ",""))</f>
        <v/>
      </c>
      <c r="CD94" s="219">
        <f>IF(AND($B94&gt;0,AW94=""),"* No olvide ingresar la columna "&amp;AW$10&amp;""&amp;" *(Digite CERO si no tiene). ",IF(AW94&gt;$B94," *El Número de "&amp;AW$10&amp;""&amp;" no puede superar el Total Procesados. ",""))</f>
        <v/>
      </c>
      <c r="CE94" s="219">
        <f>IF(D94&lt;E94,CONCATENATE("* El total de Procesados debe ser mayor o igual al total de Reactivos en el grupo de edad ",$D$11),"")</f>
        <v/>
      </c>
      <c r="CF94" s="219">
        <f>IF(F94&lt;G94,CONCATENATE("* El total de Procesados debe ser mayor o igual al total de Reactivos en el grupo de edad ",$F$11),"")</f>
        <v/>
      </c>
      <c r="CG94" s="219">
        <f>IF(H94&lt;I94,CONCATENATE("* El total de Procesados debe ser mayor o igual al total de Reactivos en el grupo de edad ",$H$11),"")</f>
        <v/>
      </c>
      <c r="CH94" s="219">
        <f>IF(J94&lt;K94,CONCATENATE("* El total de Procesados debe ser mayor o igual al total de Reactivos en el grupo de edad ",$J$11),"")</f>
        <v/>
      </c>
      <c r="CI94" s="219">
        <f>IF(L94&lt;M94,CONCATENATE("* El total de Procesados debe ser mayor o igual al total de Reactivos en el grupo de edad ",$L$11),"")</f>
        <v/>
      </c>
      <c r="CJ94" s="219">
        <f>IF(N94&lt;O94,CONCATENATE("* El total de Procesados debe ser mayor o igual al total de Reactivos en el grupo de edad ",$N$11),"")</f>
        <v/>
      </c>
      <c r="CK94" s="219">
        <f>IF(P94&lt;Q94,CONCATENATE("* El total de Procesados debe ser mayor o igual al total de Reactivos en el grupo de edad ",$P$11),"")</f>
        <v/>
      </c>
      <c r="CL94" s="219">
        <f>IF(R94&lt;S94,CONCATENATE("* El total de Procesados debe ser mayor o igual al total de Reactivos en el grupo de edad ",$R$11),"")</f>
        <v/>
      </c>
      <c r="CM94" s="219">
        <f>IF($T94&lt;$U94,CONCATENATE("* El total de Procesados debe ser mayor o igual al total de Reactivos en el grupo de edad ",$T$11),"")</f>
        <v/>
      </c>
      <c r="CN94" s="219">
        <f>IF(V94&lt;W94,CONCATENATE("* El total de Procesados debe ser mayor o igual al total de Reactivos en el grupo de edad ",$V$11),"")</f>
        <v/>
      </c>
      <c r="CO94" s="219">
        <f>IF(X94&lt;Y94,CONCATENATE("* El total de Procesados debe ser mayor o igual al total de Reactivos en el grupo de edad ",$X$11),"")</f>
        <v/>
      </c>
      <c r="CP94" s="219">
        <f>IF(Z94&lt;AA94,CONCATENATE("* El total de Procesados debe ser mayor o igual al total de Reactivos en el grupo de edad ",$Z$11),"")</f>
        <v/>
      </c>
      <c r="CQ94" s="219">
        <f>IF(AB94&lt;AC94,CONCATENATE("* El total de Procesados debe ser mayor o igual al total de Reactivos en el grupo de edad ",$AB$11),"")</f>
        <v/>
      </c>
      <c r="CR94" s="219">
        <f>IF(AD94&lt;AE94,CONCATENATE("* El total de Procesados debe ser mayor o igual al total de Reactivos en el grupo de edad ",$AD$11),"")</f>
        <v/>
      </c>
      <c r="CS94" s="219">
        <f>IF(AF94&lt;AG94,CONCATENATE("* El total de Procesados debe ser mayor o igual al total de Reactivos en el grupo de edad ",$AF$11),"")</f>
        <v/>
      </c>
      <c r="CT94" s="219">
        <f>IF(AH94&lt;AI94,CONCATENATE("* El total de Procesados debe ser mayor o igual al total de Reactivos en el grupo de edad ",$AH$11),"")</f>
        <v/>
      </c>
      <c r="CU94" s="219">
        <f>IF(AJ94&lt;AK94,CONCATENATE("* El total de Procesados debe ser mayor o igual al total de Reactivos en el grupo de edad ",$AJ$11),"")</f>
        <v/>
      </c>
      <c r="CV94" s="219">
        <f>IF(AL94&lt;AM94,CONCATENATE("* El total de Procesados debe ser mayor o igual al total de Reactivos en el grupo de edad ",$AL$11),"")</f>
        <v/>
      </c>
      <c r="CW94" s="219">
        <f>IF(AN94&lt;AO94,CONCATENATE("* El total de Procesados debe ser mayor o igual al total de Reactivos en el grupo de edad ",$AN$11),"")</f>
        <v/>
      </c>
      <c r="CX94" s="219">
        <f>IF(AP94&lt;AQ94,CONCATENATE("* El total de Procesados debe ser mayor o igual al total de Reactivos en el grupo de edad ",$AP$11),"")</f>
        <v/>
      </c>
      <c r="DE94" s="226" t="n"/>
      <c r="DF94" s="378">
        <f>IF(B94&lt;&gt;(AS94+AR94),1,0)</f>
        <v/>
      </c>
      <c r="DG94" s="376">
        <f>IF(AND($B94&gt;0,AND(AT94="",AU94="")),1,IF((AT94+AU94)&gt;$B94,1,0))</f>
        <v/>
      </c>
      <c r="DH94" s="376">
        <f>IF(AND($B94&gt;0,AV94=""),1,IF(AV94&gt;$B94,1,0))</f>
        <v/>
      </c>
      <c r="DI94" s="376">
        <f>IF(AND($B94&gt;0,AW94=""),1,IF(AW94&gt;$B94,1,0))</f>
        <v/>
      </c>
      <c r="DJ94" s="376">
        <f>IF(D94&lt;E94,1,0)</f>
        <v/>
      </c>
      <c r="DK94" s="376">
        <f>IF(F94&lt;G94,1,0)</f>
        <v/>
      </c>
      <c r="DL94" s="376">
        <f>IF(H94&lt;I94,1,0)</f>
        <v/>
      </c>
      <c r="DM94" s="376">
        <f>IF(J94&lt;K94,1,0)</f>
        <v/>
      </c>
      <c r="DN94" s="376">
        <f>IF(L94&lt;M94,1,0)</f>
        <v/>
      </c>
      <c r="DO94" s="376">
        <f>IF(N94&lt;O94,1,0)</f>
        <v/>
      </c>
      <c r="DP94" s="376">
        <f>IF(P94&lt;Q94,1,0)</f>
        <v/>
      </c>
      <c r="DQ94" s="376">
        <f>IF(R94&lt;S94,1,0)</f>
        <v/>
      </c>
      <c r="DR94" s="376">
        <f>IF($T94&lt;$U94,1,0)</f>
        <v/>
      </c>
      <c r="DS94" s="376">
        <f>IF(V94&lt;W94,1,0)</f>
        <v/>
      </c>
      <c r="DT94" s="376">
        <f>IF(X94&lt;Y94,1,0)</f>
        <v/>
      </c>
      <c r="DU94" s="376">
        <f>IF(Z94&lt;AA94,1,0)</f>
        <v/>
      </c>
      <c r="DV94" s="376">
        <f>IF(AB94&lt;AC94,1,0)</f>
        <v/>
      </c>
      <c r="DW94" s="376">
        <f>IF(AD94&lt;AE94,1,0)</f>
        <v/>
      </c>
      <c r="DX94" s="376">
        <f>IF(AF94&lt;AG94,1,0)</f>
        <v/>
      </c>
      <c r="DY94" s="376">
        <f>IF(AH94&lt;AI94,1,0)</f>
        <v/>
      </c>
      <c r="DZ94" s="376">
        <f>IF(AJ94&lt;AK94,1,0)</f>
        <v/>
      </c>
      <c r="EA94" s="376">
        <f>IF(AL94&lt;AM94,1,0)</f>
        <v/>
      </c>
      <c r="EB94" s="376">
        <f>IF(AN94&lt;AO94,1,0)</f>
        <v/>
      </c>
      <c r="EC94" s="376">
        <f>IF(AP94&lt;AQ94,1,0)</f>
        <v/>
      </c>
    </row>
    <row r="95">
      <c r="A95" s="3119" t="inlineStr">
        <is>
          <t>Pacientes en diálisis</t>
        </is>
      </c>
      <c r="B95" s="3103">
        <f>+D95+F95+H95+J95+L95+N95+P95+R95+T95+V95+X95+Z95+AB95+AD95+AF95+AH95+AJ95+AL95+AN95+AP95</f>
        <v/>
      </c>
      <c r="C95" s="1171">
        <f>+E95+G95+I95+K95+M95+O95+Q95+S95+U95+W95+Y95+AA95+AC95+AE95+AG95+AI95+AK95+AM95+AO95+AQ95</f>
        <v/>
      </c>
      <c r="D95" s="3100" t="n"/>
      <c r="E95" s="3107" t="n"/>
      <c r="F95" s="3108" t="n"/>
      <c r="G95" s="3107" t="n"/>
      <c r="H95" s="3108" t="n"/>
      <c r="I95" s="3101" t="n"/>
      <c r="J95" s="3100" t="n"/>
      <c r="K95" s="3100" t="n"/>
      <c r="L95" s="3108" t="n"/>
      <c r="M95" s="3101" t="n"/>
      <c r="N95" s="3100" t="n"/>
      <c r="O95" s="3107" t="n"/>
      <c r="P95" s="3108" t="n"/>
      <c r="Q95" s="3107" t="n"/>
      <c r="R95" s="3108" t="n"/>
      <c r="S95" s="3107" t="n"/>
      <c r="T95" s="3108" t="n"/>
      <c r="U95" s="3107" t="n"/>
      <c r="V95" s="3108" t="n"/>
      <c r="W95" s="3107" t="n"/>
      <c r="X95" s="3108" t="n"/>
      <c r="Y95" s="3107" t="n"/>
      <c r="Z95" s="3108" t="n"/>
      <c r="AA95" s="3107" t="n"/>
      <c r="AB95" s="3108" t="n"/>
      <c r="AC95" s="3107" t="n"/>
      <c r="AD95" s="3108" t="n"/>
      <c r="AE95" s="3107" t="n"/>
      <c r="AF95" s="3108" t="n"/>
      <c r="AG95" s="3107" t="n"/>
      <c r="AH95" s="3108" t="n"/>
      <c r="AI95" s="3107" t="n"/>
      <c r="AJ95" s="3108" t="n"/>
      <c r="AK95" s="3107" t="n"/>
      <c r="AL95" s="3108" t="n"/>
      <c r="AM95" s="3107" t="n"/>
      <c r="AN95" s="3108" t="n"/>
      <c r="AO95" s="3107" t="n"/>
      <c r="AP95" s="3108" t="n"/>
      <c r="AQ95" s="3098" t="n"/>
      <c r="AR95" s="3100" t="n"/>
      <c r="AS95" s="3098" t="n"/>
      <c r="AT95" s="3099" t="n"/>
      <c r="AU95" s="3098" t="n"/>
      <c r="AV95" s="3845" t="n"/>
      <c r="AW95" s="3656" t="n"/>
      <c r="AX95" s="218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>
        <f>IF(B95&lt;&gt;(AS95+AR95)," * La suma de las columnas "&amp;AR$10&amp;""&amp;" DEBE SER IGUAL a los Exámenes Procesados. ","")</f>
        <v/>
      </c>
      <c r="CB95" s="219">
        <f>IF(AND($B95&gt;0,AND(AT95="",AU95="")),"* No olvide ingresar las columnas Trans Masculino o Femenino (*Digite CERO si no tiene). ",IF((AT95+AU95)&gt;$B95,"* El Número de Trans Masculino o Femenino no puede superar el Total Procesados. ",""))</f>
        <v/>
      </c>
      <c r="CC95" s="219">
        <f>IF(AND($B95&gt;0,AV95=""),"* No olvide ingresar la columna "&amp;AV$10&amp;""&amp;" *(Digite CERO si no tiene). ",IF(AV95&gt;$B95," *El Número de "&amp;AV$10&amp;""&amp;" no puede superar el Total Procesados. ",""))</f>
        <v/>
      </c>
      <c r="CD95" s="219">
        <f>IF(AND($B95&gt;0,AW95=""),"* No olvide ingresar la columna "&amp;AW$10&amp;""&amp;" *(Digite CERO si no tiene). ",IF(AW95&gt;$B95," *El Número de "&amp;AW$10&amp;""&amp;" no puede superar el Total Procesados. ",""))</f>
        <v/>
      </c>
      <c r="CE95" s="219">
        <f>IF(D95&lt;E95,CONCATENATE("* El total de Procesados debe ser mayor o igual al total de Reactivos en el grupo de edad ",$D$11),"")</f>
        <v/>
      </c>
      <c r="CF95" s="219">
        <f>IF(F95&lt;G95,CONCATENATE("* El total de Procesados debe ser mayor o igual al total de Reactivos en el grupo de edad ",$F$11),"")</f>
        <v/>
      </c>
      <c r="CG95" s="219">
        <f>IF(H95&lt;I95,CONCATENATE("* El total de Procesados debe ser mayor o igual al total de Reactivos en el grupo de edad ",$H$11),"")</f>
        <v/>
      </c>
      <c r="CH95" s="219">
        <f>IF(J95&lt;K95,CONCATENATE("* El total de Procesados debe ser mayor o igual al total de Reactivos en el grupo de edad ",$J$11),"")</f>
        <v/>
      </c>
      <c r="CI95" s="219">
        <f>IF(L95&lt;M95,CONCATENATE("* El total de Procesados debe ser mayor o igual al total de Reactivos en el grupo de edad ",$L$11),"")</f>
        <v/>
      </c>
      <c r="CJ95" s="219">
        <f>IF(N95&lt;O95,CONCATENATE("* El total de Procesados debe ser mayor o igual al total de Reactivos en el grupo de edad ",$N$11),"")</f>
        <v/>
      </c>
      <c r="CK95" s="219">
        <f>IF(P95&lt;Q95,CONCATENATE("* El total de Procesados debe ser mayor o igual al total de Reactivos en el grupo de edad ",$P$11),"")</f>
        <v/>
      </c>
      <c r="CL95" s="219">
        <f>IF(R95&lt;S95,CONCATENATE("* El total de Procesados debe ser mayor o igual al total de Reactivos en el grupo de edad ",$R$11),"")</f>
        <v/>
      </c>
      <c r="CM95" s="219">
        <f>IF($T95&lt;$U95,CONCATENATE("* El total de Procesados debe ser mayor o igual al total de Reactivos en el grupo de edad ",$T$11),"")</f>
        <v/>
      </c>
      <c r="CN95" s="219">
        <f>IF(V95&lt;W95,CONCATENATE("* El total de Procesados debe ser mayor o igual al total de Reactivos en el grupo de edad ",$V$11),"")</f>
        <v/>
      </c>
      <c r="CO95" s="219">
        <f>IF(X95&lt;Y95,CONCATENATE("* El total de Procesados debe ser mayor o igual al total de Reactivos en el grupo de edad ",$X$11),"")</f>
        <v/>
      </c>
      <c r="CP95" s="219">
        <f>IF(Z95&lt;AA95,CONCATENATE("* El total de Procesados debe ser mayor o igual al total de Reactivos en el grupo de edad ",$Z$11),"")</f>
        <v/>
      </c>
      <c r="CQ95" s="219">
        <f>IF(AB95&lt;AC95,CONCATENATE("* El total de Procesados debe ser mayor o igual al total de Reactivos en el grupo de edad ",$AB$11),"")</f>
        <v/>
      </c>
      <c r="CR95" s="219">
        <f>IF(AD95&lt;AE95,CONCATENATE("* El total de Procesados debe ser mayor o igual al total de Reactivos en el grupo de edad ",$AD$11),"")</f>
        <v/>
      </c>
      <c r="CS95" s="219">
        <f>IF(AF95&lt;AG95,CONCATENATE("* El total de Procesados debe ser mayor o igual al total de Reactivos en el grupo de edad ",$AF$11),"")</f>
        <v/>
      </c>
      <c r="CT95" s="219">
        <f>IF(AH95&lt;AI95,CONCATENATE("* El total de Procesados debe ser mayor o igual al total de Reactivos en el grupo de edad ",$AH$11),"")</f>
        <v/>
      </c>
      <c r="CU95" s="219">
        <f>IF(AJ95&lt;AK95,CONCATENATE("* El total de Procesados debe ser mayor o igual al total de Reactivos en el grupo de edad ",$AJ$11),"")</f>
        <v/>
      </c>
      <c r="CV95" s="219">
        <f>IF(AL95&lt;AM95,CONCATENATE("* El total de Procesados debe ser mayor o igual al total de Reactivos en el grupo de edad ",$AL$11),"")</f>
        <v/>
      </c>
      <c r="CW95" s="219">
        <f>IF(AN95&lt;AO95,CONCATENATE("* El total de Procesados debe ser mayor o igual al total de Reactivos en el grupo de edad ",$AN$11),"")</f>
        <v/>
      </c>
      <c r="CX95" s="219">
        <f>IF(AP95&lt;AQ95,CONCATENATE("* El total de Procesados debe ser mayor o igual al total de Reactivos en el grupo de edad ",$AP$11),"")</f>
        <v/>
      </c>
      <c r="DE95" s="226" t="n"/>
      <c r="DF95" s="378">
        <f>IF(B95&lt;&gt;(AS95+AR95),1,0)</f>
        <v/>
      </c>
      <c r="DG95" s="376">
        <f>IF(AND($B95&gt;0,AND(AT95="",AU95="")),1,IF((AT95+AU95)&gt;$B95,1,0))</f>
        <v/>
      </c>
      <c r="DH95" s="376">
        <f>IF(AND($B95&gt;0,AV95=""),1,IF(AV95&gt;$B95,1,0))</f>
        <v/>
      </c>
      <c r="DI95" s="376">
        <f>IF(AND($B95&gt;0,AW95=""),1,IF(AW95&gt;$B95,1,0))</f>
        <v/>
      </c>
      <c r="DJ95" s="376">
        <f>IF(D95&lt;E95,1,0)</f>
        <v/>
      </c>
      <c r="DK95" s="376">
        <f>IF(F95&lt;G95,1,0)</f>
        <v/>
      </c>
      <c r="DL95" s="376">
        <f>IF(H95&lt;I95,1,0)</f>
        <v/>
      </c>
      <c r="DM95" s="376">
        <f>IF(J95&lt;K95,1,0)</f>
        <v/>
      </c>
      <c r="DN95" s="376">
        <f>IF(L95&lt;M95,1,0)</f>
        <v/>
      </c>
      <c r="DO95" s="376">
        <f>IF(N95&lt;O95,1,0)</f>
        <v/>
      </c>
      <c r="DP95" s="376">
        <f>IF(P95&lt;Q95,1,0)</f>
        <v/>
      </c>
      <c r="DQ95" s="376">
        <f>IF(R95&lt;S95,1,0)</f>
        <v/>
      </c>
      <c r="DR95" s="376">
        <f>IF($T95&lt;$U95,1,0)</f>
        <v/>
      </c>
      <c r="DS95" s="376">
        <f>IF(V95&lt;W95,1,0)</f>
        <v/>
      </c>
      <c r="DT95" s="376">
        <f>IF(X95&lt;Y95,1,0)</f>
        <v/>
      </c>
      <c r="DU95" s="376">
        <f>IF(Z95&lt;AA95,1,0)</f>
        <v/>
      </c>
      <c r="DV95" s="376">
        <f>IF(AB95&lt;AC95,1,0)</f>
        <v/>
      </c>
      <c r="DW95" s="376">
        <f>IF(AD95&lt;AE95,1,0)</f>
        <v/>
      </c>
      <c r="DX95" s="376">
        <f>IF(AF95&lt;AG95,1,0)</f>
        <v/>
      </c>
      <c r="DY95" s="376">
        <f>IF(AH95&lt;AI95,1,0)</f>
        <v/>
      </c>
      <c r="DZ95" s="376">
        <f>IF(AJ95&lt;AK95,1,0)</f>
        <v/>
      </c>
      <c r="EA95" s="376">
        <f>IF(AL95&lt;AM95,1,0)</f>
        <v/>
      </c>
      <c r="EB95" s="376">
        <f>IF(AN95&lt;AO95,1,0)</f>
        <v/>
      </c>
      <c r="EC95" s="376">
        <f>IF(AP95&lt;AQ95,1,0)</f>
        <v/>
      </c>
    </row>
    <row r="96">
      <c r="A96" s="8771" t="inlineStr">
        <is>
          <t>Víctima de violencia sexual</t>
        </is>
      </c>
      <c r="B96" s="2576">
        <f>+D96+F96+H96+J96+L96+N96+P96+R96+T96+V96+X96+Z96+AB96+AD96+AF96+AH96+AJ96+AL96+AN96+AP96</f>
        <v/>
      </c>
      <c r="C96" s="2464">
        <f>+E96+G96+I96+K96+M96+O96+Q96+S96+U96+W96+Y96+AA96+AC96+AE96+AG96+AI96+AK96+AM96+AO96+AQ96</f>
        <v/>
      </c>
      <c r="D96" s="1140" t="n"/>
      <c r="E96" s="1153" t="n"/>
      <c r="F96" s="1137" t="n"/>
      <c r="G96" s="1153" t="n"/>
      <c r="H96" s="1137" t="n"/>
      <c r="I96" s="1139" t="n"/>
      <c r="J96" s="1140" t="n"/>
      <c r="K96" s="1140" t="n"/>
      <c r="L96" s="1137" t="n"/>
      <c r="M96" s="1139" t="n"/>
      <c r="N96" s="1140" t="n"/>
      <c r="O96" s="1153" t="n"/>
      <c r="P96" s="1137" t="n"/>
      <c r="Q96" s="1153" t="n"/>
      <c r="R96" s="1137" t="n"/>
      <c r="S96" s="1153" t="n"/>
      <c r="T96" s="1137" t="n"/>
      <c r="U96" s="1153" t="n"/>
      <c r="V96" s="1137" t="n"/>
      <c r="W96" s="1153" t="n"/>
      <c r="X96" s="1137" t="n"/>
      <c r="Y96" s="1153" t="n"/>
      <c r="Z96" s="1137" t="n"/>
      <c r="AA96" s="1153" t="n"/>
      <c r="AB96" s="1137" t="n"/>
      <c r="AC96" s="1153" t="n"/>
      <c r="AD96" s="1137" t="n"/>
      <c r="AE96" s="1153" t="n"/>
      <c r="AF96" s="1137" t="n"/>
      <c r="AG96" s="1153" t="n"/>
      <c r="AH96" s="1137" t="n"/>
      <c r="AI96" s="1153" t="n"/>
      <c r="AJ96" s="1137" t="n"/>
      <c r="AK96" s="1153" t="n"/>
      <c r="AL96" s="1137" t="n"/>
      <c r="AM96" s="1153" t="n"/>
      <c r="AN96" s="1137" t="n"/>
      <c r="AO96" s="1153" t="n"/>
      <c r="AP96" s="1137" t="n"/>
      <c r="AQ96" s="1143" t="n"/>
      <c r="AR96" s="1140" t="n"/>
      <c r="AS96" s="1143" t="n"/>
      <c r="AT96" s="1152" t="n"/>
      <c r="AU96" s="1143" t="n"/>
      <c r="AV96" s="3847" t="n"/>
      <c r="AW96" s="1138" t="n"/>
      <c r="AX96" s="218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>
        <f>IF(B96&lt;&gt;(AS96+AR96)," * La suma de las columnas "&amp;AR$10&amp;""&amp;" DEBE SER IGUAL a los Exámenes Procesados. ","")</f>
        <v/>
      </c>
      <c r="CB96" s="219">
        <f>IF(AND($B96&gt;0,AND(AT96="",AU96="")),"* No olvide ingresar las columnas Trans Masculino o Femenino (*Digite CERO si no tiene). ",IF((AT96+AU96)&gt;$B96,"* El Número de Trans Masculino o Femenino no puede superar el Total Procesados. ",""))</f>
        <v/>
      </c>
      <c r="CC96" s="219">
        <f>IF(AND($B96&gt;0,AV96=""),"* No olvide ingresar la columna "&amp;AV$10&amp;""&amp;" *(Digite CERO si no tiene). ",IF(AV96&gt;$B96," *El Número de "&amp;AV$10&amp;""&amp;" no puede superar el Total Procesados. ",""))</f>
        <v/>
      </c>
      <c r="CD96" s="219">
        <f>IF(AND($B96&gt;0,AW96=""),"* No olvide ingresar la columna "&amp;AW$10&amp;""&amp;" *(Digite CERO si no tiene). ",IF(AW96&gt;$B96," *El Número de "&amp;AW$10&amp;""&amp;" no puede superar el Total Procesados. ",""))</f>
        <v/>
      </c>
      <c r="CE96" s="219">
        <f>IF(D96&lt;E96,CONCATENATE("* El total de Procesados debe ser mayor o igual al total de Reactivos en el grupo de edad ",$D$11),"")</f>
        <v/>
      </c>
      <c r="CF96" s="219">
        <f>IF(F96&lt;G96,CONCATENATE("* El total de Procesados debe ser mayor o igual al total de Reactivos en el grupo de edad ",$F$11),"")</f>
        <v/>
      </c>
      <c r="CG96" s="219">
        <f>IF(H96&lt;I96,CONCATENATE("* El total de Procesados debe ser mayor o igual al total de Reactivos en el grupo de edad ",$H$11),"")</f>
        <v/>
      </c>
      <c r="CH96" s="219">
        <f>IF(J96&lt;K96,CONCATENATE("* El total de Procesados debe ser mayor o igual al total de Reactivos en el grupo de edad ",$J$11),"")</f>
        <v/>
      </c>
      <c r="CI96" s="219">
        <f>IF(L96&lt;M96,CONCATENATE("* El total de Procesados debe ser mayor o igual al total de Reactivos en el grupo de edad ",$L$11),"")</f>
        <v/>
      </c>
      <c r="CJ96" s="219">
        <f>IF(N96&lt;O96,CONCATENATE("* El total de Procesados debe ser mayor o igual al total de Reactivos en el grupo de edad ",$N$11),"")</f>
        <v/>
      </c>
      <c r="CK96" s="219">
        <f>IF(P96&lt;Q96,CONCATENATE("* El total de Procesados debe ser mayor o igual al total de Reactivos en el grupo de edad ",$P$11),"")</f>
        <v/>
      </c>
      <c r="CL96" s="219">
        <f>IF(R96&lt;S96,CONCATENATE("* El total de Procesados debe ser mayor o igual al total de Reactivos en el grupo de edad ",$R$11),"")</f>
        <v/>
      </c>
      <c r="CM96" s="219">
        <f>IF($T96&lt;$U96,CONCATENATE("* El total de Procesados debe ser mayor o igual al total de Reactivos en el grupo de edad ",$T$11),"")</f>
        <v/>
      </c>
      <c r="CN96" s="219">
        <f>IF(V96&lt;W96,CONCATENATE("* El total de Procesados debe ser mayor o igual al total de Reactivos en el grupo de edad ",$V$11),"")</f>
        <v/>
      </c>
      <c r="CO96" s="219">
        <f>IF(X96&lt;Y96,CONCATENATE("* El total de Procesados debe ser mayor o igual al total de Reactivos en el grupo de edad ",$X$11),"")</f>
        <v/>
      </c>
      <c r="CP96" s="219">
        <f>IF(Z96&lt;AA96,CONCATENATE("* El total de Procesados debe ser mayor o igual al total de Reactivos en el grupo de edad ",$Z$11),"")</f>
        <v/>
      </c>
      <c r="CQ96" s="219">
        <f>IF(AB96&lt;AC96,CONCATENATE("* El total de Procesados debe ser mayor o igual al total de Reactivos en el grupo de edad ",$AB$11),"")</f>
        <v/>
      </c>
      <c r="CR96" s="219">
        <f>IF(AD96&lt;AE96,CONCATENATE("* El total de Procesados debe ser mayor o igual al total de Reactivos en el grupo de edad ",$AD$11),"")</f>
        <v/>
      </c>
      <c r="CS96" s="219">
        <f>IF(AF96&lt;AG96,CONCATENATE("* El total de Procesados debe ser mayor o igual al total de Reactivos en el grupo de edad ",$AF$11),"")</f>
        <v/>
      </c>
      <c r="CT96" s="219">
        <f>IF(AH96&lt;AI96,CONCATENATE("* El total de Procesados debe ser mayor o igual al total de Reactivos en el grupo de edad ",$AH$11),"")</f>
        <v/>
      </c>
      <c r="CU96" s="219">
        <f>IF(AJ96&lt;AK96,CONCATENATE("* El total de Procesados debe ser mayor o igual al total de Reactivos en el grupo de edad ",$AJ$11),"")</f>
        <v/>
      </c>
      <c r="CV96" s="219">
        <f>IF(AL96&lt;AM96,CONCATENATE("* El total de Procesados debe ser mayor o igual al total de Reactivos en el grupo de edad ",$AL$11),"")</f>
        <v/>
      </c>
      <c r="CW96" s="219">
        <f>IF(AN96&lt;AO96,CONCATENATE("* El total de Procesados debe ser mayor o igual al total de Reactivos en el grupo de edad ",$AN$11),"")</f>
        <v/>
      </c>
      <c r="CX96" s="219">
        <f>IF(AP96&lt;AQ96,CONCATENATE("* El total de Procesados debe ser mayor o igual al total de Reactivos en el grupo de edad ",$AP$11),"")</f>
        <v/>
      </c>
      <c r="DE96" s="226" t="n"/>
      <c r="DF96" s="378">
        <f>IF(B96&lt;&gt;(AS96+AR96),1,0)</f>
        <v/>
      </c>
      <c r="DG96" s="376">
        <f>IF(AND($B96&gt;0,AND(AT96="",AU96="")),1,IF((AT96+AU96)&gt;$B96,1,0))</f>
        <v/>
      </c>
      <c r="DH96" s="376">
        <f>IF(AND($B96&gt;0,AV96=""),1,IF(AV96&gt;$B96,1,0))</f>
        <v/>
      </c>
      <c r="DI96" s="376">
        <f>IF(AND($B96&gt;0,AW96=""),1,IF(AW96&gt;$B96,1,0))</f>
        <v/>
      </c>
      <c r="DJ96" s="376">
        <f>IF(D96&lt;E96,1,0)</f>
        <v/>
      </c>
      <c r="DK96" s="376">
        <f>IF(F96&lt;G96,1,0)</f>
        <v/>
      </c>
      <c r="DL96" s="376">
        <f>IF(H96&lt;I96,1,0)</f>
        <v/>
      </c>
      <c r="DM96" s="376">
        <f>IF(J96&lt;K96,1,0)</f>
        <v/>
      </c>
      <c r="DN96" s="376">
        <f>IF(L96&lt;M96,1,0)</f>
        <v/>
      </c>
      <c r="DO96" s="376">
        <f>IF(N96&lt;O96,1,0)</f>
        <v/>
      </c>
      <c r="DP96" s="376">
        <f>IF(P96&lt;Q96,1,0)</f>
        <v/>
      </c>
      <c r="DQ96" s="376">
        <f>IF(R96&lt;S96,1,0)</f>
        <v/>
      </c>
      <c r="DR96" s="376">
        <f>IF($T96&lt;$U96,1,0)</f>
        <v/>
      </c>
      <c r="DS96" s="376">
        <f>IF(V96&lt;W96,1,0)</f>
        <v/>
      </c>
      <c r="DT96" s="376">
        <f>IF(X96&lt;Y96,1,0)</f>
        <v/>
      </c>
      <c r="DU96" s="376">
        <f>IF(Z96&lt;AA96,1,0)</f>
        <v/>
      </c>
      <c r="DV96" s="376">
        <f>IF(AB96&lt;AC96,1,0)</f>
        <v/>
      </c>
      <c r="DW96" s="376">
        <f>IF(AD96&lt;AE96,1,0)</f>
        <v/>
      </c>
      <c r="DX96" s="376">
        <f>IF(AF96&lt;AG96,1,0)</f>
        <v/>
      </c>
      <c r="DY96" s="376">
        <f>IF(AH96&lt;AI96,1,0)</f>
        <v/>
      </c>
      <c r="DZ96" s="376">
        <f>IF(AJ96&lt;AK96,1,0)</f>
        <v/>
      </c>
      <c r="EA96" s="376">
        <f>IF(AL96&lt;AM96,1,0)</f>
        <v/>
      </c>
      <c r="EB96" s="376">
        <f>IF(AN96&lt;AO96,1,0)</f>
        <v/>
      </c>
      <c r="EC96" s="376">
        <f>IF(AP96&lt;AQ96,1,0)</f>
        <v/>
      </c>
    </row>
    <row r="97" ht="18" customHeight="1" s="8286">
      <c r="A97" s="3116" t="inlineStr">
        <is>
          <t>SECCIÓN A.5: EXAMEN MHA-TP POR GRUPO DE USUARIOS (USO EXCLUSIVO DE ESTABLECIMIENTOS CON LABORATORIO QUE PROCESAN)</t>
        </is>
      </c>
      <c r="B97" s="3116" t="n"/>
      <c r="C97" s="3116" t="n"/>
      <c r="D97" s="3116" t="n"/>
      <c r="E97" s="3116" t="n"/>
      <c r="F97" s="3116" t="n"/>
      <c r="G97" s="3116" t="n"/>
      <c r="H97" s="3116" t="n"/>
      <c r="I97" s="3116" t="n"/>
      <c r="J97" s="3116" t="n"/>
      <c r="K97" s="3116" t="n"/>
      <c r="L97" s="3116" t="n"/>
      <c r="M97" s="3116" t="n"/>
      <c r="N97" s="3116" t="n"/>
      <c r="O97" s="3116" t="n"/>
      <c r="P97" s="3116" t="n"/>
      <c r="Q97" s="3116" t="n"/>
      <c r="R97" s="3116" t="n"/>
      <c r="S97" s="3116" t="n"/>
      <c r="T97" s="3116" t="n"/>
      <c r="U97" s="3116" t="n"/>
      <c r="V97" s="3116" t="n"/>
      <c r="W97" s="3116" t="n"/>
      <c r="X97" s="3116" t="n"/>
      <c r="Y97" s="3116" t="n"/>
      <c r="Z97" s="3116" t="n"/>
      <c r="AA97" s="3116" t="n"/>
      <c r="AB97" s="3116" t="n"/>
      <c r="AC97" s="3116" t="n"/>
      <c r="AD97" s="3116" t="n"/>
      <c r="AE97" s="3116" t="n"/>
      <c r="AF97" s="3116" t="n"/>
      <c r="AG97" s="3116" t="n"/>
      <c r="AH97" s="3116" t="n"/>
      <c r="AI97" s="3116" t="n"/>
      <c r="AJ97" s="3116" t="n"/>
      <c r="AK97" s="3116" t="n"/>
      <c r="AL97" s="3116" t="n"/>
      <c r="AM97" s="3116" t="n"/>
      <c r="AN97" s="3116" t="n"/>
      <c r="AO97" s="3116" t="n"/>
      <c r="AP97" s="3116" t="n"/>
      <c r="AQ97" s="3116" t="n"/>
      <c r="AR97" s="227" t="n"/>
      <c r="AS97" s="227" t="n"/>
      <c r="AT97" s="227" t="n"/>
      <c r="AU97" s="227" t="n"/>
      <c r="AV97" s="227" t="n"/>
      <c r="AW97" s="227" t="n"/>
    </row>
    <row r="98">
      <c r="A98" s="9690" t="inlineStr">
        <is>
          <t>GRUPO DE PESQUISA</t>
        </is>
      </c>
      <c r="B98" s="10199" t="inlineStr">
        <is>
          <t>TOTAL</t>
        </is>
      </c>
      <c r="C98" s="9630" t="n"/>
      <c r="D98" s="9915" t="inlineStr">
        <is>
          <t>RANGO ETARIO</t>
        </is>
      </c>
      <c r="E98" s="9584" t="n"/>
      <c r="F98" s="9584" t="n"/>
      <c r="G98" s="9584" t="n"/>
      <c r="H98" s="9584" t="n"/>
      <c r="I98" s="9584" t="n"/>
      <c r="J98" s="9584" t="n"/>
      <c r="K98" s="9584" t="n"/>
      <c r="L98" s="9584" t="n"/>
      <c r="M98" s="9584" t="n"/>
      <c r="N98" s="9584" t="n"/>
      <c r="O98" s="9584" t="n"/>
      <c r="P98" s="9584" t="n"/>
      <c r="Q98" s="9584" t="n"/>
      <c r="R98" s="9584" t="n"/>
      <c r="S98" s="9584" t="n"/>
      <c r="T98" s="9584" t="n"/>
      <c r="U98" s="9584" t="n"/>
      <c r="V98" s="9584" t="n"/>
      <c r="W98" s="9584" t="n"/>
      <c r="X98" s="9584" t="n"/>
      <c r="Y98" s="9584" t="n"/>
      <c r="Z98" s="9584" t="n"/>
      <c r="AA98" s="9584" t="n"/>
      <c r="AB98" s="9584" t="n"/>
      <c r="AC98" s="9584" t="n"/>
      <c r="AD98" s="9584" t="n"/>
      <c r="AE98" s="9584" t="n"/>
      <c r="AF98" s="9584" t="n"/>
      <c r="AG98" s="9584" t="n"/>
      <c r="AH98" s="9584" t="n"/>
      <c r="AI98" s="9584" t="n"/>
      <c r="AJ98" s="9584" t="n"/>
      <c r="AK98" s="9584" t="n"/>
      <c r="AL98" s="9584" t="n"/>
      <c r="AM98" s="9584" t="n"/>
      <c r="AN98" s="9584" t="n"/>
      <c r="AO98" s="9584" t="n"/>
      <c r="AP98" s="9584" t="n"/>
      <c r="AQ98" s="9595" t="n"/>
      <c r="AR98" s="9982" t="inlineStr">
        <is>
          <t>POR SEXO (Procesados)</t>
        </is>
      </c>
      <c r="AS98" s="10211" t="n"/>
      <c r="AT98" s="10295" t="inlineStr">
        <is>
          <t>TRANS</t>
        </is>
      </c>
      <c r="AU98" s="9886" t="n"/>
      <c r="AV98" s="10296" t="inlineStr">
        <is>
          <t>Pueblos Originarios</t>
        </is>
      </c>
      <c r="AW98" s="9975" t="inlineStr">
        <is>
          <t>Migrantes</t>
        </is>
      </c>
    </row>
    <row r="99">
      <c r="A99" s="9588" t="n"/>
      <c r="B99" s="9697" t="n"/>
      <c r="C99" s="9639" t="n"/>
      <c r="D99" s="10006" t="inlineStr">
        <is>
          <t>Menos de 6 meses</t>
        </is>
      </c>
      <c r="E99" s="9584" t="n"/>
      <c r="F99" s="10006" t="inlineStr">
        <is>
          <t>6 a 11 meses</t>
        </is>
      </c>
      <c r="G99" s="9584" t="n"/>
      <c r="H99" s="8400" t="inlineStr">
        <is>
          <t>12-24 meses</t>
        </is>
      </c>
      <c r="I99" s="9582" t="n"/>
      <c r="J99" s="5448" t="inlineStr">
        <is>
          <t>3 a 4 años</t>
        </is>
      </c>
      <c r="K99" s="10190" t="n"/>
      <c r="L99" s="10006" t="inlineStr">
        <is>
          <t>5 a 9 años</t>
        </is>
      </c>
      <c r="M99" s="9584" t="n"/>
      <c r="N99" s="10006" t="inlineStr">
        <is>
          <t>10 - 14 años</t>
        </is>
      </c>
      <c r="O99" s="9584" t="n"/>
      <c r="P99" s="10006" t="inlineStr">
        <is>
          <t>15 - 19 años</t>
        </is>
      </c>
      <c r="Q99" s="9584" t="n"/>
      <c r="R99" s="10006" t="inlineStr">
        <is>
          <t>20 - 24 años</t>
        </is>
      </c>
      <c r="S99" s="9584" t="n"/>
      <c r="T99" s="8400" t="inlineStr">
        <is>
          <t>25 - 29 años</t>
        </is>
      </c>
      <c r="U99" s="9582" t="n"/>
      <c r="V99" s="8400" t="inlineStr">
        <is>
          <t>30 - 34 años</t>
        </is>
      </c>
      <c r="W99" s="9582" t="n"/>
      <c r="X99" s="8400" t="inlineStr">
        <is>
          <t>35 - 39 años</t>
        </is>
      </c>
      <c r="Y99" s="9582" t="n"/>
      <c r="Z99" s="8400" t="inlineStr">
        <is>
          <t>40 - 44 años</t>
        </is>
      </c>
      <c r="AA99" s="9582" t="n"/>
      <c r="AB99" s="8400" t="inlineStr">
        <is>
          <t>45 - 49 años</t>
        </is>
      </c>
      <c r="AC99" s="9582" t="n"/>
      <c r="AD99" s="8400" t="inlineStr">
        <is>
          <t>50 - 54 años</t>
        </is>
      </c>
      <c r="AE99" s="9582" t="n"/>
      <c r="AF99" s="8400" t="inlineStr">
        <is>
          <t>55 - 59 años</t>
        </is>
      </c>
      <c r="AG99" s="9582" t="n"/>
      <c r="AH99" s="8400" t="inlineStr">
        <is>
          <t>60 - 64 años</t>
        </is>
      </c>
      <c r="AI99" s="9582" t="n"/>
      <c r="AJ99" s="8400" t="inlineStr">
        <is>
          <t>65 - 69 años</t>
        </is>
      </c>
      <c r="AK99" s="9582" t="n"/>
      <c r="AL99" s="8400" t="inlineStr">
        <is>
          <t>70 - 74 años</t>
        </is>
      </c>
      <c r="AM99" s="9582" t="n"/>
      <c r="AN99" s="8400" t="inlineStr">
        <is>
          <t>75 - 79 años</t>
        </is>
      </c>
      <c r="AO99" s="9582" t="n"/>
      <c r="AP99" s="9976" t="inlineStr">
        <is>
          <t>80 y más años</t>
        </is>
      </c>
      <c r="AQ99" s="9595" t="n"/>
      <c r="AR99" s="10002" t="inlineStr">
        <is>
          <t>Hombres</t>
        </is>
      </c>
      <c r="AS99" s="9925" t="inlineStr">
        <is>
          <t>Mujeres</t>
        </is>
      </c>
      <c r="AT99" s="9890" t="n"/>
      <c r="AU99" s="9865" t="n"/>
      <c r="AV99" s="10169" t="n"/>
      <c r="AW99" s="9625" t="n"/>
    </row>
    <row r="100">
      <c r="A100" s="9589" t="n"/>
      <c r="B100" s="3091" t="inlineStr">
        <is>
          <t>Procesados</t>
        </is>
      </c>
      <c r="C100" s="3090" t="inlineStr">
        <is>
          <t>Reactivos</t>
        </is>
      </c>
      <c r="D100" s="3088" t="inlineStr">
        <is>
          <t>Procesados</t>
        </is>
      </c>
      <c r="E100" s="3089" t="inlineStr">
        <is>
          <t>Reactivos</t>
        </is>
      </c>
      <c r="F100" s="3088" t="inlineStr">
        <is>
          <t>Procesados</t>
        </is>
      </c>
      <c r="G100" s="3089" t="inlineStr">
        <is>
          <t>Reactivos</t>
        </is>
      </c>
      <c r="H100" s="3088" t="inlineStr">
        <is>
          <t>Procesados</t>
        </is>
      </c>
      <c r="I100" s="3090" t="inlineStr">
        <is>
          <t>Reactivos</t>
        </is>
      </c>
      <c r="J100" s="3091" t="inlineStr">
        <is>
          <t>Procesados</t>
        </is>
      </c>
      <c r="K100" s="3089" t="inlineStr">
        <is>
          <t>Reactivos</t>
        </is>
      </c>
      <c r="L100" s="3088" t="inlineStr">
        <is>
          <t>Procesados</t>
        </is>
      </c>
      <c r="M100" s="3089" t="inlineStr">
        <is>
          <t>Reactivos</t>
        </is>
      </c>
      <c r="N100" s="3088" t="inlineStr">
        <is>
          <t>Procesados</t>
        </is>
      </c>
      <c r="O100" s="3089" t="inlineStr">
        <is>
          <t>Reactivos</t>
        </is>
      </c>
      <c r="P100" s="3088" t="inlineStr">
        <is>
          <t>Procesados</t>
        </is>
      </c>
      <c r="Q100" s="3089" t="inlineStr">
        <is>
          <t>Reactivos</t>
        </is>
      </c>
      <c r="R100" s="3088" t="inlineStr">
        <is>
          <t>Procesados</t>
        </is>
      </c>
      <c r="S100" s="3089" t="inlineStr">
        <is>
          <t>Reactivos</t>
        </is>
      </c>
      <c r="T100" s="3088" t="inlineStr">
        <is>
          <t>Procesados</t>
        </is>
      </c>
      <c r="U100" s="3089" t="inlineStr">
        <is>
          <t>Reactivos</t>
        </is>
      </c>
      <c r="V100" s="3088" t="inlineStr">
        <is>
          <t>Procesados</t>
        </is>
      </c>
      <c r="W100" s="3089" t="inlineStr">
        <is>
          <t>Reactivos</t>
        </is>
      </c>
      <c r="X100" s="3088" t="inlineStr">
        <is>
          <t>Procesados</t>
        </is>
      </c>
      <c r="Y100" s="3089" t="inlineStr">
        <is>
          <t>Reactivos</t>
        </is>
      </c>
      <c r="Z100" s="3088" t="inlineStr">
        <is>
          <t>Procesados</t>
        </is>
      </c>
      <c r="AA100" s="3089" t="inlineStr">
        <is>
          <t>Reactivos</t>
        </is>
      </c>
      <c r="AB100" s="3088" t="inlineStr">
        <is>
          <t>Procesados</t>
        </is>
      </c>
      <c r="AC100" s="3089" t="inlineStr">
        <is>
          <t>Reactivos</t>
        </is>
      </c>
      <c r="AD100" s="3088" t="inlineStr">
        <is>
          <t>Procesados</t>
        </is>
      </c>
      <c r="AE100" s="3089" t="inlineStr">
        <is>
          <t>Reactivos</t>
        </is>
      </c>
      <c r="AF100" s="3088" t="inlineStr">
        <is>
          <t>Procesados</t>
        </is>
      </c>
      <c r="AG100" s="3089" t="inlineStr">
        <is>
          <t>Reactivos</t>
        </is>
      </c>
      <c r="AH100" s="3088" t="inlineStr">
        <is>
          <t>Procesados</t>
        </is>
      </c>
      <c r="AI100" s="3089" t="inlineStr">
        <is>
          <t>Reactivos</t>
        </is>
      </c>
      <c r="AJ100" s="3088" t="inlineStr">
        <is>
          <t>Procesados</t>
        </is>
      </c>
      <c r="AK100" s="3089" t="inlineStr">
        <is>
          <t>Reactivos</t>
        </is>
      </c>
      <c r="AL100" s="3088" t="inlineStr">
        <is>
          <t>Procesados</t>
        </is>
      </c>
      <c r="AM100" s="3089" t="inlineStr">
        <is>
          <t>Reactivos</t>
        </is>
      </c>
      <c r="AN100" s="3088" t="inlineStr">
        <is>
          <t>Procesados</t>
        </is>
      </c>
      <c r="AO100" s="3089" t="inlineStr">
        <is>
          <t>Reactivos</t>
        </is>
      </c>
      <c r="AP100" s="3088" t="inlineStr">
        <is>
          <t>Procesados</t>
        </is>
      </c>
      <c r="AQ100" s="3092" t="inlineStr">
        <is>
          <t>Reactivos</t>
        </is>
      </c>
      <c r="AR100" s="9688" t="n"/>
      <c r="AS100" s="9926" t="n"/>
      <c r="AT100" s="7688" t="inlineStr">
        <is>
          <t>Masculino</t>
        </is>
      </c>
      <c r="AU100" s="8008" t="inlineStr">
        <is>
          <t>Femenino</t>
        </is>
      </c>
      <c r="AV100" s="10170" t="n"/>
      <c r="AW100" s="9611" t="n"/>
    </row>
    <row r="101">
      <c r="A101" s="3118" t="inlineStr">
        <is>
          <t>Gestantes primer trimestre embarazo</t>
        </is>
      </c>
      <c r="B101" s="3094">
        <f>+N101+P101+R101+T101+V101+X101+Z101+AB101+AD101+AF101+AH101+AJ101+AL101+AN101+AP101</f>
        <v/>
      </c>
      <c r="C101" s="3095">
        <f>+O101+Q101+S101+U101+W101+Y101+AA101+AC101+AE101+AG101+AI101+AK101+AM101+AO101+AQ101</f>
        <v/>
      </c>
      <c r="D101" s="3112" t="n"/>
      <c r="E101" s="3105" t="n"/>
      <c r="F101" s="3104" t="n"/>
      <c r="G101" s="3105" t="n"/>
      <c r="H101" s="3104" t="n"/>
      <c r="I101" s="3105" t="n"/>
      <c r="J101" s="3104" t="n"/>
      <c r="K101" s="3105" t="n"/>
      <c r="L101" s="3104" t="n"/>
      <c r="M101" s="3106" t="n"/>
      <c r="N101" s="3100" t="n"/>
      <c r="O101" s="3107" t="n"/>
      <c r="P101" s="3108" t="n"/>
      <c r="Q101" s="3107" t="n"/>
      <c r="R101" s="3108" t="n"/>
      <c r="S101" s="3107" t="n"/>
      <c r="T101" s="3108" t="n"/>
      <c r="U101" s="3107" t="n"/>
      <c r="V101" s="3108" t="n"/>
      <c r="W101" s="3107" t="n"/>
      <c r="X101" s="3108" t="n"/>
      <c r="Y101" s="3107" t="n"/>
      <c r="Z101" s="3108" t="n"/>
      <c r="AA101" s="3107" t="n"/>
      <c r="AB101" s="3108" t="n"/>
      <c r="AC101" s="3107" t="n"/>
      <c r="AD101" s="3108" t="n"/>
      <c r="AE101" s="3107" t="n"/>
      <c r="AF101" s="3108" t="n"/>
      <c r="AG101" s="3107" t="n"/>
      <c r="AH101" s="3108" t="n"/>
      <c r="AI101" s="3107" t="n"/>
      <c r="AJ101" s="3108" t="n"/>
      <c r="AK101" s="3107" t="n"/>
      <c r="AL101" s="3108" t="n"/>
      <c r="AM101" s="3107" t="n"/>
      <c r="AN101" s="3108" t="n"/>
      <c r="AO101" s="3107" t="n"/>
      <c r="AP101" s="3108" t="n"/>
      <c r="AQ101" s="3098" t="n"/>
      <c r="AR101" s="3097" t="n"/>
      <c r="AS101" s="3098" t="n"/>
      <c r="AT101" s="3099" t="n"/>
      <c r="AU101" s="3098" t="n"/>
      <c r="AV101" s="3840" t="n"/>
      <c r="AW101" s="3656" t="n"/>
      <c r="AX101" s="218">
        <f>$CA101&amp;CB101&amp;CC101&amp;$CD101&amp;CJ101&amp;CK101&amp;CL101&amp;CM101&amp;CN101&amp;CO101&amp;CP101&amp;CQ101&amp;CR101&amp;CS101&amp;CT101&amp;CU101&amp;CV101&amp;CW101&amp;CX101</f>
        <v/>
      </c>
      <c r="CA101" s="219">
        <f>IF(B101&lt;&gt;(AS101)," * La suma de las columnas "&amp;AR$10&amp;""&amp;" DEBE SER IGUAL a los Exámenes Procesados. ","")</f>
        <v/>
      </c>
      <c r="CB101" s="219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>
        <f>IF(AND($B101&gt;0,AV101=""),"* No olvide ingresar la columna "&amp;AV$10&amp;""&amp;" *(Digite CERO si no tiene). ",IF(AV101&gt;$B101," *El Número de "&amp;AV$10&amp;""&amp;" no puede superar el Total Procesados. ",""))</f>
        <v/>
      </c>
      <c r="CD101" s="219">
        <f>IF(AND($B101&gt;0,AW101=""),"* No olvide ingresar la columna "&amp;AW$10&amp;""&amp;" *(Digite CERO si no tiene). ",IF(AW101&gt;$B101," *El Número de "&amp;AW$10&amp;""&amp;" no puede superar el Total Procesados. ",""))</f>
        <v/>
      </c>
      <c r="CE101" s="220" t="n"/>
      <c r="CF101" s="220" t="n"/>
      <c r="CG101" s="220" t="n"/>
      <c r="CH101" s="220" t="n"/>
      <c r="CI101" s="220" t="n"/>
      <c r="CJ101" s="219">
        <f>IF(N101&lt;O101,CONCATENATE("* El total de Procesados debe ser mayor o igual al total de Reactivos en el grupo de edad ",$N$11),"")</f>
        <v/>
      </c>
      <c r="CK101" s="219">
        <f>IF(P101&lt;Q101,CONCATENATE("* El total de Procesados debe ser mayor o igual al total de Reactivos en el grupo de edad ",$P$11),"")</f>
        <v/>
      </c>
      <c r="CL101" s="219">
        <f>IF(R101&lt;S101,CONCATENATE("* El total de Procesados debe ser mayor o igual al total de Reactivos en el grupo de edad ",$R$11),"")</f>
        <v/>
      </c>
      <c r="CM101" s="219">
        <f>IF($T101&lt;$U101,CONCATENATE("* El total de Procesados debe ser mayor o igual al total de Reactivos en el grupo de edad ",$T$11),"")</f>
        <v/>
      </c>
      <c r="CN101" s="219">
        <f>IF(V101&lt;W101,CONCATENATE("* El total de Procesados debe ser mayor o igual al total de Reactivos en el grupo de edad ",$V$11),"")</f>
        <v/>
      </c>
      <c r="CO101" s="219">
        <f>IF(X101&lt;Y101,CONCATENATE("* El total de Procesados debe ser mayor o igual al total de Reactivos en el grupo de edad ",$X$11),"")</f>
        <v/>
      </c>
      <c r="CP101" s="219">
        <f>IF(Z101&lt;AA101,CONCATENATE("* El total de Procesados debe ser mayor o igual al total de Reactivos en el grupo de edad ",$Z$11),"")</f>
        <v/>
      </c>
      <c r="CQ101" s="219">
        <f>IF(AB101&lt;AC101,CONCATENATE("* El total de Procesados debe ser mayor o igual al total de Reactivos en el grupo de edad ",$AB$11),"")</f>
        <v/>
      </c>
      <c r="CR101" s="219">
        <f>IF(AD101&lt;AE101,CONCATENATE("* El total de Procesados debe ser mayor o igual al total de Reactivos en el grupo de edad ",$AD$11),"")</f>
        <v/>
      </c>
      <c r="CS101" s="219">
        <f>IF(AF101&lt;AG101,CONCATENATE("* El total de Procesados debe ser mayor o igual al total de Reactivos en el grupo de edad ",$AF$11),"")</f>
        <v/>
      </c>
      <c r="CT101" s="219">
        <f>IF(AH101&lt;AI101,CONCATENATE("* El total de Procesados debe ser mayor o igual al total de Reactivos en el grupo de edad ",$AH$11),"")</f>
        <v/>
      </c>
      <c r="CU101" s="219">
        <f>IF(AJ101&lt;AK101,CONCATENATE("* El total de Procesados debe ser mayor o igual al total de Reactivos en el grupo de edad ",$AJ$11),"")</f>
        <v/>
      </c>
      <c r="CV101" s="219">
        <f>IF(AL101&lt;AM101,CONCATENATE("* El total de Procesados debe ser mayor o igual al total de Reactivos en el grupo de edad ",$AL$11),"")</f>
        <v/>
      </c>
      <c r="CW101" s="219">
        <f>IF(AN101&lt;AO101,CONCATENATE("* El total de Procesados debe ser mayor o igual al total de Reactivos en el grupo de edad ",$AN$11),"")</f>
        <v/>
      </c>
      <c r="CX101" s="219">
        <f>IF(AP101&lt;AQ101,CONCATENATE("* El total de Procesados debe ser mayor o igual al total de Reactivos en el grupo de edad ",$AP$11),"")</f>
        <v/>
      </c>
      <c r="DE101" s="226" t="n"/>
      <c r="DF101" s="378">
        <f>IF(B101&lt;&gt;(AS101),1,0)</f>
        <v/>
      </c>
      <c r="DG101" s="376">
        <f>IF(AND($B101&gt;0,AND(AT101="",AU101="")),1,IF((AT101+AU101)&gt;$B101,1,0))</f>
        <v/>
      </c>
      <c r="DH101" s="376">
        <f>IF(AND($B101&gt;0,AV101=""),1,IF(AV101&gt;$B101,1,0))</f>
        <v/>
      </c>
      <c r="DI101" s="376">
        <f>IF(AND($B101&gt;0,AW101=""),1,IF(AW101&gt;$B101,1,0))</f>
        <v/>
      </c>
      <c r="DJ101" s="220" t="n"/>
      <c r="DK101" s="220" t="n"/>
      <c r="DL101" s="220" t="n"/>
      <c r="DM101" s="220" t="n"/>
      <c r="DN101" s="220" t="n"/>
      <c r="DO101" s="376">
        <f>IF(N101&lt;O101,1,0)</f>
        <v/>
      </c>
      <c r="DP101" s="376">
        <f>IF(P101&lt;Q101,1,0)</f>
        <v/>
      </c>
      <c r="DQ101" s="376">
        <f>IF(R101&lt;S101,1,0)</f>
        <v/>
      </c>
      <c r="DR101" s="376">
        <f>IF($T101&lt;$U101,1,0)</f>
        <v/>
      </c>
      <c r="DS101" s="376">
        <f>IF(V101&lt;W101,1,0)</f>
        <v/>
      </c>
      <c r="DT101" s="376">
        <f>IF(X101&lt;Y101,1,0)</f>
        <v/>
      </c>
      <c r="DU101" s="376">
        <f>IF(Z101&lt;AA101,1,0)</f>
        <v/>
      </c>
      <c r="DV101" s="376">
        <f>IF(AB101&lt;AC101,1,0)</f>
        <v/>
      </c>
      <c r="DW101" s="376">
        <f>IF(AD101&lt;AE101,1,0)</f>
        <v/>
      </c>
      <c r="DX101" s="376">
        <f>IF(AF101&lt;AG101,1,0)</f>
        <v/>
      </c>
      <c r="DY101" s="376">
        <f>IF(AH101&lt;AI101,1,0)</f>
        <v/>
      </c>
      <c r="DZ101" s="376">
        <f>IF(AJ101&lt;AK101,1,0)</f>
        <v/>
      </c>
      <c r="EA101" s="376">
        <f>IF(AL101&lt;AM101,1,0)</f>
        <v/>
      </c>
      <c r="EB101" s="376">
        <f>IF(AN101&lt;AO101,1,0)</f>
        <v/>
      </c>
      <c r="EC101" s="376">
        <f>IF(AP101&lt;AQ101,1,0)</f>
        <v/>
      </c>
    </row>
    <row r="102">
      <c r="A102" s="3119" t="inlineStr">
        <is>
          <t>Gestantes segundo trimestre embarazo</t>
        </is>
      </c>
      <c r="B102" s="3103">
        <f>+N102+P102+R102+T102+V102+X102+Z102+AB102+AD102+AF102+AH102+AJ102+AL102+AN102+AP102</f>
        <v/>
      </c>
      <c r="C102" s="1171">
        <f>+O102+Q102+S102+U102+W102+Y102+AA102+AC102+AE102+AG102+AI102+AK102+AM102+AO102+AQ102</f>
        <v/>
      </c>
      <c r="D102" s="3112" t="n"/>
      <c r="E102" s="3105" t="n"/>
      <c r="F102" s="3104" t="n"/>
      <c r="G102" s="3105" t="n"/>
      <c r="H102" s="3104" t="n"/>
      <c r="I102" s="3105" t="n"/>
      <c r="J102" s="3104" t="n"/>
      <c r="K102" s="3105" t="n"/>
      <c r="L102" s="3104" t="n"/>
      <c r="M102" s="3106" t="n"/>
      <c r="N102" s="3100" t="n"/>
      <c r="O102" s="3107" t="n"/>
      <c r="P102" s="3108" t="n"/>
      <c r="Q102" s="3107" t="n"/>
      <c r="R102" s="3108" t="n"/>
      <c r="S102" s="3107" t="n"/>
      <c r="T102" s="3108" t="n"/>
      <c r="U102" s="3107" t="n"/>
      <c r="V102" s="3108" t="n"/>
      <c r="W102" s="3107" t="n"/>
      <c r="X102" s="3108" t="n"/>
      <c r="Y102" s="3107" t="n"/>
      <c r="Z102" s="3108" t="n"/>
      <c r="AA102" s="3107" t="n"/>
      <c r="AB102" s="3108" t="n"/>
      <c r="AC102" s="3107" t="n"/>
      <c r="AD102" s="3108" t="n"/>
      <c r="AE102" s="3107" t="n"/>
      <c r="AF102" s="3108" t="n"/>
      <c r="AG102" s="3107" t="n"/>
      <c r="AH102" s="3108" t="n"/>
      <c r="AI102" s="3107" t="n"/>
      <c r="AJ102" s="3108" t="n"/>
      <c r="AK102" s="3107" t="n"/>
      <c r="AL102" s="3108" t="n"/>
      <c r="AM102" s="3107" t="n"/>
      <c r="AN102" s="3108" t="n"/>
      <c r="AO102" s="3107" t="n"/>
      <c r="AP102" s="3108" t="n"/>
      <c r="AQ102" s="3098" t="n"/>
      <c r="AR102" s="3097" t="n"/>
      <c r="AS102" s="3098" t="n"/>
      <c r="AT102" s="3099" t="n"/>
      <c r="AU102" s="3098" t="n"/>
      <c r="AV102" s="3845" t="n"/>
      <c r="AW102" s="3656" t="n"/>
      <c r="AX102" s="218">
        <f>$CA102&amp;CB102&amp;CC102&amp;$CD102&amp;CJ102&amp;CK102&amp;CL102&amp;CM102&amp;CN102&amp;CO102&amp;CP102&amp;CQ102&amp;CR102&amp;CS102&amp;CT102&amp;CU102&amp;CV102&amp;CW102&amp;CX102</f>
        <v/>
      </c>
      <c r="CA102" s="219">
        <f>IF(B102&lt;&gt;(AS102)," * La suma de las columnas "&amp;AR$10&amp;""&amp;" DEBE SER IGUAL a los Exámenes Procesados. ","")</f>
        <v/>
      </c>
      <c r="CB102" s="219">
        <f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C102" s="219">
        <f>IF(AND($B102&gt;0,AV102=""),"* No olvide ingresar la columna "&amp;AV$10&amp;""&amp;" *(Digite CERO si no tiene). ",IF(AV102&gt;$B102," *El Número de "&amp;AV$10&amp;""&amp;" no puede superar el Total Procesados. ",""))</f>
        <v/>
      </c>
      <c r="CD102" s="219">
        <f>IF(AND($B102&gt;0,AW102=""),"* No olvide ingresar la columna "&amp;AW$10&amp;""&amp;" *(Digite CERO si no tiene). ",IF(AW102&gt;$B102," *El Número de "&amp;AW$10&amp;""&amp;" no puede superar el Total Procesados. ",""))</f>
        <v/>
      </c>
      <c r="CE102" s="220" t="n"/>
      <c r="CF102" s="220" t="n"/>
      <c r="CG102" s="220" t="n"/>
      <c r="CH102" s="220" t="n"/>
      <c r="CI102" s="220" t="n"/>
      <c r="CJ102" s="219">
        <f>IF(N102&lt;O102,CONCATENATE("* El total de Procesados debe ser mayor o igual al total de Reactivos en el grupo de edad ",$N$11),"")</f>
        <v/>
      </c>
      <c r="CK102" s="219">
        <f>IF(P102&lt;Q102,CONCATENATE("* El total de Procesados debe ser mayor o igual al total de Reactivos en el grupo de edad ",$P$11),"")</f>
        <v/>
      </c>
      <c r="CL102" s="219">
        <f>IF(R102&lt;S102,CONCATENATE("* El total de Procesados debe ser mayor o igual al total de Reactivos en el grupo de edad ",$R$11),"")</f>
        <v/>
      </c>
      <c r="CM102" s="219">
        <f>IF($T102&lt;$U102,CONCATENATE("* El total de Procesados debe ser mayor o igual al total de Reactivos en el grupo de edad ",$T$11),"")</f>
        <v/>
      </c>
      <c r="CN102" s="219">
        <f>IF(V102&lt;W102,CONCATENATE("* El total de Procesados debe ser mayor o igual al total de Reactivos en el grupo de edad ",$V$11),"")</f>
        <v/>
      </c>
      <c r="CO102" s="219">
        <f>IF(X102&lt;Y102,CONCATENATE("* El total de Procesados debe ser mayor o igual al total de Reactivos en el grupo de edad ",$X$11),"")</f>
        <v/>
      </c>
      <c r="CP102" s="219">
        <f>IF(Z102&lt;AA102,CONCATENATE("* El total de Procesados debe ser mayor o igual al total de Reactivos en el grupo de edad ",$Z$11),"")</f>
        <v/>
      </c>
      <c r="CQ102" s="219">
        <f>IF(AB102&lt;AC102,CONCATENATE("* El total de Procesados debe ser mayor o igual al total de Reactivos en el grupo de edad ",$AB$11),"")</f>
        <v/>
      </c>
      <c r="CR102" s="219">
        <f>IF(AD102&lt;AE102,CONCATENATE("* El total de Procesados debe ser mayor o igual al total de Reactivos en el grupo de edad ",$AD$11),"")</f>
        <v/>
      </c>
      <c r="CS102" s="219">
        <f>IF(AF102&lt;AG102,CONCATENATE("* El total de Procesados debe ser mayor o igual al total de Reactivos en el grupo de edad ",$AF$11),"")</f>
        <v/>
      </c>
      <c r="CT102" s="219">
        <f>IF(AH102&lt;AI102,CONCATENATE("* El total de Procesados debe ser mayor o igual al total de Reactivos en el grupo de edad ",$AH$11),"")</f>
        <v/>
      </c>
      <c r="CU102" s="219">
        <f>IF(AJ102&lt;AK102,CONCATENATE("* El total de Procesados debe ser mayor o igual al total de Reactivos en el grupo de edad ",$AJ$11),"")</f>
        <v/>
      </c>
      <c r="CV102" s="219">
        <f>IF(AL102&lt;AM102,CONCATENATE("* El total de Procesados debe ser mayor o igual al total de Reactivos en el grupo de edad ",$AL$11),"")</f>
        <v/>
      </c>
      <c r="CW102" s="219">
        <f>IF(AN102&lt;AO102,CONCATENATE("* El total de Procesados debe ser mayor o igual al total de Reactivos en el grupo de edad ",$AN$11),"")</f>
        <v/>
      </c>
      <c r="CX102" s="219">
        <f>IF(AP102&lt;AQ102,CONCATENATE("* El total de Procesados debe ser mayor o igual al total de Reactivos en el grupo de edad ",$AP$11),"")</f>
        <v/>
      </c>
      <c r="DE102" s="226" t="n"/>
      <c r="DF102" s="378">
        <f>IF(B102&lt;&gt;(AS102),1,0)</f>
        <v/>
      </c>
      <c r="DG102" s="376">
        <f>IF(AND($B102&gt;0,AND(AT102="",AU102="")),1,IF((AT102+AU102)&gt;$B102,1,0))</f>
        <v/>
      </c>
      <c r="DH102" s="376">
        <f>IF(AND($B102&gt;0,AV102=""),1,IF(AV102&gt;$B102,1,0))</f>
        <v/>
      </c>
      <c r="DI102" s="376">
        <f>IF(AND($B102&gt;0,AW102=""),1,IF(AW102&gt;$B102,1,0))</f>
        <v/>
      </c>
      <c r="DJ102" s="220" t="n"/>
      <c r="DK102" s="220" t="n"/>
      <c r="DL102" s="220" t="n"/>
      <c r="DM102" s="220" t="n"/>
      <c r="DN102" s="220" t="n"/>
      <c r="DO102" s="376">
        <f>IF(N102&lt;O102,1,0)</f>
        <v/>
      </c>
      <c r="DP102" s="376">
        <f>IF(P102&lt;Q102,1,0)</f>
        <v/>
      </c>
      <c r="DQ102" s="376">
        <f>IF(R102&lt;S102,1,0)</f>
        <v/>
      </c>
      <c r="DR102" s="376">
        <f>IF($T102&lt;$U102,1,0)</f>
        <v/>
      </c>
      <c r="DS102" s="376">
        <f>IF(V102&lt;W102,1,0)</f>
        <v/>
      </c>
      <c r="DT102" s="376">
        <f>IF(X102&lt;Y102,1,0)</f>
        <v/>
      </c>
      <c r="DU102" s="376">
        <f>IF(Z102&lt;AA102,1,0)</f>
        <v/>
      </c>
      <c r="DV102" s="376">
        <f>IF(AB102&lt;AC102,1,0)</f>
        <v/>
      </c>
      <c r="DW102" s="376">
        <f>IF(AD102&lt;AE102,1,0)</f>
        <v/>
      </c>
      <c r="DX102" s="376">
        <f>IF(AF102&lt;AG102,1,0)</f>
        <v/>
      </c>
      <c r="DY102" s="376">
        <f>IF(AH102&lt;AI102,1,0)</f>
        <v/>
      </c>
      <c r="DZ102" s="376">
        <f>IF(AJ102&lt;AK102,1,0)</f>
        <v/>
      </c>
      <c r="EA102" s="376">
        <f>IF(AL102&lt;AM102,1,0)</f>
        <v/>
      </c>
      <c r="EB102" s="376">
        <f>IF(AN102&lt;AO102,1,0)</f>
        <v/>
      </c>
      <c r="EC102" s="376">
        <f>IF(AP102&lt;AQ102,1,0)</f>
        <v/>
      </c>
    </row>
    <row r="103">
      <c r="A103" s="3119" t="inlineStr">
        <is>
          <t>Gestantes tercer trimestre embarazo</t>
        </is>
      </c>
      <c r="B103" s="3103">
        <f>+N103+P103+R103+T103+V103+X103+Z103+AB103+AD103+AF103+AH103+AJ103+AL103+AN103+AP103</f>
        <v/>
      </c>
      <c r="C103" s="1171">
        <f>+O103+Q103+S103+U103+W103+Y103+AA103+AC103+AE103+AG103+AI103+AK103+AM103+AO103+AQ103</f>
        <v/>
      </c>
      <c r="D103" s="3112" t="n"/>
      <c r="E103" s="3105" t="n"/>
      <c r="F103" s="3104" t="n"/>
      <c r="G103" s="3105" t="n"/>
      <c r="H103" s="3104" t="n"/>
      <c r="I103" s="3105" t="n"/>
      <c r="J103" s="3104" t="n"/>
      <c r="K103" s="3105" t="n"/>
      <c r="L103" s="3104" t="n"/>
      <c r="M103" s="3106" t="n"/>
      <c r="N103" s="3100" t="n"/>
      <c r="O103" s="3107" t="n"/>
      <c r="P103" s="3108" t="n"/>
      <c r="Q103" s="3107" t="n"/>
      <c r="R103" s="3108" t="n"/>
      <c r="S103" s="3107" t="n"/>
      <c r="T103" s="3108" t="n"/>
      <c r="U103" s="3107" t="n"/>
      <c r="V103" s="3108" t="n"/>
      <c r="W103" s="3107" t="n"/>
      <c r="X103" s="3108" t="n"/>
      <c r="Y103" s="3107" t="n"/>
      <c r="Z103" s="3108" t="n"/>
      <c r="AA103" s="3107" t="n"/>
      <c r="AB103" s="3108" t="n"/>
      <c r="AC103" s="3107" t="n"/>
      <c r="AD103" s="3108" t="n"/>
      <c r="AE103" s="3107" t="n"/>
      <c r="AF103" s="3108" t="n"/>
      <c r="AG103" s="3107" t="n"/>
      <c r="AH103" s="3108" t="n"/>
      <c r="AI103" s="3107" t="n"/>
      <c r="AJ103" s="3108" t="n"/>
      <c r="AK103" s="3107" t="n"/>
      <c r="AL103" s="3108" t="n"/>
      <c r="AM103" s="3107" t="n"/>
      <c r="AN103" s="3108" t="n"/>
      <c r="AO103" s="3107" t="n"/>
      <c r="AP103" s="3108" t="n"/>
      <c r="AQ103" s="3098" t="n"/>
      <c r="AR103" s="3097" t="n"/>
      <c r="AS103" s="3098" t="n"/>
      <c r="AT103" s="3099" t="n"/>
      <c r="AU103" s="3098" t="n"/>
      <c r="AV103" s="3845" t="n"/>
      <c r="AW103" s="3656" t="n"/>
      <c r="AX103" s="218">
        <f>$CA103&amp;CB103&amp;CC103&amp;$CD103&amp;CJ103&amp;CK103&amp;CL103&amp;CM103&amp;CN103&amp;CO103&amp;CP103&amp;CQ103&amp;CR103&amp;CS103&amp;CT103&amp;CU103&amp;CV103&amp;CW103&amp;CX103</f>
        <v/>
      </c>
      <c r="CA103" s="219">
        <f>IF(B103&lt;&gt;(AS103)," * La suma de las columnas "&amp;AR$10&amp;""&amp;" DEBE SER IGUAL a los Exámenes Procesados. ","")</f>
        <v/>
      </c>
      <c r="CB103" s="219">
        <f>IF(AND($B103&gt;0,AND(AT103="",AU103="")),"* No olvide ingresar las columnas Trans Masculino o Femenino (*Digite CERO si no tiene). ",IF((AT103+AU103)&gt;$B103,"* El Número de Trans Masculino o Femenino no puede superar el Total Procesados. ",""))</f>
        <v/>
      </c>
      <c r="CC103" s="219">
        <f>IF(AND($B103&gt;0,AV103=""),"* No olvide ingresar la columna "&amp;AV$10&amp;""&amp;" *(Digite CERO si no tiene). ",IF(AV103&gt;$B103," *El Número de "&amp;AV$10&amp;""&amp;" no puede superar el Total Procesados. ",""))</f>
        <v/>
      </c>
      <c r="CD103" s="219">
        <f>IF(AND($B103&gt;0,AW103=""),"* No olvide ingresar la columna "&amp;AW$10&amp;""&amp;" *(Digite CERO si no tiene). ",IF(AW103&gt;$B103," *El Número de "&amp;AW$10&amp;""&amp;" no puede superar el Total Procesados. ",""))</f>
        <v/>
      </c>
      <c r="CE103" s="220" t="n"/>
      <c r="CF103" s="220" t="n"/>
      <c r="CG103" s="220" t="n"/>
      <c r="CH103" s="220" t="n"/>
      <c r="CI103" s="220" t="n"/>
      <c r="CJ103" s="219">
        <f>IF(N103&lt;O103,CONCATENATE("* El total de Procesados debe ser mayor o igual al total de Reactivos en el grupo de edad ",$N$11),"")</f>
        <v/>
      </c>
      <c r="CK103" s="219">
        <f>IF(P103&lt;Q103,CONCATENATE("* El total de Procesados debe ser mayor o igual al total de Reactivos en el grupo de edad ",$P$11),"")</f>
        <v/>
      </c>
      <c r="CL103" s="219">
        <f>IF(R103&lt;S103,CONCATENATE("* El total de Procesados debe ser mayor o igual al total de Reactivos en el grupo de edad ",$R$11),"")</f>
        <v/>
      </c>
      <c r="CM103" s="219">
        <f>IF($T103&lt;$U103,CONCATENATE("* El total de Procesados debe ser mayor o igual al total de Reactivos en el grupo de edad ",$T$11),"")</f>
        <v/>
      </c>
      <c r="CN103" s="219">
        <f>IF(V103&lt;W103,CONCATENATE("* El total de Procesados debe ser mayor o igual al total de Reactivos en el grupo de edad ",$V$11),"")</f>
        <v/>
      </c>
      <c r="CO103" s="219">
        <f>IF(X103&lt;Y103,CONCATENATE("* El total de Procesados debe ser mayor o igual al total de Reactivos en el grupo de edad ",$X$11),"")</f>
        <v/>
      </c>
      <c r="CP103" s="219">
        <f>IF(Z103&lt;AA103,CONCATENATE("* El total de Procesados debe ser mayor o igual al total de Reactivos en el grupo de edad ",$Z$11),"")</f>
        <v/>
      </c>
      <c r="CQ103" s="219">
        <f>IF(AB103&lt;AC103,CONCATENATE("* El total de Procesados debe ser mayor o igual al total de Reactivos en el grupo de edad ",$AB$11),"")</f>
        <v/>
      </c>
      <c r="CR103" s="219">
        <f>IF(AD103&lt;AE103,CONCATENATE("* El total de Procesados debe ser mayor o igual al total de Reactivos en el grupo de edad ",$AD$11),"")</f>
        <v/>
      </c>
      <c r="CS103" s="219">
        <f>IF(AF103&lt;AG103,CONCATENATE("* El total de Procesados debe ser mayor o igual al total de Reactivos en el grupo de edad ",$AF$11),"")</f>
        <v/>
      </c>
      <c r="CT103" s="219">
        <f>IF(AH103&lt;AI103,CONCATENATE("* El total de Procesados debe ser mayor o igual al total de Reactivos en el grupo de edad ",$AH$11),"")</f>
        <v/>
      </c>
      <c r="CU103" s="219">
        <f>IF(AJ103&lt;AK103,CONCATENATE("* El total de Procesados debe ser mayor o igual al total de Reactivos en el grupo de edad ",$AJ$11),"")</f>
        <v/>
      </c>
      <c r="CV103" s="219">
        <f>IF(AL103&lt;AM103,CONCATENATE("* El total de Procesados debe ser mayor o igual al total de Reactivos en el grupo de edad ",$AL$11),"")</f>
        <v/>
      </c>
      <c r="CW103" s="219">
        <f>IF(AN103&lt;AO103,CONCATENATE("* El total de Procesados debe ser mayor o igual al total de Reactivos en el grupo de edad ",$AN$11),"")</f>
        <v/>
      </c>
      <c r="CX103" s="219">
        <f>IF(AP103&lt;AQ103,CONCATENATE("* El total de Procesados debe ser mayor o igual al total de Reactivos en el grupo de edad ",$AP$11),"")</f>
        <v/>
      </c>
      <c r="DE103" s="226" t="n"/>
      <c r="DF103" s="378">
        <f>IF(B103&lt;&gt;(AS103),1,0)</f>
        <v/>
      </c>
      <c r="DG103" s="376">
        <f>IF(AND($B103&gt;0,AND(AT103="",AU103="")),1,IF((AT103+AU103)&gt;$B103,1,0))</f>
        <v/>
      </c>
      <c r="DH103" s="376">
        <f>IF(AND($B103&gt;0,AV103=""),1,IF(AV103&gt;$B103,1,0))</f>
        <v/>
      </c>
      <c r="DI103" s="376">
        <f>IF(AND($B103&gt;0,AW103=""),1,IF(AW103&gt;$B103,1,0))</f>
        <v/>
      </c>
      <c r="DJ103" s="220" t="n"/>
      <c r="DK103" s="220" t="n"/>
      <c r="DL103" s="220" t="n"/>
      <c r="DM103" s="220" t="n"/>
      <c r="DN103" s="220" t="n"/>
      <c r="DO103" s="376">
        <f>IF(N103&lt;O103,1,0)</f>
        <v/>
      </c>
      <c r="DP103" s="376">
        <f>IF(P103&lt;Q103,1,0)</f>
        <v/>
      </c>
      <c r="DQ103" s="376">
        <f>IF(R103&lt;S103,1,0)</f>
        <v/>
      </c>
      <c r="DR103" s="376">
        <f>IF($T103&lt;$U103,1,0)</f>
        <v/>
      </c>
      <c r="DS103" s="376">
        <f>IF(V103&lt;W103,1,0)</f>
        <v/>
      </c>
      <c r="DT103" s="376">
        <f>IF(X103&lt;Y103,1,0)</f>
        <v/>
      </c>
      <c r="DU103" s="376">
        <f>IF(Z103&lt;AA103,1,0)</f>
        <v/>
      </c>
      <c r="DV103" s="376">
        <f>IF(AB103&lt;AC103,1,0)</f>
        <v/>
      </c>
      <c r="DW103" s="376">
        <f>IF(AD103&lt;AE103,1,0)</f>
        <v/>
      </c>
      <c r="DX103" s="376">
        <f>IF(AF103&lt;AG103,1,0)</f>
        <v/>
      </c>
      <c r="DY103" s="376">
        <f>IF(AH103&lt;AI103,1,0)</f>
        <v/>
      </c>
      <c r="DZ103" s="376">
        <f>IF(AJ103&lt;AK103,1,0)</f>
        <v/>
      </c>
      <c r="EA103" s="376">
        <f>IF(AL103&lt;AM103,1,0)</f>
        <v/>
      </c>
      <c r="EB103" s="376">
        <f>IF(AN103&lt;AO103,1,0)</f>
        <v/>
      </c>
      <c r="EC103" s="376">
        <f>IF(AP103&lt;AQ103,1,0)</f>
        <v/>
      </c>
    </row>
    <row r="104">
      <c r="A104" s="3119" t="inlineStr">
        <is>
          <t>Gestantes trimestre embarazo ignorado</t>
        </is>
      </c>
      <c r="B104" s="3103">
        <f>+N104+P104+R104+T104+V104+X104+Z104+AB104+AD104+AF104+AH104+AJ104+AL104+AN104+AP104</f>
        <v/>
      </c>
      <c r="C104" s="1171">
        <f>+O104+Q104+S104+U104+W104+Y104+AA104+AC104+AE104+AG104+AI104+AK104+AM104+AO104+AQ104</f>
        <v/>
      </c>
      <c r="D104" s="3112" t="n"/>
      <c r="E104" s="3105" t="n"/>
      <c r="F104" s="3104" t="n"/>
      <c r="G104" s="3105" t="n"/>
      <c r="H104" s="3104" t="n"/>
      <c r="I104" s="3105" t="n"/>
      <c r="J104" s="3104" t="n"/>
      <c r="K104" s="3105" t="n"/>
      <c r="L104" s="3104" t="n"/>
      <c r="M104" s="3106" t="n"/>
      <c r="N104" s="3100" t="n"/>
      <c r="O104" s="3107" t="n"/>
      <c r="P104" s="3108" t="n"/>
      <c r="Q104" s="3107" t="n"/>
      <c r="R104" s="3108" t="n"/>
      <c r="S104" s="3107" t="n"/>
      <c r="T104" s="3108" t="n"/>
      <c r="U104" s="3107" t="n"/>
      <c r="V104" s="3108" t="n"/>
      <c r="W104" s="3107" t="n"/>
      <c r="X104" s="3108" t="n"/>
      <c r="Y104" s="3107" t="n"/>
      <c r="Z104" s="3108" t="n"/>
      <c r="AA104" s="3107" t="n"/>
      <c r="AB104" s="3108" t="n"/>
      <c r="AC104" s="3107" t="n"/>
      <c r="AD104" s="3108" t="n"/>
      <c r="AE104" s="3107" t="n"/>
      <c r="AF104" s="3108" t="n"/>
      <c r="AG104" s="3107" t="n"/>
      <c r="AH104" s="3108" t="n"/>
      <c r="AI104" s="3107" t="n"/>
      <c r="AJ104" s="3108" t="n"/>
      <c r="AK104" s="3107" t="n"/>
      <c r="AL104" s="3108" t="n"/>
      <c r="AM104" s="3107" t="n"/>
      <c r="AN104" s="3108" t="n"/>
      <c r="AO104" s="3107" t="n"/>
      <c r="AP104" s="3108" t="n"/>
      <c r="AQ104" s="3098" t="n"/>
      <c r="AR104" s="3097" t="n"/>
      <c r="AS104" s="3098" t="n"/>
      <c r="AT104" s="3099" t="n"/>
      <c r="AU104" s="3098" t="n"/>
      <c r="AV104" s="3845" t="n"/>
      <c r="AW104" s="3656" t="n"/>
      <c r="AX104" s="218">
        <f>$CA104&amp;CB104&amp;CC104&amp;$CD104&amp;CJ104&amp;CK104&amp;CL104&amp;CM104&amp;CN104&amp;CO104&amp;CP104&amp;CQ104&amp;CR104&amp;CS104&amp;CT104&amp;CU104&amp;CV104&amp;CW104&amp;CX104</f>
        <v/>
      </c>
      <c r="CA104" s="219">
        <f>IF(B104&lt;&gt;(AS104)," * La suma de las columnas "&amp;AR$10&amp;""&amp;" DEBE SER IGUAL a los Exámenes Procesados. ","")</f>
        <v/>
      </c>
      <c r="CB104" s="219">
        <f>IF(AND($B104&gt;0,AND(AT104="",AU104="")),"* No olvide ingresar las columnas Trans Masculino o Femenino (*Digite CERO si no tiene). ",IF((AT104+AU104)&gt;$B104,"* El Número de Trans Masculino o Femenino no puede superar el Total Procesados. ",""))</f>
        <v/>
      </c>
      <c r="CC104" s="219">
        <f>IF(AND($B104&gt;0,AV104=""),"* No olvide ingresar la columna "&amp;AV$10&amp;""&amp;" *(Digite CERO si no tiene). ",IF(AV104&gt;$B104," *El Número de "&amp;AV$10&amp;""&amp;" no puede superar el Total Procesados. ",""))</f>
        <v/>
      </c>
      <c r="CD104" s="219">
        <f>IF(AND($B104&gt;0,AW104=""),"* No olvide ingresar la columna "&amp;AW$10&amp;""&amp;" *(Digite CERO si no tiene). ",IF(AW104&gt;$B104," *El Número de "&amp;AW$10&amp;""&amp;" no puede superar el Total Procesados. ",""))</f>
        <v/>
      </c>
      <c r="CE104" s="220" t="n"/>
      <c r="CF104" s="220" t="n"/>
      <c r="CG104" s="220" t="n"/>
      <c r="CH104" s="220" t="n"/>
      <c r="CI104" s="220" t="n"/>
      <c r="CJ104" s="219">
        <f>IF(N104&lt;O104,CONCATENATE("* El total de Procesados debe ser mayor o igual al total de Reactivos en el grupo de edad ",$N$11),"")</f>
        <v/>
      </c>
      <c r="CK104" s="219">
        <f>IF(P104&lt;Q104,CONCATENATE("* El total de Procesados debe ser mayor o igual al total de Reactivos en el grupo de edad ",$P$11),"")</f>
        <v/>
      </c>
      <c r="CL104" s="219">
        <f>IF(R104&lt;S104,CONCATENATE("* El total de Procesados debe ser mayor o igual al total de Reactivos en el grupo de edad ",$R$11),"")</f>
        <v/>
      </c>
      <c r="CM104" s="219">
        <f>IF($T104&lt;$U104,CONCATENATE("* El total de Procesados debe ser mayor o igual al total de Reactivos en el grupo de edad ",$T$11),"")</f>
        <v/>
      </c>
      <c r="CN104" s="219">
        <f>IF(V104&lt;W104,CONCATENATE("* El total de Procesados debe ser mayor o igual al total de Reactivos en el grupo de edad ",$V$11),"")</f>
        <v/>
      </c>
      <c r="CO104" s="219">
        <f>IF(X104&lt;Y104,CONCATENATE("* El total de Procesados debe ser mayor o igual al total de Reactivos en el grupo de edad ",$X$11),"")</f>
        <v/>
      </c>
      <c r="CP104" s="219">
        <f>IF(Z104&lt;AA104,CONCATENATE("* El total de Procesados debe ser mayor o igual al total de Reactivos en el grupo de edad ",$Z$11),"")</f>
        <v/>
      </c>
      <c r="CQ104" s="219">
        <f>IF(AB104&lt;AC104,CONCATENATE("* El total de Procesados debe ser mayor o igual al total de Reactivos en el grupo de edad ",$AB$11),"")</f>
        <v/>
      </c>
      <c r="CR104" s="219">
        <f>IF(AD104&lt;AE104,CONCATENATE("* El total de Procesados debe ser mayor o igual al total de Reactivos en el grupo de edad ",$AD$11),"")</f>
        <v/>
      </c>
      <c r="CS104" s="219">
        <f>IF(AF104&lt;AG104,CONCATENATE("* El total de Procesados debe ser mayor o igual al total de Reactivos en el grupo de edad ",$AF$11),"")</f>
        <v/>
      </c>
      <c r="CT104" s="219">
        <f>IF(AH104&lt;AI104,CONCATENATE("* El total de Procesados debe ser mayor o igual al total de Reactivos en el grupo de edad ",$AH$11),"")</f>
        <v/>
      </c>
      <c r="CU104" s="219">
        <f>IF(AJ104&lt;AK104,CONCATENATE("* El total de Procesados debe ser mayor o igual al total de Reactivos en el grupo de edad ",$AJ$11),"")</f>
        <v/>
      </c>
      <c r="CV104" s="219">
        <f>IF(AL104&lt;AM104,CONCATENATE("* El total de Procesados debe ser mayor o igual al total de Reactivos en el grupo de edad ",$AL$11),"")</f>
        <v/>
      </c>
      <c r="CW104" s="219">
        <f>IF(AN104&lt;AO104,CONCATENATE("* El total de Procesados debe ser mayor o igual al total de Reactivos en el grupo de edad ",$AN$11),"")</f>
        <v/>
      </c>
      <c r="CX104" s="219">
        <f>IF(AP104&lt;AQ104,CONCATENATE("* El total de Procesados debe ser mayor o igual al total de Reactivos en el grupo de edad ",$AP$11),"")</f>
        <v/>
      </c>
      <c r="DE104" s="226" t="n"/>
      <c r="DF104" s="378">
        <f>IF(B104&lt;&gt;(AS104),1,0)</f>
        <v/>
      </c>
      <c r="DG104" s="376">
        <f>IF(AND($B104&gt;0,AND(AT104="",AU104="")),1,IF((AT104+AU104)&gt;$B104,1,0))</f>
        <v/>
      </c>
      <c r="DH104" s="376">
        <f>IF(AND($B104&gt;0,AV104=""),1,IF(AV104&gt;$B104,1,0))</f>
        <v/>
      </c>
      <c r="DI104" s="376">
        <f>IF(AND($B104&gt;0,AW104=""),1,IF(AW104&gt;$B104,1,0))</f>
        <v/>
      </c>
      <c r="DJ104" s="220" t="n"/>
      <c r="DK104" s="220" t="n"/>
      <c r="DL104" s="220" t="n"/>
      <c r="DM104" s="220" t="n"/>
      <c r="DN104" s="220" t="n"/>
      <c r="DO104" s="376">
        <f>IF(N104&lt;O104,1,0)</f>
        <v/>
      </c>
      <c r="DP104" s="376">
        <f>IF(P104&lt;Q104,1,0)</f>
        <v/>
      </c>
      <c r="DQ104" s="376">
        <f>IF(R104&lt;S104,1,0)</f>
        <v/>
      </c>
      <c r="DR104" s="376">
        <f>IF($T104&lt;$U104,1,0)</f>
        <v/>
      </c>
      <c r="DS104" s="376">
        <f>IF(V104&lt;W104,1,0)</f>
        <v/>
      </c>
      <c r="DT104" s="376">
        <f>IF(X104&lt;Y104,1,0)</f>
        <v/>
      </c>
      <c r="DU104" s="376">
        <f>IF(Z104&lt;AA104,1,0)</f>
        <v/>
      </c>
      <c r="DV104" s="376">
        <f>IF(AB104&lt;AC104,1,0)</f>
        <v/>
      </c>
      <c r="DW104" s="376">
        <f>IF(AD104&lt;AE104,1,0)</f>
        <v/>
      </c>
      <c r="DX104" s="376">
        <f>IF(AF104&lt;AG104,1,0)</f>
        <v/>
      </c>
      <c r="DY104" s="376">
        <f>IF(AH104&lt;AI104,1,0)</f>
        <v/>
      </c>
      <c r="DZ104" s="376">
        <f>IF(AJ104&lt;AK104,1,0)</f>
        <v/>
      </c>
      <c r="EA104" s="376">
        <f>IF(AL104&lt;AM104,1,0)</f>
        <v/>
      </c>
      <c r="EB104" s="376">
        <f>IF(AN104&lt;AO104,1,0)</f>
        <v/>
      </c>
      <c r="EC104" s="376">
        <f>IF(AP104&lt;AQ104,1,0)</f>
        <v/>
      </c>
    </row>
    <row r="105">
      <c r="A105" s="8538" t="inlineStr">
        <is>
          <t>Gestantes en seguimiento por diagnóstico sífilis</t>
        </is>
      </c>
      <c r="B105" s="3103">
        <f>+N105+P105+R105+T105+V105+X105+Z105+AB105+AD105+AF105+AH105+AJ105+AL105+AN105+AP105</f>
        <v/>
      </c>
      <c r="C105" s="1171">
        <f>+O105+Q105+S105+U105+W105+Y105+AA105+AC105+AE105+AG105+AI105+AK105+AM105+AO105+AQ105</f>
        <v/>
      </c>
      <c r="D105" s="3112" t="n"/>
      <c r="E105" s="3105" t="n"/>
      <c r="F105" s="3104" t="n"/>
      <c r="G105" s="3105" t="n"/>
      <c r="H105" s="3104" t="n"/>
      <c r="I105" s="3105" t="n"/>
      <c r="J105" s="3104" t="n"/>
      <c r="K105" s="3105" t="n"/>
      <c r="L105" s="3104" t="n"/>
      <c r="M105" s="3106" t="n"/>
      <c r="N105" s="3100" t="n"/>
      <c r="O105" s="3107" t="n"/>
      <c r="P105" s="3108" t="n"/>
      <c r="Q105" s="3107" t="n"/>
      <c r="R105" s="3108" t="n"/>
      <c r="S105" s="3107" t="n"/>
      <c r="T105" s="3108" t="n"/>
      <c r="U105" s="3107" t="n"/>
      <c r="V105" s="3108" t="n"/>
      <c r="W105" s="3107" t="n"/>
      <c r="X105" s="3108" t="n"/>
      <c r="Y105" s="3107" t="n"/>
      <c r="Z105" s="3108" t="n"/>
      <c r="AA105" s="3107" t="n"/>
      <c r="AB105" s="3108" t="n"/>
      <c r="AC105" s="3107" t="n"/>
      <c r="AD105" s="3108" t="n"/>
      <c r="AE105" s="3107" t="n"/>
      <c r="AF105" s="3108" t="n"/>
      <c r="AG105" s="3107" t="n"/>
      <c r="AH105" s="3108" t="n"/>
      <c r="AI105" s="3107" t="n"/>
      <c r="AJ105" s="3108" t="n"/>
      <c r="AK105" s="3107" t="n"/>
      <c r="AL105" s="3108" t="n"/>
      <c r="AM105" s="3107" t="n"/>
      <c r="AN105" s="3108" t="n"/>
      <c r="AO105" s="3107" t="n"/>
      <c r="AP105" s="3108" t="n"/>
      <c r="AQ105" s="3098" t="n"/>
      <c r="AR105" s="3097" t="n"/>
      <c r="AS105" s="3098" t="n"/>
      <c r="AT105" s="3099" t="n"/>
      <c r="AU105" s="3098" t="n"/>
      <c r="AV105" s="3845" t="n"/>
      <c r="AW105" s="3656" t="n"/>
      <c r="AX105" s="218">
        <f>$CA105&amp;CB105&amp;CC105&amp;$CD105&amp;CJ105&amp;CK105&amp;CL105&amp;CM105&amp;CN105&amp;CO105&amp;CP105&amp;CQ105&amp;CR105&amp;CS105&amp;CT105&amp;CU105&amp;CV105&amp;CW105&amp;CX105</f>
        <v/>
      </c>
      <c r="CA105" s="219">
        <f>IF(B105&lt;&gt;(AS105)," * La suma de las columnas "&amp;AR$10&amp;""&amp;" DEBE SER IGUAL a los Exámenes Procesados. ","")</f>
        <v/>
      </c>
      <c r="CB105" s="219">
        <f>IF(AND($B105&gt;0,AND(AT105="",AU105="")),"* No olvide ingresar las columnas Trans Masculino o Femenino (*Digite CERO si no tiene). ",IF((AT105+AU105)&gt;$B105,"* El Número de Trans Masculino o Femenino no puede superar el Total Procesados. ",""))</f>
        <v/>
      </c>
      <c r="CC105" s="219">
        <f>IF(AND($B105&gt;0,AV105=""),"* No olvide ingresar la columna "&amp;AV$10&amp;""&amp;" *(Digite CERO si no tiene). ",IF(AV105&gt;$B105," *El Número de "&amp;AV$10&amp;""&amp;" no puede superar el Total Procesados. ",""))</f>
        <v/>
      </c>
      <c r="CD105" s="219">
        <f>IF(AND($B105&gt;0,AW105=""),"* No olvide ingresar la columna "&amp;AW$10&amp;""&amp;" *(Digite CERO si no tiene). ",IF(AW105&gt;$B105," *El Número de "&amp;AW$10&amp;""&amp;" no puede superar el Total Procesados. ",""))</f>
        <v/>
      </c>
      <c r="CE105" s="220" t="n"/>
      <c r="CF105" s="220" t="n"/>
      <c r="CG105" s="220" t="n"/>
      <c r="CH105" s="220" t="n"/>
      <c r="CI105" s="220" t="n"/>
      <c r="CJ105" s="219">
        <f>IF(N105&lt;O105,CONCATENATE("* El total de Procesados debe ser mayor o igual al total de Reactivos en el grupo de edad ",$N$11),"")</f>
        <v/>
      </c>
      <c r="CK105" s="219">
        <f>IF(P105&lt;Q105,CONCATENATE("* El total de Procesados debe ser mayor o igual al total de Reactivos en el grupo de edad ",$P$11),"")</f>
        <v/>
      </c>
      <c r="CL105" s="219">
        <f>IF(R105&lt;S105,CONCATENATE("* El total de Procesados debe ser mayor o igual al total de Reactivos en el grupo de edad ",$R$11),"")</f>
        <v/>
      </c>
      <c r="CM105" s="219">
        <f>IF($T105&lt;$U105,CONCATENATE("* El total de Procesados debe ser mayor o igual al total de Reactivos en el grupo de edad ",$T$11),"")</f>
        <v/>
      </c>
      <c r="CN105" s="219">
        <f>IF(V105&lt;W105,CONCATENATE("* El total de Procesados debe ser mayor o igual al total de Reactivos en el grupo de edad ",$V$11),"")</f>
        <v/>
      </c>
      <c r="CO105" s="219">
        <f>IF(X105&lt;Y105,CONCATENATE("* El total de Procesados debe ser mayor o igual al total de Reactivos en el grupo de edad ",$X$11),"")</f>
        <v/>
      </c>
      <c r="CP105" s="219">
        <f>IF(Z105&lt;AA105,CONCATENATE("* El total de Procesados debe ser mayor o igual al total de Reactivos en el grupo de edad ",$Z$11),"")</f>
        <v/>
      </c>
      <c r="CQ105" s="219">
        <f>IF(AB105&lt;AC105,CONCATENATE("* El total de Procesados debe ser mayor o igual al total de Reactivos en el grupo de edad ",$AB$11),"")</f>
        <v/>
      </c>
      <c r="CR105" s="219">
        <f>IF(AD105&lt;AE105,CONCATENATE("* El total de Procesados debe ser mayor o igual al total de Reactivos en el grupo de edad ",$AD$11),"")</f>
        <v/>
      </c>
      <c r="CS105" s="219">
        <f>IF(AF105&lt;AG105,CONCATENATE("* El total de Procesados debe ser mayor o igual al total de Reactivos en el grupo de edad ",$AF$11),"")</f>
        <v/>
      </c>
      <c r="CT105" s="219">
        <f>IF(AH105&lt;AI105,CONCATENATE("* El total de Procesados debe ser mayor o igual al total de Reactivos en el grupo de edad ",$AH$11),"")</f>
        <v/>
      </c>
      <c r="CU105" s="219">
        <f>IF(AJ105&lt;AK105,CONCATENATE("* El total de Procesados debe ser mayor o igual al total de Reactivos en el grupo de edad ",$AJ$11),"")</f>
        <v/>
      </c>
      <c r="CV105" s="219">
        <f>IF(AL105&lt;AM105,CONCATENATE("* El total de Procesados debe ser mayor o igual al total de Reactivos en el grupo de edad ",$AL$11),"")</f>
        <v/>
      </c>
      <c r="CW105" s="219">
        <f>IF(AN105&lt;AO105,CONCATENATE("* El total de Procesados debe ser mayor o igual al total de Reactivos en el grupo de edad ",$AN$11),"")</f>
        <v/>
      </c>
      <c r="CX105" s="219">
        <f>IF(AP105&lt;AQ105,CONCATENATE("* El total de Procesados debe ser mayor o igual al total de Reactivos en el grupo de edad ",$AP$11),"")</f>
        <v/>
      </c>
      <c r="DE105" s="226" t="n"/>
      <c r="DF105" s="378">
        <f>IF(B105&lt;&gt;(AS105),1,0)</f>
        <v/>
      </c>
      <c r="DG105" s="376">
        <f>IF(AND($B105&gt;0,AND(AT105="",AU105="")),1,IF((AT105+AU105)&gt;$B105,1,0))</f>
        <v/>
      </c>
      <c r="DH105" s="376">
        <f>IF(AND($B105&gt;0,AV105=""),1,IF(AV105&gt;$B105,1,0))</f>
        <v/>
      </c>
      <c r="DI105" s="376">
        <f>IF(AND($B105&gt;0,AW105=""),1,IF(AW105&gt;$B105,1,0))</f>
        <v/>
      </c>
      <c r="DJ105" s="220" t="n"/>
      <c r="DK105" s="220" t="n"/>
      <c r="DL105" s="220" t="n"/>
      <c r="DM105" s="220" t="n"/>
      <c r="DN105" s="220" t="n"/>
      <c r="DO105" s="376">
        <f>IF(N105&lt;O105,1,0)</f>
        <v/>
      </c>
      <c r="DP105" s="376">
        <f>IF(P105&lt;Q105,1,0)</f>
        <v/>
      </c>
      <c r="DQ105" s="376">
        <f>IF(R105&lt;S105,1,0)</f>
        <v/>
      </c>
      <c r="DR105" s="376">
        <f>IF($T105&lt;$U105,1,0)</f>
        <v/>
      </c>
      <c r="DS105" s="376">
        <f>IF(V105&lt;W105,1,0)</f>
        <v/>
      </c>
      <c r="DT105" s="376">
        <f>IF(X105&lt;Y105,1,0)</f>
        <v/>
      </c>
      <c r="DU105" s="376">
        <f>IF(Z105&lt;AA105,1,0)</f>
        <v/>
      </c>
      <c r="DV105" s="376">
        <f>IF(AB105&lt;AC105,1,0)</f>
        <v/>
      </c>
      <c r="DW105" s="376">
        <f>IF(AD105&lt;AE105,1,0)</f>
        <v/>
      </c>
      <c r="DX105" s="376">
        <f>IF(AF105&lt;AG105,1,0)</f>
        <v/>
      </c>
      <c r="DY105" s="376">
        <f>IF(AH105&lt;AI105,1,0)</f>
        <v/>
      </c>
      <c r="DZ105" s="376">
        <f>IF(AJ105&lt;AK105,1,0)</f>
        <v/>
      </c>
      <c r="EA105" s="376">
        <f>IF(AL105&lt;AM105,1,0)</f>
        <v/>
      </c>
      <c r="EB105" s="376">
        <f>IF(AN105&lt;AO105,1,0)</f>
        <v/>
      </c>
      <c r="EC105" s="376">
        <f>IF(AP105&lt;AQ105,1,0)</f>
        <v/>
      </c>
    </row>
    <row r="106">
      <c r="A106" s="8538" t="inlineStr">
        <is>
          <t>Pareja de gestante con serología reactiva</t>
        </is>
      </c>
      <c r="B106" s="3103">
        <f>+N106+P106+R106+T106+V106+X106+Z106+AB106+AD106+AF106+AH106+AJ106+AL106+AN106+AP106</f>
        <v/>
      </c>
      <c r="C106" s="1171">
        <f>+O106+Q106+S106+U106+W106+Y106+AA106+AC106+AE106+AG106+AI106+AK106+AM106+AO106+AQ106</f>
        <v/>
      </c>
      <c r="D106" s="3112" t="n"/>
      <c r="E106" s="3105" t="n"/>
      <c r="F106" s="3104" t="n"/>
      <c r="G106" s="3105" t="n"/>
      <c r="H106" s="3104" t="n"/>
      <c r="I106" s="3105" t="n"/>
      <c r="J106" s="3104" t="n"/>
      <c r="K106" s="3105" t="n"/>
      <c r="L106" s="3104" t="n"/>
      <c r="M106" s="3106" t="n"/>
      <c r="N106" s="3100" t="n"/>
      <c r="O106" s="3107" t="n"/>
      <c r="P106" s="3108" t="n"/>
      <c r="Q106" s="3107" t="n"/>
      <c r="R106" s="3108" t="n"/>
      <c r="S106" s="3107" t="n"/>
      <c r="T106" s="3108" t="n"/>
      <c r="U106" s="3107" t="n"/>
      <c r="V106" s="3108" t="n"/>
      <c r="W106" s="3107" t="n"/>
      <c r="X106" s="3108" t="n"/>
      <c r="Y106" s="3107" t="n"/>
      <c r="Z106" s="3108" t="n"/>
      <c r="AA106" s="3107" t="n"/>
      <c r="AB106" s="3108" t="n"/>
      <c r="AC106" s="3107" t="n"/>
      <c r="AD106" s="3108" t="n"/>
      <c r="AE106" s="3107" t="n"/>
      <c r="AF106" s="3108" t="n"/>
      <c r="AG106" s="3107" t="n"/>
      <c r="AH106" s="3108" t="n"/>
      <c r="AI106" s="3107" t="n"/>
      <c r="AJ106" s="3108" t="n"/>
      <c r="AK106" s="3107" t="n"/>
      <c r="AL106" s="3108" t="n"/>
      <c r="AM106" s="3107" t="n"/>
      <c r="AN106" s="3108" t="n"/>
      <c r="AO106" s="3107" t="n"/>
      <c r="AP106" s="3108" t="n"/>
      <c r="AQ106" s="3098" t="n"/>
      <c r="AR106" s="3100" t="n"/>
      <c r="AS106" s="3098" t="n"/>
      <c r="AT106" s="3099" t="n"/>
      <c r="AU106" s="3098" t="n"/>
      <c r="AV106" s="3845" t="n"/>
      <c r="AW106" s="3656" t="n"/>
      <c r="AX106" s="218">
        <f>$CA106&amp;CB106&amp;CC106&amp;$CD106&amp;CJ106&amp;CK106&amp;CL106&amp;CM106&amp;CN106&amp;CO106&amp;CP106&amp;CQ106&amp;CR106&amp;CS106&amp;CT106&amp;CU106&amp;CV106&amp;CW106&amp;CX106</f>
        <v/>
      </c>
      <c r="CA106" s="219">
        <f>IF(B106&lt;&gt;(AS106+AR106)," * La suma de las columnas "&amp;AR$10&amp;""&amp;" DEBE SER IGUAL a los Exámenes Procesados. ","")</f>
        <v/>
      </c>
      <c r="CB106" s="219">
        <f>IF(AND($B106&gt;0,AND(AT106="",AU106="")),"* No olvide ingresar las columnas Trans Masculino o Femenino (*Digite CERO si no tiene). ",IF((AT106+AU106)&gt;$B106,"* El Número de Trans Masculino o Femenino no puede superar el Total Procesados. ",""))</f>
        <v/>
      </c>
      <c r="CC106" s="219">
        <f>IF(AND($B106&gt;0,AV106=""),"* No olvide ingresar la columna "&amp;AV$10&amp;""&amp;" *(Digite CERO si no tiene). ",IF(AV106&gt;$B106," *El Número de "&amp;AV$10&amp;""&amp;" no puede superar el Total Procesados. ",""))</f>
        <v/>
      </c>
      <c r="CD106" s="219">
        <f>IF(AND($B106&gt;0,AW106=""),"* No olvide ingresar la columna "&amp;AW$10&amp;""&amp;" *(Digite CERO si no tiene). ",IF(AW106&gt;$B106," *El Número de "&amp;AW$10&amp;""&amp;" no puede superar el Total Procesados. ",""))</f>
        <v/>
      </c>
      <c r="CE106" s="220" t="n"/>
      <c r="CF106" s="220" t="n"/>
      <c r="CG106" s="220" t="n"/>
      <c r="CH106" s="220" t="n"/>
      <c r="CI106" s="220" t="n"/>
      <c r="CJ106" s="219">
        <f>IF(N106&lt;O106,CONCATENATE("* El total de Procesados debe ser mayor o igual al total de Reactivos en el grupo de edad ",$N$11),"")</f>
        <v/>
      </c>
      <c r="CK106" s="219">
        <f>IF(P106&lt;Q106,CONCATENATE("* El total de Procesados debe ser mayor o igual al total de Reactivos en el grupo de edad ",$P$11),"")</f>
        <v/>
      </c>
      <c r="CL106" s="219">
        <f>IF(R106&lt;S106,CONCATENATE("* El total de Procesados debe ser mayor o igual al total de Reactivos en el grupo de edad ",$R$11),"")</f>
        <v/>
      </c>
      <c r="CM106" s="219">
        <f>IF($T106&lt;$U106,CONCATENATE("* El total de Procesados debe ser mayor o igual al total de Reactivos en el grupo de edad ",$T$11),"")</f>
        <v/>
      </c>
      <c r="CN106" s="219">
        <f>IF(V106&lt;W106,CONCATENATE("* El total de Procesados debe ser mayor o igual al total de Reactivos en el grupo de edad ",$V$11),"")</f>
        <v/>
      </c>
      <c r="CO106" s="219">
        <f>IF(X106&lt;Y106,CONCATENATE("* El total de Procesados debe ser mayor o igual al total de Reactivos en el grupo de edad ",$X$11),"")</f>
        <v/>
      </c>
      <c r="CP106" s="219">
        <f>IF(Z106&lt;AA106,CONCATENATE("* El total de Procesados debe ser mayor o igual al total de Reactivos en el grupo de edad ",$Z$11),"")</f>
        <v/>
      </c>
      <c r="CQ106" s="219">
        <f>IF(AB106&lt;AC106,CONCATENATE("* El total de Procesados debe ser mayor o igual al total de Reactivos en el grupo de edad ",$AB$11),"")</f>
        <v/>
      </c>
      <c r="CR106" s="219">
        <f>IF(AD106&lt;AE106,CONCATENATE("* El total de Procesados debe ser mayor o igual al total de Reactivos en el grupo de edad ",$AD$11),"")</f>
        <v/>
      </c>
      <c r="CS106" s="219">
        <f>IF(AF106&lt;AG106,CONCATENATE("* El total de Procesados debe ser mayor o igual al total de Reactivos en el grupo de edad ",$AF$11),"")</f>
        <v/>
      </c>
      <c r="CT106" s="219">
        <f>IF(AH106&lt;AI106,CONCATENATE("* El total de Procesados debe ser mayor o igual al total de Reactivos en el grupo de edad ",$AH$11),"")</f>
        <v/>
      </c>
      <c r="CU106" s="219">
        <f>IF(AJ106&lt;AK106,CONCATENATE("* El total de Procesados debe ser mayor o igual al total de Reactivos en el grupo de edad ",$AJ$11),"")</f>
        <v/>
      </c>
      <c r="CV106" s="219">
        <f>IF(AL106&lt;AM106,CONCATENATE("* El total de Procesados debe ser mayor o igual al total de Reactivos en el grupo de edad ",$AL$11),"")</f>
        <v/>
      </c>
      <c r="CW106" s="219">
        <f>IF(AN106&lt;AO106,CONCATENATE("* El total de Procesados debe ser mayor o igual al total de Reactivos en el grupo de edad ",$AN$11),"")</f>
        <v/>
      </c>
      <c r="CX106" s="219">
        <f>IF(AP106&lt;AQ106,CONCATENATE("* El total de Procesados debe ser mayor o igual al total de Reactivos en el grupo de edad ",$AP$11),"")</f>
        <v/>
      </c>
      <c r="DE106" s="226" t="n"/>
      <c r="DF106" s="378">
        <f>IF(B106&lt;&gt;(AS106+AR106),1,0)</f>
        <v/>
      </c>
      <c r="DG106" s="376">
        <f>IF(AND($B106&gt;0,AND(AT106="",AU106="")),1,IF((AT106+AU106)&gt;$B106,1,0))</f>
        <v/>
      </c>
      <c r="DH106" s="376">
        <f>IF(AND($B106&gt;0,AV106=""),1,IF(AV106&gt;$B106,1,0))</f>
        <v/>
      </c>
      <c r="DI106" s="376">
        <f>IF(AND($B106&gt;0,AW106=""),1,IF(AW106&gt;$B106,1,0))</f>
        <v/>
      </c>
      <c r="DJ106" s="220" t="n"/>
      <c r="DK106" s="220" t="n"/>
      <c r="DL106" s="220" t="n"/>
      <c r="DM106" s="220" t="n"/>
      <c r="DN106" s="220" t="n"/>
      <c r="DO106" s="376">
        <f>IF(N106&lt;O106,1,0)</f>
        <v/>
      </c>
      <c r="DP106" s="376">
        <f>IF(P106&lt;Q106,1,0)</f>
        <v/>
      </c>
      <c r="DQ106" s="376">
        <f>IF(R106&lt;S106,1,0)</f>
        <v/>
      </c>
      <c r="DR106" s="376">
        <f>IF($T106&lt;$U106,1,0)</f>
        <v/>
      </c>
      <c r="DS106" s="376">
        <f>IF(V106&lt;W106,1,0)</f>
        <v/>
      </c>
      <c r="DT106" s="376">
        <f>IF(X106&lt;Y106,1,0)</f>
        <v/>
      </c>
      <c r="DU106" s="376">
        <f>IF(Z106&lt;AA106,1,0)</f>
        <v/>
      </c>
      <c r="DV106" s="376">
        <f>IF(AB106&lt;AC106,1,0)</f>
        <v/>
      </c>
      <c r="DW106" s="376">
        <f>IF(AD106&lt;AE106,1,0)</f>
        <v/>
      </c>
      <c r="DX106" s="376">
        <f>IF(AF106&lt;AG106,1,0)</f>
        <v/>
      </c>
      <c r="DY106" s="376">
        <f>IF(AH106&lt;AI106,1,0)</f>
        <v/>
      </c>
      <c r="DZ106" s="376">
        <f>IF(AJ106&lt;AK106,1,0)</f>
        <v/>
      </c>
      <c r="EA106" s="376">
        <f>IF(AL106&lt;AM106,1,0)</f>
        <v/>
      </c>
      <c r="EB106" s="376">
        <f>IF(AN106&lt;AO106,1,0)</f>
        <v/>
      </c>
      <c r="EC106" s="376">
        <f>IF(AP106&lt;AQ106,1,0)</f>
        <v/>
      </c>
    </row>
    <row r="107">
      <c r="A107" s="8538" t="inlineStr">
        <is>
          <t>Mujeres que ingresan a maternidad por parto</t>
        </is>
      </c>
      <c r="B107" s="3103">
        <f>+N107+P107+R107+T107+V107+X107+Z107+AB107+AD107+AF107+AH107+AJ107+AL107+AN107+AP107</f>
        <v/>
      </c>
      <c r="C107" s="1171">
        <f>+O107+Q107+S107+U107+W107+Y107+AA107+AC107+AE107+AG107+AI107+AK107+AM107+AO107+AQ107</f>
        <v/>
      </c>
      <c r="D107" s="3112" t="n"/>
      <c r="E107" s="3105" t="n"/>
      <c r="F107" s="3104" t="n"/>
      <c r="G107" s="3105" t="n"/>
      <c r="H107" s="3104" t="n"/>
      <c r="I107" s="3105" t="n"/>
      <c r="J107" s="3104" t="n"/>
      <c r="K107" s="3105" t="n"/>
      <c r="L107" s="3104" t="n"/>
      <c r="M107" s="3106" t="n"/>
      <c r="N107" s="3100" t="n"/>
      <c r="O107" s="3107" t="n"/>
      <c r="P107" s="3108" t="n"/>
      <c r="Q107" s="3107" t="n"/>
      <c r="R107" s="3108" t="n"/>
      <c r="S107" s="3107" t="n"/>
      <c r="T107" s="3108" t="n"/>
      <c r="U107" s="3107" t="n"/>
      <c r="V107" s="3108" t="n"/>
      <c r="W107" s="3107" t="n"/>
      <c r="X107" s="3108" t="n"/>
      <c r="Y107" s="3107" t="n"/>
      <c r="Z107" s="3108" t="n"/>
      <c r="AA107" s="3107" t="n"/>
      <c r="AB107" s="3108" t="n"/>
      <c r="AC107" s="3107" t="n"/>
      <c r="AD107" s="3108" t="n"/>
      <c r="AE107" s="3107" t="n"/>
      <c r="AF107" s="3108" t="n"/>
      <c r="AG107" s="3107" t="n"/>
      <c r="AH107" s="3108" t="n"/>
      <c r="AI107" s="3107" t="n"/>
      <c r="AJ107" s="3108" t="n"/>
      <c r="AK107" s="3107" t="n"/>
      <c r="AL107" s="3108" t="n"/>
      <c r="AM107" s="3107" t="n"/>
      <c r="AN107" s="3108" t="n"/>
      <c r="AO107" s="3107" t="n"/>
      <c r="AP107" s="3108" t="n"/>
      <c r="AQ107" s="3098" t="n"/>
      <c r="AR107" s="3097" t="n"/>
      <c r="AS107" s="3098" t="n"/>
      <c r="AT107" s="3099" t="n"/>
      <c r="AU107" s="3098" t="n"/>
      <c r="AV107" s="3845" t="n"/>
      <c r="AW107" s="3656" t="n"/>
      <c r="AX107" s="218">
        <f>$CA107&amp;CB107&amp;CC107&amp;$CD107&amp;CJ107&amp;CK107&amp;CL107&amp;CM107&amp;CN107&amp;CO107&amp;CP107&amp;CQ107&amp;CR107&amp;CS107&amp;CT107&amp;CU107&amp;CV107&amp;CW107&amp;CX107</f>
        <v/>
      </c>
      <c r="CA107" s="219">
        <f>IF(B107&lt;&gt;(AS107)," * La suma de las columnas "&amp;AR$10&amp;""&amp;" DEBE SER IGUAL a los Exámenes Procesados. ","")</f>
        <v/>
      </c>
      <c r="CB107" s="219">
        <f>IF(AND($B107&gt;0,AND(AT107="",AU107="")),"* No olvide ingresar las columnas Trans Masculino o Femenino (*Digite CERO si no tiene). ",IF((AT107+AU107)&gt;$B107,"* El Número de Trans Masculino o Femenino no puede superar el Total Procesados. ",""))</f>
        <v/>
      </c>
      <c r="CC107" s="219">
        <f>IF(AND($B107&gt;0,AV107=""),"* No olvide ingresar la columna "&amp;AV$10&amp;""&amp;" *(Digite CERO si no tiene). ",IF(AV107&gt;$B107," *El Número de "&amp;AV$10&amp;""&amp;" no puede superar el Total Procesados. ",""))</f>
        <v/>
      </c>
      <c r="CD107" s="219">
        <f>IF(AND($B107&gt;0,AW107=""),"* No olvide ingresar la columna "&amp;AW$10&amp;""&amp;" *(Digite CERO si no tiene). ",IF(AW107&gt;$B107," *El Número de "&amp;AW$10&amp;""&amp;" no puede superar el Total Procesados. ",""))</f>
        <v/>
      </c>
      <c r="CE107" s="220" t="n"/>
      <c r="CF107" s="220" t="n"/>
      <c r="CG107" s="220" t="n"/>
      <c r="CH107" s="220" t="n"/>
      <c r="CI107" s="220" t="n"/>
      <c r="CJ107" s="219">
        <f>IF(N107&lt;O107,CONCATENATE("* El total de Procesados debe ser mayor o igual al total de Reactivos en el grupo de edad ",$N$11),"")</f>
        <v/>
      </c>
      <c r="CK107" s="219">
        <f>IF(P107&lt;Q107,CONCATENATE("* El total de Procesados debe ser mayor o igual al total de Reactivos en el grupo de edad ",$P$11),"")</f>
        <v/>
      </c>
      <c r="CL107" s="219">
        <f>IF(R107&lt;S107,CONCATENATE("* El total de Procesados debe ser mayor o igual al total de Reactivos en el grupo de edad ",$R$11),"")</f>
        <v/>
      </c>
      <c r="CM107" s="219">
        <f>IF($T107&lt;$U107,CONCATENATE("* El total de Procesados debe ser mayor o igual al total de Reactivos en el grupo de edad ",$T$11),"")</f>
        <v/>
      </c>
      <c r="CN107" s="219">
        <f>IF(V107&lt;W107,CONCATENATE("* El total de Procesados debe ser mayor o igual al total de Reactivos en el grupo de edad ",$V$11),"")</f>
        <v/>
      </c>
      <c r="CO107" s="219">
        <f>IF(X107&lt;Y107,CONCATENATE("* El total de Procesados debe ser mayor o igual al total de Reactivos en el grupo de edad ",$X$11),"")</f>
        <v/>
      </c>
      <c r="CP107" s="219">
        <f>IF(Z107&lt;AA107,CONCATENATE("* El total de Procesados debe ser mayor o igual al total de Reactivos en el grupo de edad ",$Z$11),"")</f>
        <v/>
      </c>
      <c r="CQ107" s="219">
        <f>IF(AB107&lt;AC107,CONCATENATE("* El total de Procesados debe ser mayor o igual al total de Reactivos en el grupo de edad ",$AB$11),"")</f>
        <v/>
      </c>
      <c r="CR107" s="219">
        <f>IF(AD107&lt;AE107,CONCATENATE("* El total de Procesados debe ser mayor o igual al total de Reactivos en el grupo de edad ",$AD$11),"")</f>
        <v/>
      </c>
      <c r="CS107" s="219">
        <f>IF(AF107&lt;AG107,CONCATENATE("* El total de Procesados debe ser mayor o igual al total de Reactivos en el grupo de edad ",$AF$11),"")</f>
        <v/>
      </c>
      <c r="CT107" s="219">
        <f>IF(AH107&lt;AI107,CONCATENATE("* El total de Procesados debe ser mayor o igual al total de Reactivos en el grupo de edad ",$AH$11),"")</f>
        <v/>
      </c>
      <c r="CU107" s="219">
        <f>IF(AJ107&lt;AK107,CONCATENATE("* El total de Procesados debe ser mayor o igual al total de Reactivos en el grupo de edad ",$AJ$11),"")</f>
        <v/>
      </c>
      <c r="CV107" s="219">
        <f>IF(AL107&lt;AM107,CONCATENATE("* El total de Procesados debe ser mayor o igual al total de Reactivos en el grupo de edad ",$AL$11),"")</f>
        <v/>
      </c>
      <c r="CW107" s="219">
        <f>IF(AN107&lt;AO107,CONCATENATE("* El total de Procesados debe ser mayor o igual al total de Reactivos en el grupo de edad ",$AN$11),"")</f>
        <v/>
      </c>
      <c r="CX107" s="219">
        <f>IF(AP107&lt;AQ107,CONCATENATE("* El total de Procesados debe ser mayor o igual al total de Reactivos en el grupo de edad ",$AP$11),"")</f>
        <v/>
      </c>
      <c r="DE107" s="226" t="n"/>
      <c r="DF107" s="378">
        <f>IF(B107&lt;&gt;(AS107),1,0)</f>
        <v/>
      </c>
      <c r="DG107" s="376">
        <f>IF(AND($B107&gt;0,AND(AT107="",AU107="")),1,IF((AT107+AU107)&gt;$B107,1,0))</f>
        <v/>
      </c>
      <c r="DH107" s="376">
        <f>IF(AND($B107&gt;0,AV107=""),1,IF(AV107&gt;$B107,1,0))</f>
        <v/>
      </c>
      <c r="DI107" s="376">
        <f>IF(AND($B107&gt;0,AW107=""),1,IF(AW107&gt;$B107,1,0))</f>
        <v/>
      </c>
      <c r="DJ107" s="220" t="n"/>
      <c r="DK107" s="220" t="n"/>
      <c r="DL107" s="220" t="n"/>
      <c r="DM107" s="220" t="n"/>
      <c r="DN107" s="220" t="n"/>
      <c r="DO107" s="376">
        <f>IF(N107&lt;O107,1,0)</f>
        <v/>
      </c>
      <c r="DP107" s="376">
        <f>IF(P107&lt;Q107,1,0)</f>
        <v/>
      </c>
      <c r="DQ107" s="376">
        <f>IF(R107&lt;S107,1,0)</f>
        <v/>
      </c>
      <c r="DR107" s="376">
        <f>IF($T107&lt;$U107,1,0)</f>
        <v/>
      </c>
      <c r="DS107" s="376">
        <f>IF(V107&lt;W107,1,0)</f>
        <v/>
      </c>
      <c r="DT107" s="376">
        <f>IF(X107&lt;Y107,1,0)</f>
        <v/>
      </c>
      <c r="DU107" s="376">
        <f>IF(Z107&lt;AA107,1,0)</f>
        <v/>
      </c>
      <c r="DV107" s="376">
        <f>IF(AB107&lt;AC107,1,0)</f>
        <v/>
      </c>
      <c r="DW107" s="376">
        <f>IF(AD107&lt;AE107,1,0)</f>
        <v/>
      </c>
      <c r="DX107" s="376">
        <f>IF(AF107&lt;AG107,1,0)</f>
        <v/>
      </c>
      <c r="DY107" s="376">
        <f>IF(AH107&lt;AI107,1,0)</f>
        <v/>
      </c>
      <c r="DZ107" s="376">
        <f>IF(AJ107&lt;AK107,1,0)</f>
        <v/>
      </c>
      <c r="EA107" s="376">
        <f>IF(AL107&lt;AM107,1,0)</f>
        <v/>
      </c>
      <c r="EB107" s="376">
        <f>IF(AN107&lt;AO107,1,0)</f>
        <v/>
      </c>
      <c r="EC107" s="376">
        <f>IF(AP107&lt;AQ107,1,0)</f>
        <v/>
      </c>
    </row>
    <row r="108">
      <c r="A108" s="3119" t="inlineStr">
        <is>
          <t>Mujeres que ingresan por aborto</t>
        </is>
      </c>
      <c r="B108" s="3103">
        <f>+N108+P108+R108+T108+V108+X108+Z108+AB108+AD108+AF108+AH108+AJ108+AL108+AN108+AP108</f>
        <v/>
      </c>
      <c r="C108" s="1171">
        <f>+O108+Q108+S108+U108+W108+Y108+AA108+AC108+AE108+AG108+AI108+AK108+AM108+AO108+AQ108</f>
        <v/>
      </c>
      <c r="D108" s="3112" t="n"/>
      <c r="E108" s="3105" t="n"/>
      <c r="F108" s="3104" t="n"/>
      <c r="G108" s="3105" t="n"/>
      <c r="H108" s="3104" t="n"/>
      <c r="I108" s="3105" t="n"/>
      <c r="J108" s="3104" t="n"/>
      <c r="K108" s="3105" t="n"/>
      <c r="L108" s="3104" t="n"/>
      <c r="M108" s="3106" t="n"/>
      <c r="N108" s="3100" t="n"/>
      <c r="O108" s="3107" t="n"/>
      <c r="P108" s="3108" t="n"/>
      <c r="Q108" s="3107" t="n"/>
      <c r="R108" s="3108" t="n"/>
      <c r="S108" s="3107" t="n"/>
      <c r="T108" s="3108" t="n"/>
      <c r="U108" s="3107" t="n"/>
      <c r="V108" s="3108" t="n"/>
      <c r="W108" s="3107" t="n"/>
      <c r="X108" s="3108" t="n"/>
      <c r="Y108" s="3107" t="n"/>
      <c r="Z108" s="3108" t="n"/>
      <c r="AA108" s="3107" t="n"/>
      <c r="AB108" s="3108" t="n"/>
      <c r="AC108" s="3107" t="n"/>
      <c r="AD108" s="3108" t="n"/>
      <c r="AE108" s="3107" t="n"/>
      <c r="AF108" s="3108" t="n"/>
      <c r="AG108" s="3107" t="n"/>
      <c r="AH108" s="3108" t="n"/>
      <c r="AI108" s="3107" t="n"/>
      <c r="AJ108" s="3108" t="n"/>
      <c r="AK108" s="3107" t="n"/>
      <c r="AL108" s="3108" t="n"/>
      <c r="AM108" s="3107" t="n"/>
      <c r="AN108" s="3108" t="n"/>
      <c r="AO108" s="3107" t="n"/>
      <c r="AP108" s="3108" t="n"/>
      <c r="AQ108" s="3098" t="n"/>
      <c r="AR108" s="3097" t="n"/>
      <c r="AS108" s="3098" t="n"/>
      <c r="AT108" s="3099" t="n"/>
      <c r="AU108" s="3098" t="n"/>
      <c r="AV108" s="3845" t="n"/>
      <c r="AW108" s="3656" t="n"/>
      <c r="AX108" s="218">
        <f>$CA108&amp;CB108&amp;CC108&amp;$CD108&amp;CJ108&amp;CK108&amp;CL108&amp;CM108&amp;CN108&amp;CO108&amp;CP108&amp;CQ108&amp;CR108&amp;CS108&amp;CT108&amp;CU108&amp;CV108&amp;CW108&amp;CX108</f>
        <v/>
      </c>
      <c r="CA108" s="219">
        <f>IF(B108&lt;&gt;(AS108)," * La suma de las columnas "&amp;AR$10&amp;""&amp;" DEBE SER IGUAL a los Exámenes Procesados. ","")</f>
        <v/>
      </c>
      <c r="CB108" s="219">
        <f>IF(AND($B108&gt;0,AND(AT108="",AU108="")),"* No olvide ingresar las columnas Trans Masculino o Femenino (*Digite CERO si no tiene). ",IF((AT108+AU108)&gt;$B108,"* El Número de Trans Masculino o Femenino no puede superar el Total Procesados. ",""))</f>
        <v/>
      </c>
      <c r="CC108" s="219">
        <f>IF(AND($B108&gt;0,AV108=""),"* No olvide ingresar la columna "&amp;AV$10&amp;""&amp;" *(Digite CERO si no tiene). ",IF(AV108&gt;$B108," *El Número de "&amp;AV$10&amp;""&amp;" no puede superar el Total Procesados. ",""))</f>
        <v/>
      </c>
      <c r="CD108" s="219">
        <f>IF(AND($B108&gt;0,AW108=""),"* No olvide ingresar la columna "&amp;AW$10&amp;""&amp;" *(Digite CERO si no tiene). ",IF(AW108&gt;$B108," *El Número de "&amp;AW$10&amp;""&amp;" no puede superar el Total Procesados. ",""))</f>
        <v/>
      </c>
      <c r="CE108" s="220" t="n"/>
      <c r="CF108" s="220" t="n"/>
      <c r="CG108" s="220" t="n"/>
      <c r="CH108" s="220" t="n"/>
      <c r="CI108" s="220" t="n"/>
      <c r="CJ108" s="219">
        <f>IF(N108&lt;O108,CONCATENATE("* El total de Procesados debe ser mayor o igual al total de Reactivos en el grupo de edad ",$N$11),"")</f>
        <v/>
      </c>
      <c r="CK108" s="219">
        <f>IF(P108&lt;Q108,CONCATENATE("* El total de Procesados debe ser mayor o igual al total de Reactivos en el grupo de edad ",$P$11),"")</f>
        <v/>
      </c>
      <c r="CL108" s="219">
        <f>IF(R108&lt;S108,CONCATENATE("* El total de Procesados debe ser mayor o igual al total de Reactivos en el grupo de edad ",$R$11),"")</f>
        <v/>
      </c>
      <c r="CM108" s="219">
        <f>IF($T108&lt;$U108,CONCATENATE("* El total de Procesados debe ser mayor o igual al total de Reactivos en el grupo de edad ",$T$11),"")</f>
        <v/>
      </c>
      <c r="CN108" s="219">
        <f>IF(V108&lt;W108,CONCATENATE("* El total de Procesados debe ser mayor o igual al total de Reactivos en el grupo de edad ",$V$11),"")</f>
        <v/>
      </c>
      <c r="CO108" s="219">
        <f>IF(X108&lt;Y108,CONCATENATE("* El total de Procesados debe ser mayor o igual al total de Reactivos en el grupo de edad ",$X$11),"")</f>
        <v/>
      </c>
      <c r="CP108" s="219">
        <f>IF(Z108&lt;AA108,CONCATENATE("* El total de Procesados debe ser mayor o igual al total de Reactivos en el grupo de edad ",$Z$11),"")</f>
        <v/>
      </c>
      <c r="CQ108" s="219">
        <f>IF(AB108&lt;AC108,CONCATENATE("* El total de Procesados debe ser mayor o igual al total de Reactivos en el grupo de edad ",$AB$11),"")</f>
        <v/>
      </c>
      <c r="CR108" s="219">
        <f>IF(AD108&lt;AE108,CONCATENATE("* El total de Procesados debe ser mayor o igual al total de Reactivos en el grupo de edad ",$AD$11),"")</f>
        <v/>
      </c>
      <c r="CS108" s="219">
        <f>IF(AF108&lt;AG108,CONCATENATE("* El total de Procesados debe ser mayor o igual al total de Reactivos en el grupo de edad ",$AF$11),"")</f>
        <v/>
      </c>
      <c r="CT108" s="219">
        <f>IF(AH108&lt;AI108,CONCATENATE("* El total de Procesados debe ser mayor o igual al total de Reactivos en el grupo de edad ",$AH$11),"")</f>
        <v/>
      </c>
      <c r="CU108" s="219">
        <f>IF(AJ108&lt;AK108,CONCATENATE("* El total de Procesados debe ser mayor o igual al total de Reactivos en el grupo de edad ",$AJ$11),"")</f>
        <v/>
      </c>
      <c r="CV108" s="219">
        <f>IF(AL108&lt;AM108,CONCATENATE("* El total de Procesados debe ser mayor o igual al total de Reactivos en el grupo de edad ",$AL$11),"")</f>
        <v/>
      </c>
      <c r="CW108" s="219">
        <f>IF(AN108&lt;AO108,CONCATENATE("* El total de Procesados debe ser mayor o igual al total de Reactivos en el grupo de edad ",$AN$11),"")</f>
        <v/>
      </c>
      <c r="CX108" s="219">
        <f>IF(AP108&lt;AQ108,CONCATENATE("* El total de Procesados debe ser mayor o igual al total de Reactivos en el grupo de edad ",$AP$11),"")</f>
        <v/>
      </c>
      <c r="DE108" s="226" t="n"/>
      <c r="DF108" s="378">
        <f>IF(B108&lt;&gt;(AS108),1,0)</f>
        <v/>
      </c>
      <c r="DG108" s="376">
        <f>IF(AND($B108&gt;0,AND(AT108="",AU108="")),1,IF((AT108+AU108)&gt;$B108,1,0))</f>
        <v/>
      </c>
      <c r="DH108" s="376">
        <f>IF(AND($B108&gt;0,AV108=""),1,IF(AV108&gt;$B108,1,0))</f>
        <v/>
      </c>
      <c r="DI108" s="376">
        <f>IF(AND($B108&gt;0,AW108=""),1,IF(AW108&gt;$B108,1,0))</f>
        <v/>
      </c>
      <c r="DJ108" s="220" t="n"/>
      <c r="DK108" s="220" t="n"/>
      <c r="DL108" s="220" t="n"/>
      <c r="DM108" s="220" t="n"/>
      <c r="DN108" s="220" t="n"/>
      <c r="DO108" s="376">
        <f>IF(N108&lt;O108,1,0)</f>
        <v/>
      </c>
      <c r="DP108" s="376">
        <f>IF(P108&lt;Q108,1,0)</f>
        <v/>
      </c>
      <c r="DQ108" s="376">
        <f>IF(R108&lt;S108,1,0)</f>
        <v/>
      </c>
      <c r="DR108" s="376">
        <f>IF($T108&lt;$U108,1,0)</f>
        <v/>
      </c>
      <c r="DS108" s="376">
        <f>IF(V108&lt;W108,1,0)</f>
        <v/>
      </c>
      <c r="DT108" s="376">
        <f>IF(X108&lt;Y108,1,0)</f>
        <v/>
      </c>
      <c r="DU108" s="376">
        <f>IF(Z108&lt;AA108,1,0)</f>
        <v/>
      </c>
      <c r="DV108" s="376">
        <f>IF(AB108&lt;AC108,1,0)</f>
        <v/>
      </c>
      <c r="DW108" s="376">
        <f>IF(AD108&lt;AE108,1,0)</f>
        <v/>
      </c>
      <c r="DX108" s="376">
        <f>IF(AF108&lt;AG108,1,0)</f>
        <v/>
      </c>
      <c r="DY108" s="376">
        <f>IF(AH108&lt;AI108,1,0)</f>
        <v/>
      </c>
      <c r="DZ108" s="376">
        <f>IF(AJ108&lt;AK108,1,0)</f>
        <v/>
      </c>
      <c r="EA108" s="376">
        <f>IF(AL108&lt;AM108,1,0)</f>
        <v/>
      </c>
      <c r="EB108" s="376">
        <f>IF(AN108&lt;AO108,1,0)</f>
        <v/>
      </c>
      <c r="EC108" s="376">
        <f>IF(AP108&lt;AQ108,1,0)</f>
        <v/>
      </c>
    </row>
    <row r="109">
      <c r="A109" s="3119" t="inlineStr">
        <is>
          <t>Mujeres en control ginecológico</t>
        </is>
      </c>
      <c r="B109" s="3103">
        <f>+D109+F109+H109+J109+L109+N109+P109+R109+T109+V109+X109+Z109+AB109+AD109+AF109+AH109+AJ109+AL109+AN109+AP109</f>
        <v/>
      </c>
      <c r="C109" s="1171">
        <f>+E109+G109+I109+K109+M109+O109+Q109+S109+U109+W109+Y109+AA109+AC109+AE109+AG109+AI109+AK109+AM109+AO109+AQ109</f>
        <v/>
      </c>
      <c r="D109" s="3100" t="n"/>
      <c r="E109" s="3107" t="n"/>
      <c r="F109" s="3108" t="n"/>
      <c r="G109" s="3107" t="n"/>
      <c r="H109" s="3108" t="n"/>
      <c r="I109" s="3101" t="n"/>
      <c r="J109" s="3100" t="n"/>
      <c r="K109" s="3100" t="n"/>
      <c r="L109" s="3108" t="n"/>
      <c r="M109" s="3101" t="n"/>
      <c r="N109" s="3100" t="n"/>
      <c r="O109" s="3107" t="n"/>
      <c r="P109" s="3108" t="n"/>
      <c r="Q109" s="3107" t="n"/>
      <c r="R109" s="3108" t="n"/>
      <c r="S109" s="3107" t="n"/>
      <c r="T109" s="3108" t="n"/>
      <c r="U109" s="3107" t="n"/>
      <c r="V109" s="3108" t="n"/>
      <c r="W109" s="3107" t="n"/>
      <c r="X109" s="3108" t="n"/>
      <c r="Y109" s="3107" t="n"/>
      <c r="Z109" s="3108" t="n"/>
      <c r="AA109" s="3107" t="n"/>
      <c r="AB109" s="3108" t="n"/>
      <c r="AC109" s="3107" t="n"/>
      <c r="AD109" s="3108" t="n"/>
      <c r="AE109" s="3107" t="n"/>
      <c r="AF109" s="3108" t="n"/>
      <c r="AG109" s="3107" t="n"/>
      <c r="AH109" s="3108" t="n"/>
      <c r="AI109" s="3107" t="n"/>
      <c r="AJ109" s="3108" t="n"/>
      <c r="AK109" s="3107" t="n"/>
      <c r="AL109" s="3108" t="n"/>
      <c r="AM109" s="3107" t="n"/>
      <c r="AN109" s="3108" t="n"/>
      <c r="AO109" s="3107" t="n"/>
      <c r="AP109" s="3108" t="n"/>
      <c r="AQ109" s="3098" t="n"/>
      <c r="AR109" s="3097" t="n"/>
      <c r="AS109" s="3098" t="n"/>
      <c r="AT109" s="3099" t="n"/>
      <c r="AU109" s="3098" t="n"/>
      <c r="AV109" s="3845" t="n"/>
      <c r="AW109" s="3656" t="n"/>
      <c r="AX109" s="218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>
        <f>IF(B109&lt;&gt;(AS109)," * La suma de las columnas "&amp;AR$10&amp;""&amp;" DEBE SER IGUAL a los Exámenes Procesados. ","")</f>
        <v/>
      </c>
      <c r="CB109" s="219">
        <f>IF(AND($B109&gt;0,AND(AT109="",AU109="")),"* No olvide ingresar las columnas Trans Masculino o Femenino (*Digite CERO si no tiene). ",IF((AT109+AU109)&gt;$B109,"* El Número de Trans Masculino o Femenino no puede superar el Total Procesados. ",""))</f>
        <v/>
      </c>
      <c r="CC109" s="219">
        <f>IF(AND($B109&gt;0,AV109=""),"* No olvide ingresar la columna "&amp;AV$10&amp;""&amp;" *(Digite CERO si no tiene). ",IF(AV109&gt;$B109," *El Número de "&amp;AV$10&amp;""&amp;" no puede superar el Total Procesados. ",""))</f>
        <v/>
      </c>
      <c r="CD109" s="219">
        <f>IF(AND($B109&gt;0,AW109=""),"* No olvide ingresar la columna "&amp;AW$10&amp;""&amp;" *(Digite CERO si no tiene). ",IF(AW109&gt;$B109," *El Número de "&amp;AW$10&amp;""&amp;" no puede superar el Total Procesados. ",""))</f>
        <v/>
      </c>
      <c r="CE109" s="219">
        <f>IF(D109&lt;E109,CONCATENATE("* El total de Procesados debe ser mayor o igual al total de Reactivos en el grupo de edad ",$D$11),"")</f>
        <v/>
      </c>
      <c r="CF109" s="219">
        <f>IF(F109&lt;G109,CONCATENATE("* El total de Procesados debe ser mayor o igual al total de Reactivos en el grupo de edad ",$F$11),"")</f>
        <v/>
      </c>
      <c r="CG109" s="219">
        <f>IF(H109&lt;I109,CONCATENATE("* El total de Procesados debe ser mayor o igual al total de Reactivos en el grupo de edad ",$H$11),"")</f>
        <v/>
      </c>
      <c r="CH109" s="219">
        <f>IF(J109&lt;K109,CONCATENATE("* El total de Procesados debe ser mayor o igual al total de Reactivos en el grupo de edad ",$J$11),"")</f>
        <v/>
      </c>
      <c r="CI109" s="219">
        <f>IF(L109&lt;M109,CONCATENATE("* El total de Procesados debe ser mayor o igual al total de Reactivos en el grupo de edad ",$L$11),"")</f>
        <v/>
      </c>
      <c r="CJ109" s="219">
        <f>IF(N109&lt;O109,CONCATENATE("* El total de Procesados debe ser mayor o igual al total de Reactivos en el grupo de edad ",$N$11),"")</f>
        <v/>
      </c>
      <c r="CK109" s="219">
        <f>IF(P109&lt;Q109,CONCATENATE("* El total de Procesados debe ser mayor o igual al total de Reactivos en el grupo de edad ",$P$11),"")</f>
        <v/>
      </c>
      <c r="CL109" s="219">
        <f>IF(R109&lt;S109,CONCATENATE("* El total de Procesados debe ser mayor o igual al total de Reactivos en el grupo de edad ",$R$11),"")</f>
        <v/>
      </c>
      <c r="CM109" s="219">
        <f>IF($T109&lt;$U109,CONCATENATE("* El total de Procesados debe ser mayor o igual al total de Reactivos en el grupo de edad ",$T$11),"")</f>
        <v/>
      </c>
      <c r="CN109" s="219">
        <f>IF(V109&lt;W109,CONCATENATE("* El total de Procesados debe ser mayor o igual al total de Reactivos en el grupo de edad ",$V$11),"")</f>
        <v/>
      </c>
      <c r="CO109" s="219">
        <f>IF(X109&lt;Y109,CONCATENATE("* El total de Procesados debe ser mayor o igual al total de Reactivos en el grupo de edad ",$X$11),"")</f>
        <v/>
      </c>
      <c r="CP109" s="219">
        <f>IF(Z109&lt;AA109,CONCATENATE("* El total de Procesados debe ser mayor o igual al total de Reactivos en el grupo de edad ",$Z$11),"")</f>
        <v/>
      </c>
      <c r="CQ109" s="219">
        <f>IF(AB109&lt;AC109,CONCATENATE("* El total de Procesados debe ser mayor o igual al total de Reactivos en el grupo de edad ",$AB$11),"")</f>
        <v/>
      </c>
      <c r="CR109" s="219">
        <f>IF(AD109&lt;AE109,CONCATENATE("* El total de Procesados debe ser mayor o igual al total de Reactivos en el grupo de edad ",$AD$11),"")</f>
        <v/>
      </c>
      <c r="CS109" s="219">
        <f>IF(AF109&lt;AG109,CONCATENATE("* El total de Procesados debe ser mayor o igual al total de Reactivos en el grupo de edad ",$AF$11),"")</f>
        <v/>
      </c>
      <c r="CT109" s="219">
        <f>IF(AH109&lt;AI109,CONCATENATE("* El total de Procesados debe ser mayor o igual al total de Reactivos en el grupo de edad ",$AH$11),"")</f>
        <v/>
      </c>
      <c r="CU109" s="219">
        <f>IF(AJ109&lt;AK109,CONCATENATE("* El total de Procesados debe ser mayor o igual al total de Reactivos en el grupo de edad ",$AJ$11),"")</f>
        <v/>
      </c>
      <c r="CV109" s="219">
        <f>IF(AL109&lt;AM109,CONCATENATE("* El total de Procesados debe ser mayor o igual al total de Reactivos en el grupo de edad ",$AL$11),"")</f>
        <v/>
      </c>
      <c r="CW109" s="219">
        <f>IF(AN109&lt;AO109,CONCATENATE("* El total de Procesados debe ser mayor o igual al total de Reactivos en el grupo de edad ",$AN$11),"")</f>
        <v/>
      </c>
      <c r="CX109" s="219">
        <f>IF(AP109&lt;AQ109,CONCATENATE("* El total de Procesados debe ser mayor o igual al total de Reactivos en el grupo de edad ",$AP$11),"")</f>
        <v/>
      </c>
      <c r="DE109" s="226" t="n"/>
      <c r="DF109" s="378">
        <f>IF(B109&lt;&gt;(AS109),1,0)</f>
        <v/>
      </c>
      <c r="DG109" s="376">
        <f>IF(AND($B109&gt;0,AND(AT109="",AU109="")),1,IF((AT109+AU109)&gt;$B109,1,0))</f>
        <v/>
      </c>
      <c r="DH109" s="376">
        <f>IF(AND($B109&gt;0,AV109=""),1,IF(AV109&gt;$B109,1,0))</f>
        <v/>
      </c>
      <c r="DI109" s="376">
        <f>IF(AND($B109&gt;0,AW109=""),1,IF(AW109&gt;$B109,1,0))</f>
        <v/>
      </c>
      <c r="DJ109" s="376">
        <f>IF(D109&lt;E109,1,0)</f>
        <v/>
      </c>
      <c r="DK109" s="376">
        <f>IF(F109&lt;G109,1,0)</f>
        <v/>
      </c>
      <c r="DL109" s="376">
        <f>IF(H109&lt;I109,1,0)</f>
        <v/>
      </c>
      <c r="DM109" s="376">
        <f>IF(J109&lt;K109,1,0)</f>
        <v/>
      </c>
      <c r="DN109" s="376">
        <f>IF(L109&lt;M109,1,0)</f>
        <v/>
      </c>
      <c r="DO109" s="376">
        <f>IF(N109&lt;O109,1,0)</f>
        <v/>
      </c>
      <c r="DP109" s="376">
        <f>IF(P109&lt;Q109,1,0)</f>
        <v/>
      </c>
      <c r="DQ109" s="376">
        <f>IF(R109&lt;S109,1,0)</f>
        <v/>
      </c>
      <c r="DR109" s="376">
        <f>IF($T109&lt;$U109,1,0)</f>
        <v/>
      </c>
      <c r="DS109" s="376">
        <f>IF(V109&lt;W109,1,0)</f>
        <v/>
      </c>
      <c r="DT109" s="376">
        <f>IF(X109&lt;Y109,1,0)</f>
        <v/>
      </c>
      <c r="DU109" s="376">
        <f>IF(Z109&lt;AA109,1,0)</f>
        <v/>
      </c>
      <c r="DV109" s="376">
        <f>IF(AB109&lt;AC109,1,0)</f>
        <v/>
      </c>
      <c r="DW109" s="376">
        <f>IF(AD109&lt;AE109,1,0)</f>
        <v/>
      </c>
      <c r="DX109" s="376">
        <f>IF(AF109&lt;AG109,1,0)</f>
        <v/>
      </c>
      <c r="DY109" s="376">
        <f>IF(AH109&lt;AI109,1,0)</f>
        <v/>
      </c>
      <c r="DZ109" s="376">
        <f>IF(AJ109&lt;AK109,1,0)</f>
        <v/>
      </c>
      <c r="EA109" s="376">
        <f>IF(AL109&lt;AM109,1,0)</f>
        <v/>
      </c>
      <c r="EB109" s="376">
        <f>IF(AN109&lt;AO109,1,0)</f>
        <v/>
      </c>
      <c r="EC109" s="376">
        <f>IF(AP109&lt;AQ109,1,0)</f>
        <v/>
      </c>
    </row>
    <row r="110" ht="21" customHeight="1" s="8286">
      <c r="A110" s="8538" t="inlineStr">
        <is>
          <t>Recién nacido y lactante para detección de sífilis congénita</t>
        </is>
      </c>
      <c r="B110" s="3103">
        <f>+D110+F110+H110</f>
        <v/>
      </c>
      <c r="C110" s="1171">
        <f>+E110+G110+I110</f>
        <v/>
      </c>
      <c r="D110" s="3100" t="n"/>
      <c r="E110" s="3107" t="n"/>
      <c r="F110" s="3108" t="n"/>
      <c r="G110" s="3107" t="n"/>
      <c r="H110" s="3108" t="n"/>
      <c r="I110" s="3101" t="n"/>
      <c r="J110" s="3109" t="n"/>
      <c r="K110" s="3110" t="n"/>
      <c r="L110" s="3109" t="n"/>
      <c r="M110" s="3110" t="n"/>
      <c r="N110" s="3109" t="n"/>
      <c r="O110" s="3110" t="n"/>
      <c r="P110" s="3109" t="n"/>
      <c r="Q110" s="3110" t="n"/>
      <c r="R110" s="3109" t="n"/>
      <c r="S110" s="3110" t="n"/>
      <c r="T110" s="3109" t="n"/>
      <c r="U110" s="3110" t="n"/>
      <c r="V110" s="3109" t="n"/>
      <c r="W110" s="3110" t="n"/>
      <c r="X110" s="3109" t="n"/>
      <c r="Y110" s="3110" t="n"/>
      <c r="Z110" s="3109" t="n"/>
      <c r="AA110" s="3110" t="n"/>
      <c r="AB110" s="3109" t="n"/>
      <c r="AC110" s="3110" t="n"/>
      <c r="AD110" s="3109" t="n"/>
      <c r="AE110" s="3110" t="n"/>
      <c r="AF110" s="3109" t="n"/>
      <c r="AG110" s="3110" t="n"/>
      <c r="AH110" s="3109" t="n"/>
      <c r="AI110" s="3110" t="n"/>
      <c r="AJ110" s="3109" t="n"/>
      <c r="AK110" s="3110" t="n"/>
      <c r="AL110" s="3109" t="n"/>
      <c r="AM110" s="3110" t="n"/>
      <c r="AN110" s="3109" t="n"/>
      <c r="AO110" s="3110" t="n"/>
      <c r="AP110" s="3109" t="n"/>
      <c r="AQ110" s="3111" t="n"/>
      <c r="AR110" s="3100" t="n"/>
      <c r="AS110" s="3098" t="n"/>
      <c r="AT110" s="3099" t="n"/>
      <c r="AU110" s="3098" t="n"/>
      <c r="AV110" s="3845" t="n"/>
      <c r="AW110" s="3656" t="n"/>
      <c r="AX110" s="218">
        <f>$CA110&amp;CB110&amp;CC110&amp;$CD110&amp;CE110&amp;CF110&amp;CG110</f>
        <v/>
      </c>
      <c r="CA110" s="219">
        <f>IF(B110&lt;&gt;(AS110+AR110)," * La suma de las columnas "&amp;AR$10&amp;""&amp;" DEBE SER IGUAL a los Exámenes Procesados. ","")</f>
        <v/>
      </c>
      <c r="CB110" s="219">
        <f>IF(AND($B110&gt;0,AND(AT110="",AU110="")),"* No olvide ingresar las columnas Trans Masculino o Femenino (*Digite CERO si no tiene). ",IF((AT110+AU110)&gt;$B110,"* El Número de Trans Masculino o Femenino no puede superar el Total Procesados. ",""))</f>
        <v/>
      </c>
      <c r="CC110" s="219">
        <f>IF(AND($B110&gt;0,AV110=""),"* No olvide ingresar la columna "&amp;AV$10&amp;""&amp;" *(Digite CERO si no tiene). ",IF(AV110&gt;$B110," *El Número de "&amp;AV$10&amp;""&amp;" no puede superar el Total Procesados. ",""))</f>
        <v/>
      </c>
      <c r="CD110" s="219">
        <f>IF(AND($B110&gt;0,AW110=""),"* No olvide ingresar la columna "&amp;AW$10&amp;""&amp;" *(Digite CERO si no tiene). ",IF(AW110&gt;$B110," *El Número de "&amp;AW$10&amp;""&amp;" no puede superar el Total Procesados. ",""))</f>
        <v/>
      </c>
      <c r="CE110" s="219">
        <f>IF(D110&lt;E110,CONCATENATE("* El total de Procesados debe ser mayor o igual al total de Reactivos en el grupo de edad ",$D$11),"")</f>
        <v/>
      </c>
      <c r="CF110" s="219">
        <f>IF(F110&lt;G110,CONCATENATE("* El total de Procesados debe ser mayor o igual al total de Reactivos en el grupo de edad ",$F$11),"")</f>
        <v/>
      </c>
      <c r="CG110" s="219">
        <f>IF(H110&lt;I110,CONCATENATE("* El total de Procesados debe ser mayor o igual al total de Reactivos en el grupo de edad ",$H$11),"")</f>
        <v/>
      </c>
      <c r="CH110" s="222" t="n"/>
      <c r="CI110" s="222" t="n"/>
      <c r="CJ110" s="377" t="n"/>
      <c r="CK110" s="222" t="n"/>
      <c r="CL110" s="222" t="n"/>
      <c r="CM110" s="222" t="n"/>
      <c r="CN110" s="222" t="n"/>
      <c r="CO110" s="222" t="n"/>
      <c r="CP110" s="222" t="n"/>
      <c r="CQ110" s="222" t="n"/>
      <c r="CR110" s="222" t="n"/>
      <c r="CS110" s="222" t="n"/>
      <c r="CT110" s="222" t="n"/>
      <c r="CU110" s="222" t="n"/>
      <c r="CV110" s="222" t="n"/>
      <c r="CW110" s="222" t="n"/>
      <c r="CX110" s="222" t="n"/>
      <c r="DE110" s="226" t="n"/>
      <c r="DF110" s="378">
        <f>IF(B110&lt;&gt;(AS110+AR110),1,0)</f>
        <v/>
      </c>
      <c r="DG110" s="376">
        <f>IF(AND($B110&gt;0,AND(AT110="",AU110="")),1,IF((AT110+AU110)&gt;$B110,1,0))</f>
        <v/>
      </c>
      <c r="DH110" s="376">
        <f>IF(AND($B110&gt;0,AV110=""),1,IF(AV110&gt;$B110,1,0))</f>
        <v/>
      </c>
      <c r="DI110" s="376">
        <f>IF(AND($B110&gt;0,AW110=""),1,IF(AW110&gt;$B110,1,0))</f>
        <v/>
      </c>
      <c r="DJ110" s="376">
        <f>IF(D110&lt;E110,1,0)</f>
        <v/>
      </c>
      <c r="DK110" s="376">
        <f>IF(F110&lt;G110,1,0)</f>
        <v/>
      </c>
      <c r="DL110" s="376">
        <f>IF(H110&lt;I110,1,0)</f>
        <v/>
      </c>
      <c r="DM110" s="222" t="n"/>
      <c r="DN110" s="222" t="n"/>
      <c r="DO110" s="220" t="n"/>
      <c r="DP110" s="220" t="n"/>
      <c r="DQ110" s="220" t="n"/>
      <c r="DR110" s="220" t="n"/>
      <c r="DS110" s="220" t="n"/>
      <c r="DT110" s="220" t="n"/>
      <c r="DU110" s="220" t="n"/>
      <c r="DV110" s="220" t="n"/>
      <c r="DW110" s="220" t="n"/>
      <c r="DX110" s="220" t="n"/>
      <c r="DY110" s="220" t="n"/>
      <c r="DZ110" s="220" t="n"/>
      <c r="EA110" s="220" t="n"/>
      <c r="EB110" s="220" t="n"/>
      <c r="EC110" s="220" t="n"/>
    </row>
    <row r="111">
      <c r="A111" s="8538" t="inlineStr">
        <is>
          <t>Personas en control por comercio sexual</t>
        </is>
      </c>
      <c r="B111" s="3103">
        <f>+P111+R111+T111+V111+X111+Z111+AB111+AD111+AF111+AH111+AJ111+AL111+AN111+AP111</f>
        <v/>
      </c>
      <c r="C111" s="1171">
        <f>+Q111+S111+U111+W111+Y111+AA111+AC111+AE111+AG111+AI111+AK111+AM111+AO111+AQ111</f>
        <v/>
      </c>
      <c r="D111" s="3112" t="n"/>
      <c r="E111" s="3105" t="n"/>
      <c r="F111" s="3104" t="n"/>
      <c r="G111" s="3105" t="n"/>
      <c r="H111" s="3104" t="n"/>
      <c r="I111" s="3105" t="n"/>
      <c r="J111" s="3104" t="n"/>
      <c r="K111" s="3105" t="n"/>
      <c r="L111" s="3104" t="n"/>
      <c r="M111" s="3106" t="n"/>
      <c r="N111" s="3112" t="n"/>
      <c r="O111" s="3105" t="n"/>
      <c r="P111" s="3108" t="n"/>
      <c r="Q111" s="3107" t="n"/>
      <c r="R111" s="3108" t="n"/>
      <c r="S111" s="3107" t="n"/>
      <c r="T111" s="3108" t="n"/>
      <c r="U111" s="3107" t="n"/>
      <c r="V111" s="3108" t="n"/>
      <c r="W111" s="3107" t="n"/>
      <c r="X111" s="3108" t="n"/>
      <c r="Y111" s="3107" t="n"/>
      <c r="Z111" s="3108" t="n"/>
      <c r="AA111" s="3107" t="n"/>
      <c r="AB111" s="3108" t="n"/>
      <c r="AC111" s="3107" t="n"/>
      <c r="AD111" s="3108" t="n"/>
      <c r="AE111" s="3107" t="n"/>
      <c r="AF111" s="3108" t="n"/>
      <c r="AG111" s="3107" t="n"/>
      <c r="AH111" s="3108" t="n"/>
      <c r="AI111" s="3107" t="n"/>
      <c r="AJ111" s="3108" t="n"/>
      <c r="AK111" s="3107" t="n"/>
      <c r="AL111" s="3108" t="n"/>
      <c r="AM111" s="3107" t="n"/>
      <c r="AN111" s="3108" t="n"/>
      <c r="AO111" s="3107" t="n"/>
      <c r="AP111" s="3108" t="n"/>
      <c r="AQ111" s="3098" t="n"/>
      <c r="AR111" s="3100" t="n"/>
      <c r="AS111" s="3098" t="n"/>
      <c r="AT111" s="3099" t="n"/>
      <c r="AU111" s="3098" t="n"/>
      <c r="AV111" s="3845" t="n"/>
      <c r="AW111" s="3656" t="n"/>
      <c r="AX111" s="218">
        <f>$CA111&amp;CB111&amp;CC111&amp;$CD111&amp;CK111&amp;CL111&amp;CM111&amp;CN111&amp;CO111&amp;CP111&amp;CQ111&amp;CR111&amp;CS111&amp;CT111&amp;CU111&amp;CV111&amp;CW111&amp;CX111</f>
        <v/>
      </c>
      <c r="CA111" s="219">
        <f>IF(B111&lt;&gt;(AS111+AR111)," * La suma de las columnas "&amp;AR$10&amp;""&amp;" DEBE SER IGUAL a los Exámenes Procesados. ","")</f>
        <v/>
      </c>
      <c r="CB111" s="219">
        <f>IF(AND($B111&gt;0,AND(AT111="",AU111="")),"* No olvide ingresar las columnas Trans Masculino o Femenino (*Digite CERO si no tiene). ",IF((AT111+AU111)&gt;$B111,"* El Número de Trans Masculino o Femenino no puede superar el Total Procesados. ",""))</f>
        <v/>
      </c>
      <c r="CC111" s="219">
        <f>IF(AND($B111&gt;0,AV111=""),"* No olvide ingresar la columna "&amp;AV$10&amp;""&amp;" *(Digite CERO si no tiene). ",IF(AV111&gt;$B111," *El Número de "&amp;AV$10&amp;""&amp;" no puede superar el Total Procesados. ",""))</f>
        <v/>
      </c>
      <c r="CD111" s="219">
        <f>IF(AND($B111&gt;0,AW111=""),"* No olvide ingresar la columna "&amp;AW$10&amp;""&amp;" *(Digite CERO si no tiene). ",IF(AW111&gt;$B111," *El Número de "&amp;AW$10&amp;""&amp;" no puede superar el Total Procesados. ",""))</f>
        <v/>
      </c>
      <c r="CE111" s="377" t="n"/>
      <c r="CF111" s="377" t="n"/>
      <c r="CG111" s="222" t="n"/>
      <c r="CH111" s="222" t="n"/>
      <c r="CI111" s="222" t="n"/>
      <c r="CJ111" s="377" t="n"/>
      <c r="CK111" s="219">
        <f>IF(P111&lt;Q111,CONCATENATE("* El total de Procesados debe ser mayor o igual al total de Reactivos en el grupo de edad ",$P$11),"")</f>
        <v/>
      </c>
      <c r="CL111" s="219">
        <f>IF(R111&lt;S111,CONCATENATE("* El total de Procesados debe ser mayor o igual al total de Reactivos en el grupo de edad ",$R$11),"")</f>
        <v/>
      </c>
      <c r="CM111" s="219">
        <f>IF($T111&lt;$U111,CONCATENATE("* El total de Procesados debe ser mayor o igual al total de Reactivos en el grupo de edad ",$T$11),"")</f>
        <v/>
      </c>
      <c r="CN111" s="219">
        <f>IF(V111&lt;W111,CONCATENATE("* El total de Procesados debe ser mayor o igual al total de Reactivos en el grupo de edad ",$V$11),"")</f>
        <v/>
      </c>
      <c r="CO111" s="219">
        <f>IF(X111&lt;Y111,CONCATENATE("* El total de Procesados debe ser mayor o igual al total de Reactivos en el grupo de edad ",$X$11),"")</f>
        <v/>
      </c>
      <c r="CP111" s="219">
        <f>IF(Z111&lt;AA111,CONCATENATE("* El total de Procesados debe ser mayor o igual al total de Reactivos en el grupo de edad ",$Z$11),"")</f>
        <v/>
      </c>
      <c r="CQ111" s="219">
        <f>IF(AB111&lt;AC111,CONCATENATE("* El total de Procesados debe ser mayor o igual al total de Reactivos en el grupo de edad ",$AB$11),"")</f>
        <v/>
      </c>
      <c r="CR111" s="219">
        <f>IF(AD111&lt;AE111,CONCATENATE("* El total de Procesados debe ser mayor o igual al total de Reactivos en el grupo de edad ",$AD$11),"")</f>
        <v/>
      </c>
      <c r="CS111" s="219">
        <f>IF(AF111&lt;AG111,CONCATENATE("* El total de Procesados debe ser mayor o igual al total de Reactivos en el grupo de edad ",$AF$11),"")</f>
        <v/>
      </c>
      <c r="CT111" s="219">
        <f>IF(AH111&lt;AI111,CONCATENATE("* El total de Procesados debe ser mayor o igual al total de Reactivos en el grupo de edad ",$AH$11),"")</f>
        <v/>
      </c>
      <c r="CU111" s="219">
        <f>IF(AJ111&lt;AK111,CONCATENATE("* El total de Procesados debe ser mayor o igual al total de Reactivos en el grupo de edad ",$AJ$11),"")</f>
        <v/>
      </c>
      <c r="CV111" s="219">
        <f>IF(AL111&lt;AM111,CONCATENATE("* El total de Procesados debe ser mayor o igual al total de Reactivos en el grupo de edad ",$AL$11),"")</f>
        <v/>
      </c>
      <c r="CW111" s="219">
        <f>IF(AN111&lt;AO111,CONCATENATE("* El total de Procesados debe ser mayor o igual al total de Reactivos en el grupo de edad ",$AN$11),"")</f>
        <v/>
      </c>
      <c r="CX111" s="219">
        <f>IF(AP111&lt;AQ111,CONCATENATE("* El total de Procesados debe ser mayor o igual al total de Reactivos en el grupo de edad ",$AP$11),"")</f>
        <v/>
      </c>
      <c r="DE111" s="226" t="n"/>
      <c r="DF111" s="378">
        <f>IF(B111&lt;&gt;(AS111+AR111),1,0)</f>
        <v/>
      </c>
      <c r="DG111" s="376">
        <f>IF(AND($B111&gt;0,AND(AT111="",AU111="")),1,IF((AT111+AU111)&gt;$B111,1,0))</f>
        <v/>
      </c>
      <c r="DH111" s="376">
        <f>IF(AND($B111&gt;0,AV111=""),1,IF(AV111&gt;$B111,1,0))</f>
        <v/>
      </c>
      <c r="DI111" s="376">
        <f>IF(AND($B111&gt;0,AW111=""),1,IF(AW111&gt;$B111,1,0))</f>
        <v/>
      </c>
      <c r="DJ111" s="222" t="n"/>
      <c r="DK111" s="222" t="n"/>
      <c r="DL111" s="222" t="n"/>
      <c r="DM111" s="222" t="n"/>
      <c r="DN111" s="222" t="n"/>
      <c r="DO111" s="220" t="n"/>
      <c r="DP111" s="376">
        <f>IF(P111&lt;Q111,1,0)</f>
        <v/>
      </c>
      <c r="DQ111" s="376">
        <f>IF(R111&lt;S111,1,0)</f>
        <v/>
      </c>
      <c r="DR111" s="376">
        <f>IF($T111&lt;$U111,1,0)</f>
        <v/>
      </c>
      <c r="DS111" s="376">
        <f>IF(V111&lt;W111,1,0)</f>
        <v/>
      </c>
      <c r="DT111" s="376">
        <f>IF(X111&lt;Y111,1,0)</f>
        <v/>
      </c>
      <c r="DU111" s="376">
        <f>IF(Z111&lt;AA111,1,0)</f>
        <v/>
      </c>
      <c r="DV111" s="376">
        <f>IF(AB111&lt;AC111,1,0)</f>
        <v/>
      </c>
      <c r="DW111" s="376">
        <f>IF(AD111&lt;AE111,1,0)</f>
        <v/>
      </c>
      <c r="DX111" s="376">
        <f>IF(AF111&lt;AG111,1,0)</f>
        <v/>
      </c>
      <c r="DY111" s="376">
        <f>IF(AH111&lt;AI111,1,0)</f>
        <v/>
      </c>
      <c r="DZ111" s="376">
        <f>IF(AJ111&lt;AK111,1,0)</f>
        <v/>
      </c>
      <c r="EA111" s="376">
        <f>IF(AL111&lt;AM111,1,0)</f>
        <v/>
      </c>
      <c r="EB111" s="376">
        <f>IF(AN111&lt;AO111,1,0)</f>
        <v/>
      </c>
      <c r="EC111" s="376">
        <f>IF(AP111&lt;AQ111,1,0)</f>
        <v/>
      </c>
    </row>
    <row r="112">
      <c r="A112" s="3119" t="inlineStr">
        <is>
          <t>Personas en control fecundidad</t>
        </is>
      </c>
      <c r="B112" s="3103">
        <f>+N112+P112+R112+T112+V112+X112+Z112+AB112+AD112+AF112+AH112+AJ112+AL112+AN112+AP112</f>
        <v/>
      </c>
      <c r="C112" s="1171">
        <f>+O112+Q112+S112+U112+W112+Y112+AA112+AC112+AE112+AG112+AI112+AK112+AM112+AO112+AQ112</f>
        <v/>
      </c>
      <c r="D112" s="3097" t="n"/>
      <c r="E112" s="3110" t="n"/>
      <c r="F112" s="3109" t="n"/>
      <c r="G112" s="3110" t="n"/>
      <c r="H112" s="3109" t="n"/>
      <c r="I112" s="3113" t="n"/>
      <c r="J112" s="3097" t="n"/>
      <c r="K112" s="3097" t="n"/>
      <c r="L112" s="3109" t="n"/>
      <c r="M112" s="3113" t="n"/>
      <c r="N112" s="3100" t="n"/>
      <c r="O112" s="3107" t="n"/>
      <c r="P112" s="3108" t="n"/>
      <c r="Q112" s="3107" t="n"/>
      <c r="R112" s="3108" t="n"/>
      <c r="S112" s="3107" t="n"/>
      <c r="T112" s="3108" t="n"/>
      <c r="U112" s="3107" t="n"/>
      <c r="V112" s="3108" t="n"/>
      <c r="W112" s="3107" t="n"/>
      <c r="X112" s="3108" t="n"/>
      <c r="Y112" s="3107" t="n"/>
      <c r="Z112" s="3108" t="n"/>
      <c r="AA112" s="3107" t="n"/>
      <c r="AB112" s="3108" t="n"/>
      <c r="AC112" s="3107" t="n"/>
      <c r="AD112" s="3108" t="n"/>
      <c r="AE112" s="3107" t="n"/>
      <c r="AF112" s="3108" t="n"/>
      <c r="AG112" s="3107" t="n"/>
      <c r="AH112" s="3108" t="n"/>
      <c r="AI112" s="3107" t="n"/>
      <c r="AJ112" s="3108" t="n"/>
      <c r="AK112" s="3107" t="n"/>
      <c r="AL112" s="3108" t="n"/>
      <c r="AM112" s="3107" t="n"/>
      <c r="AN112" s="3108" t="n"/>
      <c r="AO112" s="3107" t="n"/>
      <c r="AP112" s="3108" t="n"/>
      <c r="AQ112" s="3098" t="n"/>
      <c r="AR112" s="3100" t="n"/>
      <c r="AS112" s="3098" t="n"/>
      <c r="AT112" s="3099" t="n"/>
      <c r="AU112" s="3098" t="n"/>
      <c r="AV112" s="3845" t="n"/>
      <c r="AW112" s="3656" t="n"/>
      <c r="AX112" s="218">
        <f>$CA112&amp;CB112&amp;CC112&amp;$CD112&amp;CJ112&amp;CK112&amp;CL112&amp;CM112&amp;CN112&amp;CO112&amp;CP112&amp;CQ112&amp;CR112&amp;CS112&amp;CT112&amp;CU112&amp;CV112&amp;CW112&amp;CX112</f>
        <v/>
      </c>
      <c r="CA112" s="219">
        <f>IF(B112&lt;&gt;(AS112+AR112)," * La suma de las columnas "&amp;AR$10&amp;""&amp;" DEBE SER IGUAL a los Exámenes Procesados. ","")</f>
        <v/>
      </c>
      <c r="CB112" s="219">
        <f>IF(AND($B112&gt;0,AND(AT112="",AU112="")),"* No olvide ingresar las columnas Trans Masculino o Femenino (*Digite CERO si no tiene). ",IF((AT112+AU112)&gt;$B112,"* El Número de Trans Masculino o Femenino no puede superar el Total Procesados. ",""))</f>
        <v/>
      </c>
      <c r="CC112" s="219">
        <f>IF(AND($B112&gt;0,AV112=""),"* No olvide ingresar la columna "&amp;AV$10&amp;""&amp;" *(Digite CERO si no tiene). ",IF(AV112&gt;$B112," *El Número de "&amp;AV$10&amp;""&amp;" no puede superar el Total Procesados. ",""))</f>
        <v/>
      </c>
      <c r="CD112" s="219">
        <f>IF(AND($B112&gt;0,AW112=""),"* No olvide ingresar la columna "&amp;AW$10&amp;""&amp;" *(Digite CERO si no tiene). ",IF(AW112&gt;$B112," *El Número de "&amp;AW$10&amp;""&amp;" no puede superar el Total Procesados. ",""))</f>
        <v/>
      </c>
      <c r="CE112" s="377" t="n"/>
      <c r="CF112" s="377" t="n"/>
      <c r="CG112" s="222" t="n"/>
      <c r="CH112" s="222" t="n"/>
      <c r="CI112" s="222" t="n"/>
      <c r="CJ112" s="219">
        <f>IF(N112&lt;O112,CONCATENATE("* El total de Procesados debe ser mayor o igual al total de Reactivos en el grupo de edad ",$N$11),"")</f>
        <v/>
      </c>
      <c r="CK112" s="219">
        <f>IF(P112&lt;Q112,CONCATENATE("* El total de Procesados debe ser mayor o igual al total de Reactivos en el grupo de edad ",$P$11),"")</f>
        <v/>
      </c>
      <c r="CL112" s="219">
        <f>IF(R112&lt;S112,CONCATENATE("* El total de Procesados debe ser mayor o igual al total de Reactivos en el grupo de edad ",$R$11),"")</f>
        <v/>
      </c>
      <c r="CM112" s="219">
        <f>IF($T112&lt;$U112,CONCATENATE("* El total de Procesados debe ser mayor o igual al total de Reactivos en el grupo de edad ",$T$11),"")</f>
        <v/>
      </c>
      <c r="CN112" s="219">
        <f>IF(V112&lt;W112,CONCATENATE("* El total de Procesados debe ser mayor o igual al total de Reactivos en el grupo de edad ",$V$11),"")</f>
        <v/>
      </c>
      <c r="CO112" s="219">
        <f>IF(X112&lt;Y112,CONCATENATE("* El total de Procesados debe ser mayor o igual al total de Reactivos en el grupo de edad ",$X$11),"")</f>
        <v/>
      </c>
      <c r="CP112" s="219">
        <f>IF(Z112&lt;AA112,CONCATENATE("* El total de Procesados debe ser mayor o igual al total de Reactivos en el grupo de edad ",$Z$11),"")</f>
        <v/>
      </c>
      <c r="CQ112" s="219">
        <f>IF(AB112&lt;AC112,CONCATENATE("* El total de Procesados debe ser mayor o igual al total de Reactivos en el grupo de edad ",$AB$11),"")</f>
        <v/>
      </c>
      <c r="CR112" s="219">
        <f>IF(AD112&lt;AE112,CONCATENATE("* El total de Procesados debe ser mayor o igual al total de Reactivos en el grupo de edad ",$AD$11),"")</f>
        <v/>
      </c>
      <c r="CS112" s="219">
        <f>IF(AF112&lt;AG112,CONCATENATE("* El total de Procesados debe ser mayor o igual al total de Reactivos en el grupo de edad ",$AF$11),"")</f>
        <v/>
      </c>
      <c r="CT112" s="219">
        <f>IF(AH112&lt;AI112,CONCATENATE("* El total de Procesados debe ser mayor o igual al total de Reactivos en el grupo de edad ",$AH$11),"")</f>
        <v/>
      </c>
      <c r="CU112" s="219">
        <f>IF(AJ112&lt;AK112,CONCATENATE("* El total de Procesados debe ser mayor o igual al total de Reactivos en el grupo de edad ",$AJ$11),"")</f>
        <v/>
      </c>
      <c r="CV112" s="219">
        <f>IF(AL112&lt;AM112,CONCATENATE("* El total de Procesados debe ser mayor o igual al total de Reactivos en el grupo de edad ",$AL$11),"")</f>
        <v/>
      </c>
      <c r="CW112" s="219">
        <f>IF(AN112&lt;AO112,CONCATENATE("* El total de Procesados debe ser mayor o igual al total de Reactivos en el grupo de edad ",$AN$11),"")</f>
        <v/>
      </c>
      <c r="CX112" s="219">
        <f>IF(AP112&lt;AQ112,CONCATENATE("* El total de Procesados debe ser mayor o igual al total de Reactivos en el grupo de edad ",$AP$11),"")</f>
        <v/>
      </c>
      <c r="DE112" s="226" t="n"/>
      <c r="DF112" s="378">
        <f>IF(B112&lt;&gt;(AS112+AR112),1,0)</f>
        <v/>
      </c>
      <c r="DG112" s="376">
        <f>IF(AND($B112&gt;0,AND(AT112="",AU112="")),1,IF((AT112+AU112)&gt;$B112,1,0))</f>
        <v/>
      </c>
      <c r="DH112" s="376">
        <f>IF(AND($B112&gt;0,AV112=""),1,IF(AV112&gt;$B112,1,0))</f>
        <v/>
      </c>
      <c r="DI112" s="376">
        <f>IF(AND($B112&gt;0,AW112=""),1,IF(AW112&gt;$B112,1,0))</f>
        <v/>
      </c>
      <c r="DJ112" s="222" t="n"/>
      <c r="DK112" s="222" t="n"/>
      <c r="DL112" s="222" t="n"/>
      <c r="DM112" s="222" t="n"/>
      <c r="DN112" s="222" t="n"/>
      <c r="DO112" s="376">
        <f>IF(N112&lt;O112,1,0)</f>
        <v/>
      </c>
      <c r="DP112" s="376">
        <f>IF(P112&lt;Q112,1,0)</f>
        <v/>
      </c>
      <c r="DQ112" s="376">
        <f>IF(R112&lt;S112,1,0)</f>
        <v/>
      </c>
      <c r="DR112" s="376">
        <f>IF($T112&lt;$U112,1,0)</f>
        <v/>
      </c>
      <c r="DS112" s="376">
        <f>IF(V112&lt;W112,1,0)</f>
        <v/>
      </c>
      <c r="DT112" s="376">
        <f>IF(X112&lt;Y112,1,0)</f>
        <v/>
      </c>
      <c r="DU112" s="376">
        <f>IF(Z112&lt;AA112,1,0)</f>
        <v/>
      </c>
      <c r="DV112" s="376">
        <f>IF(AB112&lt;AC112,1,0)</f>
        <v/>
      </c>
      <c r="DW112" s="376">
        <f>IF(AD112&lt;AE112,1,0)</f>
        <v/>
      </c>
      <c r="DX112" s="376">
        <f>IF(AF112&lt;AG112,1,0)</f>
        <v/>
      </c>
      <c r="DY112" s="376">
        <f>IF(AH112&lt;AI112,1,0)</f>
        <v/>
      </c>
      <c r="DZ112" s="376">
        <f>IF(AJ112&lt;AK112,1,0)</f>
        <v/>
      </c>
      <c r="EA112" s="376">
        <f>IF(AL112&lt;AM112,1,0)</f>
        <v/>
      </c>
      <c r="EB112" s="376">
        <f>IF(AN112&lt;AO112,1,0)</f>
        <v/>
      </c>
      <c r="EC112" s="376">
        <f>IF(AP112&lt;AQ112,1,0)</f>
        <v/>
      </c>
    </row>
    <row r="113">
      <c r="A113" s="3119" t="inlineStr">
        <is>
          <t>Consultantes por ITS</t>
        </is>
      </c>
      <c r="B113" s="3103">
        <f>+D113+F113+H113+J113+L113+N113+P113+R113+T113+V113+X113+Z113+AB113+AD113+AF113+AH113+AJ113+AL113+AN113+AP113</f>
        <v/>
      </c>
      <c r="C113" s="1171">
        <f>+E113+G113+I113+K113+M113+O113+Q113+S113+U113+W113+Y113+AA113+AC113+AE113+AG113+AI113+AK113+AM113+AO113+AQ113</f>
        <v/>
      </c>
      <c r="D113" s="3100" t="n"/>
      <c r="E113" s="3107" t="n"/>
      <c r="F113" s="3108" t="n"/>
      <c r="G113" s="3107" t="n"/>
      <c r="H113" s="3108" t="n"/>
      <c r="I113" s="3101" t="n"/>
      <c r="J113" s="3100" t="n"/>
      <c r="K113" s="3100" t="n"/>
      <c r="L113" s="3108" t="n"/>
      <c r="M113" s="3101" t="n"/>
      <c r="N113" s="3100" t="n"/>
      <c r="O113" s="3107" t="n"/>
      <c r="P113" s="3108" t="n"/>
      <c r="Q113" s="3107" t="n"/>
      <c r="R113" s="3108" t="n"/>
      <c r="S113" s="3107" t="n"/>
      <c r="T113" s="3108" t="n"/>
      <c r="U113" s="3107" t="n"/>
      <c r="V113" s="3108" t="n"/>
      <c r="W113" s="3107" t="n"/>
      <c r="X113" s="3108" t="n"/>
      <c r="Y113" s="3107" t="n"/>
      <c r="Z113" s="3108" t="n"/>
      <c r="AA113" s="3107" t="n"/>
      <c r="AB113" s="3108" t="n"/>
      <c r="AC113" s="3107" t="n"/>
      <c r="AD113" s="3108" t="n"/>
      <c r="AE113" s="3107" t="n"/>
      <c r="AF113" s="3108" t="n"/>
      <c r="AG113" s="3107" t="n"/>
      <c r="AH113" s="3108" t="n"/>
      <c r="AI113" s="3107" t="n"/>
      <c r="AJ113" s="3108" t="n"/>
      <c r="AK113" s="3107" t="n"/>
      <c r="AL113" s="3108" t="n"/>
      <c r="AM113" s="3107" t="n"/>
      <c r="AN113" s="3108" t="n"/>
      <c r="AO113" s="3107" t="n"/>
      <c r="AP113" s="3108" t="n"/>
      <c r="AQ113" s="3098" t="n"/>
      <c r="AR113" s="3100" t="n"/>
      <c r="AS113" s="3098" t="n"/>
      <c r="AT113" s="3099" t="n"/>
      <c r="AU113" s="3098" t="n"/>
      <c r="AV113" s="3845" t="n"/>
      <c r="AW113" s="3656" t="n"/>
      <c r="AX113" s="218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>
        <f>IF(B113&lt;&gt;(AS113+AR113)," * La suma de las columnas "&amp;AR$10&amp;""&amp;" DEBE SER IGUAL a los Exámenes Procesados. ","")</f>
        <v/>
      </c>
      <c r="CB113" s="219">
        <f>IF(AND($B113&gt;0,AND(AT113="",AU113="")),"* No olvide ingresar las columnas Trans Masculino o Femenino (*Digite CERO si no tiene). ",IF((AT113+AU113)&gt;$B113,"* El Número de Trans Masculino o Femenino no puede superar el Total Procesados. ",""))</f>
        <v/>
      </c>
      <c r="CC113" s="219">
        <f>IF(AND($B113&gt;0,AV113=""),"* No olvide ingresar la columna "&amp;AV$10&amp;""&amp;" *(Digite CERO si no tiene). ",IF(AV113&gt;$B113," *El Número de "&amp;AV$10&amp;""&amp;" no puede superar el Total Procesados. ",""))</f>
        <v/>
      </c>
      <c r="CD113" s="219">
        <f>IF(AND($B113&gt;0,AW113=""),"* No olvide ingresar la columna "&amp;AW$10&amp;""&amp;" *(Digite CERO si no tiene). ",IF(AW113&gt;$B113," *El Número de "&amp;AW$10&amp;""&amp;" no puede superar el Total Procesados. ",""))</f>
        <v/>
      </c>
      <c r="CE113" s="219">
        <f>IF(D113&lt;E113,CONCATENATE("* El total de Procesados debe ser mayor o igual al total de Reactivos en el grupo de edad ",$D$11),"")</f>
        <v/>
      </c>
      <c r="CF113" s="219">
        <f>IF(F113&lt;G113,CONCATENATE("* El total de Procesados debe ser mayor o igual al total de Reactivos en el grupo de edad ",$F$11),"")</f>
        <v/>
      </c>
      <c r="CG113" s="219">
        <f>IF(H113&lt;I113,CONCATENATE("* El total de Procesados debe ser mayor o igual al total de Reactivos en el grupo de edad ",$H$11),"")</f>
        <v/>
      </c>
      <c r="CH113" s="219">
        <f>IF(J113&lt;K113,CONCATENATE("* El total de Procesados debe ser mayor o igual al total de Reactivos en el grupo de edad ",$J$11),"")</f>
        <v/>
      </c>
      <c r="CI113" s="219">
        <f>IF(L113&lt;M113,CONCATENATE("* El total de Procesados debe ser mayor o igual al total de Reactivos en el grupo de edad ",$L$11),"")</f>
        <v/>
      </c>
      <c r="CJ113" s="219">
        <f>IF(N113&lt;O113,CONCATENATE("* El total de Procesados debe ser mayor o igual al total de Reactivos en el grupo de edad ",$N$11),"")</f>
        <v/>
      </c>
      <c r="CK113" s="219">
        <f>IF(P113&lt;Q113,CONCATENATE("* El total de Procesados debe ser mayor o igual al total de Reactivos en el grupo de edad ",$P$11),"")</f>
        <v/>
      </c>
      <c r="CL113" s="219">
        <f>IF(R113&lt;S113,CONCATENATE("* El total de Procesados debe ser mayor o igual al total de Reactivos en el grupo de edad ",$R$11),"")</f>
        <v/>
      </c>
      <c r="CM113" s="219">
        <f>IF($T113&lt;$U113,CONCATENATE("* El total de Procesados debe ser mayor o igual al total de Reactivos en el grupo de edad ",$T$11),"")</f>
        <v/>
      </c>
      <c r="CN113" s="219">
        <f>IF(V113&lt;W113,CONCATENATE("* El total de Procesados debe ser mayor o igual al total de Reactivos en el grupo de edad ",$V$11),"")</f>
        <v/>
      </c>
      <c r="CO113" s="219">
        <f>IF(X113&lt;Y113,CONCATENATE("* El total de Procesados debe ser mayor o igual al total de Reactivos en el grupo de edad ",$X$11),"")</f>
        <v/>
      </c>
      <c r="CP113" s="219">
        <f>IF(Z113&lt;AA113,CONCATENATE("* El total de Procesados debe ser mayor o igual al total de Reactivos en el grupo de edad ",$Z$11),"")</f>
        <v/>
      </c>
      <c r="CQ113" s="219">
        <f>IF(AB113&lt;AC113,CONCATENATE("* El total de Procesados debe ser mayor o igual al total de Reactivos en el grupo de edad ",$AB$11),"")</f>
        <v/>
      </c>
      <c r="CR113" s="219">
        <f>IF(AD113&lt;AE113,CONCATENATE("* El total de Procesados debe ser mayor o igual al total de Reactivos en el grupo de edad ",$AD$11),"")</f>
        <v/>
      </c>
      <c r="CS113" s="219">
        <f>IF(AF113&lt;AG113,CONCATENATE("* El total de Procesados debe ser mayor o igual al total de Reactivos en el grupo de edad ",$AF$11),"")</f>
        <v/>
      </c>
      <c r="CT113" s="219">
        <f>IF(AH113&lt;AI113,CONCATENATE("* El total de Procesados debe ser mayor o igual al total de Reactivos en el grupo de edad ",$AH$11),"")</f>
        <v/>
      </c>
      <c r="CU113" s="219">
        <f>IF(AJ113&lt;AK113,CONCATENATE("* El total de Procesados debe ser mayor o igual al total de Reactivos en el grupo de edad ",$AJ$11),"")</f>
        <v/>
      </c>
      <c r="CV113" s="219">
        <f>IF(AL113&lt;AM113,CONCATENATE("* El total de Procesados debe ser mayor o igual al total de Reactivos en el grupo de edad ",$AL$11),"")</f>
        <v/>
      </c>
      <c r="CW113" s="219">
        <f>IF(AN113&lt;AO113,CONCATENATE("* El total de Procesados debe ser mayor o igual al total de Reactivos en el grupo de edad ",$AN$11),"")</f>
        <v/>
      </c>
      <c r="CX113" s="219">
        <f>IF(AP113&lt;AQ113,CONCATENATE("* El total de Procesados debe ser mayor o igual al total de Reactivos en el grupo de edad ",$AP$11),"")</f>
        <v/>
      </c>
      <c r="DE113" s="226" t="n"/>
      <c r="DF113" s="378">
        <f>IF(B113&lt;&gt;(AS113+AR113),1,0)</f>
        <v/>
      </c>
      <c r="DG113" s="376">
        <f>IF(AND($B113&gt;0,AND(AT113="",AU113="")),1,IF((AT113+AU113)&gt;$B113,1,0))</f>
        <v/>
      </c>
      <c r="DH113" s="376">
        <f>IF(AND($B113&gt;0,AV113=""),1,IF(AV113&gt;$B113,1,0))</f>
        <v/>
      </c>
      <c r="DI113" s="376">
        <f>IF(AND($B113&gt;0,AW113=""),1,IF(AW113&gt;$B113,1,0))</f>
        <v/>
      </c>
      <c r="DJ113" s="376">
        <f>IF(D113&lt;E113,1,0)</f>
        <v/>
      </c>
      <c r="DK113" s="376">
        <f>IF(F113&lt;G113,1,0)</f>
        <v/>
      </c>
      <c r="DL113" s="376">
        <f>IF(H113&lt;I113,1,0)</f>
        <v/>
      </c>
      <c r="DM113" s="376">
        <f>IF(J113&lt;K113,1,0)</f>
        <v/>
      </c>
      <c r="DN113" s="376">
        <f>IF(L113&lt;M113,1,0)</f>
        <v/>
      </c>
      <c r="DO113" s="376">
        <f>IF(N113&lt;O113,1,0)</f>
        <v/>
      </c>
      <c r="DP113" s="376">
        <f>IF(P113&lt;Q113,1,0)</f>
        <v/>
      </c>
      <c r="DQ113" s="376">
        <f>IF(R113&lt;S113,1,0)</f>
        <v/>
      </c>
      <c r="DR113" s="376">
        <f>IF($T113&lt;$U113,1,0)</f>
        <v/>
      </c>
      <c r="DS113" s="376">
        <f>IF(V113&lt;W113,1,0)</f>
        <v/>
      </c>
      <c r="DT113" s="376">
        <f>IF(X113&lt;Y113,1,0)</f>
        <v/>
      </c>
      <c r="DU113" s="376">
        <f>IF(Z113&lt;AA113,1,0)</f>
        <v/>
      </c>
      <c r="DV113" s="376">
        <f>IF(AB113&lt;AC113,1,0)</f>
        <v/>
      </c>
      <c r="DW113" s="376">
        <f>IF(AD113&lt;AE113,1,0)</f>
        <v/>
      </c>
      <c r="DX113" s="376">
        <f>IF(AF113&lt;AG113,1,0)</f>
        <v/>
      </c>
      <c r="DY113" s="376">
        <f>IF(AH113&lt;AI113,1,0)</f>
        <v/>
      </c>
      <c r="DZ113" s="376">
        <f>IF(AJ113&lt;AK113,1,0)</f>
        <v/>
      </c>
      <c r="EA113" s="376">
        <f>IF(AL113&lt;AM113,1,0)</f>
        <v/>
      </c>
      <c r="EB113" s="376">
        <f>IF(AN113&lt;AO113,1,0)</f>
        <v/>
      </c>
      <c r="EC113" s="376">
        <f>IF(AP113&lt;AQ113,1,0)</f>
        <v/>
      </c>
    </row>
    <row r="114">
      <c r="A114" s="3102" t="inlineStr">
        <is>
          <t>Personas EMP/EMPAM</t>
        </is>
      </c>
      <c r="B114" s="3103">
        <f>+P114+R114+T114+V114+X114+Z114+AB114+AD114+AF114+AH114+AJ114+AL114+AN114+AP114</f>
        <v/>
      </c>
      <c r="C114" s="1171">
        <f>+Q114+S114+U114+W114+Y114+AA114+AC114+AE114+AG114+AI114+AK114+AM114+AO114+AQ114</f>
        <v/>
      </c>
      <c r="D114" s="3112" t="n"/>
      <c r="E114" s="3105" t="n"/>
      <c r="F114" s="3104" t="n"/>
      <c r="G114" s="3105" t="n"/>
      <c r="H114" s="3104" t="n"/>
      <c r="I114" s="3105" t="n"/>
      <c r="J114" s="3104" t="n"/>
      <c r="K114" s="3105" t="n"/>
      <c r="L114" s="3104" t="n"/>
      <c r="M114" s="3106" t="n"/>
      <c r="N114" s="3112" t="n"/>
      <c r="O114" s="3105" t="n"/>
      <c r="P114" s="3108" t="n"/>
      <c r="Q114" s="3107" t="n"/>
      <c r="R114" s="3108" t="n"/>
      <c r="S114" s="3107" t="n"/>
      <c r="T114" s="3108" t="n"/>
      <c r="U114" s="3107" t="n"/>
      <c r="V114" s="3108" t="n"/>
      <c r="W114" s="3107" t="n"/>
      <c r="X114" s="3108" t="n"/>
      <c r="Y114" s="3107" t="n"/>
      <c r="Z114" s="3108" t="n"/>
      <c r="AA114" s="3107" t="n"/>
      <c r="AB114" s="3108" t="n"/>
      <c r="AC114" s="3107" t="n"/>
      <c r="AD114" s="3108" t="n"/>
      <c r="AE114" s="3107" t="n"/>
      <c r="AF114" s="3108" t="n"/>
      <c r="AG114" s="3107" t="n"/>
      <c r="AH114" s="3108" t="n"/>
      <c r="AI114" s="3107" t="n"/>
      <c r="AJ114" s="3108" t="n"/>
      <c r="AK114" s="3107" t="n"/>
      <c r="AL114" s="3108" t="n"/>
      <c r="AM114" s="3107" t="n"/>
      <c r="AN114" s="3108" t="n"/>
      <c r="AO114" s="3107" t="n"/>
      <c r="AP114" s="3108" t="n"/>
      <c r="AQ114" s="3098" t="n"/>
      <c r="AR114" s="3100" t="n"/>
      <c r="AS114" s="3098" t="n"/>
      <c r="AT114" s="3099" t="n"/>
      <c r="AU114" s="3098" t="n"/>
      <c r="AV114" s="3845" t="n"/>
      <c r="AW114" s="3656" t="n"/>
      <c r="AX114" s="218">
        <f>$CA114&amp;CB114&amp;CC114&amp;$CD114&amp;CJ114&amp;CK114&amp;CL114&amp;CM114&amp;CN114&amp;CO114&amp;CP114&amp;CQ114&amp;CR114&amp;CS114&amp;CT114&amp;CU114&amp;CV114&amp;CW114&amp;CX114</f>
        <v/>
      </c>
      <c r="CA114" s="219">
        <f>IF(B114&lt;&gt;(AS114+AR114)," * La suma de las columnas "&amp;AR$10&amp;""&amp;" DEBE SER IGUAL a los Exámenes Procesados. ","")</f>
        <v/>
      </c>
      <c r="CB114" s="219">
        <f>IF(AND($B114&gt;0,AND(AT114="",AU114="")),"* No olvide ingresar las columnas Trans Masculino o Femenino (*Digite CERO si no tiene). ",IF((AT114+AU114)&gt;$B114,"* El Número de Trans Masculino o Femenino no puede superar el Total Procesados. ",""))</f>
        <v/>
      </c>
      <c r="CC114" s="219">
        <f>IF(AND($B114&gt;0,AV114=""),"* No olvide ingresar la columna "&amp;AV$10&amp;""&amp;" *(Digite CERO si no tiene). ",IF(AV114&gt;$B114," *El Número de "&amp;AV$10&amp;""&amp;" no puede superar el Total Procesados. ",""))</f>
        <v/>
      </c>
      <c r="CD114" s="219">
        <f>IF(AND($B114&gt;0,AW114=""),"* No olvide ingresar la columna "&amp;AW$10&amp;""&amp;" *(Digite CERO si no tiene). ",IF(AW114&gt;$B114," *El Número de "&amp;AW$10&amp;""&amp;" no puede superar el Total Procesados. ",""))</f>
        <v/>
      </c>
      <c r="CE114" s="377" t="n"/>
      <c r="CF114" s="377" t="n"/>
      <c r="CG114" s="222" t="n"/>
      <c r="CH114" s="222" t="n"/>
      <c r="CI114" s="222" t="n"/>
      <c r="CJ114" s="377" t="n"/>
      <c r="CK114" s="219">
        <f>IF(P114&lt;Q114,CONCATENATE("* El total de Procesados debe ser mayor o igual al total de Reactivos en el grupo de edad ",$P$11),"")</f>
        <v/>
      </c>
      <c r="CL114" s="219">
        <f>IF(R114&lt;S114,CONCATENATE("* El total de Procesados debe ser mayor o igual al total de Reactivos en el grupo de edad ",$R$11),"")</f>
        <v/>
      </c>
      <c r="CM114" s="219">
        <f>IF($T114&lt;$U114,CONCATENATE("* El total de Procesados debe ser mayor o igual al total de Reactivos en el grupo de edad ",$T$11),"")</f>
        <v/>
      </c>
      <c r="CN114" s="219">
        <f>IF(V114&lt;W114,CONCATENATE("* El total de Procesados debe ser mayor o igual al total de Reactivos en el grupo de edad ",$V$11),"")</f>
        <v/>
      </c>
      <c r="CO114" s="219">
        <f>IF(X114&lt;Y114,CONCATENATE("* El total de Procesados debe ser mayor o igual al total de Reactivos en el grupo de edad ",$X$11),"")</f>
        <v/>
      </c>
      <c r="CP114" s="219">
        <f>IF(Z114&lt;AA114,CONCATENATE("* El total de Procesados debe ser mayor o igual al total de Reactivos en el grupo de edad ",$Z$11),"")</f>
        <v/>
      </c>
      <c r="CQ114" s="219">
        <f>IF(AB114&lt;AC114,CONCATENATE("* El total de Procesados debe ser mayor o igual al total de Reactivos en el grupo de edad ",$AB$11),"")</f>
        <v/>
      </c>
      <c r="CR114" s="219">
        <f>IF(AD114&lt;AE114,CONCATENATE("* El total de Procesados debe ser mayor o igual al total de Reactivos en el grupo de edad ",$AD$11),"")</f>
        <v/>
      </c>
      <c r="CS114" s="219">
        <f>IF(AF114&lt;AG114,CONCATENATE("* El total de Procesados debe ser mayor o igual al total de Reactivos en el grupo de edad ",$AF$11),"")</f>
        <v/>
      </c>
      <c r="CT114" s="219">
        <f>IF(AH114&lt;AI114,CONCATENATE("* El total de Procesados debe ser mayor o igual al total de Reactivos en el grupo de edad ",$AH$11),"")</f>
        <v/>
      </c>
      <c r="CU114" s="219">
        <f>IF(AJ114&lt;AK114,CONCATENATE("* El total de Procesados debe ser mayor o igual al total de Reactivos en el grupo de edad ",$AJ$11),"")</f>
        <v/>
      </c>
      <c r="CV114" s="219">
        <f>IF(AL114&lt;AM114,CONCATENATE("* El total de Procesados debe ser mayor o igual al total de Reactivos en el grupo de edad ",$AL$11),"")</f>
        <v/>
      </c>
      <c r="CW114" s="219">
        <f>IF(AN114&lt;AO114,CONCATENATE("* El total de Procesados debe ser mayor o igual al total de Reactivos en el grupo de edad ",$AN$11),"")</f>
        <v/>
      </c>
      <c r="CX114" s="219">
        <f>IF(AP114&lt;AQ114,CONCATENATE("* El total de Procesados debe ser mayor o igual al total de Reactivos en el grupo de edad ",$AP$11),"")</f>
        <v/>
      </c>
      <c r="DE114" s="226" t="n"/>
      <c r="DF114" s="378">
        <f>IF(B114&lt;&gt;(AS114+AR114),1,0)</f>
        <v/>
      </c>
      <c r="DG114" s="376">
        <f>IF(AND($B114&gt;0,AND(AT114="",AU114="")),1,IF((AT114+AU114)&gt;$B114,1,0))</f>
        <v/>
      </c>
      <c r="DH114" s="376">
        <f>IF(AND($B114&gt;0,AV114=""),1,IF(AV114&gt;$B114,1,0))</f>
        <v/>
      </c>
      <c r="DI114" s="376">
        <f>IF(AND($B114&gt;0,AW114=""),1,IF(AW114&gt;$B114,1,0))</f>
        <v/>
      </c>
      <c r="DJ114" s="222" t="n"/>
      <c r="DK114" s="222" t="n"/>
      <c r="DL114" s="222" t="n"/>
      <c r="DM114" s="222" t="n"/>
      <c r="DN114" s="222" t="n"/>
      <c r="DO114" s="220" t="n"/>
      <c r="DP114" s="376">
        <f>IF(P114&lt;Q114,1,0)</f>
        <v/>
      </c>
      <c r="DQ114" s="376">
        <f>IF(R114&lt;S114,1,0)</f>
        <v/>
      </c>
      <c r="DR114" s="376">
        <f>IF($T114&lt;$U114,1,0)</f>
        <v/>
      </c>
      <c r="DS114" s="376">
        <f>IF(V114&lt;W114,1,0)</f>
        <v/>
      </c>
      <c r="DT114" s="376">
        <f>IF(X114&lt;Y114,1,0)</f>
        <v/>
      </c>
      <c r="DU114" s="376">
        <f>IF(Z114&lt;AA114,1,0)</f>
        <v/>
      </c>
      <c r="DV114" s="376">
        <f>IF(AB114&lt;AC114,1,0)</f>
        <v/>
      </c>
      <c r="DW114" s="376">
        <f>IF(AD114&lt;AE114,1,0)</f>
        <v/>
      </c>
      <c r="DX114" s="376">
        <f>IF(AF114&lt;AG114,1,0)</f>
        <v/>
      </c>
      <c r="DY114" s="376">
        <f>IF(AH114&lt;AI114,1,0)</f>
        <v/>
      </c>
      <c r="DZ114" s="376">
        <f>IF(AJ114&lt;AK114,1,0)</f>
        <v/>
      </c>
      <c r="EA114" s="376">
        <f>IF(AL114&lt;AM114,1,0)</f>
        <v/>
      </c>
      <c r="EB114" s="376">
        <f>IF(AN114&lt;AO114,1,0)</f>
        <v/>
      </c>
      <c r="EC114" s="376">
        <f>IF(AP114&lt;AQ114,1,0)</f>
        <v/>
      </c>
    </row>
    <row r="115">
      <c r="A115" s="3119" t="inlineStr">
        <is>
          <t>Donantes de sangre</t>
        </is>
      </c>
      <c r="B115" s="3103">
        <f>+P115+R115+T115+V115+X115+Z115+AB115+AD115+AF115+AH115</f>
        <v/>
      </c>
      <c r="C115" s="1171">
        <f>+Q115+S115+U115+W115+Y115+AA115+AC115+AE115+AG115+AI115</f>
        <v/>
      </c>
      <c r="D115" s="3112" t="n"/>
      <c r="E115" s="3105" t="n"/>
      <c r="F115" s="3104" t="n"/>
      <c r="G115" s="3105" t="n"/>
      <c r="H115" s="3104" t="n"/>
      <c r="I115" s="3105" t="n"/>
      <c r="J115" s="3104" t="n"/>
      <c r="K115" s="3105" t="n"/>
      <c r="L115" s="3104" t="n"/>
      <c r="M115" s="3106" t="n"/>
      <c r="N115" s="3112" t="n"/>
      <c r="O115" s="3105" t="n"/>
      <c r="P115" s="3108" t="n"/>
      <c r="Q115" s="3107" t="n"/>
      <c r="R115" s="3108" t="n"/>
      <c r="S115" s="3107" t="n"/>
      <c r="T115" s="3108" t="n"/>
      <c r="U115" s="3107" t="n"/>
      <c r="V115" s="3108" t="n"/>
      <c r="W115" s="3107" t="n"/>
      <c r="X115" s="3108" t="n"/>
      <c r="Y115" s="3107" t="n"/>
      <c r="Z115" s="3108" t="n"/>
      <c r="AA115" s="3107" t="n"/>
      <c r="AB115" s="3108" t="n"/>
      <c r="AC115" s="3107" t="n"/>
      <c r="AD115" s="3108" t="n"/>
      <c r="AE115" s="3107" t="n"/>
      <c r="AF115" s="3108" t="n"/>
      <c r="AG115" s="3107" t="n"/>
      <c r="AH115" s="3108" t="n"/>
      <c r="AI115" s="3107" t="n"/>
      <c r="AJ115" s="3104" t="n"/>
      <c r="AK115" s="3105" t="n"/>
      <c r="AL115" s="3104" t="n"/>
      <c r="AM115" s="3105" t="n"/>
      <c r="AN115" s="3104" t="n"/>
      <c r="AO115" s="3105" t="n"/>
      <c r="AP115" s="3104" t="n"/>
      <c r="AQ115" s="3114" t="n"/>
      <c r="AR115" s="3100" t="n"/>
      <c r="AS115" s="3098" t="n"/>
      <c r="AT115" s="3099" t="n"/>
      <c r="AU115" s="3098" t="n"/>
      <c r="AV115" s="3845" t="n"/>
      <c r="AW115" s="3656" t="n"/>
      <c r="AX115" s="218">
        <f>$CA115&amp;CB115&amp;CC115&amp;$CD115&amp;CK115&amp;CL115&amp;CM115&amp;CN115&amp;CO115&amp;CP115&amp;CQ115&amp;CR115&amp;CS115&amp;CT115</f>
        <v/>
      </c>
      <c r="CA115" s="219">
        <f>IF(B115&lt;&gt;(AS115+AR115)," * La suma de las columnas "&amp;AR$10&amp;""&amp;" DEBE SER IGUAL a los Exámenes Procesados. ","")</f>
        <v/>
      </c>
      <c r="CB115" s="219">
        <f>IF(AND($B115&gt;0,AND(AT115="",AU115="")),"* No olvide ingresar las columnas Trans Masculino o Femenino (*Digite CERO si no tiene). ",IF((AT115+AU115)&gt;$B115,"* El Número de Trans Masculino o Femenino no puede superar el Total Procesados. ",""))</f>
        <v/>
      </c>
      <c r="CC115" s="219">
        <f>IF(AND($B115&gt;0,AV115=""),"* No olvide ingresar la columna "&amp;AV$10&amp;""&amp;" *(Digite CERO si no tiene). ",IF(AV115&gt;$B115," *El Número de "&amp;AV$10&amp;""&amp;" no puede superar el Total Procesados. ",""))</f>
        <v/>
      </c>
      <c r="CD115" s="219">
        <f>IF(AND($B115&gt;0,AW115=""),"* No olvide ingresar la columna "&amp;AW$10&amp;""&amp;" *(Digite CERO si no tiene). ",IF(AW115&gt;$B115," *El Número de "&amp;AW$10&amp;""&amp;" no puede superar el Total Procesados. ",""))</f>
        <v/>
      </c>
      <c r="CE115" s="377" t="n"/>
      <c r="CF115" s="377" t="n"/>
      <c r="CG115" s="222" t="n"/>
      <c r="CH115" s="222" t="n"/>
      <c r="CI115" s="222" t="n"/>
      <c r="CJ115" s="377" t="n"/>
      <c r="CK115" s="219">
        <f>IF(P115&lt;Q115,CONCATENATE("* El total de Procesados debe ser mayor o igual al total de Reactivos en el grupo de edad ",$P$11),"")</f>
        <v/>
      </c>
      <c r="CL115" s="219">
        <f>IF(R115&lt;S115,CONCATENATE("* El total de Procesados debe ser mayor o igual al total de Reactivos en el grupo de edad ",$R$11),"")</f>
        <v/>
      </c>
      <c r="CM115" s="219">
        <f>IF($T115&lt;$U115,CONCATENATE("* El total de Procesados debe ser mayor o igual al total de Reactivos en el grupo de edad ",$T$11),"")</f>
        <v/>
      </c>
      <c r="CN115" s="219">
        <f>IF(V115&lt;W115,CONCATENATE("* El total de Procesados debe ser mayor o igual al total de Reactivos en el grupo de edad ",$V$11),"")</f>
        <v/>
      </c>
      <c r="CO115" s="219">
        <f>IF(X115&lt;Y115,CONCATENATE("* El total de Procesados debe ser mayor o igual al total de Reactivos en el grupo de edad ",$X$11),"")</f>
        <v/>
      </c>
      <c r="CP115" s="219">
        <f>IF(Z115&lt;AA115,CONCATENATE("* El total de Procesados debe ser mayor o igual al total de Reactivos en el grupo de edad ",$Z$11),"")</f>
        <v/>
      </c>
      <c r="CQ115" s="219">
        <f>IF(AB115&lt;AC115,CONCATENATE("* El total de Procesados debe ser mayor o igual al total de Reactivos en el grupo de edad ",$AB$11),"")</f>
        <v/>
      </c>
      <c r="CR115" s="219">
        <f>IF(AD115&lt;AE115,CONCATENATE("* El total de Procesados debe ser mayor o igual al total de Reactivos en el grupo de edad ",$AD$11),"")</f>
        <v/>
      </c>
      <c r="CS115" s="219">
        <f>IF(AF115&lt;AG115,CONCATENATE("* El total de Procesados debe ser mayor o igual al total de Reactivos en el grupo de edad ",$AF$11),"")</f>
        <v/>
      </c>
      <c r="CT115" s="219">
        <f>IF(AH115&lt;AI115,CONCATENATE("* El total de Procesados debe ser mayor o igual al total de Reactivos en el grupo de edad ",$AH$11),"")</f>
        <v/>
      </c>
      <c r="CU115" s="220" t="n"/>
      <c r="CV115" s="220" t="n"/>
      <c r="CW115" s="220" t="n"/>
      <c r="CX115" s="220" t="n"/>
      <c r="DE115" s="226" t="n"/>
      <c r="DF115" s="378">
        <f>IF(B115&lt;&gt;(AS115+AR115),1,0)</f>
        <v/>
      </c>
      <c r="DG115" s="376">
        <f>IF(AND($B115&gt;0,AND(AT115="",AU115="")),1,IF((AT115+AU115)&gt;$B115,1,0))</f>
        <v/>
      </c>
      <c r="DH115" s="376">
        <f>IF(AND($B115&gt;0,AV115=""),1,IF(AV115&gt;$B115,1,0))</f>
        <v/>
      </c>
      <c r="DI115" s="376">
        <f>IF(AND($B115&gt;0,AW115=""),1,IF(AW115&gt;$B115,1,0))</f>
        <v/>
      </c>
      <c r="DJ115" s="222" t="n"/>
      <c r="DK115" s="222" t="n"/>
      <c r="DL115" s="222" t="n"/>
      <c r="DM115" s="222" t="n"/>
      <c r="DN115" s="222" t="n"/>
      <c r="DO115" s="220" t="n"/>
      <c r="DP115" s="376">
        <f>IF(P115&lt;Q115,1,0)</f>
        <v/>
      </c>
      <c r="DQ115" s="376">
        <f>IF(R115&lt;S115,1,0)</f>
        <v/>
      </c>
      <c r="DR115" s="376">
        <f>IF($T115&lt;$U115,1,0)</f>
        <v/>
      </c>
      <c r="DS115" s="376">
        <f>IF(V115&lt;W115,1,0)</f>
        <v/>
      </c>
      <c r="DT115" s="376">
        <f>IF(X115&lt;Y115,1,0)</f>
        <v/>
      </c>
      <c r="DU115" s="376">
        <f>IF(Z115&lt;AA115,1,0)</f>
        <v/>
      </c>
      <c r="DV115" s="376">
        <f>IF(AB115&lt;AC115,1,0)</f>
        <v/>
      </c>
      <c r="DW115" s="376">
        <f>IF(AD115&lt;AE115,1,0)</f>
        <v/>
      </c>
      <c r="DX115" s="376">
        <f>IF(AF115&lt;AG115,1,0)</f>
        <v/>
      </c>
      <c r="DY115" s="376">
        <f>IF(AH115&lt;AI115,1,0)</f>
        <v/>
      </c>
      <c r="DZ115" s="220" t="n"/>
      <c r="EA115" s="220" t="n"/>
      <c r="EB115" s="220" t="n"/>
      <c r="EC115" s="220" t="n"/>
    </row>
    <row r="116">
      <c r="A116" s="3119" t="inlineStr">
        <is>
          <t>Donantes de órganos y/o tejidos</t>
        </is>
      </c>
      <c r="B116" s="3103">
        <f>+D116+F116+H116+J116+L116+N116+P116+R116+T116+V116+X116+Z116+AB116+AD116+AF116+AH116+AJ116+AL116+AN116+AP116</f>
        <v/>
      </c>
      <c r="C116" s="1171">
        <f>+E116+G116+I116+K116+M116+O116+Q116+S116+U116+W116+Y116+AA116+AC116+AE116+AG116+AI116+AK116+AM116+AO116+AQ116</f>
        <v/>
      </c>
      <c r="D116" s="3100" t="n"/>
      <c r="E116" s="3107" t="n"/>
      <c r="F116" s="3108" t="n"/>
      <c r="G116" s="3107" t="n"/>
      <c r="H116" s="3108" t="n"/>
      <c r="I116" s="3101" t="n"/>
      <c r="J116" s="3100" t="n"/>
      <c r="K116" s="3100" t="n"/>
      <c r="L116" s="3108" t="n"/>
      <c r="M116" s="3101" t="n"/>
      <c r="N116" s="3100" t="n"/>
      <c r="O116" s="3107" t="n"/>
      <c r="P116" s="3108" t="n"/>
      <c r="Q116" s="3107" t="n"/>
      <c r="R116" s="3108" t="n"/>
      <c r="S116" s="3107" t="n"/>
      <c r="T116" s="3108" t="n"/>
      <c r="U116" s="3107" t="n"/>
      <c r="V116" s="3108" t="n"/>
      <c r="W116" s="3107" t="n"/>
      <c r="X116" s="3108" t="n"/>
      <c r="Y116" s="3107" t="n"/>
      <c r="Z116" s="3108" t="n"/>
      <c r="AA116" s="3107" t="n"/>
      <c r="AB116" s="3108" t="n"/>
      <c r="AC116" s="3107" t="n"/>
      <c r="AD116" s="3108" t="n"/>
      <c r="AE116" s="3107" t="n"/>
      <c r="AF116" s="3108" t="n"/>
      <c r="AG116" s="3107" t="n"/>
      <c r="AH116" s="3108" t="n"/>
      <c r="AI116" s="3107" t="n"/>
      <c r="AJ116" s="3108" t="n"/>
      <c r="AK116" s="3107" t="n"/>
      <c r="AL116" s="3108" t="n"/>
      <c r="AM116" s="3107" t="n"/>
      <c r="AN116" s="3108" t="n"/>
      <c r="AO116" s="3107" t="n"/>
      <c r="AP116" s="3108" t="n"/>
      <c r="AQ116" s="3098" t="n"/>
      <c r="AR116" s="3100" t="n"/>
      <c r="AS116" s="3098" t="n"/>
      <c r="AT116" s="3099" t="n"/>
      <c r="AU116" s="3098" t="n"/>
      <c r="AV116" s="3845" t="n"/>
      <c r="AW116" s="3656" t="n"/>
      <c r="AX116" s="218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>
        <f>IF(B116&lt;&gt;(AS116+AR116)," * La suma de las columnas "&amp;AR$10&amp;""&amp;" DEBE SER IGUAL a los Exámenes Procesados. ","")</f>
        <v/>
      </c>
      <c r="CB116" s="219">
        <f>IF(AND($B116&gt;0,AND(AT116="",AU116="")),"* No olvide ingresar las columnas Trans Masculino o Femenino (*Digite CERO si no tiene). ",IF((AT116+AU116)&gt;$B116,"* El Número de Trans Masculino o Femenino no puede superar el Total Procesados. ",""))</f>
        <v/>
      </c>
      <c r="CC116" s="219">
        <f>IF(AND($B116&gt;0,AV116=""),"* No olvide ingresar la columna "&amp;AV$10&amp;""&amp;" *(Digite CERO si no tiene). ",IF(AV116&gt;$B116," *El Número de "&amp;AV$10&amp;""&amp;" no puede superar el Total Procesados. ",""))</f>
        <v/>
      </c>
      <c r="CD116" s="219">
        <f>IF(AND($B116&gt;0,AW116=""),"* No olvide ingresar la columna "&amp;AW$10&amp;""&amp;" *(Digite CERO si no tiene). ",IF(AW116&gt;$B116," *El Número de "&amp;AW$10&amp;""&amp;" no puede superar el Total Procesados. ",""))</f>
        <v/>
      </c>
      <c r="CE116" s="219">
        <f>IF(D116&lt;E116,CONCATENATE("* El total de Procesados debe ser mayor o igual al total de Reactivos en el grupo de edad ",$D$11),"")</f>
        <v/>
      </c>
      <c r="CF116" s="219">
        <f>IF(F116&lt;G116,CONCATENATE("* El total de Procesados debe ser mayor o igual al total de Reactivos en el grupo de edad ",$F$11),"")</f>
        <v/>
      </c>
      <c r="CG116" s="219">
        <f>IF(H116&lt;I116,CONCATENATE("* El total de Procesados debe ser mayor o igual al total de Reactivos en el grupo de edad ",$H$11),"")</f>
        <v/>
      </c>
      <c r="CH116" s="219">
        <f>IF(J116&lt;K116,CONCATENATE("* El total de Procesados debe ser mayor o igual al total de Reactivos en el grupo de edad ",$J$11),"")</f>
        <v/>
      </c>
      <c r="CI116" s="219">
        <f>IF(L116&lt;M116,CONCATENATE("* El total de Procesados debe ser mayor o igual al total de Reactivos en el grupo de edad ",$L$11),"")</f>
        <v/>
      </c>
      <c r="CJ116" s="219">
        <f>IF(N116&lt;O116,CONCATENATE("* El total de Procesados debe ser mayor o igual al total de Reactivos en el grupo de edad ",$N$11),"")</f>
        <v/>
      </c>
      <c r="CK116" s="219">
        <f>IF(P116&lt;Q116,CONCATENATE("* El total de Procesados debe ser mayor o igual al total de Reactivos en el grupo de edad ",$P$11),"")</f>
        <v/>
      </c>
      <c r="CL116" s="219">
        <f>IF(R116&lt;S116,CONCATENATE("* El total de Procesados debe ser mayor o igual al total de Reactivos en el grupo de edad ",$R$11),"")</f>
        <v/>
      </c>
      <c r="CM116" s="219">
        <f>IF($T116&lt;$U116,CONCATENATE("* El total de Procesados debe ser mayor o igual al total de Reactivos en el grupo de edad ",$T$11),"")</f>
        <v/>
      </c>
      <c r="CN116" s="219">
        <f>IF(V116&lt;W116,CONCATENATE("* El total de Procesados debe ser mayor o igual al total de Reactivos en el grupo de edad ",$V$11),"")</f>
        <v/>
      </c>
      <c r="CO116" s="219">
        <f>IF(X116&lt;Y116,CONCATENATE("* El total de Procesados debe ser mayor o igual al total de Reactivos en el grupo de edad ",$X$11),"")</f>
        <v/>
      </c>
      <c r="CP116" s="219">
        <f>IF(Z116&lt;AA116,CONCATENATE("* El total de Procesados debe ser mayor o igual al total de Reactivos en el grupo de edad ",$Z$11),"")</f>
        <v/>
      </c>
      <c r="CQ116" s="219">
        <f>IF(AB116&lt;AC116,CONCATENATE("* El total de Procesados debe ser mayor o igual al total de Reactivos en el grupo de edad ",$AB$11),"")</f>
        <v/>
      </c>
      <c r="CR116" s="219">
        <f>IF(AD116&lt;AE116,CONCATENATE("* El total de Procesados debe ser mayor o igual al total de Reactivos en el grupo de edad ",$AD$11),"")</f>
        <v/>
      </c>
      <c r="CS116" s="219">
        <f>IF(AF116&lt;AG116,CONCATENATE("* El total de Procesados debe ser mayor o igual al total de Reactivos en el grupo de edad ",$AF$11),"")</f>
        <v/>
      </c>
      <c r="CT116" s="219">
        <f>IF(AH116&lt;AI116,CONCATENATE("* El total de Procesados debe ser mayor o igual al total de Reactivos en el grupo de edad ",$AH$11),"")</f>
        <v/>
      </c>
      <c r="CU116" s="219">
        <f>IF(AJ116&lt;AK116,CONCATENATE("* El total de Procesados debe ser mayor o igual al total de Reactivos en el grupo de edad ",$AJ$11),"")</f>
        <v/>
      </c>
      <c r="CV116" s="219">
        <f>IF(AL116&lt;AM116,CONCATENATE("* El total de Procesados debe ser mayor o igual al total de Reactivos en el grupo de edad ",$AL$11),"")</f>
        <v/>
      </c>
      <c r="CW116" s="219">
        <f>IF(AN116&lt;AO116,CONCATENATE("* El total de Procesados debe ser mayor o igual al total de Reactivos en el grupo de edad ",$AN$11),"")</f>
        <v/>
      </c>
      <c r="CX116" s="219">
        <f>IF(AP116&lt;AQ116,CONCATENATE("* El total de Procesados debe ser mayor o igual al total de Reactivos en el grupo de edad ",$AP$11),"")</f>
        <v/>
      </c>
      <c r="DE116" s="226" t="n"/>
      <c r="DF116" s="378">
        <f>IF(B116&lt;&gt;(AS116+AR116),1,0)</f>
        <v/>
      </c>
      <c r="DG116" s="376">
        <f>IF(AND($B116&gt;0,AND(AT116="",AU116="")),1,IF((AT116+AU116)&gt;$B116,1,0))</f>
        <v/>
      </c>
      <c r="DH116" s="376">
        <f>IF(AND($B116&gt;0,AV116=""),1,IF(AV116&gt;$B116,1,0))</f>
        <v/>
      </c>
      <c r="DI116" s="376">
        <f>IF(AND($B116&gt;0,AW116=""),1,IF(AW116&gt;$B116,1,0))</f>
        <v/>
      </c>
      <c r="DJ116" s="376">
        <f>IF(D116&lt;E116,1,0)</f>
        <v/>
      </c>
      <c r="DK116" s="376">
        <f>IF(F116&lt;G116,1,0)</f>
        <v/>
      </c>
      <c r="DL116" s="376">
        <f>IF(H116&lt;I116,1,0)</f>
        <v/>
      </c>
      <c r="DM116" s="376">
        <f>IF(J116&lt;K116,1,0)</f>
        <v/>
      </c>
      <c r="DN116" s="376">
        <f>IF(L116&lt;M116,1,0)</f>
        <v/>
      </c>
      <c r="DO116" s="376">
        <f>IF(N116&lt;O116,1,0)</f>
        <v/>
      </c>
      <c r="DP116" s="376">
        <f>IF(P116&lt;Q116,1,0)</f>
        <v/>
      </c>
      <c r="DQ116" s="376">
        <f>IF(R116&lt;S116,1,0)</f>
        <v/>
      </c>
      <c r="DR116" s="376">
        <f>IF($T116&lt;$U116,1,0)</f>
        <v/>
      </c>
      <c r="DS116" s="376">
        <f>IF(V116&lt;W116,1,0)</f>
        <v/>
      </c>
      <c r="DT116" s="376">
        <f>IF(X116&lt;Y116,1,0)</f>
        <v/>
      </c>
      <c r="DU116" s="376">
        <f>IF(Z116&lt;AA116,1,0)</f>
        <v/>
      </c>
      <c r="DV116" s="376">
        <f>IF(AB116&lt;AC116,1,0)</f>
        <v/>
      </c>
      <c r="DW116" s="376">
        <f>IF(AD116&lt;AE116,1,0)</f>
        <v/>
      </c>
      <c r="DX116" s="376">
        <f>IF(AF116&lt;AG116,1,0)</f>
        <v/>
      </c>
      <c r="DY116" s="376">
        <f>IF(AH116&lt;AI116,1,0)</f>
        <v/>
      </c>
      <c r="DZ116" s="376">
        <f>IF(AJ116&lt;AK116,1,0)</f>
        <v/>
      </c>
      <c r="EA116" s="376">
        <f>IF(AL116&lt;AM116,1,0)</f>
        <v/>
      </c>
      <c r="EB116" s="376">
        <f>IF(AN116&lt;AO116,1,0)</f>
        <v/>
      </c>
      <c r="EC116" s="376">
        <f>IF(AP116&lt;AQ116,1,0)</f>
        <v/>
      </c>
    </row>
    <row r="117">
      <c r="A117" s="3119" t="inlineStr">
        <is>
          <t>Pacientes en diálisis</t>
        </is>
      </c>
      <c r="B117" s="3103">
        <f>+D117+F117+H117+J117+L117+N117+P117+R117+T117+V117+X117+Z117+AB117+AD117+AF117+AH117+AJ117+AL117+AN117+AP117</f>
        <v/>
      </c>
      <c r="C117" s="1171">
        <f>+E117+G117+I117+K117+M117+O117+Q117+S117+U117+W117+Y117+AA117+AC117+AE117+AG117+AI117+AK117+AM117+AO117+AQ117</f>
        <v/>
      </c>
      <c r="D117" s="3100" t="n"/>
      <c r="E117" s="3107" t="n"/>
      <c r="F117" s="3108" t="n"/>
      <c r="G117" s="3107" t="n"/>
      <c r="H117" s="3108" t="n"/>
      <c r="I117" s="3101" t="n"/>
      <c r="J117" s="3100" t="n"/>
      <c r="K117" s="3100" t="n"/>
      <c r="L117" s="3108" t="n"/>
      <c r="M117" s="3101" t="n"/>
      <c r="N117" s="3100" t="n"/>
      <c r="O117" s="3107" t="n"/>
      <c r="P117" s="3108" t="n"/>
      <c r="Q117" s="3107" t="n"/>
      <c r="R117" s="3108" t="n"/>
      <c r="S117" s="3107" t="n"/>
      <c r="T117" s="3108" t="n"/>
      <c r="U117" s="3107" t="n"/>
      <c r="V117" s="3108" t="n"/>
      <c r="W117" s="3107" t="n"/>
      <c r="X117" s="3108" t="n"/>
      <c r="Y117" s="3107" t="n"/>
      <c r="Z117" s="3108" t="n"/>
      <c r="AA117" s="3107" t="n"/>
      <c r="AB117" s="3108" t="n"/>
      <c r="AC117" s="3107" t="n"/>
      <c r="AD117" s="3108" t="n"/>
      <c r="AE117" s="3107" t="n"/>
      <c r="AF117" s="3108" t="n"/>
      <c r="AG117" s="3107" t="n"/>
      <c r="AH117" s="3108" t="n"/>
      <c r="AI117" s="3107" t="n"/>
      <c r="AJ117" s="3108" t="n"/>
      <c r="AK117" s="3107" t="n"/>
      <c r="AL117" s="3108" t="n"/>
      <c r="AM117" s="3107" t="n"/>
      <c r="AN117" s="3108" t="n"/>
      <c r="AO117" s="3107" t="n"/>
      <c r="AP117" s="3108" t="n"/>
      <c r="AQ117" s="3098" t="n"/>
      <c r="AR117" s="3100" t="n"/>
      <c r="AS117" s="3098" t="n"/>
      <c r="AT117" s="3099" t="n"/>
      <c r="AU117" s="3098" t="n"/>
      <c r="AV117" s="3845" t="n"/>
      <c r="AW117" s="3656" t="n"/>
      <c r="AX117" s="218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>
        <f>IF(B117&lt;&gt;(AS117+AR117)," * La suma de las columnas "&amp;AR$10&amp;""&amp;" DEBE SER IGUAL a los Exámenes Procesados. ","")</f>
        <v/>
      </c>
      <c r="CB117" s="219">
        <f>IF(AND($B117&gt;0,AND(AT117="",AU117="")),"* No olvide ingresar las columnas Trans Masculino o Femenino (*Digite CERO si no tiene). ",IF((AT117+AU117)&gt;$B117,"* El Número de Trans Masculino o Femenino no puede superar el Total Procesados. ",""))</f>
        <v/>
      </c>
      <c r="CC117" s="219">
        <f>IF(AND($B117&gt;0,AV117=""),"* No olvide ingresar la columna "&amp;AV$10&amp;""&amp;" *(Digite CERO si no tiene). ",IF(AV117&gt;$B117," *El Número de "&amp;AV$10&amp;""&amp;" no puede superar el Total Procesados. ",""))</f>
        <v/>
      </c>
      <c r="CD117" s="219">
        <f>IF(AND($B117&gt;0,AW117=""),"* No olvide ingresar la columna "&amp;AW$10&amp;""&amp;" *(Digite CERO si no tiene). ",IF(AW117&gt;$B117," *El Número de "&amp;AW$10&amp;""&amp;" no puede superar el Total Procesados. ",""))</f>
        <v/>
      </c>
      <c r="CE117" s="219">
        <f>IF(D117&lt;E117,CONCATENATE("* El total de Procesados debe ser mayor o igual al total de Reactivos en el grupo de edad ",$D$11),"")</f>
        <v/>
      </c>
      <c r="CF117" s="219">
        <f>IF(F117&lt;G117,CONCATENATE("* El total de Procesados debe ser mayor o igual al total de Reactivos en el grupo de edad ",$F$11),"")</f>
        <v/>
      </c>
      <c r="CG117" s="219">
        <f>IF(H117&lt;I117,CONCATENATE("* El total de Procesados debe ser mayor o igual al total de Reactivos en el grupo de edad ",$H$11),"")</f>
        <v/>
      </c>
      <c r="CH117" s="219">
        <f>IF(J117&lt;K117,CONCATENATE("* El total de Procesados debe ser mayor o igual al total de Reactivos en el grupo de edad ",$J$11),"")</f>
        <v/>
      </c>
      <c r="CI117" s="219">
        <f>IF(L117&lt;M117,CONCATENATE("* El total de Procesados debe ser mayor o igual al total de Reactivos en el grupo de edad ",$L$11),"")</f>
        <v/>
      </c>
      <c r="CJ117" s="219">
        <f>IF(N117&lt;O117,CONCATENATE("* El total de Procesados debe ser mayor o igual al total de Reactivos en el grupo de edad ",$N$11),"")</f>
        <v/>
      </c>
      <c r="CK117" s="219">
        <f>IF(P117&lt;Q117,CONCATENATE("* El total de Procesados debe ser mayor o igual al total de Reactivos en el grupo de edad ",$P$11),"")</f>
        <v/>
      </c>
      <c r="CL117" s="219">
        <f>IF(R117&lt;S117,CONCATENATE("* El total de Procesados debe ser mayor o igual al total de Reactivos en el grupo de edad ",$R$11),"")</f>
        <v/>
      </c>
      <c r="CM117" s="219">
        <f>IF($T117&lt;$U117,CONCATENATE("* El total de Procesados debe ser mayor o igual al total de Reactivos en el grupo de edad ",$T$11),"")</f>
        <v/>
      </c>
      <c r="CN117" s="219">
        <f>IF(V117&lt;W117,CONCATENATE("* El total de Procesados debe ser mayor o igual al total de Reactivos en el grupo de edad ",$V$11),"")</f>
        <v/>
      </c>
      <c r="CO117" s="219">
        <f>IF(X117&lt;Y117,CONCATENATE("* El total de Procesados debe ser mayor o igual al total de Reactivos en el grupo de edad ",$X$11),"")</f>
        <v/>
      </c>
      <c r="CP117" s="219">
        <f>IF(Z117&lt;AA117,CONCATENATE("* El total de Procesados debe ser mayor o igual al total de Reactivos en el grupo de edad ",$Z$11),"")</f>
        <v/>
      </c>
      <c r="CQ117" s="219">
        <f>IF(AB117&lt;AC117,CONCATENATE("* El total de Procesados debe ser mayor o igual al total de Reactivos en el grupo de edad ",$AB$11),"")</f>
        <v/>
      </c>
      <c r="CR117" s="219">
        <f>IF(AD117&lt;AE117,CONCATENATE("* El total de Procesados debe ser mayor o igual al total de Reactivos en el grupo de edad ",$AD$11),"")</f>
        <v/>
      </c>
      <c r="CS117" s="219">
        <f>IF(AF117&lt;AG117,CONCATENATE("* El total de Procesados debe ser mayor o igual al total de Reactivos en el grupo de edad ",$AF$11),"")</f>
        <v/>
      </c>
      <c r="CT117" s="219">
        <f>IF(AH117&lt;AI117,CONCATENATE("* El total de Procesados debe ser mayor o igual al total de Reactivos en el grupo de edad ",$AH$11),"")</f>
        <v/>
      </c>
      <c r="CU117" s="219">
        <f>IF(AJ117&lt;AK117,CONCATENATE("* El total de Procesados debe ser mayor o igual al total de Reactivos en el grupo de edad ",$AJ$11),"")</f>
        <v/>
      </c>
      <c r="CV117" s="219">
        <f>IF(AL117&lt;AM117,CONCATENATE("* El total de Procesados debe ser mayor o igual al total de Reactivos en el grupo de edad ",$AL$11),"")</f>
        <v/>
      </c>
      <c r="CW117" s="219">
        <f>IF(AN117&lt;AO117,CONCATENATE("* El total de Procesados debe ser mayor o igual al total de Reactivos en el grupo de edad ",$AN$11),"")</f>
        <v/>
      </c>
      <c r="CX117" s="219">
        <f>IF(AP117&lt;AQ117,CONCATENATE("* El total de Procesados debe ser mayor o igual al total de Reactivos en el grupo de edad ",$AP$11),"")</f>
        <v/>
      </c>
      <c r="DE117" s="226" t="n"/>
      <c r="DF117" s="378">
        <f>IF(B117&lt;&gt;(AS117+AR117),1,0)</f>
        <v/>
      </c>
      <c r="DG117" s="376">
        <f>IF(AND($B117&gt;0,AND(AT117="",AU117="")),1,IF((AT117+AU117)&gt;$B117,1,0))</f>
        <v/>
      </c>
      <c r="DH117" s="376">
        <f>IF(AND($B117&gt;0,AV117=""),1,IF(AV117&gt;$B117,1,0))</f>
        <v/>
      </c>
      <c r="DI117" s="376">
        <f>IF(AND($B117&gt;0,AW117=""),1,IF(AW117&gt;$B117,1,0))</f>
        <v/>
      </c>
      <c r="DJ117" s="376">
        <f>IF(D117&lt;E117,1,0)</f>
        <v/>
      </c>
      <c r="DK117" s="376">
        <f>IF(F117&lt;G117,1,0)</f>
        <v/>
      </c>
      <c r="DL117" s="376">
        <f>IF(H117&lt;I117,1,0)</f>
        <v/>
      </c>
      <c r="DM117" s="376">
        <f>IF(J117&lt;K117,1,0)</f>
        <v/>
      </c>
      <c r="DN117" s="376">
        <f>IF(L117&lt;M117,1,0)</f>
        <v/>
      </c>
      <c r="DO117" s="376">
        <f>IF(N117&lt;O117,1,0)</f>
        <v/>
      </c>
      <c r="DP117" s="376">
        <f>IF(P117&lt;Q117,1,0)</f>
        <v/>
      </c>
      <c r="DQ117" s="376">
        <f>IF(R117&lt;S117,1,0)</f>
        <v/>
      </c>
      <c r="DR117" s="376">
        <f>IF($T117&lt;$U117,1,0)</f>
        <v/>
      </c>
      <c r="DS117" s="376">
        <f>IF(V117&lt;W117,1,0)</f>
        <v/>
      </c>
      <c r="DT117" s="376">
        <f>IF(X117&lt;Y117,1,0)</f>
        <v/>
      </c>
      <c r="DU117" s="376">
        <f>IF(Z117&lt;AA117,1,0)</f>
        <v/>
      </c>
      <c r="DV117" s="376">
        <f>IF(AB117&lt;AC117,1,0)</f>
        <v/>
      </c>
      <c r="DW117" s="376">
        <f>IF(AD117&lt;AE117,1,0)</f>
        <v/>
      </c>
      <c r="DX117" s="376">
        <f>IF(AF117&lt;AG117,1,0)</f>
        <v/>
      </c>
      <c r="DY117" s="376">
        <f>IF(AH117&lt;AI117,1,0)</f>
        <v/>
      </c>
      <c r="DZ117" s="376">
        <f>IF(AJ117&lt;AK117,1,0)</f>
        <v/>
      </c>
      <c r="EA117" s="376">
        <f>IF(AL117&lt;AM117,1,0)</f>
        <v/>
      </c>
      <c r="EB117" s="376">
        <f>IF(AN117&lt;AO117,1,0)</f>
        <v/>
      </c>
      <c r="EC117" s="376">
        <f>IF(AP117&lt;AQ117,1,0)</f>
        <v/>
      </c>
    </row>
    <row r="118">
      <c r="A118" s="8771" t="inlineStr">
        <is>
          <t>Víctima de violencia sexual</t>
        </is>
      </c>
      <c r="B118" s="2576">
        <f>+D118+F118+H118+J118+L118+N118+P118+R118+T118+V118+X118+Z118+AB118+AD118+AF118+AH118+AJ118+AL118+AN118+AP118</f>
        <v/>
      </c>
      <c r="C118" s="2464">
        <f>+E118+G118+I118+K118+M118+O118+Q118+S118+U118+W118+Y118+AA118+AC118+AE118+AG118+AI118+AK118+AM118+AO118+AQ118</f>
        <v/>
      </c>
      <c r="D118" s="1140" t="n"/>
      <c r="E118" s="1153" t="n"/>
      <c r="F118" s="1137" t="n"/>
      <c r="G118" s="1153" t="n"/>
      <c r="H118" s="1137" t="n"/>
      <c r="I118" s="1139" t="n"/>
      <c r="J118" s="1140" t="n"/>
      <c r="K118" s="1140" t="n"/>
      <c r="L118" s="1137" t="n"/>
      <c r="M118" s="1139" t="n"/>
      <c r="N118" s="1140" t="n"/>
      <c r="O118" s="1153" t="n"/>
      <c r="P118" s="1137" t="n"/>
      <c r="Q118" s="1153" t="n"/>
      <c r="R118" s="1137" t="n"/>
      <c r="S118" s="1153" t="n"/>
      <c r="T118" s="1137" t="n"/>
      <c r="U118" s="1153" t="n"/>
      <c r="V118" s="1137" t="n"/>
      <c r="W118" s="1153" t="n"/>
      <c r="X118" s="1137" t="n"/>
      <c r="Y118" s="1153" t="n"/>
      <c r="Z118" s="1137" t="n"/>
      <c r="AA118" s="1153" t="n"/>
      <c r="AB118" s="1137" t="n"/>
      <c r="AC118" s="1153" t="n"/>
      <c r="AD118" s="1137" t="n"/>
      <c r="AE118" s="1153" t="n"/>
      <c r="AF118" s="1137" t="n"/>
      <c r="AG118" s="1153" t="n"/>
      <c r="AH118" s="1137" t="n"/>
      <c r="AI118" s="1153" t="n"/>
      <c r="AJ118" s="1137" t="n"/>
      <c r="AK118" s="1153" t="n"/>
      <c r="AL118" s="1137" t="n"/>
      <c r="AM118" s="1153" t="n"/>
      <c r="AN118" s="1137" t="n"/>
      <c r="AO118" s="1153" t="n"/>
      <c r="AP118" s="1137" t="n"/>
      <c r="AQ118" s="1143" t="n"/>
      <c r="AR118" s="1140" t="n"/>
      <c r="AS118" s="1143" t="n"/>
      <c r="AT118" s="1152" t="n"/>
      <c r="AU118" s="1143" t="n"/>
      <c r="AV118" s="3847" t="n"/>
      <c r="AW118" s="1138" t="n"/>
      <c r="AX118" s="218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>
        <f>IF(B118&lt;&gt;(AS118+AR118)," * La suma de las columnas "&amp;AR$10&amp;""&amp;" DEBE SER IGUAL a los Exámenes Procesados. ","")</f>
        <v/>
      </c>
      <c r="CB118" s="219">
        <f>IF(AND($B118&gt;0,AND(AT118="",AU118="")),"* No olvide ingresar las columnas Trans Masculino o Femenino (*Digite CERO si no tiene). ",IF((AT118+AU118)&gt;$B118,"* El Número de Trans Masculino o Femenino no puede superar el Total Procesados. ",""))</f>
        <v/>
      </c>
      <c r="CC118" s="219">
        <f>IF(AND($B118&gt;0,AV118=""),"* No olvide ingresar la columna "&amp;AV$10&amp;""&amp;" *(Digite CERO si no tiene). ",IF(AV118&gt;$B118," *El Número de "&amp;AV$10&amp;""&amp;" no puede superar el Total Procesados. ",""))</f>
        <v/>
      </c>
      <c r="CD118" s="219">
        <f>IF(AND($B118&gt;0,AW118=""),"* No olvide ingresar la columna "&amp;AW$10&amp;""&amp;" *(Digite CERO si no tiene). ",IF(AW118&gt;$B118," *El Número de "&amp;AW$10&amp;""&amp;" no puede superar el Total Procesados. ",""))</f>
        <v/>
      </c>
      <c r="CE118" s="219">
        <f>IF(D118&lt;E118,CONCATENATE("* El total de Procesados debe ser mayor o igual al total de Reactivos en el grupo de edad ",$D$11),"")</f>
        <v/>
      </c>
      <c r="CF118" s="219">
        <f>IF(F118&lt;G118,CONCATENATE("* El total de Procesados debe ser mayor o igual al total de Reactivos en el grupo de edad ",$F$11),"")</f>
        <v/>
      </c>
      <c r="CG118" s="219">
        <f>IF(H118&lt;I118,CONCATENATE("* El total de Procesados debe ser mayor o igual al total de Reactivos en el grupo de edad ",$H$11),"")</f>
        <v/>
      </c>
      <c r="CH118" s="219">
        <f>IF(J118&lt;K118,CONCATENATE("* El total de Procesados debe ser mayor o igual al total de Reactivos en el grupo de edad ",$J$11),"")</f>
        <v/>
      </c>
      <c r="CI118" s="219">
        <f>IF(L118&lt;M118,CONCATENATE("* El total de Procesados debe ser mayor o igual al total de Reactivos en el grupo de edad ",$L$11),"")</f>
        <v/>
      </c>
      <c r="CJ118" s="219">
        <f>IF(N118&lt;O118,CONCATENATE("* El total de Procesados debe ser mayor o igual al total de Reactivos en el grupo de edad ",$N$11),"")</f>
        <v/>
      </c>
      <c r="CK118" s="219">
        <f>IF(P118&lt;Q118,CONCATENATE("* El total de Procesados debe ser mayor o igual al total de Reactivos en el grupo de edad ",$P$11),"")</f>
        <v/>
      </c>
      <c r="CL118" s="219">
        <f>IF(R118&lt;S118,CONCATENATE("* El total de Procesados debe ser mayor o igual al total de Reactivos en el grupo de edad ",$R$11),"")</f>
        <v/>
      </c>
      <c r="CM118" s="219">
        <f>IF($T118&lt;$U118,CONCATENATE("* El total de Procesados debe ser mayor o igual al total de Reactivos en el grupo de edad ",$T$11),"")</f>
        <v/>
      </c>
      <c r="CN118" s="219">
        <f>IF(V118&lt;W118,CONCATENATE("* El total de Procesados debe ser mayor o igual al total de Reactivos en el grupo de edad ",$V$11),"")</f>
        <v/>
      </c>
      <c r="CO118" s="219">
        <f>IF(X118&lt;Y118,CONCATENATE("* El total de Procesados debe ser mayor o igual al total de Reactivos en el grupo de edad ",$X$11),"")</f>
        <v/>
      </c>
      <c r="CP118" s="219">
        <f>IF(Z118&lt;AA118,CONCATENATE("* El total de Procesados debe ser mayor o igual al total de Reactivos en el grupo de edad ",$Z$11),"")</f>
        <v/>
      </c>
      <c r="CQ118" s="219">
        <f>IF(AB118&lt;AC118,CONCATENATE("* El total de Procesados debe ser mayor o igual al total de Reactivos en el grupo de edad ",$AB$11),"")</f>
        <v/>
      </c>
      <c r="CR118" s="219">
        <f>IF(AD118&lt;AE118,CONCATENATE("* El total de Procesados debe ser mayor o igual al total de Reactivos en el grupo de edad ",$AD$11),"")</f>
        <v/>
      </c>
      <c r="CS118" s="219">
        <f>IF(AF118&lt;AG118,CONCATENATE("* El total de Procesados debe ser mayor o igual al total de Reactivos en el grupo de edad ",$AF$11),"")</f>
        <v/>
      </c>
      <c r="CT118" s="219">
        <f>IF(AH118&lt;AI118,CONCATENATE("* El total de Procesados debe ser mayor o igual al total de Reactivos en el grupo de edad ",$AH$11),"")</f>
        <v/>
      </c>
      <c r="CU118" s="219">
        <f>IF(AJ118&lt;AK118,CONCATENATE("* El total de Procesados debe ser mayor o igual al total de Reactivos en el grupo de edad ",$AJ$11),"")</f>
        <v/>
      </c>
      <c r="CV118" s="219">
        <f>IF(AL118&lt;AM118,CONCATENATE("* El total de Procesados debe ser mayor o igual al total de Reactivos en el grupo de edad ",$AL$11),"")</f>
        <v/>
      </c>
      <c r="CW118" s="219">
        <f>IF(AN118&lt;AO118,CONCATENATE("* El total de Procesados debe ser mayor o igual al total de Reactivos en el grupo de edad ",$AN$11),"")</f>
        <v/>
      </c>
      <c r="CX118" s="219">
        <f>IF(AP118&lt;AQ118,CONCATENATE("* El total de Procesados debe ser mayor o igual al total de Reactivos en el grupo de edad ",$AP$11),"")</f>
        <v/>
      </c>
      <c r="DE118" s="226" t="n"/>
      <c r="DF118" s="378">
        <f>IF(B118&lt;&gt;(AS118+AR118),1,0)</f>
        <v/>
      </c>
      <c r="DG118" s="376">
        <f>IF(AND($B118&gt;0,AND(AT118="",AU118="")),1,IF((AT118+AU118)&gt;$B118,1,0))</f>
        <v/>
      </c>
      <c r="DH118" s="376">
        <f>IF(AND($B118&gt;0,AV118=""),1,IF(AV118&gt;$B118,1,0))</f>
        <v/>
      </c>
      <c r="DI118" s="376">
        <f>IF(AND($B118&gt;0,AW118=""),1,IF(AW118&gt;$B118,1,0))</f>
        <v/>
      </c>
      <c r="DJ118" s="376">
        <f>IF(D118&lt;E118,1,0)</f>
        <v/>
      </c>
      <c r="DK118" s="376">
        <f>IF(F118&lt;G118,1,0)</f>
        <v/>
      </c>
      <c r="DL118" s="376">
        <f>IF(H118&lt;I118,1,0)</f>
        <v/>
      </c>
      <c r="DM118" s="376">
        <f>IF(J118&lt;K118,1,0)</f>
        <v/>
      </c>
      <c r="DN118" s="376">
        <f>IF(L118&lt;M118,1,0)</f>
        <v/>
      </c>
      <c r="DO118" s="376">
        <f>IF(N118&lt;O118,1,0)</f>
        <v/>
      </c>
      <c r="DP118" s="376">
        <f>IF(P118&lt;Q118,1,0)</f>
        <v/>
      </c>
      <c r="DQ118" s="376">
        <f>IF(R118&lt;S118,1,0)</f>
        <v/>
      </c>
      <c r="DR118" s="376">
        <f>IF($T118&lt;$U118,1,0)</f>
        <v/>
      </c>
      <c r="DS118" s="376">
        <f>IF(V118&lt;W118,1,0)</f>
        <v/>
      </c>
      <c r="DT118" s="376">
        <f>IF(X118&lt;Y118,1,0)</f>
        <v/>
      </c>
      <c r="DU118" s="376">
        <f>IF(Z118&lt;AA118,1,0)</f>
        <v/>
      </c>
      <c r="DV118" s="376">
        <f>IF(AB118&lt;AC118,1,0)</f>
        <v/>
      </c>
      <c r="DW118" s="376">
        <f>IF(AD118&lt;AE118,1,0)</f>
        <v/>
      </c>
      <c r="DX118" s="376">
        <f>IF(AF118&lt;AG118,1,0)</f>
        <v/>
      </c>
      <c r="DY118" s="376">
        <f>IF(AH118&lt;AI118,1,0)</f>
        <v/>
      </c>
      <c r="DZ118" s="376">
        <f>IF(AJ118&lt;AK118,1,0)</f>
        <v/>
      </c>
      <c r="EA118" s="376">
        <f>IF(AL118&lt;AM118,1,0)</f>
        <v/>
      </c>
      <c r="EB118" s="376">
        <f>IF(AN118&lt;AO118,1,0)</f>
        <v/>
      </c>
      <c r="EC118" s="376">
        <f>IF(AP118&lt;AQ118,1,0)</f>
        <v/>
      </c>
    </row>
    <row r="119" ht="18" customHeight="1" s="8286">
      <c r="A119" s="3116" t="inlineStr">
        <is>
          <t>SECCIÓN A.6: EXAMEN MHA-TP POR GRUPO DE USUARIOS (USO EXCLUSIVO DE ESTABLECIMIENTOS QUE COMPRAN SERVICIO)</t>
        </is>
      </c>
      <c r="B119" s="3116" t="n"/>
      <c r="C119" s="3116" t="n"/>
      <c r="D119" s="3116" t="n"/>
      <c r="E119" s="3116" t="n"/>
      <c r="F119" s="3116" t="n"/>
      <c r="G119" s="3116" t="n"/>
      <c r="H119" s="3116" t="n"/>
      <c r="I119" s="3116" t="n"/>
      <c r="J119" s="3116" t="n"/>
      <c r="K119" s="3116" t="n"/>
      <c r="L119" s="3116" t="n"/>
      <c r="M119" s="3116" t="n"/>
      <c r="N119" s="3116" t="n"/>
      <c r="O119" s="3116" t="n"/>
      <c r="P119" s="3116" t="n"/>
      <c r="Q119" s="3116" t="n"/>
      <c r="R119" s="3116" t="n"/>
      <c r="S119" s="3116" t="n"/>
      <c r="T119" s="3116" t="n"/>
      <c r="U119" s="3116" t="n"/>
      <c r="V119" s="3116" t="n"/>
      <c r="W119" s="3116" t="n"/>
      <c r="X119" s="3116" t="n"/>
      <c r="Y119" s="3116" t="n"/>
      <c r="Z119" s="3116" t="n"/>
      <c r="AA119" s="3116" t="n"/>
      <c r="AB119" s="3116" t="n"/>
      <c r="AC119" s="3116" t="n"/>
      <c r="AD119" s="3116" t="n"/>
      <c r="AE119" s="3116" t="n"/>
      <c r="AF119" s="3116" t="n"/>
      <c r="AG119" s="3116" t="n"/>
      <c r="AH119" s="3116" t="n"/>
      <c r="AI119" s="3116" t="n"/>
      <c r="AJ119" s="3116" t="n"/>
      <c r="AK119" s="3116" t="n"/>
      <c r="AL119" s="3116" t="n"/>
      <c r="AM119" s="3116" t="n"/>
      <c r="AN119" s="3116" t="n"/>
      <c r="AO119" s="3116" t="n"/>
      <c r="AP119" s="3116" t="n"/>
      <c r="AQ119" s="3116" t="n"/>
      <c r="AR119" s="227" t="n"/>
      <c r="AS119" s="227" t="n"/>
      <c r="AT119" s="227" t="n"/>
      <c r="AU119" s="227" t="n"/>
      <c r="AV119" s="227" t="n"/>
      <c r="AW119" s="227" t="n"/>
      <c r="AX119" s="218" t="n"/>
    </row>
    <row r="120">
      <c r="A120" s="9690" t="inlineStr">
        <is>
          <t>GRUPO DE PESQUISA</t>
        </is>
      </c>
      <c r="B120" s="10199" t="inlineStr">
        <is>
          <t>TOTAL</t>
        </is>
      </c>
      <c r="C120" s="9630" t="n"/>
      <c r="D120" s="9915" t="inlineStr">
        <is>
          <t>RANGO ETARIO</t>
        </is>
      </c>
      <c r="E120" s="9584" t="n"/>
      <c r="F120" s="9584" t="n"/>
      <c r="G120" s="9584" t="n"/>
      <c r="H120" s="9584" t="n"/>
      <c r="I120" s="9584" t="n"/>
      <c r="J120" s="9584" t="n"/>
      <c r="K120" s="9584" t="n"/>
      <c r="L120" s="9584" t="n"/>
      <c r="M120" s="9584" t="n"/>
      <c r="N120" s="9584" t="n"/>
      <c r="O120" s="9584" t="n"/>
      <c r="P120" s="9584" t="n"/>
      <c r="Q120" s="9584" t="n"/>
      <c r="R120" s="9584" t="n"/>
      <c r="S120" s="9584" t="n"/>
      <c r="T120" s="9584" t="n"/>
      <c r="U120" s="9584" t="n"/>
      <c r="V120" s="9584" t="n"/>
      <c r="W120" s="9584" t="n"/>
      <c r="X120" s="9584" t="n"/>
      <c r="Y120" s="9584" t="n"/>
      <c r="Z120" s="9584" t="n"/>
      <c r="AA120" s="9584" t="n"/>
      <c r="AB120" s="9584" t="n"/>
      <c r="AC120" s="9584" t="n"/>
      <c r="AD120" s="9584" t="n"/>
      <c r="AE120" s="9584" t="n"/>
      <c r="AF120" s="9584" t="n"/>
      <c r="AG120" s="9584" t="n"/>
      <c r="AH120" s="9584" t="n"/>
      <c r="AI120" s="9584" t="n"/>
      <c r="AJ120" s="9584" t="n"/>
      <c r="AK120" s="9584" t="n"/>
      <c r="AL120" s="9584" t="n"/>
      <c r="AM120" s="9584" t="n"/>
      <c r="AN120" s="9584" t="n"/>
      <c r="AO120" s="9584" t="n"/>
      <c r="AP120" s="9584" t="n"/>
      <c r="AQ120" s="9595" t="n"/>
      <c r="AR120" s="9982" t="inlineStr">
        <is>
          <t>POR SEXO (Procesados)</t>
        </is>
      </c>
      <c r="AS120" s="10211" t="n"/>
      <c r="AT120" s="10295" t="inlineStr">
        <is>
          <t>TRANS</t>
        </is>
      </c>
      <c r="AU120" s="9886" t="n"/>
      <c r="AV120" s="10296" t="inlineStr">
        <is>
          <t>Pueblos Originarios</t>
        </is>
      </c>
      <c r="AW120" s="9975" t="inlineStr">
        <is>
          <t>Migrantes</t>
        </is>
      </c>
    </row>
    <row r="121">
      <c r="A121" s="9588" t="n"/>
      <c r="B121" s="9697" t="n"/>
      <c r="C121" s="9639" t="n"/>
      <c r="D121" s="10006" t="inlineStr">
        <is>
          <t>Menos de 6 meses</t>
        </is>
      </c>
      <c r="E121" s="9584" t="n"/>
      <c r="F121" s="10006" t="inlineStr">
        <is>
          <t>6 - 11 meses</t>
        </is>
      </c>
      <c r="G121" s="9584" t="n"/>
      <c r="H121" s="8400" t="inlineStr">
        <is>
          <t>12-24 meses</t>
        </is>
      </c>
      <c r="I121" s="9582" t="n"/>
      <c r="J121" s="5448" t="inlineStr">
        <is>
          <t>3 - 4 años</t>
        </is>
      </c>
      <c r="K121" s="10190" t="n"/>
      <c r="L121" s="10006" t="inlineStr">
        <is>
          <t>5 - 9 años</t>
        </is>
      </c>
      <c r="M121" s="9584" t="n"/>
      <c r="N121" s="10006" t="inlineStr">
        <is>
          <t>10 - 14 años</t>
        </is>
      </c>
      <c r="O121" s="9584" t="n"/>
      <c r="P121" s="10006" t="inlineStr">
        <is>
          <t>15 - 19 años</t>
        </is>
      </c>
      <c r="Q121" s="9584" t="n"/>
      <c r="R121" s="10006" t="inlineStr">
        <is>
          <t>20 - 24 años</t>
        </is>
      </c>
      <c r="S121" s="9584" t="n"/>
      <c r="T121" s="8400" t="inlineStr">
        <is>
          <t>25 - 29 años</t>
        </is>
      </c>
      <c r="U121" s="9582" t="n"/>
      <c r="V121" s="8400" t="inlineStr">
        <is>
          <t>30 - 34 años</t>
        </is>
      </c>
      <c r="W121" s="9582" t="n"/>
      <c r="X121" s="8400" t="inlineStr">
        <is>
          <t>35 - 39 años</t>
        </is>
      </c>
      <c r="Y121" s="9582" t="n"/>
      <c r="Z121" s="8400" t="inlineStr">
        <is>
          <t>40 - 44 años</t>
        </is>
      </c>
      <c r="AA121" s="9582" t="n"/>
      <c r="AB121" s="8400" t="inlineStr">
        <is>
          <t>45 - 49 años</t>
        </is>
      </c>
      <c r="AC121" s="9582" t="n"/>
      <c r="AD121" s="8400" t="inlineStr">
        <is>
          <t>50 - 54 años</t>
        </is>
      </c>
      <c r="AE121" s="9582" t="n"/>
      <c r="AF121" s="8400" t="inlineStr">
        <is>
          <t>55 - 59 años</t>
        </is>
      </c>
      <c r="AG121" s="9582" t="n"/>
      <c r="AH121" s="8400" t="inlineStr">
        <is>
          <t>60 - 64 años</t>
        </is>
      </c>
      <c r="AI121" s="9582" t="n"/>
      <c r="AJ121" s="8400" t="inlineStr">
        <is>
          <t>65 - 69 años</t>
        </is>
      </c>
      <c r="AK121" s="9582" t="n"/>
      <c r="AL121" s="8400" t="inlineStr">
        <is>
          <t>70 - 74 años</t>
        </is>
      </c>
      <c r="AM121" s="9582" t="n"/>
      <c r="AN121" s="8400" t="inlineStr">
        <is>
          <t>75 - 79 años</t>
        </is>
      </c>
      <c r="AO121" s="9582" t="n"/>
      <c r="AP121" s="9976" t="inlineStr">
        <is>
          <t>80 y más años</t>
        </is>
      </c>
      <c r="AQ121" s="9595" t="n"/>
      <c r="AR121" s="10002" t="inlineStr">
        <is>
          <t>Hombres</t>
        </is>
      </c>
      <c r="AS121" s="9925" t="inlineStr">
        <is>
          <t>Mujeres</t>
        </is>
      </c>
      <c r="AT121" s="9890" t="n"/>
      <c r="AU121" s="9865" t="n"/>
      <c r="AV121" s="10169" t="n"/>
      <c r="AW121" s="9625" t="n"/>
    </row>
    <row r="122">
      <c r="A122" s="9589" t="n"/>
      <c r="B122" s="3091" t="inlineStr">
        <is>
          <t>Procesados</t>
        </is>
      </c>
      <c r="C122" s="3090" t="inlineStr">
        <is>
          <t>Reactivos</t>
        </is>
      </c>
      <c r="D122" s="3088" t="inlineStr">
        <is>
          <t>Procesados</t>
        </is>
      </c>
      <c r="E122" s="3089" t="inlineStr">
        <is>
          <t>Reactivos</t>
        </is>
      </c>
      <c r="F122" s="3088" t="inlineStr">
        <is>
          <t>Procesados</t>
        </is>
      </c>
      <c r="G122" s="3089" t="inlineStr">
        <is>
          <t>Reactivos</t>
        </is>
      </c>
      <c r="H122" s="3088" t="inlineStr">
        <is>
          <t>Procesados</t>
        </is>
      </c>
      <c r="I122" s="3090" t="inlineStr">
        <is>
          <t>Reactivos</t>
        </is>
      </c>
      <c r="J122" s="3091" t="inlineStr">
        <is>
          <t>Procesados</t>
        </is>
      </c>
      <c r="K122" s="3089" t="inlineStr">
        <is>
          <t>Reactivos</t>
        </is>
      </c>
      <c r="L122" s="3088" t="inlineStr">
        <is>
          <t>Procesados</t>
        </is>
      </c>
      <c r="M122" s="3089" t="inlineStr">
        <is>
          <t>Reactivos</t>
        </is>
      </c>
      <c r="N122" s="3088" t="inlineStr">
        <is>
          <t>Procesados</t>
        </is>
      </c>
      <c r="O122" s="3089" t="inlineStr">
        <is>
          <t>Reactivos</t>
        </is>
      </c>
      <c r="P122" s="3088" t="inlineStr">
        <is>
          <t>Procesados</t>
        </is>
      </c>
      <c r="Q122" s="3089" t="inlineStr">
        <is>
          <t>Reactivos</t>
        </is>
      </c>
      <c r="R122" s="3088" t="inlineStr">
        <is>
          <t>Procesados</t>
        </is>
      </c>
      <c r="S122" s="3089" t="inlineStr">
        <is>
          <t>Reactivos</t>
        </is>
      </c>
      <c r="T122" s="3088" t="inlineStr">
        <is>
          <t>Procesados</t>
        </is>
      </c>
      <c r="U122" s="3089" t="inlineStr">
        <is>
          <t>Reactivos</t>
        </is>
      </c>
      <c r="V122" s="3088" t="inlineStr">
        <is>
          <t>Procesados</t>
        </is>
      </c>
      <c r="W122" s="3089" t="inlineStr">
        <is>
          <t>Reactivos</t>
        </is>
      </c>
      <c r="X122" s="3088" t="inlineStr">
        <is>
          <t>Procesados</t>
        </is>
      </c>
      <c r="Y122" s="3089" t="inlineStr">
        <is>
          <t>Reactivos</t>
        </is>
      </c>
      <c r="Z122" s="3088" t="inlineStr">
        <is>
          <t>Procesados</t>
        </is>
      </c>
      <c r="AA122" s="3089" t="inlineStr">
        <is>
          <t>Reactivos</t>
        </is>
      </c>
      <c r="AB122" s="3088" t="inlineStr">
        <is>
          <t>Procesados</t>
        </is>
      </c>
      <c r="AC122" s="3089" t="inlineStr">
        <is>
          <t>Reactivos</t>
        </is>
      </c>
      <c r="AD122" s="3088" t="inlineStr">
        <is>
          <t>Procesados</t>
        </is>
      </c>
      <c r="AE122" s="3089" t="inlineStr">
        <is>
          <t>Reactivos</t>
        </is>
      </c>
      <c r="AF122" s="3088" t="inlineStr">
        <is>
          <t>Procesados</t>
        </is>
      </c>
      <c r="AG122" s="3089" t="inlineStr">
        <is>
          <t>Reactivos</t>
        </is>
      </c>
      <c r="AH122" s="3088" t="inlineStr">
        <is>
          <t>Procesados</t>
        </is>
      </c>
      <c r="AI122" s="3089" t="inlineStr">
        <is>
          <t>Reactivos</t>
        </is>
      </c>
      <c r="AJ122" s="3088" t="inlineStr">
        <is>
          <t>Procesados</t>
        </is>
      </c>
      <c r="AK122" s="3089" t="inlineStr">
        <is>
          <t>Reactivos</t>
        </is>
      </c>
      <c r="AL122" s="3088" t="inlineStr">
        <is>
          <t>Procesados</t>
        </is>
      </c>
      <c r="AM122" s="3089" t="inlineStr">
        <is>
          <t>Reactivos</t>
        </is>
      </c>
      <c r="AN122" s="3088" t="inlineStr">
        <is>
          <t>Procesados</t>
        </is>
      </c>
      <c r="AO122" s="3089" t="inlineStr">
        <is>
          <t>Reactivos</t>
        </is>
      </c>
      <c r="AP122" s="3088" t="inlineStr">
        <is>
          <t>Procesados</t>
        </is>
      </c>
      <c r="AQ122" s="3092" t="inlineStr">
        <is>
          <t>Reactivos</t>
        </is>
      </c>
      <c r="AR122" s="9688" t="n"/>
      <c r="AS122" s="9926" t="n"/>
      <c r="AT122" s="7688" t="inlineStr">
        <is>
          <t>Masculino</t>
        </is>
      </c>
      <c r="AU122" s="8008" t="inlineStr">
        <is>
          <t>Femenino</t>
        </is>
      </c>
      <c r="AV122" s="10170" t="n"/>
      <c r="AW122" s="9611" t="n"/>
    </row>
    <row r="123">
      <c r="A123" s="3118" t="inlineStr">
        <is>
          <t>Gestantes primer trimestre embarazo</t>
        </is>
      </c>
      <c r="B123" s="3094">
        <f>+N123+P123+R123+T123+V123+X123+Z123+AB123+AD123+AF123+AH123+AJ123+AL123+AN123+AP123</f>
        <v/>
      </c>
      <c r="C123" s="3095">
        <f>+O123+Q123+S123+U123+W123+Y123+AA123+AC123+AE123+AG123+AI123+AK123+AM123+AO123+AQ123</f>
        <v/>
      </c>
      <c r="D123" s="3112" t="n"/>
      <c r="E123" s="3105" t="n"/>
      <c r="F123" s="3104" t="n"/>
      <c r="G123" s="3105" t="n"/>
      <c r="H123" s="3104" t="n"/>
      <c r="I123" s="3105" t="n"/>
      <c r="J123" s="3104" t="n"/>
      <c r="K123" s="3105" t="n"/>
      <c r="L123" s="3104" t="n"/>
      <c r="M123" s="3106" t="n"/>
      <c r="N123" s="3100" t="n"/>
      <c r="O123" s="3107" t="n"/>
      <c r="P123" s="3108" t="n"/>
      <c r="Q123" s="3107" t="n"/>
      <c r="R123" s="3108" t="n"/>
      <c r="S123" s="3107" t="n"/>
      <c r="T123" s="3108" t="n"/>
      <c r="U123" s="3107" t="n"/>
      <c r="V123" s="3108" t="n"/>
      <c r="W123" s="3107" t="n"/>
      <c r="X123" s="3108" t="n"/>
      <c r="Y123" s="3107" t="n"/>
      <c r="Z123" s="3108" t="n"/>
      <c r="AA123" s="3107" t="n"/>
      <c r="AB123" s="3108" t="n"/>
      <c r="AC123" s="3107" t="n"/>
      <c r="AD123" s="3108" t="n"/>
      <c r="AE123" s="3107" t="n"/>
      <c r="AF123" s="3108" t="n"/>
      <c r="AG123" s="3107" t="n"/>
      <c r="AH123" s="3108" t="n"/>
      <c r="AI123" s="3107" t="n"/>
      <c r="AJ123" s="3108" t="n"/>
      <c r="AK123" s="3107" t="n"/>
      <c r="AL123" s="3108" t="n"/>
      <c r="AM123" s="3107" t="n"/>
      <c r="AN123" s="3108" t="n"/>
      <c r="AO123" s="3107" t="n"/>
      <c r="AP123" s="3108" t="n"/>
      <c r="AQ123" s="3098" t="n"/>
      <c r="AR123" s="3097" t="n"/>
      <c r="AS123" s="3098" t="n"/>
      <c r="AT123" s="3099" t="n"/>
      <c r="AU123" s="3098" t="n"/>
      <c r="AV123" s="3840" t="n"/>
      <c r="AW123" s="3656" t="n"/>
      <c r="AX123" s="218">
        <f>$CA123&amp;CB123&amp;CC123&amp;$CD123&amp;CJ123&amp;CK123&amp;CL123&amp;CM123&amp;CN123&amp;CO123&amp;CP123&amp;CQ123&amp;CR123&amp;CS123&amp;CT123&amp;CU123&amp;CV123&amp;CW123&amp;CX123</f>
        <v/>
      </c>
      <c r="CA123" s="219">
        <f>IF(B123&lt;&gt;(AS123)," * La suma de las columnas "&amp;AR$10&amp;""&amp;" DEBE SER IGUAL a los Exámenes Procesados. ","")</f>
        <v/>
      </c>
      <c r="CB123" s="219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>
        <f>IF(AND($B123&gt;0,AV123=""),"* No olvide ingresar la columna "&amp;AV$10&amp;""&amp;" *(Digite CERO si no tiene). ",IF(AV123&gt;$B123," *El Número de "&amp;AV$10&amp;""&amp;" no puede superar el Total Procesados. ",""))</f>
        <v/>
      </c>
      <c r="CD123" s="219">
        <f>IF(AND($B123&gt;0,AW123=""),"* No olvide ingresar la columna "&amp;AW$10&amp;""&amp;" *(Digite CERO si no tiene). ",IF(AW123&gt;$B123," *El Número de "&amp;AW$10&amp;""&amp;" no puede superar el Total Procesados. ",""))</f>
        <v/>
      </c>
      <c r="CE123" s="220" t="n"/>
      <c r="CF123" s="220" t="n"/>
      <c r="CG123" s="220" t="n"/>
      <c r="CH123" s="220" t="n"/>
      <c r="CI123" s="220" t="n"/>
      <c r="CJ123" s="219">
        <f>IF(N123&lt;O123,CONCATENATE("* El total de Procesados debe ser mayor o igual al total de Reactivos en el grupo de edad ",$N$11),"")</f>
        <v/>
      </c>
      <c r="CK123" s="219">
        <f>IF(P123&lt;Q123,CONCATENATE("* El total de Procesados debe ser mayor o igual al total de Reactivos en el grupo de edad ",$P$11),"")</f>
        <v/>
      </c>
      <c r="CL123" s="219">
        <f>IF(R123&lt;S123,CONCATENATE("* El total de Procesados debe ser mayor o igual al total de Reactivos en el grupo de edad ",$R$11),"")</f>
        <v/>
      </c>
      <c r="CM123" s="219">
        <f>IF($T123&lt;$U123,CONCATENATE("* El total de Procesados debe ser mayor o igual al total de Reactivos en el grupo de edad ",$T$11),"")</f>
        <v/>
      </c>
      <c r="CN123" s="219">
        <f>IF(V123&lt;W123,CONCATENATE("* El total de Procesados debe ser mayor o igual al total de Reactivos en el grupo de edad ",$V$11),"")</f>
        <v/>
      </c>
      <c r="CO123" s="219">
        <f>IF(X123&lt;Y123,CONCATENATE("* El total de Procesados debe ser mayor o igual al total de Reactivos en el grupo de edad ",$X$11),"")</f>
        <v/>
      </c>
      <c r="CP123" s="219">
        <f>IF(Z123&lt;AA123,CONCATENATE("* El total de Procesados debe ser mayor o igual al total de Reactivos en el grupo de edad ",$Z$11),"")</f>
        <v/>
      </c>
      <c r="CQ123" s="219">
        <f>IF(AB123&lt;AC123,CONCATENATE("* El total de Procesados debe ser mayor o igual al total de Reactivos en el grupo de edad ",$AB$11),"")</f>
        <v/>
      </c>
      <c r="CR123" s="219">
        <f>IF(AD123&lt;AE123,CONCATENATE("* El total de Procesados debe ser mayor o igual al total de Reactivos en el grupo de edad ",$AD$11),"")</f>
        <v/>
      </c>
      <c r="CS123" s="219">
        <f>IF(AF123&lt;AG123,CONCATENATE("* El total de Procesados debe ser mayor o igual al total de Reactivos en el grupo de edad ",$AF$11),"")</f>
        <v/>
      </c>
      <c r="CT123" s="219">
        <f>IF(AH123&lt;AI123,CONCATENATE("* El total de Procesados debe ser mayor o igual al total de Reactivos en el grupo de edad ",$AH$11),"")</f>
        <v/>
      </c>
      <c r="CU123" s="219">
        <f>IF(AJ123&lt;AK123,CONCATENATE("* El total de Procesados debe ser mayor o igual al total de Reactivos en el grupo de edad ",$AJ$11),"")</f>
        <v/>
      </c>
      <c r="CV123" s="219">
        <f>IF(AL123&lt;AM123,CONCATENATE("* El total de Procesados debe ser mayor o igual al total de Reactivos en el grupo de edad ",$AL$11),"")</f>
        <v/>
      </c>
      <c r="CW123" s="219">
        <f>IF(AN123&lt;AO123,CONCATENATE("* El total de Procesados debe ser mayor o igual al total de Reactivos en el grupo de edad ",$AN$11),"")</f>
        <v/>
      </c>
      <c r="CX123" s="219">
        <f>IF(AP123&lt;AQ123,CONCATENATE("* El total de Procesados debe ser mayor o igual al total de Reactivos en el grupo de edad ",$AP$11),"")</f>
        <v/>
      </c>
      <c r="DE123" s="226" t="n"/>
      <c r="DF123" s="378">
        <f>IF(B123&lt;&gt;(AS123),1,0)</f>
        <v/>
      </c>
      <c r="DG123" s="376">
        <f>IF(AND($B123&gt;0,AND(AT123="",AU123="")),1,IF((AT123+AU123)&gt;$B123,1,0))</f>
        <v/>
      </c>
      <c r="DH123" s="376">
        <f>IF(AND($B123&gt;0,AV123=""),1,IF(AV123&gt;$B123,1,0))</f>
        <v/>
      </c>
      <c r="DI123" s="376">
        <f>IF(AND($B123&gt;0,AW123=""),1,IF(AW123&gt;$B123,1,0))</f>
        <v/>
      </c>
      <c r="DJ123" s="220" t="n"/>
      <c r="DK123" s="220" t="n"/>
      <c r="DL123" s="220" t="n"/>
      <c r="DM123" s="220" t="n"/>
      <c r="DN123" s="220" t="n"/>
      <c r="DO123" s="376">
        <f>IF(N123&lt;O123,1,0)</f>
        <v/>
      </c>
      <c r="DP123" s="376">
        <f>IF(P123&lt;Q123,1,0)</f>
        <v/>
      </c>
      <c r="DQ123" s="376">
        <f>IF(R123&lt;S123,1,0)</f>
        <v/>
      </c>
      <c r="DR123" s="376">
        <f>IF($T123&lt;$U123,1,0)</f>
        <v/>
      </c>
      <c r="DS123" s="376">
        <f>IF(V123&lt;W123,1,0)</f>
        <v/>
      </c>
      <c r="DT123" s="376">
        <f>IF(X123&lt;Y123,1,0)</f>
        <v/>
      </c>
      <c r="DU123" s="376">
        <f>IF(Z123&lt;AA123,1,0)</f>
        <v/>
      </c>
      <c r="DV123" s="376">
        <f>IF(AB123&lt;AC123,1,0)</f>
        <v/>
      </c>
      <c r="DW123" s="376">
        <f>IF(AD123&lt;AE123,1,0)</f>
        <v/>
      </c>
      <c r="DX123" s="376">
        <f>IF(AF123&lt;AG123,1,0)</f>
        <v/>
      </c>
      <c r="DY123" s="376">
        <f>IF(AH123&lt;AI123,1,0)</f>
        <v/>
      </c>
      <c r="DZ123" s="376">
        <f>IF(AJ123&lt;AK123,1,0)</f>
        <v/>
      </c>
      <c r="EA123" s="376">
        <f>IF(AL123&lt;AM123,1,0)</f>
        <v/>
      </c>
      <c r="EB123" s="376">
        <f>IF(AN123&lt;AO123,1,0)</f>
        <v/>
      </c>
      <c r="EC123" s="376">
        <f>IF(AP123&lt;AQ123,1,0)</f>
        <v/>
      </c>
    </row>
    <row r="124">
      <c r="A124" s="3119" t="inlineStr">
        <is>
          <t>Gestantes segundo trimestre embarazo</t>
        </is>
      </c>
      <c r="B124" s="3103">
        <f>+N124+P124+R124+T124+V124+X124+Z124+AB124+AD124+AF124+AH124+AJ124+AL124+AN124+AP124</f>
        <v/>
      </c>
      <c r="C124" s="1171">
        <f>+O124+Q124+S124+U124+W124+Y124+AA124+AC124+AE124+AG124+AI124+AK124+AM124+AO124+AQ124</f>
        <v/>
      </c>
      <c r="D124" s="3112" t="n"/>
      <c r="E124" s="3105" t="n"/>
      <c r="F124" s="3104" t="n"/>
      <c r="G124" s="3105" t="n"/>
      <c r="H124" s="3104" t="n"/>
      <c r="I124" s="3105" t="n"/>
      <c r="J124" s="3104" t="n"/>
      <c r="K124" s="3105" t="n"/>
      <c r="L124" s="3104" t="n"/>
      <c r="M124" s="3106" t="n"/>
      <c r="N124" s="3100" t="n"/>
      <c r="O124" s="3107" t="n"/>
      <c r="P124" s="3108" t="n"/>
      <c r="Q124" s="3107" t="n"/>
      <c r="R124" s="3108" t="n"/>
      <c r="S124" s="3107" t="n"/>
      <c r="T124" s="3108" t="n"/>
      <c r="U124" s="3107" t="n"/>
      <c r="V124" s="3108" t="n"/>
      <c r="W124" s="3107" t="n"/>
      <c r="X124" s="3108" t="n"/>
      <c r="Y124" s="3107" t="n"/>
      <c r="Z124" s="3108" t="n"/>
      <c r="AA124" s="3107" t="n"/>
      <c r="AB124" s="3108" t="n"/>
      <c r="AC124" s="3107" t="n"/>
      <c r="AD124" s="3108" t="n"/>
      <c r="AE124" s="3107" t="n"/>
      <c r="AF124" s="3108" t="n"/>
      <c r="AG124" s="3107" t="n"/>
      <c r="AH124" s="3108" t="n"/>
      <c r="AI124" s="3107" t="n"/>
      <c r="AJ124" s="3108" t="n"/>
      <c r="AK124" s="3107" t="n"/>
      <c r="AL124" s="3108" t="n"/>
      <c r="AM124" s="3107" t="n"/>
      <c r="AN124" s="3108" t="n"/>
      <c r="AO124" s="3107" t="n"/>
      <c r="AP124" s="3108" t="n"/>
      <c r="AQ124" s="3098" t="n"/>
      <c r="AR124" s="3097" t="n"/>
      <c r="AS124" s="3098" t="n"/>
      <c r="AT124" s="3099" t="n"/>
      <c r="AU124" s="3098" t="n"/>
      <c r="AV124" s="3845" t="n"/>
      <c r="AW124" s="3656" t="n"/>
      <c r="AX124" s="218">
        <f>$CA124&amp;CB124&amp;CC124&amp;$CD124&amp;CJ124&amp;CK124&amp;CL124&amp;CM124&amp;CN124&amp;CO124&amp;CP124&amp;CQ124&amp;CR124&amp;CS124&amp;CT124&amp;CU124&amp;CV124&amp;CW124&amp;CX124</f>
        <v/>
      </c>
      <c r="CA124" s="219">
        <f>IF(B124&lt;&gt;(AS124)," * La suma de las columnas "&amp;AR$10&amp;""&amp;" DEBE SER IGUAL a los Exámenes Procesados. ","")</f>
        <v/>
      </c>
      <c r="CB124" s="219">
        <f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C124" s="219">
        <f>IF(AND($B124&gt;0,AV124=""),"* No olvide ingresar la columna "&amp;AV$10&amp;""&amp;" *(Digite CERO si no tiene). ",IF(AV124&gt;$B124," *El Número de "&amp;AV$10&amp;""&amp;" no puede superar el Total Procesados. ",""))</f>
        <v/>
      </c>
      <c r="CD124" s="219">
        <f>IF(AND($B124&gt;0,AW124=""),"* No olvide ingresar la columna "&amp;AW$10&amp;""&amp;" *(Digite CERO si no tiene). ",IF(AW124&gt;$B124," *El Número de "&amp;AW$10&amp;""&amp;" no puede superar el Total Procesados. ",""))</f>
        <v/>
      </c>
      <c r="CE124" s="220" t="n"/>
      <c r="CF124" s="220" t="n"/>
      <c r="CG124" s="220" t="n"/>
      <c r="CH124" s="220" t="n"/>
      <c r="CI124" s="220" t="n"/>
      <c r="CJ124" s="219">
        <f>IF(N124&lt;O124,CONCATENATE("* El total de Procesados debe ser mayor o igual al total de Reactivos en el grupo de edad ",$N$11),"")</f>
        <v/>
      </c>
      <c r="CK124" s="219">
        <f>IF(P124&lt;Q124,CONCATENATE("* El total de Procesados debe ser mayor o igual al total de Reactivos en el grupo de edad ",$P$11),"")</f>
        <v/>
      </c>
      <c r="CL124" s="219">
        <f>IF(R124&lt;S124,CONCATENATE("* El total de Procesados debe ser mayor o igual al total de Reactivos en el grupo de edad ",$R$11),"")</f>
        <v/>
      </c>
      <c r="CM124" s="219">
        <f>IF($T124&lt;$U124,CONCATENATE("* El total de Procesados debe ser mayor o igual al total de Reactivos en el grupo de edad ",$T$11),"")</f>
        <v/>
      </c>
      <c r="CN124" s="219">
        <f>IF(V124&lt;W124,CONCATENATE("* El total de Procesados debe ser mayor o igual al total de Reactivos en el grupo de edad ",$V$11),"")</f>
        <v/>
      </c>
      <c r="CO124" s="219">
        <f>IF(X124&lt;Y124,CONCATENATE("* El total de Procesados debe ser mayor o igual al total de Reactivos en el grupo de edad ",$X$11),"")</f>
        <v/>
      </c>
      <c r="CP124" s="219">
        <f>IF(Z124&lt;AA124,CONCATENATE("* El total de Procesados debe ser mayor o igual al total de Reactivos en el grupo de edad ",$Z$11),"")</f>
        <v/>
      </c>
      <c r="CQ124" s="219">
        <f>IF(AB124&lt;AC124,CONCATENATE("* El total de Procesados debe ser mayor o igual al total de Reactivos en el grupo de edad ",$AB$11),"")</f>
        <v/>
      </c>
      <c r="CR124" s="219">
        <f>IF(AD124&lt;AE124,CONCATENATE("* El total de Procesados debe ser mayor o igual al total de Reactivos en el grupo de edad ",$AD$11),"")</f>
        <v/>
      </c>
      <c r="CS124" s="219">
        <f>IF(AF124&lt;AG124,CONCATENATE("* El total de Procesados debe ser mayor o igual al total de Reactivos en el grupo de edad ",$AF$11),"")</f>
        <v/>
      </c>
      <c r="CT124" s="219">
        <f>IF(AH124&lt;AI124,CONCATENATE("* El total de Procesados debe ser mayor o igual al total de Reactivos en el grupo de edad ",$AH$11),"")</f>
        <v/>
      </c>
      <c r="CU124" s="219">
        <f>IF(AJ124&lt;AK124,CONCATENATE("* El total de Procesados debe ser mayor o igual al total de Reactivos en el grupo de edad ",$AJ$11),"")</f>
        <v/>
      </c>
      <c r="CV124" s="219">
        <f>IF(AL124&lt;AM124,CONCATENATE("* El total de Procesados debe ser mayor o igual al total de Reactivos en el grupo de edad ",$AL$11),"")</f>
        <v/>
      </c>
      <c r="CW124" s="219">
        <f>IF(AN124&lt;AO124,CONCATENATE("* El total de Procesados debe ser mayor o igual al total de Reactivos en el grupo de edad ",$AN$11),"")</f>
        <v/>
      </c>
      <c r="CX124" s="219">
        <f>IF(AP124&lt;AQ124,CONCATENATE("* El total de Procesados debe ser mayor o igual al total de Reactivos en el grupo de edad ",$AP$11),"")</f>
        <v/>
      </c>
      <c r="DE124" s="226" t="n"/>
      <c r="DF124" s="378">
        <f>IF(B124&lt;&gt;(AS124),1,0)</f>
        <v/>
      </c>
      <c r="DG124" s="376">
        <f>IF(AND($B124&gt;0,AND(AT124="",AU124="")),1,IF((AT124+AU124)&gt;$B124,1,0))</f>
        <v/>
      </c>
      <c r="DH124" s="376">
        <f>IF(AND($B124&gt;0,AV124=""),1,IF(AV124&gt;$B124,1,0))</f>
        <v/>
      </c>
      <c r="DI124" s="376">
        <f>IF(AND($B124&gt;0,AW124=""),1,IF(AW124&gt;$B124,1,0))</f>
        <v/>
      </c>
      <c r="DJ124" s="220" t="n"/>
      <c r="DK124" s="220" t="n"/>
      <c r="DL124" s="220" t="n"/>
      <c r="DM124" s="220" t="n"/>
      <c r="DN124" s="220" t="n"/>
      <c r="DO124" s="376">
        <f>IF(N124&lt;O124,1,0)</f>
        <v/>
      </c>
      <c r="DP124" s="376">
        <f>IF(P124&lt;Q124,1,0)</f>
        <v/>
      </c>
      <c r="DQ124" s="376">
        <f>IF(R124&lt;S124,1,0)</f>
        <v/>
      </c>
      <c r="DR124" s="376">
        <f>IF($T124&lt;$U124,1,0)</f>
        <v/>
      </c>
      <c r="DS124" s="376">
        <f>IF(V124&lt;W124,1,0)</f>
        <v/>
      </c>
      <c r="DT124" s="376">
        <f>IF(X124&lt;Y124,1,0)</f>
        <v/>
      </c>
      <c r="DU124" s="376">
        <f>IF(Z124&lt;AA124,1,0)</f>
        <v/>
      </c>
      <c r="DV124" s="376">
        <f>IF(AB124&lt;AC124,1,0)</f>
        <v/>
      </c>
      <c r="DW124" s="376">
        <f>IF(AD124&lt;AE124,1,0)</f>
        <v/>
      </c>
      <c r="DX124" s="376">
        <f>IF(AF124&lt;AG124,1,0)</f>
        <v/>
      </c>
      <c r="DY124" s="376">
        <f>IF(AH124&lt;AI124,1,0)</f>
        <v/>
      </c>
      <c r="DZ124" s="376">
        <f>IF(AJ124&lt;AK124,1,0)</f>
        <v/>
      </c>
      <c r="EA124" s="376">
        <f>IF(AL124&lt;AM124,1,0)</f>
        <v/>
      </c>
      <c r="EB124" s="376">
        <f>IF(AN124&lt;AO124,1,0)</f>
        <v/>
      </c>
      <c r="EC124" s="376">
        <f>IF(AP124&lt;AQ124,1,0)</f>
        <v/>
      </c>
    </row>
    <row r="125">
      <c r="A125" s="3119" t="inlineStr">
        <is>
          <t>Gestantes tercer trimestre embarazo</t>
        </is>
      </c>
      <c r="B125" s="3103">
        <f>+N125+P125+R125+T125+V125+X125+Z125+AB125+AD125+AF125+AH125+AJ125+AL125+AN125+AP125</f>
        <v/>
      </c>
      <c r="C125" s="1171">
        <f>+O125+Q125+S125+U125+W125+Y125+AA125+AC125+AE125+AG125+AI125+AK125+AM125+AO125+AQ125</f>
        <v/>
      </c>
      <c r="D125" s="3112" t="n"/>
      <c r="E125" s="3105" t="n"/>
      <c r="F125" s="3104" t="n"/>
      <c r="G125" s="3105" t="n"/>
      <c r="H125" s="3104" t="n"/>
      <c r="I125" s="3105" t="n"/>
      <c r="J125" s="3104" t="n"/>
      <c r="K125" s="3105" t="n"/>
      <c r="L125" s="3104" t="n"/>
      <c r="M125" s="3106" t="n"/>
      <c r="N125" s="3100" t="n"/>
      <c r="O125" s="3107" t="n"/>
      <c r="P125" s="3108" t="n"/>
      <c r="Q125" s="3107" t="n"/>
      <c r="R125" s="3108" t="n"/>
      <c r="S125" s="3107" t="n"/>
      <c r="T125" s="3108" t="n"/>
      <c r="U125" s="3107" t="n"/>
      <c r="V125" s="3108" t="n"/>
      <c r="W125" s="3107" t="n"/>
      <c r="X125" s="3108" t="n"/>
      <c r="Y125" s="3107" t="n"/>
      <c r="Z125" s="3108" t="n"/>
      <c r="AA125" s="3107" t="n"/>
      <c r="AB125" s="3108" t="n"/>
      <c r="AC125" s="3107" t="n"/>
      <c r="AD125" s="3108" t="n"/>
      <c r="AE125" s="3107" t="n"/>
      <c r="AF125" s="3108" t="n"/>
      <c r="AG125" s="3107" t="n"/>
      <c r="AH125" s="3108" t="n"/>
      <c r="AI125" s="3107" t="n"/>
      <c r="AJ125" s="3108" t="n"/>
      <c r="AK125" s="3107" t="n"/>
      <c r="AL125" s="3108" t="n"/>
      <c r="AM125" s="3107" t="n"/>
      <c r="AN125" s="3108" t="n"/>
      <c r="AO125" s="3107" t="n"/>
      <c r="AP125" s="3108" t="n"/>
      <c r="AQ125" s="3098" t="n"/>
      <c r="AR125" s="3097" t="n"/>
      <c r="AS125" s="3098" t="n"/>
      <c r="AT125" s="3099" t="n"/>
      <c r="AU125" s="3098" t="n"/>
      <c r="AV125" s="3845" t="n"/>
      <c r="AW125" s="3656" t="n"/>
      <c r="AX125" s="218">
        <f>$CA125&amp;CB125&amp;CC125&amp;$CD125&amp;CJ125&amp;CK125&amp;CL125&amp;CM125&amp;CN125&amp;CO125&amp;CP125&amp;CQ125&amp;CR125&amp;CS125&amp;CT125&amp;CU125&amp;CV125&amp;CW125&amp;CX125</f>
        <v/>
      </c>
      <c r="CA125" s="219">
        <f>IF(B125&lt;&gt;(AS125)," * La suma de las columnas "&amp;AR$10&amp;""&amp;" DEBE SER IGUAL a los Exámenes Procesados. ","")</f>
        <v/>
      </c>
      <c r="CB125" s="219">
        <f>IF(AND($B125&gt;0,AND(AT125="",AU125="")),"* No olvide ingresar las columnas Trans Masculino o Femenino (*Digite CERO si no tiene). ",IF((AT125+AU125)&gt;$B125,"* El Número de Trans Masculino o Femenino no puede superar el Total Procesados. ",""))</f>
        <v/>
      </c>
      <c r="CC125" s="219">
        <f>IF(AND($B125&gt;0,AV125=""),"* No olvide ingresar la columna "&amp;AV$10&amp;""&amp;" *(Digite CERO si no tiene). ",IF(AV125&gt;$B125," *El Número de "&amp;AV$10&amp;""&amp;" no puede superar el Total Procesados. ",""))</f>
        <v/>
      </c>
      <c r="CD125" s="219">
        <f>IF(AND($B125&gt;0,AW125=""),"* No olvide ingresar la columna "&amp;AW$10&amp;""&amp;" *(Digite CERO si no tiene). ",IF(AW125&gt;$B125," *El Número de "&amp;AW$10&amp;""&amp;" no puede superar el Total Procesados. ",""))</f>
        <v/>
      </c>
      <c r="CE125" s="220" t="n"/>
      <c r="CF125" s="220" t="n"/>
      <c r="CG125" s="220" t="n"/>
      <c r="CH125" s="220" t="n"/>
      <c r="CI125" s="220" t="n"/>
      <c r="CJ125" s="219">
        <f>IF(N125&lt;O125,CONCATENATE("* El total de Procesados debe ser mayor o igual al total de Reactivos en el grupo de edad ",$N$11),"")</f>
        <v/>
      </c>
      <c r="CK125" s="219">
        <f>IF(P125&lt;Q125,CONCATENATE("* El total de Procesados debe ser mayor o igual al total de Reactivos en el grupo de edad ",$P$11),"")</f>
        <v/>
      </c>
      <c r="CL125" s="219">
        <f>IF(R125&lt;S125,CONCATENATE("* El total de Procesados debe ser mayor o igual al total de Reactivos en el grupo de edad ",$R$11),"")</f>
        <v/>
      </c>
      <c r="CM125" s="219">
        <f>IF($T125&lt;$U125,CONCATENATE("* El total de Procesados debe ser mayor o igual al total de Reactivos en el grupo de edad ",$T$11),"")</f>
        <v/>
      </c>
      <c r="CN125" s="219">
        <f>IF(V125&lt;W125,CONCATENATE("* El total de Procesados debe ser mayor o igual al total de Reactivos en el grupo de edad ",$V$11),"")</f>
        <v/>
      </c>
      <c r="CO125" s="219">
        <f>IF(X125&lt;Y125,CONCATENATE("* El total de Procesados debe ser mayor o igual al total de Reactivos en el grupo de edad ",$X$11),"")</f>
        <v/>
      </c>
      <c r="CP125" s="219">
        <f>IF(Z125&lt;AA125,CONCATENATE("* El total de Procesados debe ser mayor o igual al total de Reactivos en el grupo de edad ",$Z$11),"")</f>
        <v/>
      </c>
      <c r="CQ125" s="219">
        <f>IF(AB125&lt;AC125,CONCATENATE("* El total de Procesados debe ser mayor o igual al total de Reactivos en el grupo de edad ",$AB$11),"")</f>
        <v/>
      </c>
      <c r="CR125" s="219">
        <f>IF(AD125&lt;AE125,CONCATENATE("* El total de Procesados debe ser mayor o igual al total de Reactivos en el grupo de edad ",$AD$11),"")</f>
        <v/>
      </c>
      <c r="CS125" s="219">
        <f>IF(AF125&lt;AG125,CONCATENATE("* El total de Procesados debe ser mayor o igual al total de Reactivos en el grupo de edad ",$AF$11),"")</f>
        <v/>
      </c>
      <c r="CT125" s="219">
        <f>IF(AH125&lt;AI125,CONCATENATE("* El total de Procesados debe ser mayor o igual al total de Reactivos en el grupo de edad ",$AH$11),"")</f>
        <v/>
      </c>
      <c r="CU125" s="219">
        <f>IF(AJ125&lt;AK125,CONCATENATE("* El total de Procesados debe ser mayor o igual al total de Reactivos en el grupo de edad ",$AJ$11),"")</f>
        <v/>
      </c>
      <c r="CV125" s="219">
        <f>IF(AL125&lt;AM125,CONCATENATE("* El total de Procesados debe ser mayor o igual al total de Reactivos en el grupo de edad ",$AL$11),"")</f>
        <v/>
      </c>
      <c r="CW125" s="219">
        <f>IF(AN125&lt;AO125,CONCATENATE("* El total de Procesados debe ser mayor o igual al total de Reactivos en el grupo de edad ",$AN$11),"")</f>
        <v/>
      </c>
      <c r="CX125" s="219">
        <f>IF(AP125&lt;AQ125,CONCATENATE("* El total de Procesados debe ser mayor o igual al total de Reactivos en el grupo de edad ",$AP$11),"")</f>
        <v/>
      </c>
      <c r="DE125" s="226" t="n"/>
      <c r="DF125" s="378">
        <f>IF(B125&lt;&gt;(AS125),1,0)</f>
        <v/>
      </c>
      <c r="DG125" s="376">
        <f>IF(AND($B125&gt;0,AND(AT125="",AU125="")),1,IF((AT125+AU125)&gt;$B125,1,0))</f>
        <v/>
      </c>
      <c r="DH125" s="376">
        <f>IF(AND($B125&gt;0,AV125=""),1,IF(AV125&gt;$B125,1,0))</f>
        <v/>
      </c>
      <c r="DI125" s="376">
        <f>IF(AND($B125&gt;0,AW125=""),1,IF(AW125&gt;$B125,1,0))</f>
        <v/>
      </c>
      <c r="DJ125" s="220" t="n"/>
      <c r="DK125" s="220" t="n"/>
      <c r="DL125" s="220" t="n"/>
      <c r="DM125" s="220" t="n"/>
      <c r="DN125" s="220" t="n"/>
      <c r="DO125" s="376">
        <f>IF(N125&lt;O125,1,0)</f>
        <v/>
      </c>
      <c r="DP125" s="376">
        <f>IF(P125&lt;Q125,1,0)</f>
        <v/>
      </c>
      <c r="DQ125" s="376">
        <f>IF(R125&lt;S125,1,0)</f>
        <v/>
      </c>
      <c r="DR125" s="376">
        <f>IF($T125&lt;$U125,1,0)</f>
        <v/>
      </c>
      <c r="DS125" s="376">
        <f>IF(V125&lt;W125,1,0)</f>
        <v/>
      </c>
      <c r="DT125" s="376">
        <f>IF(X125&lt;Y125,1,0)</f>
        <v/>
      </c>
      <c r="DU125" s="376">
        <f>IF(Z125&lt;AA125,1,0)</f>
        <v/>
      </c>
      <c r="DV125" s="376">
        <f>IF(AB125&lt;AC125,1,0)</f>
        <v/>
      </c>
      <c r="DW125" s="376">
        <f>IF(AD125&lt;AE125,1,0)</f>
        <v/>
      </c>
      <c r="DX125" s="376">
        <f>IF(AF125&lt;AG125,1,0)</f>
        <v/>
      </c>
      <c r="DY125" s="376">
        <f>IF(AH125&lt;AI125,1,0)</f>
        <v/>
      </c>
      <c r="DZ125" s="376">
        <f>IF(AJ125&lt;AK125,1,0)</f>
        <v/>
      </c>
      <c r="EA125" s="376">
        <f>IF(AL125&lt;AM125,1,0)</f>
        <v/>
      </c>
      <c r="EB125" s="376">
        <f>IF(AN125&lt;AO125,1,0)</f>
        <v/>
      </c>
      <c r="EC125" s="376">
        <f>IF(AP125&lt;AQ125,1,0)</f>
        <v/>
      </c>
    </row>
    <row r="126">
      <c r="A126" s="3119" t="inlineStr">
        <is>
          <t>Gestantes trimestre embarazo ignorado</t>
        </is>
      </c>
      <c r="B126" s="3103">
        <f>+N126+P126+R126+T126+V126+X126+Z126+AB126+AD126+AF126+AH126+AJ126+AL126+AN126+AP126</f>
        <v/>
      </c>
      <c r="C126" s="1171">
        <f>+O126+Q126+S126+U126+W126+Y126+AA126+AC126+AE126+AG126+AI126+AK126+AM126+AO126+AQ126</f>
        <v/>
      </c>
      <c r="D126" s="3112" t="n"/>
      <c r="E126" s="3105" t="n"/>
      <c r="F126" s="3104" t="n"/>
      <c r="G126" s="3105" t="n"/>
      <c r="H126" s="3104" t="n"/>
      <c r="I126" s="3105" t="n"/>
      <c r="J126" s="3104" t="n"/>
      <c r="K126" s="3105" t="n"/>
      <c r="L126" s="3104" t="n"/>
      <c r="M126" s="3106" t="n"/>
      <c r="N126" s="3100" t="n"/>
      <c r="O126" s="3107" t="n"/>
      <c r="P126" s="3108" t="n"/>
      <c r="Q126" s="3107" t="n"/>
      <c r="R126" s="3108" t="n"/>
      <c r="S126" s="3107" t="n"/>
      <c r="T126" s="3108" t="n"/>
      <c r="U126" s="3107" t="n"/>
      <c r="V126" s="3108" t="n"/>
      <c r="W126" s="3107" t="n"/>
      <c r="X126" s="3108" t="n"/>
      <c r="Y126" s="3107" t="n"/>
      <c r="Z126" s="3108" t="n"/>
      <c r="AA126" s="3107" t="n"/>
      <c r="AB126" s="3108" t="n"/>
      <c r="AC126" s="3107" t="n"/>
      <c r="AD126" s="3108" t="n"/>
      <c r="AE126" s="3107" t="n"/>
      <c r="AF126" s="3108" t="n"/>
      <c r="AG126" s="3107" t="n"/>
      <c r="AH126" s="3108" t="n"/>
      <c r="AI126" s="3107" t="n"/>
      <c r="AJ126" s="3108" t="n"/>
      <c r="AK126" s="3107" t="n"/>
      <c r="AL126" s="3108" t="n"/>
      <c r="AM126" s="3107" t="n"/>
      <c r="AN126" s="3108" t="n"/>
      <c r="AO126" s="3107" t="n"/>
      <c r="AP126" s="3108" t="n"/>
      <c r="AQ126" s="3098" t="n"/>
      <c r="AR126" s="3097" t="n"/>
      <c r="AS126" s="3098" t="n"/>
      <c r="AT126" s="3099" t="n"/>
      <c r="AU126" s="3098" t="n"/>
      <c r="AV126" s="3845" t="n"/>
      <c r="AW126" s="3656" t="n"/>
      <c r="AX126" s="218">
        <f>$CA126&amp;CB126&amp;CC126&amp;$CD126&amp;CJ126&amp;CK126&amp;CL126&amp;CM126&amp;CN126&amp;CO126&amp;CP126&amp;CQ126&amp;CR126&amp;CS126&amp;CT126&amp;CU126&amp;CV126&amp;CW126&amp;CX126</f>
        <v/>
      </c>
      <c r="CA126" s="219">
        <f>IF(B126&lt;&gt;(AS126)," * La suma de las columnas "&amp;AR$10&amp;""&amp;" DEBE SER IGUAL a los Exámenes Procesados. ","")</f>
        <v/>
      </c>
      <c r="CB126" s="219">
        <f>IF(AND($B126&gt;0,AND(AT126="",AU126="")),"* No olvide ingresar las columnas Trans Masculino o Femenino (*Digite CERO si no tiene). ",IF((AT126+AU126)&gt;$B126,"* El Número de Trans Masculino o Femenino no puede superar el Total Procesados. ",""))</f>
        <v/>
      </c>
      <c r="CC126" s="219">
        <f>IF(AND($B126&gt;0,AV126=""),"* No olvide ingresar la columna "&amp;AV$10&amp;""&amp;" *(Digite CERO si no tiene). ",IF(AV126&gt;$B126," *El Número de "&amp;AV$10&amp;""&amp;" no puede superar el Total Procesados. ",""))</f>
        <v/>
      </c>
      <c r="CD126" s="219">
        <f>IF(AND($B126&gt;0,AW126=""),"* No olvide ingresar la columna "&amp;AW$10&amp;""&amp;" *(Digite CERO si no tiene). ",IF(AW126&gt;$B126," *El Número de "&amp;AW$10&amp;""&amp;" no puede superar el Total Procesados. ",""))</f>
        <v/>
      </c>
      <c r="CE126" s="220" t="n"/>
      <c r="CF126" s="220" t="n"/>
      <c r="CG126" s="220" t="n"/>
      <c r="CH126" s="220" t="n"/>
      <c r="CI126" s="220" t="n"/>
      <c r="CJ126" s="219">
        <f>IF(N126&lt;O126,CONCATENATE("* El total de Procesados debe ser mayor o igual al total de Reactivos en el grupo de edad ",$N$11),"")</f>
        <v/>
      </c>
      <c r="CK126" s="219">
        <f>IF(P126&lt;Q126,CONCATENATE("* El total de Procesados debe ser mayor o igual al total de Reactivos en el grupo de edad ",$P$11),"")</f>
        <v/>
      </c>
      <c r="CL126" s="219">
        <f>IF(R126&lt;S126,CONCATENATE("* El total de Procesados debe ser mayor o igual al total de Reactivos en el grupo de edad ",$R$11),"")</f>
        <v/>
      </c>
      <c r="CM126" s="219">
        <f>IF($T126&lt;$U126,CONCATENATE("* El total de Procesados debe ser mayor o igual al total de Reactivos en el grupo de edad ",$T$11),"")</f>
        <v/>
      </c>
      <c r="CN126" s="219">
        <f>IF(V126&lt;W126,CONCATENATE("* El total de Procesados debe ser mayor o igual al total de Reactivos en el grupo de edad ",$V$11),"")</f>
        <v/>
      </c>
      <c r="CO126" s="219">
        <f>IF(X126&lt;Y126,CONCATENATE("* El total de Procesados debe ser mayor o igual al total de Reactivos en el grupo de edad ",$X$11),"")</f>
        <v/>
      </c>
      <c r="CP126" s="219">
        <f>IF(Z126&lt;AA126,CONCATENATE("* El total de Procesados debe ser mayor o igual al total de Reactivos en el grupo de edad ",$Z$11),"")</f>
        <v/>
      </c>
      <c r="CQ126" s="219">
        <f>IF(AB126&lt;AC126,CONCATENATE("* El total de Procesados debe ser mayor o igual al total de Reactivos en el grupo de edad ",$AB$11),"")</f>
        <v/>
      </c>
      <c r="CR126" s="219">
        <f>IF(AD126&lt;AE126,CONCATENATE("* El total de Procesados debe ser mayor o igual al total de Reactivos en el grupo de edad ",$AD$11),"")</f>
        <v/>
      </c>
      <c r="CS126" s="219">
        <f>IF(AF126&lt;AG126,CONCATENATE("* El total de Procesados debe ser mayor o igual al total de Reactivos en el grupo de edad ",$AF$11),"")</f>
        <v/>
      </c>
      <c r="CT126" s="219">
        <f>IF(AH126&lt;AI126,CONCATENATE("* El total de Procesados debe ser mayor o igual al total de Reactivos en el grupo de edad ",$AH$11),"")</f>
        <v/>
      </c>
      <c r="CU126" s="219">
        <f>IF(AJ126&lt;AK126,CONCATENATE("* El total de Procesados debe ser mayor o igual al total de Reactivos en el grupo de edad ",$AJ$11),"")</f>
        <v/>
      </c>
      <c r="CV126" s="219">
        <f>IF(AL126&lt;AM126,CONCATENATE("* El total de Procesados debe ser mayor o igual al total de Reactivos en el grupo de edad ",$AL$11),"")</f>
        <v/>
      </c>
      <c r="CW126" s="219">
        <f>IF(AN126&lt;AO126,CONCATENATE("* El total de Procesados debe ser mayor o igual al total de Reactivos en el grupo de edad ",$AN$11),"")</f>
        <v/>
      </c>
      <c r="CX126" s="219">
        <f>IF(AP126&lt;AQ126,CONCATENATE("* El total de Procesados debe ser mayor o igual al total de Reactivos en el grupo de edad ",$AP$11),"")</f>
        <v/>
      </c>
      <c r="DE126" s="226" t="n"/>
      <c r="DF126" s="378">
        <f>IF(B126&lt;&gt;(AS126),1,0)</f>
        <v/>
      </c>
      <c r="DG126" s="376">
        <f>IF(AND($B126&gt;0,AND(AT126="",AU126="")),1,IF((AT126+AU126)&gt;$B126,1,0))</f>
        <v/>
      </c>
      <c r="DH126" s="376">
        <f>IF(AND($B126&gt;0,AV126=""),1,IF(AV126&gt;$B126,1,0))</f>
        <v/>
      </c>
      <c r="DI126" s="376">
        <f>IF(AND($B126&gt;0,AW126=""),1,IF(AW126&gt;$B126,1,0))</f>
        <v/>
      </c>
      <c r="DJ126" s="220" t="n"/>
      <c r="DK126" s="220" t="n"/>
      <c r="DL126" s="220" t="n"/>
      <c r="DM126" s="220" t="n"/>
      <c r="DN126" s="220" t="n"/>
      <c r="DO126" s="376">
        <f>IF(N126&lt;O126,1,0)</f>
        <v/>
      </c>
      <c r="DP126" s="376">
        <f>IF(P126&lt;Q126,1,0)</f>
        <v/>
      </c>
      <c r="DQ126" s="376">
        <f>IF(R126&lt;S126,1,0)</f>
        <v/>
      </c>
      <c r="DR126" s="376">
        <f>IF($T126&lt;$U126,1,0)</f>
        <v/>
      </c>
      <c r="DS126" s="376">
        <f>IF(V126&lt;W126,1,0)</f>
        <v/>
      </c>
      <c r="DT126" s="376">
        <f>IF(X126&lt;Y126,1,0)</f>
        <v/>
      </c>
      <c r="DU126" s="376">
        <f>IF(Z126&lt;AA126,1,0)</f>
        <v/>
      </c>
      <c r="DV126" s="376">
        <f>IF(AB126&lt;AC126,1,0)</f>
        <v/>
      </c>
      <c r="DW126" s="376">
        <f>IF(AD126&lt;AE126,1,0)</f>
        <v/>
      </c>
      <c r="DX126" s="376">
        <f>IF(AF126&lt;AG126,1,0)</f>
        <v/>
      </c>
      <c r="DY126" s="376">
        <f>IF(AH126&lt;AI126,1,0)</f>
        <v/>
      </c>
      <c r="DZ126" s="376">
        <f>IF(AJ126&lt;AK126,1,0)</f>
        <v/>
      </c>
      <c r="EA126" s="376">
        <f>IF(AL126&lt;AM126,1,0)</f>
        <v/>
      </c>
      <c r="EB126" s="376">
        <f>IF(AN126&lt;AO126,1,0)</f>
        <v/>
      </c>
      <c r="EC126" s="376">
        <f>IF(AP126&lt;AQ126,1,0)</f>
        <v/>
      </c>
    </row>
    <row r="127">
      <c r="A127" s="8538" t="inlineStr">
        <is>
          <t>Gestantes en seguimiento por diagnóstico sífilis</t>
        </is>
      </c>
      <c r="B127" s="3103">
        <f>+N127+P127+R127+T127+V127+X127+Z127+AB127+AD127+AF127+AH127+AJ127+AL127+AN127+AP127</f>
        <v/>
      </c>
      <c r="C127" s="1171">
        <f>+O127+Q127+S127+U127+W127+Y127+AA127+AC127+AE127+AG127+AI127+AK127+AM127+AO127+AQ127</f>
        <v/>
      </c>
      <c r="D127" s="3112" t="n"/>
      <c r="E127" s="3105" t="n"/>
      <c r="F127" s="3104" t="n"/>
      <c r="G127" s="3105" t="n"/>
      <c r="H127" s="3104" t="n"/>
      <c r="I127" s="3105" t="n"/>
      <c r="J127" s="3104" t="n"/>
      <c r="K127" s="3105" t="n"/>
      <c r="L127" s="3104" t="n"/>
      <c r="M127" s="3106" t="n"/>
      <c r="N127" s="3100" t="n"/>
      <c r="O127" s="3107" t="n"/>
      <c r="P127" s="3108" t="n"/>
      <c r="Q127" s="3107" t="n"/>
      <c r="R127" s="3108" t="n"/>
      <c r="S127" s="3107" t="n"/>
      <c r="T127" s="3108" t="n"/>
      <c r="U127" s="3107" t="n"/>
      <c r="V127" s="3108" t="n"/>
      <c r="W127" s="3107" t="n"/>
      <c r="X127" s="3108" t="n"/>
      <c r="Y127" s="3107" t="n"/>
      <c r="Z127" s="3108" t="n"/>
      <c r="AA127" s="3107" t="n"/>
      <c r="AB127" s="3108" t="n"/>
      <c r="AC127" s="3107" t="n"/>
      <c r="AD127" s="3108" t="n"/>
      <c r="AE127" s="3107" t="n"/>
      <c r="AF127" s="3108" t="n"/>
      <c r="AG127" s="3107" t="n"/>
      <c r="AH127" s="3108" t="n"/>
      <c r="AI127" s="3107" t="n"/>
      <c r="AJ127" s="3108" t="n"/>
      <c r="AK127" s="3107" t="n"/>
      <c r="AL127" s="3108" t="n"/>
      <c r="AM127" s="3107" t="n"/>
      <c r="AN127" s="3108" t="n"/>
      <c r="AO127" s="3107" t="n"/>
      <c r="AP127" s="3108" t="n"/>
      <c r="AQ127" s="3098" t="n"/>
      <c r="AR127" s="3097" t="n"/>
      <c r="AS127" s="3098" t="n"/>
      <c r="AT127" s="3099" t="n"/>
      <c r="AU127" s="3098" t="n"/>
      <c r="AV127" s="3845" t="n"/>
      <c r="AW127" s="3656" t="n"/>
      <c r="AX127" s="218">
        <f>$CA127&amp;CB127&amp;CC127&amp;$CD127&amp;CJ127&amp;CK127&amp;CL127&amp;CM127&amp;CN127&amp;CO127&amp;CP127&amp;CQ127&amp;CR127&amp;CS127&amp;CT127&amp;CU127&amp;CV127&amp;CW127&amp;CX127</f>
        <v/>
      </c>
      <c r="CA127" s="219">
        <f>IF(B127&lt;&gt;(AS127)," * La suma de las columnas "&amp;AR$10&amp;""&amp;" DEBE SER IGUAL a los Exámenes Procesados. ","")</f>
        <v/>
      </c>
      <c r="CB127" s="219">
        <f>IF(AND($B127&gt;0,AND(AT127="",AU127="")),"* No olvide ingresar las columnas Trans Masculino o Femenino (*Digite CERO si no tiene). ",IF((AT127+AU127)&gt;$B127,"* El Número de Trans Masculino o Femenino no puede superar el Total Procesados. ",""))</f>
        <v/>
      </c>
      <c r="CC127" s="219">
        <f>IF(AND($B127&gt;0,AV127=""),"* No olvide ingresar la columna "&amp;AV$10&amp;""&amp;" *(Digite CERO si no tiene). ",IF(AV127&gt;$B127," *El Número de "&amp;AV$10&amp;""&amp;" no puede superar el Total Procesados. ",""))</f>
        <v/>
      </c>
      <c r="CD127" s="219">
        <f>IF(AND($B127&gt;0,AW127=""),"* No olvide ingresar la columna "&amp;AW$10&amp;""&amp;" *(Digite CERO si no tiene). ",IF(AW127&gt;$B127," *El Número de "&amp;AW$10&amp;""&amp;" no puede superar el Total Procesados. ",""))</f>
        <v/>
      </c>
      <c r="CE127" s="220" t="n"/>
      <c r="CF127" s="220" t="n"/>
      <c r="CG127" s="220" t="n"/>
      <c r="CH127" s="220" t="n"/>
      <c r="CI127" s="220" t="n"/>
      <c r="CJ127" s="219">
        <f>IF(N127&lt;O127,CONCATENATE("* El total de Procesados debe ser mayor o igual al total de Reactivos en el grupo de edad ",$N$11),"")</f>
        <v/>
      </c>
      <c r="CK127" s="219">
        <f>IF(P127&lt;Q127,CONCATENATE("* El total de Procesados debe ser mayor o igual al total de Reactivos en el grupo de edad ",$P$11),"")</f>
        <v/>
      </c>
      <c r="CL127" s="219">
        <f>IF(R127&lt;S127,CONCATENATE("* El total de Procesados debe ser mayor o igual al total de Reactivos en el grupo de edad ",$R$11),"")</f>
        <v/>
      </c>
      <c r="CM127" s="219">
        <f>IF($T127&lt;$U127,CONCATENATE("* El total de Procesados debe ser mayor o igual al total de Reactivos en el grupo de edad ",$T$11),"")</f>
        <v/>
      </c>
      <c r="CN127" s="219">
        <f>IF(V127&lt;W127,CONCATENATE("* El total de Procesados debe ser mayor o igual al total de Reactivos en el grupo de edad ",$V$11),"")</f>
        <v/>
      </c>
      <c r="CO127" s="219">
        <f>IF(X127&lt;Y127,CONCATENATE("* El total de Procesados debe ser mayor o igual al total de Reactivos en el grupo de edad ",$X$11),"")</f>
        <v/>
      </c>
      <c r="CP127" s="219">
        <f>IF(Z127&lt;AA127,CONCATENATE("* El total de Procesados debe ser mayor o igual al total de Reactivos en el grupo de edad ",$Z$11),"")</f>
        <v/>
      </c>
      <c r="CQ127" s="219">
        <f>IF(AB127&lt;AC127,CONCATENATE("* El total de Procesados debe ser mayor o igual al total de Reactivos en el grupo de edad ",$AB$11),"")</f>
        <v/>
      </c>
      <c r="CR127" s="219">
        <f>IF(AD127&lt;AE127,CONCATENATE("* El total de Procesados debe ser mayor o igual al total de Reactivos en el grupo de edad ",$AD$11),"")</f>
        <v/>
      </c>
      <c r="CS127" s="219">
        <f>IF(AF127&lt;AG127,CONCATENATE("* El total de Procesados debe ser mayor o igual al total de Reactivos en el grupo de edad ",$AF$11),"")</f>
        <v/>
      </c>
      <c r="CT127" s="219">
        <f>IF(AH127&lt;AI127,CONCATENATE("* El total de Procesados debe ser mayor o igual al total de Reactivos en el grupo de edad ",$AH$11),"")</f>
        <v/>
      </c>
      <c r="CU127" s="219">
        <f>IF(AJ127&lt;AK127,CONCATENATE("* El total de Procesados debe ser mayor o igual al total de Reactivos en el grupo de edad ",$AJ$11),"")</f>
        <v/>
      </c>
      <c r="CV127" s="219">
        <f>IF(AL127&lt;AM127,CONCATENATE("* El total de Procesados debe ser mayor o igual al total de Reactivos en el grupo de edad ",$AL$11),"")</f>
        <v/>
      </c>
      <c r="CW127" s="219">
        <f>IF(AN127&lt;AO127,CONCATENATE("* El total de Procesados debe ser mayor o igual al total de Reactivos en el grupo de edad ",$AN$11),"")</f>
        <v/>
      </c>
      <c r="CX127" s="219">
        <f>IF(AP127&lt;AQ127,CONCATENATE("* El total de Procesados debe ser mayor o igual al total de Reactivos en el grupo de edad ",$AP$11),"")</f>
        <v/>
      </c>
      <c r="DE127" s="226" t="n"/>
      <c r="DF127" s="378">
        <f>IF(B127&lt;&gt;(AS127),1,0)</f>
        <v/>
      </c>
      <c r="DG127" s="376">
        <f>IF(AND($B127&gt;0,AND(AT127="",AU127="")),1,IF((AT127+AU127)&gt;$B127,1,0))</f>
        <v/>
      </c>
      <c r="DH127" s="376">
        <f>IF(AND($B127&gt;0,AV127=""),1,IF(AV127&gt;$B127,1,0))</f>
        <v/>
      </c>
      <c r="DI127" s="376">
        <f>IF(AND($B127&gt;0,AW127=""),1,IF(AW127&gt;$B127,1,0))</f>
        <v/>
      </c>
      <c r="DJ127" s="220" t="n"/>
      <c r="DK127" s="220" t="n"/>
      <c r="DL127" s="220" t="n"/>
      <c r="DM127" s="220" t="n"/>
      <c r="DN127" s="220" t="n"/>
      <c r="DO127" s="376">
        <f>IF(N127&lt;O127,1,0)</f>
        <v/>
      </c>
      <c r="DP127" s="376">
        <f>IF(P127&lt;Q127,1,0)</f>
        <v/>
      </c>
      <c r="DQ127" s="376">
        <f>IF(R127&lt;S127,1,0)</f>
        <v/>
      </c>
      <c r="DR127" s="376">
        <f>IF($T127&lt;$U127,1,0)</f>
        <v/>
      </c>
      <c r="DS127" s="376">
        <f>IF(V127&lt;W127,1,0)</f>
        <v/>
      </c>
      <c r="DT127" s="376">
        <f>IF(X127&lt;Y127,1,0)</f>
        <v/>
      </c>
      <c r="DU127" s="376">
        <f>IF(Z127&lt;AA127,1,0)</f>
        <v/>
      </c>
      <c r="DV127" s="376">
        <f>IF(AB127&lt;AC127,1,0)</f>
        <v/>
      </c>
      <c r="DW127" s="376">
        <f>IF(AD127&lt;AE127,1,0)</f>
        <v/>
      </c>
      <c r="DX127" s="376">
        <f>IF(AF127&lt;AG127,1,0)</f>
        <v/>
      </c>
      <c r="DY127" s="376">
        <f>IF(AH127&lt;AI127,1,0)</f>
        <v/>
      </c>
      <c r="DZ127" s="376">
        <f>IF(AJ127&lt;AK127,1,0)</f>
        <v/>
      </c>
      <c r="EA127" s="376">
        <f>IF(AL127&lt;AM127,1,0)</f>
        <v/>
      </c>
      <c r="EB127" s="376">
        <f>IF(AN127&lt;AO127,1,0)</f>
        <v/>
      </c>
      <c r="EC127" s="376">
        <f>IF(AP127&lt;AQ127,1,0)</f>
        <v/>
      </c>
    </row>
    <row r="128">
      <c r="A128" s="8538" t="inlineStr">
        <is>
          <t>Pareja de gestante con serología reactiva</t>
        </is>
      </c>
      <c r="B128" s="3103">
        <f>+N128+P128+R128+T128+V128+X128+Z128+AB128+AD128+AF128+AH128+AJ128+AL128+AN128+AP128</f>
        <v/>
      </c>
      <c r="C128" s="1171">
        <f>+O128+Q128+S128+U128+W128+Y128+AA128+AC128+AE128+AG128+AI128+AK128+AM128+AO128+AQ128</f>
        <v/>
      </c>
      <c r="D128" s="3112" t="n"/>
      <c r="E128" s="3105" t="n"/>
      <c r="F128" s="3104" t="n"/>
      <c r="G128" s="3105" t="n"/>
      <c r="H128" s="3104" t="n"/>
      <c r="I128" s="3105" t="n"/>
      <c r="J128" s="3104" t="n"/>
      <c r="K128" s="3105" t="n"/>
      <c r="L128" s="3104" t="n"/>
      <c r="M128" s="3106" t="n"/>
      <c r="N128" s="3100" t="n"/>
      <c r="O128" s="3107" t="n"/>
      <c r="P128" s="3108" t="n"/>
      <c r="Q128" s="3107" t="n"/>
      <c r="R128" s="3108" t="n"/>
      <c r="S128" s="3107" t="n"/>
      <c r="T128" s="3108" t="n"/>
      <c r="U128" s="3107" t="n"/>
      <c r="V128" s="3108" t="n"/>
      <c r="W128" s="3107" t="n"/>
      <c r="X128" s="3108" t="n"/>
      <c r="Y128" s="3107" t="n"/>
      <c r="Z128" s="3108" t="n"/>
      <c r="AA128" s="3107" t="n"/>
      <c r="AB128" s="3108" t="n"/>
      <c r="AC128" s="3107" t="n"/>
      <c r="AD128" s="3108" t="n"/>
      <c r="AE128" s="3107" t="n"/>
      <c r="AF128" s="3108" t="n"/>
      <c r="AG128" s="3107" t="n"/>
      <c r="AH128" s="3108" t="n"/>
      <c r="AI128" s="3107" t="n"/>
      <c r="AJ128" s="3108" t="n"/>
      <c r="AK128" s="3107" t="n"/>
      <c r="AL128" s="3108" t="n"/>
      <c r="AM128" s="3107" t="n"/>
      <c r="AN128" s="3108" t="n"/>
      <c r="AO128" s="3107" t="n"/>
      <c r="AP128" s="3108" t="n"/>
      <c r="AQ128" s="3098" t="n"/>
      <c r="AR128" s="3100" t="n"/>
      <c r="AS128" s="3098" t="n"/>
      <c r="AT128" s="3099" t="n"/>
      <c r="AU128" s="3098" t="n"/>
      <c r="AV128" s="3845" t="n"/>
      <c r="AW128" s="3656" t="n"/>
      <c r="AX128" s="218">
        <f>$CA128&amp;CB128&amp;CC128&amp;$CD128&amp;CJ128&amp;CK128&amp;CL128&amp;CM128&amp;CN128&amp;CO128&amp;CP128&amp;CQ128&amp;CR128&amp;CS128&amp;CT128&amp;CU128&amp;CV128&amp;CW128&amp;CX128</f>
        <v/>
      </c>
      <c r="CA128" s="219">
        <f>IF(B128&lt;&gt;(AS128+AR128)," * La suma de las columnas "&amp;AR$10&amp;""&amp;" DEBE SER IGUAL a los Exámenes Procesados. ","")</f>
        <v/>
      </c>
      <c r="CB128" s="219">
        <f>IF(AND($B128&gt;0,AND(AT128="",AU128="")),"* No olvide ingresar las columnas Trans Masculino o Femenino (*Digite CERO si no tiene). ",IF((AT128+AU128)&gt;$B128,"* El Número de Trans Masculino o Femenino no puede superar el Total Procesados. ",""))</f>
        <v/>
      </c>
      <c r="CC128" s="219">
        <f>IF(AND($B128&gt;0,AV128=""),"* No olvide ingresar la columna "&amp;AV$10&amp;""&amp;" *(Digite CERO si no tiene). ",IF(AV128&gt;$B128," *El Número de "&amp;AV$10&amp;""&amp;" no puede superar el Total Procesados. ",""))</f>
        <v/>
      </c>
      <c r="CD128" s="219">
        <f>IF(AND($B128&gt;0,AW128=""),"* No olvide ingresar la columna "&amp;AW$10&amp;""&amp;" *(Digite CERO si no tiene). ",IF(AW128&gt;$B128," *El Número de "&amp;AW$10&amp;""&amp;" no puede superar el Total Procesados. ",""))</f>
        <v/>
      </c>
      <c r="CE128" s="220" t="n"/>
      <c r="CF128" s="220" t="n"/>
      <c r="CG128" s="220" t="n"/>
      <c r="CH128" s="220" t="n"/>
      <c r="CI128" s="220" t="n"/>
      <c r="CJ128" s="219">
        <f>IF(N128&lt;O128,CONCATENATE("* El total de Procesados debe ser mayor o igual al total de Reactivos en el grupo de edad ",$N$11),"")</f>
        <v/>
      </c>
      <c r="CK128" s="219">
        <f>IF(P128&lt;Q128,CONCATENATE("* El total de Procesados debe ser mayor o igual al total de Reactivos en el grupo de edad ",$P$11),"")</f>
        <v/>
      </c>
      <c r="CL128" s="219">
        <f>IF(R128&lt;S128,CONCATENATE("* El total de Procesados debe ser mayor o igual al total de Reactivos en el grupo de edad ",$R$11),"")</f>
        <v/>
      </c>
      <c r="CM128" s="219">
        <f>IF($T128&lt;$U128,CONCATENATE("* El total de Procesados debe ser mayor o igual al total de Reactivos en el grupo de edad ",$T$11),"")</f>
        <v/>
      </c>
      <c r="CN128" s="219">
        <f>IF(V128&lt;W128,CONCATENATE("* El total de Procesados debe ser mayor o igual al total de Reactivos en el grupo de edad ",$V$11),"")</f>
        <v/>
      </c>
      <c r="CO128" s="219">
        <f>IF(X128&lt;Y128,CONCATENATE("* El total de Procesados debe ser mayor o igual al total de Reactivos en el grupo de edad ",$X$11),"")</f>
        <v/>
      </c>
      <c r="CP128" s="219">
        <f>IF(Z128&lt;AA128,CONCATENATE("* El total de Procesados debe ser mayor o igual al total de Reactivos en el grupo de edad ",$Z$11),"")</f>
        <v/>
      </c>
      <c r="CQ128" s="219">
        <f>IF(AB128&lt;AC128,CONCATENATE("* El total de Procesados debe ser mayor o igual al total de Reactivos en el grupo de edad ",$AB$11),"")</f>
        <v/>
      </c>
      <c r="CR128" s="219">
        <f>IF(AD128&lt;AE128,CONCATENATE("* El total de Procesados debe ser mayor o igual al total de Reactivos en el grupo de edad ",$AD$11),"")</f>
        <v/>
      </c>
      <c r="CS128" s="219">
        <f>IF(AF128&lt;AG128,CONCATENATE("* El total de Procesados debe ser mayor o igual al total de Reactivos en el grupo de edad ",$AF$11),"")</f>
        <v/>
      </c>
      <c r="CT128" s="219">
        <f>IF(AH128&lt;AI128,CONCATENATE("* El total de Procesados debe ser mayor o igual al total de Reactivos en el grupo de edad ",$AH$11),"")</f>
        <v/>
      </c>
      <c r="CU128" s="219">
        <f>IF(AJ128&lt;AK128,CONCATENATE("* El total de Procesados debe ser mayor o igual al total de Reactivos en el grupo de edad ",$AJ$11),"")</f>
        <v/>
      </c>
      <c r="CV128" s="219">
        <f>IF(AL128&lt;AM128,CONCATENATE("* El total de Procesados debe ser mayor o igual al total de Reactivos en el grupo de edad ",$AL$11),"")</f>
        <v/>
      </c>
      <c r="CW128" s="219">
        <f>IF(AN128&lt;AO128,CONCATENATE("* El total de Procesados debe ser mayor o igual al total de Reactivos en el grupo de edad ",$AN$11),"")</f>
        <v/>
      </c>
      <c r="CX128" s="219">
        <f>IF(AP128&lt;AQ128,CONCATENATE("* El total de Procesados debe ser mayor o igual al total de Reactivos en el grupo de edad ",$AP$11),"")</f>
        <v/>
      </c>
      <c r="DE128" s="226" t="n"/>
      <c r="DF128" s="378">
        <f>IF(B128&lt;&gt;(AS128+AR128),1,0)</f>
        <v/>
      </c>
      <c r="DG128" s="376">
        <f>IF(AND($B128&gt;0,AND(AT128="",AU128="")),1,IF((AT128+AU128)&gt;$B128,1,0))</f>
        <v/>
      </c>
      <c r="DH128" s="376">
        <f>IF(AND($B128&gt;0,AV128=""),1,IF(AV128&gt;$B128,1,0))</f>
        <v/>
      </c>
      <c r="DI128" s="376">
        <f>IF(AND($B128&gt;0,AW128=""),1,IF(AW128&gt;$B128,1,0))</f>
        <v/>
      </c>
      <c r="DJ128" s="220" t="n"/>
      <c r="DK128" s="220" t="n"/>
      <c r="DL128" s="220" t="n"/>
      <c r="DM128" s="220" t="n"/>
      <c r="DN128" s="220" t="n"/>
      <c r="DO128" s="376">
        <f>IF(N128&lt;O128,1,0)</f>
        <v/>
      </c>
      <c r="DP128" s="376">
        <f>IF(P128&lt;Q128,1,0)</f>
        <v/>
      </c>
      <c r="DQ128" s="376">
        <f>IF(R128&lt;S128,1,0)</f>
        <v/>
      </c>
      <c r="DR128" s="376">
        <f>IF($T128&lt;$U128,1,0)</f>
        <v/>
      </c>
      <c r="DS128" s="376">
        <f>IF(V128&lt;W128,1,0)</f>
        <v/>
      </c>
      <c r="DT128" s="376">
        <f>IF(X128&lt;Y128,1,0)</f>
        <v/>
      </c>
      <c r="DU128" s="376">
        <f>IF(Z128&lt;AA128,1,0)</f>
        <v/>
      </c>
      <c r="DV128" s="376">
        <f>IF(AB128&lt;AC128,1,0)</f>
        <v/>
      </c>
      <c r="DW128" s="376">
        <f>IF(AD128&lt;AE128,1,0)</f>
        <v/>
      </c>
      <c r="DX128" s="376">
        <f>IF(AF128&lt;AG128,1,0)</f>
        <v/>
      </c>
      <c r="DY128" s="376">
        <f>IF(AH128&lt;AI128,1,0)</f>
        <v/>
      </c>
      <c r="DZ128" s="376">
        <f>IF(AJ128&lt;AK128,1,0)</f>
        <v/>
      </c>
      <c r="EA128" s="376">
        <f>IF(AL128&lt;AM128,1,0)</f>
        <v/>
      </c>
      <c r="EB128" s="376">
        <f>IF(AN128&lt;AO128,1,0)</f>
        <v/>
      </c>
      <c r="EC128" s="376">
        <f>IF(AP128&lt;AQ128,1,0)</f>
        <v/>
      </c>
    </row>
    <row r="129">
      <c r="A129" s="8538" t="inlineStr">
        <is>
          <t>Mujeres que ingresan a maternidad por parto</t>
        </is>
      </c>
      <c r="B129" s="3103">
        <f>+N129+P129+R129+T129+V129+X129+Z129+AB129+AD129+AF129+AH129+AJ129+AL129+AN129+AP129</f>
        <v/>
      </c>
      <c r="C129" s="1171">
        <f>+O129+Q129+S129+U129+W129+Y129+AA129+AC129+AE129+AG129+AI129+AK129+AM129+AO129+AQ129</f>
        <v/>
      </c>
      <c r="D129" s="3112" t="n"/>
      <c r="E129" s="3105" t="n"/>
      <c r="F129" s="3104" t="n"/>
      <c r="G129" s="3105" t="n"/>
      <c r="H129" s="3104" t="n"/>
      <c r="I129" s="3105" t="n"/>
      <c r="J129" s="3104" t="n"/>
      <c r="K129" s="3105" t="n"/>
      <c r="L129" s="3104" t="n"/>
      <c r="M129" s="3106" t="n"/>
      <c r="N129" s="3100" t="n"/>
      <c r="O129" s="3107" t="n"/>
      <c r="P129" s="3108" t="n"/>
      <c r="Q129" s="3107" t="n"/>
      <c r="R129" s="3108" t="n"/>
      <c r="S129" s="3107" t="n"/>
      <c r="T129" s="3108" t="n"/>
      <c r="U129" s="3107" t="n"/>
      <c r="V129" s="3108" t="n"/>
      <c r="W129" s="3107" t="n"/>
      <c r="X129" s="3108" t="n"/>
      <c r="Y129" s="3107" t="n"/>
      <c r="Z129" s="3108" t="n"/>
      <c r="AA129" s="3107" t="n"/>
      <c r="AB129" s="3108" t="n"/>
      <c r="AC129" s="3107" t="n"/>
      <c r="AD129" s="3108" t="n"/>
      <c r="AE129" s="3107" t="n"/>
      <c r="AF129" s="3108" t="n"/>
      <c r="AG129" s="3107" t="n"/>
      <c r="AH129" s="3108" t="n"/>
      <c r="AI129" s="3107" t="n"/>
      <c r="AJ129" s="3108" t="n"/>
      <c r="AK129" s="3107" t="n"/>
      <c r="AL129" s="3108" t="n"/>
      <c r="AM129" s="3107" t="n"/>
      <c r="AN129" s="3108" t="n"/>
      <c r="AO129" s="3107" t="n"/>
      <c r="AP129" s="3108" t="n"/>
      <c r="AQ129" s="3098" t="n"/>
      <c r="AR129" s="3097" t="n"/>
      <c r="AS129" s="3098" t="n"/>
      <c r="AT129" s="3099" t="n"/>
      <c r="AU129" s="3098" t="n"/>
      <c r="AV129" s="3845" t="n"/>
      <c r="AW129" s="3656" t="n"/>
      <c r="AX129" s="218">
        <f>$CA129&amp;CB129&amp;CC129&amp;$CD129&amp;CJ129&amp;CK129&amp;CL129&amp;CM129&amp;CN129&amp;CO129&amp;CP129&amp;CQ129&amp;CR129&amp;CS129&amp;CT129&amp;CU129&amp;CV129&amp;CW129&amp;CX129</f>
        <v/>
      </c>
      <c r="CA129" s="219">
        <f>IF(B129&lt;&gt;(AS129)," * La suma de las columnas "&amp;AR$10&amp;""&amp;" DEBE SER IGUAL a los Exámenes Procesados. ","")</f>
        <v/>
      </c>
      <c r="CB129" s="219">
        <f>IF(AND($B129&gt;0,AND(AT129="",AU129="")),"* No olvide ingresar las columnas Trans Masculino o Femenino (*Digite CERO si no tiene). ",IF((AT129+AU129)&gt;$B129,"* El Número de Trans Masculino o Femenino no puede superar el Total Procesados. ",""))</f>
        <v/>
      </c>
      <c r="CC129" s="219">
        <f>IF(AND($B129&gt;0,AV129=""),"* No olvide ingresar la columna "&amp;AV$10&amp;""&amp;" *(Digite CERO si no tiene). ",IF(AV129&gt;$B129," *El Número de "&amp;AV$10&amp;""&amp;" no puede superar el Total Procesados. ",""))</f>
        <v/>
      </c>
      <c r="CD129" s="219">
        <f>IF(AND($B129&gt;0,AW129=""),"* No olvide ingresar la columna "&amp;AW$10&amp;""&amp;" *(Digite CERO si no tiene). ",IF(AW129&gt;$B129," *El Número de "&amp;AW$10&amp;""&amp;" no puede superar el Total Procesados. ",""))</f>
        <v/>
      </c>
      <c r="CE129" s="220" t="n"/>
      <c r="CF129" s="220" t="n"/>
      <c r="CG129" s="220" t="n"/>
      <c r="CH129" s="220" t="n"/>
      <c r="CI129" s="220" t="n"/>
      <c r="CJ129" s="219">
        <f>IF(N129&lt;O129,CONCATENATE("* El total de Procesados debe ser mayor o igual al total de Reactivos en el grupo de edad ",$N$11),"")</f>
        <v/>
      </c>
      <c r="CK129" s="219">
        <f>IF(P129&lt;Q129,CONCATENATE("* El total de Procesados debe ser mayor o igual al total de Reactivos en el grupo de edad ",$P$11),"")</f>
        <v/>
      </c>
      <c r="CL129" s="219">
        <f>IF(R129&lt;S129,CONCATENATE("* El total de Procesados debe ser mayor o igual al total de Reactivos en el grupo de edad ",$R$11),"")</f>
        <v/>
      </c>
      <c r="CM129" s="219">
        <f>IF($T129&lt;$U129,CONCATENATE("* El total de Procesados debe ser mayor o igual al total de Reactivos en el grupo de edad ",$T$11),"")</f>
        <v/>
      </c>
      <c r="CN129" s="219">
        <f>IF(V129&lt;W129,CONCATENATE("* El total de Procesados debe ser mayor o igual al total de Reactivos en el grupo de edad ",$V$11),"")</f>
        <v/>
      </c>
      <c r="CO129" s="219">
        <f>IF(X129&lt;Y129,CONCATENATE("* El total de Procesados debe ser mayor o igual al total de Reactivos en el grupo de edad ",$X$11),"")</f>
        <v/>
      </c>
      <c r="CP129" s="219">
        <f>IF(Z129&lt;AA129,CONCATENATE("* El total de Procesados debe ser mayor o igual al total de Reactivos en el grupo de edad ",$Z$11),"")</f>
        <v/>
      </c>
      <c r="CQ129" s="219">
        <f>IF(AB129&lt;AC129,CONCATENATE("* El total de Procesados debe ser mayor o igual al total de Reactivos en el grupo de edad ",$AB$11),"")</f>
        <v/>
      </c>
      <c r="CR129" s="219">
        <f>IF(AD129&lt;AE129,CONCATENATE("* El total de Procesados debe ser mayor o igual al total de Reactivos en el grupo de edad ",$AD$11),"")</f>
        <v/>
      </c>
      <c r="CS129" s="219">
        <f>IF(AF129&lt;AG129,CONCATENATE("* El total de Procesados debe ser mayor o igual al total de Reactivos en el grupo de edad ",$AF$11),"")</f>
        <v/>
      </c>
      <c r="CT129" s="219">
        <f>IF(AH129&lt;AI129,CONCATENATE("* El total de Procesados debe ser mayor o igual al total de Reactivos en el grupo de edad ",$AH$11),"")</f>
        <v/>
      </c>
      <c r="CU129" s="219">
        <f>IF(AJ129&lt;AK129,CONCATENATE("* El total de Procesados debe ser mayor o igual al total de Reactivos en el grupo de edad ",$AJ$11),"")</f>
        <v/>
      </c>
      <c r="CV129" s="219">
        <f>IF(AL129&lt;AM129,CONCATENATE("* El total de Procesados debe ser mayor o igual al total de Reactivos en el grupo de edad ",$AL$11),"")</f>
        <v/>
      </c>
      <c r="CW129" s="219">
        <f>IF(AN129&lt;AO129,CONCATENATE("* El total de Procesados debe ser mayor o igual al total de Reactivos en el grupo de edad ",$AN$11),"")</f>
        <v/>
      </c>
      <c r="CX129" s="219">
        <f>IF(AP129&lt;AQ129,CONCATENATE("* El total de Procesados debe ser mayor o igual al total de Reactivos en el grupo de edad ",$AP$11),"")</f>
        <v/>
      </c>
      <c r="DE129" s="226" t="n"/>
      <c r="DF129" s="378">
        <f>IF(B129&lt;&gt;(AS129),1,0)</f>
        <v/>
      </c>
      <c r="DG129" s="376">
        <f>IF(AND($B129&gt;0,AND(AT129="",AU129="")),1,IF((AT129+AU129)&gt;$B129,1,0))</f>
        <v/>
      </c>
      <c r="DH129" s="376">
        <f>IF(AND($B129&gt;0,AV129=""),1,IF(AV129&gt;$B129,1,0))</f>
        <v/>
      </c>
      <c r="DI129" s="376">
        <f>IF(AND($B129&gt;0,AW129=""),1,IF(AW129&gt;$B129,1,0))</f>
        <v/>
      </c>
      <c r="DJ129" s="220" t="n"/>
      <c r="DK129" s="220" t="n"/>
      <c r="DL129" s="220" t="n"/>
      <c r="DM129" s="220" t="n"/>
      <c r="DN129" s="220" t="n"/>
      <c r="DO129" s="376">
        <f>IF(N129&lt;O129,1,0)</f>
        <v/>
      </c>
      <c r="DP129" s="376">
        <f>IF(P129&lt;Q129,1,0)</f>
        <v/>
      </c>
      <c r="DQ129" s="376">
        <f>IF(R129&lt;S129,1,0)</f>
        <v/>
      </c>
      <c r="DR129" s="376">
        <f>IF($T129&lt;$U129,1,0)</f>
        <v/>
      </c>
      <c r="DS129" s="376">
        <f>IF(V129&lt;W129,1,0)</f>
        <v/>
      </c>
      <c r="DT129" s="376">
        <f>IF(X129&lt;Y129,1,0)</f>
        <v/>
      </c>
      <c r="DU129" s="376">
        <f>IF(Z129&lt;AA129,1,0)</f>
        <v/>
      </c>
      <c r="DV129" s="376">
        <f>IF(AB129&lt;AC129,1,0)</f>
        <v/>
      </c>
      <c r="DW129" s="376">
        <f>IF(AD129&lt;AE129,1,0)</f>
        <v/>
      </c>
      <c r="DX129" s="376">
        <f>IF(AF129&lt;AG129,1,0)</f>
        <v/>
      </c>
      <c r="DY129" s="376">
        <f>IF(AH129&lt;AI129,1,0)</f>
        <v/>
      </c>
      <c r="DZ129" s="376">
        <f>IF(AJ129&lt;AK129,1,0)</f>
        <v/>
      </c>
      <c r="EA129" s="376">
        <f>IF(AL129&lt;AM129,1,0)</f>
        <v/>
      </c>
      <c r="EB129" s="376">
        <f>IF(AN129&lt;AO129,1,0)</f>
        <v/>
      </c>
      <c r="EC129" s="376">
        <f>IF(AP129&lt;AQ129,1,0)</f>
        <v/>
      </c>
    </row>
    <row r="130">
      <c r="A130" s="3119" t="inlineStr">
        <is>
          <t>Mujeres que ingresan por aborto</t>
        </is>
      </c>
      <c r="B130" s="3103">
        <f>+N130+P130+R130+T130+V130+X130+Z130+AB130+AD130+AF130+AH130+AJ130+AL130+AN130+AP130</f>
        <v/>
      </c>
      <c r="C130" s="1171">
        <f>+O130+Q130+S130+U130+W130+Y130+AA130+AC130+AE130+AG130+AI130+AK130+AM130+AO130+AQ130</f>
        <v/>
      </c>
      <c r="D130" s="3112" t="n"/>
      <c r="E130" s="3105" t="n"/>
      <c r="F130" s="3104" t="n"/>
      <c r="G130" s="3105" t="n"/>
      <c r="H130" s="3104" t="n"/>
      <c r="I130" s="3105" t="n"/>
      <c r="J130" s="3104" t="n"/>
      <c r="K130" s="3105" t="n"/>
      <c r="L130" s="3104" t="n"/>
      <c r="M130" s="3106" t="n"/>
      <c r="N130" s="3100" t="n"/>
      <c r="O130" s="3107" t="n"/>
      <c r="P130" s="3108" t="n"/>
      <c r="Q130" s="3107" t="n"/>
      <c r="R130" s="3108" t="n"/>
      <c r="S130" s="3107" t="n"/>
      <c r="T130" s="3108" t="n"/>
      <c r="U130" s="3107" t="n"/>
      <c r="V130" s="3108" t="n"/>
      <c r="W130" s="3107" t="n"/>
      <c r="X130" s="3108" t="n"/>
      <c r="Y130" s="3107" t="n"/>
      <c r="Z130" s="3108" t="n"/>
      <c r="AA130" s="3107" t="n"/>
      <c r="AB130" s="3108" t="n"/>
      <c r="AC130" s="3107" t="n"/>
      <c r="AD130" s="3108" t="n"/>
      <c r="AE130" s="3107" t="n"/>
      <c r="AF130" s="3108" t="n"/>
      <c r="AG130" s="3107" t="n"/>
      <c r="AH130" s="3108" t="n"/>
      <c r="AI130" s="3107" t="n"/>
      <c r="AJ130" s="3108" t="n"/>
      <c r="AK130" s="3107" t="n"/>
      <c r="AL130" s="3108" t="n"/>
      <c r="AM130" s="3107" t="n"/>
      <c r="AN130" s="3108" t="n"/>
      <c r="AO130" s="3107" t="n"/>
      <c r="AP130" s="3108" t="n"/>
      <c r="AQ130" s="3098" t="n"/>
      <c r="AR130" s="3097" t="n"/>
      <c r="AS130" s="3098" t="n"/>
      <c r="AT130" s="3099" t="n"/>
      <c r="AU130" s="3098" t="n"/>
      <c r="AV130" s="3845" t="n"/>
      <c r="AW130" s="3656" t="n"/>
      <c r="AX130" s="218">
        <f>$CA130&amp;CB130&amp;CC130&amp;$CD130&amp;CJ130&amp;CK130&amp;CL130&amp;CM130&amp;CN130&amp;CO130&amp;CP130&amp;CQ130&amp;CR130&amp;CS130&amp;CT130&amp;CU130&amp;CV130&amp;CW130&amp;CX130</f>
        <v/>
      </c>
      <c r="CA130" s="219">
        <f>IF(B130&lt;&gt;(AS130)," * La suma de las columnas "&amp;AR$10&amp;""&amp;" DEBE SER IGUAL a los Exámenes Procesados. ","")</f>
        <v/>
      </c>
      <c r="CB130" s="219">
        <f>IF(AND($B130&gt;0,AND(AT130="",AU130="")),"* No olvide ingresar las columnas Trans Masculino o Femenino (*Digite CERO si no tiene). ",IF((AT130+AU130)&gt;$B130,"* El Número de Trans Masculino o Femenino no puede superar el Total Procesados. ",""))</f>
        <v/>
      </c>
      <c r="CC130" s="219">
        <f>IF(AND($B130&gt;0,AV130=""),"* No olvide ingresar la columna "&amp;AV$10&amp;""&amp;" *(Digite CERO si no tiene). ",IF(AV130&gt;$B130," *El Número de "&amp;AV$10&amp;""&amp;" no puede superar el Total Procesados. ",""))</f>
        <v/>
      </c>
      <c r="CD130" s="219">
        <f>IF(AND($B130&gt;0,AW130=""),"* No olvide ingresar la columna "&amp;AW$10&amp;""&amp;" *(Digite CERO si no tiene). ",IF(AW130&gt;$B130," *El Número de "&amp;AW$10&amp;""&amp;" no puede superar el Total Procesados. ",""))</f>
        <v/>
      </c>
      <c r="CE130" s="220" t="n"/>
      <c r="CF130" s="220" t="n"/>
      <c r="CG130" s="220" t="n"/>
      <c r="CH130" s="220" t="n"/>
      <c r="CI130" s="220" t="n"/>
      <c r="CJ130" s="219">
        <f>IF(N130&lt;O130,CONCATENATE("* El total de Procesados debe ser mayor o igual al total de Reactivos en el grupo de edad ",$N$11),"")</f>
        <v/>
      </c>
      <c r="CK130" s="219">
        <f>IF(P130&lt;Q130,CONCATENATE("* El total de Procesados debe ser mayor o igual al total de Reactivos en el grupo de edad ",$P$11),"")</f>
        <v/>
      </c>
      <c r="CL130" s="219">
        <f>IF(R130&lt;S130,CONCATENATE("* El total de Procesados debe ser mayor o igual al total de Reactivos en el grupo de edad ",$R$11),"")</f>
        <v/>
      </c>
      <c r="CM130" s="219">
        <f>IF($T130&lt;$U130,CONCATENATE("* El total de Procesados debe ser mayor o igual al total de Reactivos en el grupo de edad ",$T$11),"")</f>
        <v/>
      </c>
      <c r="CN130" s="219">
        <f>IF(V130&lt;W130,CONCATENATE("* El total de Procesados debe ser mayor o igual al total de Reactivos en el grupo de edad ",$V$11),"")</f>
        <v/>
      </c>
      <c r="CO130" s="219">
        <f>IF(X130&lt;Y130,CONCATENATE("* El total de Procesados debe ser mayor o igual al total de Reactivos en el grupo de edad ",$X$11),"")</f>
        <v/>
      </c>
      <c r="CP130" s="219">
        <f>IF(Z130&lt;AA130,CONCATENATE("* El total de Procesados debe ser mayor o igual al total de Reactivos en el grupo de edad ",$Z$11),"")</f>
        <v/>
      </c>
      <c r="CQ130" s="219">
        <f>IF(AB130&lt;AC130,CONCATENATE("* El total de Procesados debe ser mayor o igual al total de Reactivos en el grupo de edad ",$AB$11),"")</f>
        <v/>
      </c>
      <c r="CR130" s="219">
        <f>IF(AD130&lt;AE130,CONCATENATE("* El total de Procesados debe ser mayor o igual al total de Reactivos en el grupo de edad ",$AD$11),"")</f>
        <v/>
      </c>
      <c r="CS130" s="219">
        <f>IF(AF130&lt;AG130,CONCATENATE("* El total de Procesados debe ser mayor o igual al total de Reactivos en el grupo de edad ",$AF$11),"")</f>
        <v/>
      </c>
      <c r="CT130" s="219">
        <f>IF(AH130&lt;AI130,CONCATENATE("* El total de Procesados debe ser mayor o igual al total de Reactivos en el grupo de edad ",$AH$11),"")</f>
        <v/>
      </c>
      <c r="CU130" s="219">
        <f>IF(AJ130&lt;AK130,CONCATENATE("* El total de Procesados debe ser mayor o igual al total de Reactivos en el grupo de edad ",$AJ$11),"")</f>
        <v/>
      </c>
      <c r="CV130" s="219">
        <f>IF(AL130&lt;AM130,CONCATENATE("* El total de Procesados debe ser mayor o igual al total de Reactivos en el grupo de edad ",$AL$11),"")</f>
        <v/>
      </c>
      <c r="CW130" s="219">
        <f>IF(AN130&lt;AO130,CONCATENATE("* El total de Procesados debe ser mayor o igual al total de Reactivos en el grupo de edad ",$AN$11),"")</f>
        <v/>
      </c>
      <c r="CX130" s="219">
        <f>IF(AP130&lt;AQ130,CONCATENATE("* El total de Procesados debe ser mayor o igual al total de Reactivos en el grupo de edad ",$AP$11),"")</f>
        <v/>
      </c>
      <c r="DE130" s="226" t="n"/>
      <c r="DF130" s="378">
        <f>IF(B130&lt;&gt;(AS130),1,0)</f>
        <v/>
      </c>
      <c r="DG130" s="376">
        <f>IF(AND($B130&gt;0,AND(AT130="",AU130="")),1,IF((AT130+AU130)&gt;$B130,1,0))</f>
        <v/>
      </c>
      <c r="DH130" s="376">
        <f>IF(AND($B130&gt;0,AV130=""),1,IF(AV130&gt;$B130,1,0))</f>
        <v/>
      </c>
      <c r="DI130" s="376">
        <f>IF(AND($B130&gt;0,AW130=""),1,IF(AW130&gt;$B130,1,0))</f>
        <v/>
      </c>
      <c r="DJ130" s="220" t="n"/>
      <c r="DK130" s="220" t="n"/>
      <c r="DL130" s="220" t="n"/>
      <c r="DM130" s="220" t="n"/>
      <c r="DN130" s="220" t="n"/>
      <c r="DO130" s="376">
        <f>IF(N130&lt;O130,1,0)</f>
        <v/>
      </c>
      <c r="DP130" s="376">
        <f>IF(P130&lt;Q130,1,0)</f>
        <v/>
      </c>
      <c r="DQ130" s="376">
        <f>IF(R130&lt;S130,1,0)</f>
        <v/>
      </c>
      <c r="DR130" s="376">
        <f>IF($T130&lt;$U130,1,0)</f>
        <v/>
      </c>
      <c r="DS130" s="376">
        <f>IF(V130&lt;W130,1,0)</f>
        <v/>
      </c>
      <c r="DT130" s="376">
        <f>IF(X130&lt;Y130,1,0)</f>
        <v/>
      </c>
      <c r="DU130" s="376">
        <f>IF(Z130&lt;AA130,1,0)</f>
        <v/>
      </c>
      <c r="DV130" s="376">
        <f>IF(AB130&lt;AC130,1,0)</f>
        <v/>
      </c>
      <c r="DW130" s="376">
        <f>IF(AD130&lt;AE130,1,0)</f>
        <v/>
      </c>
      <c r="DX130" s="376">
        <f>IF(AF130&lt;AG130,1,0)</f>
        <v/>
      </c>
      <c r="DY130" s="376">
        <f>IF(AH130&lt;AI130,1,0)</f>
        <v/>
      </c>
      <c r="DZ130" s="376">
        <f>IF(AJ130&lt;AK130,1,0)</f>
        <v/>
      </c>
      <c r="EA130" s="376">
        <f>IF(AL130&lt;AM130,1,0)</f>
        <v/>
      </c>
      <c r="EB130" s="376">
        <f>IF(AN130&lt;AO130,1,0)</f>
        <v/>
      </c>
      <c r="EC130" s="376">
        <f>IF(AP130&lt;AQ130,1,0)</f>
        <v/>
      </c>
    </row>
    <row r="131">
      <c r="A131" s="3119" t="inlineStr">
        <is>
          <t>Mujeres en control ginecológico</t>
        </is>
      </c>
      <c r="B131" s="3103">
        <f>+D131+F131+H131+J131+L131+N131+P131+R131+T131+V131+X131+Z131+AB131+AD131+AF131+AH131+AJ131+AL131+AN131+AP131</f>
        <v/>
      </c>
      <c r="C131" s="1171">
        <f>+E131+G131+I131+K131+M131+O131+Q131+S131+U131+W131+Y131+AA131+AC131+AE131+AG131+AI131+AK131+AM131+AO131+AQ131</f>
        <v/>
      </c>
      <c r="D131" s="3100" t="n"/>
      <c r="E131" s="3107" t="n"/>
      <c r="F131" s="3108" t="n"/>
      <c r="G131" s="3107" t="n"/>
      <c r="H131" s="3108" t="n"/>
      <c r="I131" s="3101" t="n"/>
      <c r="J131" s="3100" t="n"/>
      <c r="K131" s="3100" t="n"/>
      <c r="L131" s="3108" t="n"/>
      <c r="M131" s="3101" t="n"/>
      <c r="N131" s="3100" t="n"/>
      <c r="O131" s="3107" t="n"/>
      <c r="P131" s="3108" t="n"/>
      <c r="Q131" s="3107" t="n"/>
      <c r="R131" s="3108" t="n"/>
      <c r="S131" s="3107" t="n"/>
      <c r="T131" s="3108" t="n"/>
      <c r="U131" s="3107" t="n"/>
      <c r="V131" s="3108" t="n"/>
      <c r="W131" s="3107" t="n"/>
      <c r="X131" s="3108" t="n"/>
      <c r="Y131" s="3107" t="n"/>
      <c r="Z131" s="3108" t="n"/>
      <c r="AA131" s="3107" t="n"/>
      <c r="AB131" s="3108" t="n"/>
      <c r="AC131" s="3107" t="n"/>
      <c r="AD131" s="3108" t="n"/>
      <c r="AE131" s="3107" t="n"/>
      <c r="AF131" s="3108" t="n"/>
      <c r="AG131" s="3107" t="n"/>
      <c r="AH131" s="3108" t="n"/>
      <c r="AI131" s="3107" t="n"/>
      <c r="AJ131" s="3108" t="n"/>
      <c r="AK131" s="3107" t="n"/>
      <c r="AL131" s="3108" t="n"/>
      <c r="AM131" s="3107" t="n"/>
      <c r="AN131" s="3108" t="n"/>
      <c r="AO131" s="3107" t="n"/>
      <c r="AP131" s="3108" t="n"/>
      <c r="AQ131" s="3098" t="n"/>
      <c r="AR131" s="3097" t="n"/>
      <c r="AS131" s="3098" t="n"/>
      <c r="AT131" s="3099" t="n"/>
      <c r="AU131" s="3098" t="n"/>
      <c r="AV131" s="3845" t="n"/>
      <c r="AW131" s="3656" t="n"/>
      <c r="AX131" s="218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>
        <f>IF(B131&lt;&gt;(AS131)," * La suma de las columnas "&amp;AR$10&amp;""&amp;" DEBE SER IGUAL a los Exámenes Procesados. ","")</f>
        <v/>
      </c>
      <c r="CB131" s="219">
        <f>IF(AND($B131&gt;0,AND(AT131="",AU131="")),"* No olvide ingresar las columnas Trans Masculino o Femenino (*Digite CERO si no tiene). ",IF((AT131+AU131)&gt;$B131,"* El Número de Trans Masculino o Femenino no puede superar el Total Procesados. ",""))</f>
        <v/>
      </c>
      <c r="CC131" s="219">
        <f>IF(AND($B131&gt;0,AV131=""),"* No olvide ingresar la columna "&amp;AV$10&amp;""&amp;" *(Digite CERO si no tiene). ",IF(AV131&gt;$B131," *El Número de "&amp;AV$10&amp;""&amp;" no puede superar el Total Procesados. ",""))</f>
        <v/>
      </c>
      <c r="CD131" s="219">
        <f>IF(AND($B131&gt;0,AW131=""),"* No olvide ingresar la columna "&amp;AW$10&amp;""&amp;" *(Digite CERO si no tiene). ",IF(AW131&gt;$B131," *El Número de "&amp;AW$10&amp;""&amp;" no puede superar el Total Procesados. ",""))</f>
        <v/>
      </c>
      <c r="CE131" s="219">
        <f>IF(D131&lt;E131,CONCATENATE("* El total de Procesados debe ser mayor o igual al total de Reactivos en el grupo de edad ",$D$11),"")</f>
        <v/>
      </c>
      <c r="CF131" s="219">
        <f>IF(F131&lt;G131,CONCATENATE("* El total de Procesados debe ser mayor o igual al total de Reactivos en el grupo de edad ",$F$11),"")</f>
        <v/>
      </c>
      <c r="CG131" s="219">
        <f>IF(H131&lt;I131,CONCATENATE("* El total de Procesados debe ser mayor o igual al total de Reactivos en el grupo de edad ",$H$11),"")</f>
        <v/>
      </c>
      <c r="CH131" s="219">
        <f>IF(J131&lt;K131,CONCATENATE("* El total de Procesados debe ser mayor o igual al total de Reactivos en el grupo de edad ",$J$11),"")</f>
        <v/>
      </c>
      <c r="CI131" s="219">
        <f>IF(L131&lt;M131,CONCATENATE("* El total de Procesados debe ser mayor o igual al total de Reactivos en el grupo de edad ",$L$11),"")</f>
        <v/>
      </c>
      <c r="CJ131" s="219">
        <f>IF(N131&lt;O131,CONCATENATE("* El total de Procesados debe ser mayor o igual al total de Reactivos en el grupo de edad ",$N$11),"")</f>
        <v/>
      </c>
      <c r="CK131" s="219">
        <f>IF(P131&lt;Q131,CONCATENATE("* El total de Procesados debe ser mayor o igual al total de Reactivos en el grupo de edad ",$P$11),"")</f>
        <v/>
      </c>
      <c r="CL131" s="219">
        <f>IF(R131&lt;S131,CONCATENATE("* El total de Procesados debe ser mayor o igual al total de Reactivos en el grupo de edad ",$R$11),"")</f>
        <v/>
      </c>
      <c r="CM131" s="219">
        <f>IF($T131&lt;$U131,CONCATENATE("* El total de Procesados debe ser mayor o igual al total de Reactivos en el grupo de edad ",$T$11),"")</f>
        <v/>
      </c>
      <c r="CN131" s="219">
        <f>IF(V131&lt;W131,CONCATENATE("* El total de Procesados debe ser mayor o igual al total de Reactivos en el grupo de edad ",$V$11),"")</f>
        <v/>
      </c>
      <c r="CO131" s="219">
        <f>IF(X131&lt;Y131,CONCATENATE("* El total de Procesados debe ser mayor o igual al total de Reactivos en el grupo de edad ",$X$11),"")</f>
        <v/>
      </c>
      <c r="CP131" s="219">
        <f>IF(Z131&lt;AA131,CONCATENATE("* El total de Procesados debe ser mayor o igual al total de Reactivos en el grupo de edad ",$Z$11),"")</f>
        <v/>
      </c>
      <c r="CQ131" s="219">
        <f>IF(AB131&lt;AC131,CONCATENATE("* El total de Procesados debe ser mayor o igual al total de Reactivos en el grupo de edad ",$AB$11),"")</f>
        <v/>
      </c>
      <c r="CR131" s="219">
        <f>IF(AD131&lt;AE131,CONCATENATE("* El total de Procesados debe ser mayor o igual al total de Reactivos en el grupo de edad ",$AD$11),"")</f>
        <v/>
      </c>
      <c r="CS131" s="219">
        <f>IF(AF131&lt;AG131,CONCATENATE("* El total de Procesados debe ser mayor o igual al total de Reactivos en el grupo de edad ",$AF$11),"")</f>
        <v/>
      </c>
      <c r="CT131" s="219">
        <f>IF(AH131&lt;AI131,CONCATENATE("* El total de Procesados debe ser mayor o igual al total de Reactivos en el grupo de edad ",$AH$11),"")</f>
        <v/>
      </c>
      <c r="CU131" s="219">
        <f>IF(AJ131&lt;AK131,CONCATENATE("* El total de Procesados debe ser mayor o igual al total de Reactivos en el grupo de edad ",$AJ$11),"")</f>
        <v/>
      </c>
      <c r="CV131" s="219">
        <f>IF(AL131&lt;AM131,CONCATENATE("* El total de Procesados debe ser mayor o igual al total de Reactivos en el grupo de edad ",$AL$11),"")</f>
        <v/>
      </c>
      <c r="CW131" s="219">
        <f>IF(AN131&lt;AO131,CONCATENATE("* El total de Procesados debe ser mayor o igual al total de Reactivos en el grupo de edad ",$AN$11),"")</f>
        <v/>
      </c>
      <c r="CX131" s="219">
        <f>IF(AP131&lt;AQ131,CONCATENATE("* El total de Procesados debe ser mayor o igual al total de Reactivos en el grupo de edad ",$AP$11),"")</f>
        <v/>
      </c>
      <c r="DE131" s="226" t="n"/>
      <c r="DF131" s="378">
        <f>IF(B131&lt;&gt;(AS131),1,0)</f>
        <v/>
      </c>
      <c r="DG131" s="376">
        <f>IF(AND($B131&gt;0,AND(AT131="",AU131="")),1,IF((AT131+AU131)&gt;$B131,1,0))</f>
        <v/>
      </c>
      <c r="DH131" s="376">
        <f>IF(AND($B131&gt;0,AV131=""),1,IF(AV131&gt;$B131,1,0))</f>
        <v/>
      </c>
      <c r="DI131" s="376">
        <f>IF(AND($B131&gt;0,AW131=""),1,IF(AW131&gt;$B131,1,0))</f>
        <v/>
      </c>
      <c r="DJ131" s="376">
        <f>IF(D131&lt;E131,1,0)</f>
        <v/>
      </c>
      <c r="DK131" s="376">
        <f>IF(F131&lt;G131,1,0)</f>
        <v/>
      </c>
      <c r="DL131" s="376">
        <f>IF(H131&lt;I131,1,0)</f>
        <v/>
      </c>
      <c r="DM131" s="376">
        <f>IF(J131&lt;K131,1,0)</f>
        <v/>
      </c>
      <c r="DN131" s="376">
        <f>IF(L131&lt;M131,1,0)</f>
        <v/>
      </c>
      <c r="DO131" s="376">
        <f>IF(N131&lt;O131,1,0)</f>
        <v/>
      </c>
      <c r="DP131" s="376">
        <f>IF(P131&lt;Q131,1,0)</f>
        <v/>
      </c>
      <c r="DQ131" s="376">
        <f>IF(R131&lt;S131,1,0)</f>
        <v/>
      </c>
      <c r="DR131" s="376">
        <f>IF($T131&lt;$U131,1,0)</f>
        <v/>
      </c>
      <c r="DS131" s="376">
        <f>IF(V131&lt;W131,1,0)</f>
        <v/>
      </c>
      <c r="DT131" s="376">
        <f>IF(X131&lt;Y131,1,0)</f>
        <v/>
      </c>
      <c r="DU131" s="376">
        <f>IF(Z131&lt;AA131,1,0)</f>
        <v/>
      </c>
      <c r="DV131" s="376">
        <f>IF(AB131&lt;AC131,1,0)</f>
        <v/>
      </c>
      <c r="DW131" s="376">
        <f>IF(AD131&lt;AE131,1,0)</f>
        <v/>
      </c>
      <c r="DX131" s="376">
        <f>IF(AF131&lt;AG131,1,0)</f>
        <v/>
      </c>
      <c r="DY131" s="376">
        <f>IF(AH131&lt;AI131,1,0)</f>
        <v/>
      </c>
      <c r="DZ131" s="376">
        <f>IF(AJ131&lt;AK131,1,0)</f>
        <v/>
      </c>
      <c r="EA131" s="376">
        <f>IF(AL131&lt;AM131,1,0)</f>
        <v/>
      </c>
      <c r="EB131" s="376">
        <f>IF(AN131&lt;AO131,1,0)</f>
        <v/>
      </c>
      <c r="EC131" s="376">
        <f>IF(AP131&lt;AQ131,1,0)</f>
        <v/>
      </c>
    </row>
    <row r="132" ht="21" customHeight="1" s="8286">
      <c r="A132" s="8538" t="inlineStr">
        <is>
          <t>Recién nacido y lactante para detección de sífilis congénita</t>
        </is>
      </c>
      <c r="B132" s="3103">
        <f>+D132+F132+H132</f>
        <v/>
      </c>
      <c r="C132" s="1171">
        <f>+E132+G132+I132</f>
        <v/>
      </c>
      <c r="D132" s="3100" t="n"/>
      <c r="E132" s="3107" t="n"/>
      <c r="F132" s="3108" t="n"/>
      <c r="G132" s="3107" t="n"/>
      <c r="H132" s="3108" t="n"/>
      <c r="I132" s="3101" t="n"/>
      <c r="J132" s="3109" t="n"/>
      <c r="K132" s="3110" t="n"/>
      <c r="L132" s="3109" t="n"/>
      <c r="M132" s="3110" t="n"/>
      <c r="N132" s="3109" t="n"/>
      <c r="O132" s="3110" t="n"/>
      <c r="P132" s="3109" t="n"/>
      <c r="Q132" s="3110" t="n"/>
      <c r="R132" s="3109" t="n"/>
      <c r="S132" s="3110" t="n"/>
      <c r="T132" s="3109" t="n"/>
      <c r="U132" s="3110" t="n"/>
      <c r="V132" s="3109" t="n"/>
      <c r="W132" s="3110" t="n"/>
      <c r="X132" s="3109" t="n"/>
      <c r="Y132" s="3110" t="n"/>
      <c r="Z132" s="3109" t="n"/>
      <c r="AA132" s="3110" t="n"/>
      <c r="AB132" s="3109" t="n"/>
      <c r="AC132" s="3110" t="n"/>
      <c r="AD132" s="3109" t="n"/>
      <c r="AE132" s="3110" t="n"/>
      <c r="AF132" s="3109" t="n"/>
      <c r="AG132" s="3110" t="n"/>
      <c r="AH132" s="3109" t="n"/>
      <c r="AI132" s="3110" t="n"/>
      <c r="AJ132" s="3109" t="n"/>
      <c r="AK132" s="3110" t="n"/>
      <c r="AL132" s="3109" t="n"/>
      <c r="AM132" s="3110" t="n"/>
      <c r="AN132" s="3109" t="n"/>
      <c r="AO132" s="3110" t="n"/>
      <c r="AP132" s="3109" t="n"/>
      <c r="AQ132" s="3111" t="n"/>
      <c r="AR132" s="3100" t="n"/>
      <c r="AS132" s="3098" t="n"/>
      <c r="AT132" s="3099" t="n"/>
      <c r="AU132" s="3098" t="n"/>
      <c r="AV132" s="3845" t="n"/>
      <c r="AW132" s="3656" t="n"/>
      <c r="AX132" s="218">
        <f>$CA132&amp;CB132&amp;CC132&amp;$CD132&amp;CE132&amp;CF132&amp;CG132</f>
        <v/>
      </c>
      <c r="CA132" s="219">
        <f>IF(B132&lt;&gt;(AS132+AR132)," * La suma de las columnas "&amp;AR$10&amp;""&amp;" DEBE SER IGUAL a los Exámenes Procesados. ","")</f>
        <v/>
      </c>
      <c r="CB132" s="219">
        <f>IF(AND($B132&gt;0,AND(AT132="",AU132="")),"* No olvide ingresar las columnas Trans Masculino o Femenino (*Digite CERO si no tiene). ",IF((AT132+AU132)&gt;$B132,"* El Número de Trans Masculino o Femenino no puede superar el Total Procesados. ",""))</f>
        <v/>
      </c>
      <c r="CC132" s="219">
        <f>IF(AND($B132&gt;0,AV132=""),"* No olvide ingresar la columna "&amp;AV$10&amp;""&amp;" *(Digite CERO si no tiene). ",IF(AV132&gt;$B132," *El Número de "&amp;AV$10&amp;""&amp;" no puede superar el Total Procesados. ",""))</f>
        <v/>
      </c>
      <c r="CD132" s="219">
        <f>IF(AND($B132&gt;0,AW132=""),"* No olvide ingresar la columna "&amp;AW$10&amp;""&amp;" *(Digite CERO si no tiene). ",IF(AW132&gt;$B132," *El Número de "&amp;AW$10&amp;""&amp;" no puede superar el Total Procesados. ",""))</f>
        <v/>
      </c>
      <c r="CE132" s="219">
        <f>IF(D132&lt;E132,CONCATENATE("* El total de Procesados debe ser mayor o igual al total de Reactivos en el grupo de edad ",$D$11),"")</f>
        <v/>
      </c>
      <c r="CF132" s="219">
        <f>IF(F132&lt;G132,CONCATENATE("* El total de Procesados debe ser mayor o igual al total de Reactivos en el grupo de edad ",$F$11),"")</f>
        <v/>
      </c>
      <c r="CG132" s="219">
        <f>IF(H132&lt;I132,CONCATENATE("* El total de Procesados debe ser mayor o igual al total de Reactivos en el grupo de edad ",$H$11),"")</f>
        <v/>
      </c>
      <c r="CH132" s="222" t="n"/>
      <c r="CI132" s="222" t="n"/>
      <c r="CJ132" s="377" t="n"/>
      <c r="CK132" s="222" t="n"/>
      <c r="CL132" s="222" t="n"/>
      <c r="CM132" s="222" t="n"/>
      <c r="CN132" s="222" t="n"/>
      <c r="CO132" s="222" t="n"/>
      <c r="CP132" s="222" t="n"/>
      <c r="CQ132" s="222" t="n"/>
      <c r="CR132" s="222" t="n"/>
      <c r="CS132" s="222" t="n"/>
      <c r="CT132" s="222" t="n"/>
      <c r="CU132" s="222" t="n"/>
      <c r="CV132" s="222" t="n"/>
      <c r="CW132" s="222" t="n"/>
      <c r="CX132" s="222" t="n"/>
      <c r="DE132" s="226" t="n"/>
      <c r="DF132" s="378">
        <f>IF(B132&lt;&gt;(AS132+AR132),1,0)</f>
        <v/>
      </c>
      <c r="DG132" s="376">
        <f>IF(AND($B132&gt;0,AND(AT132="",AU132="")),1,IF((AT132+AU132)&gt;$B132,1,0))</f>
        <v/>
      </c>
      <c r="DH132" s="376">
        <f>IF(AND($B132&gt;0,AV132=""),1,IF(AV132&gt;$B132,1,0))</f>
        <v/>
      </c>
      <c r="DI132" s="376">
        <f>IF(AND($B132&gt;0,AW132=""),1,IF(AW132&gt;$B132,1,0))</f>
        <v/>
      </c>
      <c r="DJ132" s="376">
        <f>IF(D132&lt;E132,1,0)</f>
        <v/>
      </c>
      <c r="DK132" s="376">
        <f>IF(F132&lt;G132,1,0)</f>
        <v/>
      </c>
      <c r="DL132" s="376">
        <f>IF(H132&lt;I132,1,0)</f>
        <v/>
      </c>
      <c r="DM132" s="222" t="n"/>
      <c r="DN132" s="222" t="n"/>
      <c r="DO132" s="220" t="n"/>
      <c r="DP132" s="220" t="n"/>
      <c r="DQ132" s="220" t="n"/>
      <c r="DR132" s="220" t="n"/>
      <c r="DS132" s="220" t="n"/>
      <c r="DT132" s="220" t="n"/>
      <c r="DU132" s="220" t="n"/>
      <c r="DV132" s="220" t="n"/>
      <c r="DW132" s="220" t="n"/>
      <c r="DX132" s="220" t="n"/>
      <c r="DY132" s="220" t="n"/>
      <c r="DZ132" s="220" t="n"/>
      <c r="EA132" s="220" t="n"/>
      <c r="EB132" s="220" t="n"/>
      <c r="EC132" s="220" t="n"/>
    </row>
    <row r="133">
      <c r="A133" s="8538" t="inlineStr">
        <is>
          <t>Personas en control por comercio sexual</t>
        </is>
      </c>
      <c r="B133" s="3103">
        <f>+P133+R133+T133+V133+X133+Z133+AB133+AD133+AF133+AH133+AJ133+AL133+AN133+AP133</f>
        <v/>
      </c>
      <c r="C133" s="1171">
        <f>+Q133+S133+U133+W133+Y133+AA133+AC133+AE133+AG133+AI133+AK133+AM133+AO133+AQ133</f>
        <v/>
      </c>
      <c r="D133" s="3112" t="n"/>
      <c r="E133" s="3105" t="n"/>
      <c r="F133" s="3104" t="n"/>
      <c r="G133" s="3105" t="n"/>
      <c r="H133" s="3104" t="n"/>
      <c r="I133" s="3105" t="n"/>
      <c r="J133" s="3104" t="n"/>
      <c r="K133" s="3105" t="n"/>
      <c r="L133" s="3104" t="n"/>
      <c r="M133" s="3106" t="n"/>
      <c r="N133" s="3112" t="n"/>
      <c r="O133" s="3105" t="n"/>
      <c r="P133" s="3108" t="n"/>
      <c r="Q133" s="3107" t="n"/>
      <c r="R133" s="3108" t="n"/>
      <c r="S133" s="3107" t="n"/>
      <c r="T133" s="3108" t="n"/>
      <c r="U133" s="3107" t="n"/>
      <c r="V133" s="3108" t="n"/>
      <c r="W133" s="3107" t="n"/>
      <c r="X133" s="3108" t="n"/>
      <c r="Y133" s="3107" t="n"/>
      <c r="Z133" s="3108" t="n"/>
      <c r="AA133" s="3107" t="n"/>
      <c r="AB133" s="3108" t="n"/>
      <c r="AC133" s="3107" t="n"/>
      <c r="AD133" s="3108" t="n"/>
      <c r="AE133" s="3107" t="n"/>
      <c r="AF133" s="3108" t="n"/>
      <c r="AG133" s="3107" t="n"/>
      <c r="AH133" s="3108" t="n"/>
      <c r="AI133" s="3107" t="n"/>
      <c r="AJ133" s="3108" t="n"/>
      <c r="AK133" s="3107" t="n"/>
      <c r="AL133" s="3108" t="n"/>
      <c r="AM133" s="3107" t="n"/>
      <c r="AN133" s="3108" t="n"/>
      <c r="AO133" s="3107" t="n"/>
      <c r="AP133" s="3108" t="n"/>
      <c r="AQ133" s="3098" t="n"/>
      <c r="AR133" s="3100" t="n"/>
      <c r="AS133" s="3098" t="n"/>
      <c r="AT133" s="3099" t="n"/>
      <c r="AU133" s="3098" t="n"/>
      <c r="AV133" s="3845" t="n"/>
      <c r="AW133" s="3656" t="n"/>
      <c r="AX133" s="218">
        <f>$CA133&amp;CB133&amp;CC133&amp;$CD133&amp;CK133&amp;CL133&amp;CM133&amp;CN133&amp;CO133&amp;CP133&amp;CQ133&amp;CR133&amp;CS133&amp;CT133&amp;CU133&amp;CV133&amp;CW133&amp;CX133</f>
        <v/>
      </c>
      <c r="CA133" s="219">
        <f>IF(B133&lt;&gt;(AS133+AR133)," * La suma de las columnas "&amp;AR$10&amp;""&amp;" DEBE SER IGUAL a los Exámenes Procesados. ","")</f>
        <v/>
      </c>
      <c r="CB133" s="219">
        <f>IF(AND($B133&gt;0,AND(AT133="",AU133="")),"* No olvide ingresar las columnas Trans Masculino o Femenino (*Digite CERO si no tiene). ",IF((AT133+AU133)&gt;$B133,"* El Número de Trans Masculino o Femenino no puede superar el Total Procesados. ",""))</f>
        <v/>
      </c>
      <c r="CC133" s="219">
        <f>IF(AND($B133&gt;0,AV133=""),"* No olvide ingresar la columna "&amp;AV$10&amp;""&amp;" *(Digite CERO si no tiene). ",IF(AV133&gt;$B133," *El Número de "&amp;AV$10&amp;""&amp;" no puede superar el Total Procesados. ",""))</f>
        <v/>
      </c>
      <c r="CD133" s="219">
        <f>IF(AND($B133&gt;0,AW133=""),"* No olvide ingresar la columna "&amp;AW$10&amp;""&amp;" *(Digite CERO si no tiene). ",IF(AW133&gt;$B133," *El Número de "&amp;AW$10&amp;""&amp;" no puede superar el Total Procesados. ",""))</f>
        <v/>
      </c>
      <c r="CE133" s="377" t="n"/>
      <c r="CF133" s="377" t="n"/>
      <c r="CG133" s="222" t="n"/>
      <c r="CH133" s="222" t="n"/>
      <c r="CI133" s="222" t="n"/>
      <c r="CJ133" s="377" t="n"/>
      <c r="CK133" s="219">
        <f>IF(P133&lt;Q133,CONCATENATE("* El total de Procesados debe ser mayor o igual al total de Reactivos en el grupo de edad ",$P$11),"")</f>
        <v/>
      </c>
      <c r="CL133" s="219">
        <f>IF(R133&lt;S133,CONCATENATE("* El total de Procesados debe ser mayor o igual al total de Reactivos en el grupo de edad ",$R$11),"")</f>
        <v/>
      </c>
      <c r="CM133" s="219">
        <f>IF($T133&lt;$U133,CONCATENATE("* El total de Procesados debe ser mayor o igual al total de Reactivos en el grupo de edad ",$T$11),"")</f>
        <v/>
      </c>
      <c r="CN133" s="219">
        <f>IF(V133&lt;W133,CONCATENATE("* El total de Procesados debe ser mayor o igual al total de Reactivos en el grupo de edad ",$V$11),"")</f>
        <v/>
      </c>
      <c r="CO133" s="219">
        <f>IF(X133&lt;Y133,CONCATENATE("* El total de Procesados debe ser mayor o igual al total de Reactivos en el grupo de edad ",$X$11),"")</f>
        <v/>
      </c>
      <c r="CP133" s="219">
        <f>IF(Z133&lt;AA133,CONCATENATE("* El total de Procesados debe ser mayor o igual al total de Reactivos en el grupo de edad ",$Z$11),"")</f>
        <v/>
      </c>
      <c r="CQ133" s="219">
        <f>IF(AB133&lt;AC133,CONCATENATE("* El total de Procesados debe ser mayor o igual al total de Reactivos en el grupo de edad ",$AB$11),"")</f>
        <v/>
      </c>
      <c r="CR133" s="219">
        <f>IF(AD133&lt;AE133,CONCATENATE("* El total de Procesados debe ser mayor o igual al total de Reactivos en el grupo de edad ",$AD$11),"")</f>
        <v/>
      </c>
      <c r="CS133" s="219">
        <f>IF(AF133&lt;AG133,CONCATENATE("* El total de Procesados debe ser mayor o igual al total de Reactivos en el grupo de edad ",$AF$11),"")</f>
        <v/>
      </c>
      <c r="CT133" s="219">
        <f>IF(AH133&lt;AI133,CONCATENATE("* El total de Procesados debe ser mayor o igual al total de Reactivos en el grupo de edad ",$AH$11),"")</f>
        <v/>
      </c>
      <c r="CU133" s="219">
        <f>IF(AJ133&lt;AK133,CONCATENATE("* El total de Procesados debe ser mayor o igual al total de Reactivos en el grupo de edad ",$AJ$11),"")</f>
        <v/>
      </c>
      <c r="CV133" s="219">
        <f>IF(AL133&lt;AM133,CONCATENATE("* El total de Procesados debe ser mayor o igual al total de Reactivos en el grupo de edad ",$AL$11),"")</f>
        <v/>
      </c>
      <c r="CW133" s="219">
        <f>IF(AN133&lt;AO133,CONCATENATE("* El total de Procesados debe ser mayor o igual al total de Reactivos en el grupo de edad ",$AN$11),"")</f>
        <v/>
      </c>
      <c r="CX133" s="219">
        <f>IF(AP133&lt;AQ133,CONCATENATE("* El total de Procesados debe ser mayor o igual al total de Reactivos en el grupo de edad ",$AP$11),"")</f>
        <v/>
      </c>
      <c r="DE133" s="226" t="n"/>
      <c r="DF133" s="378">
        <f>IF(B133&lt;&gt;(AS133+AR133),1,0)</f>
        <v/>
      </c>
      <c r="DG133" s="376">
        <f>IF(AND($B133&gt;0,AND(AT133="",AU133="")),1,IF((AT133+AU133)&gt;$B133,1,0))</f>
        <v/>
      </c>
      <c r="DH133" s="376">
        <f>IF(AND($B133&gt;0,AV133=""),1,IF(AV133&gt;$B133,1,0))</f>
        <v/>
      </c>
      <c r="DI133" s="376">
        <f>IF(AND($B133&gt;0,AW133=""),1,IF(AW133&gt;$B133,1,0))</f>
        <v/>
      </c>
      <c r="DJ133" s="222" t="n"/>
      <c r="DK133" s="222" t="n"/>
      <c r="DL133" s="222" t="n"/>
      <c r="DM133" s="222" t="n"/>
      <c r="DN133" s="222" t="n"/>
      <c r="DO133" s="220" t="n"/>
      <c r="DP133" s="376">
        <f>IF(P133&lt;Q133,1,0)</f>
        <v/>
      </c>
      <c r="DQ133" s="376">
        <f>IF(R133&lt;S133,1,0)</f>
        <v/>
      </c>
      <c r="DR133" s="376">
        <f>IF($T133&lt;$U133,1,0)</f>
        <v/>
      </c>
      <c r="DS133" s="376">
        <f>IF(V133&lt;W133,1,0)</f>
        <v/>
      </c>
      <c r="DT133" s="376">
        <f>IF(X133&lt;Y133,1,0)</f>
        <v/>
      </c>
      <c r="DU133" s="376">
        <f>IF(Z133&lt;AA133,1,0)</f>
        <v/>
      </c>
      <c r="DV133" s="376">
        <f>IF(AB133&lt;AC133,1,0)</f>
        <v/>
      </c>
      <c r="DW133" s="376">
        <f>IF(AD133&lt;AE133,1,0)</f>
        <v/>
      </c>
      <c r="DX133" s="376">
        <f>IF(AF133&lt;AG133,1,0)</f>
        <v/>
      </c>
      <c r="DY133" s="376">
        <f>IF(AH133&lt;AI133,1,0)</f>
        <v/>
      </c>
      <c r="DZ133" s="376">
        <f>IF(AJ133&lt;AK133,1,0)</f>
        <v/>
      </c>
      <c r="EA133" s="376">
        <f>IF(AL133&lt;AM133,1,0)</f>
        <v/>
      </c>
      <c r="EB133" s="376">
        <f>IF(AN133&lt;AO133,1,0)</f>
        <v/>
      </c>
      <c r="EC133" s="376">
        <f>IF(AP133&lt;AQ133,1,0)</f>
        <v/>
      </c>
    </row>
    <row r="134">
      <c r="A134" s="3119" t="inlineStr">
        <is>
          <t>Personas en control fecundidad</t>
        </is>
      </c>
      <c r="B134" s="3103">
        <f>+N134+P134+R134+T134+V134+X134+Z134+AB134+AD134+AF134+AH134+AJ134+AL134+AN134+AP134</f>
        <v/>
      </c>
      <c r="C134" s="1171">
        <f>+O134+Q134+S134+U134+W134+Y134+AA134+AC134+AE134+AG134+AI134+AK134+AM134+AO134+AQ134</f>
        <v/>
      </c>
      <c r="D134" s="3097" t="n"/>
      <c r="E134" s="3110" t="n"/>
      <c r="F134" s="3109" t="n"/>
      <c r="G134" s="3110" t="n"/>
      <c r="H134" s="3109" t="n"/>
      <c r="I134" s="3113" t="n"/>
      <c r="J134" s="3097" t="n"/>
      <c r="K134" s="3097" t="n"/>
      <c r="L134" s="3109" t="n"/>
      <c r="M134" s="3113" t="n"/>
      <c r="N134" s="3100" t="n"/>
      <c r="O134" s="3107" t="n"/>
      <c r="P134" s="3108" t="n"/>
      <c r="Q134" s="3107" t="n"/>
      <c r="R134" s="3108" t="n"/>
      <c r="S134" s="3107" t="n"/>
      <c r="T134" s="3108" t="n"/>
      <c r="U134" s="3107" t="n"/>
      <c r="V134" s="3108" t="n"/>
      <c r="W134" s="3107" t="n"/>
      <c r="X134" s="3108" t="n"/>
      <c r="Y134" s="3107" t="n"/>
      <c r="Z134" s="3108" t="n"/>
      <c r="AA134" s="3107" t="n"/>
      <c r="AB134" s="3108" t="n"/>
      <c r="AC134" s="3107" t="n"/>
      <c r="AD134" s="3108" t="n"/>
      <c r="AE134" s="3107" t="n"/>
      <c r="AF134" s="3108" t="n"/>
      <c r="AG134" s="3107" t="n"/>
      <c r="AH134" s="3108" t="n"/>
      <c r="AI134" s="3107" t="n"/>
      <c r="AJ134" s="3108" t="n"/>
      <c r="AK134" s="3107" t="n"/>
      <c r="AL134" s="3108" t="n"/>
      <c r="AM134" s="3107" t="n"/>
      <c r="AN134" s="3108" t="n"/>
      <c r="AO134" s="3107" t="n"/>
      <c r="AP134" s="3108" t="n"/>
      <c r="AQ134" s="3098" t="n"/>
      <c r="AR134" s="3100" t="n"/>
      <c r="AS134" s="3098" t="n"/>
      <c r="AT134" s="3099" t="n"/>
      <c r="AU134" s="3098" t="n"/>
      <c r="AV134" s="3845" t="n"/>
      <c r="AW134" s="3656" t="n"/>
      <c r="AX134" s="218">
        <f>$CA134&amp;CB134&amp;CC134&amp;$CD134&amp;CJ134&amp;CK134&amp;CL134&amp;CM134&amp;CN134&amp;CO134&amp;CP134&amp;CQ134&amp;CR134&amp;CS134&amp;CT134&amp;CU134&amp;CV134&amp;CW134&amp;CX134</f>
        <v/>
      </c>
      <c r="CA134" s="219">
        <f>IF(B134&lt;&gt;(AS134+AR134)," * La suma de las columnas "&amp;AR$10&amp;""&amp;" DEBE SER IGUAL a los Exámenes Procesados. ","")</f>
        <v/>
      </c>
      <c r="CB134" s="219">
        <f>IF(AND($B134&gt;0,AND(AT134="",AU134="")),"* No olvide ingresar las columnas Trans Masculino o Femenino (*Digite CERO si no tiene). ",IF((AT134+AU134)&gt;$B134,"* El Número de Trans Masculino o Femenino no puede superar el Total Procesados. ",""))</f>
        <v/>
      </c>
      <c r="CC134" s="219">
        <f>IF(AND($B134&gt;0,AV134=""),"* No olvide ingresar la columna "&amp;AV$10&amp;""&amp;" *(Digite CERO si no tiene). ",IF(AV134&gt;$B134," *El Número de "&amp;AV$10&amp;""&amp;" no puede superar el Total Procesados. ",""))</f>
        <v/>
      </c>
      <c r="CD134" s="219">
        <f>IF(AND($B134&gt;0,AW134=""),"* No olvide ingresar la columna "&amp;AW$10&amp;""&amp;" *(Digite CERO si no tiene). ",IF(AW134&gt;$B134," *El Número de "&amp;AW$10&amp;""&amp;" no puede superar el Total Procesados. ",""))</f>
        <v/>
      </c>
      <c r="CE134" s="377" t="n"/>
      <c r="CF134" s="377" t="n"/>
      <c r="CG134" s="222" t="n"/>
      <c r="CH134" s="222" t="n"/>
      <c r="CI134" s="222" t="n"/>
      <c r="CJ134" s="219">
        <f>IF(N134&lt;O134,CONCATENATE("* El total de Procesados debe ser mayor o igual al total de Reactivos en el grupo de edad ",$N$11),"")</f>
        <v/>
      </c>
      <c r="CK134" s="219">
        <f>IF(P134&lt;Q134,CONCATENATE("* El total de Procesados debe ser mayor o igual al total de Reactivos en el grupo de edad ",$P$11),"")</f>
        <v/>
      </c>
      <c r="CL134" s="219">
        <f>IF(R134&lt;S134,CONCATENATE("* El total de Procesados debe ser mayor o igual al total de Reactivos en el grupo de edad ",$R$11),"")</f>
        <v/>
      </c>
      <c r="CM134" s="219">
        <f>IF($T134&lt;$U134,CONCATENATE("* El total de Procesados debe ser mayor o igual al total de Reactivos en el grupo de edad ",$T$11),"")</f>
        <v/>
      </c>
      <c r="CN134" s="219">
        <f>IF(V134&lt;W134,CONCATENATE("* El total de Procesados debe ser mayor o igual al total de Reactivos en el grupo de edad ",$V$11),"")</f>
        <v/>
      </c>
      <c r="CO134" s="219">
        <f>IF(X134&lt;Y134,CONCATENATE("* El total de Procesados debe ser mayor o igual al total de Reactivos en el grupo de edad ",$X$11),"")</f>
        <v/>
      </c>
      <c r="CP134" s="219">
        <f>IF(Z134&lt;AA134,CONCATENATE("* El total de Procesados debe ser mayor o igual al total de Reactivos en el grupo de edad ",$Z$11),"")</f>
        <v/>
      </c>
      <c r="CQ134" s="219">
        <f>IF(AB134&lt;AC134,CONCATENATE("* El total de Procesados debe ser mayor o igual al total de Reactivos en el grupo de edad ",$AB$11),"")</f>
        <v/>
      </c>
      <c r="CR134" s="219">
        <f>IF(AD134&lt;AE134,CONCATENATE("* El total de Procesados debe ser mayor o igual al total de Reactivos en el grupo de edad ",$AD$11),"")</f>
        <v/>
      </c>
      <c r="CS134" s="219">
        <f>IF(AF134&lt;AG134,CONCATENATE("* El total de Procesados debe ser mayor o igual al total de Reactivos en el grupo de edad ",$AF$11),"")</f>
        <v/>
      </c>
      <c r="CT134" s="219">
        <f>IF(AH134&lt;AI134,CONCATENATE("* El total de Procesados debe ser mayor o igual al total de Reactivos en el grupo de edad ",$AH$11),"")</f>
        <v/>
      </c>
      <c r="CU134" s="219">
        <f>IF(AJ134&lt;AK134,CONCATENATE("* El total de Procesados debe ser mayor o igual al total de Reactivos en el grupo de edad ",$AJ$11),"")</f>
        <v/>
      </c>
      <c r="CV134" s="219">
        <f>IF(AL134&lt;AM134,CONCATENATE("* El total de Procesados debe ser mayor o igual al total de Reactivos en el grupo de edad ",$AL$11),"")</f>
        <v/>
      </c>
      <c r="CW134" s="219">
        <f>IF(AN134&lt;AO134,CONCATENATE("* El total de Procesados debe ser mayor o igual al total de Reactivos en el grupo de edad ",$AN$11),"")</f>
        <v/>
      </c>
      <c r="CX134" s="219">
        <f>IF(AP134&lt;AQ134,CONCATENATE("* El total de Procesados debe ser mayor o igual al total de Reactivos en el grupo de edad ",$AP$11),"")</f>
        <v/>
      </c>
      <c r="DE134" s="226" t="n"/>
      <c r="DF134" s="378">
        <f>IF(B134&lt;&gt;(AS134+AR134),1,0)</f>
        <v/>
      </c>
      <c r="DG134" s="376">
        <f>IF(AND($B134&gt;0,AND(AT134="",AU134="")),1,IF((AT134+AU134)&gt;$B134,1,0))</f>
        <v/>
      </c>
      <c r="DH134" s="376">
        <f>IF(AND($B134&gt;0,AV134=""),1,IF(AV134&gt;$B134,1,0))</f>
        <v/>
      </c>
      <c r="DI134" s="376">
        <f>IF(AND($B134&gt;0,AW134=""),1,IF(AW134&gt;$B134,1,0))</f>
        <v/>
      </c>
      <c r="DJ134" s="222" t="n"/>
      <c r="DK134" s="222" t="n"/>
      <c r="DL134" s="222" t="n"/>
      <c r="DM134" s="222" t="n"/>
      <c r="DN134" s="222" t="n"/>
      <c r="DO134" s="376">
        <f>IF(N134&lt;O134,1,0)</f>
        <v/>
      </c>
      <c r="DP134" s="376">
        <f>IF(P134&lt;Q134,1,0)</f>
        <v/>
      </c>
      <c r="DQ134" s="376">
        <f>IF(R134&lt;S134,1,0)</f>
        <v/>
      </c>
      <c r="DR134" s="376">
        <f>IF($T134&lt;$U134,1,0)</f>
        <v/>
      </c>
      <c r="DS134" s="376">
        <f>IF(V134&lt;W134,1,0)</f>
        <v/>
      </c>
      <c r="DT134" s="376">
        <f>IF(X134&lt;Y134,1,0)</f>
        <v/>
      </c>
      <c r="DU134" s="376">
        <f>IF(Z134&lt;AA134,1,0)</f>
        <v/>
      </c>
      <c r="DV134" s="376">
        <f>IF(AB134&lt;AC134,1,0)</f>
        <v/>
      </c>
      <c r="DW134" s="376">
        <f>IF(AD134&lt;AE134,1,0)</f>
        <v/>
      </c>
      <c r="DX134" s="376">
        <f>IF(AF134&lt;AG134,1,0)</f>
        <v/>
      </c>
      <c r="DY134" s="376">
        <f>IF(AH134&lt;AI134,1,0)</f>
        <v/>
      </c>
      <c r="DZ134" s="376">
        <f>IF(AJ134&lt;AK134,1,0)</f>
        <v/>
      </c>
      <c r="EA134" s="376">
        <f>IF(AL134&lt;AM134,1,0)</f>
        <v/>
      </c>
      <c r="EB134" s="376">
        <f>IF(AN134&lt;AO134,1,0)</f>
        <v/>
      </c>
      <c r="EC134" s="376">
        <f>IF(AP134&lt;AQ134,1,0)</f>
        <v/>
      </c>
    </row>
    <row r="135">
      <c r="A135" s="3119" t="inlineStr">
        <is>
          <t>Consultantes por ITS</t>
        </is>
      </c>
      <c r="B135" s="3103">
        <f>+D135+F135+H135+J135+L135+N135+P135+R135+T135+V135+X135+Z135+AB135+AD135+AF135+AH135+AJ135+AL135+AN135+AP135</f>
        <v/>
      </c>
      <c r="C135" s="1171">
        <f>+E135+G135+I135+K135+M135+O135+Q135+S135+U135+W135+Y135+AA135+AC135+AE135+AG135+AI135+AK135+AM135+AO135+AQ135</f>
        <v/>
      </c>
      <c r="D135" s="3100" t="n"/>
      <c r="E135" s="3107" t="n"/>
      <c r="F135" s="3108" t="n"/>
      <c r="G135" s="3107" t="n"/>
      <c r="H135" s="3108" t="n"/>
      <c r="I135" s="3101" t="n"/>
      <c r="J135" s="3100" t="n"/>
      <c r="K135" s="3100" t="n"/>
      <c r="L135" s="3108" t="n"/>
      <c r="M135" s="3101" t="n"/>
      <c r="N135" s="3100" t="n"/>
      <c r="O135" s="3107" t="n"/>
      <c r="P135" s="3108" t="n"/>
      <c r="Q135" s="3107" t="n"/>
      <c r="R135" s="3108" t="n"/>
      <c r="S135" s="3107" t="n"/>
      <c r="T135" s="3108" t="n"/>
      <c r="U135" s="3107" t="n"/>
      <c r="V135" s="3108" t="n"/>
      <c r="W135" s="3107" t="n"/>
      <c r="X135" s="3108" t="n"/>
      <c r="Y135" s="3107" t="n"/>
      <c r="Z135" s="3108" t="n"/>
      <c r="AA135" s="3107" t="n"/>
      <c r="AB135" s="3108" t="n"/>
      <c r="AC135" s="3107" t="n"/>
      <c r="AD135" s="3108" t="n"/>
      <c r="AE135" s="3107" t="n"/>
      <c r="AF135" s="3108" t="n"/>
      <c r="AG135" s="3107" t="n"/>
      <c r="AH135" s="3108" t="n"/>
      <c r="AI135" s="3107" t="n"/>
      <c r="AJ135" s="3108" t="n"/>
      <c r="AK135" s="3107" t="n"/>
      <c r="AL135" s="3108" t="n"/>
      <c r="AM135" s="3107" t="n"/>
      <c r="AN135" s="3108" t="n"/>
      <c r="AO135" s="3107" t="n"/>
      <c r="AP135" s="3108" t="n"/>
      <c r="AQ135" s="3098" t="n"/>
      <c r="AR135" s="3100" t="n"/>
      <c r="AS135" s="3098" t="n"/>
      <c r="AT135" s="3099" t="n"/>
      <c r="AU135" s="3098" t="n"/>
      <c r="AV135" s="3845" t="n"/>
      <c r="AW135" s="3656" t="n"/>
      <c r="AX135" s="218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>
        <f>IF(B135&lt;&gt;(AS135+AR135)," * La suma de las columnas "&amp;AR$10&amp;""&amp;" DEBE SER IGUAL a los Exámenes Procesados. ","")</f>
        <v/>
      </c>
      <c r="CB135" s="219">
        <f>IF(AND($B135&gt;0,AND(AT135="",AU135="")),"* No olvide ingresar las columnas Trans Masculino o Femenino (*Digite CERO si no tiene). ",IF((AT135+AU135)&gt;$B135,"* El Número de Trans Masculino o Femenino no puede superar el Total Procesados. ",""))</f>
        <v/>
      </c>
      <c r="CC135" s="219">
        <f>IF(AND($B135&gt;0,AV135=""),"* No olvide ingresar la columna "&amp;AV$10&amp;""&amp;" *(Digite CERO si no tiene). ",IF(AV135&gt;$B135," *El Número de "&amp;AV$10&amp;""&amp;" no puede superar el Total Procesados. ",""))</f>
        <v/>
      </c>
      <c r="CD135" s="219">
        <f>IF(AND($B135&gt;0,AW135=""),"* No olvide ingresar la columna "&amp;AW$10&amp;""&amp;" *(Digite CERO si no tiene). ",IF(AW135&gt;$B135," *El Número de "&amp;AW$10&amp;""&amp;" no puede superar el Total Procesados. ",""))</f>
        <v/>
      </c>
      <c r="CE135" s="219">
        <f>IF(D135&lt;E135,CONCATENATE("* El total de Procesados debe ser mayor o igual al total de Reactivos en el grupo de edad ",$D$11),"")</f>
        <v/>
      </c>
      <c r="CF135" s="219">
        <f>IF(F135&lt;G135,CONCATENATE("* El total de Procesados debe ser mayor o igual al total de Reactivos en el grupo de edad ",$F$11),"")</f>
        <v/>
      </c>
      <c r="CG135" s="219">
        <f>IF(H135&lt;I135,CONCATENATE("* El total de Procesados debe ser mayor o igual al total de Reactivos en el grupo de edad ",$H$11),"")</f>
        <v/>
      </c>
      <c r="CH135" s="219">
        <f>IF(J135&lt;K135,CONCATENATE("* El total de Procesados debe ser mayor o igual al total de Reactivos en el grupo de edad ",$J$11),"")</f>
        <v/>
      </c>
      <c r="CI135" s="219">
        <f>IF(L135&lt;M135,CONCATENATE("* El total de Procesados debe ser mayor o igual al total de Reactivos en el grupo de edad ",$L$11),"")</f>
        <v/>
      </c>
      <c r="CJ135" s="219">
        <f>IF(N135&lt;O135,CONCATENATE("* El total de Procesados debe ser mayor o igual al total de Reactivos en el grupo de edad ",$N$11),"")</f>
        <v/>
      </c>
      <c r="CK135" s="219">
        <f>IF(P135&lt;Q135,CONCATENATE("* El total de Procesados debe ser mayor o igual al total de Reactivos en el grupo de edad ",$P$11),"")</f>
        <v/>
      </c>
      <c r="CL135" s="219">
        <f>IF(R135&lt;S135,CONCATENATE("* El total de Procesados debe ser mayor o igual al total de Reactivos en el grupo de edad ",$R$11),"")</f>
        <v/>
      </c>
      <c r="CM135" s="219">
        <f>IF($T135&lt;$U135,CONCATENATE("* El total de Procesados debe ser mayor o igual al total de Reactivos en el grupo de edad ",$T$11),"")</f>
        <v/>
      </c>
      <c r="CN135" s="219">
        <f>IF(V135&lt;W135,CONCATENATE("* El total de Procesados debe ser mayor o igual al total de Reactivos en el grupo de edad ",$V$11),"")</f>
        <v/>
      </c>
      <c r="CO135" s="219">
        <f>IF(X135&lt;Y135,CONCATENATE("* El total de Procesados debe ser mayor o igual al total de Reactivos en el grupo de edad ",$X$11),"")</f>
        <v/>
      </c>
      <c r="CP135" s="219">
        <f>IF(Z135&lt;AA135,CONCATENATE("* El total de Procesados debe ser mayor o igual al total de Reactivos en el grupo de edad ",$Z$11),"")</f>
        <v/>
      </c>
      <c r="CQ135" s="219">
        <f>IF(AB135&lt;AC135,CONCATENATE("* El total de Procesados debe ser mayor o igual al total de Reactivos en el grupo de edad ",$AB$11),"")</f>
        <v/>
      </c>
      <c r="CR135" s="219">
        <f>IF(AD135&lt;AE135,CONCATENATE("* El total de Procesados debe ser mayor o igual al total de Reactivos en el grupo de edad ",$AD$11),"")</f>
        <v/>
      </c>
      <c r="CS135" s="219">
        <f>IF(AF135&lt;AG135,CONCATENATE("* El total de Procesados debe ser mayor o igual al total de Reactivos en el grupo de edad ",$AF$11),"")</f>
        <v/>
      </c>
      <c r="CT135" s="219">
        <f>IF(AH135&lt;AI135,CONCATENATE("* El total de Procesados debe ser mayor o igual al total de Reactivos en el grupo de edad ",$AH$11),"")</f>
        <v/>
      </c>
      <c r="CU135" s="219">
        <f>IF(AJ135&lt;AK135,CONCATENATE("* El total de Procesados debe ser mayor o igual al total de Reactivos en el grupo de edad ",$AJ$11),"")</f>
        <v/>
      </c>
      <c r="CV135" s="219">
        <f>IF(AL135&lt;AM135,CONCATENATE("* El total de Procesados debe ser mayor o igual al total de Reactivos en el grupo de edad ",$AL$11),"")</f>
        <v/>
      </c>
      <c r="CW135" s="219">
        <f>IF(AN135&lt;AO135,CONCATENATE("* El total de Procesados debe ser mayor o igual al total de Reactivos en el grupo de edad ",$AN$11),"")</f>
        <v/>
      </c>
      <c r="CX135" s="219">
        <f>IF(AP135&lt;AQ135,CONCATENATE("* El total de Procesados debe ser mayor o igual al total de Reactivos en el grupo de edad ",$AP$11),"")</f>
        <v/>
      </c>
      <c r="DE135" s="226" t="n"/>
      <c r="DF135" s="378">
        <f>IF(B135&lt;&gt;(AS135+AR135),1,0)</f>
        <v/>
      </c>
      <c r="DG135" s="376">
        <f>IF(AND($B135&gt;0,AND(AT135="",AU135="")),1,IF((AT135+AU135)&gt;$B135,1,0))</f>
        <v/>
      </c>
      <c r="DH135" s="376">
        <f>IF(AND($B135&gt;0,AV135=""),1,IF(AV135&gt;$B135,1,0))</f>
        <v/>
      </c>
      <c r="DI135" s="376">
        <f>IF(AND($B135&gt;0,AW135=""),1,IF(AW135&gt;$B135,1,0))</f>
        <v/>
      </c>
      <c r="DJ135" s="376">
        <f>IF(D135&lt;E135,1,0)</f>
        <v/>
      </c>
      <c r="DK135" s="376">
        <f>IF(F135&lt;G135,1,0)</f>
        <v/>
      </c>
      <c r="DL135" s="376">
        <f>IF(H135&lt;I135,1,0)</f>
        <v/>
      </c>
      <c r="DM135" s="376">
        <f>IF(J135&lt;K135,1,0)</f>
        <v/>
      </c>
      <c r="DN135" s="376">
        <f>IF(L135&lt;M135,1,0)</f>
        <v/>
      </c>
      <c r="DO135" s="376">
        <f>IF(N135&lt;O135,1,0)</f>
        <v/>
      </c>
      <c r="DP135" s="376">
        <f>IF(P135&lt;Q135,1,0)</f>
        <v/>
      </c>
      <c r="DQ135" s="376">
        <f>IF(R135&lt;S135,1,0)</f>
        <v/>
      </c>
      <c r="DR135" s="376">
        <f>IF($T135&lt;$U135,1,0)</f>
        <v/>
      </c>
      <c r="DS135" s="376">
        <f>IF(V135&lt;W135,1,0)</f>
        <v/>
      </c>
      <c r="DT135" s="376">
        <f>IF(X135&lt;Y135,1,0)</f>
        <v/>
      </c>
      <c r="DU135" s="376">
        <f>IF(Z135&lt;AA135,1,0)</f>
        <v/>
      </c>
      <c r="DV135" s="376">
        <f>IF(AB135&lt;AC135,1,0)</f>
        <v/>
      </c>
      <c r="DW135" s="376">
        <f>IF(AD135&lt;AE135,1,0)</f>
        <v/>
      </c>
      <c r="DX135" s="376">
        <f>IF(AF135&lt;AG135,1,0)</f>
        <v/>
      </c>
      <c r="DY135" s="376">
        <f>IF(AH135&lt;AI135,1,0)</f>
        <v/>
      </c>
      <c r="DZ135" s="376">
        <f>IF(AJ135&lt;AK135,1,0)</f>
        <v/>
      </c>
      <c r="EA135" s="376">
        <f>IF(AL135&lt;AM135,1,0)</f>
        <v/>
      </c>
      <c r="EB135" s="376">
        <f>IF(AN135&lt;AO135,1,0)</f>
        <v/>
      </c>
      <c r="EC135" s="376">
        <f>IF(AP135&lt;AQ135,1,0)</f>
        <v/>
      </c>
    </row>
    <row r="136">
      <c r="A136" s="3102" t="inlineStr">
        <is>
          <t>Personas EMP/EMPAM</t>
        </is>
      </c>
      <c r="B136" s="3103">
        <f>+P136+R136+T136+V136+X136+Z136+AB136+AD136+AF136+AH136+AJ136+AL136+AN136+AP136</f>
        <v/>
      </c>
      <c r="C136" s="1171">
        <f>+Q136+S136+U136+W136+Y136+AA136+AC136+AE136+AG136+AI136+AK136+AM136+AO136+AQ136</f>
        <v/>
      </c>
      <c r="D136" s="3112" t="n"/>
      <c r="E136" s="3105" t="n"/>
      <c r="F136" s="3104" t="n"/>
      <c r="G136" s="3105" t="n"/>
      <c r="H136" s="3104" t="n"/>
      <c r="I136" s="3105" t="n"/>
      <c r="J136" s="3104" t="n"/>
      <c r="K136" s="3105" t="n"/>
      <c r="L136" s="3104" t="n"/>
      <c r="M136" s="3106" t="n"/>
      <c r="N136" s="3112" t="n"/>
      <c r="O136" s="3105" t="n"/>
      <c r="P136" s="3108" t="n"/>
      <c r="Q136" s="3107" t="n"/>
      <c r="R136" s="3108" t="n"/>
      <c r="S136" s="3107" t="n"/>
      <c r="T136" s="3108" t="n"/>
      <c r="U136" s="3107" t="n"/>
      <c r="V136" s="3108" t="n"/>
      <c r="W136" s="3107" t="n"/>
      <c r="X136" s="3108" t="n"/>
      <c r="Y136" s="3107" t="n"/>
      <c r="Z136" s="3108" t="n"/>
      <c r="AA136" s="3107" t="n"/>
      <c r="AB136" s="3108" t="n"/>
      <c r="AC136" s="3107" t="n"/>
      <c r="AD136" s="3108" t="n"/>
      <c r="AE136" s="3107" t="n"/>
      <c r="AF136" s="3108" t="n"/>
      <c r="AG136" s="3107" t="n"/>
      <c r="AH136" s="3108" t="n"/>
      <c r="AI136" s="3107" t="n"/>
      <c r="AJ136" s="3108" t="n"/>
      <c r="AK136" s="3107" t="n"/>
      <c r="AL136" s="3108" t="n"/>
      <c r="AM136" s="3107" t="n"/>
      <c r="AN136" s="3108" t="n"/>
      <c r="AO136" s="3107" t="n"/>
      <c r="AP136" s="3108" t="n"/>
      <c r="AQ136" s="3098" t="n"/>
      <c r="AR136" s="3100" t="n"/>
      <c r="AS136" s="3098" t="n"/>
      <c r="AT136" s="3099" t="n"/>
      <c r="AU136" s="3098" t="n"/>
      <c r="AV136" s="3845" t="n"/>
      <c r="AW136" s="3656" t="n"/>
      <c r="AX136" s="218">
        <f>$CA136&amp;CB136&amp;CC136&amp;$CD136&amp;CJ136&amp;CK136&amp;CL136&amp;CM136&amp;CN136&amp;CO136&amp;CP136&amp;CQ136&amp;CR136&amp;CS136&amp;CT136&amp;CU136&amp;CV136&amp;CW136&amp;CX136</f>
        <v/>
      </c>
      <c r="CA136" s="219">
        <f>IF(B136&lt;&gt;(AS136+AR136)," * La suma de las columnas "&amp;AR$10&amp;""&amp;" DEBE SER IGUAL a los Exámenes Procesados. ","")</f>
        <v/>
      </c>
      <c r="CB136" s="219">
        <f>IF(AND($B136&gt;0,AND(AT136="",AU136="")),"* No olvide ingresar las columnas Trans Masculino o Femenino (*Digite CERO si no tiene). ",IF((AT136+AU136)&gt;$B136,"* El Número de Trans Masculino o Femenino no puede superar el Total Procesados. ",""))</f>
        <v/>
      </c>
      <c r="CC136" s="219">
        <f>IF(AND($B136&gt;0,AV136=""),"* No olvide ingresar la columna "&amp;AV$10&amp;""&amp;" *(Digite CERO si no tiene). ",IF(AV136&gt;$B136," *El Número de "&amp;AV$10&amp;""&amp;" no puede superar el Total Procesados. ",""))</f>
        <v/>
      </c>
      <c r="CD136" s="219">
        <f>IF(AND($B136&gt;0,AW136=""),"* No olvide ingresar la columna "&amp;AW$10&amp;""&amp;" *(Digite CERO si no tiene). ",IF(AW136&gt;$B136," *El Número de "&amp;AW$10&amp;""&amp;" no puede superar el Total Procesados. ",""))</f>
        <v/>
      </c>
      <c r="CE136" s="377" t="n"/>
      <c r="CF136" s="377" t="n"/>
      <c r="CG136" s="222" t="n"/>
      <c r="CH136" s="222" t="n"/>
      <c r="CI136" s="222" t="n"/>
      <c r="CJ136" s="377" t="n"/>
      <c r="CK136" s="219">
        <f>IF(P136&lt;Q136,CONCATENATE("* El total de Procesados debe ser mayor o igual al total de Reactivos en el grupo de edad ",$P$11),"")</f>
        <v/>
      </c>
      <c r="CL136" s="219">
        <f>IF(R136&lt;S136,CONCATENATE("* El total de Procesados debe ser mayor o igual al total de Reactivos en el grupo de edad ",$R$11),"")</f>
        <v/>
      </c>
      <c r="CM136" s="219">
        <f>IF($T136&lt;$U136,CONCATENATE("* El total de Procesados debe ser mayor o igual al total de Reactivos en el grupo de edad ",$T$11),"")</f>
        <v/>
      </c>
      <c r="CN136" s="219">
        <f>IF(V136&lt;W136,CONCATENATE("* El total de Procesados debe ser mayor o igual al total de Reactivos en el grupo de edad ",$V$11),"")</f>
        <v/>
      </c>
      <c r="CO136" s="219">
        <f>IF(X136&lt;Y136,CONCATENATE("* El total de Procesados debe ser mayor o igual al total de Reactivos en el grupo de edad ",$X$11),"")</f>
        <v/>
      </c>
      <c r="CP136" s="219">
        <f>IF(Z136&lt;AA136,CONCATENATE("* El total de Procesados debe ser mayor o igual al total de Reactivos en el grupo de edad ",$Z$11),"")</f>
        <v/>
      </c>
      <c r="CQ136" s="219">
        <f>IF(AB136&lt;AC136,CONCATENATE("* El total de Procesados debe ser mayor o igual al total de Reactivos en el grupo de edad ",$AB$11),"")</f>
        <v/>
      </c>
      <c r="CR136" s="219">
        <f>IF(AD136&lt;AE136,CONCATENATE("* El total de Procesados debe ser mayor o igual al total de Reactivos en el grupo de edad ",$AD$11),"")</f>
        <v/>
      </c>
      <c r="CS136" s="219">
        <f>IF(AF136&lt;AG136,CONCATENATE("* El total de Procesados debe ser mayor o igual al total de Reactivos en el grupo de edad ",$AF$11),"")</f>
        <v/>
      </c>
      <c r="CT136" s="219">
        <f>IF(AH136&lt;AI136,CONCATENATE("* El total de Procesados debe ser mayor o igual al total de Reactivos en el grupo de edad ",$AH$11),"")</f>
        <v/>
      </c>
      <c r="CU136" s="219">
        <f>IF(AJ136&lt;AK136,CONCATENATE("* El total de Procesados debe ser mayor o igual al total de Reactivos en el grupo de edad ",$AJ$11),"")</f>
        <v/>
      </c>
      <c r="CV136" s="219">
        <f>IF(AL136&lt;AM136,CONCATENATE("* El total de Procesados debe ser mayor o igual al total de Reactivos en el grupo de edad ",$AL$11),"")</f>
        <v/>
      </c>
      <c r="CW136" s="219">
        <f>IF(AN136&lt;AO136,CONCATENATE("* El total de Procesados debe ser mayor o igual al total de Reactivos en el grupo de edad ",$AN$11),"")</f>
        <v/>
      </c>
      <c r="CX136" s="219">
        <f>IF(AP136&lt;AQ136,CONCATENATE("* El total de Procesados debe ser mayor o igual al total de Reactivos en el grupo de edad ",$AP$11),"")</f>
        <v/>
      </c>
      <c r="DE136" s="226" t="n"/>
      <c r="DF136" s="378">
        <f>IF(B136&lt;&gt;(AS136+AR136),1,0)</f>
        <v/>
      </c>
      <c r="DG136" s="376">
        <f>IF(AND($B136&gt;0,AND(AT136="",AU136="")),1,IF((AT136+AU136)&gt;$B136,1,0))</f>
        <v/>
      </c>
      <c r="DH136" s="376">
        <f>IF(AND($B136&gt;0,AV136=""),1,IF(AV136&gt;$B136,1,0))</f>
        <v/>
      </c>
      <c r="DI136" s="376">
        <f>IF(AND($B136&gt;0,AW136=""),1,IF(AW136&gt;$B136,1,0))</f>
        <v/>
      </c>
      <c r="DJ136" s="222" t="n"/>
      <c r="DK136" s="222" t="n"/>
      <c r="DL136" s="222" t="n"/>
      <c r="DM136" s="222" t="n"/>
      <c r="DN136" s="222" t="n"/>
      <c r="DO136" s="220" t="n"/>
      <c r="DP136" s="376">
        <f>IF(P136&lt;Q136,1,0)</f>
        <v/>
      </c>
      <c r="DQ136" s="376">
        <f>IF(R136&lt;S136,1,0)</f>
        <v/>
      </c>
      <c r="DR136" s="376">
        <f>IF($T136&lt;$U136,1,0)</f>
        <v/>
      </c>
      <c r="DS136" s="376">
        <f>IF(V136&lt;W136,1,0)</f>
        <v/>
      </c>
      <c r="DT136" s="376">
        <f>IF(X136&lt;Y136,1,0)</f>
        <v/>
      </c>
      <c r="DU136" s="376">
        <f>IF(Z136&lt;AA136,1,0)</f>
        <v/>
      </c>
      <c r="DV136" s="376">
        <f>IF(AB136&lt;AC136,1,0)</f>
        <v/>
      </c>
      <c r="DW136" s="376">
        <f>IF(AD136&lt;AE136,1,0)</f>
        <v/>
      </c>
      <c r="DX136" s="376">
        <f>IF(AF136&lt;AG136,1,0)</f>
        <v/>
      </c>
      <c r="DY136" s="376">
        <f>IF(AH136&lt;AI136,1,0)</f>
        <v/>
      </c>
      <c r="DZ136" s="376">
        <f>IF(AJ136&lt;AK136,1,0)</f>
        <v/>
      </c>
      <c r="EA136" s="376">
        <f>IF(AL136&lt;AM136,1,0)</f>
        <v/>
      </c>
      <c r="EB136" s="376">
        <f>IF(AN136&lt;AO136,1,0)</f>
        <v/>
      </c>
      <c r="EC136" s="376">
        <f>IF(AP136&lt;AQ136,1,0)</f>
        <v/>
      </c>
    </row>
    <row r="137">
      <c r="A137" s="3119" t="inlineStr">
        <is>
          <t>Donantes de sangre</t>
        </is>
      </c>
      <c r="B137" s="3103">
        <f>+P137+R137+T137+V137+X137+Z137+AB137+AD137+AF137+AH137</f>
        <v/>
      </c>
      <c r="C137" s="1171">
        <f>+Q137+S137+U137+W137+Y137+AA137+AC137+AE137+AG137+AI137</f>
        <v/>
      </c>
      <c r="D137" s="3112" t="n"/>
      <c r="E137" s="3105" t="n"/>
      <c r="F137" s="3104" t="n"/>
      <c r="G137" s="3105" t="n"/>
      <c r="H137" s="3104" t="n"/>
      <c r="I137" s="3105" t="n"/>
      <c r="J137" s="3104" t="n"/>
      <c r="K137" s="3105" t="n"/>
      <c r="L137" s="3104" t="n"/>
      <c r="M137" s="3106" t="n"/>
      <c r="N137" s="3112" t="n"/>
      <c r="O137" s="3105" t="n"/>
      <c r="P137" s="3108" t="n"/>
      <c r="Q137" s="3107" t="n"/>
      <c r="R137" s="3108" t="n"/>
      <c r="S137" s="3107" t="n"/>
      <c r="T137" s="3108" t="n"/>
      <c r="U137" s="3107" t="n"/>
      <c r="V137" s="3108" t="n"/>
      <c r="W137" s="3107" t="n"/>
      <c r="X137" s="3108" t="n"/>
      <c r="Y137" s="3107" t="n"/>
      <c r="Z137" s="3108" t="n"/>
      <c r="AA137" s="3107" t="n"/>
      <c r="AB137" s="3108" t="n"/>
      <c r="AC137" s="3107" t="n"/>
      <c r="AD137" s="3108" t="n"/>
      <c r="AE137" s="3107" t="n"/>
      <c r="AF137" s="3108" t="n"/>
      <c r="AG137" s="3107" t="n"/>
      <c r="AH137" s="3108" t="n"/>
      <c r="AI137" s="3107" t="n"/>
      <c r="AJ137" s="3104" t="n"/>
      <c r="AK137" s="3105" t="n"/>
      <c r="AL137" s="3104" t="n"/>
      <c r="AM137" s="3105" t="n"/>
      <c r="AN137" s="3104" t="n"/>
      <c r="AO137" s="3105" t="n"/>
      <c r="AP137" s="3104" t="n"/>
      <c r="AQ137" s="3114" t="n"/>
      <c r="AR137" s="3100" t="n"/>
      <c r="AS137" s="3098" t="n"/>
      <c r="AT137" s="3099" t="n"/>
      <c r="AU137" s="3098" t="n"/>
      <c r="AV137" s="3845" t="n"/>
      <c r="AW137" s="3656" t="n"/>
      <c r="AX137" s="218">
        <f>$CA137&amp;CB137&amp;CC137&amp;$CD137&amp;CK137&amp;CL137&amp;CM137&amp;CN137&amp;CO137&amp;CP137&amp;CQ137&amp;CR137&amp;CS137&amp;CT137</f>
        <v/>
      </c>
      <c r="CA137" s="219">
        <f>IF(B137&lt;&gt;(AS137+AR137)," * La suma de las columnas "&amp;AR$10&amp;""&amp;" DEBE SER IGUAL a los Exámenes Procesados. ","")</f>
        <v/>
      </c>
      <c r="CB137" s="219">
        <f>IF(AND($B137&gt;0,AND(AT137="",AU137="")),"* No olvide ingresar las columnas Trans Masculino o Femenino (*Digite CERO si no tiene). ",IF((AT137+AU137)&gt;$B137,"* El Número de Trans Masculino o Femenino no puede superar el Total Procesados. ",""))</f>
        <v/>
      </c>
      <c r="CC137" s="219">
        <f>IF(AND($B137&gt;0,AV137=""),"* No olvide ingresar la columna "&amp;AV$10&amp;""&amp;" *(Digite CERO si no tiene). ",IF(AV137&gt;$B137," *El Número de "&amp;AV$10&amp;""&amp;" no puede superar el Total Procesados. ",""))</f>
        <v/>
      </c>
      <c r="CD137" s="219">
        <f>IF(AND($B137&gt;0,AW137=""),"* No olvide ingresar la columna "&amp;AW$10&amp;""&amp;" *(Digite CERO si no tiene). ",IF(AW137&gt;$B137," *El Número de "&amp;AW$10&amp;""&amp;" no puede superar el Total Procesados. ",""))</f>
        <v/>
      </c>
      <c r="CE137" s="377" t="n"/>
      <c r="CF137" s="377" t="n"/>
      <c r="CG137" s="222" t="n"/>
      <c r="CH137" s="222" t="n"/>
      <c r="CI137" s="222" t="n"/>
      <c r="CJ137" s="377" t="n"/>
      <c r="CK137" s="219">
        <f>IF(P137&lt;Q137,CONCATENATE("* El total de Procesados debe ser mayor o igual al total de Reactivos en el grupo de edad ",$P$11),"")</f>
        <v/>
      </c>
      <c r="CL137" s="219">
        <f>IF(R137&lt;S137,CONCATENATE("* El total de Procesados debe ser mayor o igual al total de Reactivos en el grupo de edad ",$R$11),"")</f>
        <v/>
      </c>
      <c r="CM137" s="219">
        <f>IF($T137&lt;$U137,CONCATENATE("* El total de Procesados debe ser mayor o igual al total de Reactivos en el grupo de edad ",$T$11),"")</f>
        <v/>
      </c>
      <c r="CN137" s="219">
        <f>IF(V137&lt;W137,CONCATENATE("* El total de Procesados debe ser mayor o igual al total de Reactivos en el grupo de edad ",$V$11),"")</f>
        <v/>
      </c>
      <c r="CO137" s="219">
        <f>IF(X137&lt;Y137,CONCATENATE("* El total de Procesados debe ser mayor o igual al total de Reactivos en el grupo de edad ",$X$11),"")</f>
        <v/>
      </c>
      <c r="CP137" s="219">
        <f>IF(Z137&lt;AA137,CONCATENATE("* El total de Procesados debe ser mayor o igual al total de Reactivos en el grupo de edad ",$Z$11),"")</f>
        <v/>
      </c>
      <c r="CQ137" s="219">
        <f>IF(AB137&lt;AC137,CONCATENATE("* El total de Procesados debe ser mayor o igual al total de Reactivos en el grupo de edad ",$AB$11),"")</f>
        <v/>
      </c>
      <c r="CR137" s="219">
        <f>IF(AD137&lt;AE137,CONCATENATE("* El total de Procesados debe ser mayor o igual al total de Reactivos en el grupo de edad ",$AD$11),"")</f>
        <v/>
      </c>
      <c r="CS137" s="219">
        <f>IF(AF137&lt;AG137,CONCATENATE("* El total de Procesados debe ser mayor o igual al total de Reactivos en el grupo de edad ",$AF$11),"")</f>
        <v/>
      </c>
      <c r="CT137" s="219">
        <f>IF(AH137&lt;AI137,CONCATENATE("* El total de Procesados debe ser mayor o igual al total de Reactivos en el grupo de edad ",$AH$11),"")</f>
        <v/>
      </c>
      <c r="CU137" s="220" t="n"/>
      <c r="CV137" s="220" t="n"/>
      <c r="CW137" s="220" t="n"/>
      <c r="CX137" s="220" t="n"/>
      <c r="DE137" s="226" t="n"/>
      <c r="DF137" s="378">
        <f>IF(B137&lt;&gt;(AS137+AR137),1,0)</f>
        <v/>
      </c>
      <c r="DG137" s="376">
        <f>IF(AND($B137&gt;0,AND(AT137="",AU137="")),1,IF((AT137+AU137)&gt;$B137,1,0))</f>
        <v/>
      </c>
      <c r="DH137" s="376">
        <f>IF(AND($B137&gt;0,AV137=""),1,IF(AV137&gt;$B137,1,0))</f>
        <v/>
      </c>
      <c r="DI137" s="376">
        <f>IF(AND($B137&gt;0,AW137=""),1,IF(AW137&gt;$B137,1,0))</f>
        <v/>
      </c>
      <c r="DJ137" s="222" t="n"/>
      <c r="DK137" s="222" t="n"/>
      <c r="DL137" s="222" t="n"/>
      <c r="DM137" s="222" t="n"/>
      <c r="DN137" s="222" t="n"/>
      <c r="DO137" s="220" t="n"/>
      <c r="DP137" s="376">
        <f>IF(P137&lt;Q137,1,0)</f>
        <v/>
      </c>
      <c r="DQ137" s="376">
        <f>IF(R137&lt;S137,1,0)</f>
        <v/>
      </c>
      <c r="DR137" s="376">
        <f>IF($T137&lt;$U137,1,0)</f>
        <v/>
      </c>
      <c r="DS137" s="376">
        <f>IF(V137&lt;W137,1,0)</f>
        <v/>
      </c>
      <c r="DT137" s="376">
        <f>IF(X137&lt;Y137,1,0)</f>
        <v/>
      </c>
      <c r="DU137" s="376">
        <f>IF(Z137&lt;AA137,1,0)</f>
        <v/>
      </c>
      <c r="DV137" s="376">
        <f>IF(AB137&lt;AC137,1,0)</f>
        <v/>
      </c>
      <c r="DW137" s="376">
        <f>IF(AD137&lt;AE137,1,0)</f>
        <v/>
      </c>
      <c r="DX137" s="376">
        <f>IF(AF137&lt;AG137,1,0)</f>
        <v/>
      </c>
      <c r="DY137" s="376">
        <f>IF(AH137&lt;AI137,1,0)</f>
        <v/>
      </c>
      <c r="DZ137" s="220" t="n"/>
      <c r="EA137" s="220" t="n"/>
      <c r="EB137" s="220" t="n"/>
      <c r="EC137" s="220" t="n"/>
    </row>
    <row r="138">
      <c r="A138" s="3119" t="inlineStr">
        <is>
          <t>Donantes de órganos y/o tejidos</t>
        </is>
      </c>
      <c r="B138" s="3103">
        <f>+D138+F138+H138+J138+L138+N138+P138+R138+T138+V138+X138+Z138+AB138+AD138+AF138+AH138+AJ138+AL138+AN138+AP138</f>
        <v/>
      </c>
      <c r="C138" s="1171">
        <f>+E138+G138+I138+K138+M138+O138+Q138+S138+U138+W138+Y138+AA138+AC138+AE138+AG138+AI138+AK138+AM138+AO138+AQ138</f>
        <v/>
      </c>
      <c r="D138" s="3100" t="n"/>
      <c r="E138" s="3107" t="n"/>
      <c r="F138" s="3108" t="n"/>
      <c r="G138" s="3107" t="n"/>
      <c r="H138" s="3108" t="n"/>
      <c r="I138" s="3101" t="n"/>
      <c r="J138" s="3100" t="n"/>
      <c r="K138" s="3100" t="n"/>
      <c r="L138" s="3108" t="n"/>
      <c r="M138" s="3101" t="n"/>
      <c r="N138" s="3100" t="n"/>
      <c r="O138" s="3107" t="n"/>
      <c r="P138" s="3108" t="n"/>
      <c r="Q138" s="3107" t="n"/>
      <c r="R138" s="3108" t="n"/>
      <c r="S138" s="3107" t="n"/>
      <c r="T138" s="3108" t="n"/>
      <c r="U138" s="3107" t="n"/>
      <c r="V138" s="3108" t="n"/>
      <c r="W138" s="3107" t="n"/>
      <c r="X138" s="3108" t="n"/>
      <c r="Y138" s="3107" t="n"/>
      <c r="Z138" s="3108" t="n"/>
      <c r="AA138" s="3107" t="n"/>
      <c r="AB138" s="3108" t="n"/>
      <c r="AC138" s="3107" t="n"/>
      <c r="AD138" s="3108" t="n"/>
      <c r="AE138" s="3107" t="n"/>
      <c r="AF138" s="3108" t="n"/>
      <c r="AG138" s="3107" t="n"/>
      <c r="AH138" s="3108" t="n"/>
      <c r="AI138" s="3107" t="n"/>
      <c r="AJ138" s="3108" t="n"/>
      <c r="AK138" s="3107" t="n"/>
      <c r="AL138" s="3108" t="n"/>
      <c r="AM138" s="3107" t="n"/>
      <c r="AN138" s="3108" t="n"/>
      <c r="AO138" s="3107" t="n"/>
      <c r="AP138" s="3108" t="n"/>
      <c r="AQ138" s="3098" t="n"/>
      <c r="AR138" s="3100" t="n"/>
      <c r="AS138" s="3098" t="n"/>
      <c r="AT138" s="3099" t="n"/>
      <c r="AU138" s="3098" t="n"/>
      <c r="AV138" s="3845" t="n"/>
      <c r="AW138" s="3656" t="n"/>
      <c r="AX138" s="218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>
        <f>IF(B138&lt;&gt;(AS138+AR138)," * La suma de las columnas "&amp;AR$10&amp;""&amp;" DEBE SER IGUAL a los Exámenes Procesados. ","")</f>
        <v/>
      </c>
      <c r="CB138" s="219">
        <f>IF(AND($B138&gt;0,AND(AT138="",AU138="")),"* No olvide ingresar las columnas Trans Masculino o Femenino (*Digite CERO si no tiene). ",IF((AT138+AU138)&gt;$B138,"* El Número de Trans Masculino o Femenino no puede superar el Total Procesados. ",""))</f>
        <v/>
      </c>
      <c r="CC138" s="219">
        <f>IF(AND($B138&gt;0,AV138=""),"* No olvide ingresar la columna "&amp;AV$10&amp;""&amp;" *(Digite CERO si no tiene). ",IF(AV138&gt;$B138," *El Número de "&amp;AV$10&amp;""&amp;" no puede superar el Total Procesados. ",""))</f>
        <v/>
      </c>
      <c r="CD138" s="219">
        <f>IF(AND($B138&gt;0,AW138=""),"* No olvide ingresar la columna "&amp;AW$10&amp;""&amp;" *(Digite CERO si no tiene). ",IF(AW138&gt;$B138," *El Número de "&amp;AW$10&amp;""&amp;" no puede superar el Total Procesados. ",""))</f>
        <v/>
      </c>
      <c r="CE138" s="219">
        <f>IF(D138&lt;E138,CONCATENATE("* El total de Procesados debe ser mayor o igual al total de Reactivos en el grupo de edad ",$D$11),"")</f>
        <v/>
      </c>
      <c r="CF138" s="219">
        <f>IF(F138&lt;G138,CONCATENATE("* El total de Procesados debe ser mayor o igual al total de Reactivos en el grupo de edad ",$F$11),"")</f>
        <v/>
      </c>
      <c r="CG138" s="219">
        <f>IF(H138&lt;I138,CONCATENATE("* El total de Procesados debe ser mayor o igual al total de Reactivos en el grupo de edad ",$H$11),"")</f>
        <v/>
      </c>
      <c r="CH138" s="219">
        <f>IF(J138&lt;K138,CONCATENATE("* El total de Procesados debe ser mayor o igual al total de Reactivos en el grupo de edad ",$J$11),"")</f>
        <v/>
      </c>
      <c r="CI138" s="219">
        <f>IF(L138&lt;M138,CONCATENATE("* El total de Procesados debe ser mayor o igual al total de Reactivos en el grupo de edad ",$L$11),"")</f>
        <v/>
      </c>
      <c r="CJ138" s="219">
        <f>IF(N138&lt;O138,CONCATENATE("* El total de Procesados debe ser mayor o igual al total de Reactivos en el grupo de edad ",$N$11),"")</f>
        <v/>
      </c>
      <c r="CK138" s="219">
        <f>IF(P138&lt;Q138,CONCATENATE("* El total de Procesados debe ser mayor o igual al total de Reactivos en el grupo de edad ",$P$11),"")</f>
        <v/>
      </c>
      <c r="CL138" s="219">
        <f>IF(R138&lt;S138,CONCATENATE("* El total de Procesados debe ser mayor o igual al total de Reactivos en el grupo de edad ",$R$11),"")</f>
        <v/>
      </c>
      <c r="CM138" s="219">
        <f>IF($T138&lt;$U138,CONCATENATE("* El total de Procesados debe ser mayor o igual al total de Reactivos en el grupo de edad ",$T$11),"")</f>
        <v/>
      </c>
      <c r="CN138" s="219">
        <f>IF(V138&lt;W138,CONCATENATE("* El total de Procesados debe ser mayor o igual al total de Reactivos en el grupo de edad ",$V$11),"")</f>
        <v/>
      </c>
      <c r="CO138" s="219">
        <f>IF(X138&lt;Y138,CONCATENATE("* El total de Procesados debe ser mayor o igual al total de Reactivos en el grupo de edad ",$X$11),"")</f>
        <v/>
      </c>
      <c r="CP138" s="219">
        <f>IF(Z138&lt;AA138,CONCATENATE("* El total de Procesados debe ser mayor o igual al total de Reactivos en el grupo de edad ",$Z$11),"")</f>
        <v/>
      </c>
      <c r="CQ138" s="219">
        <f>IF(AB138&lt;AC138,CONCATENATE("* El total de Procesados debe ser mayor o igual al total de Reactivos en el grupo de edad ",$AB$11),"")</f>
        <v/>
      </c>
      <c r="CR138" s="219">
        <f>IF(AD138&lt;AE138,CONCATENATE("* El total de Procesados debe ser mayor o igual al total de Reactivos en el grupo de edad ",$AD$11),"")</f>
        <v/>
      </c>
      <c r="CS138" s="219">
        <f>IF(AF138&lt;AG138,CONCATENATE("* El total de Procesados debe ser mayor o igual al total de Reactivos en el grupo de edad ",$AF$11),"")</f>
        <v/>
      </c>
      <c r="CT138" s="219">
        <f>IF(AH138&lt;AI138,CONCATENATE("* El total de Procesados debe ser mayor o igual al total de Reactivos en el grupo de edad ",$AH$11),"")</f>
        <v/>
      </c>
      <c r="CU138" s="219">
        <f>IF(AJ138&lt;AK138,CONCATENATE("* El total de Procesados debe ser mayor o igual al total de Reactivos en el grupo de edad ",$AJ$11),"")</f>
        <v/>
      </c>
      <c r="CV138" s="219">
        <f>IF(AL138&lt;AM138,CONCATENATE("* El total de Procesados debe ser mayor o igual al total de Reactivos en el grupo de edad ",$AL$11),"")</f>
        <v/>
      </c>
      <c r="CW138" s="219">
        <f>IF(AN138&lt;AO138,CONCATENATE("* El total de Procesados debe ser mayor o igual al total de Reactivos en el grupo de edad ",$AN$11),"")</f>
        <v/>
      </c>
      <c r="CX138" s="219">
        <f>IF(AP138&lt;AQ138,CONCATENATE("* El total de Procesados debe ser mayor o igual al total de Reactivos en el grupo de edad ",$AP$11),"")</f>
        <v/>
      </c>
      <c r="DE138" s="226" t="n"/>
      <c r="DF138" s="378">
        <f>IF(B138&lt;&gt;(AS138+AR138),1,0)</f>
        <v/>
      </c>
      <c r="DG138" s="376">
        <f>IF(AND($B138&gt;0,AND(AT138="",AU138="")),1,IF((AT138+AU138)&gt;$B138,1,0))</f>
        <v/>
      </c>
      <c r="DH138" s="376">
        <f>IF(AND($B138&gt;0,AV138=""),1,IF(AV138&gt;$B138,1,0))</f>
        <v/>
      </c>
      <c r="DI138" s="376">
        <f>IF(AND($B138&gt;0,AW138=""),1,IF(AW138&gt;$B138,1,0))</f>
        <v/>
      </c>
      <c r="DJ138" s="376">
        <f>IF(D138&lt;E138,1,0)</f>
        <v/>
      </c>
      <c r="DK138" s="376">
        <f>IF(F138&lt;G138,1,0)</f>
        <v/>
      </c>
      <c r="DL138" s="376">
        <f>IF(H138&lt;I138,1,0)</f>
        <v/>
      </c>
      <c r="DM138" s="376">
        <f>IF(J138&lt;K138,1,0)</f>
        <v/>
      </c>
      <c r="DN138" s="376">
        <f>IF(L138&lt;M138,1,0)</f>
        <v/>
      </c>
      <c r="DO138" s="376">
        <f>IF(N138&lt;O138,1,0)</f>
        <v/>
      </c>
      <c r="DP138" s="376">
        <f>IF(P138&lt;Q138,1,0)</f>
        <v/>
      </c>
      <c r="DQ138" s="376">
        <f>IF(R138&lt;S138,1,0)</f>
        <v/>
      </c>
      <c r="DR138" s="376">
        <f>IF($T138&lt;$U138,1,0)</f>
        <v/>
      </c>
      <c r="DS138" s="376">
        <f>IF(V138&lt;W138,1,0)</f>
        <v/>
      </c>
      <c r="DT138" s="376">
        <f>IF(X138&lt;Y138,1,0)</f>
        <v/>
      </c>
      <c r="DU138" s="376">
        <f>IF(Z138&lt;AA138,1,0)</f>
        <v/>
      </c>
      <c r="DV138" s="376">
        <f>IF(AB138&lt;AC138,1,0)</f>
        <v/>
      </c>
      <c r="DW138" s="376">
        <f>IF(AD138&lt;AE138,1,0)</f>
        <v/>
      </c>
      <c r="DX138" s="376">
        <f>IF(AF138&lt;AG138,1,0)</f>
        <v/>
      </c>
      <c r="DY138" s="376">
        <f>IF(AH138&lt;AI138,1,0)</f>
        <v/>
      </c>
      <c r="DZ138" s="376">
        <f>IF(AJ138&lt;AK138,1,0)</f>
        <v/>
      </c>
      <c r="EA138" s="376">
        <f>IF(AL138&lt;AM138,1,0)</f>
        <v/>
      </c>
      <c r="EB138" s="376">
        <f>IF(AN138&lt;AO138,1,0)</f>
        <v/>
      </c>
      <c r="EC138" s="376">
        <f>IF(AP138&lt;AQ138,1,0)</f>
        <v/>
      </c>
    </row>
    <row r="139">
      <c r="A139" s="3119" t="inlineStr">
        <is>
          <t>Pacientes en diálisis</t>
        </is>
      </c>
      <c r="B139" s="3103">
        <f>+D139+F139+H139+J139+L139+N139+P139+R139+T139+V139+X139+Z139+AB139+AD139+AF139+AH139+AJ139+AL139+AN139+AP139</f>
        <v/>
      </c>
      <c r="C139" s="1171">
        <f>+E139+G139+I139+K139+M139+O139+Q139+S139+U139+W139+Y139+AA139+AC139+AE139+AG139+AI139+AK139+AM139+AO139+AQ139</f>
        <v/>
      </c>
      <c r="D139" s="3100" t="n"/>
      <c r="E139" s="3107" t="n"/>
      <c r="F139" s="3108" t="n"/>
      <c r="G139" s="3107" t="n"/>
      <c r="H139" s="3108" t="n"/>
      <c r="I139" s="3101" t="n"/>
      <c r="J139" s="3100" t="n"/>
      <c r="K139" s="3100" t="n"/>
      <c r="L139" s="3108" t="n"/>
      <c r="M139" s="3101" t="n"/>
      <c r="N139" s="3100" t="n"/>
      <c r="O139" s="3107" t="n"/>
      <c r="P139" s="3108" t="n"/>
      <c r="Q139" s="3107" t="n"/>
      <c r="R139" s="3108" t="n"/>
      <c r="S139" s="3107" t="n"/>
      <c r="T139" s="3108" t="n"/>
      <c r="U139" s="3107" t="n"/>
      <c r="V139" s="3108" t="n"/>
      <c r="W139" s="3107" t="n"/>
      <c r="X139" s="3108" t="n"/>
      <c r="Y139" s="3107" t="n"/>
      <c r="Z139" s="3108" t="n"/>
      <c r="AA139" s="3107" t="n"/>
      <c r="AB139" s="3108" t="n"/>
      <c r="AC139" s="3107" t="n"/>
      <c r="AD139" s="3108" t="n"/>
      <c r="AE139" s="3107" t="n"/>
      <c r="AF139" s="3108" t="n"/>
      <c r="AG139" s="3107" t="n"/>
      <c r="AH139" s="3108" t="n"/>
      <c r="AI139" s="3107" t="n"/>
      <c r="AJ139" s="3108" t="n"/>
      <c r="AK139" s="3107" t="n"/>
      <c r="AL139" s="3108" t="n"/>
      <c r="AM139" s="3107" t="n"/>
      <c r="AN139" s="3108" t="n"/>
      <c r="AO139" s="3107" t="n"/>
      <c r="AP139" s="3108" t="n"/>
      <c r="AQ139" s="3098" t="n"/>
      <c r="AR139" s="3100" t="n"/>
      <c r="AS139" s="3098" t="n"/>
      <c r="AT139" s="3099" t="n"/>
      <c r="AU139" s="3098" t="n"/>
      <c r="AV139" s="3845" t="n"/>
      <c r="AW139" s="3656" t="n"/>
      <c r="AX139" s="218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>
        <f>IF(B139&lt;&gt;(AS139+AR139)," * La suma de las columnas "&amp;AR$10&amp;""&amp;" DEBE SER IGUAL a los Exámenes Procesados. ","")</f>
        <v/>
      </c>
      <c r="CB139" s="219">
        <f>IF(AND($B139&gt;0,AND(AT139="",AU139="")),"* No olvide ingresar las columnas Trans Masculino o Femenino (*Digite CERO si no tiene). ",IF((AT139+AU139)&gt;$B139,"* El Número de Trans Masculino o Femenino no puede superar el Total Procesados. ",""))</f>
        <v/>
      </c>
      <c r="CC139" s="219">
        <f>IF(AND($B139&gt;0,AV139=""),"* No olvide ingresar la columna "&amp;AV$10&amp;""&amp;" *(Digite CERO si no tiene). ",IF(AV139&gt;$B139," *El Número de "&amp;AV$10&amp;""&amp;" no puede superar el Total Procesados. ",""))</f>
        <v/>
      </c>
      <c r="CD139" s="219">
        <f>IF(AND($B139&gt;0,AW139=""),"* No olvide ingresar la columna "&amp;AW$10&amp;""&amp;" *(Digite CERO si no tiene). ",IF(AW139&gt;$B139," *El Número de "&amp;AW$10&amp;""&amp;" no puede superar el Total Procesados. ",""))</f>
        <v/>
      </c>
      <c r="CE139" s="219">
        <f>IF(D139&lt;E139,CONCATENATE("* El total de Procesados debe ser mayor o igual al total de Reactivos en el grupo de edad ",$D$11),"")</f>
        <v/>
      </c>
      <c r="CF139" s="219">
        <f>IF(F139&lt;G139,CONCATENATE("* El total de Procesados debe ser mayor o igual al total de Reactivos en el grupo de edad ",$F$11),"")</f>
        <v/>
      </c>
      <c r="CG139" s="219">
        <f>IF(H139&lt;I139,CONCATENATE("* El total de Procesados debe ser mayor o igual al total de Reactivos en el grupo de edad ",$H$11),"")</f>
        <v/>
      </c>
      <c r="CH139" s="219">
        <f>IF(J139&lt;K139,CONCATENATE("* El total de Procesados debe ser mayor o igual al total de Reactivos en el grupo de edad ",$J$11),"")</f>
        <v/>
      </c>
      <c r="CI139" s="219">
        <f>IF(L139&lt;M139,CONCATENATE("* El total de Procesados debe ser mayor o igual al total de Reactivos en el grupo de edad ",$L$11),"")</f>
        <v/>
      </c>
      <c r="CJ139" s="219">
        <f>IF(N139&lt;O139,CONCATENATE("* El total de Procesados debe ser mayor o igual al total de Reactivos en el grupo de edad ",$N$11),"")</f>
        <v/>
      </c>
      <c r="CK139" s="219">
        <f>IF(P139&lt;Q139,CONCATENATE("* El total de Procesados debe ser mayor o igual al total de Reactivos en el grupo de edad ",$P$11),"")</f>
        <v/>
      </c>
      <c r="CL139" s="219">
        <f>IF(R139&lt;S139,CONCATENATE("* El total de Procesados debe ser mayor o igual al total de Reactivos en el grupo de edad ",$R$11),"")</f>
        <v/>
      </c>
      <c r="CM139" s="219">
        <f>IF($T139&lt;$U139,CONCATENATE("* El total de Procesados debe ser mayor o igual al total de Reactivos en el grupo de edad ",$T$11),"")</f>
        <v/>
      </c>
      <c r="CN139" s="219">
        <f>IF(V139&lt;W139,CONCATENATE("* El total de Procesados debe ser mayor o igual al total de Reactivos en el grupo de edad ",$V$11),"")</f>
        <v/>
      </c>
      <c r="CO139" s="219">
        <f>IF(X139&lt;Y139,CONCATENATE("* El total de Procesados debe ser mayor o igual al total de Reactivos en el grupo de edad ",$X$11),"")</f>
        <v/>
      </c>
      <c r="CP139" s="219">
        <f>IF(Z139&lt;AA139,CONCATENATE("* El total de Procesados debe ser mayor o igual al total de Reactivos en el grupo de edad ",$Z$11),"")</f>
        <v/>
      </c>
      <c r="CQ139" s="219">
        <f>IF(AB139&lt;AC139,CONCATENATE("* El total de Procesados debe ser mayor o igual al total de Reactivos en el grupo de edad ",$AB$11),"")</f>
        <v/>
      </c>
      <c r="CR139" s="219">
        <f>IF(AD139&lt;AE139,CONCATENATE("* El total de Procesados debe ser mayor o igual al total de Reactivos en el grupo de edad ",$AD$11),"")</f>
        <v/>
      </c>
      <c r="CS139" s="219">
        <f>IF(AF139&lt;AG139,CONCATENATE("* El total de Procesados debe ser mayor o igual al total de Reactivos en el grupo de edad ",$AF$11),"")</f>
        <v/>
      </c>
      <c r="CT139" s="219">
        <f>IF(AH139&lt;AI139,CONCATENATE("* El total de Procesados debe ser mayor o igual al total de Reactivos en el grupo de edad ",$AH$11),"")</f>
        <v/>
      </c>
      <c r="CU139" s="219">
        <f>IF(AJ139&lt;AK139,CONCATENATE("* El total de Procesados debe ser mayor o igual al total de Reactivos en el grupo de edad ",$AJ$11),"")</f>
        <v/>
      </c>
      <c r="CV139" s="219">
        <f>IF(AL139&lt;AM139,CONCATENATE("* El total de Procesados debe ser mayor o igual al total de Reactivos en el grupo de edad ",$AL$11),"")</f>
        <v/>
      </c>
      <c r="CW139" s="219">
        <f>IF(AN139&lt;AO139,CONCATENATE("* El total de Procesados debe ser mayor o igual al total de Reactivos en el grupo de edad ",$AN$11),"")</f>
        <v/>
      </c>
      <c r="CX139" s="219">
        <f>IF(AP139&lt;AQ139,CONCATENATE("* El total de Procesados debe ser mayor o igual al total de Reactivos en el grupo de edad ",$AP$11),"")</f>
        <v/>
      </c>
      <c r="DE139" s="226" t="n"/>
      <c r="DF139" s="378">
        <f>IF(B139&lt;&gt;(AS139+AR139),1,0)</f>
        <v/>
      </c>
      <c r="DG139" s="376">
        <f>IF(AND($B139&gt;0,AND(AT139="",AU139="")),1,IF((AT139+AU139)&gt;$B139,1,0))</f>
        <v/>
      </c>
      <c r="DH139" s="376">
        <f>IF(AND($B139&gt;0,AV139=""),1,IF(AV139&gt;$B139,1,0))</f>
        <v/>
      </c>
      <c r="DI139" s="376">
        <f>IF(AND($B139&gt;0,AW139=""),1,IF(AW139&gt;$B139,1,0))</f>
        <v/>
      </c>
      <c r="DJ139" s="376">
        <f>IF(D139&lt;E139,1,0)</f>
        <v/>
      </c>
      <c r="DK139" s="376">
        <f>IF(F139&lt;G139,1,0)</f>
        <v/>
      </c>
      <c r="DL139" s="376">
        <f>IF(H139&lt;I139,1,0)</f>
        <v/>
      </c>
      <c r="DM139" s="376">
        <f>IF(J139&lt;K139,1,0)</f>
        <v/>
      </c>
      <c r="DN139" s="376">
        <f>IF(L139&lt;M139,1,0)</f>
        <v/>
      </c>
      <c r="DO139" s="376">
        <f>IF(N139&lt;O139,1,0)</f>
        <v/>
      </c>
      <c r="DP139" s="376">
        <f>IF(P139&lt;Q139,1,0)</f>
        <v/>
      </c>
      <c r="DQ139" s="376">
        <f>IF(R139&lt;S139,1,0)</f>
        <v/>
      </c>
      <c r="DR139" s="376">
        <f>IF($T139&lt;$U139,1,0)</f>
        <v/>
      </c>
      <c r="DS139" s="376">
        <f>IF(V139&lt;W139,1,0)</f>
        <v/>
      </c>
      <c r="DT139" s="376">
        <f>IF(X139&lt;Y139,1,0)</f>
        <v/>
      </c>
      <c r="DU139" s="376">
        <f>IF(Z139&lt;AA139,1,0)</f>
        <v/>
      </c>
      <c r="DV139" s="376">
        <f>IF(AB139&lt;AC139,1,0)</f>
        <v/>
      </c>
      <c r="DW139" s="376">
        <f>IF(AD139&lt;AE139,1,0)</f>
        <v/>
      </c>
      <c r="DX139" s="376">
        <f>IF(AF139&lt;AG139,1,0)</f>
        <v/>
      </c>
      <c r="DY139" s="376">
        <f>IF(AH139&lt;AI139,1,0)</f>
        <v/>
      </c>
      <c r="DZ139" s="376">
        <f>IF(AJ139&lt;AK139,1,0)</f>
        <v/>
      </c>
      <c r="EA139" s="376">
        <f>IF(AL139&lt;AM139,1,0)</f>
        <v/>
      </c>
      <c r="EB139" s="376">
        <f>IF(AN139&lt;AO139,1,0)</f>
        <v/>
      </c>
      <c r="EC139" s="376">
        <f>IF(AP139&lt;AQ139,1,0)</f>
        <v/>
      </c>
    </row>
    <row r="140">
      <c r="A140" s="8771" t="inlineStr">
        <is>
          <t>Víctima de violencia sexual</t>
        </is>
      </c>
      <c r="B140" s="2576">
        <f>+D140+F140+H140+J140+L140+N140+P140+R140+T140+V140+X140+Z140+AB140+AD140+AF140+AH140+AJ140+AL140+AN140+AP140</f>
        <v/>
      </c>
      <c r="C140" s="2464">
        <f>+E140+G140+I140+K140+M140+O140+Q140+S140+U140+W140+Y140+AA140+AC140+AE140+AG140+AI140+AK140+AM140+AO140+AQ140</f>
        <v/>
      </c>
      <c r="D140" s="1140" t="n"/>
      <c r="E140" s="1153" t="n"/>
      <c r="F140" s="1137" t="n"/>
      <c r="G140" s="1153" t="n"/>
      <c r="H140" s="1137" t="n"/>
      <c r="I140" s="1139" t="n"/>
      <c r="J140" s="1140" t="n"/>
      <c r="K140" s="1140" t="n"/>
      <c r="L140" s="1137" t="n"/>
      <c r="M140" s="1139" t="n"/>
      <c r="N140" s="1140" t="n"/>
      <c r="O140" s="1153" t="n"/>
      <c r="P140" s="1137" t="n"/>
      <c r="Q140" s="1153" t="n"/>
      <c r="R140" s="1137" t="n"/>
      <c r="S140" s="1153" t="n"/>
      <c r="T140" s="1137" t="n"/>
      <c r="U140" s="1153" t="n"/>
      <c r="V140" s="1137" t="n"/>
      <c r="W140" s="1153" t="n"/>
      <c r="X140" s="1137" t="n"/>
      <c r="Y140" s="1153" t="n"/>
      <c r="Z140" s="1137" t="n"/>
      <c r="AA140" s="1153" t="n"/>
      <c r="AB140" s="1137" t="n"/>
      <c r="AC140" s="1153" t="n"/>
      <c r="AD140" s="1137" t="n"/>
      <c r="AE140" s="1153" t="n"/>
      <c r="AF140" s="1137" t="n"/>
      <c r="AG140" s="1153" t="n"/>
      <c r="AH140" s="1137" t="n"/>
      <c r="AI140" s="1153" t="n"/>
      <c r="AJ140" s="1137" t="n"/>
      <c r="AK140" s="1153" t="n"/>
      <c r="AL140" s="1137" t="n"/>
      <c r="AM140" s="1153" t="n"/>
      <c r="AN140" s="1137" t="n"/>
      <c r="AO140" s="1153" t="n"/>
      <c r="AP140" s="1137" t="n"/>
      <c r="AQ140" s="1143" t="n"/>
      <c r="AR140" s="1140" t="n"/>
      <c r="AS140" s="1143" t="n"/>
      <c r="AT140" s="1152" t="n"/>
      <c r="AU140" s="1143" t="n"/>
      <c r="AV140" s="3847" t="n"/>
      <c r="AW140" s="1138" t="n"/>
      <c r="AX140" s="218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>
        <f>IF(B140&lt;&gt;(AS140+AR140)," * La suma de las columnas "&amp;AR$10&amp;""&amp;" DEBE SER IGUAL a los Exámenes Procesados. ","")</f>
        <v/>
      </c>
      <c r="CB140" s="219">
        <f>IF(AND($B140&gt;0,AND(AT140="",AU140="")),"* No olvide ingresar las columnas Trans Masculino o Femenino (*Digite CERO si no tiene). ",IF((AT140+AU140)&gt;$B140,"* El Número de Trans Masculino o Femenino no puede superar el Total Procesados. ",""))</f>
        <v/>
      </c>
      <c r="CC140" s="219">
        <f>IF(AND($B140&gt;0,AV140=""),"* No olvide ingresar la columna "&amp;AV$10&amp;""&amp;" *(Digite CERO si no tiene). ",IF(AV140&gt;$B140," *El Número de "&amp;AV$10&amp;""&amp;" no puede superar el Total Procesados. ",""))</f>
        <v/>
      </c>
      <c r="CD140" s="219">
        <f>IF(AND($B140&gt;0,AW140=""),"* No olvide ingresar la columna "&amp;AW$10&amp;""&amp;" *(Digite CERO si no tiene). ",IF(AW140&gt;$B140," *El Número de "&amp;AW$10&amp;""&amp;" no puede superar el Total Procesados. ",""))</f>
        <v/>
      </c>
      <c r="CE140" s="219">
        <f>IF(D140&lt;E140,CONCATENATE("* El total de Procesados debe ser mayor o igual al total de Reactivos en el grupo de edad ",$D$11),"")</f>
        <v/>
      </c>
      <c r="CF140" s="219">
        <f>IF(F140&lt;G140,CONCATENATE("* El total de Procesados debe ser mayor o igual al total de Reactivos en el grupo de edad ",$F$11),"")</f>
        <v/>
      </c>
      <c r="CG140" s="219">
        <f>IF(H140&lt;I140,CONCATENATE("* El total de Procesados debe ser mayor o igual al total de Reactivos en el grupo de edad ",$H$11),"")</f>
        <v/>
      </c>
      <c r="CH140" s="219">
        <f>IF(J140&lt;K140,CONCATENATE("* El total de Procesados debe ser mayor o igual al total de Reactivos en el grupo de edad ",$J$11),"")</f>
        <v/>
      </c>
      <c r="CI140" s="219">
        <f>IF(L140&lt;M140,CONCATENATE("* El total de Procesados debe ser mayor o igual al total de Reactivos en el grupo de edad ",$L$11),"")</f>
        <v/>
      </c>
      <c r="CJ140" s="219">
        <f>IF(N140&lt;O140,CONCATENATE("* El total de Procesados debe ser mayor o igual al total de Reactivos en el grupo de edad ",$N$11),"")</f>
        <v/>
      </c>
      <c r="CK140" s="219">
        <f>IF(P140&lt;Q140,CONCATENATE("* El total de Procesados debe ser mayor o igual al total de Reactivos en el grupo de edad ",$P$11),"")</f>
        <v/>
      </c>
      <c r="CL140" s="219">
        <f>IF(R140&lt;S140,CONCATENATE("* El total de Procesados debe ser mayor o igual al total de Reactivos en el grupo de edad ",$R$11),"")</f>
        <v/>
      </c>
      <c r="CM140" s="219">
        <f>IF($T140&lt;$U140,CONCATENATE("* El total de Procesados debe ser mayor o igual al total de Reactivos en el grupo de edad ",$T$11),"")</f>
        <v/>
      </c>
      <c r="CN140" s="219">
        <f>IF(V140&lt;W140,CONCATENATE("* El total de Procesados debe ser mayor o igual al total de Reactivos en el grupo de edad ",$V$11),"")</f>
        <v/>
      </c>
      <c r="CO140" s="219">
        <f>IF(X140&lt;Y140,CONCATENATE("* El total de Procesados debe ser mayor o igual al total de Reactivos en el grupo de edad ",$X$11),"")</f>
        <v/>
      </c>
      <c r="CP140" s="219">
        <f>IF(Z140&lt;AA140,CONCATENATE("* El total de Procesados debe ser mayor o igual al total de Reactivos en el grupo de edad ",$Z$11),"")</f>
        <v/>
      </c>
      <c r="CQ140" s="219">
        <f>IF(AB140&lt;AC140,CONCATENATE("* El total de Procesados debe ser mayor o igual al total de Reactivos en el grupo de edad ",$AB$11),"")</f>
        <v/>
      </c>
      <c r="CR140" s="219">
        <f>IF(AD140&lt;AE140,CONCATENATE("* El total de Procesados debe ser mayor o igual al total de Reactivos en el grupo de edad ",$AD$11),"")</f>
        <v/>
      </c>
      <c r="CS140" s="219">
        <f>IF(AF140&lt;AG140,CONCATENATE("* El total de Procesados debe ser mayor o igual al total de Reactivos en el grupo de edad ",$AF$11),"")</f>
        <v/>
      </c>
      <c r="CT140" s="219">
        <f>IF(AH140&lt;AI140,CONCATENATE("* El total de Procesados debe ser mayor o igual al total de Reactivos en el grupo de edad ",$AH$11),"")</f>
        <v/>
      </c>
      <c r="CU140" s="219">
        <f>IF(AJ140&lt;AK140,CONCATENATE("* El total de Procesados debe ser mayor o igual al total de Reactivos en el grupo de edad ",$AJ$11),"")</f>
        <v/>
      </c>
      <c r="CV140" s="219">
        <f>IF(AL140&lt;AM140,CONCATENATE("* El total de Procesados debe ser mayor o igual al total de Reactivos en el grupo de edad ",$AL$11),"")</f>
        <v/>
      </c>
      <c r="CW140" s="219">
        <f>IF(AN140&lt;AO140,CONCATENATE("* El total de Procesados debe ser mayor o igual al total de Reactivos en el grupo de edad ",$AN$11),"")</f>
        <v/>
      </c>
      <c r="CX140" s="219">
        <f>IF(AP140&lt;AQ140,CONCATENATE("* El total de Procesados debe ser mayor o igual al total de Reactivos en el grupo de edad ",$AP$11),"")</f>
        <v/>
      </c>
      <c r="DE140" s="226" t="n"/>
      <c r="DF140" s="378">
        <f>IF(B140&lt;&gt;(AS140+AR140),1,0)</f>
        <v/>
      </c>
      <c r="DG140" s="376">
        <f>IF(AND($B140&gt;0,AND(AT140="",AU140="")),1,IF((AT140+AU140)&gt;$B140,1,0))</f>
        <v/>
      </c>
      <c r="DH140" s="376">
        <f>IF(AND($B140&gt;0,AV140=""),1,IF(AV140&gt;$B140,1,0))</f>
        <v/>
      </c>
      <c r="DI140" s="376">
        <f>IF(AND($B140&gt;0,AW140=""),1,IF(AW140&gt;$B140,1,0))</f>
        <v/>
      </c>
      <c r="DJ140" s="376">
        <f>IF(D140&lt;E140,1,0)</f>
        <v/>
      </c>
      <c r="DK140" s="376">
        <f>IF(F140&lt;G140,1,0)</f>
        <v/>
      </c>
      <c r="DL140" s="376">
        <f>IF(H140&lt;I140,1,0)</f>
        <v/>
      </c>
      <c r="DM140" s="376">
        <f>IF(J140&lt;K140,1,0)</f>
        <v/>
      </c>
      <c r="DN140" s="376">
        <f>IF(L140&lt;M140,1,0)</f>
        <v/>
      </c>
      <c r="DO140" s="376">
        <f>IF(N140&lt;O140,1,0)</f>
        <v/>
      </c>
      <c r="DP140" s="376">
        <f>IF(P140&lt;Q140,1,0)</f>
        <v/>
      </c>
      <c r="DQ140" s="376">
        <f>IF(R140&lt;S140,1,0)</f>
        <v/>
      </c>
      <c r="DR140" s="376">
        <f>IF($T140&lt;$U140,1,0)</f>
        <v/>
      </c>
      <c r="DS140" s="376">
        <f>IF(V140&lt;W140,1,0)</f>
        <v/>
      </c>
      <c r="DT140" s="376">
        <f>IF(X140&lt;Y140,1,0)</f>
        <v/>
      </c>
      <c r="DU140" s="376">
        <f>IF(Z140&lt;AA140,1,0)</f>
        <v/>
      </c>
      <c r="DV140" s="376">
        <f>IF(AB140&lt;AC140,1,0)</f>
        <v/>
      </c>
      <c r="DW140" s="376">
        <f>IF(AD140&lt;AE140,1,0)</f>
        <v/>
      </c>
      <c r="DX140" s="376">
        <f>IF(AF140&lt;AG140,1,0)</f>
        <v/>
      </c>
      <c r="DY140" s="376">
        <f>IF(AH140&lt;AI140,1,0)</f>
        <v/>
      </c>
      <c r="DZ140" s="376">
        <f>IF(AJ140&lt;AK140,1,0)</f>
        <v/>
      </c>
      <c r="EA140" s="376">
        <f>IF(AL140&lt;AM140,1,0)</f>
        <v/>
      </c>
      <c r="EB140" s="376">
        <f>IF(AN140&lt;AO140,1,0)</f>
        <v/>
      </c>
      <c r="EC140" s="376">
        <f>IF(AP140&lt;AQ140,1,0)</f>
        <v/>
      </c>
    </row>
    <row r="141" ht="18" customHeight="1" s="8286">
      <c r="A141" s="10297" t="inlineStr">
        <is>
          <t>SECCIÓN B.1: EXÁMENES SEGÚN GRUPOS DE USUARIOS POR CONDICIÓN DE HEPATITIS B, HEPATITIS C, CHAGAS, HTLV 1 Y SIFILIS (USO EXCLUSIVO DE ESTABLECIMIENTOS CON LABORATORIO QUE PROCESAN)</t>
        </is>
      </c>
      <c r="B141" s="10190" t="n"/>
      <c r="C141" s="10190" t="n"/>
      <c r="D141" s="10190" t="n"/>
      <c r="E141" s="10190" t="n"/>
      <c r="F141" s="10190" t="n"/>
      <c r="G141" s="10190" t="n"/>
      <c r="H141" s="10190" t="n"/>
      <c r="I141" s="10190" t="n"/>
      <c r="J141" s="10190" t="n"/>
      <c r="K141" s="10190" t="n"/>
      <c r="L141" s="10190" t="n"/>
      <c r="M141" s="10190" t="n"/>
      <c r="N141" s="10190" t="n"/>
      <c r="O141" s="10190" t="n"/>
      <c r="P141" s="10190" t="n"/>
    </row>
    <row r="142">
      <c r="A142" s="9939" t="inlineStr">
        <is>
          <t>GRUPO DE USUARIOS</t>
        </is>
      </c>
      <c r="B142" s="9630" t="n"/>
      <c r="C142" s="9977" t="inlineStr">
        <is>
          <t>HEPATITIS  B</t>
        </is>
      </c>
      <c r="D142" s="9584" t="n"/>
      <c r="E142" s="9582" t="n"/>
      <c r="F142" s="4505" t="inlineStr">
        <is>
          <t>HEPATITIS  C</t>
        </is>
      </c>
      <c r="G142" s="9584" t="n"/>
      <c r="H142" s="9647" t="n"/>
      <c r="I142" s="4505" t="inlineStr">
        <is>
          <t>CHAGAS</t>
        </is>
      </c>
      <c r="J142" s="9584" t="n"/>
      <c r="K142" s="9647" t="n"/>
      <c r="L142" s="4505" t="inlineStr">
        <is>
          <t>HTLV1</t>
        </is>
      </c>
      <c r="M142" s="9584" t="n"/>
      <c r="N142" s="9647" t="n"/>
      <c r="O142" s="9977" t="inlineStr">
        <is>
          <t>SÍFILIS</t>
        </is>
      </c>
      <c r="P142" s="9582" t="n"/>
    </row>
    <row r="143">
      <c r="A143" s="9638" t="n"/>
      <c r="B143" s="9639" t="n"/>
      <c r="C143" s="3088" t="inlineStr">
        <is>
          <t>Procesados</t>
        </is>
      </c>
      <c r="D143" s="3089" t="inlineStr">
        <is>
          <t>Reactivos</t>
        </is>
      </c>
      <c r="E143" s="8525" t="inlineStr">
        <is>
          <t>Confirmados</t>
        </is>
      </c>
      <c r="F143" s="3088" t="inlineStr">
        <is>
          <t>Procesados</t>
        </is>
      </c>
      <c r="G143" s="3089" t="inlineStr">
        <is>
          <t>Reactivos</t>
        </is>
      </c>
      <c r="H143" s="8525" t="inlineStr">
        <is>
          <t>Confirmados</t>
        </is>
      </c>
      <c r="I143" s="3088" t="inlineStr">
        <is>
          <t>Procesados</t>
        </is>
      </c>
      <c r="J143" s="3089" t="inlineStr">
        <is>
          <t>Reactivos</t>
        </is>
      </c>
      <c r="K143" s="8525" t="inlineStr">
        <is>
          <t>Confirmados</t>
        </is>
      </c>
      <c r="L143" s="3088" t="inlineStr">
        <is>
          <t>Procesados</t>
        </is>
      </c>
      <c r="M143" s="3089" t="inlineStr">
        <is>
          <t>Reactivos</t>
        </is>
      </c>
      <c r="N143" s="8525" t="inlineStr">
        <is>
          <t>Confirmados</t>
        </is>
      </c>
      <c r="O143" s="3088" t="inlineStr">
        <is>
          <t>Procesados</t>
        </is>
      </c>
      <c r="P143" s="3090" t="inlineStr">
        <is>
          <t>Reactivos</t>
        </is>
      </c>
    </row>
    <row r="144">
      <c r="A144" s="10298" t="inlineStr">
        <is>
          <t>Usuarios</t>
        </is>
      </c>
      <c r="B144" s="9804" t="n"/>
      <c r="C144" s="3123" t="n"/>
      <c r="D144" s="3124" t="n"/>
      <c r="E144" s="3125" t="n"/>
      <c r="F144" s="3123" t="n"/>
      <c r="G144" s="3124" t="n"/>
      <c r="H144" s="3125" t="n"/>
      <c r="I144" s="3123" t="n"/>
      <c r="J144" s="3124" t="n"/>
      <c r="K144" s="3125" t="n"/>
      <c r="L144" s="3123" t="n"/>
      <c r="M144" s="3124" t="n"/>
      <c r="N144" s="3125" t="n"/>
      <c r="O144" s="3123" t="n"/>
      <c r="P144" s="3126" t="n"/>
      <c r="Q144" s="218">
        <f>$CA144&amp;CB144&amp;$CC144&amp;CD144&amp;$CE144&amp;CF144&amp;$CG144&amp;CH144&amp;$CI144</f>
        <v/>
      </c>
      <c r="R144" s="218" t="n"/>
      <c r="S144" s="218" t="n"/>
      <c r="T144" s="218" t="n"/>
      <c r="U144" s="218" t="n"/>
      <c r="V144" s="218" t="n"/>
      <c r="W144" s="218" t="n"/>
      <c r="X144" s="218" t="n"/>
      <c r="Y144" s="218" t="n"/>
      <c r="Z144" s="218" t="n"/>
      <c r="AA144" s="218" t="n"/>
      <c r="AB144" s="218" t="n"/>
      <c r="AC144" s="234" t="n"/>
      <c r="AD144" s="234" t="n"/>
      <c r="AE144" s="235" t="n"/>
      <c r="AF144" s="235" t="n"/>
      <c r="AG144" s="235" t="n"/>
      <c r="AH144" s="235" t="n"/>
      <c r="AI144" s="235" t="n"/>
      <c r="AJ144" s="235" t="n"/>
      <c r="AK144" s="235" t="n"/>
      <c r="AL144" s="235" t="n"/>
      <c r="AM144" s="235" t="n"/>
      <c r="AN144" s="235" t="n"/>
      <c r="AO144" s="235" t="n"/>
      <c r="AP144" s="235" t="n"/>
      <c r="AQ144" s="235" t="n"/>
      <c r="AR144" s="235" t="n"/>
      <c r="AS144" s="235" t="n"/>
      <c r="AT144" s="235" t="n"/>
      <c r="AU144" s="235" t="n"/>
      <c r="AV144" s="235" t="n"/>
      <c r="AW144" s="235" t="n"/>
      <c r="AX144" s="234" t="n"/>
      <c r="AY144" s="234" t="n"/>
      <c r="AZ144" s="234" t="n"/>
      <c r="BA144" s="234" t="n"/>
      <c r="BB144" s="234" t="n"/>
      <c r="BC144" s="234" t="n"/>
      <c r="BD144" s="234" t="n"/>
      <c r="BE144" s="234" t="n"/>
      <c r="BF144" s="234" t="n"/>
      <c r="BG144" s="234" t="n"/>
      <c r="BH144" s="234" t="n"/>
      <c r="BI144" s="234" t="n"/>
      <c r="BJ144" s="234" t="n"/>
      <c r="BK144" s="234" t="n"/>
      <c r="BL144" s="234" t="n"/>
      <c r="BM144" s="234" t="n"/>
      <c r="BN144" s="235" t="n"/>
      <c r="BO144" s="235" t="n"/>
      <c r="BP144" s="235" t="n"/>
      <c r="BQ144" s="235" t="n"/>
      <c r="BR144" s="235" t="n"/>
      <c r="BS144" s="235" t="n"/>
      <c r="BT144" s="235" t="n"/>
      <c r="BU144" s="235" t="n"/>
      <c r="BV144" s="234" t="n"/>
      <c r="BW144" s="234" t="n"/>
      <c r="BX144" s="373" t="n"/>
      <c r="BY144" s="373" t="n"/>
      <c r="BZ144" s="373" t="n"/>
      <c r="CA144" s="219">
        <f>IF(C144&gt;=D144,"","* Los Exámenes Reactivos de Hepatitis B NO DEBEN ser mayor a los Exámenes Procesados. ")</f>
        <v/>
      </c>
      <c r="CB144" s="219">
        <f>IF(C144&gt;=E144,"","* Los Exámenes Confirmados de Hepatitis B NO DEBEN ser mayor a los exámenes Procesados. ")</f>
        <v/>
      </c>
      <c r="CC144" s="219">
        <f>IF(F144&gt;=G144,"","* Los Exámenes Reactivos de Hepatitis C NO DEBEN ser mayor a los Exámenes Procesados. ")</f>
        <v/>
      </c>
      <c r="CD144" s="219">
        <f>IF(F144&gt;=H144,"","* Los Exámenes Confirmados de Hepatitis C NO DEBEN ser mayor a los Exámenes Procesados. ")</f>
        <v/>
      </c>
      <c r="CE144" s="219">
        <f>IF(I144&gt;=J144,"","* Los Exámenes Reactivos de CHAGAS NO DEBEN ser mayor a los Exámenes Procesados. ")</f>
        <v/>
      </c>
      <c r="CF144" s="219">
        <f>IF(I144&gt;=K144,"","* Los Exámenes Confirmados de CHAGAS NO DEBEN ser mayor a los Exámenes Procesados. ")</f>
        <v/>
      </c>
      <c r="CG144" s="219">
        <f>IF(L144&gt;=M144,"","* Los Exámenes Reactivos de HTLV1 NO DEBEN ser mayor a los Exámenes Procesados. ")</f>
        <v/>
      </c>
      <c r="CH144" s="219">
        <f>IF(L144&gt;=N144,"","* Los Exámenes Confirmados de HTLV1 NO DEBEN ser mayor a los Exámenes Procesados. ")</f>
        <v/>
      </c>
      <c r="CI144" s="219">
        <f>IF(O144&gt;=P144,"","* Los exámenes Reactivos de SIFILIS NO DEBEN ser mayor a los exámenes Procesados. ")</f>
        <v/>
      </c>
      <c r="CJ144" s="374" t="n"/>
      <c r="DF144" s="376">
        <f>IF(C144&gt;=D144,0,1)</f>
        <v/>
      </c>
      <c r="DG144" s="376">
        <f>IF(E144&gt;C144,1,0)</f>
        <v/>
      </c>
      <c r="DH144" s="376">
        <f>IF(F144&gt;=G144,0,1)</f>
        <v/>
      </c>
      <c r="DI144" s="376">
        <f>IF(F144&gt;=H144,0,1)</f>
        <v/>
      </c>
      <c r="DJ144" s="376">
        <f>IF(I144&gt;=J144,0,1)</f>
        <v/>
      </c>
      <c r="DK144" s="376">
        <f>IF(I144&gt;=K144,0,1)</f>
        <v/>
      </c>
      <c r="DL144" s="376">
        <f>IF(L144&gt;=M144,0,1)</f>
        <v/>
      </c>
      <c r="DM144" s="376">
        <f>IF(L144&gt;=N144,0,1)</f>
        <v/>
      </c>
      <c r="DN144" s="376">
        <f>IF(O144&gt;=P144,0,1)</f>
        <v/>
      </c>
    </row>
    <row r="145">
      <c r="A145" s="4244" t="inlineStr">
        <is>
          <t>Donantes</t>
        </is>
      </c>
      <c r="B145" s="8537" t="inlineStr">
        <is>
          <t>Altruista nuevo</t>
        </is>
      </c>
      <c r="C145" s="3128" t="n"/>
      <c r="D145" s="3129" t="n"/>
      <c r="E145" s="3130" t="n"/>
      <c r="F145" s="3128" t="n"/>
      <c r="G145" s="3129" t="n"/>
      <c r="H145" s="3130" t="n"/>
      <c r="I145" s="3128" t="n"/>
      <c r="J145" s="3129" t="n"/>
      <c r="K145" s="3130" t="n"/>
      <c r="L145" s="3128" t="n"/>
      <c r="M145" s="3129" t="n"/>
      <c r="N145" s="3130" t="n"/>
      <c r="O145" s="3128" t="n"/>
      <c r="P145" s="3131" t="n"/>
      <c r="Q145" s="218">
        <f>$CA145&amp;CB145&amp;$CC145&amp;CD145&amp;$CE145&amp;CF145&amp;$CG145&amp;CH145&amp;$CI145</f>
        <v/>
      </c>
      <c r="R145" s="218" t="n"/>
      <c r="S145" s="218" t="n"/>
      <c r="T145" s="218" t="n"/>
      <c r="U145" s="218" t="n"/>
      <c r="V145" s="218" t="n"/>
      <c r="W145" s="218" t="n"/>
      <c r="X145" s="218" t="n"/>
      <c r="Y145" s="218" t="n"/>
      <c r="Z145" s="218" t="n"/>
      <c r="AA145" s="218" t="n"/>
      <c r="AB145" s="218" t="n"/>
      <c r="AC145" s="234" t="n"/>
      <c r="AD145" s="234" t="n"/>
      <c r="AE145" s="235" t="n"/>
      <c r="AF145" s="235" t="n"/>
      <c r="AG145" s="235" t="n"/>
      <c r="AH145" s="235" t="n"/>
      <c r="AI145" s="235" t="n"/>
      <c r="AJ145" s="235" t="n"/>
      <c r="AK145" s="235" t="n"/>
      <c r="AL145" s="235" t="n"/>
      <c r="AM145" s="235" t="n"/>
      <c r="AN145" s="235" t="n"/>
      <c r="AO145" s="235" t="n"/>
      <c r="AP145" s="235" t="n"/>
      <c r="AQ145" s="235" t="n"/>
      <c r="AR145" s="235" t="n"/>
      <c r="AS145" s="235" t="n"/>
      <c r="AT145" s="235" t="n"/>
      <c r="AU145" s="235" t="n"/>
      <c r="AV145" s="235" t="n"/>
      <c r="AW145" s="235" t="n"/>
      <c r="AX145" s="234" t="n"/>
      <c r="AY145" s="234" t="n"/>
      <c r="AZ145" s="234" t="n"/>
      <c r="BA145" s="234" t="n"/>
      <c r="BB145" s="234" t="n"/>
      <c r="BC145" s="234" t="n"/>
      <c r="BD145" s="234" t="n"/>
      <c r="BE145" s="234" t="n"/>
      <c r="BF145" s="234" t="n"/>
      <c r="BG145" s="234" t="n"/>
      <c r="BH145" s="234" t="n"/>
      <c r="BI145" s="234" t="n"/>
      <c r="BJ145" s="234" t="n"/>
      <c r="BK145" s="234" t="n"/>
      <c r="BL145" s="234" t="n"/>
      <c r="BM145" s="234" t="n"/>
      <c r="BN145" s="235" t="n"/>
      <c r="BO145" s="235" t="n"/>
      <c r="BP145" s="235" t="n"/>
      <c r="BQ145" s="235" t="n"/>
      <c r="BR145" s="235" t="n"/>
      <c r="BS145" s="235" t="n"/>
      <c r="BT145" s="235" t="n"/>
      <c r="BU145" s="235" t="n"/>
      <c r="BV145" s="234" t="n"/>
      <c r="BW145" s="234" t="n"/>
      <c r="BX145" s="373" t="n"/>
      <c r="BY145" s="373" t="n"/>
      <c r="BZ145" s="373" t="n"/>
      <c r="CA145" s="219">
        <f>IF(C145&gt;=D145,"","* Los Exámenes Reactivos de Hepatitis B NO DEBEN ser mayor a los Exámenes Procesados. ")</f>
        <v/>
      </c>
      <c r="CB145" s="219">
        <f>IF(C145&gt;=E145,"","* Los Exámenes Confirmados de Hepatitis B NO DEBEN ser mayor a los exámenes Procesados. ")</f>
        <v/>
      </c>
      <c r="CC145" s="219">
        <f>IF(F145&gt;=G145,"","* Los Exámenes Reactivos de Hepatitis C NO DEBEN ser mayor a los Exámenes Procesados. ")</f>
        <v/>
      </c>
      <c r="CD145" s="219">
        <f>IF(F145&gt;=H145,"","* Los Exámenes Confirmados de Hepatitis C NO DEBEN ser mayor a los Exámenes Procesados. ")</f>
        <v/>
      </c>
      <c r="CE145" s="219">
        <f>IF(I145&gt;=J145,"","* Los Exámenes Reactivos de CHAGAS NO DEBEN ser mayor a los Exámenes Procesados. ")</f>
        <v/>
      </c>
      <c r="CF145" s="219">
        <f>IF(I145&gt;=K145,"","* Los Exámenes Confirmados de CHAGAS NO DEBEN ser mayor a los Exámenes Procesados. ")</f>
        <v/>
      </c>
      <c r="CG145" s="219">
        <f>IF(L145&gt;=M145,"","* Los Exámenes Reactivos de HTLV1 NO DEBEN ser mayor a los Exámenes Procesados. ")</f>
        <v/>
      </c>
      <c r="CH145" s="219">
        <f>IF(L145&gt;=N145,"","* Los Exámenes Confirmados de HTLV1 NO DEBEN ser mayor a los Exámenes Procesados. ")</f>
        <v/>
      </c>
      <c r="CI145" s="219">
        <f>IF(O145&gt;=P145,"","* Los exámenes Reactivos de SIFILIS NO DEBEN ser mayor a los exámenes Procesados. ")</f>
        <v/>
      </c>
      <c r="CJ145" s="374" t="n"/>
      <c r="DF145" s="376">
        <f>IF(C145&gt;=D145,0,1)</f>
        <v/>
      </c>
      <c r="DG145" s="376">
        <f>IF(E145&gt;C145,1,0)</f>
        <v/>
      </c>
      <c r="DH145" s="376">
        <f>IF(F145&gt;=G145,0,1)</f>
        <v/>
      </c>
      <c r="DI145" s="376">
        <f>IF(F145&gt;=H145,0,1)</f>
        <v/>
      </c>
      <c r="DJ145" s="376">
        <f>IF(I145&gt;=J145,0,1)</f>
        <v/>
      </c>
      <c r="DK145" s="376">
        <f>IF(I145&gt;=K145,0,1)</f>
        <v/>
      </c>
      <c r="DL145" s="376">
        <f>IF(L145&gt;=M145,0,1)</f>
        <v/>
      </c>
      <c r="DM145" s="376">
        <f>IF(L145&gt;=N145,0,1)</f>
        <v/>
      </c>
      <c r="DN145" s="376">
        <f>IF(O145&gt;=P145,0,1)</f>
        <v/>
      </c>
    </row>
    <row r="146">
      <c r="A146" s="10125" t="n"/>
      <c r="B146" s="8538" t="inlineStr">
        <is>
          <t>Altruista repetido</t>
        </is>
      </c>
      <c r="C146" s="1971" t="n"/>
      <c r="D146" s="747" t="n"/>
      <c r="E146" s="1122" t="n"/>
      <c r="F146" s="1971" t="n"/>
      <c r="G146" s="747" t="n"/>
      <c r="H146" s="1122" t="n"/>
      <c r="I146" s="1971" t="n"/>
      <c r="J146" s="747" t="n"/>
      <c r="K146" s="1122" t="n"/>
      <c r="L146" s="1971" t="n"/>
      <c r="M146" s="747" t="n"/>
      <c r="N146" s="1122" t="n"/>
      <c r="O146" s="1971" t="n"/>
      <c r="P146" s="750" t="n"/>
      <c r="Q146" s="218">
        <f>$CA146&amp;CB146&amp;$CC146&amp;CD146&amp;$CE146&amp;CF146&amp;$CG146&amp;CH146&amp;$CI146</f>
        <v/>
      </c>
      <c r="R146" s="218" t="n"/>
      <c r="S146" s="218" t="n"/>
      <c r="T146" s="218" t="n"/>
      <c r="U146" s="218" t="n"/>
      <c r="V146" s="218" t="n"/>
      <c r="W146" s="218" t="n"/>
      <c r="X146" s="218" t="n"/>
      <c r="Y146" s="218" t="n"/>
      <c r="Z146" s="218" t="n"/>
      <c r="AA146" s="218" t="n"/>
      <c r="AB146" s="218" t="n"/>
      <c r="AC146" s="234" t="n"/>
      <c r="AD146" s="234" t="n"/>
      <c r="AE146" s="235" t="n"/>
      <c r="AF146" s="235" t="n"/>
      <c r="AG146" s="235" t="n"/>
      <c r="AH146" s="235" t="n"/>
      <c r="AI146" s="235" t="n"/>
      <c r="AJ146" s="235" t="n"/>
      <c r="AK146" s="235" t="n"/>
      <c r="AL146" s="235" t="n"/>
      <c r="AM146" s="235" t="n"/>
      <c r="AN146" s="235" t="n"/>
      <c r="AO146" s="235" t="n"/>
      <c r="AP146" s="235" t="n"/>
      <c r="AQ146" s="235" t="n"/>
      <c r="AR146" s="235" t="n"/>
      <c r="AS146" s="235" t="n"/>
      <c r="AT146" s="235" t="n"/>
      <c r="AU146" s="235" t="n"/>
      <c r="AV146" s="235" t="n"/>
      <c r="AW146" s="235" t="n"/>
      <c r="AX146" s="234" t="n"/>
      <c r="AY146" s="234" t="n"/>
      <c r="AZ146" s="234" t="n"/>
      <c r="BA146" s="234" t="n"/>
      <c r="BB146" s="234" t="n"/>
      <c r="BC146" s="234" t="n"/>
      <c r="BD146" s="234" t="n"/>
      <c r="BE146" s="234" t="n"/>
      <c r="BF146" s="234" t="n"/>
      <c r="BG146" s="234" t="n"/>
      <c r="BH146" s="234" t="n"/>
      <c r="BI146" s="234" t="n"/>
      <c r="BJ146" s="234" t="n"/>
      <c r="BK146" s="234" t="n"/>
      <c r="BL146" s="234" t="n"/>
      <c r="BM146" s="234" t="n"/>
      <c r="BN146" s="235" t="n"/>
      <c r="BO146" s="235" t="n"/>
      <c r="BP146" s="235" t="n"/>
      <c r="BQ146" s="235" t="n"/>
      <c r="BR146" s="235" t="n"/>
      <c r="BS146" s="235" t="n"/>
      <c r="BT146" s="235" t="n"/>
      <c r="BU146" s="235" t="n"/>
      <c r="BV146" s="234" t="n"/>
      <c r="BW146" s="234" t="n"/>
      <c r="BX146" s="373" t="n"/>
      <c r="BY146" s="373" t="n"/>
      <c r="BZ146" s="373" t="n"/>
      <c r="CA146" s="219">
        <f>IF(C146&gt;=D146,"","* Los Exámenes Reactivos de Hepatitis B NO DEBEN ser mayor a los Exámenes Procesados. ")</f>
        <v/>
      </c>
      <c r="CB146" s="219">
        <f>IF(C146&gt;=E146,"","* Los Exámenes Confirmados de Hepatitis B NO DEBEN ser mayor a los exámenes Procesados. ")</f>
        <v/>
      </c>
      <c r="CC146" s="219">
        <f>IF(F146&gt;=G146,"","* Los Exámenes Reactivos de Hepatitis C NO DEBEN ser mayor a los Exámenes Procesados. ")</f>
        <v/>
      </c>
      <c r="CD146" s="219">
        <f>IF(F146&gt;=H146,"","* Los Exámenes Confirmados de Hepatitis C NO DEBEN ser mayor a los Exámenes Procesados. ")</f>
        <v/>
      </c>
      <c r="CE146" s="219">
        <f>IF(I146&gt;=J146,"","* Los Exámenes Reactivos de CHAGAS NO DEBEN ser mayor a los Exámenes Procesados. ")</f>
        <v/>
      </c>
      <c r="CF146" s="219">
        <f>IF(I146&gt;=K146,"","* Los Exámenes Confirmados de CHAGAS NO DEBEN ser mayor a los Exámenes Procesados. ")</f>
        <v/>
      </c>
      <c r="CG146" s="219">
        <f>IF(L146&gt;=M146,"","* Los Exámenes Reactivos de HTLV1 NO DEBEN ser mayor a los Exámenes Procesados. ")</f>
        <v/>
      </c>
      <c r="CH146" s="219">
        <f>IF(L146&gt;=N146,"","* Los Exámenes Confirmados de HTLV1 NO DEBEN ser mayor a los Exámenes Procesados. ")</f>
        <v/>
      </c>
      <c r="CI146" s="219">
        <f>IF(O146&gt;=P146,"","* Los exámenes Reactivos de SIFILIS NO DEBEN ser mayor a los exámenes Procesados. ")</f>
        <v/>
      </c>
      <c r="CJ146" s="374" t="n"/>
      <c r="DF146" s="376">
        <f>IF(C146&gt;=D146,0,1)</f>
        <v/>
      </c>
      <c r="DG146" s="376">
        <f>IF(E146&gt;C146,1,0)</f>
        <v/>
      </c>
      <c r="DH146" s="376">
        <f>IF(F146&gt;=G146,0,1)</f>
        <v/>
      </c>
      <c r="DI146" s="376">
        <f>IF(F146&gt;=H146,0,1)</f>
        <v/>
      </c>
      <c r="DJ146" s="376">
        <f>IF(I146&gt;=J146,0,1)</f>
        <v/>
      </c>
      <c r="DK146" s="376">
        <f>IF(I146&gt;=K146,0,1)</f>
        <v/>
      </c>
      <c r="DL146" s="376">
        <f>IF(L146&gt;=M146,0,1)</f>
        <v/>
      </c>
      <c r="DM146" s="376">
        <f>IF(L146&gt;=N146,0,1)</f>
        <v/>
      </c>
      <c r="DN146" s="376">
        <f>IF(O146&gt;=P146,0,1)</f>
        <v/>
      </c>
    </row>
    <row r="147">
      <c r="A147" s="10124" t="n"/>
      <c r="B147" s="8365" t="inlineStr">
        <is>
          <t>Familiar o Reposición</t>
        </is>
      </c>
      <c r="C147" s="2465" t="n"/>
      <c r="D147" s="224" t="n"/>
      <c r="E147" s="2466" t="n"/>
      <c r="F147" s="2465" t="n"/>
      <c r="G147" s="224" t="n"/>
      <c r="H147" s="2466" t="n"/>
      <c r="I147" s="2465" t="n"/>
      <c r="J147" s="224" t="n"/>
      <c r="K147" s="2466" t="n"/>
      <c r="L147" s="2465" t="n"/>
      <c r="M147" s="224" t="n"/>
      <c r="N147" s="2466" t="n"/>
      <c r="O147" s="2465" t="n"/>
      <c r="P147" s="189" t="n"/>
      <c r="Q147" s="218">
        <f>$CA147&amp;CB147&amp;$CC147&amp;CD147&amp;$CE147&amp;CF147&amp;$CG147&amp;CH147&amp;$CI147</f>
        <v/>
      </c>
      <c r="R147" s="218" t="n"/>
      <c r="S147" s="218" t="n"/>
      <c r="T147" s="218" t="n"/>
      <c r="U147" s="218" t="n"/>
      <c r="V147" s="218" t="n"/>
      <c r="W147" s="218" t="n"/>
      <c r="X147" s="218" t="n"/>
      <c r="Y147" s="218" t="n"/>
      <c r="Z147" s="218" t="n"/>
      <c r="AA147" s="218" t="n"/>
      <c r="AB147" s="218" t="n"/>
      <c r="AC147" s="234" t="n"/>
      <c r="AD147" s="234" t="n"/>
      <c r="AE147" s="235" t="n"/>
      <c r="AF147" s="235" t="n"/>
      <c r="AG147" s="235" t="n"/>
      <c r="AH147" s="235" t="n"/>
      <c r="AI147" s="235" t="n"/>
      <c r="AJ147" s="235" t="n"/>
      <c r="AK147" s="235" t="n"/>
      <c r="AL147" s="235" t="n"/>
      <c r="AM147" s="235" t="n"/>
      <c r="AN147" s="235" t="n"/>
      <c r="AO147" s="235" t="n"/>
      <c r="AP147" s="235" t="n"/>
      <c r="AQ147" s="235" t="n"/>
      <c r="AR147" s="235" t="n"/>
      <c r="AS147" s="235" t="n"/>
      <c r="AT147" s="235" t="n"/>
      <c r="AU147" s="235" t="n"/>
      <c r="AV147" s="235" t="n"/>
      <c r="AW147" s="235" t="n"/>
      <c r="AX147" s="234" t="n"/>
      <c r="AY147" s="234" t="n"/>
      <c r="AZ147" s="234" t="n"/>
      <c r="BA147" s="234" t="n"/>
      <c r="BB147" s="234" t="n"/>
      <c r="BC147" s="234" t="n"/>
      <c r="BD147" s="234" t="n"/>
      <c r="BE147" s="234" t="n"/>
      <c r="BF147" s="234" t="n"/>
      <c r="BG147" s="234" t="n"/>
      <c r="BH147" s="234" t="n"/>
      <c r="BI147" s="234" t="n"/>
      <c r="BJ147" s="234" t="n"/>
      <c r="BK147" s="234" t="n"/>
      <c r="BL147" s="234" t="n"/>
      <c r="BM147" s="234" t="n"/>
      <c r="BN147" s="235" t="n"/>
      <c r="BO147" s="235" t="n"/>
      <c r="BP147" s="235" t="n"/>
      <c r="BQ147" s="235" t="n"/>
      <c r="BR147" s="235" t="n"/>
      <c r="BS147" s="235" t="n"/>
      <c r="BT147" s="235" t="n"/>
      <c r="BU147" s="235" t="n"/>
      <c r="BV147" s="234" t="n"/>
      <c r="BW147" s="234" t="n"/>
      <c r="BX147" s="373" t="n"/>
      <c r="BY147" s="373" t="n"/>
      <c r="BZ147" s="373" t="n"/>
      <c r="CA147" s="219">
        <f>IF(C147&gt;=D147,"","* Los Exámenes Reactivos de Hepatitis B NO DEBEN ser mayor a los Exámenes Procesados. ")</f>
        <v/>
      </c>
      <c r="CB147" s="219">
        <f>IF(C147&gt;=E147,"","* Los Exámenes Confirmados de Hepatitis B NO DEBEN ser mayor a los exámenes Procesados. ")</f>
        <v/>
      </c>
      <c r="CC147" s="219">
        <f>IF(F147&gt;=G147,"","* Los Exámenes Reactivos de Hepatitis C NO DEBEN ser mayor a los Exámenes Procesados. ")</f>
        <v/>
      </c>
      <c r="CD147" s="219">
        <f>IF(F147&gt;=H147,"","* Los Exámenes Confirmados de Hepatitis C NO DEBEN ser mayor a los Exámenes Procesados. ")</f>
        <v/>
      </c>
      <c r="CE147" s="219">
        <f>IF(I147&gt;=J147,"","* Los Exámenes Reactivos de CHAGAS NO DEBEN ser mayor a los Exámenes Procesados. ")</f>
        <v/>
      </c>
      <c r="CF147" s="219">
        <f>IF(I147&gt;=K147,"","* Los Exámenes Confirmados de CHAGAS NO DEBEN ser mayor a los Exámenes Procesados. ")</f>
        <v/>
      </c>
      <c r="CG147" s="219">
        <f>IF(L147&gt;=M147,"","* Los Exámenes Reactivos de HTLV1 NO DEBEN ser mayor a los Exámenes Procesados. ")</f>
        <v/>
      </c>
      <c r="CH147" s="219">
        <f>IF(L147&gt;=N147,"","* Los Exámenes Confirmados de HTLV1 NO DEBEN ser mayor a los Exámenes Procesados. ")</f>
        <v/>
      </c>
      <c r="CI147" s="219">
        <f>IF(O147&gt;=P147,"","* Los exámenes Reactivos de SIFILIS NO DEBEN ser mayor a los exámenes Procesados. ")</f>
        <v/>
      </c>
      <c r="CJ147" s="374" t="n"/>
      <c r="DF147" s="376">
        <f>IF(C147&gt;=D147,0,1)</f>
        <v/>
      </c>
      <c r="DG147" s="376">
        <f>IF(E147&gt;C147,1,0)</f>
        <v/>
      </c>
      <c r="DH147" s="376">
        <f>IF(F147&gt;=G147,0,1)</f>
        <v/>
      </c>
      <c r="DI147" s="376">
        <f>IF(F147&gt;=H147,0,1)</f>
        <v/>
      </c>
      <c r="DJ147" s="376">
        <f>IF(I147&gt;=J147,0,1)</f>
        <v/>
      </c>
      <c r="DK147" s="376">
        <f>IF(I147&gt;=K147,0,1)</f>
        <v/>
      </c>
      <c r="DL147" s="376">
        <f>IF(L147&gt;=M147,0,1)</f>
        <v/>
      </c>
      <c r="DM147" s="376">
        <f>IF(L147&gt;=N147,0,1)</f>
        <v/>
      </c>
      <c r="DN147" s="376">
        <f>IF(O147&gt;=P147,0,1)</f>
        <v/>
      </c>
    </row>
    <row r="148">
      <c r="A148" s="8539" t="inlineStr">
        <is>
          <t>Donantes de organos y/o tejidos</t>
        </is>
      </c>
      <c r="B148" s="9870" t="n"/>
      <c r="C148" s="2465" t="n"/>
      <c r="D148" s="224" t="n"/>
      <c r="E148" s="2466" t="n"/>
      <c r="F148" s="2465" t="n"/>
      <c r="G148" s="224" t="n"/>
      <c r="H148" s="2466" t="n"/>
      <c r="I148" s="2465" t="n"/>
      <c r="J148" s="224" t="n"/>
      <c r="K148" s="2466" t="n"/>
      <c r="L148" s="2465" t="n"/>
      <c r="M148" s="224" t="n"/>
      <c r="N148" s="2466" t="n"/>
      <c r="O148" s="2465" t="n"/>
      <c r="P148" s="189" t="n"/>
      <c r="Q148" s="218">
        <f>$CA148&amp;CB148&amp;$CC148&amp;CD148&amp;$CE148&amp;CF148&amp;$CG148&amp;CH148&amp;$CI148</f>
        <v/>
      </c>
      <c r="R148" s="218" t="n"/>
      <c r="S148" s="218" t="n"/>
      <c r="T148" s="218" t="n"/>
      <c r="U148" s="218" t="n"/>
      <c r="V148" s="218" t="n"/>
      <c r="W148" s="218" t="n"/>
      <c r="X148" s="218" t="n"/>
      <c r="Y148" s="218" t="n"/>
      <c r="Z148" s="218" t="n"/>
      <c r="AA148" s="218" t="n"/>
      <c r="AB148" s="218" t="n"/>
      <c r="AC148" s="234" t="n"/>
      <c r="AD148" s="234" t="n"/>
      <c r="AE148" s="235" t="n"/>
      <c r="AF148" s="235" t="n"/>
      <c r="AG148" s="235" t="n"/>
      <c r="AH148" s="235" t="n"/>
      <c r="AI148" s="235" t="n"/>
      <c r="AJ148" s="235" t="n"/>
      <c r="AK148" s="235" t="n"/>
      <c r="AL148" s="235" t="n"/>
      <c r="AM148" s="235" t="n"/>
      <c r="AN148" s="235" t="n"/>
      <c r="AO148" s="235" t="n"/>
      <c r="AP148" s="235" t="n"/>
      <c r="AQ148" s="235" t="n"/>
      <c r="AR148" s="235" t="n"/>
      <c r="AS148" s="235" t="n"/>
      <c r="AT148" s="235" t="n"/>
      <c r="AU148" s="235" t="n"/>
      <c r="AV148" s="235" t="n"/>
      <c r="AW148" s="235" t="n"/>
      <c r="AX148" s="234" t="n"/>
      <c r="AY148" s="234" t="n"/>
      <c r="AZ148" s="234" t="n"/>
      <c r="BA148" s="234" t="n"/>
      <c r="BB148" s="234" t="n"/>
      <c r="BC148" s="234" t="n"/>
      <c r="BD148" s="234" t="n"/>
      <c r="BE148" s="234" t="n"/>
      <c r="BF148" s="234" t="n"/>
      <c r="BG148" s="234" t="n"/>
      <c r="BH148" s="234" t="n"/>
      <c r="BI148" s="234" t="n"/>
      <c r="BJ148" s="234" t="n"/>
      <c r="BK148" s="234" t="n"/>
      <c r="BL148" s="234" t="n"/>
      <c r="BM148" s="234" t="n"/>
      <c r="BN148" s="235" t="n"/>
      <c r="BO148" s="235" t="n"/>
      <c r="BP148" s="235" t="n"/>
      <c r="BQ148" s="235" t="n"/>
      <c r="BR148" s="235" t="n"/>
      <c r="BS148" s="235" t="n"/>
      <c r="BT148" s="235" t="n"/>
      <c r="BU148" s="235" t="n"/>
      <c r="BV148" s="234" t="n"/>
      <c r="BW148" s="234" t="n"/>
      <c r="BX148" s="373" t="n"/>
      <c r="BY148" s="373" t="n"/>
      <c r="BZ148" s="373" t="n"/>
      <c r="CA148" s="219">
        <f>IF(C148&gt;=D148,"","* Los Exámenes Reactivos de Hepatitis B NO DEBEN ser mayor a los Exámenes Procesados. ")</f>
        <v/>
      </c>
      <c r="CB148" s="219">
        <f>IF(C148&gt;=E148,"","* Los Exámenes Confirmados de Hepatitis B NO DEBEN ser mayor a los exámenes Procesados. ")</f>
        <v/>
      </c>
      <c r="CC148" s="219">
        <f>IF(F148&gt;=G148,"","* Los Exámenes Reactivos de Hepatitis C NO DEBEN ser mayor a los Exámenes Procesados. ")</f>
        <v/>
      </c>
      <c r="CD148" s="219">
        <f>IF(F148&gt;=H148,"","* Los Exámenes Confirmados de Hepatitis C NO DEBEN ser mayor a los Exámenes Procesados. ")</f>
        <v/>
      </c>
      <c r="CE148" s="219">
        <f>IF(I148&gt;=J148,"","* Los Exámenes Reactivos de CHAGAS NO DEBEN ser mayor a los Exámenes Procesados. ")</f>
        <v/>
      </c>
      <c r="CF148" s="219">
        <f>IF(I148&gt;=K148,"","* Los Exámenes Confirmados de CHAGAS NO DEBEN ser mayor a los Exámenes Procesados. ")</f>
        <v/>
      </c>
      <c r="CG148" s="219">
        <f>IF(L148&gt;=M148,"","* Los Exámenes Reactivos de HTLV1 NO DEBEN ser mayor a los Exámenes Procesados. ")</f>
        <v/>
      </c>
      <c r="CH148" s="219">
        <f>IF(L148&gt;=N148,"","* Los Exámenes Confirmados de HTLV1 NO DEBEN ser mayor a los Exámenes Procesados. ")</f>
        <v/>
      </c>
      <c r="CI148" s="219">
        <f>IF(O148&gt;=P148,"","* Los exámenes Reactivos de SIFILIS NO DEBEN ser mayor a los exámenes Procesados. ")</f>
        <v/>
      </c>
      <c r="CJ148" s="374" t="n"/>
      <c r="DF148" s="376">
        <f>IF(C148&gt;=D148,0,1)</f>
        <v/>
      </c>
      <c r="DG148" s="376">
        <f>IF(E148&gt;C148,1,0)</f>
        <v/>
      </c>
      <c r="DH148" s="376">
        <f>IF(F148&gt;=G148,0,1)</f>
        <v/>
      </c>
      <c r="DI148" s="376">
        <f>IF(F148&gt;=H148,0,1)</f>
        <v/>
      </c>
      <c r="DJ148" s="376">
        <f>IF(I148&gt;=J148,0,1)</f>
        <v/>
      </c>
      <c r="DK148" s="376">
        <f>IF(I148&gt;=K148,0,1)</f>
        <v/>
      </c>
      <c r="DL148" s="376">
        <f>IF(L148&gt;=M148,0,1)</f>
        <v/>
      </c>
      <c r="DM148" s="376">
        <f>IF(L148&gt;=N148,0,1)</f>
        <v/>
      </c>
      <c r="DN148" s="376">
        <f>IF(O148&gt;=P148,0,1)</f>
        <v/>
      </c>
    </row>
    <row r="149" ht="18" customFormat="1" customHeight="1" s="5">
      <c r="A149" s="10297" t="inlineStr">
        <is>
          <t>SECCIÓN B.2: EXÁMENES SEGÚN GRUPOS DE USUARIOS POR CONDICIÓN DE HEPATITIS B, HEPATITIS C, CHAGAS, HTLV 1 Y SIFILIS (USO EXCLUSIVO DE ESTABLECIMIENTOS QUE COMPRAN SERVICIO)</t>
        </is>
      </c>
      <c r="B149" s="10190" t="n"/>
      <c r="C149" s="10190" t="n"/>
      <c r="D149" s="10190" t="n"/>
      <c r="E149" s="10190" t="n"/>
      <c r="F149" s="10190" t="n"/>
      <c r="G149" s="10190" t="n"/>
      <c r="H149" s="10190" t="n"/>
      <c r="I149" s="10190" t="n"/>
      <c r="J149" s="10190" t="n"/>
      <c r="K149" s="10190" t="n"/>
      <c r="L149" s="10190" t="n"/>
      <c r="M149" s="10190" t="n"/>
      <c r="N149" s="10190" t="n"/>
      <c r="O149" s="10190" t="n"/>
      <c r="P149" s="10190" t="n"/>
    </row>
    <row r="150">
      <c r="A150" s="9939" t="inlineStr">
        <is>
          <t>GRUPO DE USUARIOS</t>
        </is>
      </c>
      <c r="B150" s="9630" t="n"/>
      <c r="C150" s="9977" t="inlineStr">
        <is>
          <t>HEPATITIS  B</t>
        </is>
      </c>
      <c r="D150" s="9584" t="n"/>
      <c r="E150" s="9582" t="n"/>
      <c r="F150" s="4505" t="inlineStr">
        <is>
          <t>HEPATITIS  C</t>
        </is>
      </c>
      <c r="G150" s="9584" t="n"/>
      <c r="H150" s="9647" t="n"/>
      <c r="I150" s="4505" t="inlineStr">
        <is>
          <t>CHAGAS</t>
        </is>
      </c>
      <c r="J150" s="9584" t="n"/>
      <c r="K150" s="9647" t="n"/>
      <c r="L150" s="4505" t="inlineStr">
        <is>
          <t>HTLV1</t>
        </is>
      </c>
      <c r="M150" s="9584" t="n"/>
      <c r="N150" s="9647" t="n"/>
      <c r="O150" s="9977" t="inlineStr">
        <is>
          <t>SÍFILIS</t>
        </is>
      </c>
      <c r="P150" s="9582" t="n"/>
    </row>
    <row r="151">
      <c r="A151" s="9638" t="n"/>
      <c r="B151" s="9639" t="n"/>
      <c r="C151" s="3132" t="inlineStr">
        <is>
          <t>Procesados</t>
        </is>
      </c>
      <c r="D151" s="3133" t="inlineStr">
        <is>
          <t>Reactivos</t>
        </is>
      </c>
      <c r="E151" s="3134" t="inlineStr">
        <is>
          <t>Confirmados</t>
        </is>
      </c>
      <c r="F151" s="3132" t="inlineStr">
        <is>
          <t>Procesados</t>
        </is>
      </c>
      <c r="G151" s="3133" t="inlineStr">
        <is>
          <t>Reactivos</t>
        </is>
      </c>
      <c r="H151" s="3134" t="inlineStr">
        <is>
          <t>Confirmados</t>
        </is>
      </c>
      <c r="I151" s="3132" t="inlineStr">
        <is>
          <t>Procesados</t>
        </is>
      </c>
      <c r="J151" s="3133" t="inlineStr">
        <is>
          <t>Reactivos</t>
        </is>
      </c>
      <c r="K151" s="3134" t="inlineStr">
        <is>
          <t>Confirmados</t>
        </is>
      </c>
      <c r="L151" s="3132" t="inlineStr">
        <is>
          <t>Procesados</t>
        </is>
      </c>
      <c r="M151" s="3133" t="inlineStr">
        <is>
          <t>Reactivos</t>
        </is>
      </c>
      <c r="N151" s="3134" t="inlineStr">
        <is>
          <t>Confirmados</t>
        </is>
      </c>
      <c r="O151" s="3132" t="inlineStr">
        <is>
          <t>Procesados</t>
        </is>
      </c>
      <c r="P151" s="3135" t="inlineStr">
        <is>
          <t>Reactivos</t>
        </is>
      </c>
    </row>
    <row r="152">
      <c r="A152" s="10299" t="inlineStr">
        <is>
          <t>Usuarios</t>
        </is>
      </c>
      <c r="B152" s="9804" t="n"/>
      <c r="C152" s="3123" t="n"/>
      <c r="D152" s="3124" t="n"/>
      <c r="E152" s="3125" t="n"/>
      <c r="F152" s="3123" t="n"/>
      <c r="G152" s="3124" t="n"/>
      <c r="H152" s="3125" t="n"/>
      <c r="I152" s="3123" t="n"/>
      <c r="J152" s="3124" t="n"/>
      <c r="K152" s="3125" t="n"/>
      <c r="L152" s="3123" t="n"/>
      <c r="M152" s="3124" t="n"/>
      <c r="N152" s="3125" t="n"/>
      <c r="O152" s="3123" t="n"/>
      <c r="P152" s="3126" t="n"/>
      <c r="Q152" s="218">
        <f>$CA152&amp;CB152&amp;$CC152&amp;CD152&amp;$CE152&amp;CF152&amp;$CG152&amp;CH152&amp;$CI152</f>
        <v/>
      </c>
      <c r="R152" s="218" t="n"/>
      <c r="S152" s="218" t="n"/>
      <c r="T152" s="218" t="n"/>
      <c r="U152" s="218" t="n"/>
      <c r="V152" s="218" t="n"/>
      <c r="W152" s="218" t="n"/>
      <c r="X152" s="218" t="n"/>
      <c r="Y152" s="218" t="n"/>
      <c r="Z152" s="218" t="n"/>
      <c r="AA152" s="218" t="n"/>
      <c r="AB152" s="218" t="n"/>
      <c r="AC152" s="234" t="n"/>
      <c r="AD152" s="234" t="n"/>
      <c r="AE152" s="235" t="n"/>
      <c r="AF152" s="235" t="n"/>
      <c r="AG152" s="235" t="n"/>
      <c r="AH152" s="235" t="n"/>
      <c r="AI152" s="235" t="n"/>
      <c r="AJ152" s="235" t="n"/>
      <c r="AK152" s="235" t="n"/>
      <c r="AL152" s="235" t="n"/>
      <c r="AM152" s="235" t="n"/>
      <c r="AN152" s="235" t="n"/>
      <c r="AO152" s="235" t="n"/>
      <c r="AP152" s="235" t="n"/>
      <c r="AQ152" s="235" t="n"/>
      <c r="AR152" s="235" t="n"/>
      <c r="AS152" s="235" t="n"/>
      <c r="AT152" s="235" t="n"/>
      <c r="AU152" s="235" t="n"/>
      <c r="AV152" s="235" t="n"/>
      <c r="AW152" s="235" t="n"/>
      <c r="AX152" s="234" t="n"/>
      <c r="AY152" s="234" t="n"/>
      <c r="AZ152" s="234" t="n"/>
      <c r="BA152" s="234" t="n"/>
      <c r="BB152" s="234" t="n"/>
      <c r="BC152" s="234" t="n"/>
      <c r="BD152" s="234" t="n"/>
      <c r="BE152" s="234" t="n"/>
      <c r="BF152" s="234" t="n"/>
      <c r="BG152" s="234" t="n"/>
      <c r="BH152" s="234" t="n"/>
      <c r="BI152" s="234" t="n"/>
      <c r="BJ152" s="234" t="n"/>
      <c r="BK152" s="234" t="n"/>
      <c r="BL152" s="234" t="n"/>
      <c r="BM152" s="234" t="n"/>
      <c r="BN152" s="235" t="n"/>
      <c r="BO152" s="235" t="n"/>
      <c r="BP152" s="235" t="n"/>
      <c r="BQ152" s="235" t="n"/>
      <c r="BR152" s="235" t="n"/>
      <c r="BS152" s="235" t="n"/>
      <c r="BT152" s="235" t="n"/>
      <c r="BU152" s="235" t="n"/>
      <c r="BV152" s="234" t="n"/>
      <c r="BW152" s="234" t="n"/>
      <c r="BX152" s="373" t="n"/>
      <c r="BY152" s="373" t="n"/>
      <c r="BZ152" s="373" t="n"/>
      <c r="CA152" s="219">
        <f>IF(C152&gt;=D152,"","* Los Exámenes Reactivos de Hepatitis B NO DEBEN ser mayor a los Exámenes Procesados. ")</f>
        <v/>
      </c>
      <c r="CB152" s="219">
        <f>IF(C152&gt;=E152,"","* Los Exámenes Confirmados de Hepatitis B NO DEBEN ser mayor a los exámenes Procesados. ")</f>
        <v/>
      </c>
      <c r="CC152" s="219">
        <f>IF(F152&gt;=G152,"","* Los Exámenes Reactivos de Hepatitis C NO DEBEN ser mayor a los Exámenes Procesados. ")</f>
        <v/>
      </c>
      <c r="CD152" s="219">
        <f>IF(F152&gt;=H152,"","* Los Exámenes Confirmados de Hepatitis C NO DEBEN ser mayor a los Exámenes Procesados. ")</f>
        <v/>
      </c>
      <c r="CE152" s="219">
        <f>IF(I152&gt;=J152,"","* Los Exámenes Reactivos de CHAGAS NO DEBEN ser mayor a los Exámenes Procesados. ")</f>
        <v/>
      </c>
      <c r="CF152" s="219">
        <f>IF(I152&gt;=K152,"","* Los Exámenes Confirmados de CHAGAS NO DEBEN ser mayor a los Exámenes Procesados. ")</f>
        <v/>
      </c>
      <c r="CG152" s="219">
        <f>IF(L152&gt;=M152,"","* Los Exámenes Reactivos de HTLV1 NO DEBEN ser mayor a los Exámenes Procesados. ")</f>
        <v/>
      </c>
      <c r="CH152" s="219">
        <f>IF(L152&gt;=N152,"","* Los Exámenes Confirmados de HTLV1 NO DEBEN ser mayor a los Exámenes Procesados. ")</f>
        <v/>
      </c>
      <c r="CI152" s="219">
        <f>IF(O152&gt;=P152,"","* Los exámenes Reactivos de SIFILIS NO DEBEN ser mayor a los exámenes Procesados. ")</f>
        <v/>
      </c>
      <c r="CJ152" s="374" t="n"/>
      <c r="DF152" s="376">
        <f>IF(C152&gt;=D152,0,1)</f>
        <v/>
      </c>
      <c r="DG152" s="376">
        <f>IF(E152&gt;C152,1,0)</f>
        <v/>
      </c>
      <c r="DH152" s="376">
        <f>IF(F152&gt;=G152,0,1)</f>
        <v/>
      </c>
      <c r="DI152" s="376">
        <f>IF(F152&gt;=H152,0,1)</f>
        <v/>
      </c>
      <c r="DJ152" s="376">
        <f>IF(I152&gt;=J152,0,1)</f>
        <v/>
      </c>
      <c r="DK152" s="376">
        <f>IF(I152&gt;=K152,0,1)</f>
        <v/>
      </c>
      <c r="DL152" s="376">
        <f>IF(L152&gt;=M152,0,1)</f>
        <v/>
      </c>
      <c r="DM152" s="376">
        <f>IF(L152&gt;=N152,0,1)</f>
        <v/>
      </c>
      <c r="DN152" s="376">
        <f>IF(O152&gt;=P152,0,1)</f>
        <v/>
      </c>
    </row>
    <row r="153">
      <c r="A153" s="4244" t="inlineStr">
        <is>
          <t>Donantes</t>
        </is>
      </c>
      <c r="B153" s="3136" t="inlineStr">
        <is>
          <t>Altruista nuevo</t>
        </is>
      </c>
      <c r="C153" s="3128" t="n"/>
      <c r="D153" s="3129" t="n"/>
      <c r="E153" s="3130" t="n"/>
      <c r="F153" s="3128" t="n"/>
      <c r="G153" s="3129" t="n"/>
      <c r="H153" s="3130" t="n"/>
      <c r="I153" s="3128" t="n"/>
      <c r="J153" s="3129" t="n"/>
      <c r="K153" s="3130" t="n"/>
      <c r="L153" s="3128" t="n"/>
      <c r="M153" s="3129" t="n"/>
      <c r="N153" s="3130" t="n"/>
      <c r="O153" s="3128" t="n"/>
      <c r="P153" s="3131" t="n"/>
      <c r="Q153" s="218">
        <f>$CA153&amp;CB153&amp;$CC153&amp;CD153&amp;$CE153&amp;CF153&amp;$CG153&amp;CH153&amp;$CI153</f>
        <v/>
      </c>
      <c r="R153" s="218" t="n"/>
      <c r="S153" s="218" t="n"/>
      <c r="T153" s="218" t="n"/>
      <c r="U153" s="218" t="n"/>
      <c r="V153" s="218" t="n"/>
      <c r="W153" s="218" t="n"/>
      <c r="X153" s="218" t="n"/>
      <c r="Y153" s="218" t="n"/>
      <c r="Z153" s="218" t="n"/>
      <c r="AA153" s="218" t="n"/>
      <c r="AB153" s="218" t="n"/>
      <c r="AC153" s="234" t="n"/>
      <c r="AD153" s="234" t="n"/>
      <c r="AE153" s="235" t="n"/>
      <c r="AF153" s="235" t="n"/>
      <c r="AG153" s="235" t="n"/>
      <c r="AH153" s="235" t="n"/>
      <c r="AI153" s="235" t="n"/>
      <c r="AJ153" s="235" t="n"/>
      <c r="AK153" s="235" t="n"/>
      <c r="AL153" s="235" t="n"/>
      <c r="AM153" s="235" t="n"/>
      <c r="AN153" s="235" t="n"/>
      <c r="AO153" s="235" t="n"/>
      <c r="AP153" s="235" t="n"/>
      <c r="AQ153" s="235" t="n"/>
      <c r="AR153" s="235" t="n"/>
      <c r="AS153" s="235" t="n"/>
      <c r="AT153" s="235" t="n"/>
      <c r="AU153" s="235" t="n"/>
      <c r="AV153" s="235" t="n"/>
      <c r="AW153" s="235" t="n"/>
      <c r="AX153" s="234" t="n"/>
      <c r="AY153" s="234" t="n"/>
      <c r="AZ153" s="234" t="n"/>
      <c r="BA153" s="234" t="n"/>
      <c r="BB153" s="234" t="n"/>
      <c r="BC153" s="234" t="n"/>
      <c r="BD153" s="234" t="n"/>
      <c r="BE153" s="234" t="n"/>
      <c r="BF153" s="234" t="n"/>
      <c r="BG153" s="234" t="n"/>
      <c r="BH153" s="234" t="n"/>
      <c r="BI153" s="234" t="n"/>
      <c r="BJ153" s="234" t="n"/>
      <c r="BK153" s="234" t="n"/>
      <c r="BL153" s="234" t="n"/>
      <c r="BM153" s="234" t="n"/>
      <c r="BN153" s="235" t="n"/>
      <c r="BO153" s="235" t="n"/>
      <c r="BP153" s="235" t="n"/>
      <c r="BQ153" s="235" t="n"/>
      <c r="BR153" s="235" t="n"/>
      <c r="BS153" s="235" t="n"/>
      <c r="BT153" s="235" t="n"/>
      <c r="BU153" s="235" t="n"/>
      <c r="BV153" s="234" t="n"/>
      <c r="BW153" s="234" t="n"/>
      <c r="BX153" s="373" t="n"/>
      <c r="BY153" s="373" t="n"/>
      <c r="BZ153" s="373" t="n"/>
      <c r="CA153" s="219">
        <f>IF(C153&gt;=D153,"","* Los Exámenes Reactivos de Hepatitis B NO DEBEN ser mayor a los Exámenes Procesados. ")</f>
        <v/>
      </c>
      <c r="CB153" s="219">
        <f>IF(C153&gt;=E153,"","* Los Exámenes Confirmados de Hepatitis B NO DEBEN ser mayor a los exámenes Procesados. ")</f>
        <v/>
      </c>
      <c r="CC153" s="219">
        <f>IF(F153&gt;=G153,"","* Los Exámenes Reactivos de Hepatitis C NO DEBEN ser mayor a los Exámenes Procesados. ")</f>
        <v/>
      </c>
      <c r="CD153" s="219">
        <f>IF(F153&gt;=H153,"","* Los Exámenes Confirmados de Hepatitis C NO DEBEN ser mayor a los Exámenes Procesados. ")</f>
        <v/>
      </c>
      <c r="CE153" s="219">
        <f>IF(I153&gt;=J153,"","* Los Exámenes Reactivos de CHAGAS NO DEBEN ser mayor a los Exámenes Procesados. ")</f>
        <v/>
      </c>
      <c r="CF153" s="219">
        <f>IF(I153&gt;=K153,"","* Los Exámenes Confirmados de CHAGAS NO DEBEN ser mayor a los Exámenes Procesados. ")</f>
        <v/>
      </c>
      <c r="CG153" s="219">
        <f>IF(L153&gt;=M153,"","* Los Exámenes Reactivos de HTLV1 NO DEBEN ser mayor a los Exámenes Procesados. ")</f>
        <v/>
      </c>
      <c r="CH153" s="219">
        <f>IF(L153&gt;=N153,"","* Los Exámenes Confirmados de HTLV1 NO DEBEN ser mayor a los Exámenes Procesados. ")</f>
        <v/>
      </c>
      <c r="CI153" s="219">
        <f>IF(O153&gt;=P153,"","* Los exámenes Reactivos de SIFILIS NO DEBEN ser mayor a los exámenes Procesados. ")</f>
        <v/>
      </c>
      <c r="CJ153" s="374" t="n"/>
      <c r="DF153" s="376">
        <f>IF(C153&gt;=D153,0,1)</f>
        <v/>
      </c>
      <c r="DG153" s="376">
        <f>IF(E153&gt;C153,1,0)</f>
        <v/>
      </c>
      <c r="DH153" s="376">
        <f>IF(F153&gt;=G153,0,1)</f>
        <v/>
      </c>
      <c r="DI153" s="376">
        <f>IF(F153&gt;=H153,0,1)</f>
        <v/>
      </c>
      <c r="DJ153" s="376">
        <f>IF(I153&gt;=J153,0,1)</f>
        <v/>
      </c>
      <c r="DK153" s="376">
        <f>IF(I153&gt;=K153,0,1)</f>
        <v/>
      </c>
      <c r="DL153" s="376">
        <f>IF(L153&gt;=M153,0,1)</f>
        <v/>
      </c>
      <c r="DM153" s="376">
        <f>IF(L153&gt;=N153,0,1)</f>
        <v/>
      </c>
      <c r="DN153" s="376">
        <f>IF(O153&gt;=P153,0,1)</f>
        <v/>
      </c>
    </row>
    <row r="154">
      <c r="A154" s="10125" t="n"/>
      <c r="B154" s="3137" t="inlineStr">
        <is>
          <t>Altruista repetido</t>
        </is>
      </c>
      <c r="C154" s="1971" t="n"/>
      <c r="D154" s="747" t="n"/>
      <c r="E154" s="1122" t="n"/>
      <c r="F154" s="1971" t="n"/>
      <c r="G154" s="747" t="n"/>
      <c r="H154" s="1122" t="n"/>
      <c r="I154" s="1971" t="n"/>
      <c r="J154" s="747" t="n"/>
      <c r="K154" s="1122" t="n"/>
      <c r="L154" s="1971" t="n"/>
      <c r="M154" s="747" t="n"/>
      <c r="N154" s="1122" t="n"/>
      <c r="O154" s="1971" t="n"/>
      <c r="P154" s="750" t="n"/>
      <c r="Q154" s="218">
        <f>$CA154&amp;CB154&amp;$CC154&amp;CD154&amp;$CE154&amp;CF154&amp;$CG154&amp;CH154&amp;$CI154</f>
        <v/>
      </c>
      <c r="R154" s="218" t="n"/>
      <c r="S154" s="218" t="n"/>
      <c r="T154" s="218" t="n"/>
      <c r="U154" s="218" t="n"/>
      <c r="V154" s="218" t="n"/>
      <c r="W154" s="218" t="n"/>
      <c r="X154" s="218" t="n"/>
      <c r="Y154" s="218" t="n"/>
      <c r="Z154" s="218" t="n"/>
      <c r="AA154" s="218" t="n"/>
      <c r="AB154" s="218" t="n"/>
      <c r="AC154" s="234" t="n"/>
      <c r="AD154" s="234" t="n"/>
      <c r="AE154" s="235" t="n"/>
      <c r="AF154" s="235" t="n"/>
      <c r="AG154" s="235" t="n"/>
      <c r="AH154" s="235" t="n"/>
      <c r="AI154" s="235" t="n"/>
      <c r="AJ154" s="235" t="n"/>
      <c r="AK154" s="235" t="n"/>
      <c r="AL154" s="235" t="n"/>
      <c r="AM154" s="235" t="n"/>
      <c r="AN154" s="235" t="n"/>
      <c r="AO154" s="235" t="n"/>
      <c r="AP154" s="235" t="n"/>
      <c r="AQ154" s="235" t="n"/>
      <c r="AR154" s="235" t="n"/>
      <c r="AS154" s="235" t="n"/>
      <c r="AT154" s="235" t="n"/>
      <c r="AU154" s="235" t="n"/>
      <c r="AV154" s="235" t="n"/>
      <c r="AW154" s="235" t="n"/>
      <c r="AX154" s="234" t="n"/>
      <c r="AY154" s="234" t="n"/>
      <c r="AZ154" s="234" t="n"/>
      <c r="BA154" s="234" t="n"/>
      <c r="BB154" s="234" t="n"/>
      <c r="BC154" s="234" t="n"/>
      <c r="BD154" s="234" t="n"/>
      <c r="BE154" s="234" t="n"/>
      <c r="BF154" s="234" t="n"/>
      <c r="BG154" s="234" t="n"/>
      <c r="BH154" s="234" t="n"/>
      <c r="BI154" s="234" t="n"/>
      <c r="BJ154" s="234" t="n"/>
      <c r="BK154" s="234" t="n"/>
      <c r="BL154" s="234" t="n"/>
      <c r="BM154" s="234" t="n"/>
      <c r="BN154" s="235" t="n"/>
      <c r="BO154" s="235" t="n"/>
      <c r="BP154" s="235" t="n"/>
      <c r="BQ154" s="235" t="n"/>
      <c r="BR154" s="235" t="n"/>
      <c r="BS154" s="235" t="n"/>
      <c r="BT154" s="235" t="n"/>
      <c r="BU154" s="235" t="n"/>
      <c r="BV154" s="234" t="n"/>
      <c r="BW154" s="234" t="n"/>
      <c r="BX154" s="373" t="n"/>
      <c r="BY154" s="373" t="n"/>
      <c r="BZ154" s="373" t="n"/>
      <c r="CA154" s="219">
        <f>IF(C154&gt;=D154,"","* Los Exámenes Reactivos de Hepatitis B NO DEBEN ser mayor a los Exámenes Procesados. ")</f>
        <v/>
      </c>
      <c r="CB154" s="219">
        <f>IF(C154&gt;=E154,"","* Los Exámenes Confirmados de Hepatitis B NO DEBEN ser mayor a los exámenes Procesados. ")</f>
        <v/>
      </c>
      <c r="CC154" s="219">
        <f>IF(F154&gt;=G154,"","* Los Exámenes Reactivos de Hepatitis C NO DEBEN ser mayor a los Exámenes Procesados. ")</f>
        <v/>
      </c>
      <c r="CD154" s="219">
        <f>IF(F154&gt;=H154,"","* Los Exámenes Confirmados de Hepatitis C NO DEBEN ser mayor a los Exámenes Procesados. ")</f>
        <v/>
      </c>
      <c r="CE154" s="219">
        <f>IF(I154&gt;=J154,"","* Los Exámenes Reactivos de CHAGAS NO DEBEN ser mayor a los Exámenes Procesados. ")</f>
        <v/>
      </c>
      <c r="CF154" s="219">
        <f>IF(I154&gt;=K154,"","* Los Exámenes Confirmados de CHAGAS NO DEBEN ser mayor a los Exámenes Procesados. ")</f>
        <v/>
      </c>
      <c r="CG154" s="219">
        <f>IF(L154&gt;=M154,"","* Los Exámenes Reactivos de HTLV1 NO DEBEN ser mayor a los Exámenes Procesados. ")</f>
        <v/>
      </c>
      <c r="CH154" s="219">
        <f>IF(L154&gt;=N154,"","* Los Exámenes Confirmados de HTLV1 NO DEBEN ser mayor a los Exámenes Procesados. ")</f>
        <v/>
      </c>
      <c r="CI154" s="219">
        <f>IF(O154&gt;=P154,"","* Los exámenes Reactivos de SIFILIS NO DEBEN ser mayor a los exámenes Procesados. ")</f>
        <v/>
      </c>
      <c r="CJ154" s="374" t="n"/>
      <c r="DF154" s="376">
        <f>IF(C154&gt;=D154,0,1)</f>
        <v/>
      </c>
      <c r="DG154" s="376">
        <f>IF(E154&gt;C154,1,0)</f>
        <v/>
      </c>
      <c r="DH154" s="376">
        <f>IF(F154&gt;=G154,0,1)</f>
        <v/>
      </c>
      <c r="DI154" s="376">
        <f>IF(F154&gt;=H154,0,1)</f>
        <v/>
      </c>
      <c r="DJ154" s="376">
        <f>IF(I154&gt;=J154,0,1)</f>
        <v/>
      </c>
      <c r="DK154" s="376">
        <f>IF(I154&gt;=K154,0,1)</f>
        <v/>
      </c>
      <c r="DL154" s="376">
        <f>IF(L154&gt;=M154,0,1)</f>
        <v/>
      </c>
      <c r="DM154" s="376">
        <f>IF(L154&gt;=N154,0,1)</f>
        <v/>
      </c>
      <c r="DN154" s="376">
        <f>IF(O154&gt;=P154,0,1)</f>
        <v/>
      </c>
    </row>
    <row r="155">
      <c r="A155" s="10124" t="n"/>
      <c r="B155" s="2685" t="inlineStr">
        <is>
          <t>Familiar o Reposición</t>
        </is>
      </c>
      <c r="C155" s="2465" t="n"/>
      <c r="D155" s="224" t="n"/>
      <c r="E155" s="2466" t="n"/>
      <c r="F155" s="2465" t="n"/>
      <c r="G155" s="224" t="n"/>
      <c r="H155" s="2466" t="n"/>
      <c r="I155" s="2465" t="n"/>
      <c r="J155" s="224" t="n"/>
      <c r="K155" s="2466" t="n"/>
      <c r="L155" s="2465" t="n"/>
      <c r="M155" s="224" t="n"/>
      <c r="N155" s="2466" t="n"/>
      <c r="O155" s="2465" t="n"/>
      <c r="P155" s="189" t="n"/>
      <c r="Q155" s="218">
        <f>$CA155&amp;CB155&amp;$CC155&amp;CD155&amp;$CE155&amp;CF155&amp;$CG155&amp;CH155&amp;$CI155</f>
        <v/>
      </c>
      <c r="R155" s="218" t="n"/>
      <c r="S155" s="218" t="n"/>
      <c r="T155" s="218" t="n"/>
      <c r="U155" s="218" t="n"/>
      <c r="V155" s="218" t="n"/>
      <c r="W155" s="218" t="n"/>
      <c r="X155" s="218" t="n"/>
      <c r="Y155" s="218" t="n"/>
      <c r="Z155" s="218" t="n"/>
      <c r="AA155" s="218" t="n"/>
      <c r="AB155" s="218" t="n"/>
      <c r="AC155" s="234" t="n"/>
      <c r="AD155" s="234" t="n"/>
      <c r="AE155" s="235" t="n"/>
      <c r="AF155" s="235" t="n"/>
      <c r="AG155" s="235" t="n"/>
      <c r="AH155" s="235" t="n"/>
      <c r="AI155" s="235" t="n"/>
      <c r="AJ155" s="235" t="n"/>
      <c r="AK155" s="235" t="n"/>
      <c r="AL155" s="235" t="n"/>
      <c r="AM155" s="235" t="n"/>
      <c r="AN155" s="235" t="n"/>
      <c r="AO155" s="235" t="n"/>
      <c r="AP155" s="235" t="n"/>
      <c r="AQ155" s="235" t="n"/>
      <c r="AR155" s="235" t="n"/>
      <c r="AS155" s="235" t="n"/>
      <c r="AT155" s="235" t="n"/>
      <c r="AU155" s="235" t="n"/>
      <c r="AV155" s="235" t="n"/>
      <c r="AW155" s="235" t="n"/>
      <c r="AX155" s="234" t="n"/>
      <c r="AY155" s="234" t="n"/>
      <c r="AZ155" s="234" t="n"/>
      <c r="BA155" s="234" t="n"/>
      <c r="BB155" s="234" t="n"/>
      <c r="BC155" s="234" t="n"/>
      <c r="BD155" s="234" t="n"/>
      <c r="BE155" s="234" t="n"/>
      <c r="BF155" s="234" t="n"/>
      <c r="BG155" s="234" t="n"/>
      <c r="BH155" s="234" t="n"/>
      <c r="BI155" s="234" t="n"/>
      <c r="BJ155" s="234" t="n"/>
      <c r="BK155" s="234" t="n"/>
      <c r="BL155" s="234" t="n"/>
      <c r="BM155" s="234" t="n"/>
      <c r="BN155" s="235" t="n"/>
      <c r="BO155" s="235" t="n"/>
      <c r="BP155" s="235" t="n"/>
      <c r="BQ155" s="235" t="n"/>
      <c r="BR155" s="235" t="n"/>
      <c r="BS155" s="235" t="n"/>
      <c r="BT155" s="235" t="n"/>
      <c r="BU155" s="235" t="n"/>
      <c r="BV155" s="234" t="n"/>
      <c r="BW155" s="234" t="n"/>
      <c r="BX155" s="373" t="n"/>
      <c r="BY155" s="373" t="n"/>
      <c r="BZ155" s="373" t="n"/>
      <c r="CA155" s="219">
        <f>IF(C155&gt;=D155,"","* Los Exámenes Reactivos de Hepatitis B NO DEBEN ser mayor a los Exámenes Procesados. ")</f>
        <v/>
      </c>
      <c r="CB155" s="219">
        <f>IF(C155&gt;=E155,"","* Los Exámenes Confirmados de Hepatitis B NO DEBEN ser mayor a los exámenes Procesados. ")</f>
        <v/>
      </c>
      <c r="CC155" s="219">
        <f>IF(F155&gt;=G155,"","* Los Exámenes Reactivos de Hepatitis C NO DEBEN ser mayor a los Exámenes Procesados. ")</f>
        <v/>
      </c>
      <c r="CD155" s="219">
        <f>IF(F155&gt;=H155,"","* Los Exámenes Confirmados de Hepatitis C NO DEBEN ser mayor a los Exámenes Procesados. ")</f>
        <v/>
      </c>
      <c r="CE155" s="219">
        <f>IF(I155&gt;=J155,"","* Los Exámenes Reactivos de CHAGAS NO DEBEN ser mayor a los Exámenes Procesados. ")</f>
        <v/>
      </c>
      <c r="CF155" s="219">
        <f>IF(I155&gt;=K155,"","* Los Exámenes Confirmados de CHAGAS NO DEBEN ser mayor a los Exámenes Procesados. ")</f>
        <v/>
      </c>
      <c r="CG155" s="219">
        <f>IF(L155&gt;=M155,"","* Los Exámenes Reactivos de HTLV1 NO DEBEN ser mayor a los Exámenes Procesados. ")</f>
        <v/>
      </c>
      <c r="CH155" s="219">
        <f>IF(L155&gt;=N155,"","* Los Exámenes Confirmados de HTLV1 NO DEBEN ser mayor a los Exámenes Procesados. ")</f>
        <v/>
      </c>
      <c r="CI155" s="219">
        <f>IF(O155&gt;=P155,"","* Los exámenes Reactivos de SIFILIS NO DEBEN ser mayor a los exámenes Procesados. ")</f>
        <v/>
      </c>
      <c r="CJ155" s="374" t="n"/>
      <c r="DF155" s="376">
        <f>IF(C155&gt;=D155,0,1)</f>
        <v/>
      </c>
      <c r="DG155" s="376">
        <f>IF(E155&gt;C155,1,0)</f>
        <v/>
      </c>
      <c r="DH155" s="376">
        <f>IF(F155&gt;=G155,0,1)</f>
        <v/>
      </c>
      <c r="DI155" s="376">
        <f>IF(F155&gt;=H155,0,1)</f>
        <v/>
      </c>
      <c r="DJ155" s="376">
        <f>IF(I155&gt;=J155,0,1)</f>
        <v/>
      </c>
      <c r="DK155" s="376">
        <f>IF(I155&gt;=K155,0,1)</f>
        <v/>
      </c>
      <c r="DL155" s="376">
        <f>IF(L155&gt;=M155,0,1)</f>
        <v/>
      </c>
      <c r="DM155" s="376">
        <f>IF(L155&gt;=N155,0,1)</f>
        <v/>
      </c>
      <c r="DN155" s="376">
        <f>IF(O155&gt;=P155,0,1)</f>
        <v/>
      </c>
    </row>
    <row r="156">
      <c r="A156" s="8543" t="inlineStr">
        <is>
          <t>Donantes de organos y/o tejidos</t>
        </is>
      </c>
      <c r="B156" s="9870" t="n"/>
      <c r="C156" s="2465" t="n"/>
      <c r="D156" s="224" t="n"/>
      <c r="E156" s="2466" t="n"/>
      <c r="F156" s="2465" t="n"/>
      <c r="G156" s="224" t="n"/>
      <c r="H156" s="2466" t="n"/>
      <c r="I156" s="2465" t="n"/>
      <c r="J156" s="224" t="n"/>
      <c r="K156" s="2466" t="n"/>
      <c r="L156" s="2465" t="n"/>
      <c r="M156" s="224" t="n"/>
      <c r="N156" s="2466" t="n"/>
      <c r="O156" s="2465" t="n"/>
      <c r="P156" s="189" t="n"/>
      <c r="Q156" s="218">
        <f>$CA156&amp;CB156&amp;$CC156&amp;CD156&amp;$CE156&amp;CF156&amp;$CG156&amp;CH156&amp;$CI156</f>
        <v/>
      </c>
      <c r="R156" s="218" t="n"/>
      <c r="S156" s="218" t="n"/>
      <c r="T156" s="218" t="n"/>
      <c r="U156" s="218" t="n"/>
      <c r="V156" s="218" t="n"/>
      <c r="W156" s="218" t="n"/>
      <c r="X156" s="218" t="n"/>
      <c r="Y156" s="218" t="n"/>
      <c r="Z156" s="218" t="n"/>
      <c r="AA156" s="218" t="n"/>
      <c r="AB156" s="218" t="n"/>
      <c r="AC156" s="234" t="n"/>
      <c r="AD156" s="234" t="n"/>
      <c r="AE156" s="235" t="n"/>
      <c r="AF156" s="235" t="n"/>
      <c r="AG156" s="235" t="n"/>
      <c r="AH156" s="235" t="n"/>
      <c r="AI156" s="235" t="n"/>
      <c r="AJ156" s="235" t="n"/>
      <c r="AK156" s="235" t="n"/>
      <c r="AL156" s="235" t="n"/>
      <c r="AM156" s="235" t="n"/>
      <c r="AN156" s="235" t="n"/>
      <c r="AO156" s="235" t="n"/>
      <c r="AP156" s="235" t="n"/>
      <c r="AQ156" s="235" t="n"/>
      <c r="AR156" s="235" t="n"/>
      <c r="AS156" s="235" t="n"/>
      <c r="AT156" s="235" t="n"/>
      <c r="AU156" s="235" t="n"/>
      <c r="AV156" s="235" t="n"/>
      <c r="AW156" s="235" t="n"/>
      <c r="AX156" s="234" t="n"/>
      <c r="AY156" s="234" t="n"/>
      <c r="AZ156" s="234" t="n"/>
      <c r="BA156" s="234" t="n"/>
      <c r="BB156" s="234" t="n"/>
      <c r="BC156" s="234" t="n"/>
      <c r="BD156" s="234" t="n"/>
      <c r="BE156" s="234" t="n"/>
      <c r="BF156" s="234" t="n"/>
      <c r="BG156" s="234" t="n"/>
      <c r="BH156" s="234" t="n"/>
      <c r="BI156" s="234" t="n"/>
      <c r="BJ156" s="234" t="n"/>
      <c r="BK156" s="234" t="n"/>
      <c r="BL156" s="234" t="n"/>
      <c r="BM156" s="234" t="n"/>
      <c r="BN156" s="235" t="n"/>
      <c r="BO156" s="235" t="n"/>
      <c r="BP156" s="235" t="n"/>
      <c r="BQ156" s="235" t="n"/>
      <c r="BR156" s="235" t="n"/>
      <c r="BS156" s="235" t="n"/>
      <c r="BT156" s="235" t="n"/>
      <c r="BU156" s="235" t="n"/>
      <c r="BV156" s="234" t="n"/>
      <c r="BW156" s="234" t="n"/>
      <c r="BX156" s="373" t="n"/>
      <c r="BY156" s="373" t="n"/>
      <c r="BZ156" s="373" t="n"/>
      <c r="CA156" s="219">
        <f>IF(C156&gt;=D156,"","* Los Exámenes Reactivos de Hepatitis B NO DEBEN ser mayor a los Exámenes Procesados. ")</f>
        <v/>
      </c>
      <c r="CB156" s="219">
        <f>IF(C156&gt;=E156,"","* Los Exámenes Confirmados de Hepatitis B NO DEBEN ser mayor a los exámenes Procesados. ")</f>
        <v/>
      </c>
      <c r="CC156" s="219">
        <f>IF(F156&gt;=G156,"","* Los Exámenes Reactivos de Hepatitis C NO DEBEN ser mayor a los Exámenes Procesados. ")</f>
        <v/>
      </c>
      <c r="CD156" s="219">
        <f>IF(F156&gt;=H156,"","* Los Exámenes Confirmados de Hepatitis C NO DEBEN ser mayor a los Exámenes Procesados. ")</f>
        <v/>
      </c>
      <c r="CE156" s="219">
        <f>IF(I156&gt;=J156,"","* Los Exámenes Reactivos de CHAGAS NO DEBEN ser mayor a los Exámenes Procesados. ")</f>
        <v/>
      </c>
      <c r="CF156" s="219">
        <f>IF(I156&gt;=K156,"","* Los Exámenes Confirmados de CHAGAS NO DEBEN ser mayor a los Exámenes Procesados. ")</f>
        <v/>
      </c>
      <c r="CG156" s="219">
        <f>IF(L156&gt;=M156,"","* Los Exámenes Reactivos de HTLV1 NO DEBEN ser mayor a los Exámenes Procesados. ")</f>
        <v/>
      </c>
      <c r="CH156" s="219">
        <f>IF(L156&gt;=N156,"","* Los Exámenes Confirmados de HTLV1 NO DEBEN ser mayor a los Exámenes Procesados. ")</f>
        <v/>
      </c>
      <c r="CI156" s="219">
        <f>IF(O156&gt;=P156,"","* Los exámenes Reactivos de SIFILIS NO DEBEN ser mayor a los exámenes Procesados. ")</f>
        <v/>
      </c>
      <c r="CJ156" s="374" t="n"/>
      <c r="DF156" s="376">
        <f>IF(C156&gt;=D156,0,1)</f>
        <v/>
      </c>
      <c r="DG156" s="376">
        <f>IF(E156&gt;C156,1,0)</f>
        <v/>
      </c>
      <c r="DH156" s="376">
        <f>IF(F156&gt;=G156,0,1)</f>
        <v/>
      </c>
      <c r="DI156" s="376">
        <f>IF(F156&gt;=H156,0,1)</f>
        <v/>
      </c>
      <c r="DJ156" s="376">
        <f>IF(I156&gt;=J156,0,1)</f>
        <v/>
      </c>
      <c r="DK156" s="376">
        <f>IF(I156&gt;=K156,0,1)</f>
        <v/>
      </c>
      <c r="DL156" s="376">
        <f>IF(L156&gt;=M156,0,1)</f>
        <v/>
      </c>
      <c r="DM156" s="376">
        <f>IF(L156&gt;=N156,0,1)</f>
        <v/>
      </c>
      <c r="DN156" s="376">
        <f>IF(O156&gt;=P156,0,1)</f>
        <v/>
      </c>
    </row>
    <row r="157" ht="18" customHeight="1" s="8286">
      <c r="A157" s="10297" t="inlineStr">
        <is>
          <t>SECCIÓN C.1: EXÁMENES  DE  VIH POR GRUPOS DE USUARIOS (USO EXCLUSIVO DE ESTABLECIMIENTOS CON LABORATORIO QUE PROCESAN)</t>
        </is>
      </c>
      <c r="B157" s="10190" t="n"/>
      <c r="C157" s="10190" t="n"/>
      <c r="D157" s="10190" t="n"/>
      <c r="E157" s="10190" t="n"/>
      <c r="F157" s="10190" t="n"/>
      <c r="G157" s="10190" t="n"/>
      <c r="H157" s="10190" t="n"/>
      <c r="I157" s="3138" t="n"/>
      <c r="J157" s="3138" t="n"/>
      <c r="K157" s="3138" t="n"/>
      <c r="L157" s="3138" t="n"/>
      <c r="M157" s="3138" t="n"/>
      <c r="N157" s="3138" t="n"/>
      <c r="O157" s="3138" t="n"/>
      <c r="P157" s="3138" t="n"/>
      <c r="Q157" s="3138" t="n"/>
      <c r="R157" s="3138" t="n"/>
      <c r="S157" s="3138" t="n"/>
      <c r="T157" s="3138" t="n"/>
      <c r="U157" s="3138" t="n"/>
      <c r="V157" s="3138" t="n"/>
      <c r="W157" s="3138" t="n"/>
      <c r="X157" s="3138" t="n"/>
      <c r="Y157" s="3138" t="n"/>
      <c r="Z157" s="3138" t="n"/>
      <c r="AA157" s="3138" t="n"/>
      <c r="AB157" s="3138" t="n"/>
      <c r="AC157" s="3138" t="n"/>
      <c r="AD157" s="3138" t="n"/>
      <c r="AE157" s="3138" t="n"/>
      <c r="AF157" s="3138" t="n"/>
      <c r="AG157" s="3138" t="n"/>
      <c r="AH157" s="3138" t="n"/>
      <c r="AI157" s="3138" t="n"/>
      <c r="AJ157" s="3138" t="n"/>
      <c r="AK157" s="227" t="n"/>
      <c r="AL157" s="227" t="n"/>
      <c r="AM157" s="227" t="n"/>
      <c r="AN157" s="227" t="n"/>
      <c r="AO157" s="227" t="n"/>
      <c r="AP157" s="227" t="n"/>
      <c r="AQ157" s="227" t="n"/>
      <c r="AR157" s="227" t="n"/>
      <c r="AS157" s="227" t="n"/>
      <c r="AT157" s="227" t="n"/>
      <c r="AU157" s="227" t="n"/>
      <c r="AV157" s="227" t="n"/>
      <c r="AW157" s="227" t="n"/>
      <c r="AX157" s="227" t="n"/>
    </row>
    <row r="158">
      <c r="A158" s="9939" t="inlineStr">
        <is>
          <t>GRUPO DE USUARIOS</t>
        </is>
      </c>
      <c r="B158" s="9630" t="n"/>
      <c r="C158" s="10199" t="inlineStr">
        <is>
          <t>TOTAL</t>
        </is>
      </c>
      <c r="D158" s="9630" t="n"/>
      <c r="E158" s="9915" t="inlineStr">
        <is>
          <t>RANGO ETARIO</t>
        </is>
      </c>
      <c r="F158" s="9584" t="n"/>
      <c r="G158" s="9584" t="n"/>
      <c r="H158" s="9584" t="n"/>
      <c r="I158" s="9584" t="n"/>
      <c r="J158" s="9584" t="n"/>
      <c r="K158" s="9584" t="n"/>
      <c r="L158" s="9584" t="n"/>
      <c r="M158" s="9584" t="n"/>
      <c r="N158" s="9584" t="n"/>
      <c r="O158" s="9584" t="n"/>
      <c r="P158" s="9584" t="n"/>
      <c r="Q158" s="9584" t="n"/>
      <c r="R158" s="9584" t="n"/>
      <c r="S158" s="9584" t="n"/>
      <c r="T158" s="9584" t="n"/>
      <c r="U158" s="9584" t="n"/>
      <c r="V158" s="9584" t="n"/>
      <c r="W158" s="9584" t="n"/>
      <c r="X158" s="9584" t="n"/>
      <c r="Y158" s="9584" t="n"/>
      <c r="Z158" s="9584" t="n"/>
      <c r="AA158" s="9584" t="n"/>
      <c r="AB158" s="9584" t="n"/>
      <c r="AC158" s="9584" t="n"/>
      <c r="AD158" s="9584" t="n"/>
      <c r="AE158" s="9584" t="n"/>
      <c r="AF158" s="9584" t="n"/>
      <c r="AG158" s="9584" t="n"/>
      <c r="AH158" s="9584" t="n"/>
      <c r="AI158" s="9584" t="n"/>
      <c r="AJ158" s="9595" t="n"/>
      <c r="AK158" s="10300" t="inlineStr">
        <is>
          <t>POR SEXO</t>
        </is>
      </c>
      <c r="AL158" s="10190" t="n"/>
      <c r="AM158" s="10190" t="n"/>
      <c r="AN158" s="10211" t="n"/>
      <c r="AO158" s="10301" t="inlineStr">
        <is>
          <t>TRANS</t>
        </is>
      </c>
      <c r="AP158" s="9617" t="n"/>
      <c r="AQ158" s="9617" t="n"/>
      <c r="AR158" s="9597" t="n"/>
      <c r="AS158" s="10295" t="inlineStr">
        <is>
          <t>Pueblos originarios</t>
        </is>
      </c>
      <c r="AT158" s="9886" t="n"/>
      <c r="AU158" s="10295" t="inlineStr">
        <is>
          <t>Migrantes</t>
        </is>
      </c>
      <c r="AV158" s="9886" t="n"/>
      <c r="AW158" s="10005" t="inlineStr">
        <is>
          <t>14-18 años</t>
        </is>
      </c>
      <c r="AX158" s="9630" t="n"/>
    </row>
    <row r="159">
      <c r="A159" s="642" t="n"/>
      <c r="B159" s="9718" t="n"/>
      <c r="C159" s="9697" t="n"/>
      <c r="D159" s="9639" t="n"/>
      <c r="E159" s="10006" t="inlineStr">
        <is>
          <t>Menos de 12 meses</t>
        </is>
      </c>
      <c r="F159" s="9584" t="n"/>
      <c r="G159" s="10006" t="inlineStr">
        <is>
          <t>12-24 meses</t>
        </is>
      </c>
      <c r="H159" s="9584" t="n"/>
      <c r="I159" s="10006" t="inlineStr">
        <is>
          <t>3 - 4 años</t>
        </is>
      </c>
      <c r="J159" s="9584" t="n"/>
      <c r="K159" s="9977" t="inlineStr">
        <is>
          <t>5 - 9 años</t>
        </is>
      </c>
      <c r="L159" s="9582" t="n"/>
      <c r="M159" s="9977" t="inlineStr">
        <is>
          <t>10 - 14 años</t>
        </is>
      </c>
      <c r="N159" s="9582" t="n"/>
      <c r="O159" s="9977" t="inlineStr">
        <is>
          <t>15 - 19 años</t>
        </is>
      </c>
      <c r="P159" s="9582" t="n"/>
      <c r="Q159" s="9977" t="inlineStr">
        <is>
          <t>20 - 24 años</t>
        </is>
      </c>
      <c r="R159" s="9582" t="n"/>
      <c r="S159" s="9977" t="inlineStr">
        <is>
          <t>25 - 29 años</t>
        </is>
      </c>
      <c r="T159" s="9582" t="n"/>
      <c r="U159" s="9977" t="inlineStr">
        <is>
          <t>30 - 34 años</t>
        </is>
      </c>
      <c r="V159" s="9582" t="n"/>
      <c r="W159" s="9977" t="inlineStr">
        <is>
          <t>35 - 39 años</t>
        </is>
      </c>
      <c r="X159" s="9582" t="n"/>
      <c r="Y159" s="9977" t="inlineStr">
        <is>
          <t>40 - 44 años</t>
        </is>
      </c>
      <c r="Z159" s="9582" t="n"/>
      <c r="AA159" s="9977" t="inlineStr">
        <is>
          <t>45 - 49 años</t>
        </is>
      </c>
      <c r="AB159" s="9582" t="n"/>
      <c r="AC159" s="9977" t="inlineStr">
        <is>
          <t>50 - 54 años</t>
        </is>
      </c>
      <c r="AD159" s="9582" t="n"/>
      <c r="AE159" s="9977" t="inlineStr">
        <is>
          <t>55 - 59 años</t>
        </is>
      </c>
      <c r="AF159" s="9582" t="n"/>
      <c r="AG159" s="9977" t="inlineStr">
        <is>
          <t>60 - 64 años</t>
        </is>
      </c>
      <c r="AH159" s="9582" t="n"/>
      <c r="AI159" s="9915" t="inlineStr">
        <is>
          <t xml:space="preserve"> 65 y más años</t>
        </is>
      </c>
      <c r="AJ159" s="9595" t="n"/>
      <c r="AK159" s="10302" t="inlineStr">
        <is>
          <t>Hombres</t>
        </is>
      </c>
      <c r="AL159" s="9648" t="n"/>
      <c r="AM159" s="10303" t="inlineStr">
        <is>
          <t>Mujeres</t>
        </is>
      </c>
      <c r="AN159" s="9595" t="n"/>
      <c r="AO159" s="10302" t="inlineStr">
        <is>
          <t>Masculino</t>
        </is>
      </c>
      <c r="AP159" s="9648" t="n"/>
      <c r="AQ159" s="10304" t="inlineStr">
        <is>
          <t>Femenino</t>
        </is>
      </c>
      <c r="AR159" s="10211" t="n"/>
      <c r="AS159" s="9890" t="n"/>
      <c r="AT159" s="9865" t="n"/>
      <c r="AU159" s="9890" t="n"/>
      <c r="AV159" s="9865" t="n"/>
      <c r="AW159" s="9697" t="n"/>
      <c r="AX159" s="9639" t="n"/>
    </row>
    <row r="160" ht="31.5" customHeight="1" s="8286">
      <c r="A160" s="9638" t="n"/>
      <c r="B160" s="9639" t="n"/>
      <c r="C160" s="3088" t="inlineStr">
        <is>
          <t>Procesados</t>
        </is>
      </c>
      <c r="D160" s="3089" t="inlineStr">
        <is>
          <t>Confirmados positivos por ISP</t>
        </is>
      </c>
      <c r="E160" s="3088" t="inlineStr">
        <is>
          <t>Procesados</t>
        </is>
      </c>
      <c r="F160" s="3089" t="inlineStr">
        <is>
          <t>Confirmados positivos por ISP</t>
        </is>
      </c>
      <c r="G160" s="3088" t="inlineStr">
        <is>
          <t>Procesados</t>
        </is>
      </c>
      <c r="H160" s="3089" t="inlineStr">
        <is>
          <t>Confirmados positivos por ISP</t>
        </is>
      </c>
      <c r="I160" s="3088" t="inlineStr">
        <is>
          <t>Procesados</t>
        </is>
      </c>
      <c r="J160" s="3089" t="inlineStr">
        <is>
          <t>Confirmados positivos por ISP</t>
        </is>
      </c>
      <c r="K160" s="3088" t="inlineStr">
        <is>
          <t>Procesados</t>
        </is>
      </c>
      <c r="L160" s="3089" t="inlineStr">
        <is>
          <t>Confirmados positivos por ISP</t>
        </is>
      </c>
      <c r="M160" s="3088" t="inlineStr">
        <is>
          <t>Procesados</t>
        </is>
      </c>
      <c r="N160" s="3089" t="inlineStr">
        <is>
          <t>Confirmados positivos por ISP</t>
        </is>
      </c>
      <c r="O160" s="3088" t="inlineStr">
        <is>
          <t>Procesados</t>
        </is>
      </c>
      <c r="P160" s="3089" t="inlineStr">
        <is>
          <t>Confirmados positivos por ISP</t>
        </is>
      </c>
      <c r="Q160" s="3088" t="inlineStr">
        <is>
          <t>Procesados</t>
        </is>
      </c>
      <c r="R160" s="3089" t="inlineStr">
        <is>
          <t>Confirmados positivos por ISP</t>
        </is>
      </c>
      <c r="S160" s="3088" t="inlineStr">
        <is>
          <t>Procesados</t>
        </is>
      </c>
      <c r="T160" s="3089" t="inlineStr">
        <is>
          <t>Confirmados positivos por ISP</t>
        </is>
      </c>
      <c r="U160" s="3088" t="inlineStr">
        <is>
          <t>Procesados</t>
        </is>
      </c>
      <c r="V160" s="3089" t="inlineStr">
        <is>
          <t>Confirmados positivos por ISP</t>
        </is>
      </c>
      <c r="W160" s="3088" t="inlineStr">
        <is>
          <t>Procesados</t>
        </is>
      </c>
      <c r="X160" s="3089" t="inlineStr">
        <is>
          <t>Confirmados positivos por ISP</t>
        </is>
      </c>
      <c r="Y160" s="3088" t="inlineStr">
        <is>
          <t>Procesados</t>
        </is>
      </c>
      <c r="Z160" s="3089" t="inlineStr">
        <is>
          <t>Confirmados positivos por ISP</t>
        </is>
      </c>
      <c r="AA160" s="3088" t="inlineStr">
        <is>
          <t>Procesados</t>
        </is>
      </c>
      <c r="AB160" s="3089" t="inlineStr">
        <is>
          <t>Confirmados positivos por ISP</t>
        </is>
      </c>
      <c r="AC160" s="3088" t="inlineStr">
        <is>
          <t>Procesados</t>
        </is>
      </c>
      <c r="AD160" s="3089" t="inlineStr">
        <is>
          <t>Confirmados positivos por ISP</t>
        </is>
      </c>
      <c r="AE160" s="3088" t="inlineStr">
        <is>
          <t>Procesados</t>
        </is>
      </c>
      <c r="AF160" s="3089" t="inlineStr">
        <is>
          <t>Confirmados positivos por ISP</t>
        </is>
      </c>
      <c r="AG160" s="3088" t="inlineStr">
        <is>
          <t>Procesados</t>
        </is>
      </c>
      <c r="AH160" s="3089" t="inlineStr">
        <is>
          <t>Confirmados positivos por ISP</t>
        </is>
      </c>
      <c r="AI160" s="3088" t="inlineStr">
        <is>
          <t>Procesados</t>
        </is>
      </c>
      <c r="AJ160" s="3092" t="inlineStr">
        <is>
          <t>Confirmados positivos por ISP</t>
        </is>
      </c>
      <c r="AK160" s="3091" t="inlineStr">
        <is>
          <t>Procesados</t>
        </is>
      </c>
      <c r="AL160" s="3089" t="inlineStr">
        <is>
          <t>Confirmados positivos por ISP</t>
        </is>
      </c>
      <c r="AM160" s="3088" t="inlineStr">
        <is>
          <t>Procesados</t>
        </is>
      </c>
      <c r="AN160" s="3089" t="inlineStr">
        <is>
          <t>Confirmados positivos por ISP</t>
        </is>
      </c>
      <c r="AO160" s="3141" t="inlineStr">
        <is>
          <t>Procesados</t>
        </is>
      </c>
      <c r="AP160" s="3089" t="inlineStr">
        <is>
          <t>Confirmados positivos por ISP</t>
        </is>
      </c>
      <c r="AQ160" s="3088" t="inlineStr">
        <is>
          <t>Procesados</t>
        </is>
      </c>
      <c r="AR160" s="3089" t="inlineStr">
        <is>
          <t>Confirmados positivos por ISP</t>
        </is>
      </c>
      <c r="AS160" s="3141" t="inlineStr">
        <is>
          <t>Procesados</t>
        </is>
      </c>
      <c r="AT160" s="3089" t="inlineStr">
        <is>
          <t>Confirmados positivos por ISP</t>
        </is>
      </c>
      <c r="AU160" s="3141" t="inlineStr">
        <is>
          <t>Procesados</t>
        </is>
      </c>
      <c r="AV160" s="3090" t="inlineStr">
        <is>
          <t>Confirmados positivos por ISP</t>
        </is>
      </c>
      <c r="AW160" s="3141" t="inlineStr">
        <is>
          <t>Procesados</t>
        </is>
      </c>
      <c r="AX160" s="3090" t="inlineStr">
        <is>
          <t>Confirmados positivos por ISP</t>
        </is>
      </c>
    </row>
    <row r="161">
      <c r="A161" s="10305" t="inlineStr">
        <is>
          <t>Gestantes primer examen</t>
        </is>
      </c>
      <c r="B161" s="9643" t="n"/>
      <c r="C161" s="3103">
        <f>+M161+O161+Q161+S161+U161+W161+Y161+AA161+AC161+AE161</f>
        <v/>
      </c>
      <c r="D161" s="3142">
        <f>+N161+P161+R161+T161+V161+X161+Z161+AB161+AD161+AF161</f>
        <v/>
      </c>
      <c r="E161" s="3143" t="n"/>
      <c r="F161" s="3144" t="n"/>
      <c r="G161" s="3143" t="n"/>
      <c r="H161" s="3144" t="n"/>
      <c r="I161" s="3143" t="n"/>
      <c r="J161" s="3144" t="n"/>
      <c r="K161" s="3143" t="n"/>
      <c r="L161" s="3144" t="n"/>
      <c r="M161" s="3128" t="n"/>
      <c r="N161" s="3129" t="n"/>
      <c r="O161" s="3128" t="n"/>
      <c r="P161" s="3129" t="n"/>
      <c r="Q161" s="3128" t="n"/>
      <c r="R161" s="3129" t="n"/>
      <c r="S161" s="3128" t="n"/>
      <c r="T161" s="3129" t="n"/>
      <c r="U161" s="3128" t="n"/>
      <c r="V161" s="3129" t="n"/>
      <c r="W161" s="3128" t="n"/>
      <c r="X161" s="3129" t="n"/>
      <c r="Y161" s="3128" t="n"/>
      <c r="Z161" s="3129" t="n"/>
      <c r="AA161" s="3128" t="n"/>
      <c r="AB161" s="3129" t="n"/>
      <c r="AC161" s="3128" t="n"/>
      <c r="AD161" s="3129" t="n"/>
      <c r="AE161" s="3128" t="n"/>
      <c r="AF161" s="3129" t="n"/>
      <c r="AG161" s="3143" t="n"/>
      <c r="AH161" s="3145" t="n"/>
      <c r="AI161" s="3143" t="n"/>
      <c r="AJ161" s="3146" t="n"/>
      <c r="AK161" s="3147" t="n"/>
      <c r="AL161" s="3148" t="n"/>
      <c r="AM161" s="1971" t="n"/>
      <c r="AN161" s="1458" t="n"/>
      <c r="AO161" s="3099" t="n"/>
      <c r="AP161" s="1125" t="n"/>
      <c r="AQ161" s="3100" t="n"/>
      <c r="AR161" s="3149" t="n"/>
      <c r="AS161" s="3099" t="n"/>
      <c r="AT161" s="3149" t="n"/>
      <c r="AU161" s="3099" t="n"/>
      <c r="AV161" s="1125" t="n"/>
      <c r="AW161" s="3099" t="n"/>
      <c r="AX161" s="1125" t="n"/>
      <c r="AY161" s="218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>
        <f>IF(D161&gt;C161," * El Total de Exámenes Confirmados Positivos por ISP NO DEBE SUPERAR los  Exámenes Procesados. ","")</f>
        <v/>
      </c>
      <c r="CB161" s="380" t="n"/>
      <c r="CC161" s="219">
        <f>IF(AN161&gt;AM161," * El número de Exámenes por Sexo Mujeres Confirmados positivos por ISP NO PUEDE Superar al número de Procesados. ","")</f>
        <v/>
      </c>
      <c r="CD161" s="226" t="n"/>
      <c r="CE161" s="226" t="n"/>
      <c r="CF161" s="226" t="n"/>
      <c r="CG161" s="226" t="n"/>
      <c r="CH161" s="226" t="n"/>
      <c r="CI161" s="219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 t="n"/>
      <c r="CK161" s="219">
        <f>IF((AM161+AK161)&lt;&gt;C161," * El N° de exámenes Procesados por SEXO (Hombres + Mujeres)no puede ser distinto al Total de exámenes procesados","")</f>
        <v/>
      </c>
      <c r="CL161" s="219">
        <f>IF((AN161+AL161)&lt;&gt;D161," * El N° de exámenes Confirmados positivos por ISP por Sexo (Hombres+Mujeres) no puede ser distinto al N° Total de exámenes Confirmados positivos por ISP ","")</f>
        <v/>
      </c>
      <c r="CM161" s="219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 t="n"/>
      <c r="CS161" s="226" t="n"/>
      <c r="CT161" s="260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>IF(D161&gt;C161,1,0)</f>
        <v/>
      </c>
      <c r="DG161" s="380" t="n"/>
      <c r="DH161" s="378">
        <f>IF(AN161&gt;AM161,1,0)</f>
        <v/>
      </c>
      <c r="DI161" s="226" t="n"/>
      <c r="DJ161" s="226" t="n"/>
      <c r="DK161" s="226" t="n"/>
      <c r="DL161" s="226" t="n"/>
      <c r="DM161" s="226" t="n"/>
      <c r="DN161" s="378">
        <f>IF(AND(C161&gt;0,AND(AO161="",AQ161="")),1,IF((AO161+AQ161)&gt;C161,1,0))</f>
        <v/>
      </c>
      <c r="DO161" s="227" t="n"/>
      <c r="DP161" s="378">
        <f>IF((AM161+AK161)&lt;&gt;C161,1,0)</f>
        <v/>
      </c>
      <c r="DQ161" s="378">
        <f>IF((AN161+AL161)&lt;&gt;D161,1,0)</f>
        <v/>
      </c>
      <c r="DR161" s="378">
        <f>IF(AND(C161&gt;0,AS161=""),1,IF(AS161&gt;C161,1,0))</f>
        <v/>
      </c>
      <c r="DS161" s="378">
        <f>IF(AND(C161&gt;0,AU161=""),1,IF(AU161&gt;C161,1,0))</f>
        <v/>
      </c>
      <c r="DT161" s="378">
        <f>IF(AND(D161&gt;0,AND(AP161="",AR161="")),1,IF((AP161+AR161)&gt;D161,1,0))</f>
        <v/>
      </c>
      <c r="DU161" s="378">
        <f>IF(AND(D161&gt;0,AT161=""),1,IF(AT161&gt;D161,1,0))</f>
        <v/>
      </c>
      <c r="DV161" s="378">
        <f>IF(AND(D161&gt;0,AV161=""),1,IF(AV161&gt;D161,1,0))</f>
        <v/>
      </c>
      <c r="DW161" s="226" t="n"/>
      <c r="DX161" s="226" t="n"/>
      <c r="DY161" s="261">
        <f>IF(AND((M161+O161)&gt;0,AW161=""),1,IF(AW161&gt;(M161+O161),1,0))</f>
        <v/>
      </c>
      <c r="DZ161" s="261">
        <f>IF(AND((N161+P161)&gt;0,AX161=""),1,IF(AX161&gt;(N161+P161),1,0))</f>
        <v/>
      </c>
    </row>
    <row r="162">
      <c r="A162" s="10306" t="inlineStr">
        <is>
          <t>Gestantes segundo examen</t>
        </is>
      </c>
      <c r="B162" s="9644" t="n"/>
      <c r="C162" s="3103">
        <f>+M162+O162+Q162+S162+U162+W162+Y162+AA162+AC162+AE162</f>
        <v/>
      </c>
      <c r="D162" s="757">
        <f>+N162+P162+R162+T162+V162+X162+Z162+AB162+AD162+AF162</f>
        <v/>
      </c>
      <c r="E162" s="3104" t="n"/>
      <c r="F162" s="3105" t="n"/>
      <c r="G162" s="3104" t="n"/>
      <c r="H162" s="3105" t="n"/>
      <c r="I162" s="3104" t="n"/>
      <c r="J162" s="3105" t="n"/>
      <c r="K162" s="3104" t="n"/>
      <c r="L162" s="3105" t="n"/>
      <c r="M162" s="1971" t="n"/>
      <c r="N162" s="747" t="n"/>
      <c r="O162" s="1971" t="n"/>
      <c r="P162" s="747" t="n"/>
      <c r="Q162" s="1971" t="n"/>
      <c r="R162" s="747" t="n"/>
      <c r="S162" s="1971" t="n"/>
      <c r="T162" s="747" t="n"/>
      <c r="U162" s="1971" t="n"/>
      <c r="V162" s="747" t="n"/>
      <c r="W162" s="1971" t="n"/>
      <c r="X162" s="747" t="n"/>
      <c r="Y162" s="1971" t="n"/>
      <c r="Z162" s="747" t="n"/>
      <c r="AA162" s="1971" t="n"/>
      <c r="AB162" s="747" t="n"/>
      <c r="AC162" s="1971" t="n"/>
      <c r="AD162" s="747" t="n"/>
      <c r="AE162" s="1971" t="n"/>
      <c r="AF162" s="747" t="n"/>
      <c r="AG162" s="3104" t="n"/>
      <c r="AH162" s="3106" t="n"/>
      <c r="AI162" s="3104" t="n"/>
      <c r="AJ162" s="3114" t="n"/>
      <c r="AK162" s="3097" t="n"/>
      <c r="AL162" s="2651" t="n"/>
      <c r="AM162" s="3108" t="n"/>
      <c r="AN162" s="3149" t="n"/>
      <c r="AO162" s="3099" t="n"/>
      <c r="AP162" s="1125" t="n"/>
      <c r="AQ162" s="3100" t="n"/>
      <c r="AR162" s="3149" t="n"/>
      <c r="AS162" s="3099" t="n"/>
      <c r="AT162" s="3149" t="n"/>
      <c r="AU162" s="3099" t="n"/>
      <c r="AV162" s="1125" t="n"/>
      <c r="AW162" s="3099" t="n"/>
      <c r="AX162" s="1125" t="n"/>
      <c r="AY162" s="218">
        <f>$CA162&amp;$CC162&amp;CD162&amp;CE162&amp;CF162&amp;CG162&amp;CH162&amp;CI162&amp;CJ162&amp;CK162&amp;CL162&amp;CM162&amp;CN162&amp;CO162&amp;CP162&amp;CQ162&amp;CR162&amp;CS162&amp;CT162&amp;CU162&amp;CV162&amp;CW162</f>
        <v/>
      </c>
      <c r="CA162" s="379">
        <f>IF(D162&gt;C162," * El Total de Exámenes Confirmados Positivos por ISP NO DEBE SUPERAR los  Exámenes Procesados. ","")</f>
        <v/>
      </c>
      <c r="CB162" s="380" t="n"/>
      <c r="CC162" s="219">
        <f>IF(AN162&gt;AM162," * El número de Exámenes por Sexo Mujeres Confirmados positivos por ISP NO PUEDE Superar al número de Procesados. ","")</f>
        <v/>
      </c>
      <c r="CD162" s="226" t="n"/>
      <c r="CE162" s="226" t="n"/>
      <c r="CF162" s="226" t="n"/>
      <c r="CG162" s="226" t="n"/>
      <c r="CH162" s="226" t="n"/>
      <c r="CI162" s="219">
        <f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 t="n"/>
      <c r="CK162" s="219">
        <f>IF((AM162+AK162)&lt;&gt;C162," * El N° de exámenes Procesados por SEXO (Hombres + Mujeres)no puede ser distinto al Total de exámenes procesados","")</f>
        <v/>
      </c>
      <c r="CL162" s="219">
        <f>IF((AN162+AL162)&lt;&gt;D162," * El N° de exámenes Confirmados positivos por ISP por Sexo (Hombres+Mujeres) no puede ser distinto al N° Total de exámenes Confirmados positivos por ISP ","")</f>
        <v/>
      </c>
      <c r="CM162" s="219">
        <f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>
        <f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>
        <f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>
        <f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>
        <f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 t="n"/>
      <c r="CS162" s="226" t="n"/>
      <c r="CT162" s="260">
        <f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>
        <f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>IF(D162&gt;C162,1,0)</f>
        <v/>
      </c>
      <c r="DG162" s="380" t="n"/>
      <c r="DH162" s="378">
        <f>IF(AN162&gt;AM162,1,0)</f>
        <v/>
      </c>
      <c r="DI162" s="226" t="n"/>
      <c r="DJ162" s="226" t="n"/>
      <c r="DK162" s="226" t="n"/>
      <c r="DL162" s="226" t="n"/>
      <c r="DM162" s="226" t="n"/>
      <c r="DN162" s="378">
        <f>IF(AND(C162&gt;0,AND(AO162="",AQ162="")),1,IF((AO162+AQ162)&gt;C162,1,0))</f>
        <v/>
      </c>
      <c r="DO162" s="227" t="n"/>
      <c r="DP162" s="378">
        <f>IF((AM162+AK162)&lt;&gt;C162,1,0)</f>
        <v/>
      </c>
      <c r="DQ162" s="378">
        <f>IF((AN162+AL162)&lt;&gt;D162,1,0)</f>
        <v/>
      </c>
      <c r="DR162" s="378">
        <f>IF(AND(C162&gt;0,AS162=""),1,IF(AS162&gt;C162,1,0))</f>
        <v/>
      </c>
      <c r="DS162" s="378">
        <f>IF(AND(C162&gt;0,AU162=""),1,IF(AU162&gt;C162,1,0))</f>
        <v/>
      </c>
      <c r="DT162" s="378">
        <f>IF(AND(D162&gt;0,AND(AP162="",AR162="")),1,IF((AP162+AR162)&gt;D162,1,0))</f>
        <v/>
      </c>
      <c r="DU162" s="378">
        <f>IF(AND(D162&gt;0,AT162=""),1,IF(AT162&gt;D162,1,0))</f>
        <v/>
      </c>
      <c r="DV162" s="378">
        <f>IF(AND(D162&gt;0,AV162=""),1,IF(AV162&gt;D162,1,0))</f>
        <v/>
      </c>
      <c r="DW162" s="226" t="n"/>
      <c r="DX162" s="226" t="n"/>
      <c r="DY162" s="261">
        <f>IF(AND((M162+O162)&gt;0,AW162=""),1,IF(AW162&gt;(M162+O162),1,0))</f>
        <v/>
      </c>
      <c r="DZ162" s="261">
        <f>IF(AND((N162+P162)&gt;0,AX162=""),1,IF(AX162&gt;(N162+P162),1,0))</f>
        <v/>
      </c>
    </row>
    <row r="163">
      <c r="A163" s="10306" t="inlineStr">
        <is>
          <t>Mujer en trabajo de pre parto o parto</t>
        </is>
      </c>
      <c r="B163" s="9644" t="n"/>
      <c r="C163" s="3103">
        <f>+M163+O163+Q163+S163+U163+W163+Y163+AA163+AC163+AE163</f>
        <v/>
      </c>
      <c r="D163" s="757">
        <f>+N163+P163+R163+T163+V163+X163+Z163+AB163+AD163+AF163</f>
        <v/>
      </c>
      <c r="E163" s="3104" t="n"/>
      <c r="F163" s="3105" t="n"/>
      <c r="G163" s="3104" t="n"/>
      <c r="H163" s="3105" t="n"/>
      <c r="I163" s="3104" t="n"/>
      <c r="J163" s="3105" t="n"/>
      <c r="K163" s="3104" t="n"/>
      <c r="L163" s="3105" t="n"/>
      <c r="M163" s="3108" t="n"/>
      <c r="N163" s="3107" t="n"/>
      <c r="O163" s="3108" t="n"/>
      <c r="P163" s="3107" t="n"/>
      <c r="Q163" s="3108" t="n"/>
      <c r="R163" s="3107" t="n"/>
      <c r="S163" s="3108" t="n"/>
      <c r="T163" s="3107" t="n"/>
      <c r="U163" s="3108" t="n"/>
      <c r="V163" s="3107" t="n"/>
      <c r="W163" s="3108" t="n"/>
      <c r="X163" s="3107" t="n"/>
      <c r="Y163" s="3108" t="n"/>
      <c r="Z163" s="3107" t="n"/>
      <c r="AA163" s="3108" t="n"/>
      <c r="AB163" s="3107" t="n"/>
      <c r="AC163" s="3108" t="n"/>
      <c r="AD163" s="3107" t="n"/>
      <c r="AE163" s="3108" t="n"/>
      <c r="AF163" s="3107" t="n"/>
      <c r="AG163" s="3104" t="n"/>
      <c r="AH163" s="3106" t="n"/>
      <c r="AI163" s="3104" t="n"/>
      <c r="AJ163" s="3114" t="n"/>
      <c r="AK163" s="3097" t="n"/>
      <c r="AL163" s="2651" t="n"/>
      <c r="AM163" s="3108" t="n"/>
      <c r="AN163" s="3149" t="n"/>
      <c r="AO163" s="3099" t="n"/>
      <c r="AP163" s="1125" t="n"/>
      <c r="AQ163" s="3100" t="n"/>
      <c r="AR163" s="3149" t="n"/>
      <c r="AS163" s="3099" t="n"/>
      <c r="AT163" s="3149" t="n"/>
      <c r="AU163" s="3099" t="n"/>
      <c r="AV163" s="1125" t="n"/>
      <c r="AW163" s="3099" t="n"/>
      <c r="AX163" s="1125" t="n"/>
      <c r="AY163" s="218">
        <f>$CA163&amp;$CC163&amp;CD163&amp;CE163&amp;CF163&amp;CG163&amp;CH163&amp;CI163&amp;CJ163&amp;CK163&amp;CL163&amp;CM163&amp;CN163&amp;CO163&amp;CP163&amp;CQ163&amp;CR163&amp;CS163&amp;CT163&amp;CU163&amp;CV163&amp;CW163</f>
        <v/>
      </c>
      <c r="CA163" s="379">
        <f>IF(D163&gt;C163," * El Total de Exámenes Confirmados Positivos por ISP NO DEBE SUPERAR los  Exámenes Procesados. ","")</f>
        <v/>
      </c>
      <c r="CB163" s="380" t="n"/>
      <c r="CC163" s="219">
        <f>IF(AN163&gt;AM163," * El número de Exámenes por Sexo Mujeres Confirmados positivos por ISP NO PUEDE Superar al número de Procesados. ","")</f>
        <v/>
      </c>
      <c r="CD163" s="226" t="n"/>
      <c r="CE163" s="226" t="n"/>
      <c r="CF163" s="226" t="n"/>
      <c r="CG163" s="226" t="n"/>
      <c r="CH163" s="226" t="n"/>
      <c r="CI163" s="219">
        <f>IF(AND(C163&gt;0,AND(AO163="",AQ163=""))," * No olvide digitar los exámenes procesados Trans (Masculino y Femenino). Digite Cero si no tiene.",IF((AO163+AQ163)&gt;C163," * Los exámenes procesados en Trans (Masculino y Femenino) no pueden ser mayor que el Total de exámenes procesados.",""))</f>
        <v/>
      </c>
      <c r="CJ163" s="227" t="n"/>
      <c r="CK163" s="219">
        <f>IF((AM163+AK163)&lt;&gt;C163," * El N° de exámenes Procesados por SEXO (Hombres + Mujeres)no puede ser distinto al Total de exámenes procesados","")</f>
        <v/>
      </c>
      <c r="CL163" s="219">
        <f>IF((AN163+AL163)&lt;&gt;D163," * El N° de exámenes Confirmados positivos por ISP por Sexo (Hombres+Mujeres) no puede ser distinto al N° Total de exámenes Confirmados positivos por ISP ","")</f>
        <v/>
      </c>
      <c r="CM163" s="219">
        <f>IF(AND(C163&gt;0,AS163="")," * No olvide digitar los examanes de Pueblos Originarios Procesados. Digite Cero si no tiene.",IF(AS163&gt;C163," * Los exámenes de Pueblos originarios Procesados no pueden ser mayor que el Total de exámenes procesados.",""))</f>
        <v/>
      </c>
      <c r="CN163" s="219">
        <f>IF(AND(C163&gt;0,AU163="")," * No olvide digitar los exámenes Procesados de Migrantes. Digite Cero si no tiene.",IF(AU163&gt;C163," * Los exámenes procesados de Migrantes no pueden ser mayor que el Total de exámenes procesados.",""))</f>
        <v/>
      </c>
      <c r="CO163" s="219">
        <f>IF(AND(D163&gt;0,AND(AP163="",AR163=""))," * No olvide digitar los exámenes Confirmados positivos por ISP de Trans (Masculino y Femenino). Digite Cero si no tiene.",IF((AP163+AR163)&gt;D163," * Los exámenes confirmados positivos por ISP de Trans (Masculino y Femenino) no pueden ser mayor que el Total de exámenes Confirmados positivos por ISP.",""))</f>
        <v/>
      </c>
      <c r="CP163" s="219">
        <f>IF(AND(D163&gt;0,AT163="")," * No olvide digitar los exámenes Confirmados positivos por ISP de Pueblos Originarios. Digite Cero si no tiene.",IF(AT163&gt;D163," * Los exámenes Confirmados positivos por ISP de Pueblos originarios no pueden ser mayor que el Total de exámenes Procesados por ISP.",""))</f>
        <v/>
      </c>
      <c r="CQ163" s="219">
        <f>IF(AND(D163&gt;0,AV163="")," * No olvide digitar los exámenes Confirmados positivos por ISP de Migrantes. Digite Cero si no tiene.",IF(AV163&gt;D163," * Los exámenes Confirmados positivos por ISP de Migrantes no pueden ser mayor que el Total de exámenes Procesados por ISP.",""))</f>
        <v/>
      </c>
      <c r="CR163" s="226" t="n"/>
      <c r="CS163" s="226" t="n"/>
      <c r="CT163" s="260">
        <f>IF(AND((M163+O163)&gt;0,AW163=""),"*No olvide digitar los Exámenes Procesados de 14-18 años. Digite cero si no tiene.",IF(AW163&gt;(M163+O163),"* El Total de Procesados de 14-18 años NO DEBE ser mayor al Total de Procesados registrados en los grupos de edad 10 a 14 + 15 a 19 años. ",""))</f>
        <v/>
      </c>
      <c r="CU163" s="260">
        <f>IF(AND((N163+P163)&gt;0,AX163=""),"*No olvide digitar los Exámenes Confirmados Positivos por ISP de 14-18 años. Digite cero si no tiene.",IF(AX163&gt;(N163+P163),"* El Total de Confirmados de 14-18 años NO DEBE ser mayor al Total de Confirmados Positivos por ISP registrados en los grupos de edad 10 a 14 + 15 a 19 años. ",""))</f>
        <v/>
      </c>
      <c r="DF163" s="381">
        <f>IF(D163&gt;C163,1,0)</f>
        <v/>
      </c>
      <c r="DG163" s="380" t="n"/>
      <c r="DH163" s="378">
        <f>IF(AN163&gt;AM163,1,0)</f>
        <v/>
      </c>
      <c r="DI163" s="226" t="n"/>
      <c r="DJ163" s="226" t="n"/>
      <c r="DK163" s="226" t="n"/>
      <c r="DL163" s="226" t="n"/>
      <c r="DM163" s="226" t="n"/>
      <c r="DN163" s="378">
        <f>IF(AND(C163&gt;0,AND(AO163="",AQ163="")),1,IF((AO163+AQ163)&gt;C163,1,0))</f>
        <v/>
      </c>
      <c r="DO163" s="227" t="n"/>
      <c r="DP163" s="378">
        <f>IF((AM163+AK163)&lt;&gt;C163,1,0)</f>
        <v/>
      </c>
      <c r="DQ163" s="378">
        <f>IF((AN163+AL163)&lt;&gt;D163,1,0)</f>
        <v/>
      </c>
      <c r="DR163" s="378">
        <f>IF(AND(C163&gt;0,AS163=""),1,IF(AS163&gt;C163,1,0))</f>
        <v/>
      </c>
      <c r="DS163" s="378">
        <f>IF(AND(C163&gt;0,AU163=""),1,IF(AU163&gt;C163,1,0))</f>
        <v/>
      </c>
      <c r="DT163" s="378">
        <f>IF(AND(D163&gt;0,AND(AP163="",AR163="")),1,IF((AP163+AR163)&gt;D163,1,0))</f>
        <v/>
      </c>
      <c r="DU163" s="378">
        <f>IF(AND(D163&gt;0,AT163=""),1,IF(AT163&gt;D163,1,0))</f>
        <v/>
      </c>
      <c r="DV163" s="378">
        <f>IF(AND(D163&gt;0,AV163=""),1,IF(AV163&gt;D163,1,0))</f>
        <v/>
      </c>
      <c r="DW163" s="226" t="n"/>
      <c r="DX163" s="226" t="n"/>
      <c r="DY163" s="261">
        <f>IF(AND((M163+O163)&gt;0,AW163=""),1,IF(AW163&gt;(M163+O163),1,0))</f>
        <v/>
      </c>
      <c r="DZ163" s="261">
        <f>IF(AND((N163+P163)&gt;0,AX163=""),1,IF(AX163&gt;(N163+P163),1,0))</f>
        <v/>
      </c>
    </row>
    <row r="164">
      <c r="A164" s="10306" t="inlineStr">
        <is>
          <t>Personas en control por comercio sexual</t>
        </is>
      </c>
      <c r="B164" s="9644" t="n"/>
      <c r="C164" s="3103">
        <f>+O164+Q164+S164+U164+W164+Y164+AA164+AC164+AE164+AG164+AI164</f>
        <v/>
      </c>
      <c r="D164" s="3150">
        <f>+P164+R164+T164+V164+X164+Z164+AB164+AD164+AF164+AH164+AJ164</f>
        <v/>
      </c>
      <c r="E164" s="3104" t="n"/>
      <c r="F164" s="3105" t="n"/>
      <c r="G164" s="3104" t="n"/>
      <c r="H164" s="3105" t="n"/>
      <c r="I164" s="3104" t="n"/>
      <c r="J164" s="3105" t="n"/>
      <c r="K164" s="3104" t="n"/>
      <c r="L164" s="3105" t="n"/>
      <c r="M164" s="3104" t="n"/>
      <c r="N164" s="3105" t="n"/>
      <c r="O164" s="3108" t="n"/>
      <c r="P164" s="3107" t="n"/>
      <c r="Q164" s="3108" t="n"/>
      <c r="R164" s="3107" t="n"/>
      <c r="S164" s="3108" t="n"/>
      <c r="T164" s="3107" t="n"/>
      <c r="U164" s="3108" t="n"/>
      <c r="V164" s="3107" t="n"/>
      <c r="W164" s="3108" t="n"/>
      <c r="X164" s="3107" t="n"/>
      <c r="Y164" s="3108" t="n"/>
      <c r="Z164" s="3107" t="n"/>
      <c r="AA164" s="3108" t="n"/>
      <c r="AB164" s="3107" t="n"/>
      <c r="AC164" s="3108" t="n"/>
      <c r="AD164" s="3107" t="n"/>
      <c r="AE164" s="3108" t="n"/>
      <c r="AF164" s="3107" t="n"/>
      <c r="AG164" s="3108" t="n"/>
      <c r="AH164" s="3107" t="n"/>
      <c r="AI164" s="3108" t="n"/>
      <c r="AJ164" s="3107" t="n"/>
      <c r="AK164" s="3099" t="n"/>
      <c r="AL164" s="1125" t="n"/>
      <c r="AM164" s="3108" t="n"/>
      <c r="AN164" s="3149" t="n"/>
      <c r="AO164" s="3099" t="n"/>
      <c r="AP164" s="1125" t="n"/>
      <c r="AQ164" s="3100" t="n"/>
      <c r="AR164" s="3149" t="n"/>
      <c r="AS164" s="3099" t="n"/>
      <c r="AT164" s="3149" t="n"/>
      <c r="AU164" s="3099" t="n"/>
      <c r="AV164" s="1125" t="n"/>
      <c r="AW164" s="3099" t="n"/>
      <c r="AX164" s="1125" t="n"/>
      <c r="AY164" s="218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>
        <f>IF(D164&gt;C164," * El Total de Exámenes Confirmados Positivos por ISP NO DEBE SUPERAR los  Exámenes Procesados. ","")</f>
        <v/>
      </c>
      <c r="CB164" s="219">
        <f>IF(AL164&gt;AK164," * El número de Exámenes por Sexo Hombres Confirmados positivos por ISP NO PUEDE Superar al número de Procesados. ","")</f>
        <v/>
      </c>
      <c r="CC164" s="219">
        <f>IF(AN164&gt;AM164," * El número de Exámenes por Sexo Mujeres Confirmados positivos por ISP NO PUEDE Superar al número de Procesados. ","")</f>
        <v/>
      </c>
      <c r="CD164" s="226" t="n"/>
      <c r="CE164" s="226" t="n"/>
      <c r="CF164" s="226" t="n"/>
      <c r="CG164" s="226" t="n"/>
      <c r="CH164" s="226" t="n"/>
      <c r="CI164" s="219">
        <f>IF(AND(C164&gt;0,AND(AO164="",AQ164=""))," * No olvide digitar los exámenes procesados Trans (Masculino y Femenino). Digite Cero si no tiene.",IF((AO164+AQ164)&gt;C164," * Los exámenes procesados en Trans (Masculino y Femenino) no pueden ser mayor que el Total de exámenes procesados.",""))</f>
        <v/>
      </c>
      <c r="CJ164" s="227" t="n"/>
      <c r="CK164" s="219">
        <f>IF((AM164+AK164)&lt;&gt;C164," * El N° de exámenes Procesados por SEXO (Hombres + Mujeres)no puede ser distinto al Total de exámenes procesados","")</f>
        <v/>
      </c>
      <c r="CL164" s="219">
        <f>IF((AN164+AL164)&lt;&gt;D164," * El N° de exámenes Confirmados positivos por ISP por Sexo (Hombres+Mujeres) no puede ser distinto al N° Total de exámenes Confirmados positivos por ISP ","")</f>
        <v/>
      </c>
      <c r="CM164" s="219">
        <f>IF(AND(C164&gt;0,AS164="")," * No olvide digitar los examanes de Pueblos Originarios Procesados. Digite Cero si no tiene.",IF(AS164&gt;C164," * Los exámenes de Pueblos originarios Procesados no pueden ser mayor que el Total de exámenes procesados.",""))</f>
        <v/>
      </c>
      <c r="CN164" s="219">
        <f>IF(AND(C164&gt;0,AU164="")," * No olvide digitar los exámenes Procesados de Migrantes. Digite Cero si no tiene.",IF(AU164&gt;C164," * Los exámenes procesados de Migrantes no pueden ser mayor que el Total de exámenes procesados.",""))</f>
        <v/>
      </c>
      <c r="CO164" s="219">
        <f>IF(AND(D164&gt;0,AND(AP164="",AR164=""))," * No olvide digitar los exámenes Confirmados positivos por ISP de Trans (Masculino y Femenino). Digite Cero si no tiene.",IF((AP164+AR164)&gt;D164," * Los exámenes confirmados positivos por ISP de Trans (Masculino y Femenino) no pueden ser mayor que el Total de exámenes Confirmados positivos por ISP.",""))</f>
        <v/>
      </c>
      <c r="CP164" s="219">
        <f>IF(AND(D164&gt;0,AT164="")," * No olvide digitar los exámenes Confirmados positivos por ISP de Pueblos Originarios. Digite Cero si no tiene.",IF(AT164&gt;D164," * Los exámenes Confirmados positivos por ISP de Pueblos originarios no pueden ser mayor que el Total de exámenes Procesados por ISP.",""))</f>
        <v/>
      </c>
      <c r="CQ164" s="219">
        <f>IF(AND(D164&gt;0,AV164="")," * No olvide digitar los exámenes Confirmados positivos por ISP de Migrantes. Digite Cero si no tiene.",IF(AV164&gt;D164," * Los exámenes Confirmados positivos por ISP de Migrantes no pueden ser mayor que el Total de exámenes Procesados por ISP.",""))</f>
        <v/>
      </c>
      <c r="CR164" s="226" t="n"/>
      <c r="CS164" s="226" t="n"/>
      <c r="CT164" s="260">
        <f>IF(AND((M164+O164)&gt;0,AW164=""),"*No olvide digitar los Exámenes Procesados de 14-18 años. Digite cero si no tiene.",IF(AW164&gt;(M164+O164),"* El Total de Procesados de 14-18 años NO DEBE ser mayor al Total de Procesados registrados en los grupos de edad 10 a 14 + 15 a 19 años. ",""))</f>
        <v/>
      </c>
      <c r="CU164" s="260">
        <f>IF(AND((N164+P164)&gt;0,AX164=""),"*No olvide digitar los Exámenes Confirmados Positivos por ISP de 14-18 años. Digite cero si no tiene.",IF(AX164&gt;(N164+P164),"* El Total de Confirmados de 14-18 años NO DEBE ser mayor al Total de Confirmados Positivos por ISP registrados en los grupos de edad 10 a 14 + 15 a 19 años. ",""))</f>
        <v/>
      </c>
      <c r="DF164" s="381">
        <f>IF(D164&gt;C164,1,0)</f>
        <v/>
      </c>
      <c r="DG164" s="378">
        <f>IF(AL164&gt;AK164,1,0)</f>
        <v/>
      </c>
      <c r="DH164" s="378">
        <f>IF(AN164&gt;AM164,1,0)</f>
        <v/>
      </c>
      <c r="DI164" s="226" t="n"/>
      <c r="DJ164" s="226" t="n"/>
      <c r="DK164" s="226" t="n"/>
      <c r="DL164" s="226" t="n"/>
      <c r="DM164" s="226" t="n"/>
      <c r="DN164" s="378">
        <f>IF(AND(C164&gt;0,AND(AO164="",AQ164="")),1,IF((AO164+AQ164)&gt;C164,1,0))</f>
        <v/>
      </c>
      <c r="DO164" s="227" t="n"/>
      <c r="DP164" s="378">
        <f>IF((AM164+AK164)&lt;&gt;C164,1,0)</f>
        <v/>
      </c>
      <c r="DQ164" s="378">
        <f>IF((AN164+AL164)&lt;&gt;D164,1,0)</f>
        <v/>
      </c>
      <c r="DR164" s="378">
        <f>IF(AND(C164&gt;0,AS164=""),1,IF(AS164&gt;C164,1,0))</f>
        <v/>
      </c>
      <c r="DS164" s="378">
        <f>IF(AND(C164&gt;0,AU164=""),1,IF(AU164&gt;C164,1,0))</f>
        <v/>
      </c>
      <c r="DT164" s="378">
        <f>IF(AND(D164&gt;0,AND(AP164="",AR164="")),1,IF((AP164+AR164)&gt;D164,1,0))</f>
        <v/>
      </c>
      <c r="DU164" s="378">
        <f>IF(AND(D164&gt;0,AT164=""),1,IF(AT164&gt;D164,1,0))</f>
        <v/>
      </c>
      <c r="DV164" s="378">
        <f>IF(AND(D164&gt;0,AV164=""),1,IF(AV164&gt;D164,1,0))</f>
        <v/>
      </c>
      <c r="DW164" s="226" t="n"/>
      <c r="DX164" s="226" t="n"/>
      <c r="DY164" s="261">
        <f>IF(AND((M164+O164)&gt;0,AW164=""),1,IF(AW164&gt;(M164+O164),1,0))</f>
        <v/>
      </c>
      <c r="DZ164" s="261">
        <f>IF(AND((N164+P164)&gt;0,AX164=""),1,IF(AX164&gt;(N164+P164),1,0))</f>
        <v/>
      </c>
    </row>
    <row r="165">
      <c r="A165" s="10306" t="inlineStr">
        <is>
          <t>Pacientes en diálisis</t>
        </is>
      </c>
      <c r="B165" s="9644" t="n"/>
      <c r="C165" s="3103">
        <f>+E165+G165+I165+K165+M165+O165+Q165+S165+U165+W165+Y165+AA165+AC165+AE165+AG165+AI165</f>
        <v/>
      </c>
      <c r="D165" s="3150">
        <f>+F165+H165+J165+L165+N165+P165+R165+T165+V165+X165+Z165+AB165+AD165+AF165+AH165+AJ165</f>
        <v/>
      </c>
      <c r="E165" s="3108" t="n"/>
      <c r="F165" s="3107" t="n"/>
      <c r="G165" s="3108" t="n"/>
      <c r="H165" s="3107" t="n"/>
      <c r="I165" s="3108" t="n"/>
      <c r="J165" s="3107" t="n"/>
      <c r="K165" s="3108" t="n"/>
      <c r="L165" s="3107" t="n"/>
      <c r="M165" s="3108" t="n"/>
      <c r="N165" s="3107" t="n"/>
      <c r="O165" s="3108" t="n"/>
      <c r="P165" s="3107" t="n"/>
      <c r="Q165" s="3108" t="n"/>
      <c r="R165" s="3107" t="n"/>
      <c r="S165" s="3108" t="n"/>
      <c r="T165" s="3107" t="n"/>
      <c r="U165" s="3108" t="n"/>
      <c r="V165" s="3107" t="n"/>
      <c r="W165" s="3108" t="n"/>
      <c r="X165" s="3107" t="n"/>
      <c r="Y165" s="3108" t="n"/>
      <c r="Z165" s="3107" t="n"/>
      <c r="AA165" s="3108" t="n"/>
      <c r="AB165" s="3107" t="n"/>
      <c r="AC165" s="3108" t="n"/>
      <c r="AD165" s="3107" t="n"/>
      <c r="AE165" s="3108" t="n"/>
      <c r="AF165" s="3107" t="n"/>
      <c r="AG165" s="3108" t="n"/>
      <c r="AH165" s="3107" t="n"/>
      <c r="AI165" s="3108" t="n"/>
      <c r="AJ165" s="3107" t="n"/>
      <c r="AK165" s="3151" t="n"/>
      <c r="AL165" s="2440" t="n"/>
      <c r="AM165" s="3152" t="n"/>
      <c r="AN165" s="3149" t="n"/>
      <c r="AO165" s="3099" t="n"/>
      <c r="AP165" s="1125" t="n"/>
      <c r="AQ165" s="3100" t="n"/>
      <c r="AR165" s="3149" t="n"/>
      <c r="AS165" s="3099" t="n"/>
      <c r="AT165" s="3149" t="n"/>
      <c r="AU165" s="3099" t="n"/>
      <c r="AV165" s="1125" t="n"/>
      <c r="AW165" s="3099" t="n"/>
      <c r="AX165" s="1125" t="n"/>
      <c r="AY165" s="218">
        <f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>
        <f>IF(D165&gt;C165," * El Total de Exámenes Confirmados Positivos por ISP NO DEBE SUPERAR los  Exámenes Procesados. ","")</f>
        <v/>
      </c>
      <c r="CB165" s="219">
        <f>IF(AL165&gt;AK165," * El número de Exámenes por Sexo Hombres Confirmados positivos por ISP NO PUEDE Superar al número de Procesados. ","")</f>
        <v/>
      </c>
      <c r="CC165" s="219">
        <f>IF(AN165&gt;AM165," * El número de Exámenes por Sexo Mujeres Confirmados positivos por ISP NO PUEDE Superar al número de Procesados. ","")</f>
        <v/>
      </c>
      <c r="CD165" s="226" t="n"/>
      <c r="CE165" s="226" t="n"/>
      <c r="CF165" s="226" t="n"/>
      <c r="CG165" s="226" t="n"/>
      <c r="CH165" s="226" t="n"/>
      <c r="CI165" s="219">
        <f>IF(AND(C165&gt;0,AND(AO165="",AQ165=""))," * No olvide digitar los exámenes procesados Trans (Masculino y Femenino). Digite Cero si no tiene.",IF((AO165+AQ165)&gt;C165," * Los exámenes procesados en Trans (Masculino y Femenino) no pueden ser mayor que el Total de exámenes procesados.",""))</f>
        <v/>
      </c>
      <c r="CJ165" s="227" t="n"/>
      <c r="CK165" s="219">
        <f>IF((AM165+AK165)&lt;&gt;C165," * El N° de exámenes Procesados por SEXO (Hombres + Mujeres)no puede ser distinto al Total de exámenes procesados","")</f>
        <v/>
      </c>
      <c r="CL165" s="219">
        <f>IF((AN165+AL165)&lt;&gt;D165," * El N° de exámenes Confirmados positivos por ISP por Sexo (Hombres+Mujeres) no puede ser distinto al N° Total de exámenes Confirmados positivos por ISP ","")</f>
        <v/>
      </c>
      <c r="CM165" s="219">
        <f>IF(AND(C165&gt;0,AS165="")," * No olvide digitar los examanes de Pueblos Originarios Procesados. Digite Cero si no tiene.",IF(AS165&gt;C165," * Los exámenes de Pueblos originarios Procesados no pueden ser mayor que el Total de exámenes procesados.",""))</f>
        <v/>
      </c>
      <c r="CN165" s="219">
        <f>IF(AND(C165&gt;0,AU165="")," * No olvide digitar los exámenes Procesados de Migrantes. Digite Cero si no tiene.",IF(AU165&gt;C165," * Los exámenes procesados de Migrantes no pueden ser mayor que el Total de exámenes procesados.",""))</f>
        <v/>
      </c>
      <c r="CO165" s="219">
        <f>IF(AND(D165&gt;0,AND(AP165="",AR165=""))," * No olvide digitar los exámenes Confirmados positivos por ISP de Trans (Masculino y Femenino). Digite Cero si no tiene.",IF((AP165+AR165)&gt;D165," * Los exámenes confirmados positivos por ISP de Trans (Masculino y Femenino) no pueden ser mayor que el Total de exámenes Confirmados positivos por ISP.",""))</f>
        <v/>
      </c>
      <c r="CP165" s="219">
        <f>IF(AND(D165&gt;0,AT165="")," * No olvide digitar los exámenes Confirmados positivos por ISP de Pueblos Originarios. Digite Cero si no tiene.",IF(AT165&gt;D165," * Los exámenes Confirmados positivos por ISP de Pueblos originarios no pueden ser mayor que el Total de exámenes Procesados por ISP.",""))</f>
        <v/>
      </c>
      <c r="CQ165" s="219">
        <f>IF(AND(D165&gt;0,AV165="")," * No olvide digitar los exámenes Confirmados positivos por ISP de Migrantes. Digite Cero si no tiene.",IF(AV165&gt;D165," * Los exámenes Confirmados positivos por ISP de Migrantes no pueden ser mayor que el Total de exámenes Procesados por ISP.",""))</f>
        <v/>
      </c>
      <c r="CR165" s="226" t="n"/>
      <c r="CS165" s="226" t="n"/>
      <c r="CT165" s="260">
        <f>IF(AND((M165+O165)&gt;0,AW165=""),"*No olvide digitar los Exámenes Procesados de 14-18 años. Digite cero si no tiene.",IF(AW165&gt;(M165+O165),"* El Total de Procesados de 14-18 años NO DEBE ser mayor al Total de Procesados registrados en los grupos de edad 10 a 14 + 15 a 19 años. ",""))</f>
        <v/>
      </c>
      <c r="CU165" s="260">
        <f>IF(AND((N165+P165)&gt;0,AX165=""),"*No olvide digitar los Exámenes Confirmados Positivos por ISP de 14-18 años. Digite cero si no tiene.",IF(AX165&gt;(N165+P165),"* El Total de Confirmados de 14-18 años NO DEBE ser mayor al Total de Confirmados Positivos por ISP registrados en los grupos de edad 10 a 14 + 15 a 19 años. ",""))</f>
        <v/>
      </c>
      <c r="DF165" s="381">
        <f>IF(D165&gt;C165,1,0)</f>
        <v/>
      </c>
      <c r="DG165" s="378">
        <f>IF(AL165&gt;AK165,1,0)</f>
        <v/>
      </c>
      <c r="DH165" s="378">
        <f>IF(AN165&gt;AM165,1,0)</f>
        <v/>
      </c>
      <c r="DI165" s="226" t="n"/>
      <c r="DJ165" s="226" t="n"/>
      <c r="DK165" s="226" t="n"/>
      <c r="DL165" s="226" t="n"/>
      <c r="DM165" s="226" t="n"/>
      <c r="DN165" s="378">
        <f>IF(AND(C165&gt;0,AND(AO165="",AQ165="")),1,IF((AO165+AQ165)&gt;C165,1,0))</f>
        <v/>
      </c>
      <c r="DO165" s="227" t="n"/>
      <c r="DP165" s="378">
        <f>IF((AM165+AK165)&lt;&gt;C165,1,0)</f>
        <v/>
      </c>
      <c r="DQ165" s="378">
        <f>IF((AN165+AL165)&lt;&gt;D165,1,0)</f>
        <v/>
      </c>
      <c r="DR165" s="378">
        <f>IF(AND(C165&gt;0,AS165=""),1,IF(AS165&gt;C165,1,0))</f>
        <v/>
      </c>
      <c r="DS165" s="378">
        <f>IF(AND(C165&gt;0,AU165=""),1,IF(AU165&gt;C165,1,0))</f>
        <v/>
      </c>
      <c r="DT165" s="378">
        <f>IF(AND(D165&gt;0,AND(AP165="",AR165="")),1,IF((AP165+AR165)&gt;D165,1,0))</f>
        <v/>
      </c>
      <c r="DU165" s="378">
        <f>IF(AND(D165&gt;0,AT165=""),1,IF(AT165&gt;D165,1,0))</f>
        <v/>
      </c>
      <c r="DV165" s="378">
        <f>IF(AND(D165&gt;0,AV165=""),1,IF(AV165&gt;D165,1,0))</f>
        <v/>
      </c>
      <c r="DW165" s="226" t="n"/>
      <c r="DX165" s="226" t="n"/>
      <c r="DY165" s="261">
        <f>IF(AND((M165+O165)&gt;0,AW165=""),1,IF(AW165&gt;(M165+O165),1,0))</f>
        <v/>
      </c>
      <c r="DZ165" s="261">
        <f>IF(AND((N165+P165)&gt;0,AX165=""),1,IF(AX165&gt;(N165+P165),1,0))</f>
        <v/>
      </c>
    </row>
    <row r="166">
      <c r="A166" s="10306" t="inlineStr">
        <is>
          <t>Por consulta ITS</t>
        </is>
      </c>
      <c r="B166" s="9644" t="n"/>
      <c r="C166" s="3103">
        <f>+E166+G166+I166+K166+M166+O166+Q166+S166+U166+W166+Y166+AA166+AC166+AE166+AG166+AI166</f>
        <v/>
      </c>
      <c r="D166" s="757">
        <f>+F166+H166+J166+L166+N166+P166+R166+T166+V166+X166+Z166+AB166+AD166+AF166+AH166+AJ166</f>
        <v/>
      </c>
      <c r="E166" s="3108" t="n"/>
      <c r="F166" s="3107" t="n"/>
      <c r="G166" s="3108" t="n"/>
      <c r="H166" s="3107" t="n"/>
      <c r="I166" s="3108" t="n"/>
      <c r="J166" s="3107" t="n"/>
      <c r="K166" s="3108" t="n"/>
      <c r="L166" s="3107" t="n"/>
      <c r="M166" s="3108" t="n"/>
      <c r="N166" s="3107" t="n"/>
      <c r="O166" s="3108" t="n"/>
      <c r="P166" s="3107" t="n"/>
      <c r="Q166" s="3108" t="n"/>
      <c r="R166" s="3107" t="n"/>
      <c r="S166" s="3108" t="n"/>
      <c r="T166" s="3107" t="n"/>
      <c r="U166" s="3108" t="n"/>
      <c r="V166" s="3107" t="n"/>
      <c r="W166" s="3108" t="n"/>
      <c r="X166" s="3107" t="n"/>
      <c r="Y166" s="3108" t="n"/>
      <c r="Z166" s="3107" t="n"/>
      <c r="AA166" s="3108" t="n"/>
      <c r="AB166" s="3107" t="n"/>
      <c r="AC166" s="3108" t="n"/>
      <c r="AD166" s="3107" t="n"/>
      <c r="AE166" s="3108" t="n"/>
      <c r="AF166" s="3107" t="n"/>
      <c r="AG166" s="3108" t="n"/>
      <c r="AH166" s="3107" t="n"/>
      <c r="AI166" s="3108" t="n"/>
      <c r="AJ166" s="3107" t="n"/>
      <c r="AK166" s="3099" t="n"/>
      <c r="AL166" s="1125" t="n"/>
      <c r="AM166" s="3108" t="n"/>
      <c r="AN166" s="3149" t="n"/>
      <c r="AO166" s="3099" t="n"/>
      <c r="AP166" s="1125" t="n"/>
      <c r="AQ166" s="3100" t="n"/>
      <c r="AR166" s="3149" t="n"/>
      <c r="AS166" s="3099" t="n"/>
      <c r="AT166" s="3149" t="n"/>
      <c r="AU166" s="3099" t="n"/>
      <c r="AV166" s="1125" t="n"/>
      <c r="AW166" s="3099" t="n"/>
      <c r="AX166" s="1125" t="n"/>
      <c r="AY166" s="218">
        <f>$CA166&amp;CB166&amp;$CC166&amp;CD166&amp;CE166&amp;CF166&amp;CG166&amp;CH166&amp;CI166&amp;CJ166&amp;CK166&amp;CL166&amp;CM166&amp;CN166&amp;CO166&amp;CP166&amp;CQ166&amp;CR166&amp;CS166&amp;CT166&amp;CU166&amp;CV166&amp;CW166</f>
        <v/>
      </c>
      <c r="CA166" s="379">
        <f>IF(D166&gt;C166," * El Total de Exámenes Confirmados Positivos por ISP NO DEBE SUPERAR los  Exámenes Procesados. ","")</f>
        <v/>
      </c>
      <c r="CB166" s="219">
        <f>IF(AL166&gt;AK166," * El número de Exámenes por Sexo Hombres Confirmados positivos por ISP NO PUEDE Superar al número de Procesados. ","")</f>
        <v/>
      </c>
      <c r="CC166" s="219">
        <f>IF(AN166&gt;AM166," * El número de Exámenes por Sexo Mujeres Confirmados positivos por ISP NO PUEDE Superar al número de Procesados. ","")</f>
        <v/>
      </c>
      <c r="CD166" s="226" t="n"/>
      <c r="CE166" s="226" t="n"/>
      <c r="CF166" s="226" t="n"/>
      <c r="CG166" s="226" t="n"/>
      <c r="CH166" s="226" t="n"/>
      <c r="CI166" s="219">
        <f>IF(AND(C166&gt;0,AND(AO166="",AQ166=""))," * No olvide digitar los exámenes procesados Trans (Masculino y Femenino). Digite Cero si no tiene.",IF((AO166+AQ166)&gt;C166," * Los exámenes procesados en Trans (Masculino y Femenino) no pueden ser mayor que el Total de exámenes procesados.",""))</f>
        <v/>
      </c>
      <c r="CJ166" s="227" t="n"/>
      <c r="CK166" s="219">
        <f>IF((AM166+AK166)&lt;&gt;C166," * El N° de exámenes Procesados por SEXO (Hombres + Mujeres)no puede ser distinto al Total de exámenes procesados","")</f>
        <v/>
      </c>
      <c r="CL166" s="219">
        <f>IF((AN166+AL166)&lt;&gt;D166," * El N° de exámenes Confirmados positivos por ISP por Sexo (Hombres+Mujeres) no puede ser distinto al N° Total de exámenes Confirmados positivos por ISP ","")</f>
        <v/>
      </c>
      <c r="CM166" s="219">
        <f>IF(AND(C166&gt;0,AS166="")," * No olvide digitar los examanes de Pueblos Originarios Procesados. Digite Cero si no tiene.",IF(AS166&gt;C166," * Los exámenes de Pueblos originarios Procesados no pueden ser mayor que el Total de exámenes procesados.",""))</f>
        <v/>
      </c>
      <c r="CN166" s="219">
        <f>IF(AND(C166&gt;0,AU166="")," * No olvide digitar los exámenes Procesados de Migrantes. Digite Cero si no tiene.",IF(AU166&gt;C166," * Los exámenes procesados de Migrantes no pueden ser mayor que el Total de exámenes procesados.",""))</f>
        <v/>
      </c>
      <c r="CO166" s="219">
        <f>IF(AND(D166&gt;0,AND(AP166="",AR166=""))," * No olvide digitar los exámenes Confirmados positivos por ISP de Trans (Masculino y Femenino). Digite Cero si no tiene.",IF((AP166+AR166)&gt;D166," * Los exámenes confirmados positivos por ISP de Trans (Masculino y Femenino) no pueden ser mayor que el Total de exámenes Confirmados positivos por ISP.",""))</f>
        <v/>
      </c>
      <c r="CP166" s="219">
        <f>IF(AND(D166&gt;0,AT166="")," * No olvide digitar los exámenes Confirmados positivos por ISP de Pueblos Originarios. Digite Cero si no tiene.",IF(AT166&gt;D166," * Los exámenes Confirmados positivos por ISP de Pueblos originarios no pueden ser mayor que el Total de exámenes Procesados por ISP.",""))</f>
        <v/>
      </c>
      <c r="CQ166" s="219">
        <f>IF(AND(D166&gt;0,AV166="")," * No olvide digitar los exámenes Confirmados positivos por ISP de Migrantes. Digite Cero si no tiene.",IF(AV166&gt;D166," * Los exámenes Confirmados positivos por ISP de Migrantes no pueden ser mayor que el Total de exámenes Procesados por ISP.",""))</f>
        <v/>
      </c>
      <c r="CR166" s="226" t="n"/>
      <c r="CS166" s="226" t="n"/>
      <c r="CT166" s="260">
        <f>IF(AND((M166+O166)&gt;0,AW166=""),"*No olvide digitar los Exámenes Procesados de 14-18 años. Digite cero si no tiene.",IF(AW166&gt;(M166+O166),"* El Total de Procesados de 14-18 años NO DEBE ser mayor al Total de Procesados registrados en los grupos de edad 10 a 14 + 15 a 19 años. ",""))</f>
        <v/>
      </c>
      <c r="CU166" s="260">
        <f>IF(AND((N166+P166)&gt;0,AX166=""),"*No olvide digitar los Exámenes Confirmados Positivos por ISP de 14-18 años. Digite cero si no tiene.",IF(AX166&gt;(N166+P166),"* El Total de Confirmados de 14-18 años NO DEBE ser mayor al Total de Confirmados Positivos por ISP registrados en los grupos de edad 10 a 14 + 15 a 19 años. ",""))</f>
        <v/>
      </c>
      <c r="DF166" s="381">
        <f>IF(D166&gt;C166,1,0)</f>
        <v/>
      </c>
      <c r="DG166" s="378">
        <f>IF(AL166&gt;AK166,1,0)</f>
        <v/>
      </c>
      <c r="DH166" s="378">
        <f>IF(AN166&gt;AM166,1,0)</f>
        <v/>
      </c>
      <c r="DI166" s="226" t="n"/>
      <c r="DJ166" s="226" t="n"/>
      <c r="DK166" s="226" t="n"/>
      <c r="DL166" s="226" t="n"/>
      <c r="DM166" s="226" t="n"/>
      <c r="DN166" s="378">
        <f>IF(AND(C166&gt;0,AND(AO166="",AQ166="")),1,IF((AO166+AQ166)&gt;C166,1,0))</f>
        <v/>
      </c>
      <c r="DO166" s="227" t="n"/>
      <c r="DP166" s="378">
        <f>IF((AM166+AK166)&lt;&gt;C166,1,0)</f>
        <v/>
      </c>
      <c r="DQ166" s="378">
        <f>IF((AN166+AL166)&lt;&gt;D166,1,0)</f>
        <v/>
      </c>
      <c r="DR166" s="378">
        <f>IF(AND(C166&gt;0,AS166=""),1,IF(AS166&gt;C166,1,0))</f>
        <v/>
      </c>
      <c r="DS166" s="378">
        <f>IF(AND(C166&gt;0,AU166=""),1,IF(AU166&gt;C166,1,0))</f>
        <v/>
      </c>
      <c r="DT166" s="378">
        <f>IF(AND(D166&gt;0,AND(AP166="",AR166="")),1,IF((AP166+AR166)&gt;D166,1,0))</f>
        <v/>
      </c>
      <c r="DU166" s="378">
        <f>IF(AND(D166&gt;0,AT166=""),1,IF(AT166&gt;D166,1,0))</f>
        <v/>
      </c>
      <c r="DV166" s="378">
        <f>IF(AND(D166&gt;0,AV166=""),1,IF(AV166&gt;D166,1,0))</f>
        <v/>
      </c>
      <c r="DW166" s="226" t="n"/>
      <c r="DX166" s="226" t="n"/>
      <c r="DY166" s="261">
        <f>IF(AND((M166+O166)&gt;0,AW166=""),1,IF(AW166&gt;(M166+O166),1,0))</f>
        <v/>
      </c>
      <c r="DZ166" s="261">
        <f>IF(AND((N166+P166)&gt;0,AX166=""),1,IF(AX166&gt;(N166+P166),1,0))</f>
        <v/>
      </c>
    </row>
    <row r="167">
      <c r="A167" s="10306" t="inlineStr">
        <is>
          <t>Personas en control de regulación fecundidad, ginecológico, climaterio</t>
        </is>
      </c>
      <c r="B167" s="9644" t="n"/>
      <c r="C167" s="3103">
        <f>+O167+Q167+S167+U167+W167+Y167+AA167+AC167+AE167+AG167+AI167</f>
        <v/>
      </c>
      <c r="D167" s="757">
        <f>+P167+R167+T167+V167+X167+Z167+AB167+AD167+AF167+AH167+AJ167</f>
        <v/>
      </c>
      <c r="E167" s="3104" t="n"/>
      <c r="F167" s="3105" t="n"/>
      <c r="G167" s="3104" t="n"/>
      <c r="H167" s="3105" t="n"/>
      <c r="I167" s="3104" t="n"/>
      <c r="J167" s="3105" t="n"/>
      <c r="K167" s="3104" t="n"/>
      <c r="L167" s="3105" t="n"/>
      <c r="M167" s="3104" t="n"/>
      <c r="N167" s="3105" t="n"/>
      <c r="O167" s="3108" t="n"/>
      <c r="P167" s="3107" t="n"/>
      <c r="Q167" s="3108" t="n"/>
      <c r="R167" s="3107" t="n"/>
      <c r="S167" s="3108" t="n"/>
      <c r="T167" s="3107" t="n"/>
      <c r="U167" s="3108" t="n"/>
      <c r="V167" s="3107" t="n"/>
      <c r="W167" s="3108" t="n"/>
      <c r="X167" s="3107" t="n"/>
      <c r="Y167" s="3108" t="n"/>
      <c r="Z167" s="3107" t="n"/>
      <c r="AA167" s="3108" t="n"/>
      <c r="AB167" s="3107" t="n"/>
      <c r="AC167" s="3108" t="n"/>
      <c r="AD167" s="3107" t="n"/>
      <c r="AE167" s="3108" t="n"/>
      <c r="AF167" s="3107" t="n"/>
      <c r="AG167" s="3108" t="n"/>
      <c r="AH167" s="3107" t="n"/>
      <c r="AI167" s="3108" t="n"/>
      <c r="AJ167" s="3107" t="n"/>
      <c r="AK167" s="3099" t="n"/>
      <c r="AL167" s="1125" t="n"/>
      <c r="AM167" s="3108" t="n"/>
      <c r="AN167" s="3149" t="n"/>
      <c r="AO167" s="3099" t="n"/>
      <c r="AP167" s="1125" t="n"/>
      <c r="AQ167" s="3100" t="n"/>
      <c r="AR167" s="3149" t="n"/>
      <c r="AS167" s="3099" t="n"/>
      <c r="AT167" s="3149" t="n"/>
      <c r="AU167" s="3099" t="n"/>
      <c r="AV167" s="1125" t="n"/>
      <c r="AW167" s="3099" t="n"/>
      <c r="AX167" s="1125" t="n"/>
      <c r="AY167" s="218">
        <f>$CA167&amp;CB167&amp;$CC167&amp;CD167&amp;CE167&amp;CF167&amp;CG167&amp;CH167&amp;CI167&amp;CJ167&amp;CK167&amp;CL167&amp;CM167&amp;CN167&amp;CO167&amp;CP167&amp;CQ167&amp;CR167&amp;CS167&amp;CT167&amp;CU167&amp;CV167&amp;CW167</f>
        <v/>
      </c>
      <c r="CA167" s="379">
        <f>IF(D167&gt;C167," * El Total de Exámenes Confirmados Positivos por ISP NO DEBE SUPERAR los  Exámenes Procesados. ","")</f>
        <v/>
      </c>
      <c r="CB167" s="219">
        <f>IF(AL167&gt;AK167," * El número de Exámenes por Sexo Hombres Confirmados positivos por ISP NO PUEDE Superar al número de Procesados. ","")</f>
        <v/>
      </c>
      <c r="CC167" s="219">
        <f>IF(AN167&gt;AM167," * El número de Exámenes por Sexo Mujeres Confirmados positivos por ISP NO PUEDE Superar al número de Procesados. ","")</f>
        <v/>
      </c>
      <c r="CD167" s="226" t="n"/>
      <c r="CE167" s="226" t="n"/>
      <c r="CF167" s="226" t="n"/>
      <c r="CG167" s="226" t="n"/>
      <c r="CH167" s="226" t="n"/>
      <c r="CI167" s="219">
        <f>IF(AND(C167&gt;0,AND(AO167="",AQ167=""))," * No olvide digitar los exámenes procesados Trans (Masculino y Femenino). Digite Cero si no tiene.",IF((AO167+AQ167)&gt;C167," * Los exámenes procesados en Trans (Masculino y Femenino) no pueden ser mayor que el Total de exámenes procesados.",""))</f>
        <v/>
      </c>
      <c r="CJ167" s="227" t="n"/>
      <c r="CK167" s="219">
        <f>IF((AM167+AK167)&lt;&gt;C167," * El N° de exámenes Procesados por SEXO (Hombres + Mujeres)no puede ser distinto al Total de exámenes procesados","")</f>
        <v/>
      </c>
      <c r="CL167" s="219">
        <f>IF((AN167+AL167)&lt;&gt;D167," * El N° de exámenes Confirmados positivos por ISP por Sexo (Hombres+Mujeres) no puede ser distinto al N° Total de exámenes Confirmados positivos por ISP ","")</f>
        <v/>
      </c>
      <c r="CM167" s="219">
        <f>IF(AND(C167&gt;0,AS167="")," * No olvide digitar los examanes de Pueblos Originarios Procesados. Digite Cero si no tiene.",IF(AS167&gt;C167," * Los exámenes de Pueblos originarios Procesados no pueden ser mayor que el Total de exámenes procesados.",""))</f>
        <v/>
      </c>
      <c r="CN167" s="219">
        <f>IF(AND(C167&gt;0,AU167="")," * No olvide digitar los exámenes Procesados de Migrantes. Digite Cero si no tiene.",IF(AU167&gt;C167," * Los exámenes procesados de Migrantes no pueden ser mayor que el Total de exámenes procesados.",""))</f>
        <v/>
      </c>
      <c r="CO167" s="219">
        <f>IF(AND(D167&gt;0,AND(AP167="",AR167=""))," * No olvide digitar los exámenes Confirmados positivos por ISP de Trans (Masculino y Femenino). Digite Cero si no tiene.",IF((AP167+AR167)&gt;D167," * Los exámenes confirmados positivos por ISP de Trans (Masculino y Femenino) no pueden ser mayor que el Total de exámenes Confirmados positivos por ISP.",""))</f>
        <v/>
      </c>
      <c r="CP167" s="219">
        <f>IF(AND(D167&gt;0,AT167="")," * No olvide digitar los exámenes Confirmados positivos por ISP de Pueblos Originarios. Digite Cero si no tiene.",IF(AT167&gt;D167," * Los exámenes Confirmados positivos por ISP de Pueblos originarios no pueden ser mayor que el Total de exámenes Procesados por ISP.",""))</f>
        <v/>
      </c>
      <c r="CQ167" s="219">
        <f>IF(AND(D167&gt;0,AV167="")," * No olvide digitar los exámenes Confirmados positivos por ISP de Migrantes. Digite Cero si no tiene.",IF(AV167&gt;D167," * Los exámenes Confirmados positivos por ISP de Migrantes no pueden ser mayor que el Total de exámenes Procesados por ISP.",""))</f>
        <v/>
      </c>
      <c r="CR167" s="226" t="n"/>
      <c r="CS167" s="226" t="n"/>
      <c r="CT167" s="260">
        <f>IF(AND((M167+O167)&gt;0,AW167=""),"*No olvide digitar los Exámenes Procesados de 14-18 años. Digite cero si no tiene.",IF(AW167&gt;(M167+O167),"* El Total de Procesados de 14-18 años NO DEBE ser mayor al Total de Procesados registrados en los grupos de edad 10 a 14 + 15 a 19 años. ",""))</f>
        <v/>
      </c>
      <c r="CU167" s="260">
        <f>IF(AND((N167+P167)&gt;0,AX167=""),"*No olvide digitar los Exámenes Confirmados Positivos por ISP de 14-18 años. Digite cero si no tiene.",IF(AX167&gt;(N167+P167),"* El Total de Confirmados de 14-18 años NO DEBE ser mayor al Total de Confirmados Positivos por ISP registrados en los grupos de edad 10 a 14 + 15 a 19 años. ",""))</f>
        <v/>
      </c>
      <c r="DF167" s="381">
        <f>IF(D167&gt;C167,1,0)</f>
        <v/>
      </c>
      <c r="DG167" s="378">
        <f>IF(AL167&gt;AK167,1,0)</f>
        <v/>
      </c>
      <c r="DH167" s="378">
        <f>IF(AN167&gt;AM167,1,0)</f>
        <v/>
      </c>
      <c r="DI167" s="226" t="n"/>
      <c r="DJ167" s="226" t="n"/>
      <c r="DK167" s="226" t="n"/>
      <c r="DL167" s="226" t="n"/>
      <c r="DM167" s="226" t="n"/>
      <c r="DN167" s="378">
        <f>IF(AND(C167&gt;0,AND(AO167="",AQ167="")),1,IF((AO167+AQ167)&gt;C167,1,0))</f>
        <v/>
      </c>
      <c r="DO167" s="227" t="n"/>
      <c r="DP167" s="378">
        <f>IF((AM167+AK167)&lt;&gt;C167,1,0)</f>
        <v/>
      </c>
      <c r="DQ167" s="378">
        <f>IF((AN167+AL167)&lt;&gt;D167,1,0)</f>
        <v/>
      </c>
      <c r="DR167" s="378">
        <f>IF(AND(C167&gt;0,AS167=""),1,IF(AS167&gt;C167,1,0))</f>
        <v/>
      </c>
      <c r="DS167" s="378">
        <f>IF(AND(C167&gt;0,AU167=""),1,IF(AU167&gt;C167,1,0))</f>
        <v/>
      </c>
      <c r="DT167" s="378">
        <f>IF(AND(D167&gt;0,AND(AP167="",AR167="")),1,IF((AP167+AR167)&gt;D167,1,0))</f>
        <v/>
      </c>
      <c r="DU167" s="378">
        <f>IF(AND(D167&gt;0,AT167=""),1,IF(AT167&gt;D167,1,0))</f>
        <v/>
      </c>
      <c r="DV167" s="378">
        <f>IF(AND(D167&gt;0,AV167=""),1,IF(AV167&gt;D167,1,0))</f>
        <v/>
      </c>
      <c r="DW167" s="226" t="n"/>
      <c r="DX167" s="226" t="n"/>
      <c r="DY167" s="261">
        <f>IF(AND((M167+O167)&gt;0,AW167=""),1,IF(AW167&gt;(M167+O167),1,0))</f>
        <v/>
      </c>
      <c r="DZ167" s="261">
        <f>IF(AND((N167+P167)&gt;0,AX167=""),1,IF(AX167&gt;(N167+P167),1,0))</f>
        <v/>
      </c>
    </row>
    <row r="168">
      <c r="A168" s="10306" t="inlineStr">
        <is>
          <t>Personas EMP/EMPAM</t>
        </is>
      </c>
      <c r="B168" s="9644" t="n"/>
      <c r="C168" s="3103">
        <f>+O168+Q168+S168+U168+W168+Y168+AA168+AC168+AE168+AG168+AI168</f>
        <v/>
      </c>
      <c r="D168" s="757">
        <f>+P168+R168+T168+V168+X168+Z168+AB168+AD168+AF168+AH168+AJ168</f>
        <v/>
      </c>
      <c r="E168" s="3104" t="n"/>
      <c r="F168" s="3105" t="n"/>
      <c r="G168" s="3104" t="n"/>
      <c r="H168" s="3105" t="n"/>
      <c r="I168" s="3104" t="n"/>
      <c r="J168" s="3105" t="n"/>
      <c r="K168" s="3104" t="n"/>
      <c r="L168" s="3105" t="n"/>
      <c r="M168" s="3104" t="n"/>
      <c r="N168" s="3105" t="n"/>
      <c r="O168" s="3108" t="n"/>
      <c r="P168" s="3107" t="n"/>
      <c r="Q168" s="3108" t="n"/>
      <c r="R168" s="3107" t="n"/>
      <c r="S168" s="3108" t="n"/>
      <c r="T168" s="3107" t="n"/>
      <c r="U168" s="3108" t="n"/>
      <c r="V168" s="3107" t="n"/>
      <c r="W168" s="3108" t="n"/>
      <c r="X168" s="3107" t="n"/>
      <c r="Y168" s="3108" t="n"/>
      <c r="Z168" s="3107" t="n"/>
      <c r="AA168" s="3108" t="n"/>
      <c r="AB168" s="3107" t="n"/>
      <c r="AC168" s="3108" t="n"/>
      <c r="AD168" s="3107" t="n"/>
      <c r="AE168" s="3108" t="n"/>
      <c r="AF168" s="3107" t="n"/>
      <c r="AG168" s="3108" t="n"/>
      <c r="AH168" s="3107" t="n"/>
      <c r="AI168" s="3108" t="n"/>
      <c r="AJ168" s="3107" t="n"/>
      <c r="AK168" s="3099" t="n"/>
      <c r="AL168" s="1125" t="n"/>
      <c r="AM168" s="3108" t="n"/>
      <c r="AN168" s="3149" t="n"/>
      <c r="AO168" s="3099" t="n"/>
      <c r="AP168" s="1125" t="n"/>
      <c r="AQ168" s="3100" t="n"/>
      <c r="AR168" s="3149" t="n"/>
      <c r="AS168" s="3099" t="n"/>
      <c r="AT168" s="3149" t="n"/>
      <c r="AU168" s="3099" t="n"/>
      <c r="AV168" s="1125" t="n"/>
      <c r="AW168" s="3099" t="n"/>
      <c r="AX168" s="1125" t="n"/>
      <c r="AY168" s="218">
        <f>$CA168&amp;CB168&amp;$CC168&amp;CD168&amp;CE168&amp;CF168&amp;CG168&amp;CH168&amp;CI168&amp;CJ168&amp;CK168&amp;CL168&amp;CM168&amp;CN168&amp;CO168&amp;CP168&amp;CQ168&amp;CR168&amp;CS168&amp;CT168&amp;CU168&amp;CV168&amp;CW168</f>
        <v/>
      </c>
      <c r="CA168" s="379">
        <f>IF(D168&gt;C168," * El Total de Exámenes Confirmados Positivos por ISP NO DEBE SUPERAR los  Exámenes Procesados. ","")</f>
        <v/>
      </c>
      <c r="CB168" s="219">
        <f>IF(AL168&gt;AK168," * El número de Exámenes por Sexo Hombres Confirmados positivos por ISP NO PUEDE Superar al número de Procesados. ","")</f>
        <v/>
      </c>
      <c r="CC168" s="219">
        <f>IF(AN168&gt;AM168," * El número de Exámenes por Sexo Mujeres Confirmados positivos por ISP NO PUEDE Superar al número de Procesados. ","")</f>
        <v/>
      </c>
      <c r="CD168" s="226" t="n"/>
      <c r="CE168" s="226" t="n"/>
      <c r="CF168" s="226" t="n"/>
      <c r="CG168" s="226" t="n"/>
      <c r="CH168" s="226" t="n"/>
      <c r="CI168" s="219">
        <f>IF(AND(C168&gt;0,AND(AO168="",AQ168=""))," * No olvide digitar los exámenes procesados Trans (Masculino y Femenino). Digite Cero si no tiene.",IF((AO168+AQ168)&gt;C168," * Los exámenes procesados en Trans (Masculino y Femenino) no pueden ser mayor que el Total de exámenes procesados.",""))</f>
        <v/>
      </c>
      <c r="CJ168" s="227" t="n"/>
      <c r="CK168" s="219">
        <f>IF((AM168+AK168)&lt;&gt;C168," * El N° de exámenes Procesados por SEXO (Hombres + Mujeres)no puede ser distinto al Total de exámenes procesados","")</f>
        <v/>
      </c>
      <c r="CL168" s="219">
        <f>IF((AN168+AL168)&lt;&gt;D168," * El N° de exámenes Confirmados positivos por ISP por Sexo (Hombres+Mujeres) no puede ser distinto al N° Total de exámenes Confirmados positivos por ISP ","")</f>
        <v/>
      </c>
      <c r="CM168" s="219">
        <f>IF(AND(C168&gt;0,AS168="")," * No olvide digitar los examanes de Pueblos Originarios Procesados. Digite Cero si no tiene.",IF(AS168&gt;C168," * Los exámenes de Pueblos originarios Procesados no pueden ser mayor que el Total de exámenes procesados.",""))</f>
        <v/>
      </c>
      <c r="CN168" s="219">
        <f>IF(AND(C168&gt;0,AU168="")," * No olvide digitar los exámenes Procesados de Migrantes. Digite Cero si no tiene.",IF(AU168&gt;C168," * Los exámenes procesados de Migrantes no pueden ser mayor que el Total de exámenes procesados.",""))</f>
        <v/>
      </c>
      <c r="CO168" s="219">
        <f>IF(AND(D168&gt;0,AND(AP168="",AR168=""))," * No olvide digitar los exámenes Confirmados positivos por ISP de Trans (Masculino y Femenino). Digite Cero si no tiene.",IF((AP168+AR168)&gt;D168," * Los exámenes confirmados positivos por ISP de Trans (Masculino y Femenino) no pueden ser mayor que el Total de exámenes Confirmados positivos por ISP.",""))</f>
        <v/>
      </c>
      <c r="CP168" s="219">
        <f>IF(AND(D168&gt;0,AT168="")," * No olvide digitar los exámenes Confirmados positivos por ISP de Pueblos Originarios. Digite Cero si no tiene.",IF(AT168&gt;D168," * Los exámenes Confirmados positivos por ISP de Pueblos originarios no pueden ser mayor que el Total de exámenes Procesados por ISP.",""))</f>
        <v/>
      </c>
      <c r="CQ168" s="219">
        <f>IF(AND(D168&gt;0,AV168="")," * No olvide digitar los exámenes Confirmados positivos por ISP de Migrantes. Digite Cero si no tiene.",IF(AV168&gt;D168," * Los exámenes Confirmados positivos por ISP de Migrantes no pueden ser mayor que el Total de exámenes Procesados por ISP.",""))</f>
        <v/>
      </c>
      <c r="CR168" s="226" t="n"/>
      <c r="CS168" s="226" t="n"/>
      <c r="CT168" s="260">
        <f>IF(AND((M168+O168)&gt;0,AW168=""),"*No olvide digitar los Exámenes Procesados de 14-18 años. Digite cero si no tiene.",IF(AW168&gt;(M168+O168),"* El Total de Procesados de 14-18 años NO DEBE ser mayor al Total de Procesados registrados en los grupos de edad 10 a 14 + 15 a 19 años. ",""))</f>
        <v/>
      </c>
      <c r="CU168" s="260">
        <f>IF(AND((N168+P168)&gt;0,AX168=""),"*No olvide digitar los Exámenes Confirmados Positivos por ISP de 14-18 años. Digite cero si no tiene.",IF(AX168&gt;(N168+P168),"* El Total de Confirmados de 14-18 años NO DEBE ser mayor al Total de Confirmados Positivos por ISP registrados en los grupos de edad 10 a 14 + 15 a 19 años. ",""))</f>
        <v/>
      </c>
      <c r="DF168" s="381">
        <f>IF(D168&gt;C168,1,0)</f>
        <v/>
      </c>
      <c r="DG168" s="378">
        <f>IF(AL168&gt;AK168,1,0)</f>
        <v/>
      </c>
      <c r="DH168" s="378">
        <f>IF(AN168&gt;AM168,1,0)</f>
        <v/>
      </c>
      <c r="DI168" s="226" t="n"/>
      <c r="DJ168" s="226" t="n"/>
      <c r="DK168" s="226" t="n"/>
      <c r="DL168" s="226" t="n"/>
      <c r="DM168" s="226" t="n"/>
      <c r="DN168" s="378">
        <f>IF(AND(C168&gt;0,AND(AO168="",AQ168="")),1,IF((AO168+AQ168)&gt;C168,1,0))</f>
        <v/>
      </c>
      <c r="DO168" s="227" t="n"/>
      <c r="DP168" s="378">
        <f>IF((AM168+AK168)&lt;&gt;C168,1,0)</f>
        <v/>
      </c>
      <c r="DQ168" s="378">
        <f>IF((AN168+AL168)&lt;&gt;D168,1,0)</f>
        <v/>
      </c>
      <c r="DR168" s="378">
        <f>IF(AND(C168&gt;0,AS168=""),1,IF(AS168&gt;C168,1,0))</f>
        <v/>
      </c>
      <c r="DS168" s="378">
        <f>IF(AND(C168&gt;0,AU168=""),1,IF(AU168&gt;C168,1,0))</f>
        <v/>
      </c>
      <c r="DT168" s="378">
        <f>IF(AND(D168&gt;0,AND(AP168="",AR168="")),1,IF((AP168+AR168)&gt;D168,1,0))</f>
        <v/>
      </c>
      <c r="DU168" s="378">
        <f>IF(AND(D168&gt;0,AT168=""),1,IF(AT168&gt;D168,1,0))</f>
        <v/>
      </c>
      <c r="DV168" s="378">
        <f>IF(AND(D168&gt;0,AV168=""),1,IF(AV168&gt;D168,1,0))</f>
        <v/>
      </c>
      <c r="DW168" s="226" t="n"/>
      <c r="DX168" s="226" t="n"/>
      <c r="DY168" s="261">
        <f>IF(AND((M168+O168)&gt;0,AW168=""),1,IF(AW168&gt;(M168+O168),1,0))</f>
        <v/>
      </c>
      <c r="DZ168" s="261">
        <f>IF(AND((N168+P168)&gt;0,AX168=""),1,IF(AX168&gt;(N168+P168),1,0))</f>
        <v/>
      </c>
    </row>
    <row r="169">
      <c r="A169" s="10307" t="inlineStr">
        <is>
          <t>Personas en control de salud según ciclo vital</t>
        </is>
      </c>
      <c r="B169" s="9646" t="n"/>
      <c r="C169" s="1176">
        <f>+E169+G169+I169+K169+M169+O169+Q169+S169+U169+W169+Y169+AA169+AC169+AE169+AG169+AI169</f>
        <v/>
      </c>
      <c r="D169" s="3153">
        <f>+F169+H169+J169+L169+N169+P169+R169+T169+V169+X169+Z169+AB169+AD169+AF169+AH169+AJ169</f>
        <v/>
      </c>
      <c r="E169" s="1198" t="n"/>
      <c r="F169" s="1147" t="n"/>
      <c r="G169" s="1198" t="n"/>
      <c r="H169" s="1147" t="n"/>
      <c r="I169" s="1198" t="n"/>
      <c r="J169" s="1147" t="n"/>
      <c r="K169" s="1198" t="n"/>
      <c r="L169" s="1147" t="n"/>
      <c r="M169" s="1198" t="n"/>
      <c r="N169" s="1147" t="n"/>
      <c r="O169" s="1198" t="n"/>
      <c r="P169" s="1147" t="n"/>
      <c r="Q169" s="1198" t="n"/>
      <c r="R169" s="1147" t="n"/>
      <c r="S169" s="1198" t="n"/>
      <c r="T169" s="1147" t="n"/>
      <c r="U169" s="1198" t="n"/>
      <c r="V169" s="1147" t="n"/>
      <c r="W169" s="1198" t="n"/>
      <c r="X169" s="1147" t="n"/>
      <c r="Y169" s="1198" t="n"/>
      <c r="Z169" s="1147" t="n"/>
      <c r="AA169" s="1198" t="n"/>
      <c r="AB169" s="1147" t="n"/>
      <c r="AC169" s="1198" t="n"/>
      <c r="AD169" s="1147" t="n"/>
      <c r="AE169" s="1198" t="n"/>
      <c r="AF169" s="1147" t="n"/>
      <c r="AG169" s="1198" t="n"/>
      <c r="AH169" s="1147" t="n"/>
      <c r="AI169" s="1198" t="n"/>
      <c r="AJ169" s="1147" t="n"/>
      <c r="AK169" s="1146" t="n"/>
      <c r="AL169" s="1148" t="n"/>
      <c r="AM169" s="1198" t="n"/>
      <c r="AN169" s="2689" t="n"/>
      <c r="AO169" s="1146" t="n"/>
      <c r="AP169" s="1148" t="n"/>
      <c r="AQ169" s="1200" t="n"/>
      <c r="AR169" s="2689" t="n"/>
      <c r="AS169" s="1152" t="n"/>
      <c r="AT169" s="1416" t="n"/>
      <c r="AU169" s="1146" t="n"/>
      <c r="AV169" s="1148" t="n"/>
      <c r="AW169" s="1146" t="n"/>
      <c r="AX169" s="1148" t="n"/>
      <c r="AY169" s="218">
        <f>$CA169&amp;CB169&amp;$CC169&amp;CD169&amp;CE169&amp;CF169&amp;CG169&amp;CH169&amp;CI169&amp;CJ169&amp;CK169&amp;CL169&amp;CM169&amp;CN169&amp;CO169&amp;CP169&amp;CQ169&amp;CR169&amp;CS169&amp;CT169&amp;CU169&amp;CV169&amp;CW169</f>
        <v/>
      </c>
      <c r="CA169" s="379">
        <f>IF(D169&gt;C169," * El Total de Exámenes Confirmados Positivos por ISP NO DEBE SUPERAR los  Exámenes Procesados. ","")</f>
        <v/>
      </c>
      <c r="CB169" s="219">
        <f>IF(AL169&gt;AK169," * El número de Exámenes por Sexo Hombres Confirmados positivos por ISP NO PUEDE Superar al número de Procesados. ","")</f>
        <v/>
      </c>
      <c r="CC169" s="219">
        <f>IF(AN169&gt;AM169," * El número de Exámenes por Sexo Mujeres Confirmados positivos por ISP NO PUEDE Superar al número de Procesados. ","")</f>
        <v/>
      </c>
      <c r="CD169" s="226" t="n"/>
      <c r="CE169" s="226" t="n"/>
      <c r="CF169" s="226" t="n"/>
      <c r="CG169" s="226" t="n"/>
      <c r="CH169" s="226" t="n"/>
      <c r="CI169" s="219">
        <f>IF(AND(C169&gt;0,AND(AO169="",AQ169=""))," * No olvide digitar los exámenes procesados Trans (Masculino y Femenino). Digite Cero si no tiene.",IF((AO169+AQ169)&gt;C169," * Los exámenes procesados en Trans (Masculino y Femenino) no pueden ser mayor que el Total de exámenes procesados.",""))</f>
        <v/>
      </c>
      <c r="CJ169" s="227" t="n"/>
      <c r="CK169" s="219">
        <f>IF((AM169+AK169)&lt;&gt;C169," * El N° de exámenes Procesados por SEXO (Hombres + Mujeres)no puede ser distinto al Total de exámenes procesados","")</f>
        <v/>
      </c>
      <c r="CL169" s="219">
        <f>IF((AN169+AL169)&lt;&gt;D169," * El N° de exámenes Confirmados positivos por ISP por Sexo (Hombres+Mujeres) no puede ser distinto al N° Total de exámenes Confirmados positivos por ISP ","")</f>
        <v/>
      </c>
      <c r="CM169" s="219">
        <f>IF(AND(C169&gt;0,AS169="")," * No olvide digitar los examanes de Pueblos Originarios Procesados. Digite Cero si no tiene.",IF(AS169&gt;C169," * Los exámenes de Pueblos originarios Procesados no pueden ser mayor que el Total de exámenes procesados.",""))</f>
        <v/>
      </c>
      <c r="CN169" s="219">
        <f>IF(AND(C169&gt;0,AU169="")," * No olvide digitar los exámenes Procesados de Migrantes. Digite Cero si no tiene.",IF(AU169&gt;C169," * Los exámenes procesados de Migrantes no pueden ser mayor que el Total de exámenes procesados.",""))</f>
        <v/>
      </c>
      <c r="CO169" s="219">
        <f>IF(AND(D169&gt;0,AND(AP169="",AR169=""))," * No olvide digitar los exámenes Confirmados positivos por ISP de Trans (Masculino y Femenino). Digite Cero si no tiene.",IF((AP169+AR169)&gt;D169," * Los exámenes confirmados positivos por ISP de Trans (Masculino y Femenino) no pueden ser mayor que el Total de exámenes Confirmados positivos por ISP.",""))</f>
        <v/>
      </c>
      <c r="CP169" s="219">
        <f>IF(AND(D169&gt;0,AT169="")," * No olvide digitar los exámenes Confirmados positivos por ISP de Pueblos Originarios. Digite Cero si no tiene.",IF(AT169&gt;D169," * Los exámenes Confirmados positivos por ISP de Pueblos originarios no pueden ser mayor que el Total de exámenes Procesados por ISP.",""))</f>
        <v/>
      </c>
      <c r="CQ169" s="219">
        <f>IF(AND(D169&gt;0,AV169="")," * No olvide digitar los exámenes Confirmados positivos por ISP de Migrantes. Digite Cero si no tiene.",IF(AV169&gt;D169," * Los exámenes Confirmados positivos por ISP de Migrantes no pueden ser mayor que el Total de exámenes Procesados por ISP.",""))</f>
        <v/>
      </c>
      <c r="CR169" s="226" t="n"/>
      <c r="CS169" s="226" t="n"/>
      <c r="CT169" s="260">
        <f>IF(AND((M169+O169)&gt;0,AW169=""),"*No olvide digitar los Exámenes Procesados de 14-18 años. Digite cero si no tiene.",IF(AW169&gt;(M169+O169),"* El Total de Procesados de 14-18 años NO DEBE ser mayor al Total de Procesados registrados en los grupos de edad 10 a 14 + 15 a 19 años. ",""))</f>
        <v/>
      </c>
      <c r="CU169" s="260">
        <f>IF(AND((N169+P169)&gt;0,AX169=""),"*No olvide digitar los Exámenes Confirmados Positivos por ISP de 14-18 años. Digite cero si no tiene.",IF(AX169&gt;(N169+P169),"* El Total de Confirmados de 14-18 años NO DEBE ser mayor al Total de Confirmados Positivos por ISP registrados en los grupos de edad 10 a 14 + 15 a 19 años. ",""))</f>
        <v/>
      </c>
      <c r="DF169" s="381">
        <f>IF(D169&gt;C169,1,0)</f>
        <v/>
      </c>
      <c r="DG169" s="378">
        <f>IF(AL169&gt;AK169,1,0)</f>
        <v/>
      </c>
      <c r="DH169" s="378">
        <f>IF(AN169&gt;AM169,1,0)</f>
        <v/>
      </c>
      <c r="DI169" s="226" t="n"/>
      <c r="DJ169" s="226" t="n"/>
      <c r="DK169" s="226" t="n"/>
      <c r="DL169" s="226" t="n"/>
      <c r="DM169" s="226" t="n"/>
      <c r="DN169" s="378">
        <f>IF(AND(C169&gt;0,AND(AO169="",AQ169="")),1,IF((AO169+AQ169)&gt;C169,1,0))</f>
        <v/>
      </c>
      <c r="DO169" s="227" t="n"/>
      <c r="DP169" s="378">
        <f>IF((AM169+AK169)&lt;&gt;C169,1,0)</f>
        <v/>
      </c>
      <c r="DQ169" s="378">
        <f>IF((AN169+AL169)&lt;&gt;D169,1,0)</f>
        <v/>
      </c>
      <c r="DR169" s="378">
        <f>IF(AND(C169&gt;0,AS169=""),1,IF(AS169&gt;C169,1,0))</f>
        <v/>
      </c>
      <c r="DS169" s="378">
        <f>IF(AND(C169&gt;0,AU169=""),1,IF(AU169&gt;C169,1,0))</f>
        <v/>
      </c>
      <c r="DT169" s="378">
        <f>IF(AND(D169&gt;0,AND(AP169="",AR169="")),1,IF((AP169+AR169)&gt;D169,1,0))</f>
        <v/>
      </c>
      <c r="DU169" s="378">
        <f>IF(AND(D169&gt;0,AT169=""),1,IF(AT169&gt;D169,1,0))</f>
        <v/>
      </c>
      <c r="DV169" s="378">
        <f>IF(AND(D169&gt;0,AV169=""),1,IF(AV169&gt;D169,1,0))</f>
        <v/>
      </c>
      <c r="DW169" s="226" t="n"/>
      <c r="DX169" s="226" t="n"/>
      <c r="DY169" s="261">
        <f>IF(AND((M169+O169)&gt;0,AW169=""),1,IF(AW169&gt;(M169+O169),1,0))</f>
        <v/>
      </c>
      <c r="DZ169" s="261">
        <f>IF(AND((N169+P169)&gt;0,AX169=""),1,IF(AX169&gt;(N169+P169),1,0))</f>
        <v/>
      </c>
    </row>
    <row r="170">
      <c r="A170" s="4244" t="inlineStr">
        <is>
          <t>Donantes</t>
        </is>
      </c>
      <c r="B170" s="3136" t="inlineStr">
        <is>
          <t>Altruista nuevo</t>
        </is>
      </c>
      <c r="C170" s="1926">
        <f>+O170+Q170+S170+U170+W170+Y170+AA170+AC170+AE170+AG170</f>
        <v/>
      </c>
      <c r="D170" s="3142">
        <f>+P170+R170+T170+V170+X170+Z170+AB170+AD170+AF170+AH170</f>
        <v/>
      </c>
      <c r="E170" s="3143" t="n"/>
      <c r="F170" s="3144" t="n"/>
      <c r="G170" s="3143" t="n"/>
      <c r="H170" s="3144" t="n"/>
      <c r="I170" s="3143" t="n"/>
      <c r="J170" s="3144" t="n"/>
      <c r="K170" s="3143" t="n"/>
      <c r="L170" s="3144" t="n"/>
      <c r="M170" s="3143" t="n"/>
      <c r="N170" s="3144" t="n"/>
      <c r="O170" s="3128" t="n"/>
      <c r="P170" s="3129" t="n"/>
      <c r="Q170" s="3128" t="n"/>
      <c r="R170" s="3129" t="n"/>
      <c r="S170" s="3128" t="n"/>
      <c r="T170" s="3129" t="n"/>
      <c r="U170" s="3128" t="n"/>
      <c r="V170" s="3129" t="n"/>
      <c r="W170" s="3128" t="n"/>
      <c r="X170" s="3129" t="n"/>
      <c r="Y170" s="3128" t="n"/>
      <c r="Z170" s="3129" t="n"/>
      <c r="AA170" s="3128" t="n"/>
      <c r="AB170" s="3129" t="n"/>
      <c r="AC170" s="3128" t="n"/>
      <c r="AD170" s="3129" t="n"/>
      <c r="AE170" s="3128" t="n"/>
      <c r="AF170" s="3129" t="n"/>
      <c r="AG170" s="3128" t="n"/>
      <c r="AH170" s="3129" t="n"/>
      <c r="AI170" s="3154" t="n"/>
      <c r="AJ170" s="3155" t="n"/>
      <c r="AK170" s="3156" t="n"/>
      <c r="AL170" s="3130" t="n"/>
      <c r="AM170" s="3128" t="n"/>
      <c r="AN170" s="3157" t="n"/>
      <c r="AO170" s="3156" t="n"/>
      <c r="AP170" s="3130" t="n"/>
      <c r="AQ170" s="3158" t="n"/>
      <c r="AR170" s="3157" t="n"/>
      <c r="AS170" s="1972" t="n"/>
      <c r="AT170" s="1458" t="n"/>
      <c r="AU170" s="3158" t="n"/>
      <c r="AV170" s="3157" t="n"/>
      <c r="AW170" s="3159" t="n"/>
      <c r="AX170" s="3160" t="n"/>
      <c r="AY170" s="218">
        <f>$CA170&amp;CB170&amp;$CC170&amp;CD170&amp;CE170&amp;CF170&amp;CG170&amp;CH170&amp;CI170&amp;CJ170&amp;CK170&amp;CL170&amp;CM170&amp;CN170&amp;CO170&amp;CP170&amp;CQ170&amp;CR170&amp;CS170</f>
        <v/>
      </c>
      <c r="CA170" s="379">
        <f>IF(D170&gt;C170," * El Total de Exámenes Confirmados Positivos por ISP NO DEBE SUPERAR los  Exámenes Procesados. ","")</f>
        <v/>
      </c>
      <c r="CB170" s="219">
        <f>IF(AL170&gt;AK170," * El número de Exámenes por Sexo Hombres Confirmados positivos por ISP NO PUEDE Superar al número de Procesados. ","")</f>
        <v/>
      </c>
      <c r="CC170" s="219">
        <f>IF(AN170&gt;AM170," * El número de Exámenes por Sexo Mujeres Confirmados positivos por ISP NO PUEDE Superar al número de Procesados. ","")</f>
        <v/>
      </c>
      <c r="CD170" s="226" t="n"/>
      <c r="CE170" s="226" t="n"/>
      <c r="CF170" s="226" t="n"/>
      <c r="CG170" s="226" t="n"/>
      <c r="CH170" s="226" t="n"/>
      <c r="CI170" s="219">
        <f>IF(AND(C170&gt;0,AND(AO170="",AQ170=""))," * No olvide digitar los exámenes procesados Trans (Masculino y Femenino). Digite Cero si no tiene.",IF((AO170+AQ170)&gt;C170," * Los exámenes procesados en Trans (Masculino y Femenino) no pueden ser mayor que el Total de exámenes procesados.",""))</f>
        <v/>
      </c>
      <c r="CJ170" s="227" t="n"/>
      <c r="CK170" s="219">
        <f>IF((AM170+AK170)&lt;&gt;C170," * El N° de exámenes Procesados por SEXO (Hombres + Mujeres)no puede ser distinto al Total de exámenes procesados","")</f>
        <v/>
      </c>
      <c r="CL170" s="219">
        <f>IF((AN170+AL170)&lt;&gt;D170," * El N° de exámenes Confirmados positivos por ISP por Sexo (Hombres+Mujeres) no puede ser distinto al N° Total de exámenes Confirmados positivos por ISP ","")</f>
        <v/>
      </c>
      <c r="CM170" s="219">
        <f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>
        <f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>
        <f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>
        <f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>
        <f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 t="n"/>
      <c r="CS170" s="226" t="n"/>
      <c r="CT170" s="223" t="n"/>
      <c r="CU170" s="223" t="n"/>
      <c r="DF170" s="381">
        <f>IF(D170&gt;C170,1,0)</f>
        <v/>
      </c>
      <c r="DG170" s="378">
        <f>IF(AL170&gt;AK170,1,0)</f>
        <v/>
      </c>
      <c r="DH170" s="378">
        <f>IF(AN170&gt;AM170,1,0)</f>
        <v/>
      </c>
      <c r="DI170" s="226" t="n"/>
      <c r="DJ170" s="226" t="n"/>
      <c r="DK170" s="226" t="n"/>
      <c r="DL170" s="226" t="n"/>
      <c r="DM170" s="226" t="n"/>
      <c r="DN170" s="378">
        <f>IF(AND(C170&gt;0,AND(AO170="",AQ170="")),1,IF((AO170+AQ170)&gt;C170,1,0))</f>
        <v/>
      </c>
      <c r="DO170" s="227" t="n"/>
      <c r="DP170" s="378">
        <f>IF((AM170+AK170)&lt;&gt;C170,1,0)</f>
        <v/>
      </c>
      <c r="DQ170" s="378">
        <f>IF((AN170+AL170)&lt;&gt;D170,1,0)</f>
        <v/>
      </c>
      <c r="DR170" s="378">
        <f>IF(AND(C170&gt;0,AS170=""),1,IF(AS170&gt;C170,1,0))</f>
        <v/>
      </c>
      <c r="DS170" s="378">
        <f>IF(AND(C170&gt;0,AU170=""),1,IF(AU170&gt;C170,1,0))</f>
        <v/>
      </c>
      <c r="DT170" s="378">
        <f>IF(AND(D170&gt;0,AND(AP170="",AR170="")),1,IF((AP170+AR170)&gt;D170,1,0))</f>
        <v/>
      </c>
      <c r="DU170" s="378">
        <f>IF(AND(D170&gt;0,AT170=""),1,IF(AT170&gt;D170,1,0))</f>
        <v/>
      </c>
      <c r="DV170" s="378">
        <f>IF(AND(D170&gt;0,AV170=""),1,IF(AV170&gt;D170,1,0))</f>
        <v/>
      </c>
      <c r="DW170" s="226" t="n"/>
      <c r="DX170" s="226" t="n"/>
      <c r="DY170" s="223" t="n"/>
      <c r="DZ170" s="223" t="n"/>
    </row>
    <row r="171">
      <c r="A171" s="10125" t="n"/>
      <c r="B171" s="3137" t="inlineStr">
        <is>
          <t>Altruista repetido</t>
        </is>
      </c>
      <c r="C171" s="3103">
        <f>+O171+Q171+S171+U171+W171+Y171+AA171+AC171+AE171+AG171</f>
        <v/>
      </c>
      <c r="D171" s="757">
        <f>+P171+R171+T171+V171+X171+Z171+AB171+AD171+AF171+AH171</f>
        <v/>
      </c>
      <c r="E171" s="3104" t="n"/>
      <c r="F171" s="3105" t="n"/>
      <c r="G171" s="3104" t="n"/>
      <c r="H171" s="3105" t="n"/>
      <c r="I171" s="3104" t="n"/>
      <c r="J171" s="3105" t="n"/>
      <c r="K171" s="3104" t="n"/>
      <c r="L171" s="3105" t="n"/>
      <c r="M171" s="3104" t="n"/>
      <c r="N171" s="3105" t="n"/>
      <c r="O171" s="3108" t="n"/>
      <c r="P171" s="3107" t="n"/>
      <c r="Q171" s="3108" t="n"/>
      <c r="R171" s="3107" t="n"/>
      <c r="S171" s="3108" t="n"/>
      <c r="T171" s="3107" t="n"/>
      <c r="U171" s="3108" t="n"/>
      <c r="V171" s="3107" t="n"/>
      <c r="W171" s="3108" t="n"/>
      <c r="X171" s="3107" t="n"/>
      <c r="Y171" s="3108" t="n"/>
      <c r="Z171" s="3107" t="n"/>
      <c r="AA171" s="3108" t="n"/>
      <c r="AB171" s="3107" t="n"/>
      <c r="AC171" s="3108" t="n"/>
      <c r="AD171" s="3107" t="n"/>
      <c r="AE171" s="3108" t="n"/>
      <c r="AF171" s="3107" t="n"/>
      <c r="AG171" s="3108" t="n"/>
      <c r="AH171" s="3107" t="n"/>
      <c r="AI171" s="3104" t="n"/>
      <c r="AJ171" s="3106" t="n"/>
      <c r="AK171" s="3099" t="n"/>
      <c r="AL171" s="1125" t="n"/>
      <c r="AM171" s="3108" t="n"/>
      <c r="AN171" s="3149" t="n"/>
      <c r="AO171" s="3099" t="n"/>
      <c r="AP171" s="1125" t="n"/>
      <c r="AQ171" s="3100" t="n"/>
      <c r="AR171" s="3149" t="n"/>
      <c r="AS171" s="3099" t="n"/>
      <c r="AT171" s="3149" t="n"/>
      <c r="AU171" s="3100" t="n"/>
      <c r="AV171" s="3149" t="n"/>
      <c r="AW171" s="3161" t="n"/>
      <c r="AX171" s="2651" t="n"/>
      <c r="AY171" s="218">
        <f>$CA171&amp;CB171&amp;$CC171&amp;CD171&amp;CE171&amp;CF171&amp;CG171&amp;CH171&amp;CI171&amp;CJ171&amp;CK171&amp;CL171&amp;CM171&amp;CN171&amp;CO171&amp;CP171&amp;CQ171&amp;CR171&amp;CS171</f>
        <v/>
      </c>
      <c r="CA171" s="379">
        <f>IF(D171&gt;C171," * El Total de Exámenes Confirmados Positivos por ISP NO DEBE SUPERAR los  Exámenes Procesados. ","")</f>
        <v/>
      </c>
      <c r="CB171" s="219">
        <f>IF(AL171&gt;AK171," * El número de Exámenes por Sexo Hombres Confirmados positivos por ISP NO PUEDE Superar al número de Procesados. ","")</f>
        <v/>
      </c>
      <c r="CC171" s="219">
        <f>IF(AN171&gt;AM171," * El número de Exámenes por Sexo Mujeres Confirmados positivos por ISP NO PUEDE Superar al número de Procesados. ","")</f>
        <v/>
      </c>
      <c r="CD171" s="226" t="n"/>
      <c r="CE171" s="226" t="n"/>
      <c r="CF171" s="226" t="n"/>
      <c r="CG171" s="226" t="n"/>
      <c r="CH171" s="226" t="n"/>
      <c r="CI171" s="219">
        <f>IF(AND(C171&gt;0,AND(AO171="",AQ171=""))," * No olvide digitar los exámenes procesados Trans (Masculino y Femenino). Digite Cero si no tiene.",IF((AO171+AQ171)&gt;C171," * Los exámenes procesados en Trans (Masculino y Femenino) no pueden ser mayor que el Total de exámenes procesados.",""))</f>
        <v/>
      </c>
      <c r="CJ171" s="227" t="n"/>
      <c r="CK171" s="219">
        <f>IF((AM171+AK171)&lt;&gt;C171," * El N° de exámenes Procesados por SEXO (Hombres + Mujeres)no puede ser distinto al Total de exámenes procesados","")</f>
        <v/>
      </c>
      <c r="CL171" s="219">
        <f>IF((AN171+AL171)&lt;&gt;D171," * El N° de exámenes Confirmados positivos por ISP por Sexo (Hombres+Mujeres) no puede ser distinto al N° Total de exámenes Confirmados positivos por ISP ","")</f>
        <v/>
      </c>
      <c r="CM171" s="219">
        <f>IF(AND(C171&gt;0,AS171="")," * No olvide digitar los examanes de Pueblos Originarios Procesados. Digite Cero si no tiene.",IF(AS171&gt;C171," * Los exámenes de Pueblos originarios Procesados no pueden ser mayor que el Total de exámenes procesados.",""))</f>
        <v/>
      </c>
      <c r="CN171" s="219">
        <f>IF(AND(C171&gt;0,AU171="")," * No olvide digitar los exámenes Procesados de Migrantes. Digite Cero si no tiene.",IF(AU171&gt;C171," * Los exámenes procesados de Migrantes no pueden ser mayor que el Total de exámenes procesados.",""))</f>
        <v/>
      </c>
      <c r="CO171" s="219">
        <f>IF(AND(D171&gt;0,AND(AP171="",AR171=""))," * No olvide digitar los exámenes Confirmados positivos por ISP de Trans (Masculino y Femenino). Digite Cero si no tiene.",IF((AP171+AR171)&gt;D171," * Los exámenes confirmados positivos por ISP de Trans (Masculino y Femenino) no pueden ser mayor que el Total de exámenes Confirmados positivos por ISP.",""))</f>
        <v/>
      </c>
      <c r="CP171" s="219">
        <f>IF(AND(D171&gt;0,AT171="")," * No olvide digitar los exámenes Confirmados positivos por ISP de Pueblos Originarios. Digite Cero si no tiene.",IF(AT171&gt;D171," * Los exámenes Confirmados positivos por ISP de Pueblos originarios no pueden ser mayor que el Total de exámenes Procesados por ISP.",""))</f>
        <v/>
      </c>
      <c r="CQ171" s="219">
        <f>IF(AND(D171&gt;0,AV171="")," * No olvide digitar los exámenes Confirmados positivos por ISP de Migrantes. Digite Cero si no tiene.",IF(AV171&gt;D171," * Los exámenes Confirmados positivos por ISP de Migrantes no pueden ser mayor que el Total de exámenes Procesados por ISP.",""))</f>
        <v/>
      </c>
      <c r="CR171" s="226" t="n"/>
      <c r="CS171" s="226" t="n"/>
      <c r="CT171" s="223" t="n"/>
      <c r="CU171" s="223" t="n"/>
      <c r="DF171" s="381">
        <f>IF(D171&gt;C171,1,0)</f>
        <v/>
      </c>
      <c r="DG171" s="378">
        <f>IF(AL171&gt;AK171,1,0)</f>
        <v/>
      </c>
      <c r="DH171" s="378">
        <f>IF(AN171&gt;AM171,1,0)</f>
        <v/>
      </c>
      <c r="DI171" s="226" t="n"/>
      <c r="DJ171" s="226" t="n"/>
      <c r="DK171" s="226" t="n"/>
      <c r="DL171" s="226" t="n"/>
      <c r="DM171" s="226" t="n"/>
      <c r="DN171" s="378">
        <f>IF(AND(C171&gt;0,AND(AO171="",AQ171="")),1,IF((AO171+AQ171)&gt;C171,1,0))</f>
        <v/>
      </c>
      <c r="DO171" s="227" t="n"/>
      <c r="DP171" s="378">
        <f>IF((AM171+AK171)&lt;&gt;C171,1,0)</f>
        <v/>
      </c>
      <c r="DQ171" s="378">
        <f>IF((AN171+AL171)&lt;&gt;D171,1,0)</f>
        <v/>
      </c>
      <c r="DR171" s="378">
        <f>IF(AND(C171&gt;0,AS171=""),1,IF(AS171&gt;C171,1,0))</f>
        <v/>
      </c>
      <c r="DS171" s="378">
        <f>IF(AND(C171&gt;0,AU171=""),1,IF(AU171&gt;C171,1,0))</f>
        <v/>
      </c>
      <c r="DT171" s="378">
        <f>IF(AND(D171&gt;0,AND(AP171="",AR171="")),1,IF((AP171+AR171)&gt;D171,1,0))</f>
        <v/>
      </c>
      <c r="DU171" s="378">
        <f>IF(AND(D171&gt;0,AT171=""),1,IF(AT171&gt;D171,1,0))</f>
        <v/>
      </c>
      <c r="DV171" s="378">
        <f>IF(AND(D171&gt;0,AV171=""),1,IF(AV171&gt;D171,1,0))</f>
        <v/>
      </c>
      <c r="DW171" s="226" t="n"/>
      <c r="DX171" s="226" t="n"/>
      <c r="DY171" s="223" t="n"/>
      <c r="DZ171" s="223" t="n"/>
    </row>
    <row r="172">
      <c r="A172" s="10124" t="n"/>
      <c r="B172" s="1232" t="inlineStr">
        <is>
          <t>Familiar o Reposición</t>
        </is>
      </c>
      <c r="C172" s="1176">
        <f>+O172+Q172+S172+U172+W172+Y172+AA172+AC172+AE172+AG172</f>
        <v/>
      </c>
      <c r="D172" s="2512">
        <f>+P172+R172+T172+V172+X172+Z172+AB172+AD172+AF172+AH172</f>
        <v/>
      </c>
      <c r="E172" s="1154" t="n"/>
      <c r="F172" s="1456" t="n"/>
      <c r="G172" s="1154" t="n"/>
      <c r="H172" s="1456" t="n"/>
      <c r="I172" s="1154" t="n"/>
      <c r="J172" s="1456" t="n"/>
      <c r="K172" s="1154" t="n"/>
      <c r="L172" s="1456" t="n"/>
      <c r="M172" s="1154" t="n"/>
      <c r="N172" s="1456" t="n"/>
      <c r="O172" s="1137" t="n"/>
      <c r="P172" s="1153" t="n"/>
      <c r="Q172" s="1137" t="n"/>
      <c r="R172" s="1153" t="n"/>
      <c r="S172" s="1137" t="n"/>
      <c r="T172" s="1153" t="n"/>
      <c r="U172" s="1137" t="n"/>
      <c r="V172" s="1153" t="n"/>
      <c r="W172" s="1137" t="n"/>
      <c r="X172" s="1153" t="n"/>
      <c r="Y172" s="1137" t="n"/>
      <c r="Z172" s="1153" t="n"/>
      <c r="AA172" s="1137" t="n"/>
      <c r="AB172" s="1153" t="n"/>
      <c r="AC172" s="1137" t="n"/>
      <c r="AD172" s="1153" t="n"/>
      <c r="AE172" s="1137" t="n"/>
      <c r="AF172" s="1153" t="n"/>
      <c r="AG172" s="1137" t="n"/>
      <c r="AH172" s="1153" t="n"/>
      <c r="AI172" s="1154" t="n"/>
      <c r="AJ172" s="1457" t="n"/>
      <c r="AK172" s="1152" t="n"/>
      <c r="AL172" s="1138" t="n"/>
      <c r="AM172" s="1137" t="n"/>
      <c r="AN172" s="1416" t="n"/>
      <c r="AO172" s="1152" t="n"/>
      <c r="AP172" s="1138" t="n"/>
      <c r="AQ172" s="1140" t="n"/>
      <c r="AR172" s="1416" t="n"/>
      <c r="AS172" s="1152" t="n"/>
      <c r="AT172" s="1416" t="n"/>
      <c r="AU172" s="1140" t="n"/>
      <c r="AV172" s="1416" t="n"/>
      <c r="AW172" s="3162" t="n"/>
      <c r="AX172" s="1464" t="n"/>
      <c r="AY172" s="218">
        <f>$CA172&amp;CB172&amp;$CC172&amp;CD172&amp;CE172&amp;CF172&amp;CG172&amp;CH172&amp;CI172&amp;CJ172&amp;CK172&amp;CL172&amp;CM172&amp;CN172&amp;CO172&amp;CP172&amp;CQ172&amp;CR172&amp;CS172</f>
        <v/>
      </c>
      <c r="CA172" s="379">
        <f>IF(D172&gt;C172," * El Total de Exámenes Confirmados Positivos por ISP NO DEBE SUPERAR los  Exámenes Procesados. ","")</f>
        <v/>
      </c>
      <c r="CB172" s="219">
        <f>IF(AL172&gt;AK172," * El número de Exámenes por Sexo Hombres Confirmados positivos por ISP NO PUEDE Superar al número de Procesados. ","")</f>
        <v/>
      </c>
      <c r="CC172" s="219">
        <f>IF(AN172&gt;AM172," * El número de Exámenes por Sexo Mujeres Confirmados positivos por ISP NO PUEDE Superar al número de Procesados. ","")</f>
        <v/>
      </c>
      <c r="CD172" s="226" t="n"/>
      <c r="CE172" s="226" t="n"/>
      <c r="CF172" s="226" t="n"/>
      <c r="CG172" s="226" t="n"/>
      <c r="CH172" s="226" t="n"/>
      <c r="CI172" s="219">
        <f>IF(AND(C172&gt;0,AND(AO172="",AQ172=""))," * No olvide digitar los exámenes procesados Trans (Masculino y Femenino). Digite Cero si no tiene.",IF((AO172+AQ172)&gt;C172," * Los exámenes procesados en Trans (Masculino y Femenino) no pueden ser mayor que el Total de exámenes procesados.",""))</f>
        <v/>
      </c>
      <c r="CJ172" s="227" t="n"/>
      <c r="CK172" s="219">
        <f>IF((AM172+AK172)&lt;&gt;C172," * El N° de exámenes Procesados por SEXO (Hombres + Mujeres)no puede ser distinto al Total de exámenes procesados","")</f>
        <v/>
      </c>
      <c r="CL172" s="219">
        <f>IF((AN172+AL172)&lt;&gt;D172," * El N° de exámenes Confirmados positivos por ISP por Sexo (Hombres+Mujeres) no puede ser distinto al N° Total de exámenes Confirmados positivos por ISP ","")</f>
        <v/>
      </c>
      <c r="CM172" s="219">
        <f>IF(AND(C172&gt;0,AS172="")," * No olvide digitar los examanes de Pueblos Originarios Procesados. Digite Cero si no tiene.",IF(AS172&gt;C172," * Los exámenes de Pueblos originarios Procesados no pueden ser mayor que el Total de exámenes procesados.",""))</f>
        <v/>
      </c>
      <c r="CN172" s="219">
        <f>IF(AND(C172&gt;0,AU172="")," * No olvide digitar los exámenes Procesados de Migrantes. Digite Cero si no tiene.",IF(AU172&gt;C172," * Los exámenes procesados de Migrantes no pueden ser mayor que el Total de exámenes procesados.",""))</f>
        <v/>
      </c>
      <c r="CO172" s="219">
        <f>IF(AND(D172&gt;0,AND(AP172="",AR172=""))," * No olvide digitar los exámenes Confirmados positivos por ISP de Trans (Masculino y Femenino). Digite Cero si no tiene.",IF((AP172+AR172)&gt;D172," * Los exámenes confirmados positivos por ISP de Trans (Masculino y Femenino) no pueden ser mayor que el Total de exámenes Confirmados positivos por ISP.",""))</f>
        <v/>
      </c>
      <c r="CP172" s="219">
        <f>IF(AND(D172&gt;0,AT172="")," * No olvide digitar los exámenes Confirmados positivos por ISP de Pueblos Originarios. Digite Cero si no tiene.",IF(AT172&gt;D172," * Los exámenes Confirmados positivos por ISP de Pueblos originarios no pueden ser mayor que el Total de exámenes Procesados por ISP.",""))</f>
        <v/>
      </c>
      <c r="CQ172" s="219">
        <f>IF(AND(D172&gt;0,AV172="")," * No olvide digitar los exámenes Confirmados positivos por ISP de Migrantes. Digite Cero si no tiene.",IF(AV172&gt;D172," * Los exámenes Confirmados positivos por ISP de Migrantes no pueden ser mayor que el Total de exámenes Procesados por ISP.",""))</f>
        <v/>
      </c>
      <c r="CR172" s="226" t="n"/>
      <c r="CS172" s="226" t="n"/>
      <c r="CT172" s="223" t="n"/>
      <c r="CU172" s="223" t="n"/>
      <c r="DF172" s="381">
        <f>IF(D172&gt;C172,1,0)</f>
        <v/>
      </c>
      <c r="DG172" s="378">
        <f>IF(AL172&gt;AK172,1,0)</f>
        <v/>
      </c>
      <c r="DH172" s="378">
        <f>IF(AN172&gt;AM172,1,0)</f>
        <v/>
      </c>
      <c r="DI172" s="226" t="n"/>
      <c r="DJ172" s="226" t="n"/>
      <c r="DK172" s="226" t="n"/>
      <c r="DL172" s="226" t="n"/>
      <c r="DM172" s="226" t="n"/>
      <c r="DN172" s="378">
        <f>IF(AND(C172&gt;0,AND(AO172="",AQ172="")),1,IF((AO172+AQ172)&gt;C172,1,0))</f>
        <v/>
      </c>
      <c r="DO172" s="227" t="n"/>
      <c r="DP172" s="378">
        <f>IF((AM172+AK172)&lt;&gt;C172,1,0)</f>
        <v/>
      </c>
      <c r="DQ172" s="378">
        <f>IF((AN172+AL172)&lt;&gt;D172,1,0)</f>
        <v/>
      </c>
      <c r="DR172" s="378">
        <f>IF(AND(C172&gt;0,AS172=""),1,IF(AS172&gt;C172,1,0))</f>
        <v/>
      </c>
      <c r="DS172" s="378">
        <f>IF(AND(C172&gt;0,AU172=""),1,IF(AU172&gt;C172,1,0))</f>
        <v/>
      </c>
      <c r="DT172" s="378">
        <f>IF(AND(D172&gt;0,AND(AP172="",AR172="")),1,IF((AP172+AR172)&gt;D172,1,0))</f>
        <v/>
      </c>
      <c r="DU172" s="378">
        <f>IF(AND(D172&gt;0,AT172=""),1,IF(AT172&gt;D172,1,0))</f>
        <v/>
      </c>
      <c r="DV172" s="378">
        <f>IF(AND(D172&gt;0,AV172=""),1,IF(AV172&gt;D172,1,0))</f>
        <v/>
      </c>
      <c r="DW172" s="226" t="n"/>
      <c r="DX172" s="226" t="n"/>
      <c r="DY172" s="223" t="n"/>
      <c r="DZ172" s="223" t="n"/>
    </row>
    <row r="173">
      <c r="A173" s="10308" t="inlineStr">
        <is>
          <t>Donantes de órganos y/o tejidos</t>
        </is>
      </c>
      <c r="B173" s="9935" t="n"/>
      <c r="C173" s="1926">
        <f>+E173+G173+I173+K173+M173+O173+Q173+S173+U173+W173+Y173+AA173+AC173+AE173+AG173+AI173</f>
        <v/>
      </c>
      <c r="D173" s="757">
        <f>+F173+H173+J173+L173+N173+P173+R173+T173+V173+X173+Z173+AB173+AD173+AF173+AH173+AJ173</f>
        <v/>
      </c>
      <c r="E173" s="1971" t="n"/>
      <c r="F173" s="747" t="n"/>
      <c r="G173" s="1971" t="n"/>
      <c r="H173" s="747" t="n"/>
      <c r="I173" s="1971" t="n"/>
      <c r="J173" s="747" t="n"/>
      <c r="K173" s="1971" t="n"/>
      <c r="L173" s="747" t="n"/>
      <c r="M173" s="638" t="n"/>
      <c r="N173" s="141" t="n"/>
      <c r="O173" s="638" t="n"/>
      <c r="P173" s="141" t="n"/>
      <c r="Q173" s="638" t="n"/>
      <c r="R173" s="141" t="n"/>
      <c r="S173" s="638" t="n"/>
      <c r="T173" s="141" t="n"/>
      <c r="U173" s="638" t="n"/>
      <c r="V173" s="141" t="n"/>
      <c r="W173" s="638" t="n"/>
      <c r="X173" s="141" t="n"/>
      <c r="Y173" s="638" t="n"/>
      <c r="Z173" s="141" t="n"/>
      <c r="AA173" s="638" t="n"/>
      <c r="AB173" s="141" t="n"/>
      <c r="AC173" s="638" t="n"/>
      <c r="AD173" s="3163" t="n"/>
      <c r="AE173" s="638" t="n"/>
      <c r="AF173" s="3163" t="n"/>
      <c r="AG173" s="3123" t="n"/>
      <c r="AH173" s="3126" t="n"/>
      <c r="AI173" s="638" t="n"/>
      <c r="AJ173" s="141" t="n"/>
      <c r="AK173" s="1972" t="n"/>
      <c r="AL173" s="1122" t="n"/>
      <c r="AM173" s="1971" t="n"/>
      <c r="AN173" s="1458" t="n"/>
      <c r="AO173" s="1972" t="n"/>
      <c r="AP173" s="1122" t="n"/>
      <c r="AQ173" s="1452" t="n"/>
      <c r="AR173" s="1458" t="n"/>
      <c r="AS173" s="1972" t="n"/>
      <c r="AT173" s="1458" t="n"/>
      <c r="AU173" s="1972" t="n"/>
      <c r="AV173" s="1122" t="n"/>
      <c r="AW173" s="1972" t="n"/>
      <c r="AX173" s="1122" t="n"/>
      <c r="AY173" s="218">
        <f>$CA173&amp;CB173&amp;$CC173&amp;CD173&amp;CE173&amp;CF173&amp;CG173&amp;CH173&amp;CI173&amp;CJ173&amp;CK173&amp;CL173&amp;CM173&amp;CN173&amp;CO173&amp;CP173&amp;CQ173&amp;CR173&amp;CS173&amp;CT173&amp;CU173&amp;CV173&amp;CW173</f>
        <v/>
      </c>
      <c r="CA173" s="379">
        <f>IF(D173&gt;C173," * El Total de Exámenes Confirmados Positivos por ISP NO DEBE SUPERAR los  Exámenes Procesados. ","")</f>
        <v/>
      </c>
      <c r="CB173" s="219">
        <f>IF(AL173&gt;AK173," * El número de Exámenes por Sexo Hombres Confirmados positivos por ISP NO PUEDE Superar al número de Procesados. ","")</f>
        <v/>
      </c>
      <c r="CC173" s="219">
        <f>IF(AN173&gt;AM173," * El número de Exámenes por Sexo Mujeres Confirmados positivos por ISP NO PUEDE Superar al número de Procesados. ","")</f>
        <v/>
      </c>
      <c r="CD173" s="226" t="n"/>
      <c r="CE173" s="226" t="n"/>
      <c r="CF173" s="226" t="n"/>
      <c r="CG173" s="226" t="n"/>
      <c r="CH173" s="226" t="n"/>
      <c r="CI173" s="219">
        <f>IF(AND(C173&gt;0,AND(AO173="",AQ173=""))," * No olvide digitar los exámenes procesados Trans (Masculino y Femenino). Digite Cero si no tiene.",IF((AO173+AQ173)&gt;C173," * Los exámenes procesados en Trans (Masculino y Femenino) no pueden ser mayor que el Total de exámenes procesados.",""))</f>
        <v/>
      </c>
      <c r="CJ173" s="227" t="n"/>
      <c r="CK173" s="219">
        <f>IF((AM173+AK173)&lt;&gt;C173," * El N° de exámenes Procesados por SEXO (Hombres + Mujeres)no puede ser distinto al Total de exámenes procesados","")</f>
        <v/>
      </c>
      <c r="CL173" s="219">
        <f>IF((AN173+AL173)&lt;&gt;D173," * El N° de exámenes Confirmados positivos por ISP por Sexo (Hombres+Mujeres) no puede ser distinto al N° Total de exámenes Confirmados positivos por ISP ","")</f>
        <v/>
      </c>
      <c r="CM173" s="219">
        <f>IF(AND(C173&gt;0,AS173="")," * No olvide digitar los examanes de Pueblos Originarios Procesados. Digite Cero si no tiene.",IF(AS173&gt;C173," * Los exámenes de Pueblos originarios Procesados no pueden ser mayor que el Total de exámenes procesados.",""))</f>
        <v/>
      </c>
      <c r="CN173" s="219">
        <f>IF(AND(C173&gt;0,AU173="")," * No olvide digitar los exámenes Procesados de Migrantes. Digite Cero si no tiene.",IF(AU173&gt;C173," * Los exámenes procesados de Migrantes no pueden ser mayor que el Total de exámenes procesados.",""))</f>
        <v/>
      </c>
      <c r="CO173" s="219">
        <f>IF(AND(D173&gt;0,AND(AP173="",AR173=""))," * No olvide digitar los exámenes Confirmados positivos por ISP de Trans (Masculino y Femenino). Digite Cero si no tiene.",IF((AP173+AR173)&gt;D173," * Los exámenes confirmados positivos por ISP de Trans (Masculino y Femenino) no pueden ser mayor que el Total de exámenes Confirmados positivos por ISP.",""))</f>
        <v/>
      </c>
      <c r="CP173" s="219">
        <f>IF(AND(D173&gt;0,AT173="")," * No olvide digitar los exámenes Confirmados positivos por ISP de Pueblos Originarios. Digite Cero si no tiene.",IF(AT173&gt;D173," * Los exámenes Confirmados positivos por ISP de Pueblos originarios no pueden ser mayor que el Total de exámenes Procesados por ISP.",""))</f>
        <v/>
      </c>
      <c r="CQ173" s="219">
        <f>IF(AND(D173&gt;0,AV173="")," * No olvide digitar los exámenes Confirmados positivos por ISP de Migrantes. Digite Cero si no tiene.",IF(AV173&gt;D173," * Los exámenes Confirmados positivos por ISP de Migrantes no pueden ser mayor que el Total de exámenes Procesados por ISP.",""))</f>
        <v/>
      </c>
      <c r="CR173" s="226" t="n"/>
      <c r="CS173" s="226" t="n"/>
      <c r="CT173" s="260">
        <f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>IF(D173&gt;C173,1,0)</f>
        <v/>
      </c>
      <c r="DG173" s="378">
        <f>IF(AL173&gt;AK173,1,0)</f>
        <v/>
      </c>
      <c r="DH173" s="378">
        <f>IF(AN173&gt;AM173,1,0)</f>
        <v/>
      </c>
      <c r="DI173" s="226" t="n"/>
      <c r="DJ173" s="226" t="n"/>
      <c r="DK173" s="226" t="n"/>
      <c r="DL173" s="226" t="n"/>
      <c r="DM173" s="226" t="n"/>
      <c r="DN173" s="378">
        <f>IF(AND(C173&gt;0,AND(AO173="",AQ173="")),1,IF((AO173+AQ173)&gt;C173,1,0))</f>
        <v/>
      </c>
      <c r="DO173" s="227" t="n"/>
      <c r="DP173" s="378">
        <f>IF((AM173+AK173)&lt;&gt;C173,1,0)</f>
        <v/>
      </c>
      <c r="DQ173" s="378">
        <f>IF((AN173+AL173)&lt;&gt;D173,1,0)</f>
        <v/>
      </c>
      <c r="DR173" s="378">
        <f>IF(AND(C173&gt;0,AS173=""),1,IF(AS173&gt;C173,1,0))</f>
        <v/>
      </c>
      <c r="DS173" s="378">
        <f>IF(AND(C173&gt;0,AU173=""),1,IF(AU173&gt;C173,1,0))</f>
        <v/>
      </c>
      <c r="DT173" s="378">
        <f>IF(AND(D173&gt;0,AND(AP173="",AR173="")),1,IF((AP173+AR173)&gt;D173,1,0))</f>
        <v/>
      </c>
      <c r="DU173" s="378">
        <f>IF(AND(D173&gt;0,AT173=""),1,IF(AT173&gt;D173,1,0))</f>
        <v/>
      </c>
      <c r="DV173" s="378">
        <f>IF(AND(D173&gt;0,AV173=""),1,IF(AV173&gt;D173,1,0))</f>
        <v/>
      </c>
      <c r="DW173" s="226" t="n"/>
      <c r="DX173" s="226" t="n"/>
      <c r="DY173" s="261">
        <f>IF(AND((M173+O173)&gt;0,AW173=""),1,IF(AW173&gt;(M173+O173),1,0))</f>
        <v/>
      </c>
      <c r="DZ173" s="261">
        <f>IF(AND((N173+P173)&gt;0,AX173=""),1,IF(AX173&gt;(N173+P173),1,0))</f>
        <v/>
      </c>
    </row>
    <row r="174">
      <c r="A174" s="10306" t="inlineStr">
        <is>
          <t>Persona en control por TBC</t>
        </is>
      </c>
      <c r="B174" s="9644" t="n"/>
      <c r="C174" s="3103">
        <f>+E174+G174+I174+K174+M174+O174+Q174+S174+U174+W174+Y174+AA174+AC174+AE174+AG174+AI174</f>
        <v/>
      </c>
      <c r="D174" s="3150">
        <f>+F174+H174+J174+L174+N174+P174+R174+T174+V174+X174+Z174+AB174+AD174+AF174+AH174+AJ174</f>
        <v/>
      </c>
      <c r="E174" s="3108" t="n"/>
      <c r="F174" s="3107" t="n"/>
      <c r="G174" s="3108" t="n"/>
      <c r="H174" s="3107" t="n"/>
      <c r="I174" s="3108" t="n"/>
      <c r="J174" s="3107" t="n"/>
      <c r="K174" s="3108" t="n"/>
      <c r="L174" s="3107" t="n"/>
      <c r="M174" s="3108" t="n"/>
      <c r="N174" s="3107" t="n"/>
      <c r="O174" s="1198" t="n"/>
      <c r="P174" s="1147" t="n"/>
      <c r="Q174" s="1198" t="n"/>
      <c r="R174" s="1147" t="n"/>
      <c r="S174" s="1198" t="n"/>
      <c r="T174" s="1147" t="n"/>
      <c r="U174" s="1198" t="n"/>
      <c r="V174" s="1147" t="n"/>
      <c r="W174" s="1198" t="n"/>
      <c r="X174" s="1147" t="n"/>
      <c r="Y174" s="1198" t="n"/>
      <c r="Z174" s="1147" t="n"/>
      <c r="AA174" s="1198" t="n"/>
      <c r="AB174" s="1147" t="n"/>
      <c r="AC174" s="1198" t="n"/>
      <c r="AD174" s="1201" t="n"/>
      <c r="AE174" s="1198" t="n"/>
      <c r="AF174" s="1201" t="n"/>
      <c r="AG174" s="1198" t="n"/>
      <c r="AH174" s="1199" t="n"/>
      <c r="AI174" s="1198" t="n"/>
      <c r="AJ174" s="1147" t="n"/>
      <c r="AK174" s="1146" t="n"/>
      <c r="AL174" s="1148" t="n"/>
      <c r="AM174" s="1198" t="n"/>
      <c r="AN174" s="2689" t="n"/>
      <c r="AO174" s="1146" t="n"/>
      <c r="AP174" s="1148" t="n"/>
      <c r="AQ174" s="1200" t="n"/>
      <c r="AR174" s="2689" t="n"/>
      <c r="AS174" s="1146" t="n"/>
      <c r="AT174" s="2689" t="n"/>
      <c r="AU174" s="1146" t="n"/>
      <c r="AV174" s="1148" t="n"/>
      <c r="AW174" s="1146" t="n"/>
      <c r="AX174" s="1148" t="n"/>
      <c r="AY174" s="218">
        <f>$CA174&amp;CB174&amp;$CC174&amp;CD174&amp;CE174&amp;CF174&amp;CG174&amp;CH174&amp;CI174&amp;CJ174&amp;CK174&amp;CL174&amp;CM174&amp;CN174&amp;CO174&amp;CP174&amp;CQ174&amp;CR174&amp;CS174&amp;CT174&amp;CU174&amp;CV174&amp;CW174</f>
        <v/>
      </c>
      <c r="CA174" s="379">
        <f>IF(D174&gt;C174," * El Total de Exámenes Confirmados Positivos por ISP NO DEBE SUPERAR los  Exámenes Procesados. ","")</f>
        <v/>
      </c>
      <c r="CB174" s="219">
        <f>IF(AL174&gt;AK174," * El número de Exámenes por Sexo Hombres Confirmados positivos por ISP NO PUEDE Superar al número de Procesados. ","")</f>
        <v/>
      </c>
      <c r="CC174" s="219">
        <f>IF(AN174&gt;AM174," * El número de Exámenes por Sexo Mujeres Confirmados positivos por ISP NO PUEDE Superar al número de Procesados. ","")</f>
        <v/>
      </c>
      <c r="CD174" s="226" t="n"/>
      <c r="CE174" s="226" t="n"/>
      <c r="CF174" s="226" t="n"/>
      <c r="CG174" s="226" t="n"/>
      <c r="CH174" s="226" t="n"/>
      <c r="CI174" s="219">
        <f>IF(AND(C174&gt;0,AND(AO174="",AQ174=""))," * No olvide digitar los exámenes procesados Trans (Masculino y Femenino). Digite Cero si no tiene.",IF((AO174+AQ174)&gt;C174," * Los exámenes procesados en Trans (Masculino y Femenino) no pueden ser mayor que el Total de exámenes procesados.",""))</f>
        <v/>
      </c>
      <c r="CJ174" s="227" t="n"/>
      <c r="CK174" s="219">
        <f>IF((AM174+AK174)&lt;&gt;C174," * El N° de exámenes Procesados por SEXO (Hombres + Mujeres)no puede ser distinto al Total de exámenes procesados","")</f>
        <v/>
      </c>
      <c r="CL174" s="219">
        <f>IF((AN174+AL174)&lt;&gt;D174," * El N° de exámenes Confirmados positivos por ISP por Sexo (Hombres+Mujeres) no puede ser distinto al N° Total de exámenes Confirmados positivos por ISP ","")</f>
        <v/>
      </c>
      <c r="CM174" s="219">
        <f>IF(AND(C174&gt;0,AS174="")," * No olvide digitar los examanes de Pueblos Originarios Procesados. Digite Cero si no tiene.",IF(AS174&gt;C174," * Los exámenes de Pueblos originarios Procesados no pueden ser mayor que el Total de exámenes procesados.",""))</f>
        <v/>
      </c>
      <c r="CN174" s="219">
        <f>IF(AND(C174&gt;0,AU174="")," * No olvide digitar los exámenes Procesados de Migrantes. Digite Cero si no tiene.",IF(AU174&gt;C174," * Los exámenes procesados de Migrantes no pueden ser mayor que el Total de exámenes procesados.",""))</f>
        <v/>
      </c>
      <c r="CO174" s="219">
        <f>IF(AND(D174&gt;0,AND(AP174="",AR174=""))," * No olvide digitar los exámenes Confirmados positivos por ISP de Trans (Masculino y Femenino). Digite Cero si no tiene.",IF((AP174+AR174)&gt;D174," * Los exámenes confirmados positivos por ISP de Trans (Masculino y Femenino) no pueden ser mayor que el Total de exámenes Confirmados positivos por ISP.",""))</f>
        <v/>
      </c>
      <c r="CP174" s="219">
        <f>IF(AND(D174&gt;0,AT174="")," * No olvide digitar los exámenes Confirmados positivos por ISP de Pueblos Originarios. Digite Cero si no tiene.",IF(AT174&gt;D174," * Los exámenes Confirmados positivos por ISP de Pueblos originarios no pueden ser mayor que el Total de exámenes Procesados por ISP.",""))</f>
        <v/>
      </c>
      <c r="CQ174" s="219">
        <f>IF(AND(D174&gt;0,AV174="")," * No olvide digitar los exámenes Confirmados positivos por ISP de Migrantes. Digite Cero si no tiene.",IF(AV174&gt;D174," * Los exámenes Confirmados positivos por ISP de Migrantes no pueden ser mayor que el Total de exámenes Procesados por ISP.",""))</f>
        <v/>
      </c>
      <c r="CR174" s="226" t="n"/>
      <c r="CS174" s="226" t="n"/>
      <c r="CT174" s="260">
        <f>IF(AND((M174+O174)&gt;0,AW174=""),"*No olvide digitar los Exámenes Procesados de 14-18 años. Digite cero si no tiene.",IF(AW174&gt;(M174+O174),"* El Total de Procesados de 14-18 años NO DEBE ser mayor al Total de Procesados registrados en los grupos de edad 10 a 14 + 15 a 19 años. ",""))</f>
        <v/>
      </c>
      <c r="CU174" s="260">
        <f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>IF(D174&gt;C174,1,0)</f>
        <v/>
      </c>
      <c r="DG174" s="378">
        <f>IF(AL174&gt;AK174,1,0)</f>
        <v/>
      </c>
      <c r="DH174" s="378">
        <f>IF(AN174&gt;AM174,1,0)</f>
        <v/>
      </c>
      <c r="DI174" s="226" t="n"/>
      <c r="DJ174" s="226" t="n"/>
      <c r="DK174" s="226" t="n"/>
      <c r="DL174" s="226" t="n"/>
      <c r="DM174" s="226" t="n"/>
      <c r="DN174" s="378">
        <f>IF(AND(C174&gt;0,AND(AO174="",AQ174="")),1,IF((AO174+AQ174)&gt;C174,1,0))</f>
        <v/>
      </c>
      <c r="DO174" s="227" t="n"/>
      <c r="DP174" s="378">
        <f>IF((AM174+AK174)&lt;&gt;C174,1,0)</f>
        <v/>
      </c>
      <c r="DQ174" s="378">
        <f>IF((AN174+AL174)&lt;&gt;D174,1,0)</f>
        <v/>
      </c>
      <c r="DR174" s="378">
        <f>IF(AND(C174&gt;0,AS174=""),1,IF(AS174&gt;C174,1,0))</f>
        <v/>
      </c>
      <c r="DS174" s="378">
        <f>IF(AND(C174&gt;0,AU174=""),1,IF(AU174&gt;C174,1,0))</f>
        <v/>
      </c>
      <c r="DT174" s="378">
        <f>IF(AND(D174&gt;0,AND(AP174="",AR174="")),1,IF((AP174+AR174)&gt;D174,1,0))</f>
        <v/>
      </c>
      <c r="DU174" s="378">
        <f>IF(AND(D174&gt;0,AT174=""),1,IF(AT174&gt;D174,1,0))</f>
        <v/>
      </c>
      <c r="DV174" s="378">
        <f>IF(AND(D174&gt;0,AV174=""),1,IF(AV174&gt;D174,1,0))</f>
        <v/>
      </c>
      <c r="DW174" s="226" t="n"/>
      <c r="DX174" s="226" t="n"/>
      <c r="DY174" s="261">
        <f>IF(AND((M174+O174)&gt;0,AW174=""),1,IF(AW174&gt;(M174+O174),1,0))</f>
        <v/>
      </c>
      <c r="DZ174" s="261">
        <f>IF(AND((N174+P174)&gt;0,AX174=""),1,IF(AX174&gt;(N174+P174),1,0))</f>
        <v/>
      </c>
    </row>
    <row r="175">
      <c r="A175" s="10306" t="inlineStr">
        <is>
          <t>Víctima de violencia sexual</t>
        </is>
      </c>
      <c r="B175" s="9644" t="n"/>
      <c r="C175" s="3103">
        <f>+E175+G175+I175+K175+M175+O175+Q175+S175+U175+W175+Y175+AA175+AC175+AE175+AG175+AI175</f>
        <v/>
      </c>
      <c r="D175" s="3150">
        <f>+F175+H175+J175+L175+N175+P175+R175+T175+V175+X175+Z175+AB175+AD175+AF175+AH175+AJ175</f>
        <v/>
      </c>
      <c r="E175" s="3108" t="n"/>
      <c r="F175" s="3107" t="n"/>
      <c r="G175" s="3108" t="n"/>
      <c r="H175" s="3107" t="n"/>
      <c r="I175" s="3108" t="n"/>
      <c r="J175" s="3107" t="n"/>
      <c r="K175" s="3108" t="n"/>
      <c r="L175" s="3107" t="n"/>
      <c r="M175" s="3108" t="n"/>
      <c r="N175" s="3107" t="n"/>
      <c r="O175" s="1198" t="n"/>
      <c r="P175" s="1147" t="n"/>
      <c r="Q175" s="1198" t="n"/>
      <c r="R175" s="1147" t="n"/>
      <c r="S175" s="1198" t="n"/>
      <c r="T175" s="1147" t="n"/>
      <c r="U175" s="1198" t="n"/>
      <c r="V175" s="1147" t="n"/>
      <c r="W175" s="1198" t="n"/>
      <c r="X175" s="1147" t="n"/>
      <c r="Y175" s="1198" t="n"/>
      <c r="Z175" s="1147" t="n"/>
      <c r="AA175" s="1198" t="n"/>
      <c r="AB175" s="1147" t="n"/>
      <c r="AC175" s="1198" t="n"/>
      <c r="AD175" s="1201" t="n"/>
      <c r="AE175" s="1198" t="n"/>
      <c r="AF175" s="1201" t="n"/>
      <c r="AG175" s="1198" t="n"/>
      <c r="AH175" s="1199" t="n"/>
      <c r="AI175" s="1198" t="n"/>
      <c r="AJ175" s="1147" t="n"/>
      <c r="AK175" s="1146" t="n"/>
      <c r="AL175" s="1148" t="n"/>
      <c r="AM175" s="1198" t="n"/>
      <c r="AN175" s="2689" t="n"/>
      <c r="AO175" s="1146" t="n"/>
      <c r="AP175" s="1148" t="n"/>
      <c r="AQ175" s="1200" t="n"/>
      <c r="AR175" s="2689" t="n"/>
      <c r="AS175" s="1146" t="n"/>
      <c r="AT175" s="2689" t="n"/>
      <c r="AU175" s="1146" t="n"/>
      <c r="AV175" s="1148" t="n"/>
      <c r="AW175" s="1146" t="n"/>
      <c r="AX175" s="1148" t="n"/>
      <c r="AY175" s="218">
        <f>$CA175&amp;CB175&amp;$CC175&amp;CD175&amp;CE175&amp;CF175&amp;CG175&amp;CH175&amp;CI175&amp;CJ175&amp;CK175&amp;CL175&amp;CM175&amp;CN175&amp;CO175&amp;CP175&amp;CQ175&amp;CR175&amp;CS175&amp;CT175&amp;CU175&amp;CV175&amp;CW175</f>
        <v/>
      </c>
      <c r="CA175" s="379">
        <f>IF(D175&gt;C175," * El Total de Exámenes Confirmados Positivos por ISP NO DEBE SUPERAR los  Exámenes Procesados. ","")</f>
        <v/>
      </c>
      <c r="CB175" s="219">
        <f>IF(AL175&gt;AK175," * El número de Exámenes por Sexo Hombres Confirmados positivos por ISP NO PUEDE Superar al número de Procesados. ","")</f>
        <v/>
      </c>
      <c r="CC175" s="219">
        <f>IF(AN175&gt;AM175," * El número de Exámenes por Sexo Mujeres Confirmados positivos por ISP NO PUEDE Superar al número de Procesados. ","")</f>
        <v/>
      </c>
      <c r="CD175" s="226" t="n"/>
      <c r="CE175" s="226" t="n"/>
      <c r="CF175" s="226" t="n"/>
      <c r="CG175" s="226" t="n"/>
      <c r="CH175" s="226" t="n"/>
      <c r="CI175" s="219">
        <f>IF(AND(C175&gt;0,AND(AO175="",AQ175=""))," * No olvide digitar los exámenes procesados Trans (Masculino y Femenino). Digite Cero si no tiene.",IF((AO175+AQ175)&gt;C175," * Los exámenes procesados en Trans (Masculino y Femenino) no pueden ser mayor que el Total de exámenes procesados.",""))</f>
        <v/>
      </c>
      <c r="CJ175" s="227" t="n"/>
      <c r="CK175" s="219">
        <f>IF((AM175+AK175)&lt;&gt;C175," * El N° de exámenes Procesados por SEXO (Hombres + Mujeres)no puede ser distinto al Total de exámenes procesados","")</f>
        <v/>
      </c>
      <c r="CL175" s="219">
        <f>IF((AN175+AL175)&lt;&gt;D175," * El N° de exámenes Confirmados positivos por ISP por Sexo (Hombres+Mujeres) no puede ser distinto al N° Total de exámenes Confirmados positivos por ISP ","")</f>
        <v/>
      </c>
      <c r="CM175" s="219">
        <f>IF(AND(C175&gt;0,AS175="")," * No olvide digitar los examanes de Pueblos Originarios Procesados. Digite Cero si no tiene.",IF(AS175&gt;C175," * Los exámenes de Pueblos originarios Procesados no pueden ser mayor que el Total de exámenes procesados.",""))</f>
        <v/>
      </c>
      <c r="CN175" s="219">
        <f>IF(AND(C175&gt;0,AU175="")," * No olvide digitar los exámenes Procesados de Migrantes. Digite Cero si no tiene.",IF(AU175&gt;C175," * Los exámenes procesados de Migrantes no pueden ser mayor que el Total de exámenes procesados.",""))</f>
        <v/>
      </c>
      <c r="CO175" s="219">
        <f>IF(AND(D175&gt;0,AND(AP175="",AR175=""))," * No olvide digitar los exámenes Confirmados positivos por ISP de Trans (Masculino y Femenino). Digite Cero si no tiene.",IF((AP175+AR175)&gt;D175," * Los exámenes confirmados positivos por ISP de Trans (Masculino y Femenino) no pueden ser mayor que el Total de exámenes Confirmados positivos por ISP.",""))</f>
        <v/>
      </c>
      <c r="CP175" s="219">
        <f>IF(AND(D175&gt;0,AT175="")," * No olvide digitar los exámenes Confirmados positivos por ISP de Pueblos Originarios. Digite Cero si no tiene.",IF(AT175&gt;D175," * Los exámenes Confirmados positivos por ISP de Pueblos originarios no pueden ser mayor que el Total de exámenes Procesados por ISP.",""))</f>
        <v/>
      </c>
      <c r="CQ175" s="219">
        <f>IF(AND(D175&gt;0,AV175="")," * No olvide digitar los exámenes Confirmados positivos por ISP de Migrantes. Digite Cero si no tiene.",IF(AV175&gt;D175," * Los exámenes Confirmados positivos por ISP de Migrantes no pueden ser mayor que el Total de exámenes Procesados por ISP.",""))</f>
        <v/>
      </c>
      <c r="CR175" s="226" t="n"/>
      <c r="CS175" s="226" t="n"/>
      <c r="CT175" s="260">
        <f>IF(AND((M175+O175)&gt;0,AW175=""),"*No olvide digitar los Exámenes Procesados de 14-18 años. Digite cero si no tiene.",IF(AW175&gt;(M175+O175),"* El Total de Procesados de 14-18 años NO DEBE ser mayor al Total de Procesados registrados en los grupos de edad 10 a 14 + 15 a 19 años. ",""))</f>
        <v/>
      </c>
      <c r="CU175" s="260">
        <f>IF(AND((N175+P175)&gt;0,AX175=""),"*No olvide digitar los Exámenes Confirmados Positivos por ISP de 14-18 años. Digite cero si no tiene.",IF(AX175&gt;(N175+P175),"* El Total de Confirmados de 14-18 años NO DEBE ser mayor al Total de Confirmados Positivos por ISP registrados en los grupos de edad 10 a 14 + 15 a 19 años. ",""))</f>
        <v/>
      </c>
      <c r="DF175" s="381">
        <f>IF(D175&gt;C175,1,0)</f>
        <v/>
      </c>
      <c r="DG175" s="378">
        <f>IF(AL175&gt;AK175,1,0)</f>
        <v/>
      </c>
      <c r="DH175" s="378">
        <f>IF(AN175&gt;AM175,1,0)</f>
        <v/>
      </c>
      <c r="DI175" s="226" t="n"/>
      <c r="DJ175" s="226" t="n"/>
      <c r="DK175" s="226" t="n"/>
      <c r="DL175" s="226" t="n"/>
      <c r="DM175" s="226" t="n"/>
      <c r="DN175" s="378">
        <f>IF(AND(C175&gt;0,AND(AO175="",AQ175="")),1,IF((AO175+AQ175)&gt;C175,1,0))</f>
        <v/>
      </c>
      <c r="DO175" s="227" t="n"/>
      <c r="DP175" s="378">
        <f>IF((AM175+AK175)&lt;&gt;C175,1,0)</f>
        <v/>
      </c>
      <c r="DQ175" s="378">
        <f>IF((AN175+AL175)&lt;&gt;D175,1,0)</f>
        <v/>
      </c>
      <c r="DR175" s="378">
        <f>IF(AND(C175&gt;0,AS175=""),1,IF(AS175&gt;C175,1,0))</f>
        <v/>
      </c>
      <c r="DS175" s="378">
        <f>IF(AND(C175&gt;0,AU175=""),1,IF(AU175&gt;C175,1,0))</f>
        <v/>
      </c>
      <c r="DT175" s="378">
        <f>IF(AND(D175&gt;0,AND(AP175="",AR175="")),1,IF((AP175+AR175)&gt;D175,1,0))</f>
        <v/>
      </c>
      <c r="DU175" s="378">
        <f>IF(AND(D175&gt;0,AT175=""),1,IF(AT175&gt;D175,1,0))</f>
        <v/>
      </c>
      <c r="DV175" s="378">
        <f>IF(AND(D175&gt;0,AV175=""),1,IF(AV175&gt;D175,1,0))</f>
        <v/>
      </c>
      <c r="DW175" s="226" t="n"/>
      <c r="DX175" s="226" t="n"/>
      <c r="DY175" s="261">
        <f>IF(AND((M175+O175)&gt;0,AW175=""),1,IF(AW175&gt;(M175+O175),1,0))</f>
        <v/>
      </c>
      <c r="DZ175" s="261">
        <f>IF(AND((N175+P175)&gt;0,AX175=""),1,IF(AX175&gt;(N175+P175),1,0))</f>
        <v/>
      </c>
    </row>
    <row r="176">
      <c r="A176" s="10306" t="inlineStr">
        <is>
          <t>Pareja serodiscordante</t>
        </is>
      </c>
      <c r="B176" s="9644" t="n"/>
      <c r="C176" s="3103">
        <f>+O176+Q176+S176+U176+W176+Y176+AA176+AC176+AE176+AG176+AI176</f>
        <v/>
      </c>
      <c r="D176" s="1249">
        <f>+P176+R176+T176+V176+X176+Z176+AB176+AD176+AF176+AH176+AJ176</f>
        <v/>
      </c>
      <c r="E176" s="3104" t="n"/>
      <c r="F176" s="3105" t="n"/>
      <c r="G176" s="3104" t="n"/>
      <c r="H176" s="3105" t="n"/>
      <c r="I176" s="3104" t="n"/>
      <c r="J176" s="3105" t="n"/>
      <c r="K176" s="3104" t="n"/>
      <c r="L176" s="3105" t="n"/>
      <c r="M176" s="3104" t="n"/>
      <c r="N176" s="3105" t="n"/>
      <c r="O176" s="1198" t="n"/>
      <c r="P176" s="1147" t="n"/>
      <c r="Q176" s="1198" t="n"/>
      <c r="R176" s="1147" t="n"/>
      <c r="S176" s="1198" t="n"/>
      <c r="T176" s="1147" t="n"/>
      <c r="U176" s="1198" t="n"/>
      <c r="V176" s="1147" t="n"/>
      <c r="W176" s="1198" t="n"/>
      <c r="X176" s="1147" t="n"/>
      <c r="Y176" s="1198" t="n"/>
      <c r="Z176" s="1147" t="n"/>
      <c r="AA176" s="1198" t="n"/>
      <c r="AB176" s="1147" t="n"/>
      <c r="AC176" s="1198" t="n"/>
      <c r="AD176" s="1201" t="n"/>
      <c r="AE176" s="1198" t="n"/>
      <c r="AF176" s="1201" t="n"/>
      <c r="AG176" s="1198" t="n"/>
      <c r="AH176" s="1199" t="n"/>
      <c r="AI176" s="1198" t="n"/>
      <c r="AJ176" s="1147" t="n"/>
      <c r="AK176" s="1146" t="n"/>
      <c r="AL176" s="1148" t="n"/>
      <c r="AM176" s="1198" t="n"/>
      <c r="AN176" s="2689" t="n"/>
      <c r="AO176" s="1146" t="n"/>
      <c r="AP176" s="1148" t="n"/>
      <c r="AQ176" s="1200" t="n"/>
      <c r="AR176" s="2689" t="n"/>
      <c r="AS176" s="1146" t="n"/>
      <c r="AT176" s="2689" t="n"/>
      <c r="AU176" s="1146" t="n"/>
      <c r="AV176" s="1148" t="n"/>
      <c r="AW176" s="1146" t="n"/>
      <c r="AX176" s="1148" t="n"/>
      <c r="AY176" s="218">
        <f>$CA176&amp;CB176&amp;$CC176&amp;CD176&amp;CE176&amp;CF176&amp;CG176&amp;CH176&amp;CI176&amp;CJ176&amp;CK176&amp;CL176&amp;CM176&amp;CN176&amp;CO176&amp;CP176&amp;CQ176&amp;CR176&amp;CS176&amp;CT176&amp;CU176&amp;CV176&amp;CW176</f>
        <v/>
      </c>
      <c r="CA176" s="379">
        <f>IF(D176&gt;C176," * El Total de Exámenes Confirmados Positivos por ISP NO DEBE SUPERAR los  Exámenes Procesados. ","")</f>
        <v/>
      </c>
      <c r="CB176" s="219">
        <f>IF(AL176&gt;AK176," * El número de Exámenes por Sexo Hombres Confirmados positivos por ISP NO PUEDE Superar al número de Procesados. ","")</f>
        <v/>
      </c>
      <c r="CC176" s="219">
        <f>IF(AN176&gt;AM176," * El número de Exámenes por Sexo Mujeres Confirmados positivos por ISP NO PUEDE Superar al número de Procesados. ","")</f>
        <v/>
      </c>
      <c r="CD176" s="226" t="n"/>
      <c r="CE176" s="226" t="n"/>
      <c r="CF176" s="226" t="n"/>
      <c r="CG176" s="226" t="n"/>
      <c r="CH176" s="226" t="n"/>
      <c r="CI176" s="219">
        <f>IF(AND(C176&gt;0,AND(AO176="",AQ176=""))," * No olvide digitar los exámenes procesados Trans (Masculino y Femenino). Digite Cero si no tiene.",IF((AO176+AQ176)&gt;C176," * Los exámenes procesados en Trans (Masculino y Femenino) no pueden ser mayor que el Total de exámenes procesados.",""))</f>
        <v/>
      </c>
      <c r="CJ176" s="227" t="n"/>
      <c r="CK176" s="219">
        <f>IF((AM176+AK176)&lt;&gt;C176," * El N° de exámenes Procesados por SEXO (Hombres + Mujeres)no puede ser distinto al Total de exámenes procesados","")</f>
        <v/>
      </c>
      <c r="CL176" s="219">
        <f>IF((AN176+AL176)&lt;&gt;D176," * El N° de exámenes Confirmados positivos por ISP por Sexo (Hombres+Mujeres) no puede ser distinto al N° Total de exámenes Confirmados positivos por ISP ","")</f>
        <v/>
      </c>
      <c r="CM176" s="219">
        <f>IF(AND(C176&gt;0,AS176="")," * No olvide digitar los examanes de Pueblos Originarios Procesados. Digite Cero si no tiene.",IF(AS176&gt;C176," * Los exámenes de Pueblos originarios Procesados no pueden ser mayor que el Total de exámenes procesados.",""))</f>
        <v/>
      </c>
      <c r="CN176" s="219">
        <f>IF(AND(C176&gt;0,AU176="")," * No olvide digitar los exámenes Procesados de Migrantes. Digite Cero si no tiene.",IF(AU176&gt;C176," * Los exámenes procesados de Migrantes no pueden ser mayor que el Total de exámenes procesados.",""))</f>
        <v/>
      </c>
      <c r="CO176" s="219">
        <f>IF(AND(D176&gt;0,AND(AP176="",AR176=""))," * No olvide digitar los exámenes Confirmados positivos por ISP de Trans (Masculino y Femenino). Digite Cero si no tiene.",IF((AP176+AR176)&gt;D176," * Los exámenes confirmados positivos por ISP de Trans (Masculino y Femenino) no pueden ser mayor que el Total de exámenes Confirmados positivos por ISP.",""))</f>
        <v/>
      </c>
      <c r="CP176" s="219">
        <f>IF(AND(D176&gt;0,AT176="")," * No olvide digitar los exámenes Confirmados positivos por ISP de Pueblos Originarios. Digite Cero si no tiene.",IF(AT176&gt;D176," * Los exámenes Confirmados positivos por ISP de Pueblos originarios no pueden ser mayor que el Total de exámenes Procesados por ISP.",""))</f>
        <v/>
      </c>
      <c r="CQ176" s="219">
        <f>IF(AND(D176&gt;0,AV176="")," * No olvide digitar los exámenes Confirmados positivos por ISP de Migrantes. Digite Cero si no tiene.",IF(AV176&gt;D176," * Los exámenes Confirmados positivos por ISP de Migrantes no pueden ser mayor que el Total de exámenes Procesados por ISP.",""))</f>
        <v/>
      </c>
      <c r="CR176" s="226" t="n"/>
      <c r="CS176" s="226" t="n"/>
      <c r="CT176" s="260">
        <f>IF(AND((M176+O176)&gt;0,AW176=""),"*No olvide digitar los Exámenes Procesados de 14-18 años. Digite cero si no tiene.",IF(AW176&gt;(M176+O176),"* El Total de Procesados de 14-18 años NO DEBE ser mayor al Total de Procesados registrados en los grupos de edad 10 a 14 + 15 a 19 años. ",""))</f>
        <v/>
      </c>
      <c r="CU176" s="260">
        <f>IF(AND((N176+P176)&gt;0,AX176=""),"*No olvide digitar los Exámenes Confirmados Positivos por ISP de 14-18 años. Digite cero si no tiene.",IF(AX176&gt;(N176+P176),"* El Total de Confirmados de 14-18 años NO DEBE ser mayor al Total de Confirmados Positivos por ISP registrados en los grupos de edad 10 a 14 + 15 a 19 años. ",""))</f>
        <v/>
      </c>
      <c r="DF176" s="381">
        <f>IF(D176&gt;C176,1,0)</f>
        <v/>
      </c>
      <c r="DG176" s="378">
        <f>IF(AL176&gt;AK176,1,0)</f>
        <v/>
      </c>
      <c r="DH176" s="378">
        <f>IF(AN176&gt;AM176,1,0)</f>
        <v/>
      </c>
      <c r="DI176" s="226" t="n"/>
      <c r="DJ176" s="226" t="n"/>
      <c r="DK176" s="226" t="n"/>
      <c r="DL176" s="226" t="n"/>
      <c r="DM176" s="226" t="n"/>
      <c r="DN176" s="378">
        <f>IF(AND(C176&gt;0,AND(AO176="",AQ176="")),1,IF((AO176+AQ176)&gt;C176,1,0))</f>
        <v/>
      </c>
      <c r="DO176" s="227" t="n"/>
      <c r="DP176" s="378">
        <f>IF((AM176+AK176)&lt;&gt;C176,1,0)</f>
        <v/>
      </c>
      <c r="DQ176" s="378">
        <f>IF((AN176+AL176)&lt;&gt;D176,1,0)</f>
        <v/>
      </c>
      <c r="DR176" s="378">
        <f>IF(AND(C176&gt;0,AS176=""),1,IF(AS176&gt;C176,1,0))</f>
        <v/>
      </c>
      <c r="DS176" s="378">
        <f>IF(AND(C176&gt;0,AU176=""),1,IF(AU176&gt;C176,1,0))</f>
        <v/>
      </c>
      <c r="DT176" s="378">
        <f>IF(AND(D176&gt;0,AND(AP176="",AR176="")),1,IF((AP176+AR176)&gt;D176,1,0))</f>
        <v/>
      </c>
      <c r="DU176" s="378">
        <f>IF(AND(D176&gt;0,AT176=""),1,IF(AT176&gt;D176,1,0))</f>
        <v/>
      </c>
      <c r="DV176" s="378">
        <f>IF(AND(D176&gt;0,AV176=""),1,IF(AV176&gt;D176,1,0))</f>
        <v/>
      </c>
      <c r="DW176" s="226" t="n"/>
      <c r="DX176" s="226" t="n"/>
      <c r="DY176" s="261">
        <f>IF(AND((M176+O176)&gt;0,AW176=""),1,IF(AW176&gt;(M176+O176),1,0))</f>
        <v/>
      </c>
      <c r="DZ176" s="261">
        <f>IF(AND((N176+P176)&gt;0,AX176=""),1,IF(AX176&gt;(N176+P176),1,0))</f>
        <v/>
      </c>
    </row>
    <row r="177">
      <c r="A177" s="10306" t="inlineStr">
        <is>
          <t>Pareja de gestante VIH positivo</t>
        </is>
      </c>
      <c r="B177" s="9644" t="n"/>
      <c r="C177" s="3103">
        <f>+O177+Q177+S177+U177+W177+Y177+AA177+AC177+AE177+AG177+AI177</f>
        <v/>
      </c>
      <c r="D177" s="1249">
        <f>+P177+R177+T177+V177+X177+Z177+AB177+AD177+AF177+AH177+AJ177</f>
        <v/>
      </c>
      <c r="E177" s="3104" t="n"/>
      <c r="F177" s="3105" t="n"/>
      <c r="G177" s="3104" t="n"/>
      <c r="H177" s="3105" t="n"/>
      <c r="I177" s="3104" t="n"/>
      <c r="J177" s="3105" t="n"/>
      <c r="K177" s="3104" t="n"/>
      <c r="L177" s="3105" t="n"/>
      <c r="M177" s="3104" t="n"/>
      <c r="N177" s="3105" t="n"/>
      <c r="O177" s="1198" t="n"/>
      <c r="P177" s="1147" t="n"/>
      <c r="Q177" s="1198" t="n"/>
      <c r="R177" s="1147" t="n"/>
      <c r="S177" s="1198" t="n"/>
      <c r="T177" s="1147" t="n"/>
      <c r="U177" s="1198" t="n"/>
      <c r="V177" s="1147" t="n"/>
      <c r="W177" s="1198" t="n"/>
      <c r="X177" s="1147" t="n"/>
      <c r="Y177" s="1198" t="n"/>
      <c r="Z177" s="1147" t="n"/>
      <c r="AA177" s="1198" t="n"/>
      <c r="AB177" s="1147" t="n"/>
      <c r="AC177" s="1198" t="n"/>
      <c r="AD177" s="1201" t="n"/>
      <c r="AE177" s="1198" t="n"/>
      <c r="AF177" s="1201" t="n"/>
      <c r="AG177" s="3108" t="n"/>
      <c r="AH177" s="1148" t="n"/>
      <c r="AI177" s="3108" t="n"/>
      <c r="AJ177" s="1200" t="n"/>
      <c r="AK177" s="1146" t="n"/>
      <c r="AL177" s="1148" t="n"/>
      <c r="AM177" s="1198" t="n"/>
      <c r="AN177" s="2689" t="n"/>
      <c r="AO177" s="1146" t="n"/>
      <c r="AP177" s="1148" t="n"/>
      <c r="AQ177" s="1200" t="n"/>
      <c r="AR177" s="2689" t="n"/>
      <c r="AS177" s="1146" t="n"/>
      <c r="AT177" s="2689" t="n"/>
      <c r="AU177" s="1146" t="n"/>
      <c r="AV177" s="1148" t="n"/>
      <c r="AW177" s="1146" t="n"/>
      <c r="AX177" s="1148" t="n"/>
      <c r="AY177" s="218">
        <f>$CA177&amp;CB177&amp;$CC177&amp;CD177&amp;CE177&amp;CF177&amp;CG177&amp;CH177&amp;CI177&amp;CJ177&amp;CK177&amp;CL177&amp;CM177&amp;CN177&amp;CO177&amp;CP177&amp;CQ177&amp;CR177&amp;CS177&amp;CT177&amp;CU177&amp;CV177&amp;CW177</f>
        <v/>
      </c>
      <c r="CA177" s="379">
        <f>IF(D177&gt;C177," * El Total de Exámenes Confirmados Positivos por ISP NO DEBE SUPERAR los  Exámenes Procesados. ","")</f>
        <v/>
      </c>
      <c r="CB177" s="219">
        <f>IF(AL177&gt;AK177," * El número de Exámenes por Sexo Hombres Confirmados positivos por ISP NO PUEDE Superar al número de Procesados. ","")</f>
        <v/>
      </c>
      <c r="CC177" s="219">
        <f>IF(AN177&gt;AM177," * El número de Exámenes por Sexo Mujeres Confirmados positivos por ISP NO PUEDE Superar al número de Procesados. ","")</f>
        <v/>
      </c>
      <c r="CD177" s="226" t="n"/>
      <c r="CE177" s="226" t="n"/>
      <c r="CF177" s="226" t="n"/>
      <c r="CG177" s="226" t="n"/>
      <c r="CH177" s="226" t="n"/>
      <c r="CI177" s="219">
        <f>IF(AND(C177&gt;0,AND(AO177="",AQ177=""))," * No olvide digitar los exámenes procesados Trans (Masculino y Femenino). Digite Cero si no tiene.",IF((AO177+AQ177)&gt;C177," * Los exámenes procesados en Trans (Masculino y Femenino) no pueden ser mayor que el Total de exámenes procesados.",""))</f>
        <v/>
      </c>
      <c r="CJ177" s="227" t="n"/>
      <c r="CK177" s="219">
        <f>IF((AM177+AK177)&lt;&gt;C177," * El N° de exámenes Procesados por SEXO (Hombres + Mujeres)no puede ser distinto al Total de exámenes procesados","")</f>
        <v/>
      </c>
      <c r="CL177" s="219">
        <f>IF((AN177+AL177)&lt;&gt;D177," * El N° de exámenes Confirmados positivos por ISP por Sexo (Hombres+Mujeres) no puede ser distinto al N° Total de exámenes Confirmados positivos por ISP ","")</f>
        <v/>
      </c>
      <c r="CM177" s="219">
        <f>IF(AND(C177&gt;0,AS177="")," * No olvide digitar los examanes de Pueblos Originarios Procesados. Digite Cero si no tiene.",IF(AS177&gt;C177," * Los exámenes de Pueblos originarios Procesados no pueden ser mayor que el Total de exámenes procesados.",""))</f>
        <v/>
      </c>
      <c r="CN177" s="219">
        <f>IF(AND(C177&gt;0,AU177="")," * No olvide digitar los exámenes Procesados de Migrantes. Digite Cero si no tiene.",IF(AU177&gt;C177," * Los exámenes procesados de Migrantes no pueden ser mayor que el Total de exámenes procesados.",""))</f>
        <v/>
      </c>
      <c r="CO177" s="219">
        <f>IF(AND(D177&gt;0,AND(AP177="",AR177=""))," * No olvide digitar los exámenes Confirmados positivos por ISP de Trans (Masculino y Femenino). Digite Cero si no tiene.",IF((AP177+AR177)&gt;D177," * Los exámenes confirmados positivos por ISP de Trans (Masculino y Femenino) no pueden ser mayor que el Total de exámenes Confirmados positivos por ISP.",""))</f>
        <v/>
      </c>
      <c r="CP177" s="219">
        <f>IF(AND(D177&gt;0,AT177="")," * No olvide digitar los exámenes Confirmados positivos por ISP de Pueblos Originarios. Digite Cero si no tiene.",IF(AT177&gt;D177," * Los exámenes Confirmados positivos por ISP de Pueblos originarios no pueden ser mayor que el Total de exámenes Procesados por ISP.",""))</f>
        <v/>
      </c>
      <c r="CQ177" s="219">
        <f>IF(AND(D177&gt;0,AV177="")," * No olvide digitar los exámenes Confirmados positivos por ISP de Migrantes. Digite Cero si no tiene.",IF(AV177&gt;D177," * Los exámenes Confirmados positivos por ISP de Migrantes no pueden ser mayor que el Total de exámenes Procesados por ISP.",""))</f>
        <v/>
      </c>
      <c r="CR177" s="226" t="n"/>
      <c r="CS177" s="226" t="n"/>
      <c r="CT177" s="260">
        <f>IF(AND((M177+O177)&gt;0,AW177=""),"*No olvide digitar los Exámenes Procesados de 14-18 años. Digite cero si no tiene.",IF(AW177&gt;(M177+O177),"* El Total de Procesados de 14-18 años NO DEBE ser mayor al Total de Procesados registrados en los grupos de edad 10 a 14 + 15 a 19 años. ",""))</f>
        <v/>
      </c>
      <c r="CU177" s="260">
        <f>IF(AND((N177+P177)&gt;0,AX177=""),"*No olvide digitar los Exámenes Confirmados Positivos por ISP de 14-18 años. Digite cero si no tiene.",IF(AX177&gt;(N177+P177),"* El Total de Confirmados de 14-18 años NO DEBE ser mayor al Total de Confirmados Positivos por ISP registrados en los grupos de edad 10 a 14 + 15 a 19 años. ",""))</f>
        <v/>
      </c>
      <c r="DF177" s="381">
        <f>IF(D177&gt;C177,1,0)</f>
        <v/>
      </c>
      <c r="DG177" s="378">
        <f>IF(AL177&gt;AK177,1,0)</f>
        <v/>
      </c>
      <c r="DH177" s="378">
        <f>IF(AN177&gt;AM177,1,0)</f>
        <v/>
      </c>
      <c r="DI177" s="226" t="n"/>
      <c r="DJ177" s="226" t="n"/>
      <c r="DK177" s="226" t="n"/>
      <c r="DL177" s="226" t="n"/>
      <c r="DM177" s="226" t="n"/>
      <c r="DN177" s="378">
        <f>IF(AND(C177&gt;0,AND(AO177="",AQ177="")),1,IF((AO177+AQ177)&gt;C177,1,0))</f>
        <v/>
      </c>
      <c r="DO177" s="227" t="n"/>
      <c r="DP177" s="378">
        <f>IF((AM177+AK177)&lt;&gt;C177,1,0)</f>
        <v/>
      </c>
      <c r="DQ177" s="378">
        <f>IF((AN177+AL177)&lt;&gt;D177,1,0)</f>
        <v/>
      </c>
      <c r="DR177" s="378">
        <f>IF(AND(C177&gt;0,AS177=""),1,IF(AS177&gt;C177,1,0))</f>
        <v/>
      </c>
      <c r="DS177" s="378">
        <f>IF(AND(C177&gt;0,AU177=""),1,IF(AU177&gt;C177,1,0))</f>
        <v/>
      </c>
      <c r="DT177" s="378">
        <f>IF(AND(D177&gt;0,AND(AP177="",AR177="")),1,IF((AP177+AR177)&gt;D177,1,0))</f>
        <v/>
      </c>
      <c r="DU177" s="378">
        <f>IF(AND(D177&gt;0,AT177=""),1,IF(AT177&gt;D177,1,0))</f>
        <v/>
      </c>
      <c r="DV177" s="378">
        <f>IF(AND(D177&gt;0,AV177=""),1,IF(AV177&gt;D177,1,0))</f>
        <v/>
      </c>
      <c r="DW177" s="226" t="n"/>
      <c r="DX177" s="226" t="n"/>
      <c r="DY177" s="261">
        <f>IF(AND((M177+O177)&gt;0,AW177=""),1,IF(AW177&gt;(M177+O177),1,0))</f>
        <v/>
      </c>
      <c r="DZ177" s="261">
        <f>IF(AND((N177+P177)&gt;0,AX177=""),1,IF(AX177&gt;(N177+P177),1,0))</f>
        <v/>
      </c>
    </row>
    <row r="178">
      <c r="A178" s="10306" t="inlineStr">
        <is>
          <t>Personal de salud expuesto a accidente cortopunzante</t>
        </is>
      </c>
      <c r="B178" s="9644" t="n"/>
      <c r="C178" s="3103">
        <f>+O178+Q178+S178+U178+W178+Y178+AA178+AC178+AE178+AG178+AI178</f>
        <v/>
      </c>
      <c r="D178" s="1249">
        <f>+P178+R178+T178+V178+X178+Z178+AB178+AD178+AF178+AH178+AJ178</f>
        <v/>
      </c>
      <c r="E178" s="3104" t="n"/>
      <c r="F178" s="3105" t="n"/>
      <c r="G178" s="3104" t="n"/>
      <c r="H178" s="3105" t="n"/>
      <c r="I178" s="3104" t="n"/>
      <c r="J178" s="3105" t="n"/>
      <c r="K178" s="3104" t="n"/>
      <c r="L178" s="3105" t="n"/>
      <c r="M178" s="3104" t="n"/>
      <c r="N178" s="3105" t="n"/>
      <c r="O178" s="1198" t="n"/>
      <c r="P178" s="1147" t="n"/>
      <c r="Q178" s="1198" t="n"/>
      <c r="R178" s="1147" t="n"/>
      <c r="S178" s="1198" t="n"/>
      <c r="T178" s="1147" t="n"/>
      <c r="U178" s="1198" t="n"/>
      <c r="V178" s="1147" t="n"/>
      <c r="W178" s="1198" t="n"/>
      <c r="X178" s="1147" t="n"/>
      <c r="Y178" s="1198" t="n"/>
      <c r="Z178" s="1147" t="n"/>
      <c r="AA178" s="1198" t="n"/>
      <c r="AB178" s="1147" t="n"/>
      <c r="AC178" s="1198" t="n"/>
      <c r="AD178" s="1201" t="n"/>
      <c r="AE178" s="1198" t="n"/>
      <c r="AF178" s="1201" t="n"/>
      <c r="AG178" s="1198" t="n"/>
      <c r="AH178" s="1199" t="n"/>
      <c r="AI178" s="1198" t="n"/>
      <c r="AJ178" s="1147" t="n"/>
      <c r="AK178" s="1146" t="n"/>
      <c r="AL178" s="1148" t="n"/>
      <c r="AM178" s="1198" t="n"/>
      <c r="AN178" s="2689" t="n"/>
      <c r="AO178" s="1146" t="n"/>
      <c r="AP178" s="1148" t="n"/>
      <c r="AQ178" s="1200" t="n"/>
      <c r="AR178" s="2689" t="n"/>
      <c r="AS178" s="1146" t="n"/>
      <c r="AT178" s="2689" t="n"/>
      <c r="AU178" s="1146" t="n"/>
      <c r="AV178" s="1148" t="n"/>
      <c r="AW178" s="1146" t="n"/>
      <c r="AX178" s="1148" t="n"/>
      <c r="AY178" s="218">
        <f>$CA178&amp;CB178&amp;$CC178&amp;CD178&amp;CE178&amp;CF178&amp;CG178&amp;CH178&amp;CI178&amp;CJ178&amp;CK178&amp;CL178&amp;CM178&amp;CN178&amp;CO178&amp;CP178&amp;CQ178&amp;CR178&amp;CS178&amp;CT178&amp;CU178&amp;CV178&amp;CW178</f>
        <v/>
      </c>
      <c r="CA178" s="379">
        <f>IF(D178&gt;C178," * El Total de Exámenes Confirmados Positivos por ISP NO DEBE SUPERAR los  Exámenes Procesados. ","")</f>
        <v/>
      </c>
      <c r="CB178" s="219">
        <f>IF(AL178&gt;AK178," * El número de Exámenes por Sexo Hombres Confirmados positivos por ISP NO PUEDE Superar al número de Procesados. ","")</f>
        <v/>
      </c>
      <c r="CC178" s="219">
        <f>IF(AN178&gt;AM178," * El número de Exámenes por Sexo Mujeres Confirmados positivos por ISP NO PUEDE Superar al número de Procesados. ","")</f>
        <v/>
      </c>
      <c r="CD178" s="226" t="n"/>
      <c r="CE178" s="226" t="n"/>
      <c r="CF178" s="226" t="n"/>
      <c r="CG178" s="226" t="n"/>
      <c r="CH178" s="226" t="n"/>
      <c r="CI178" s="219">
        <f>IF(AND(C178&gt;0,AND(AO178="",AQ178=""))," * No olvide digitar los exámenes procesados Trans (Masculino y Femenino). Digite Cero si no tiene.",IF((AO178+AQ178)&gt;C178," * Los exámenes procesados en Trans (Masculino y Femenino) no pueden ser mayor que el Total de exámenes procesados.",""))</f>
        <v/>
      </c>
      <c r="CJ178" s="227" t="n"/>
      <c r="CK178" s="219">
        <f>IF((AM178+AK178)&lt;&gt;C178," * El N° de exámenes Procesados por SEXO (Hombres + Mujeres)no puede ser distinto al Total de exámenes procesados","")</f>
        <v/>
      </c>
      <c r="CL178" s="219">
        <f>IF((AN178+AL178)&lt;&gt;D178," * El N° de exámenes Confirmados positivos por ISP por Sexo (Hombres+Mujeres) no puede ser distinto al N° Total de exámenes Confirmados positivos por ISP ","")</f>
        <v/>
      </c>
      <c r="CM178" s="219">
        <f>IF(AND(C178&gt;0,AS178="")," * No olvide digitar los examanes de Pueblos Originarios Procesados. Digite Cero si no tiene.",IF(AS178&gt;C178," * Los exámenes de Pueblos originarios Procesados no pueden ser mayor que el Total de exámenes procesados.",""))</f>
        <v/>
      </c>
      <c r="CN178" s="219">
        <f>IF(AND(C178&gt;0,AU178="")," * No olvide digitar los exámenes Procesados de Migrantes. Digite Cero si no tiene.",IF(AU178&gt;C178," * Los exámenes procesados de Migrantes no pueden ser mayor que el Total de exámenes procesados.",""))</f>
        <v/>
      </c>
      <c r="CO178" s="219">
        <f>IF(AND(D178&gt;0,AND(AP178="",AR178=""))," * No olvide digitar los exámenes Confirmados positivos por ISP de Trans (Masculino y Femenino). Digite Cero si no tiene.",IF((AP178+AR178)&gt;D178," * Los exámenes confirmados positivos por ISP de Trans (Masculino y Femenino) no pueden ser mayor que el Total de exámenes Confirmados positivos por ISP.",""))</f>
        <v/>
      </c>
      <c r="CP178" s="219">
        <f>IF(AND(D178&gt;0,AT178="")," * No olvide digitar los exámenes Confirmados positivos por ISP de Pueblos Originarios. Digite Cero si no tiene.",IF(AT178&gt;D178," * Los exámenes Confirmados positivos por ISP de Pueblos originarios no pueden ser mayor que el Total de exámenes Procesados por ISP.",""))</f>
        <v/>
      </c>
      <c r="CQ178" s="219">
        <f>IF(AND(D178&gt;0,AV178="")," * No olvide digitar los exámenes Confirmados positivos por ISP de Migrantes. Digite Cero si no tiene.",IF(AV178&gt;D178," * Los exámenes Confirmados positivos por ISP de Migrantes no pueden ser mayor que el Total de exámenes Procesados por ISP.",""))</f>
        <v/>
      </c>
      <c r="CR178" s="226" t="n"/>
      <c r="CS178" s="226" t="n"/>
      <c r="CT178" s="260">
        <f>IF(AND((M178+O178)&gt;0,AW178=""),"*No olvide digitar los Exámenes Procesados de 14-18 años. Digite cero si no tiene.",IF(AW178&gt;(M178+O178),"* El Total de Procesados de 14-18 años NO DEBE ser mayor al Total de Procesados registrados en los grupos de edad 10 a 14 + 15 a 19 años. ",""))</f>
        <v/>
      </c>
      <c r="CU178" s="260">
        <f>IF(AND((N178+P178)&gt;0,AX178=""),"*No olvide digitar los Exámenes Confirmados Positivos por ISP de 14-18 años. Digite cero si no tiene.",IF(AX178&gt;(N178+P178),"* El Total de Confirmados de 14-18 años NO DEBE ser mayor al Total de Confirmados Positivos por ISP registrados en los grupos de edad 10 a 14 + 15 a 19 años. ",""))</f>
        <v/>
      </c>
      <c r="DF178" s="381">
        <f>IF(D178&gt;C178,1,0)</f>
        <v/>
      </c>
      <c r="DG178" s="378">
        <f>IF(AL178&gt;AK178,1,0)</f>
        <v/>
      </c>
      <c r="DH178" s="378">
        <f>IF(AN178&gt;AM178,1,0)</f>
        <v/>
      </c>
      <c r="DI178" s="226" t="n"/>
      <c r="DJ178" s="226" t="n"/>
      <c r="DK178" s="226" t="n"/>
      <c r="DL178" s="226" t="n"/>
      <c r="DM178" s="226" t="n"/>
      <c r="DN178" s="378">
        <f>IF(AND(C178&gt;0,AND(AO178="",AQ178="")),1,IF((AO178+AQ178)&gt;C178,1,0))</f>
        <v/>
      </c>
      <c r="DO178" s="227" t="n"/>
      <c r="DP178" s="378">
        <f>IF((AM178+AK178)&lt;&gt;C178,1,0)</f>
        <v/>
      </c>
      <c r="DQ178" s="378">
        <f>IF((AN178+AL178)&lt;&gt;D178,1,0)</f>
        <v/>
      </c>
      <c r="DR178" s="378">
        <f>IF(AND(C178&gt;0,AS178=""),1,IF(AS178&gt;C178,1,0))</f>
        <v/>
      </c>
      <c r="DS178" s="378">
        <f>IF(AND(C178&gt;0,AU178=""),1,IF(AU178&gt;C178,1,0))</f>
        <v/>
      </c>
      <c r="DT178" s="378">
        <f>IF(AND(D178&gt;0,AND(AP178="",AR178="")),1,IF((AP178+AR178)&gt;D178,1,0))</f>
        <v/>
      </c>
      <c r="DU178" s="378">
        <f>IF(AND(D178&gt;0,AT178=""),1,IF(AT178&gt;D178,1,0))</f>
        <v/>
      </c>
      <c r="DV178" s="378">
        <f>IF(AND(D178&gt;0,AV178=""),1,IF(AV178&gt;D178,1,0))</f>
        <v/>
      </c>
      <c r="DW178" s="226" t="n"/>
      <c r="DX178" s="226" t="n"/>
      <c r="DY178" s="261">
        <f>IF(AND((M178+O178)&gt;0,AW178=""),1,IF(AW178&gt;(M178+O178),1,0))</f>
        <v/>
      </c>
      <c r="DZ178" s="261">
        <f>IF(AND((N178+P178)&gt;0,AX178=""),1,IF(AX178&gt;(N178+P178),1,0))</f>
        <v/>
      </c>
    </row>
    <row r="179">
      <c r="A179" s="10306" t="inlineStr">
        <is>
          <t>Pacientes fuente de accidente cortopunzante</t>
        </is>
      </c>
      <c r="B179" s="9644" t="n"/>
      <c r="C179" s="3103">
        <f>+E179+G179+I179+K179+M179+O179+Q179+S179+U179+W179+Y179+AA179+AC179+AE179+AG179+AI179</f>
        <v/>
      </c>
      <c r="D179" s="1249">
        <f>+F179+H179+J179+L179+N179+P179+R179+T179+V179+X179+Z179+AB179+AD179+AF179+AH179+AJ179</f>
        <v/>
      </c>
      <c r="E179" s="1198" t="n"/>
      <c r="F179" s="1147" t="n"/>
      <c r="G179" s="1198" t="n"/>
      <c r="H179" s="1147" t="n"/>
      <c r="I179" s="1198" t="n"/>
      <c r="J179" s="1147" t="n"/>
      <c r="K179" s="1198" t="n"/>
      <c r="L179" s="1147" t="n"/>
      <c r="M179" s="1198" t="n"/>
      <c r="N179" s="1147" t="n"/>
      <c r="O179" s="1198" t="n"/>
      <c r="P179" s="1147" t="n"/>
      <c r="Q179" s="1198" t="n"/>
      <c r="R179" s="1147" t="n"/>
      <c r="S179" s="1198" t="n"/>
      <c r="T179" s="1147" t="n"/>
      <c r="U179" s="1198" t="n"/>
      <c r="V179" s="1147" t="n"/>
      <c r="W179" s="1198" t="n"/>
      <c r="X179" s="1147" t="n"/>
      <c r="Y179" s="1198" t="n"/>
      <c r="Z179" s="1147" t="n"/>
      <c r="AA179" s="1198" t="n"/>
      <c r="AB179" s="1147" t="n"/>
      <c r="AC179" s="1198" t="n"/>
      <c r="AD179" s="1201" t="n"/>
      <c r="AE179" s="1198" t="n"/>
      <c r="AF179" s="1201" t="n"/>
      <c r="AG179" s="1198" t="n"/>
      <c r="AH179" s="1199" t="n"/>
      <c r="AI179" s="1198" t="n"/>
      <c r="AJ179" s="1147" t="n"/>
      <c r="AK179" s="1146" t="n"/>
      <c r="AL179" s="1148" t="n"/>
      <c r="AM179" s="1198" t="n"/>
      <c r="AN179" s="2689" t="n"/>
      <c r="AO179" s="1146" t="n"/>
      <c r="AP179" s="1148" t="n"/>
      <c r="AQ179" s="1200" t="n"/>
      <c r="AR179" s="2689" t="n"/>
      <c r="AS179" s="1146" t="n"/>
      <c r="AT179" s="2689" t="n"/>
      <c r="AU179" s="1146" t="n"/>
      <c r="AV179" s="1148" t="n"/>
      <c r="AW179" s="1146" t="n"/>
      <c r="AX179" s="1148" t="n"/>
      <c r="AY179" s="218">
        <f>$CA179&amp;CB179&amp;$CC179&amp;CD179&amp;CE179&amp;CF179&amp;CG179&amp;CH179&amp;CI179&amp;CJ179&amp;CK179&amp;CL179&amp;CM179&amp;CN179&amp;CO179&amp;CP179&amp;CQ179&amp;CR179&amp;CS179&amp;CT179&amp;CU179&amp;CV179&amp;CW179</f>
        <v/>
      </c>
      <c r="CA179" s="379">
        <f>IF(D179&gt;C179," * El Total de Exámenes Confirmados Positivos por ISP NO DEBE SUPERAR los  Exámenes Procesados. ","")</f>
        <v/>
      </c>
      <c r="CB179" s="219">
        <f>IF(AL179&gt;AK179," * El número de Exámenes por Sexo Hombres Confirmados positivos por ISP NO PUEDE Superar al número de Procesados. ","")</f>
        <v/>
      </c>
      <c r="CC179" s="219">
        <f>IF(AN179&gt;AM179," * El número de Exámenes por Sexo Mujeres Confirmados positivos por ISP NO PUEDE Superar al número de Procesados. ","")</f>
        <v/>
      </c>
      <c r="CD179" s="226" t="n"/>
      <c r="CE179" s="226" t="n"/>
      <c r="CF179" s="226" t="n"/>
      <c r="CG179" s="226" t="n"/>
      <c r="CH179" s="226" t="n"/>
      <c r="CI179" s="219">
        <f>IF(AND(C179&gt;0,AND(AO179="",AQ179=""))," * No olvide digitar los exámenes procesados Trans (Masculino y Femenino). Digite Cero si no tiene.",IF((AO179+AQ179)&gt;C179," * Los exámenes procesados en Trans (Masculino y Femenino) no pueden ser mayor que el Total de exámenes procesados.",""))</f>
        <v/>
      </c>
      <c r="CJ179" s="227" t="n"/>
      <c r="CK179" s="219">
        <f>IF((AM179+AK179)&lt;&gt;C179," * El N° de exámenes Procesados por SEXO (Hombres + Mujeres)no puede ser distinto al Total de exámenes procesados","")</f>
        <v/>
      </c>
      <c r="CL179" s="219">
        <f>IF((AN179+AL179)&lt;&gt;D179," * El N° de exámenes Confirmados positivos por ISP por Sexo (Hombres+Mujeres) no puede ser distinto al N° Total de exámenes Confirmados positivos por ISP ","")</f>
        <v/>
      </c>
      <c r="CM179" s="219">
        <f>IF(AND(C179&gt;0,AS179="")," * No olvide digitar los examanes de Pueblos Originarios Procesados. Digite Cero si no tiene.",IF(AS179&gt;C179," * Los exámenes de Pueblos originarios Procesados no pueden ser mayor que el Total de exámenes procesados.",""))</f>
        <v/>
      </c>
      <c r="CN179" s="219">
        <f>IF(AND(C179&gt;0,AU179="")," * No olvide digitar los exámenes Procesados de Migrantes. Digite Cero si no tiene.",IF(AU179&gt;C179," * Los exámenes procesados de Migrantes no pueden ser mayor que el Total de exámenes procesados.",""))</f>
        <v/>
      </c>
      <c r="CO179" s="219">
        <f>IF(AND(D179&gt;0,AND(AP179="",AR179=""))," * No olvide digitar los exámenes Confirmados positivos por ISP de Trans (Masculino y Femenino). Digite Cero si no tiene.",IF((AP179+AR179)&gt;D179," * Los exámenes confirmados positivos por ISP de Trans (Masculino y Femenino) no pueden ser mayor que el Total de exámenes Confirmados positivos por ISP.",""))</f>
        <v/>
      </c>
      <c r="CP179" s="219">
        <f>IF(AND(D179&gt;0,AT179="")," * No olvide digitar los exámenes Confirmados positivos por ISP de Pueblos Originarios. Digite Cero si no tiene.",IF(AT179&gt;D179," * Los exámenes Confirmados positivos por ISP de Pueblos originarios no pueden ser mayor que el Total de exámenes Procesados por ISP.",""))</f>
        <v/>
      </c>
      <c r="CQ179" s="219">
        <f>IF(AND(D179&gt;0,AV179="")," * No olvide digitar los exámenes Confirmados positivos por ISP de Migrantes. Digite Cero si no tiene.",IF(AV179&gt;D179," * Los exámenes Confirmados positivos por ISP de Migrantes no pueden ser mayor que el Total de exámenes Procesados por ISP.",""))</f>
        <v/>
      </c>
      <c r="CR179" s="226" t="n"/>
      <c r="CS179" s="226" t="n"/>
      <c r="CT179" s="260">
        <f>IF(AND((M179+O179)&gt;0,AW179=""),"*No olvide digitar los Exámenes Procesados de 14-18 años. Digite cero si no tiene.",IF(AW179&gt;(M179+O179),"* El Total de Procesados de 14-18 años NO DEBE ser mayor al Total de Procesados registrados en los grupos de edad 10 a 14 + 15 a 19 años. ",""))</f>
        <v/>
      </c>
      <c r="CU179" s="260">
        <f>IF(AND((N179+P179)&gt;0,AX179=""),"*No olvide digitar los Exámenes Confirmados Positivos por ISP de 14-18 años. Digite cero si no tiene.",IF(AX179&gt;(N179+P179),"* El Total de Confirmados de 14-18 años NO DEBE ser mayor al Total de Confirmados Positivos por ISP registrados en los grupos de edad 10 a 14 + 15 a 19 años. ",""))</f>
        <v/>
      </c>
      <c r="DF179" s="381">
        <f>IF(D179&gt;C179,1,0)</f>
        <v/>
      </c>
      <c r="DG179" s="378">
        <f>IF(AL179&gt;AK179,1,0)</f>
        <v/>
      </c>
      <c r="DH179" s="378">
        <f>IF(AN179&gt;AM179,1,0)</f>
        <v/>
      </c>
      <c r="DI179" s="226" t="n"/>
      <c r="DJ179" s="226" t="n"/>
      <c r="DK179" s="226" t="n"/>
      <c r="DL179" s="226" t="n"/>
      <c r="DM179" s="226" t="n"/>
      <c r="DN179" s="378">
        <f>IF(AND(C179&gt;0,AND(AO179="",AQ179="")),1,IF((AO179+AQ179)&gt;C179,1,0))</f>
        <v/>
      </c>
      <c r="DO179" s="227" t="n"/>
      <c r="DP179" s="378">
        <f>IF((AM179+AK179)&lt;&gt;C179,1,0)</f>
        <v/>
      </c>
      <c r="DQ179" s="378">
        <f>IF((AN179+AL179)&lt;&gt;D179,1,0)</f>
        <v/>
      </c>
      <c r="DR179" s="378">
        <f>IF(AND(C179&gt;0,AS179=""),1,IF(AS179&gt;C179,1,0))</f>
        <v/>
      </c>
      <c r="DS179" s="378">
        <f>IF(AND(C179&gt;0,AU179=""),1,IF(AU179&gt;C179,1,0))</f>
        <v/>
      </c>
      <c r="DT179" s="378">
        <f>IF(AND(D179&gt;0,AND(AP179="",AR179="")),1,IF((AP179+AR179)&gt;D179,1,0))</f>
        <v/>
      </c>
      <c r="DU179" s="378">
        <f>IF(AND(D179&gt;0,AT179=""),1,IF(AT179&gt;D179,1,0))</f>
        <v/>
      </c>
      <c r="DV179" s="378">
        <f>IF(AND(D179&gt;0,AV179=""),1,IF(AV179&gt;D179,1,0))</f>
        <v/>
      </c>
      <c r="DW179" s="226" t="n"/>
      <c r="DX179" s="226" t="n"/>
      <c r="DY179" s="261">
        <f>IF(AND((M179+O179)&gt;0,AW179=""),1,IF(AW179&gt;(M179+O179),1,0))</f>
        <v/>
      </c>
      <c r="DZ179" s="261">
        <f>IF(AND((N179+P179)&gt;0,AX179=""),1,IF(AX179&gt;(N179+P179),1,0))</f>
        <v/>
      </c>
    </row>
    <row r="180">
      <c r="A180" s="10306" t="inlineStr">
        <is>
          <t>Persona en control por Hepatitis B</t>
        </is>
      </c>
      <c r="B180" s="9644" t="n"/>
      <c r="C180" s="3103">
        <f>+E180+G180+I180+K180+M180+O180+Q180+S180+U180+W180+Y180+AA180+AC180+AE180+AG180+AI180</f>
        <v/>
      </c>
      <c r="D180" s="1249">
        <f>+F180+H180+J180+L180+N180+P180+R180+T180+V180+X180+Z180+AB180+AD180+AF180+AH180+AJ180</f>
        <v/>
      </c>
      <c r="E180" s="1198" t="n"/>
      <c r="F180" s="1147" t="n"/>
      <c r="G180" s="1198" t="n"/>
      <c r="H180" s="1147" t="n"/>
      <c r="I180" s="1198" t="n"/>
      <c r="J180" s="1147" t="n"/>
      <c r="K180" s="1198" t="n"/>
      <c r="L180" s="1147" t="n"/>
      <c r="M180" s="1198" t="n"/>
      <c r="N180" s="1147" t="n"/>
      <c r="O180" s="1198" t="n"/>
      <c r="P180" s="1147" t="n"/>
      <c r="Q180" s="1198" t="n"/>
      <c r="R180" s="1147" t="n"/>
      <c r="S180" s="1198" t="n"/>
      <c r="T180" s="1147" t="n"/>
      <c r="U180" s="1198" t="n"/>
      <c r="V180" s="1147" t="n"/>
      <c r="W180" s="1198" t="n"/>
      <c r="X180" s="1147" t="n"/>
      <c r="Y180" s="1198" t="n"/>
      <c r="Z180" s="1147" t="n"/>
      <c r="AA180" s="1198" t="n"/>
      <c r="AB180" s="1147" t="n"/>
      <c r="AC180" s="1198" t="n"/>
      <c r="AD180" s="1201" t="n"/>
      <c r="AE180" s="1198" t="n"/>
      <c r="AF180" s="1201" t="n"/>
      <c r="AG180" s="1198" t="n"/>
      <c r="AH180" s="1199" t="n"/>
      <c r="AI180" s="1198" t="n"/>
      <c r="AJ180" s="1147" t="n"/>
      <c r="AK180" s="1146" t="n"/>
      <c r="AL180" s="1148" t="n"/>
      <c r="AM180" s="1198" t="n"/>
      <c r="AN180" s="2689" t="n"/>
      <c r="AO180" s="1146" t="n"/>
      <c r="AP180" s="1148" t="n"/>
      <c r="AQ180" s="1200" t="n"/>
      <c r="AR180" s="2689" t="n"/>
      <c r="AS180" s="1146" t="n"/>
      <c r="AT180" s="2689" t="n"/>
      <c r="AU180" s="1146" t="n"/>
      <c r="AV180" s="1148" t="n"/>
      <c r="AW180" s="1146" t="n"/>
      <c r="AX180" s="1148" t="n"/>
      <c r="AY180" s="218">
        <f>$CA180&amp;CB180&amp;$CC180&amp;CD180&amp;CE180&amp;CF180&amp;CG180&amp;CH180&amp;CI180&amp;CJ180&amp;CK180&amp;CL180&amp;CM180&amp;CN180&amp;CO180&amp;CP180&amp;CQ180&amp;CR180&amp;CS180&amp;CT180&amp;CU180&amp;CV180&amp;CW180</f>
        <v/>
      </c>
      <c r="CA180" s="379">
        <f>IF(D180&gt;C180," * El Total de Exámenes Confirmados Positivos por ISP NO DEBE SUPERAR los  Exámenes Procesados. ","")</f>
        <v/>
      </c>
      <c r="CB180" s="219">
        <f>IF(AL180&gt;AK180," * El número de Exámenes por Sexo Hombres Confirmados positivos por ISP NO PUEDE Superar al número de Procesados. ","")</f>
        <v/>
      </c>
      <c r="CC180" s="219">
        <f>IF(AN180&gt;AM180," * El número de Exámenes por Sexo Mujeres Confirmados positivos por ISP NO PUEDE Superar al número de Procesados. ","")</f>
        <v/>
      </c>
      <c r="CD180" s="226" t="n"/>
      <c r="CE180" s="226" t="n"/>
      <c r="CF180" s="226" t="n"/>
      <c r="CG180" s="226" t="n"/>
      <c r="CH180" s="226" t="n"/>
      <c r="CI180" s="219">
        <f>IF(AND(C180&gt;0,AND(AO180="",AQ180=""))," * No olvide digitar los exámenes procesados Trans (Masculino y Femenino). Digite Cero si no tiene.",IF((AO180+AQ180)&gt;C180," * Los exámenes procesados en Trans (Masculino y Femenino) no pueden ser mayor que el Total de exámenes procesados.",""))</f>
        <v/>
      </c>
      <c r="CJ180" s="227" t="n"/>
      <c r="CK180" s="219">
        <f>IF((AM180+AK180)&lt;&gt;C180," * El N° de exámenes Procesados por SEXO (Hombres + Mujeres)no puede ser distinto al Total de exámenes procesados","")</f>
        <v/>
      </c>
      <c r="CL180" s="219">
        <f>IF((AN180+AL180)&lt;&gt;D180," * El N° de exámenes Confirmados positivos por ISP por Sexo (Hombres+Mujeres) no puede ser distinto al N° Total de exámenes Confirmados positivos por ISP ","")</f>
        <v/>
      </c>
      <c r="CM180" s="219">
        <f>IF(AND(C180&gt;0,AS180="")," * No olvide digitar los examanes de Pueblos Originarios Procesados. Digite Cero si no tiene.",IF(AS180&gt;C180," * Los exámenes de Pueblos originarios Procesados no pueden ser mayor que el Total de exámenes procesados.",""))</f>
        <v/>
      </c>
      <c r="CN180" s="219">
        <f>IF(AND(C180&gt;0,AU180="")," * No olvide digitar los exámenes Procesados de Migrantes. Digite Cero si no tiene.",IF(AU180&gt;C180," * Los exámenes procesados de Migrantes no pueden ser mayor que el Total de exámenes procesados.",""))</f>
        <v/>
      </c>
      <c r="CO180" s="219">
        <f>IF(AND(D180&gt;0,AND(AP180="",AR180=""))," * No olvide digitar los exámenes Confirmados positivos por ISP de Trans (Masculino y Femenino). Digite Cero si no tiene.",IF((AP180+AR180)&gt;D180," * Los exámenes confirmados positivos por ISP de Trans (Masculino y Femenino) no pueden ser mayor que el Total de exámenes Confirmados positivos por ISP.",""))</f>
        <v/>
      </c>
      <c r="CP180" s="219">
        <f>IF(AND(D180&gt;0,AT180="")," * No olvide digitar los exámenes Confirmados positivos por ISP de Pueblos Originarios. Digite Cero si no tiene.",IF(AT180&gt;D180," * Los exámenes Confirmados positivos por ISP de Pueblos originarios no pueden ser mayor que el Total de exámenes Procesados por ISP.",""))</f>
        <v/>
      </c>
      <c r="CQ180" s="219">
        <f>IF(AND(D180&gt;0,AV180="")," * No olvide digitar los exámenes Confirmados positivos por ISP de Migrantes. Digite Cero si no tiene.",IF(AV180&gt;D180," * Los exámenes Confirmados positivos por ISP de Migrantes no pueden ser mayor que el Total de exámenes Procesados por ISP.",""))</f>
        <v/>
      </c>
      <c r="CR180" s="226" t="n"/>
      <c r="CS180" s="226" t="n"/>
      <c r="CT180" s="260">
        <f>IF(AND((M180+O180)&gt;0,AW180=""),"*No olvide digitar los Exámenes Procesados de 14-18 años. Digite cero si no tiene.",IF(AW180&gt;(M180+O180),"* El Total de Procesados de 14-18 años NO DEBE ser mayor al Total de Procesados registrados en los grupos de edad 10 a 14 + 15 a 19 años. ",""))</f>
        <v/>
      </c>
      <c r="CU180" s="260">
        <f>IF(AND((N180+P180)&gt;0,AX180=""),"*No olvide digitar los Exámenes Confirmados Positivos por ISP de 14-18 años. Digite cero si no tiene.",IF(AX180&gt;(N180+P180),"* El Total de Confirmados de 14-18 años NO DEBE ser mayor al Total de Confirmados Positivos por ISP registrados en los grupos de edad 10 a 14 + 15 a 19 años. ",""))</f>
        <v/>
      </c>
      <c r="DF180" s="381">
        <f>IF(D180&gt;C180,1,0)</f>
        <v/>
      </c>
      <c r="DG180" s="378">
        <f>IF(AL180&gt;AK180,1,0)</f>
        <v/>
      </c>
      <c r="DH180" s="378">
        <f>IF(AN180&gt;AM180,1,0)</f>
        <v/>
      </c>
      <c r="DI180" s="226" t="n"/>
      <c r="DJ180" s="226" t="n"/>
      <c r="DK180" s="226" t="n"/>
      <c r="DL180" s="226" t="n"/>
      <c r="DM180" s="226" t="n"/>
      <c r="DN180" s="378">
        <f>IF(AND(C180&gt;0,AND(AO180="",AQ180="")),1,IF((AO180+AQ180)&gt;C180,1,0))</f>
        <v/>
      </c>
      <c r="DO180" s="227" t="n"/>
      <c r="DP180" s="378">
        <f>IF((AM180+AK180)&lt;&gt;C180,1,0)</f>
        <v/>
      </c>
      <c r="DQ180" s="378">
        <f>IF((AN180+AL180)&lt;&gt;D180,1,0)</f>
        <v/>
      </c>
      <c r="DR180" s="378">
        <f>IF(AND(C180&gt;0,AS180=""),1,IF(AS180&gt;C180,1,0))</f>
        <v/>
      </c>
      <c r="DS180" s="378">
        <f>IF(AND(C180&gt;0,AU180=""),1,IF(AU180&gt;C180,1,0))</f>
        <v/>
      </c>
      <c r="DT180" s="378">
        <f>IF(AND(D180&gt;0,AND(AP180="",AR180="")),1,IF((AP180+AR180)&gt;D180,1,0))</f>
        <v/>
      </c>
      <c r="DU180" s="378">
        <f>IF(AND(D180&gt;0,AT180=""),1,IF(AT180&gt;D180,1,0))</f>
        <v/>
      </c>
      <c r="DV180" s="378">
        <f>IF(AND(D180&gt;0,AV180=""),1,IF(AV180&gt;D180,1,0))</f>
        <v/>
      </c>
      <c r="DW180" s="226" t="n"/>
      <c r="DX180" s="226" t="n"/>
      <c r="DY180" s="261">
        <f>IF(AND((M180+O180)&gt;0,AW180=""),1,IF(AW180&gt;(M180+O180),1,0))</f>
        <v/>
      </c>
      <c r="DZ180" s="261">
        <f>IF(AND((N180+P180)&gt;0,AX180=""),1,IF(AX180&gt;(N180+P180),1,0))</f>
        <v/>
      </c>
    </row>
    <row r="181">
      <c r="A181" s="10306" t="inlineStr">
        <is>
          <t>Persona en control por Hepatitis C</t>
        </is>
      </c>
      <c r="B181" s="9644" t="n"/>
      <c r="C181" s="3103">
        <f>+E181+G181+I181+K181+M181+O181+Q181+S181+U181+W181+Y181+AA181+AC181+AE181+AG181+AI181</f>
        <v/>
      </c>
      <c r="D181" s="1249">
        <f>+F181+H181+J181+L181+N181+P181+R181+T181+V181+X181+Z181+AB181+AD181+AF181+AH181+AJ181</f>
        <v/>
      </c>
      <c r="E181" s="1198" t="n"/>
      <c r="F181" s="1147" t="n"/>
      <c r="G181" s="1198" t="n"/>
      <c r="H181" s="1147" t="n"/>
      <c r="I181" s="1198" t="n"/>
      <c r="J181" s="1147" t="n"/>
      <c r="K181" s="1198" t="n"/>
      <c r="L181" s="1147" t="n"/>
      <c r="M181" s="1198" t="n"/>
      <c r="N181" s="1147" t="n"/>
      <c r="O181" s="1198" t="n"/>
      <c r="P181" s="1147" t="n"/>
      <c r="Q181" s="1198" t="n"/>
      <c r="R181" s="1147" t="n"/>
      <c r="S181" s="1198" t="n"/>
      <c r="T181" s="1147" t="n"/>
      <c r="U181" s="1198" t="n"/>
      <c r="V181" s="1147" t="n"/>
      <c r="W181" s="1198" t="n"/>
      <c r="X181" s="1147" t="n"/>
      <c r="Y181" s="1198" t="n"/>
      <c r="Z181" s="1147" t="n"/>
      <c r="AA181" s="1198" t="n"/>
      <c r="AB181" s="1147" t="n"/>
      <c r="AC181" s="1198" t="n"/>
      <c r="AD181" s="1201" t="n"/>
      <c r="AE181" s="1198" t="n"/>
      <c r="AF181" s="1201" t="n"/>
      <c r="AG181" s="1198" t="n"/>
      <c r="AH181" s="1199" t="n"/>
      <c r="AI181" s="1198" t="n"/>
      <c r="AJ181" s="1147" t="n"/>
      <c r="AK181" s="1146" t="n"/>
      <c r="AL181" s="1148" t="n"/>
      <c r="AM181" s="1198" t="n"/>
      <c r="AN181" s="2689" t="n"/>
      <c r="AO181" s="1146" t="n"/>
      <c r="AP181" s="1148" t="n"/>
      <c r="AQ181" s="1200" t="n"/>
      <c r="AR181" s="2689" t="n"/>
      <c r="AS181" s="1146" t="n"/>
      <c r="AT181" s="2689" t="n"/>
      <c r="AU181" s="1146" t="n"/>
      <c r="AV181" s="1148" t="n"/>
      <c r="AW181" s="1146" t="n"/>
      <c r="AX181" s="1148" t="n"/>
      <c r="AY181" s="218">
        <f>$CA181&amp;CB181&amp;$CC181&amp;CD181&amp;CE181&amp;CF181&amp;CG181&amp;CH181&amp;CI181&amp;CJ181&amp;CK181&amp;CL181&amp;CM181&amp;CN181&amp;CO181&amp;CP181&amp;CQ181&amp;CR181&amp;CS181&amp;CT181&amp;CU181&amp;CV181&amp;CW181</f>
        <v/>
      </c>
      <c r="CA181" s="379">
        <f>IF(D181&gt;C181," * El Total de Exámenes Confirmados Positivos por ISP NO DEBE SUPERAR los  Exámenes Procesados. ","")</f>
        <v/>
      </c>
      <c r="CB181" s="219">
        <f>IF(AL181&gt;AK181," * El número de Exámenes por Sexo Hombres Confirmados positivos por ISP NO PUEDE Superar al número de Procesados. ","")</f>
        <v/>
      </c>
      <c r="CC181" s="219">
        <f>IF(AN181&gt;AM181," * El número de Exámenes por Sexo Mujeres Confirmados positivos por ISP NO PUEDE Superar al número de Procesados. ","")</f>
        <v/>
      </c>
      <c r="CD181" s="226" t="n"/>
      <c r="CE181" s="226" t="n"/>
      <c r="CF181" s="226" t="n"/>
      <c r="CG181" s="226" t="n"/>
      <c r="CH181" s="226" t="n"/>
      <c r="CI181" s="219">
        <f>IF(AND(C181&gt;0,AND(AO181="",AQ181=""))," * No olvide digitar los exámenes procesados Trans (Masculino y Femenino). Digite Cero si no tiene.",IF((AO181+AQ181)&gt;C181," * Los exámenes procesados en Trans (Masculino y Femenino) no pueden ser mayor que el Total de exámenes procesados.",""))</f>
        <v/>
      </c>
      <c r="CJ181" s="227" t="n"/>
      <c r="CK181" s="219">
        <f>IF((AM181+AK181)&lt;&gt;C181," * El N° de exámenes Procesados por SEXO (Hombres + Mujeres)no puede ser distinto al Total de exámenes procesados","")</f>
        <v/>
      </c>
      <c r="CL181" s="219">
        <f>IF((AN181+AL181)&lt;&gt;D181," * El N° de exámenes Confirmados positivos por ISP por Sexo (Hombres+Mujeres) no puede ser distinto al N° Total de exámenes Confirmados positivos por ISP ","")</f>
        <v/>
      </c>
      <c r="CM181" s="219">
        <f>IF(AND(C181&gt;0,AS181="")," * No olvide digitar los examanes de Pueblos Originarios Procesados. Digite Cero si no tiene.",IF(AS181&gt;C181," * Los exámenes de Pueblos originarios Procesados no pueden ser mayor que el Total de exámenes procesados.",""))</f>
        <v/>
      </c>
      <c r="CN181" s="219">
        <f>IF(AND(C181&gt;0,AU181="")," * No olvide digitar los exámenes Procesados de Migrantes. Digite Cero si no tiene.",IF(AU181&gt;C181," * Los exámenes procesados de Migrantes no pueden ser mayor que el Total de exámenes procesados.",""))</f>
        <v/>
      </c>
      <c r="CO181" s="219">
        <f>IF(AND(D181&gt;0,AND(AP181="",AR181=""))," * No olvide digitar los exámenes Confirmados positivos por ISP de Trans (Masculino y Femenino). Digite Cero si no tiene.",IF((AP181+AR181)&gt;D181," * Los exámenes confirmados positivos por ISP de Trans (Masculino y Femenino) no pueden ser mayor que el Total de exámenes Confirmados positivos por ISP.",""))</f>
        <v/>
      </c>
      <c r="CP181" s="219">
        <f>IF(AND(D181&gt;0,AT181="")," * No olvide digitar los exámenes Confirmados positivos por ISP de Pueblos Originarios. Digite Cero si no tiene.",IF(AT181&gt;D181," * Los exámenes Confirmados positivos por ISP de Pueblos originarios no pueden ser mayor que el Total de exámenes Procesados por ISP.",""))</f>
        <v/>
      </c>
      <c r="CQ181" s="219">
        <f>IF(AND(D181&gt;0,AV181="")," * No olvide digitar los exámenes Confirmados positivos por ISP de Migrantes. Digite Cero si no tiene.",IF(AV181&gt;D181," * Los exámenes Confirmados positivos por ISP de Migrantes no pueden ser mayor que el Total de exámenes Procesados por ISP.",""))</f>
        <v/>
      </c>
      <c r="CR181" s="226" t="n"/>
      <c r="CS181" s="226" t="n"/>
      <c r="CT181" s="260">
        <f>IF(AND((M181+O181)&gt;0,AW181=""),"*No olvide digitar los Exámenes Procesados de 14-18 años. Digite cero si no tiene.",IF(AW181&gt;(M181+O181),"* El Total de Procesados de 14-18 años NO DEBE ser mayor al Total de Procesados registrados en los grupos de edad 10 a 14 + 15 a 19 años. ",""))</f>
        <v/>
      </c>
      <c r="CU181" s="260">
        <f>IF(AND((N181+P181)&gt;0,AX181=""),"*No olvide digitar los Exámenes Confirmados Positivos por ISP de 14-18 años. Digite cero si no tiene.",IF(AX181&gt;(N181+P181),"* El Total de Confirmados de 14-18 años NO DEBE ser mayor al Total de Confirmados Positivos por ISP registrados en los grupos de edad 10 a 14 + 15 a 19 años. ",""))</f>
        <v/>
      </c>
      <c r="DF181" s="381">
        <f>IF(D181&gt;C181,1,0)</f>
        <v/>
      </c>
      <c r="DG181" s="378">
        <f>IF(AL181&gt;AK181,1,0)</f>
        <v/>
      </c>
      <c r="DH181" s="378">
        <f>IF(AN181&gt;AM181,1,0)</f>
        <v/>
      </c>
      <c r="DI181" s="226" t="n"/>
      <c r="DJ181" s="226" t="n"/>
      <c r="DK181" s="226" t="n"/>
      <c r="DL181" s="226" t="n"/>
      <c r="DM181" s="226" t="n"/>
      <c r="DN181" s="378">
        <f>IF(AND(C181&gt;0,AND(AO181="",AQ181="")),1,IF((AO181+AQ181)&gt;C181,1,0))</f>
        <v/>
      </c>
      <c r="DO181" s="227" t="n"/>
      <c r="DP181" s="378">
        <f>IF((AM181+AK181)&lt;&gt;C181,1,0)</f>
        <v/>
      </c>
      <c r="DQ181" s="378">
        <f>IF((AN181+AL181)&lt;&gt;D181,1,0)</f>
        <v/>
      </c>
      <c r="DR181" s="378">
        <f>IF(AND(C181&gt;0,AS181=""),1,IF(AS181&gt;C181,1,0))</f>
        <v/>
      </c>
      <c r="DS181" s="378">
        <f>IF(AND(C181&gt;0,AU181=""),1,IF(AU181&gt;C181,1,0))</f>
        <v/>
      </c>
      <c r="DT181" s="378">
        <f>IF(AND(D181&gt;0,AND(AP181="",AR181="")),1,IF((AP181+AR181)&gt;D181,1,0))</f>
        <v/>
      </c>
      <c r="DU181" s="378">
        <f>IF(AND(D181&gt;0,AT181=""),1,IF(AT181&gt;D181,1,0))</f>
        <v/>
      </c>
      <c r="DV181" s="378">
        <f>IF(AND(D181&gt;0,AV181=""),1,IF(AV181&gt;D181,1,0))</f>
        <v/>
      </c>
      <c r="DW181" s="226" t="n"/>
      <c r="DX181" s="226" t="n"/>
      <c r="DY181" s="261">
        <f>IF(AND((M181+O181)&gt;0,AW181=""),1,IF(AW181&gt;(M181+O181),1,0))</f>
        <v/>
      </c>
      <c r="DZ181" s="261">
        <f>IF(AND((N181+P181)&gt;0,AX181=""),1,IF(AX181&gt;(N181+P181),1,0))</f>
        <v/>
      </c>
    </row>
    <row r="182">
      <c r="A182" s="10306" t="inlineStr">
        <is>
          <t>Consultantes por morbilidad</t>
        </is>
      </c>
      <c r="B182" s="9644" t="n"/>
      <c r="C182" s="3103">
        <f>+E182+G182+I182+K182+M182+O182+Q182+S182+U182+W182+Y182+AA182+AC182+AE182+AG182+AI182</f>
        <v/>
      </c>
      <c r="D182" s="1249">
        <f>+F182+H182+J182+L182+N182+P182+R182+T182+V182+X182+Z182+AB182+AD182+AF182+AH182+AJ182</f>
        <v/>
      </c>
      <c r="E182" s="1198" t="n"/>
      <c r="F182" s="1147" t="n"/>
      <c r="G182" s="1198" t="n"/>
      <c r="H182" s="1147" t="n"/>
      <c r="I182" s="1198" t="n"/>
      <c r="J182" s="1147" t="n"/>
      <c r="K182" s="1198" t="n"/>
      <c r="L182" s="1147" t="n"/>
      <c r="M182" s="1198" t="n"/>
      <c r="N182" s="1147" t="n"/>
      <c r="O182" s="1198" t="n"/>
      <c r="P182" s="1147" t="n"/>
      <c r="Q182" s="1198" t="n"/>
      <c r="R182" s="1147" t="n"/>
      <c r="S182" s="1198" t="n"/>
      <c r="T182" s="1147" t="n"/>
      <c r="U182" s="1198" t="n"/>
      <c r="V182" s="1147" t="n"/>
      <c r="W182" s="1198" t="n"/>
      <c r="X182" s="1147" t="n"/>
      <c r="Y182" s="1198" t="n"/>
      <c r="Z182" s="1147" t="n"/>
      <c r="AA182" s="1198" t="n"/>
      <c r="AB182" s="1147" t="n"/>
      <c r="AC182" s="1198" t="n"/>
      <c r="AD182" s="1201" t="n"/>
      <c r="AE182" s="1198" t="n"/>
      <c r="AF182" s="1201" t="n"/>
      <c r="AG182" s="1198" t="n"/>
      <c r="AH182" s="1199" t="n"/>
      <c r="AI182" s="1198" t="n"/>
      <c r="AJ182" s="1147" t="n"/>
      <c r="AK182" s="1146" t="n"/>
      <c r="AL182" s="1148" t="n"/>
      <c r="AM182" s="1198" t="n"/>
      <c r="AN182" s="2689" t="n"/>
      <c r="AO182" s="1146" t="n"/>
      <c r="AP182" s="1148" t="n"/>
      <c r="AQ182" s="1200" t="n"/>
      <c r="AR182" s="2689" t="n"/>
      <c r="AS182" s="1146" t="n"/>
      <c r="AT182" s="2689" t="n"/>
      <c r="AU182" s="1146" t="n"/>
      <c r="AV182" s="1148" t="n"/>
      <c r="AW182" s="1146" t="n"/>
      <c r="AX182" s="1148" t="n"/>
      <c r="AY182" s="218">
        <f>$CA182&amp;CB182&amp;$CC182&amp;CD182&amp;CE182&amp;CF182&amp;CG182&amp;CH182&amp;CI182&amp;CJ182&amp;CK182&amp;CL182&amp;CM182&amp;CN182&amp;CO182&amp;CP182&amp;CQ182&amp;CR182&amp;CS182&amp;CT182&amp;CU182&amp;CV182&amp;CW182</f>
        <v/>
      </c>
      <c r="CA182" s="379">
        <f>IF(D182&gt;C182," * El Total de Exámenes Confirmados Positivos por ISP NO DEBE SUPERAR los  Exámenes Procesados. ","")</f>
        <v/>
      </c>
      <c r="CB182" s="219">
        <f>IF(AL182&gt;AK182," * El número de Exámenes por Sexo Hombres Confirmados positivos por ISP NO PUEDE Superar al número de Procesados. ","")</f>
        <v/>
      </c>
      <c r="CC182" s="219">
        <f>IF(AN182&gt;AM182," * El número de Exámenes por Sexo Mujeres Confirmados positivos por ISP NO PUEDE Superar al número de Procesados. ","")</f>
        <v/>
      </c>
      <c r="CD182" s="226" t="n"/>
      <c r="CE182" s="226" t="n"/>
      <c r="CF182" s="226" t="n"/>
      <c r="CG182" s="226" t="n"/>
      <c r="CH182" s="226" t="n"/>
      <c r="CI182" s="219">
        <f>IF(AND(C182&gt;0,AND(AO182="",AQ182=""))," * No olvide digitar los exámenes procesados Trans (Masculino y Femenino). Digite Cero si no tiene.",IF((AO182+AQ182)&gt;C182," * Los exámenes procesados en Trans (Masculino y Femenino) no pueden ser mayor que el Total de exámenes procesados.",""))</f>
        <v/>
      </c>
      <c r="CJ182" s="227" t="n"/>
      <c r="CK182" s="219">
        <f>IF((AM182+AK182)&lt;&gt;C182," * El N° de exámenes Procesados por SEXO (Hombres + Mujeres)no puede ser distinto al Total de exámenes procesados","")</f>
        <v/>
      </c>
      <c r="CL182" s="219">
        <f>IF((AN182+AL182)&lt;&gt;D182," * El N° de exámenes Confirmados positivos por ISP por Sexo (Hombres+Mujeres) no puede ser distinto al N° Total de exámenes Confirmados positivos por ISP ","")</f>
        <v/>
      </c>
      <c r="CM182" s="219">
        <f>IF(AND(C182&gt;0,AS182="")," * No olvide digitar los examanes de Pueblos Originarios Procesados. Digite Cero si no tiene.",IF(AS182&gt;C182," * Los exámenes de Pueblos originarios Procesados no pueden ser mayor que el Total de exámenes procesados.",""))</f>
        <v/>
      </c>
      <c r="CN182" s="219">
        <f>IF(AND(C182&gt;0,AU182="")," * No olvide digitar los exámenes Procesados de Migrantes. Digite Cero si no tiene.",IF(AU182&gt;C182," * Los exámenes procesados de Migrantes no pueden ser mayor que el Total de exámenes procesados.",""))</f>
        <v/>
      </c>
      <c r="CO182" s="219">
        <f>IF(AND(D182&gt;0,AND(AP182="",AR182=""))," * No olvide digitar los exámenes Confirmados positivos por ISP de Trans (Masculino y Femenino). Digite Cero si no tiene.",IF((AP182+AR182)&gt;D182," * Los exámenes confirmados positivos por ISP de Trans (Masculino y Femenino) no pueden ser mayor que el Total de exámenes Confirmados positivos por ISP.",""))</f>
        <v/>
      </c>
      <c r="CP182" s="219">
        <f>IF(AND(D182&gt;0,AT182="")," * No olvide digitar los exámenes Confirmados positivos por ISP de Pueblos Originarios. Digite Cero si no tiene.",IF(AT182&gt;D182," * Los exámenes Confirmados positivos por ISP de Pueblos originarios no pueden ser mayor que el Total de exámenes Procesados por ISP.",""))</f>
        <v/>
      </c>
      <c r="CQ182" s="219">
        <f>IF(AND(D182&gt;0,AV182="")," * No olvide digitar los exámenes Confirmados positivos por ISP de Migrantes. Digite Cero si no tiene.",IF(AV182&gt;D182," * Los exámenes Confirmados positivos por ISP de Migrantes no pueden ser mayor que el Total de exámenes Procesados por ISP.",""))</f>
        <v/>
      </c>
      <c r="CR182" s="226" t="n"/>
      <c r="CS182" s="226" t="n"/>
      <c r="CT182" s="260">
        <f>IF(AND((M182+O182)&gt;0,AW182=""),"*No olvide digitar los Exámenes Procesados de 14-18 años. Digite cero si no tiene.",IF(AW182&gt;(M182+O182),"* El Total de Procesados de 14-18 años NO DEBE ser mayor al Total de Procesados registrados en los grupos de edad 10 a 14 + 15 a 19 años. ",""))</f>
        <v/>
      </c>
      <c r="CU182" s="260">
        <f>IF(AND((N182+P182)&gt;0,AX182=""),"*No olvide digitar los Exámenes Confirmados Positivos por ISP de 14-18 años. Digite cero si no tiene.",IF(AX182&gt;(N182+P182),"* El Total de Confirmados de 14-18 años NO DEBE ser mayor al Total de Confirmados Positivos por ISP registrados en los grupos de edad 10 a 14 + 15 a 19 años. ",""))</f>
        <v/>
      </c>
      <c r="DF182" s="381">
        <f>IF(D182&gt;C182,1,0)</f>
        <v/>
      </c>
      <c r="DG182" s="378">
        <f>IF(AL182&gt;AK182,1,0)</f>
        <v/>
      </c>
      <c r="DH182" s="378">
        <f>IF(AN182&gt;AM182,1,0)</f>
        <v/>
      </c>
      <c r="DI182" s="226" t="n"/>
      <c r="DJ182" s="226" t="n"/>
      <c r="DK182" s="226" t="n"/>
      <c r="DL182" s="226" t="n"/>
      <c r="DM182" s="226" t="n"/>
      <c r="DN182" s="378">
        <f>IF(AND(C182&gt;0,AND(AO182="",AQ182="")),1,IF((AO182+AQ182)&gt;C182,1,0))</f>
        <v/>
      </c>
      <c r="DO182" s="227" t="n"/>
      <c r="DP182" s="378">
        <f>IF((AM182+AK182)&lt;&gt;C182,1,0)</f>
        <v/>
      </c>
      <c r="DQ182" s="378">
        <f>IF((AN182+AL182)&lt;&gt;D182,1,0)</f>
        <v/>
      </c>
      <c r="DR182" s="378">
        <f>IF(AND(C182&gt;0,AS182=""),1,IF(AS182&gt;C182,1,0))</f>
        <v/>
      </c>
      <c r="DS182" s="378">
        <f>IF(AND(C182&gt;0,AU182=""),1,IF(AU182&gt;C182,1,0))</f>
        <v/>
      </c>
      <c r="DT182" s="378">
        <f>IF(AND(D182&gt;0,AND(AP182="",AR182="")),1,IF((AP182+AR182)&gt;D182,1,0))</f>
        <v/>
      </c>
      <c r="DU182" s="378">
        <f>IF(AND(D182&gt;0,AT182=""),1,IF(AT182&gt;D182,1,0))</f>
        <v/>
      </c>
      <c r="DV182" s="378">
        <f>IF(AND(D182&gt;0,AV182=""),1,IF(AV182&gt;D182,1,0))</f>
        <v/>
      </c>
      <c r="DW182" s="226" t="n"/>
      <c r="DX182" s="226" t="n"/>
      <c r="DY182" s="261">
        <f>IF(AND((M182+O182)&gt;0,AW182=""),1,IF(AW182&gt;(M182+O182),1,0))</f>
        <v/>
      </c>
      <c r="DZ182" s="261">
        <f>IF(AND((N182+P182)&gt;0,AX182=""),1,IF(AX182&gt;(N182+P182),1,0))</f>
        <v/>
      </c>
    </row>
    <row r="183">
      <c r="A183" s="10309" t="inlineStr">
        <is>
          <t>Por consulta espontánea</t>
        </is>
      </c>
      <c r="B183" s="9720" t="n"/>
      <c r="C183" s="1176">
        <f>+E183+G183+I183+K183+M183+O183+Q183+S183+U183+W183+Y183+AA183+AC183+AE183+AG183+AI183</f>
        <v/>
      </c>
      <c r="D183" s="2512">
        <f>+F183+H183+J183+L183+N183+P183+R183+T183+V183+X183+Z183+AB183+AD183+AF183+AH183+AJ183</f>
        <v/>
      </c>
      <c r="E183" s="1137" t="n"/>
      <c r="F183" s="1153" t="n"/>
      <c r="G183" s="1137" t="n"/>
      <c r="H183" s="1153" t="n"/>
      <c r="I183" s="1137" t="n"/>
      <c r="J183" s="1153" t="n"/>
      <c r="K183" s="1137" t="n"/>
      <c r="L183" s="1153" t="n"/>
      <c r="M183" s="1137" t="n"/>
      <c r="N183" s="1139" t="n"/>
      <c r="O183" s="1137" t="n"/>
      <c r="P183" s="1153" t="n"/>
      <c r="Q183" s="1137" t="n"/>
      <c r="R183" s="1153" t="n"/>
      <c r="S183" s="1137" t="n"/>
      <c r="T183" s="1153" t="n"/>
      <c r="U183" s="1137" t="n"/>
      <c r="V183" s="1153" t="n"/>
      <c r="W183" s="1137" t="n"/>
      <c r="X183" s="1153" t="n"/>
      <c r="Y183" s="1137" t="n"/>
      <c r="Z183" s="1153" t="n"/>
      <c r="AA183" s="1137" t="n"/>
      <c r="AB183" s="1153" t="n"/>
      <c r="AC183" s="1137" t="n"/>
      <c r="AD183" s="1141" t="n"/>
      <c r="AE183" s="1137" t="n"/>
      <c r="AF183" s="1141" t="n"/>
      <c r="AG183" s="1137" t="n"/>
      <c r="AH183" s="1139" t="n"/>
      <c r="AI183" s="1137" t="n"/>
      <c r="AJ183" s="1153" t="n"/>
      <c r="AK183" s="1152" t="n"/>
      <c r="AL183" s="1138" t="n"/>
      <c r="AM183" s="1137" t="n"/>
      <c r="AN183" s="1416" t="n"/>
      <c r="AO183" s="1152" t="n"/>
      <c r="AP183" s="1138" t="n"/>
      <c r="AQ183" s="1140" t="n"/>
      <c r="AR183" s="1416" t="n"/>
      <c r="AS183" s="1152" t="n"/>
      <c r="AT183" s="1416" t="n"/>
      <c r="AU183" s="1152" t="n"/>
      <c r="AV183" s="1138" t="n"/>
      <c r="AW183" s="1152" t="n"/>
      <c r="AX183" s="1138" t="n"/>
      <c r="AY183" s="218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>
        <f>IF(D183&gt;C183," * El Total de Exámenes Confirmados Positivos por ISP NO DEBE SUPERAR los  Exámenes Procesados. ","")</f>
        <v/>
      </c>
      <c r="CB183" s="219">
        <f>IF(AL183&gt;AK183," * El número de Exámenes por Sexo Hombres Confirmados positivos por ISP NO PUEDE Superar al número de Procesados. ","")</f>
        <v/>
      </c>
      <c r="CC183" s="219">
        <f>IF(AN183&gt;AM183," * El número de Exámenes por Sexo Mujeres Confirmados positivos por ISP NO PUEDE Superar al número de Procesados. ","")</f>
        <v/>
      </c>
      <c r="CD183" s="226" t="n"/>
      <c r="CE183" s="226" t="n"/>
      <c r="CF183" s="226" t="n"/>
      <c r="CG183" s="226" t="n"/>
      <c r="CH183" s="226" t="n"/>
      <c r="CI183" s="219">
        <f>IF(AND(C183&gt;0,AND(AO183="",AQ183=""))," * No olvide digitar los exámenes procesados Trans (Masculino y Femenino). Digite Cero si no tiene.",IF((AO183+AQ183)&gt;C183," * Los exámenes procesados en Trans (Masculino y Femenino) no pueden ser mayor que el Total de exámenes procesados.",""))</f>
        <v/>
      </c>
      <c r="CJ183" s="227" t="n"/>
      <c r="CK183" s="219">
        <f>IF((AM183+AK183)&lt;&gt;C183," * El N° de exámenes Procesados por SEXO (Hombres + Mujeres)no puede ser distinto al Total de exámenes procesados","")</f>
        <v/>
      </c>
      <c r="CL183" s="219">
        <f>IF((AN183+AL183)&lt;&gt;D183," * El N° de exámenes Confirmados positivos por ISP por Sexo (Hombres+Mujeres) no puede ser distinto al N° Total de exámenes Confirmados positivos por ISP ","")</f>
        <v/>
      </c>
      <c r="CM183" s="219">
        <f>IF(AND(C183&gt;0,AS183="")," * No olvide digitar los examanes de Pueblos Originarios Procesados. Digite Cero si no tiene.",IF(AS183&gt;C183," * Los exámenes de Pueblos originarios Procesados no pueden ser mayor que el Total de exámenes procesados.",""))</f>
        <v/>
      </c>
      <c r="CN183" s="219">
        <f>IF(AND(C183&gt;0,AU183="")," * No olvide digitar los exámenes Procesados de Migrantes. Digite Cero si no tiene.",IF(AU183&gt;C183," * Los exámenes procesados de Migrantes no pueden ser mayor que el Total de exámenes procesados.",""))</f>
        <v/>
      </c>
      <c r="CO183" s="219">
        <f>IF(AND(D183&gt;0,AND(AP183="",AR183=""))," * No olvide digitar los exámenes Confirmados positivos por ISP de Trans (Masculino y Femenino). Digite Cero si no tiene.",IF((AP183+AR183)&gt;D183," * Los exámenes confirmados positivos por ISP de Trans (Masculino y Femenino) no pueden ser mayor que el Total de exámenes Confirmados positivos por ISP.",""))</f>
        <v/>
      </c>
      <c r="CP183" s="219">
        <f>IF(AND(D183&gt;0,AT183="")," * No olvide digitar los exámenes Confirmados positivos por ISP de Pueblos Originarios. Digite Cero si no tiene.",IF(AT183&gt;D183," * Los exámenes Confirmados positivos por ISP de Pueblos originarios no pueden ser mayor que el Total de exámenes Procesados por ISP.",""))</f>
        <v/>
      </c>
      <c r="CQ183" s="219">
        <f>IF(AND(D183&gt;0,AV183="")," * No olvide digitar los exámenes Confirmados positivos por ISP de Migrantes. Digite Cero si no tiene.",IF(AV183&gt;D183," * Los exámenes Confirmados positivos por ISP de Migrantes no pueden ser mayor que el Total de exámenes Procesados por ISP.",""))</f>
        <v/>
      </c>
      <c r="CR183" s="226" t="n"/>
      <c r="CS183" s="226" t="n"/>
      <c r="CT183" s="260">
        <f>IF(AND((M183+O183)&gt;0,AW183=""),"*No olvide digitar los Exámenes Procesados de 14-18 años. Digite cero si no tiene.",IF(AW183&gt;(M183+O183),"* El Total de Procesados de 14-18 años NO DEBE ser mayor al Total de Procesados registrados en los grupos de edad 10 a 14 + 15 a 19 años. ",""))</f>
        <v/>
      </c>
      <c r="CU183" s="260">
        <f>IF(AND((N183+P183)&gt;0,AX183=""),"*No olvide digitar los Exámenes Confirmados Positivos por ISP de 14-18 años. Digite cero si no tiene.",IF(AX183&gt;(N183+P183),"* El Total de Confirmados de 14-18 años NO DEBE ser mayor al Total de Confirmados Positivos por ISP registrados en los grupos de edad 10 a 14 + 15 a 19 años. ",""))</f>
        <v/>
      </c>
      <c r="DF183" s="381">
        <f>IF(D183&gt;C183,1,0)</f>
        <v/>
      </c>
      <c r="DG183" s="378">
        <f>IF(AL183&gt;AK183,1,0)</f>
        <v/>
      </c>
      <c r="DH183" s="378">
        <f>IF(AN183&gt;AM183,1,0)</f>
        <v/>
      </c>
      <c r="DI183" s="226" t="n"/>
      <c r="DJ183" s="226" t="n"/>
      <c r="DK183" s="226" t="n"/>
      <c r="DL183" s="226" t="n"/>
      <c r="DM183" s="226" t="n"/>
      <c r="DN183" s="378">
        <f>IF(AND(C183&gt;0,AND(AO183="",AQ183="")),1,IF((AO183+AQ183)&gt;C183,1,0))</f>
        <v/>
      </c>
      <c r="DO183" s="227" t="n"/>
      <c r="DP183" s="378">
        <f>IF((AM183+AK183)&lt;&gt;C183,1,0)</f>
        <v/>
      </c>
      <c r="DQ183" s="378">
        <f>IF((AN183+AL183)&lt;&gt;D183,1,0)</f>
        <v/>
      </c>
      <c r="DR183" s="378">
        <f>IF(AND(C183&gt;0,AS183=""),1,IF(AS183&gt;C183,1,0))</f>
        <v/>
      </c>
      <c r="DS183" s="378">
        <f>IF(AND(C183&gt;0,AU183=""),1,IF(AU183&gt;C183,1,0))</f>
        <v/>
      </c>
      <c r="DT183" s="378">
        <f>IF(AND(D183&gt;0,AND(AP183="",AR183="")),1,IF((AP183+AR183)&gt;D183,1,0))</f>
        <v/>
      </c>
      <c r="DU183" s="378">
        <f>IF(AND(D183&gt;0,AT183=""),1,IF(AT183&gt;D183,1,0))</f>
        <v/>
      </c>
      <c r="DV183" s="378">
        <f>IF(AND(D183&gt;0,AV183=""),1,IF(AV183&gt;D183,1,0))</f>
        <v/>
      </c>
      <c r="DW183" s="226" t="n"/>
      <c r="DX183" s="226" t="n"/>
      <c r="DY183" s="261">
        <f>IF(AND((M183+O183)&gt;0,AW183=""),1,IF(AW183&gt;(M183+O183),1,0))</f>
        <v/>
      </c>
      <c r="DZ183" s="261">
        <f>IF(AND((N183+P183)&gt;0,AX183=""),1,IF(AX183&gt;(N183+P183),1,0))</f>
        <v/>
      </c>
    </row>
    <row r="184" ht="18" customHeight="1" s="8286">
      <c r="A184" s="10297" t="inlineStr">
        <is>
          <t>SECCIÓN C.2: EXÁMENES  DE  VIH POR GRUPOS DE USUARIOS (USO EXCLUSIVO DE ESTABLECIMIENTOS QUE COMPRAN SERVICIO)</t>
        </is>
      </c>
      <c r="B184" s="10190" t="n"/>
      <c r="C184" s="10190" t="n"/>
      <c r="D184" s="10190" t="n"/>
      <c r="E184" s="10190" t="n"/>
      <c r="F184" s="10190" t="n"/>
      <c r="G184" s="10190" t="n"/>
      <c r="H184" s="10190" t="n"/>
      <c r="I184" s="3164" t="n"/>
      <c r="J184" s="3164" t="n"/>
      <c r="K184" s="3164" t="n"/>
      <c r="L184" s="3164" t="n"/>
      <c r="M184" s="3164" t="n"/>
      <c r="N184" s="3164" t="n"/>
      <c r="O184" s="3164" t="n"/>
      <c r="P184" s="3164" t="n"/>
      <c r="Q184" s="3164" t="n"/>
      <c r="R184" s="3164" t="n"/>
      <c r="S184" s="3164" t="n"/>
      <c r="T184" s="3164" t="n"/>
      <c r="U184" s="3164" t="n"/>
      <c r="V184" s="3164" t="n"/>
      <c r="W184" s="3164" t="n"/>
      <c r="X184" s="3164" t="n"/>
      <c r="Y184" s="3164" t="n"/>
      <c r="Z184" s="3164" t="n"/>
      <c r="AA184" s="3164" t="n"/>
      <c r="AB184" s="3164" t="n"/>
      <c r="AC184" s="3164" t="n"/>
      <c r="AD184" s="3164" t="n"/>
      <c r="AE184" s="3164" t="n"/>
      <c r="AF184" s="3164" t="n"/>
      <c r="AG184" s="3164" t="n"/>
      <c r="AH184" s="3164" t="n"/>
      <c r="AI184" s="3164" t="n"/>
      <c r="AJ184" s="3164" t="n"/>
      <c r="AK184" s="382" t="n"/>
      <c r="AL184" s="382" t="n"/>
      <c r="AM184" s="382" t="n"/>
      <c r="AN184" s="382" t="n"/>
      <c r="AO184" s="382" t="n"/>
      <c r="AP184" s="382" t="n"/>
      <c r="AQ184" s="382" t="n"/>
      <c r="AR184" s="382" t="n"/>
      <c r="AS184" s="382" t="n"/>
      <c r="AT184" s="382" t="n"/>
      <c r="AU184" s="382" t="n"/>
      <c r="AV184" s="382" t="n"/>
      <c r="AW184" s="382" t="n"/>
      <c r="AX184" s="382" t="n"/>
    </row>
    <row r="185">
      <c r="A185" s="9939" t="inlineStr">
        <is>
          <t>GRUPO DE USUARIOS</t>
        </is>
      </c>
      <c r="B185" s="9630" t="n"/>
      <c r="C185" s="10199" t="inlineStr">
        <is>
          <t>TOTAL</t>
        </is>
      </c>
      <c r="D185" s="9630" t="n"/>
      <c r="E185" s="9915" t="inlineStr">
        <is>
          <t>RANGO ETARIO</t>
        </is>
      </c>
      <c r="F185" s="9584" t="n"/>
      <c r="G185" s="9584" t="n"/>
      <c r="H185" s="9584" t="n"/>
      <c r="I185" s="9584" t="n"/>
      <c r="J185" s="9584" t="n"/>
      <c r="K185" s="9584" t="n"/>
      <c r="L185" s="9584" t="n"/>
      <c r="M185" s="9584" t="n"/>
      <c r="N185" s="9584" t="n"/>
      <c r="O185" s="9584" t="n"/>
      <c r="P185" s="9584" t="n"/>
      <c r="Q185" s="9584" t="n"/>
      <c r="R185" s="9584" t="n"/>
      <c r="S185" s="9584" t="n"/>
      <c r="T185" s="9584" t="n"/>
      <c r="U185" s="9584" t="n"/>
      <c r="V185" s="9584" t="n"/>
      <c r="W185" s="9584" t="n"/>
      <c r="X185" s="9584" t="n"/>
      <c r="Y185" s="9584" t="n"/>
      <c r="Z185" s="9584" t="n"/>
      <c r="AA185" s="9584" t="n"/>
      <c r="AB185" s="9584" t="n"/>
      <c r="AC185" s="9584" t="n"/>
      <c r="AD185" s="9584" t="n"/>
      <c r="AE185" s="9584" t="n"/>
      <c r="AF185" s="9584" t="n"/>
      <c r="AG185" s="9584" t="n"/>
      <c r="AH185" s="9584" t="n"/>
      <c r="AI185" s="9584" t="n"/>
      <c r="AJ185" s="9595" t="n"/>
      <c r="AK185" s="10300" t="inlineStr">
        <is>
          <t>POR SEXO</t>
        </is>
      </c>
      <c r="AL185" s="10190" t="n"/>
      <c r="AM185" s="10190" t="n"/>
      <c r="AN185" s="10211" t="n"/>
      <c r="AO185" s="10301" t="inlineStr">
        <is>
          <t>TRANS</t>
        </is>
      </c>
      <c r="AP185" s="9617" t="n"/>
      <c r="AQ185" s="9617" t="n"/>
      <c r="AR185" s="9597" t="n"/>
      <c r="AS185" s="10295" t="inlineStr">
        <is>
          <t>Pueblos originarios</t>
        </is>
      </c>
      <c r="AT185" s="9886" t="n"/>
      <c r="AU185" s="10295" t="inlineStr">
        <is>
          <t>Migrantes</t>
        </is>
      </c>
      <c r="AV185" s="9886" t="n"/>
      <c r="AW185" s="10005" t="inlineStr">
        <is>
          <t>14-18 años</t>
        </is>
      </c>
      <c r="AX185" s="9630" t="n"/>
    </row>
    <row r="186">
      <c r="A186" s="642" t="n"/>
      <c r="B186" s="9718" t="n"/>
      <c r="C186" s="9697" t="n"/>
      <c r="D186" s="9639" t="n"/>
      <c r="E186" s="10006" t="inlineStr">
        <is>
          <t>Menos de 12 meses</t>
        </is>
      </c>
      <c r="F186" s="9584" t="n"/>
      <c r="G186" s="10006" t="inlineStr">
        <is>
          <t>12-24 meses</t>
        </is>
      </c>
      <c r="H186" s="9584" t="n"/>
      <c r="I186" s="10006" t="inlineStr">
        <is>
          <t>3 - 4 años</t>
        </is>
      </c>
      <c r="J186" s="9584" t="n"/>
      <c r="K186" s="9977" t="inlineStr">
        <is>
          <t>5 - 9 años</t>
        </is>
      </c>
      <c r="L186" s="9582" t="n"/>
      <c r="M186" s="9977" t="inlineStr">
        <is>
          <t>10 - 14 años</t>
        </is>
      </c>
      <c r="N186" s="9582" t="n"/>
      <c r="O186" s="9977" t="inlineStr">
        <is>
          <t>15 - 19 años</t>
        </is>
      </c>
      <c r="P186" s="9582" t="n"/>
      <c r="Q186" s="9977" t="inlineStr">
        <is>
          <t>20 - 24 años</t>
        </is>
      </c>
      <c r="R186" s="9582" t="n"/>
      <c r="S186" s="9977" t="inlineStr">
        <is>
          <t>25 - 29 años</t>
        </is>
      </c>
      <c r="T186" s="9582" t="n"/>
      <c r="U186" s="9977" t="inlineStr">
        <is>
          <t>30 - 34 años</t>
        </is>
      </c>
      <c r="V186" s="9582" t="n"/>
      <c r="W186" s="9977" t="inlineStr">
        <is>
          <t>35 - 39 años</t>
        </is>
      </c>
      <c r="X186" s="9582" t="n"/>
      <c r="Y186" s="9977" t="inlineStr">
        <is>
          <t>40 - 44 años</t>
        </is>
      </c>
      <c r="Z186" s="9582" t="n"/>
      <c r="AA186" s="9977" t="inlineStr">
        <is>
          <t>45 - 49 años</t>
        </is>
      </c>
      <c r="AB186" s="9582" t="n"/>
      <c r="AC186" s="9977" t="inlineStr">
        <is>
          <t>50 - 54 años</t>
        </is>
      </c>
      <c r="AD186" s="9582" t="n"/>
      <c r="AE186" s="9977" t="inlineStr">
        <is>
          <t>55 - 59 años</t>
        </is>
      </c>
      <c r="AF186" s="9582" t="n"/>
      <c r="AG186" s="9977" t="inlineStr">
        <is>
          <t>60 - 64 años</t>
        </is>
      </c>
      <c r="AH186" s="9582" t="n"/>
      <c r="AI186" s="9915" t="inlineStr">
        <is>
          <t xml:space="preserve"> 65 y más años</t>
        </is>
      </c>
      <c r="AJ186" s="9595" t="n"/>
      <c r="AK186" s="10302" t="inlineStr">
        <is>
          <t>Hombres</t>
        </is>
      </c>
      <c r="AL186" s="9648" t="n"/>
      <c r="AM186" s="10303" t="inlineStr">
        <is>
          <t>Mujeres</t>
        </is>
      </c>
      <c r="AN186" s="9595" t="n"/>
      <c r="AO186" s="10302" t="inlineStr">
        <is>
          <t>Femenino</t>
        </is>
      </c>
      <c r="AP186" s="9648" t="n"/>
      <c r="AQ186" s="10304" t="inlineStr">
        <is>
          <t>Masculino</t>
        </is>
      </c>
      <c r="AR186" s="10211" t="n"/>
      <c r="AS186" s="9890" t="n"/>
      <c r="AT186" s="9865" t="n"/>
      <c r="AU186" s="9890" t="n"/>
      <c r="AV186" s="9865" t="n"/>
      <c r="AW186" s="9697" t="n"/>
      <c r="AX186" s="9639" t="n"/>
    </row>
    <row r="187" ht="31.5" customHeight="1" s="8286">
      <c r="A187" s="9638" t="n"/>
      <c r="B187" s="9639" t="n"/>
      <c r="C187" s="3088" t="inlineStr">
        <is>
          <t>Procesados</t>
        </is>
      </c>
      <c r="D187" s="3089" t="inlineStr">
        <is>
          <t>Confirmados positivos por ISP</t>
        </is>
      </c>
      <c r="E187" s="3088" t="inlineStr">
        <is>
          <t>Procesados</t>
        </is>
      </c>
      <c r="F187" s="3089" t="inlineStr">
        <is>
          <t>Confirmados positivos por ISP</t>
        </is>
      </c>
      <c r="G187" s="3088" t="inlineStr">
        <is>
          <t>Procesados</t>
        </is>
      </c>
      <c r="H187" s="3089" t="inlineStr">
        <is>
          <t>Confirmados positivos por ISP</t>
        </is>
      </c>
      <c r="I187" s="3088" t="inlineStr">
        <is>
          <t>Procesados</t>
        </is>
      </c>
      <c r="J187" s="3089" t="inlineStr">
        <is>
          <t>Confirmados positivos por ISP</t>
        </is>
      </c>
      <c r="K187" s="3088" t="inlineStr">
        <is>
          <t>Procesados</t>
        </is>
      </c>
      <c r="L187" s="3089" t="inlineStr">
        <is>
          <t>Confirmados positivos por ISP</t>
        </is>
      </c>
      <c r="M187" s="3088" t="inlineStr">
        <is>
          <t>Procesados</t>
        </is>
      </c>
      <c r="N187" s="3089" t="inlineStr">
        <is>
          <t>Confirmados positivos por ISP</t>
        </is>
      </c>
      <c r="O187" s="3088" t="inlineStr">
        <is>
          <t>Procesados</t>
        </is>
      </c>
      <c r="P187" s="3089" t="inlineStr">
        <is>
          <t>Confirmados positivos por ISP</t>
        </is>
      </c>
      <c r="Q187" s="3088" t="inlineStr">
        <is>
          <t>Procesados</t>
        </is>
      </c>
      <c r="R187" s="3089" t="inlineStr">
        <is>
          <t>Confirmados positivos por ISP</t>
        </is>
      </c>
      <c r="S187" s="3088" t="inlineStr">
        <is>
          <t>Procesados</t>
        </is>
      </c>
      <c r="T187" s="3089" t="inlineStr">
        <is>
          <t>Confirmados positivos por ISP</t>
        </is>
      </c>
      <c r="U187" s="3088" t="inlineStr">
        <is>
          <t>Procesados</t>
        </is>
      </c>
      <c r="V187" s="3089" t="inlineStr">
        <is>
          <t>Confirmados positivos por ISP</t>
        </is>
      </c>
      <c r="W187" s="3088" t="inlineStr">
        <is>
          <t>Procesados</t>
        </is>
      </c>
      <c r="X187" s="3089" t="inlineStr">
        <is>
          <t>Confirmados positivos por ISP</t>
        </is>
      </c>
      <c r="Y187" s="3088" t="inlineStr">
        <is>
          <t>Procesados</t>
        </is>
      </c>
      <c r="Z187" s="3089" t="inlineStr">
        <is>
          <t>Confirmados positivos por ISP</t>
        </is>
      </c>
      <c r="AA187" s="3088" t="inlineStr">
        <is>
          <t>Procesados</t>
        </is>
      </c>
      <c r="AB187" s="3089" t="inlineStr">
        <is>
          <t>Confirmados positivos por ISP</t>
        </is>
      </c>
      <c r="AC187" s="3088" t="inlineStr">
        <is>
          <t>Procesados</t>
        </is>
      </c>
      <c r="AD187" s="3089" t="inlineStr">
        <is>
          <t>Confirmados positivos por ISP</t>
        </is>
      </c>
      <c r="AE187" s="3088" t="inlineStr">
        <is>
          <t>Procesados</t>
        </is>
      </c>
      <c r="AF187" s="3089" t="inlineStr">
        <is>
          <t>Confirmados positivos por ISP</t>
        </is>
      </c>
      <c r="AG187" s="3088" t="inlineStr">
        <is>
          <t>Procesados</t>
        </is>
      </c>
      <c r="AH187" s="3089" t="inlineStr">
        <is>
          <t>Confirmados positivos por ISP</t>
        </is>
      </c>
      <c r="AI187" s="3088" t="inlineStr">
        <is>
          <t>Procesados</t>
        </is>
      </c>
      <c r="AJ187" s="3092" t="inlineStr">
        <is>
          <t>Confirmados positivos por ISP</t>
        </is>
      </c>
      <c r="AK187" s="3091" t="inlineStr">
        <is>
          <t>Procesados</t>
        </is>
      </c>
      <c r="AL187" s="3089" t="inlineStr">
        <is>
          <t>Confirmados positivos por ISP</t>
        </is>
      </c>
      <c r="AM187" s="3088" t="inlineStr">
        <is>
          <t>Procesados</t>
        </is>
      </c>
      <c r="AN187" s="3089" t="inlineStr">
        <is>
          <t>Confirmados positivos por ISP</t>
        </is>
      </c>
      <c r="AO187" s="3141" t="inlineStr">
        <is>
          <t>Procesados</t>
        </is>
      </c>
      <c r="AP187" s="3089" t="inlineStr">
        <is>
          <t>Confirmados positivos por ISP</t>
        </is>
      </c>
      <c r="AQ187" s="3088" t="inlineStr">
        <is>
          <t>Procesados</t>
        </is>
      </c>
      <c r="AR187" s="3089" t="inlineStr">
        <is>
          <t>Confirmados positivos por ISP</t>
        </is>
      </c>
      <c r="AS187" s="3141" t="inlineStr">
        <is>
          <t>Procesados</t>
        </is>
      </c>
      <c r="AT187" s="3089" t="inlineStr">
        <is>
          <t>Confirmados positivos por ISP</t>
        </is>
      </c>
      <c r="AU187" s="3141" t="inlineStr">
        <is>
          <t>Procesados</t>
        </is>
      </c>
      <c r="AV187" s="3090" t="inlineStr">
        <is>
          <t>Confirmados positivos por ISP</t>
        </is>
      </c>
      <c r="AW187" s="3141" t="inlineStr">
        <is>
          <t>Procesados</t>
        </is>
      </c>
      <c r="AX187" s="3090" t="inlineStr">
        <is>
          <t>Confirmados positivos por ISP</t>
        </is>
      </c>
    </row>
    <row r="188">
      <c r="A188" s="10305" t="inlineStr">
        <is>
          <t>Gestantes primer examen</t>
        </is>
      </c>
      <c r="B188" s="9643" t="n"/>
      <c r="C188" s="3094">
        <f>+M188+O188+Q188+S188+U188+W188+Y188+AA188+AC188+AE188</f>
        <v/>
      </c>
      <c r="D188" s="3142">
        <f>+N188+P188+R188+T188+V188+X188+Z188+AB188+AD188+AF188</f>
        <v/>
      </c>
      <c r="E188" s="3143" t="n"/>
      <c r="F188" s="3144" t="n"/>
      <c r="G188" s="3143" t="n"/>
      <c r="H188" s="3144" t="n"/>
      <c r="I188" s="3143" t="n"/>
      <c r="J188" s="3144" t="n"/>
      <c r="K188" s="3143" t="n"/>
      <c r="L188" s="3144" t="n"/>
      <c r="M188" s="3128" t="n"/>
      <c r="N188" s="3129" t="n"/>
      <c r="O188" s="3128" t="n">
        <v>1</v>
      </c>
      <c r="P188" s="3129" t="n">
        <v>0</v>
      </c>
      <c r="Q188" s="3128" t="n">
        <v>2</v>
      </c>
      <c r="R188" s="3129" t="n">
        <v>0</v>
      </c>
      <c r="S188" s="3128" t="n">
        <v>9</v>
      </c>
      <c r="T188" s="3129" t="n">
        <v>0</v>
      </c>
      <c r="U188" s="3128" t="n">
        <v>12</v>
      </c>
      <c r="V188" s="3129" t="n">
        <v>0</v>
      </c>
      <c r="W188" s="3128" t="n">
        <v>4</v>
      </c>
      <c r="X188" s="3129" t="n">
        <v>0</v>
      </c>
      <c r="Y188" s="3128" t="n">
        <v>2</v>
      </c>
      <c r="Z188" s="3129" t="n">
        <v>0</v>
      </c>
      <c r="AA188" s="3128" t="n">
        <v>0</v>
      </c>
      <c r="AB188" s="3129" t="n">
        <v>0</v>
      </c>
      <c r="AC188" s="3128" t="n">
        <v>0</v>
      </c>
      <c r="AD188" s="3129" t="n">
        <v>0</v>
      </c>
      <c r="AE188" s="3128" t="n">
        <v>0</v>
      </c>
      <c r="AF188" s="3129" t="n">
        <v>0</v>
      </c>
      <c r="AG188" s="3143" t="n"/>
      <c r="AH188" s="3145" t="n"/>
      <c r="AI188" s="3143" t="n"/>
      <c r="AJ188" s="3146" t="n"/>
      <c r="AK188" s="3147" t="n"/>
      <c r="AL188" s="3148" t="n"/>
      <c r="AM188" s="1971" t="n">
        <v>30</v>
      </c>
      <c r="AN188" s="1458" t="n">
        <v>0</v>
      </c>
      <c r="AO188" s="3099" t="n">
        <v>0</v>
      </c>
      <c r="AP188" s="1125" t="n">
        <v>0</v>
      </c>
      <c r="AQ188" s="3100" t="n">
        <v>0</v>
      </c>
      <c r="AR188" s="3149" t="n">
        <v>0</v>
      </c>
      <c r="AS188" s="3099" t="n">
        <v>0</v>
      </c>
      <c r="AT188" s="3149" t="n">
        <v>0</v>
      </c>
      <c r="AU188" s="3099" t="n">
        <v>0</v>
      </c>
      <c r="AV188" s="1125" t="n">
        <v>0</v>
      </c>
      <c r="AW188" s="3099" t="n">
        <v>0</v>
      </c>
      <c r="AX188" s="1125" t="n">
        <v>0</v>
      </c>
      <c r="AY188" s="218">
        <f>$CA188&amp;$CC188&amp;CD188&amp;CE188&amp;CF188&amp;CG188&amp;CH188&amp;CI188&amp;CJ188&amp;CK188&amp;CL188&amp;CM188&amp;CN188&amp;CO188&amp;CP188&amp;CQ188&amp;CR188&amp;CS188&amp;CT188&amp;CU188</f>
        <v/>
      </c>
      <c r="CA188" s="379">
        <f>IF(D188&gt;C188," * El Total de Exámenes Confirmados Positivos por ISP NO DEBE SUPERAR los Exámenes Procesados. ","")</f>
        <v/>
      </c>
      <c r="CB188" s="380" t="n"/>
      <c r="CC188" s="219">
        <f>IF(AN188&gt;AM188," * El número de Exámenes por Sexo Mujeres Confirmados positivos por ISP NO PUEDE Superar al número de Procesados. ","")</f>
        <v/>
      </c>
      <c r="CD188" s="226" t="n"/>
      <c r="CE188" s="226" t="n"/>
      <c r="CF188" s="226" t="n"/>
      <c r="CG188" s="226" t="n"/>
      <c r="CH188" s="226" t="n"/>
      <c r="CI188" s="219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 t="n"/>
      <c r="CK188" s="219">
        <f>IF((AM188+AK188)&lt;&gt;C188," * El N° de exámenes Procesados por SEXO (Hombres + Mujeres)no puede ser distinto al Total de exámenes procesados","")</f>
        <v/>
      </c>
      <c r="CL188" s="219">
        <f>IF((AN188+AL188)&lt;&gt;D188," * El N° de exámenes Confirmados positivos por ISP por Sexo (Hombres+Mujeres) no puede ser distinto al N° Total de exámenes Confirmados positivos por ISP ","")</f>
        <v/>
      </c>
      <c r="CM188" s="219">
        <f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>
        <f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>
        <f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 t="n"/>
      <c r="CS188" s="226" t="n"/>
      <c r="CT188" s="260">
        <f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>
        <f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>IF(D188&gt;C188,1,0)</f>
        <v/>
      </c>
      <c r="DG188" s="380" t="n"/>
      <c r="DH188" s="378">
        <f>IF(AN188&gt;AM188,1,0)</f>
        <v/>
      </c>
      <c r="DI188" s="226" t="n"/>
      <c r="DJ188" s="226" t="n"/>
      <c r="DK188" s="226" t="n"/>
      <c r="DL188" s="226" t="n"/>
      <c r="DM188" s="226" t="n"/>
      <c r="DN188" s="378">
        <f>IF(AND(C188&gt;0,AND(AO188="",AQ188="")),1,IF((AO188+AQ188)&gt;C188,1,0))</f>
        <v/>
      </c>
      <c r="DO188" s="227" t="n"/>
      <c r="DP188" s="378">
        <f>IF((AM188+AK188)&lt;&gt;C188,1,0)</f>
        <v/>
      </c>
      <c r="DQ188" s="378">
        <f>IF((AN188+AL188)&lt;&gt;D188,1,0)</f>
        <v/>
      </c>
      <c r="DR188" s="378">
        <f>IF(AND(C188&gt;0,AS188=""),1,IF(AS188&gt;C188,1,0))</f>
        <v/>
      </c>
      <c r="DS188" s="378">
        <f>IF(AND(C188&gt;0,AU188=""),1,IF(AU188&gt;C188,1,0))</f>
        <v/>
      </c>
      <c r="DT188" s="378">
        <f>IF(AND(D188&gt;0,OR(AP188="",AR188="")),1,IF((AP188+AR188)&gt;D188,1,0))</f>
        <v/>
      </c>
      <c r="DU188" s="378">
        <f>IF(AND(D188&gt;0,AT188=""),1,IF(AT188&gt;D188,1,0))</f>
        <v/>
      </c>
      <c r="DV188" s="378">
        <f>IF(AND(D188&gt;0,AV188=""),1,IF(AV188&gt;D188,1,0))</f>
        <v/>
      </c>
      <c r="DW188" s="226" t="n"/>
      <c r="DX188" s="226" t="n"/>
      <c r="DY188" s="378">
        <f>IF(AND((M188+O188)&gt;0,AW188=""),1,IF(AW188&gt;(M188+O188),1,0))</f>
        <v/>
      </c>
      <c r="DZ188" s="378">
        <f>IF(AND((N188+P188)&gt;0,AX188=""),1,IF(AX188&gt;(N188+P188),1,0))</f>
        <v/>
      </c>
    </row>
    <row r="189">
      <c r="A189" s="10306" t="inlineStr">
        <is>
          <t>Gestantes segundo examen</t>
        </is>
      </c>
      <c r="B189" s="9644" t="n"/>
      <c r="C189" s="3103">
        <f>+M189+O189+Q189+S189+U189+W189+Y189+AA189+AC189+AE189</f>
        <v/>
      </c>
      <c r="D189" s="757">
        <f>+N189+P189+R189+T189+V189+X189+Z189+AB189+AD189+AF189</f>
        <v/>
      </c>
      <c r="E189" s="3104" t="n"/>
      <c r="F189" s="3105" t="n"/>
      <c r="G189" s="3104" t="n"/>
      <c r="H189" s="3105" t="n"/>
      <c r="I189" s="3104" t="n"/>
      <c r="J189" s="3105" t="n"/>
      <c r="K189" s="3104" t="n"/>
      <c r="L189" s="3105" t="n"/>
      <c r="M189" s="1971" t="n"/>
      <c r="N189" s="747" t="n"/>
      <c r="O189" s="1971" t="n">
        <v>2</v>
      </c>
      <c r="P189" s="747" t="n">
        <v>0</v>
      </c>
      <c r="Q189" s="1971" t="n">
        <v>3</v>
      </c>
      <c r="R189" s="747" t="n">
        <v>0</v>
      </c>
      <c r="S189" s="1971" t="n">
        <v>8</v>
      </c>
      <c r="T189" s="747" t="n">
        <v>0</v>
      </c>
      <c r="U189" s="1971" t="n">
        <v>7</v>
      </c>
      <c r="V189" s="747" t="n">
        <v>0</v>
      </c>
      <c r="W189" s="1971" t="n">
        <v>4</v>
      </c>
      <c r="X189" s="747" t="n">
        <v>0</v>
      </c>
      <c r="Y189" s="1971" t="n">
        <v>0</v>
      </c>
      <c r="Z189" s="747" t="n">
        <v>0</v>
      </c>
      <c r="AA189" s="1971" t="n">
        <v>0</v>
      </c>
      <c r="AB189" s="747" t="n">
        <v>0</v>
      </c>
      <c r="AC189" s="1971" t="n">
        <v>0</v>
      </c>
      <c r="AD189" s="747" t="n">
        <v>0</v>
      </c>
      <c r="AE189" s="1971" t="n">
        <v>0</v>
      </c>
      <c r="AF189" s="747" t="n">
        <v>0</v>
      </c>
      <c r="AG189" s="3104" t="n"/>
      <c r="AH189" s="3106" t="n"/>
      <c r="AI189" s="3104" t="n"/>
      <c r="AJ189" s="3114" t="n"/>
      <c r="AK189" s="3097" t="n"/>
      <c r="AL189" s="2651" t="n"/>
      <c r="AM189" s="3108" t="n">
        <v>24</v>
      </c>
      <c r="AN189" s="3149" t="n">
        <v>0</v>
      </c>
      <c r="AO189" s="3099" t="n">
        <v>0</v>
      </c>
      <c r="AP189" s="1125" t="n">
        <v>0</v>
      </c>
      <c r="AQ189" s="3100" t="n">
        <v>0</v>
      </c>
      <c r="AR189" s="3149" t="n">
        <v>0</v>
      </c>
      <c r="AS189" s="3099" t="n">
        <v>0</v>
      </c>
      <c r="AT189" s="3149" t="n">
        <v>0</v>
      </c>
      <c r="AU189" s="3099" t="n">
        <v>0</v>
      </c>
      <c r="AV189" s="1125" t="n">
        <v>0</v>
      </c>
      <c r="AW189" s="3099" t="n">
        <v>0</v>
      </c>
      <c r="AX189" s="1125" t="n">
        <v>0</v>
      </c>
      <c r="AY189" s="218">
        <f>$CA189&amp;$CC189&amp;CD189&amp;CE189&amp;CF189&amp;CG189&amp;CH189&amp;CI189&amp;CJ189&amp;CK189&amp;CL189&amp;CM189&amp;CN189&amp;CO189&amp;CP189&amp;CQ189&amp;CR189&amp;CS189&amp;CT189</f>
        <v/>
      </c>
      <c r="CA189" s="379">
        <f>IF(D189&gt;C189," * El Total de Exámenes Confirmados Positivos por ISP NO DEBE SUPERAR los Exámenes Procesados. ","")</f>
        <v/>
      </c>
      <c r="CB189" s="380" t="n"/>
      <c r="CC189" s="219">
        <f>IF(AN189&gt;AM189," * El número de Exámenes por Sexo Mujeres Confirmados positivos por ISP NO PUEDE Superar al número de Procesados. ","")</f>
        <v/>
      </c>
      <c r="CD189" s="226" t="n"/>
      <c r="CE189" s="226" t="n"/>
      <c r="CF189" s="226" t="n"/>
      <c r="CG189" s="226" t="n"/>
      <c r="CH189" s="226" t="n"/>
      <c r="CI189" s="219">
        <f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 t="n"/>
      <c r="CK189" s="219">
        <f>IF((AM189+AK189)&lt;&gt;C189," * El N° de exámenes Procesados por SEXO (Hombres + Mujeres)no puede ser distinto al Total de exámenes procesados","")</f>
        <v/>
      </c>
      <c r="CL189" s="219">
        <f>IF((AN189+AL189)&lt;&gt;D189," * El N° de exámenes Confirmados positivos por ISP por Sexo (Hombres+Mujeres) no puede ser distinto al N° Total de exámenes Confirmados positivos por ISP ","")</f>
        <v/>
      </c>
      <c r="CM189" s="219">
        <f>IF(AND(C189&gt;0,AS189="")," * No olvide digitar los examanes de Pueblos Originarios Procesados. Digite Cero si no tiene.",IF(AS189&gt;C189," * Los exámenes de Pueblos originarios Procesados no pueden ser mayor que el Total de exámenes procesados.",""))</f>
        <v/>
      </c>
      <c r="CN189" s="219">
        <f>IF(AND(C189&gt;0,AU189="")," * No olvide digitar los exámenes Procesados de Migrantes. Digite Cero si no tiene.",IF(AU189&gt;C189," * Los exámenes procesados de Migrantes no pueden ser mayor que el Total de exámenes procesados.",""))</f>
        <v/>
      </c>
      <c r="CO189" s="219">
        <f>IF(AND(D189&gt;0,AND(AP189="",AR189=""))," * No olvide digitar los exámenes Confirmados positivos por ISP de Trans (Masculino y Femenino). Digite Cero si no tiene.",IF((AP189+AR189)&gt;D189," * Los exámenes confirmados positivos por ISP de Trans (Masculino y Femenino) no pueden ser mayor que el Total de exámenes Confirmados positivos por ISP.",""))</f>
        <v/>
      </c>
      <c r="CP189" s="219">
        <f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19">
        <f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26" t="n"/>
      <c r="CS189" s="226" t="n"/>
      <c r="CT189" s="260">
        <f>IF(AND((M189+O189)&gt;0,AW189=""),"*No olvide digitar los Exámenes Procesados de 14-18 años. Digite cero si no tiene.",IF(AW189&gt;(M189+O189),"* El Total de Procesados de 14-18 años NO DEBE ser mayor al Total de Procesados registrados en los grupos de edad 10 a 14 + 15 a 19 años. ",""))</f>
        <v/>
      </c>
      <c r="CU189" s="260">
        <f>IF(AND((N189+P189)&gt;0,AX189=""),"*No olvide digitar los Exámenes Confirmados Positivos por ISP de 14-18 años. Digite cero si no tiene.",IF(AX189&gt;(N189+P189),"* El Total de Confirmados de 14-18 años NO DEBE ser mayor al Total de Confirmados Positivos por ISP registrados en los grupos de edad 10 a 14 + 15 a 19 años. ",""))</f>
        <v/>
      </c>
      <c r="DF189" s="381">
        <f>IF(D189&gt;C189,1,0)</f>
        <v/>
      </c>
      <c r="DG189" s="380" t="n"/>
      <c r="DH189" s="378">
        <f>IF(AN189&gt;AM189,1,0)</f>
        <v/>
      </c>
      <c r="DI189" s="226" t="n"/>
      <c r="DJ189" s="226" t="n"/>
      <c r="DK189" s="226" t="n"/>
      <c r="DL189" s="226" t="n"/>
      <c r="DM189" s="226" t="n"/>
      <c r="DN189" s="378">
        <f>IF(AND(C189&gt;0,AND(AO189="",AQ189="")),1,IF((AO189+AQ189)&gt;C189,1,0))</f>
        <v/>
      </c>
      <c r="DO189" s="227" t="n"/>
      <c r="DP189" s="378">
        <f>IF((AM189+AK189)&lt;&gt;C189,1,0)</f>
        <v/>
      </c>
      <c r="DQ189" s="378">
        <f>IF((AN189+AL189)&lt;&gt;D189,1,0)</f>
        <v/>
      </c>
      <c r="DR189" s="378">
        <f>IF(AND(C189&gt;0,AS189=""),1,IF(AS189&gt;C189,1,0))</f>
        <v/>
      </c>
      <c r="DS189" s="378">
        <f>IF(AND(C189&gt;0,AU189=""),1,IF(AU189&gt;C189,1,0))</f>
        <v/>
      </c>
      <c r="DT189" s="378">
        <f>IF(AND(D189&gt;0,OR(AP189="",AR189="")),1,IF((AP189+AR189)&gt;D189,1,0))</f>
        <v/>
      </c>
      <c r="DU189" s="378">
        <f>IF(AND(D189&gt;0,AT189=""),1,IF(AT189&gt;D189,1,0))</f>
        <v/>
      </c>
      <c r="DV189" s="378">
        <f>IF(AND(D189&gt;0,AV189=""),1,IF(AV189&gt;D189,1,0))</f>
        <v/>
      </c>
      <c r="DW189" s="226" t="n"/>
      <c r="DX189" s="226" t="n"/>
      <c r="DY189" s="378">
        <f>IF(AND((M189+O189)&gt;0,AW189=""),1,IF(AW189&gt;(M189+O189),1,0))</f>
        <v/>
      </c>
      <c r="DZ189" s="378">
        <f>IF(AND((N189+P189)&gt;0,AX189=""),1,IF(AX189&gt;(N189+P189),1,0))</f>
        <v/>
      </c>
    </row>
    <row r="190">
      <c r="A190" s="10306" t="inlineStr">
        <is>
          <t>Mujer en trabajo de pre parto o parto</t>
        </is>
      </c>
      <c r="B190" s="9644" t="n"/>
      <c r="C190" s="3103">
        <f>+M190+O190+Q190+S190+U190+W190+Y190+AA190+AC190+AE190</f>
        <v/>
      </c>
      <c r="D190" s="757">
        <f>+N190+P190+R190+T190+V190+X190+Z190+AB190+AD190+AF190</f>
        <v/>
      </c>
      <c r="E190" s="3104" t="n"/>
      <c r="F190" s="3105" t="n"/>
      <c r="G190" s="3104" t="n"/>
      <c r="H190" s="3105" t="n"/>
      <c r="I190" s="3104" t="n"/>
      <c r="J190" s="3105" t="n"/>
      <c r="K190" s="3104" t="n"/>
      <c r="L190" s="3105" t="n"/>
      <c r="M190" s="3108" t="n"/>
      <c r="N190" s="3107" t="n"/>
      <c r="O190" s="3108" t="n"/>
      <c r="P190" s="3107" t="n"/>
      <c r="Q190" s="3108" t="n"/>
      <c r="R190" s="3107" t="n"/>
      <c r="S190" s="3108" t="n"/>
      <c r="T190" s="3107" t="n"/>
      <c r="U190" s="3108" t="n"/>
      <c r="V190" s="3107" t="n"/>
      <c r="W190" s="3108" t="n"/>
      <c r="X190" s="3107" t="n"/>
      <c r="Y190" s="3108" t="n"/>
      <c r="Z190" s="3107" t="n"/>
      <c r="AA190" s="3108" t="n"/>
      <c r="AB190" s="3107" t="n"/>
      <c r="AC190" s="3108" t="n"/>
      <c r="AD190" s="3107" t="n"/>
      <c r="AE190" s="3108" t="n"/>
      <c r="AF190" s="3107" t="n"/>
      <c r="AG190" s="3104" t="n"/>
      <c r="AH190" s="3106" t="n"/>
      <c r="AI190" s="3104" t="n"/>
      <c r="AJ190" s="3114" t="n"/>
      <c r="AK190" s="3097" t="n"/>
      <c r="AL190" s="2651" t="n"/>
      <c r="AM190" s="3108" t="n"/>
      <c r="AN190" s="3149" t="n"/>
      <c r="AO190" s="3099" t="n"/>
      <c r="AP190" s="1125" t="n"/>
      <c r="AQ190" s="3100" t="n"/>
      <c r="AR190" s="3149" t="n"/>
      <c r="AS190" s="3099" t="n"/>
      <c r="AT190" s="3149" t="n"/>
      <c r="AU190" s="3099" t="n"/>
      <c r="AV190" s="1125" t="n"/>
      <c r="AW190" s="3099" t="n"/>
      <c r="AX190" s="1125" t="n"/>
      <c r="AY190" s="218">
        <f>$CA190&amp;$CC190&amp;CD190&amp;CE190&amp;CF190&amp;CG190&amp;CH190&amp;CI190&amp;CJ190&amp;CK190&amp;CL190&amp;CM190&amp;CN190&amp;CO190&amp;CP190&amp;CQ190&amp;CR190&amp;CS190&amp;CT190</f>
        <v/>
      </c>
      <c r="CA190" s="379">
        <f>IF(D190&gt;C190," * El Total de Exámenes Confirmados Positivos por ISP NO DEBE SUPERAR los Exámenes Procesados. ","")</f>
        <v/>
      </c>
      <c r="CB190" s="380" t="n"/>
      <c r="CC190" s="219">
        <f>IF(AN190&gt;AM190," * El número de Exámenes por Sexo Mujeres Confirmados positivos por ISP NO PUEDE Superar al número de Procesados. ","")</f>
        <v/>
      </c>
      <c r="CD190" s="226" t="n"/>
      <c r="CE190" s="226" t="n"/>
      <c r="CF190" s="226" t="n"/>
      <c r="CG190" s="226" t="n"/>
      <c r="CH190" s="226" t="n"/>
      <c r="CI190" s="219">
        <f>IF(AND(C190&gt;0,AND(AO190="",AQ190=""))," * No olvide digitar los exámenes procesados Trans (Masculino y femenino) Digite Cero si no tiene.",IF((AO190+AQ190)&gt;C190," * Los exámenes procesados en Trans (Masculino y femenino) no pueden ser mayor que el Total de exámenes procesados.",""))</f>
        <v/>
      </c>
      <c r="CJ190" s="227" t="n"/>
      <c r="CK190" s="219">
        <f>IF((AM190+AK190)&lt;&gt;C190," * El N° de exámenes Procesados por SEXO (Hombres + Mujeres)no puede ser distinto al Total de exámenes procesados","")</f>
        <v/>
      </c>
      <c r="CL190" s="219">
        <f>IF((AN190+AL190)&lt;&gt;D190," * El N° de exámenes Confirmados positivos por ISP por Sexo (Hombres+Mujeres) no puede ser distinto al N° Total de exámenes Confirmados positivos por ISP ","")</f>
        <v/>
      </c>
      <c r="CM190" s="219">
        <f>IF(AND(C190&gt;0,AS190="")," * No olvide digitar los examanes de Pueblos Originarios Procesados. Digite Cero si no tiene.",IF(AS190&gt;C190," * Los exámenes de Pueblos originarios Procesados no pueden ser mayor que el Total de exámenes procesados.",""))</f>
        <v/>
      </c>
      <c r="CN190" s="219">
        <f>IF(AND(C190&gt;0,AU190="")," * No olvide digitar los exámenes Procesados de Migrantes. Digite Cero si no tiene.",IF(AU190&gt;C190," * Los exámenes procesados de Migrantes no pueden ser mayor que el Total de exámenes procesados.",""))</f>
        <v/>
      </c>
      <c r="CO190" s="219">
        <f>IF(AND(D190&gt;0,AND(AP190="",AR190=""))," * No olvide digitar los exámenes Confirmados positivos por ISP de Trans (Masculino y Femenino). Digite Cero si no tiene.",IF((AP190+AR190)&gt;D190," * Los exámenes confirmados positivos por ISP de Trans (Masculino y Femenino) no pueden ser mayor que el Total de exámenes Confirmados positivos por ISP.",""))</f>
        <v/>
      </c>
      <c r="CP190" s="219">
        <f>IF(AND(D190&gt;0,AT190="")," * No olvide digitar los exámenes Confirmados positivos por ISP de Pueblos Originarios. Digite Cero si no tiene.",IF(AT190&gt;D190," * Los exámenes Confirmados positivos por ISP de Pueblos originarios no pueden ser mayor que el Total de exámenes Procesados por ISP.",""))</f>
        <v/>
      </c>
      <c r="CQ190" s="219">
        <f>IF(AND(D190&gt;0,AV190="")," * No olvide digitar los exámenes Confirmados positivos por ISP de Migrantes. Digite Cero si no tiene.",IF(AV190&gt;D190," * Los exámenes Confirmados positivos por ISP de Migrantes no pueden ser mayor que el Total de exámenes Procesados por ISP.",""))</f>
        <v/>
      </c>
      <c r="CR190" s="226" t="n"/>
      <c r="CS190" s="226" t="n"/>
      <c r="CT190" s="260">
        <f>IF(AND((M190+O190)&gt;0,AW190=""),"*No olvide digitar los Exámenes Procesados de 14-18 años. Digite cero si no tiene.",IF(AW190&gt;(M190+O190),"* El Total de Procesados de 14-18 años NO DEBE ser mayor al Total de Procesados registrados en los grupos de edad 10 a 14 + 15 a 19 años. ",""))</f>
        <v/>
      </c>
      <c r="CU190" s="260">
        <f>IF(AND((N190+P190)&gt;0,AX190=""),"*No olvide digitar los Exámenes Confirmados Positivos por ISP de 14-18 años. Digite cero si no tiene.",IF(AX190&gt;(N190+P190),"* El Total de Confirmados de 14-18 años NO DEBE ser mayor al Total de Confirmados Positivos por ISP registrados en los grupos de edad 10 a 14 + 15 a 19 años. ",""))</f>
        <v/>
      </c>
      <c r="DF190" s="381">
        <f>IF(D190&gt;C190,1,0)</f>
        <v/>
      </c>
      <c r="DG190" s="380" t="n"/>
      <c r="DH190" s="378">
        <f>IF(AN190&gt;AM190,1,0)</f>
        <v/>
      </c>
      <c r="DI190" s="226" t="n"/>
      <c r="DJ190" s="226" t="n"/>
      <c r="DK190" s="226" t="n"/>
      <c r="DL190" s="226" t="n"/>
      <c r="DM190" s="226" t="n"/>
      <c r="DN190" s="378">
        <f>IF(AND(C190&gt;0,AND(AO190="",AQ190="")),1,IF((AO190+AQ190)&gt;C190,1,0))</f>
        <v/>
      </c>
      <c r="DO190" s="227" t="n"/>
      <c r="DP190" s="378">
        <f>IF((AM190+AK190)&lt;&gt;C190,1,0)</f>
        <v/>
      </c>
      <c r="DQ190" s="378">
        <f>IF((AN190+AL190)&lt;&gt;D190,1,0)</f>
        <v/>
      </c>
      <c r="DR190" s="378">
        <f>IF(AND(C190&gt;0,AS190=""),1,IF(AS190&gt;C190,1,0))</f>
        <v/>
      </c>
      <c r="DS190" s="378">
        <f>IF(AND(C190&gt;0,AU190=""),1,IF(AU190&gt;C190,1,0))</f>
        <v/>
      </c>
      <c r="DT190" s="378">
        <f>IF(AND(D190&gt;0,OR(AP190="",AR190="")),1,IF((AP190+AR190)&gt;D190,1,0))</f>
        <v/>
      </c>
      <c r="DU190" s="378">
        <f>IF(AND(D190&gt;0,AT190=""),1,IF(AT190&gt;D190,1,0))</f>
        <v/>
      </c>
      <c r="DV190" s="378">
        <f>IF(AND(D190&gt;0,AV190=""),1,IF(AV190&gt;D190,1,0))</f>
        <v/>
      </c>
      <c r="DW190" s="226" t="n"/>
      <c r="DX190" s="226" t="n"/>
      <c r="DY190" s="378">
        <f>IF(AND((M190+O190)&gt;0,AW190=""),1,IF(AW190&gt;(M190+O190),1,0))</f>
        <v/>
      </c>
      <c r="DZ190" s="378">
        <f>IF(AND((N190+P190)&gt;0,AX190=""),1,IF(AX190&gt;(N190+P190),1,0))</f>
        <v/>
      </c>
    </row>
    <row r="191">
      <c r="A191" s="10306" t="inlineStr">
        <is>
          <t>Personas en control por comercio sexual</t>
        </is>
      </c>
      <c r="B191" s="9644" t="n"/>
      <c r="C191" s="3103">
        <f>+O191+Q191+S191+U191+W191+Y191+AA191+AC191+AE191+AG191+AI191</f>
        <v/>
      </c>
      <c r="D191" s="3150">
        <f>+P191+R191+T191+V191+X191+Z191+AB191+AD191+AF191+AH191+AJ191</f>
        <v/>
      </c>
      <c r="E191" s="3104" t="n"/>
      <c r="F191" s="3105" t="n"/>
      <c r="G191" s="3104" t="n"/>
      <c r="H191" s="3105" t="n"/>
      <c r="I191" s="3104" t="n"/>
      <c r="J191" s="3105" t="n"/>
      <c r="K191" s="3104" t="n"/>
      <c r="L191" s="3105" t="n"/>
      <c r="M191" s="3104" t="n"/>
      <c r="N191" s="3105" t="n"/>
      <c r="O191" s="3108" t="n"/>
      <c r="P191" s="3107" t="n"/>
      <c r="Q191" s="3108" t="n"/>
      <c r="R191" s="3107" t="n"/>
      <c r="S191" s="3108" t="n"/>
      <c r="T191" s="3107" t="n"/>
      <c r="U191" s="3108" t="n"/>
      <c r="V191" s="3107" t="n"/>
      <c r="W191" s="3108" t="n"/>
      <c r="X191" s="3107" t="n"/>
      <c r="Y191" s="3108" t="n"/>
      <c r="Z191" s="3107" t="n"/>
      <c r="AA191" s="3108" t="n"/>
      <c r="AB191" s="3107" t="n"/>
      <c r="AC191" s="3108" t="n"/>
      <c r="AD191" s="3107" t="n"/>
      <c r="AE191" s="3108" t="n"/>
      <c r="AF191" s="3107" t="n"/>
      <c r="AG191" s="3108" t="n"/>
      <c r="AH191" s="3107" t="n"/>
      <c r="AI191" s="3108" t="n"/>
      <c r="AJ191" s="3107" t="n"/>
      <c r="AK191" s="3099" t="n"/>
      <c r="AL191" s="1125" t="n"/>
      <c r="AM191" s="3108" t="n"/>
      <c r="AN191" s="3149" t="n"/>
      <c r="AO191" s="3099" t="n"/>
      <c r="AP191" s="1125" t="n"/>
      <c r="AQ191" s="3100" t="n"/>
      <c r="AR191" s="3149" t="n"/>
      <c r="AS191" s="3099" t="n"/>
      <c r="AT191" s="3149" t="n"/>
      <c r="AU191" s="3099" t="n"/>
      <c r="AV191" s="1125" t="n"/>
      <c r="AW191" s="3099" t="n"/>
      <c r="AX191" s="1125" t="n"/>
      <c r="AY191" s="218">
        <f>$CA191&amp;CB191&amp;$CC191&amp;CD191&amp;CE191&amp;CF191&amp;CG191&amp;CH191&amp;CI191&amp;CJ191&amp;CK191&amp;CL191&amp;CM191&amp;CN191&amp;CO191&amp;CP191&amp;CQ191&amp;CR191&amp;CS191&amp;CT191&amp;CU191</f>
        <v/>
      </c>
      <c r="CA191" s="379">
        <f>IF(D191&gt;C191," * El Total de Exámenes Confirmados Positivos por ISP NO DEBE SUPERAR los Exámenes Procesados. ","")</f>
        <v/>
      </c>
      <c r="CB191" s="219">
        <f>IF(AL191&gt;AK191," * El número de Exámenes por Sexo Hombres Confirmados positivos por ISP NO PUEDE Superar al número de Procesados. ","")</f>
        <v/>
      </c>
      <c r="CC191" s="219">
        <f>IF(AN191&gt;AM191," * El número de Exámenes por Sexo Mujeres Confirmados positivos por ISP NO PUEDE Superar al número de Procesados. ","")</f>
        <v/>
      </c>
      <c r="CD191" s="226" t="n"/>
      <c r="CE191" s="226" t="n"/>
      <c r="CF191" s="226" t="n"/>
      <c r="CG191" s="226" t="n"/>
      <c r="CH191" s="226" t="n"/>
      <c r="CI191" s="219">
        <f>IF(AND(C191&gt;0,AND(AO191="",AQ191=""))," * No olvide digitar los exámenes procesados Trans (Masculino y femenino) Digite Cero si no tiene.",IF((AO191+AQ191)&gt;C191," * Los exámenes procesados en Trans (Masculino y femenino) no pueden ser mayor que el Total de exámenes procesados.",""))</f>
        <v/>
      </c>
      <c r="CJ191" s="227" t="n"/>
      <c r="CK191" s="219">
        <f>IF((AM191+AK191)&lt;&gt;C191," * El N° de exámenes Procesados por SEXO (Hombres + Mujeres)no puede ser distinto al Total de exámenes procesados","")</f>
        <v/>
      </c>
      <c r="CL191" s="219">
        <f>IF((AN191+AL191)&lt;&gt;D191," * El N° de exámenes Confirmados positivos por ISP por Sexo (Hombres+Mujeres) no puede ser distinto al N° Total de exámenes Confirmados positivos por ISP ","")</f>
        <v/>
      </c>
      <c r="CM191" s="219">
        <f>IF(AND(C191&gt;0,AS191="")," * No olvide digitar los examanes de Pueblos Originarios Procesados. Digite Cero si no tiene.",IF(AS191&gt;C191," * Los exámenes de Pueblos originarios Procesados no pueden ser mayor que el Total de exámenes procesados.",""))</f>
        <v/>
      </c>
      <c r="CN191" s="219">
        <f>IF(AND(C191&gt;0,AU191="")," * No olvide digitar los exámenes Procesados de Migrantes. Digite Cero si no tiene.",IF(AU191&gt;C191," * Los exámenes procesados de Migrantes no pueden ser mayor que el Total de exámenes procesados.",""))</f>
        <v/>
      </c>
      <c r="CO191" s="219">
        <f>IF(AND(D191&gt;0,AND(AP191="",AR191=""))," * No olvide digitar los exámenes Confirmados positivos por ISP de Trans (Masculino y Femenino). Digite Cero si no tiene.",IF((AP191+AR191)&gt;D191," * Los exámenes confirmados positivos por ISP de Trans (Masculino y Femenino) no pueden ser mayor que el Total de exámenes Confirmados positivos por ISP.",""))</f>
        <v/>
      </c>
      <c r="CP191" s="219">
        <f>IF(AND(D191&gt;0,AT191="")," * No olvide digitar los exámenes Confirmados positivos por ISP de Pueblos Originarios. Digite Cero si no tiene.",IF(AT191&gt;D191," * Los exámenes Confirmados positivos por ISP de Pueblos originarios no pueden ser mayor que el Total de exámenes Procesados por ISP.",""))</f>
        <v/>
      </c>
      <c r="CQ191" s="219">
        <f>IF(AND(D191&gt;0,AV191="")," * No olvide digitar los exámenes Confirmados positivos por ISP de Migrantes. Digite Cero si no tiene.",IF(AV191&gt;D191," * Los exámenes Confirmados positivos por ISP de Migrantes no pueden ser mayor que el Total de exámenes Procesados por ISP.",""))</f>
        <v/>
      </c>
      <c r="CR191" s="226" t="n"/>
      <c r="CS191" s="226" t="n"/>
      <c r="CT191" s="260">
        <f>IF(AND((M191+O191)&gt;0,AW191=""),"*No olvide digitar los Exámenes Procesados de 14-18 años. Digite cero si no tiene.",IF(AW191&gt;(M191+O191),"* El Total de Procesados de 14-18 años NO DEBE ser mayor al Total de Procesados registrados en los grupos de edad 10 a 14 + 15 a 19 años. ",""))</f>
        <v/>
      </c>
      <c r="CU191" s="260">
        <f>IF(AND((N191+P191)&gt;0,AX191=""),"*No olvide digitar los Exámenes Confirmados Positivos por ISP de 14-18 años. Digite cero si no tiene.",IF(AX191&gt;(N191+P191),"* El Total de Confirmados de 14-18 años NO DEBE ser mayor al Total de Confirmados Positivos por ISP registrados en los grupos de edad 10 a 14 + 15 a 19 años. ",""))</f>
        <v/>
      </c>
      <c r="DF191" s="381">
        <f>IF(D191&gt;C191,1,0)</f>
        <v/>
      </c>
      <c r="DG191" s="378">
        <f>IF(AL191&gt;AK191,1,0)</f>
        <v/>
      </c>
      <c r="DH191" s="378">
        <f>IF(AN191&gt;AM191,1,0)</f>
        <v/>
      </c>
      <c r="DI191" s="226" t="n"/>
      <c r="DJ191" s="226" t="n"/>
      <c r="DK191" s="226" t="n"/>
      <c r="DL191" s="226" t="n"/>
      <c r="DM191" s="226" t="n"/>
      <c r="DN191" s="378">
        <f>IF(AND(C191&gt;0,AND(AO191="",AQ191="")),1,IF((AO191+AQ191)&gt;C191,1,0))</f>
        <v/>
      </c>
      <c r="DO191" s="227" t="n"/>
      <c r="DP191" s="378">
        <f>IF((AM191+AK191)&lt;&gt;C191,1,0)</f>
        <v/>
      </c>
      <c r="DQ191" s="378">
        <f>IF((AN191+AL191)&lt;&gt;D191,1,0)</f>
        <v/>
      </c>
      <c r="DR191" s="378">
        <f>IF(AND(C191&gt;0,AS191=""),1,IF(AS191&gt;C191,1,0))</f>
        <v/>
      </c>
      <c r="DS191" s="378">
        <f>IF(AND(C191&gt;0,AU191=""),1,IF(AU191&gt;C191,1,0))</f>
        <v/>
      </c>
      <c r="DT191" s="378">
        <f>IF(AND(D191&gt;0,OR(AP191="",AR191="")),1,IF((AP191+AR191)&gt;D191,1,0))</f>
        <v/>
      </c>
      <c r="DU191" s="378">
        <f>IF(AND(D191&gt;0,AT191=""),1,IF(AT191&gt;D191,1,0))</f>
        <v/>
      </c>
      <c r="DV191" s="378">
        <f>IF(AND(D191&gt;0,AV191=""),1,IF(AV191&gt;D191,1,0))</f>
        <v/>
      </c>
      <c r="DW191" s="226" t="n"/>
      <c r="DX191" s="226" t="n"/>
      <c r="DY191" s="378">
        <f>IF(AND((M191+O191)&gt;0,AW191=""),1,IF(AW191&gt;(M191+O191),1,0))</f>
        <v/>
      </c>
      <c r="DZ191" s="378">
        <f>IF(AND((N191+P191)&gt;0,AX191=""),1,IF(AX191&gt;(N191+P191),1,0))</f>
        <v/>
      </c>
    </row>
    <row r="192">
      <c r="A192" s="10306" t="inlineStr">
        <is>
          <t>Pacientes en diálisis</t>
        </is>
      </c>
      <c r="B192" s="9644" t="n"/>
      <c r="C192" s="3103">
        <f>+E192+G192+I192+K192+M192+O192+Q192+S192+U192+W192+Y192+AA192+AC192+AE192+AG192+AI192</f>
        <v/>
      </c>
      <c r="D192" s="3150">
        <f>+F192+H192+J192+L192+N192+P192+R192+T192+V192+X192+Z192+AB192+AD192+AF192+AH192+AJ192</f>
        <v/>
      </c>
      <c r="E192" s="3108" t="n"/>
      <c r="F192" s="3107" t="n"/>
      <c r="G192" s="3108" t="n"/>
      <c r="H192" s="3107" t="n"/>
      <c r="I192" s="3108" t="n"/>
      <c r="J192" s="3107" t="n"/>
      <c r="K192" s="3108" t="n"/>
      <c r="L192" s="3107" t="n"/>
      <c r="M192" s="3108" t="n"/>
      <c r="N192" s="3107" t="n"/>
      <c r="O192" s="3108" t="n"/>
      <c r="P192" s="3107" t="n"/>
      <c r="Q192" s="3108" t="n"/>
      <c r="R192" s="3107" t="n"/>
      <c r="S192" s="3108" t="n"/>
      <c r="T192" s="3107" t="n"/>
      <c r="U192" s="3108" t="n"/>
      <c r="V192" s="3107" t="n"/>
      <c r="W192" s="3108" t="n"/>
      <c r="X192" s="3107" t="n"/>
      <c r="Y192" s="3108" t="n"/>
      <c r="Z192" s="3107" t="n"/>
      <c r="AA192" s="3108" t="n"/>
      <c r="AB192" s="3107" t="n"/>
      <c r="AC192" s="3108" t="n"/>
      <c r="AD192" s="3107" t="n"/>
      <c r="AE192" s="3108" t="n"/>
      <c r="AF192" s="3107" t="n"/>
      <c r="AG192" s="3108" t="n"/>
      <c r="AH192" s="3107" t="n"/>
      <c r="AI192" s="3108" t="n"/>
      <c r="AJ192" s="3107" t="n"/>
      <c r="AK192" s="3151" t="n"/>
      <c r="AL192" s="2440" t="n"/>
      <c r="AM192" s="3152" t="n"/>
      <c r="AN192" s="3149" t="n"/>
      <c r="AO192" s="3099" t="n"/>
      <c r="AP192" s="1125" t="n"/>
      <c r="AQ192" s="3100" t="n"/>
      <c r="AR192" s="3149" t="n"/>
      <c r="AS192" s="3099" t="n"/>
      <c r="AT192" s="3149" t="n"/>
      <c r="AU192" s="3099" t="n"/>
      <c r="AV192" s="1125" t="n"/>
      <c r="AW192" s="3099" t="n"/>
      <c r="AX192" s="1125" t="n"/>
      <c r="AY192" s="218">
        <f>$CA192&amp;CB192&amp;$CC192&amp;CD192&amp;CE192&amp;CF192&amp;CG192&amp;CH192&amp;CI192&amp;CJ192&amp;CK192&amp;CL192&amp;CM192&amp;CN192&amp;CO192&amp;CP192&amp;CQ192&amp;CR192&amp;CS192&amp;CT192&amp;CU192</f>
        <v/>
      </c>
      <c r="CA192" s="379">
        <f>IF(D192&gt;C192," * El Total de Exámenes Confirmados Positivos por ISP NO DEBE SUPERAR los Exámenes Procesados. ","")</f>
        <v/>
      </c>
      <c r="CB192" s="219">
        <f>IF(AL192&gt;AK192," * El número de Exámenes por Sexo Hombres Confirmados positivos por ISP NO PUEDE Superar al número de Procesados. ","")</f>
        <v/>
      </c>
      <c r="CC192" s="219">
        <f>IF(AN192&gt;AM192," * El número de Exámenes por Sexo Mujeres Confirmados positivos por ISP NO PUEDE Superar al número de Procesados. ","")</f>
        <v/>
      </c>
      <c r="CD192" s="226" t="n"/>
      <c r="CE192" s="226" t="n"/>
      <c r="CF192" s="226" t="n"/>
      <c r="CG192" s="226" t="n"/>
      <c r="CH192" s="226" t="n"/>
      <c r="CI192" s="219">
        <f>IF(AND(C192&gt;0,AND(AO192="",AQ192=""))," * No olvide digitar los exámenes procesados Trans (Masculino y femenino) Digite Cero si no tiene.",IF((AO192+AQ192)&gt;C192," * Los exámenes procesados en Trans (Masculino y femenino) no pueden ser mayor que el Total de exámenes procesados.",""))</f>
        <v/>
      </c>
      <c r="CJ192" s="227" t="n"/>
      <c r="CK192" s="219">
        <f>IF((AM192+AK192)&lt;&gt;C192," * El N° de exámenes Procesados por SEXO (Hombres + Mujeres)no puede ser distinto al Total de exámenes procesados","")</f>
        <v/>
      </c>
      <c r="CL192" s="219">
        <f>IF((AN192+AL192)&lt;&gt;D192," * El N° de exámenes Confirmados positivos por ISP por Sexo (Hombres+Mujeres) no puede ser distinto al N° Total de exámenes Confirmados positivos por ISP ","")</f>
        <v/>
      </c>
      <c r="CM192" s="219">
        <f>IF(AND(C192&gt;0,AS192="")," * No olvide digitar los examanes de Pueblos Originarios Procesados. Digite Cero si no tiene.",IF(AS192&gt;C192," * Los exámenes de Pueblos originarios Procesados no pueden ser mayor que el Total de exámenes procesados.",""))</f>
        <v/>
      </c>
      <c r="CN192" s="219">
        <f>IF(AND(C192&gt;0,AU192="")," * No olvide digitar los exámenes Procesados de Migrantes. Digite Cero si no tiene.",IF(AU192&gt;C192," * Los exámenes procesados de Migrantes no pueden ser mayor que el Total de exámenes procesados.",""))</f>
        <v/>
      </c>
      <c r="CO192" s="219">
        <f>IF(AND(D192&gt;0,AND(AP192="",AR192=""))," * No olvide digitar los exámenes Confirmados positivos por ISP de Trans (Masculino y Femenino). Digite Cero si no tiene.",IF((AP192+AR192)&gt;D192," * Los exámenes confirmados positivos por ISP de Trans (Masculino y Femenino) no pueden ser mayor que el Total de exámenes Confirmados positivos por ISP.",""))</f>
        <v/>
      </c>
      <c r="CP192" s="219">
        <f>IF(AND(D192&gt;0,AT192="")," * No olvide digitar los exámenes Confirmados positivos por ISP de Pueblos Originarios. Digite Cero si no tiene.",IF(AT192&gt;D192," * Los exámenes Confirmados positivos por ISP de Pueblos originarios no pueden ser mayor que el Total de exámenes Procesados por ISP.",""))</f>
        <v/>
      </c>
      <c r="CQ192" s="219">
        <f>IF(AND(D192&gt;0,AV192="")," * No olvide digitar los exámenes Confirmados positivos por ISP de Migrantes. Digite Cero si no tiene.",IF(AV192&gt;D192," * Los exámenes Confirmados positivos por ISP de Migrantes no pueden ser mayor que el Total de exámenes Procesados por ISP.",""))</f>
        <v/>
      </c>
      <c r="CR192" s="226" t="n"/>
      <c r="CS192" s="226" t="n"/>
      <c r="CT192" s="260">
        <f>IF(AND((M192+O192)&gt;0,AW192=""),"*No olvide digitar los Exámenes Procesados de 14-18 años. Digite cero si no tiene.",IF(AW192&gt;(M192+O192),"* El Total de Procesados de 14-18 años NO DEBE ser mayor al Total de Procesados registrados en los grupos de edad 10 a 14 + 15 a 19 años. ",""))</f>
        <v/>
      </c>
      <c r="CU192" s="260">
        <f>IF(AND((N192+P192)&gt;0,AX192=""),"*No olvide digitar los Exámenes Confirmados Positivos por ISP de 14-18 años. Digite cero si no tiene.",IF(AX192&gt;(N192+P192),"* El Total de Confirmados de 14-18 años NO DEBE ser mayor al Total de Confirmados Positivos por ISP registrados en los grupos de edad 10 a 14 + 15 a 19 años. ",""))</f>
        <v/>
      </c>
      <c r="DF192" s="381">
        <f>IF(D192&gt;C192,1,0)</f>
        <v/>
      </c>
      <c r="DG192" s="378">
        <f>IF(AL192&gt;AK192,1,0)</f>
        <v/>
      </c>
      <c r="DH192" s="378">
        <f>IF(AN192&gt;AM192,1,0)</f>
        <v/>
      </c>
      <c r="DI192" s="226" t="n"/>
      <c r="DJ192" s="226" t="n"/>
      <c r="DK192" s="226" t="n"/>
      <c r="DL192" s="226" t="n"/>
      <c r="DM192" s="226" t="n"/>
      <c r="DN192" s="378">
        <f>IF(AND(C192&gt;0,AND(AO192="",AQ192="")),1,IF((AO192+AQ192)&gt;C192,1,0))</f>
        <v/>
      </c>
      <c r="DO192" s="227" t="n"/>
      <c r="DP192" s="378">
        <f>IF((AM192+AK192)&lt;&gt;C192,1,0)</f>
        <v/>
      </c>
      <c r="DQ192" s="378">
        <f>IF((AN192+AL192)&lt;&gt;D192,1,0)</f>
        <v/>
      </c>
      <c r="DR192" s="378">
        <f>IF(AND(C192&gt;0,AS192=""),1,IF(AS192&gt;C192,1,0))</f>
        <v/>
      </c>
      <c r="DS192" s="378">
        <f>IF(AND(C192&gt;0,AU192=""),1,IF(AU192&gt;C192,1,0))</f>
        <v/>
      </c>
      <c r="DT192" s="378">
        <f>IF(AND(D192&gt;0,OR(AP192="",AR192="")),1,IF((AP192+AR192)&gt;D192,1,0))</f>
        <v/>
      </c>
      <c r="DU192" s="378">
        <f>IF(AND(D192&gt;0,AT192=""),1,IF(AT192&gt;D192,1,0))</f>
        <v/>
      </c>
      <c r="DV192" s="378">
        <f>IF(AND(D192&gt;0,AV192=""),1,IF(AV192&gt;D192,1,0))</f>
        <v/>
      </c>
      <c r="DW192" s="226" t="n"/>
      <c r="DX192" s="226" t="n"/>
      <c r="DY192" s="378">
        <f>IF(AND((M192+O192)&gt;0,AW192=""),1,IF(AW192&gt;(M192+O192),1,0))</f>
        <v/>
      </c>
      <c r="DZ192" s="378">
        <f>IF(AND((N192+P192)&gt;0,AX192=""),1,IF(AX192&gt;(N192+P192),1,0))</f>
        <v/>
      </c>
    </row>
    <row r="193">
      <c r="A193" s="10306" t="inlineStr">
        <is>
          <t>Por consulta ITS</t>
        </is>
      </c>
      <c r="B193" s="9644" t="n"/>
      <c r="C193" s="3103">
        <f>+E193+G193+I193+K193+M193+O193+Q193+S193+U193+W193+Y193+AA193+AC193+AE193+AG193+AI193</f>
        <v/>
      </c>
      <c r="D193" s="757">
        <f>+F193+H193+J193+L193+N193+P193+R193+T193+V193+X193+Z193+AB193+AD193+AF193+AH193+AJ193</f>
        <v/>
      </c>
      <c r="E193" s="3108" t="n"/>
      <c r="F193" s="3107" t="n"/>
      <c r="G193" s="3108" t="n"/>
      <c r="H193" s="3107" t="n"/>
      <c r="I193" s="3108" t="n"/>
      <c r="J193" s="3107" t="n"/>
      <c r="K193" s="3108" t="n"/>
      <c r="L193" s="3107" t="n"/>
      <c r="M193" s="3108" t="n"/>
      <c r="N193" s="3107" t="n"/>
      <c r="O193" s="3108" t="n"/>
      <c r="P193" s="3107" t="n"/>
      <c r="Q193" s="3108" t="n"/>
      <c r="R193" s="3107" t="n"/>
      <c r="S193" s="3108" t="n"/>
      <c r="T193" s="3107" t="n"/>
      <c r="U193" s="3108" t="n"/>
      <c r="V193" s="3107" t="n"/>
      <c r="W193" s="3108" t="n"/>
      <c r="X193" s="3107" t="n"/>
      <c r="Y193" s="3108" t="n"/>
      <c r="Z193" s="3107" t="n"/>
      <c r="AA193" s="3108" t="n"/>
      <c r="AB193" s="3107" t="n"/>
      <c r="AC193" s="3108" t="n"/>
      <c r="AD193" s="3107" t="n"/>
      <c r="AE193" s="3108" t="n"/>
      <c r="AF193" s="3107" t="n"/>
      <c r="AG193" s="3108" t="n"/>
      <c r="AH193" s="3107" t="n"/>
      <c r="AI193" s="3108" t="n"/>
      <c r="AJ193" s="3107" t="n"/>
      <c r="AK193" s="3099" t="n"/>
      <c r="AL193" s="1125" t="n"/>
      <c r="AM193" s="3108" t="n"/>
      <c r="AN193" s="3149" t="n"/>
      <c r="AO193" s="3099" t="n"/>
      <c r="AP193" s="1125" t="n"/>
      <c r="AQ193" s="3100" t="n"/>
      <c r="AR193" s="3149" t="n"/>
      <c r="AS193" s="3099" t="n"/>
      <c r="AT193" s="3149" t="n"/>
      <c r="AU193" s="3099" t="n"/>
      <c r="AV193" s="1125" t="n"/>
      <c r="AW193" s="3099" t="n"/>
      <c r="AX193" s="1125" t="n"/>
      <c r="AY193" s="218">
        <f>$CA193&amp;CB193&amp;$CC193&amp;CD193&amp;CE193&amp;CF193&amp;CG193&amp;CH193&amp;CI193&amp;CJ193&amp;CK193&amp;CL193&amp;CM193&amp;CN193&amp;CO193&amp;CP193&amp;CQ193&amp;CR193&amp;CS193&amp;CT193&amp;CU193</f>
        <v/>
      </c>
      <c r="CA193" s="379">
        <f>IF(D193&gt;C193," * El Total de Exámenes Confirmados Positivos por ISP NO DEBE SUPERAR los Exámenes Procesados. ","")</f>
        <v/>
      </c>
      <c r="CB193" s="219">
        <f>IF(AL193&gt;AK193," * El número de Exámenes por Sexo Hombres Confirmados positivos por ISP NO PUEDE Superar al número de Procesados. ","")</f>
        <v/>
      </c>
      <c r="CC193" s="219">
        <f>IF(AN193&gt;AM193," * El número de Exámenes por Sexo Mujeres Confirmados positivos por ISP NO PUEDE Superar al número de Procesados. ","")</f>
        <v/>
      </c>
      <c r="CD193" s="226" t="n"/>
      <c r="CE193" s="226" t="n"/>
      <c r="CF193" s="226" t="n"/>
      <c r="CG193" s="226" t="n"/>
      <c r="CH193" s="226" t="n"/>
      <c r="CI193" s="219">
        <f>IF(AND(C193&gt;0,AND(AO193="",AQ193=""))," * No olvide digitar los exámenes procesados Trans (Masculino y femenino) Digite Cero si no tiene.",IF((AO193+AQ193)&gt;C193," * Los exámenes procesados en Trans (Masculino y femenino) no pueden ser mayor que el Total de exámenes procesados.",""))</f>
        <v/>
      </c>
      <c r="CJ193" s="227" t="n"/>
      <c r="CK193" s="219">
        <f>IF((AM193+AK193)&lt;&gt;C193," * El N° de exámenes Procesados por SEXO (Hombres + Mujeres)no puede ser distinto al Total de exámenes procesados","")</f>
        <v/>
      </c>
      <c r="CL193" s="219">
        <f>IF((AN193+AL193)&lt;&gt;D193," * El N° de exámenes Confirmados positivos por ISP por Sexo (Hombres+Mujeres) no puede ser distinto al N° Total de exámenes Confirmados positivos por ISP ","")</f>
        <v/>
      </c>
      <c r="CM193" s="219">
        <f>IF(AND(C193&gt;0,AS193="")," * No olvide digitar los examanes de Pueblos Originarios Procesados. Digite Cero si no tiene.",IF(AS193&gt;C193," * Los exámenes de Pueblos originarios Procesados no pueden ser mayor que el Total de exámenes procesados.",""))</f>
        <v/>
      </c>
      <c r="CN193" s="219">
        <f>IF(AND(C193&gt;0,AU193="")," * No olvide digitar los exámenes Procesados de Migrantes. Digite Cero si no tiene.",IF(AU193&gt;C193," * Los exámenes procesados de Migrantes no pueden ser mayor que el Total de exámenes procesados.",""))</f>
        <v/>
      </c>
      <c r="CO193" s="219">
        <f>IF(AND(D193&gt;0,AND(AP193="",AR193=""))," * No olvide digitar los exámenes Confirmados positivos por ISP de Trans (Masculino y Femenino). Digite Cero si no tiene.",IF((AP193+AR193)&gt;D193," * Los exámenes confirmados positivos por ISP de Trans (Masculino y Femenino) no pueden ser mayor que el Total de exámenes Confirmados positivos por ISP.",""))</f>
        <v/>
      </c>
      <c r="CP193" s="219">
        <f>IF(AND(D193&gt;0,AT193="")," * No olvide digitar los exámenes Confirmados positivos por ISP de Pueblos Originarios. Digite Cero si no tiene.",IF(AT193&gt;D193," * Los exámenes Confirmados positivos por ISP de Pueblos originarios no pueden ser mayor que el Total de exámenes Procesados por ISP.",""))</f>
        <v/>
      </c>
      <c r="CQ193" s="219">
        <f>IF(AND(D193&gt;0,AV193="")," * No olvide digitar los exámenes Confirmados positivos por ISP de Migrantes. Digite Cero si no tiene.",IF(AV193&gt;D193," * Los exámenes Confirmados positivos por ISP de Migrantes no pueden ser mayor que el Total de exámenes Procesados por ISP.",""))</f>
        <v/>
      </c>
      <c r="CR193" s="226" t="n"/>
      <c r="CS193" s="226" t="n"/>
      <c r="CT193" s="260">
        <f>IF(AND((M193+O193)&gt;0,AW193=""),"*No olvide digitar los Exámenes Procesados de 14-18 años. Digite cero si no tiene.",IF(AW193&gt;(M193+O193),"* El Total de Procesados de 14-18 años NO DEBE ser mayor al Total de Procesados registrados en los grupos de edad 10 a 14 + 15 a 19 años. ",""))</f>
        <v/>
      </c>
      <c r="CU193" s="260">
        <f>IF(AND((N193+P193)&gt;0,AX193=""),"*No olvide digitar los Exámenes Confirmados Positivos por ISP de 14-18 años. Digite cero si no tiene.",IF(AX193&gt;(N193+P193),"* El Total de Confirmados de 14-18 años NO DEBE ser mayor al Total de Confirmados Positivos por ISP registrados en los grupos de edad 10 a 14 + 15 a 19 años. ",""))</f>
        <v/>
      </c>
      <c r="DF193" s="381">
        <f>IF(D193&gt;C193,1,0)</f>
        <v/>
      </c>
      <c r="DG193" s="378">
        <f>IF(AL193&gt;AK193,1,0)</f>
        <v/>
      </c>
      <c r="DH193" s="378">
        <f>IF(AN193&gt;AM193,1,0)</f>
        <v/>
      </c>
      <c r="DI193" s="226" t="n"/>
      <c r="DJ193" s="226" t="n"/>
      <c r="DK193" s="226" t="n"/>
      <c r="DL193" s="226" t="n"/>
      <c r="DM193" s="226" t="n"/>
      <c r="DN193" s="378">
        <f>IF(AND(C193&gt;0,AND(AO193="",AQ193="")),1,IF((AO193+AQ193)&gt;C193,1,0))</f>
        <v/>
      </c>
      <c r="DO193" s="227" t="n"/>
      <c r="DP193" s="378">
        <f>IF((AM193+AK193)&lt;&gt;C193,1,0)</f>
        <v/>
      </c>
      <c r="DQ193" s="378">
        <f>IF((AN193+AL193)&lt;&gt;D193,1,0)</f>
        <v/>
      </c>
      <c r="DR193" s="378">
        <f>IF(AND(C193&gt;0,AS193=""),1,IF(AS193&gt;C193,1,0))</f>
        <v/>
      </c>
      <c r="DS193" s="378">
        <f>IF(AND(C193&gt;0,AU193=""),1,IF(AU193&gt;C193,1,0))</f>
        <v/>
      </c>
      <c r="DT193" s="378">
        <f>IF(AND(D193&gt;0,OR(AP193="",AR193="")),1,IF((AP193+AR193)&gt;D193,1,0))</f>
        <v/>
      </c>
      <c r="DU193" s="378">
        <f>IF(AND(D193&gt;0,AT193=""),1,IF(AT193&gt;D193,1,0))</f>
        <v/>
      </c>
      <c r="DV193" s="378">
        <f>IF(AND(D193&gt;0,AV193=""),1,IF(AV193&gt;D193,1,0))</f>
        <v/>
      </c>
      <c r="DW193" s="226" t="n"/>
      <c r="DX193" s="226" t="n"/>
      <c r="DY193" s="378">
        <f>IF(AND((M193+O193)&gt;0,AW193=""),1,IF(AW193&gt;(M193+O193),1,0))</f>
        <v/>
      </c>
      <c r="DZ193" s="378">
        <f>IF(AND((N193+P193)&gt;0,AX193=""),1,IF(AX193&gt;(N193+P193),1,0))</f>
        <v/>
      </c>
    </row>
    <row r="194">
      <c r="A194" s="10306" t="inlineStr">
        <is>
          <t>Personas en control de regulación fecundidad, ginecológico, climaterio</t>
        </is>
      </c>
      <c r="B194" s="9644" t="n"/>
      <c r="C194" s="3103">
        <f>+O194+Q194+S194+U194+W194+Y194+AA194+AC194+AE194+AG194+AI194</f>
        <v/>
      </c>
      <c r="D194" s="757">
        <f>+P194+R194+T194+V194+X194+Z194+AB194+AD194+AF194+AH194+AJ194</f>
        <v/>
      </c>
      <c r="E194" s="3104" t="n"/>
      <c r="F194" s="3105" t="n"/>
      <c r="G194" s="3104" t="n"/>
      <c r="H194" s="3105" t="n"/>
      <c r="I194" s="3104" t="n"/>
      <c r="J194" s="3105" t="n"/>
      <c r="K194" s="3104" t="n"/>
      <c r="L194" s="3105" t="n"/>
      <c r="M194" s="3104" t="n"/>
      <c r="N194" s="3105" t="n"/>
      <c r="O194" s="3108" t="n"/>
      <c r="P194" s="3107" t="n"/>
      <c r="Q194" s="3108" t="n"/>
      <c r="R194" s="3107" t="n"/>
      <c r="S194" s="3108" t="n"/>
      <c r="T194" s="3107" t="n"/>
      <c r="U194" s="3108" t="n"/>
      <c r="V194" s="3107" t="n"/>
      <c r="W194" s="3108" t="n"/>
      <c r="X194" s="3107" t="n"/>
      <c r="Y194" s="3108" t="n"/>
      <c r="Z194" s="3107" t="n"/>
      <c r="AA194" s="3108" t="n"/>
      <c r="AB194" s="3107" t="n"/>
      <c r="AC194" s="3108" t="n"/>
      <c r="AD194" s="3107" t="n"/>
      <c r="AE194" s="3108" t="n"/>
      <c r="AF194" s="3107" t="n"/>
      <c r="AG194" s="3108" t="n"/>
      <c r="AH194" s="3107" t="n"/>
      <c r="AI194" s="3108" t="n"/>
      <c r="AJ194" s="3107" t="n"/>
      <c r="AK194" s="3099" t="n"/>
      <c r="AL194" s="1125" t="n"/>
      <c r="AM194" s="3108" t="n"/>
      <c r="AN194" s="3149" t="n"/>
      <c r="AO194" s="3099" t="n"/>
      <c r="AP194" s="1125" t="n"/>
      <c r="AQ194" s="3100" t="n"/>
      <c r="AR194" s="3149" t="n"/>
      <c r="AS194" s="3099" t="n"/>
      <c r="AT194" s="3149" t="n"/>
      <c r="AU194" s="3099" t="n"/>
      <c r="AV194" s="1125" t="n"/>
      <c r="AW194" s="3099" t="n"/>
      <c r="AX194" s="1125" t="n"/>
      <c r="AY194" s="218">
        <f>$CA194&amp;CB194&amp;$CC194&amp;CD194&amp;CE194&amp;CF194&amp;CG194&amp;CH194&amp;CI194&amp;CJ194&amp;CK194&amp;CL194&amp;CM194&amp;CN194&amp;CO194&amp;CP194&amp;CQ194&amp;CR194&amp;CS194&amp;CT194&amp;CU194</f>
        <v/>
      </c>
      <c r="CA194" s="379">
        <f>IF(D194&gt;C194," * El Total de Exámenes Confirmados Positivos por ISP NO DEBE SUPERAR los Exámenes Procesados. ","")</f>
        <v/>
      </c>
      <c r="CB194" s="219">
        <f>IF(AL194&gt;AK194," * El número de Exámenes por Sexo Hombres Confirmados positivos por ISP NO PUEDE Superar al número de Procesados. ","")</f>
        <v/>
      </c>
      <c r="CC194" s="219">
        <f>IF(AN194&gt;AM194," * El número de Exámenes por Sexo Mujeres Confirmados positivos por ISP NO PUEDE Superar al número de Procesados. ","")</f>
        <v/>
      </c>
      <c r="CD194" s="226" t="n"/>
      <c r="CE194" s="226" t="n"/>
      <c r="CF194" s="226" t="n"/>
      <c r="CG194" s="226" t="n"/>
      <c r="CH194" s="226" t="n"/>
      <c r="CI194" s="219">
        <f>IF(AND(C194&gt;0,AND(AO194="",AQ194=""))," * No olvide digitar los exámenes procesados Trans (Masculino y femenino) Digite Cero si no tiene.",IF((AO194+AQ194)&gt;C194," * Los exámenes procesados en Trans (Masculino y femenino) no pueden ser mayor que el Total de exámenes procesados.",""))</f>
        <v/>
      </c>
      <c r="CJ194" s="227" t="n"/>
      <c r="CK194" s="219">
        <f>IF((AM194+AK194)&lt;&gt;C194," * El N° de exámenes Procesados por SEXO (Hombres + Mujeres)no puede ser distinto al Total de exámenes procesados","")</f>
        <v/>
      </c>
      <c r="CL194" s="219">
        <f>IF((AN194+AL194)&lt;&gt;D194," * El N° de exámenes Confirmados positivos por ISP por Sexo (Hombres+Mujeres) no puede ser distinto al N° Total de exámenes Confirmados positivos por ISP ","")</f>
        <v/>
      </c>
      <c r="CM194" s="219">
        <f>IF(AND(C194&gt;0,AS194="")," * No olvide digitar los examanes de Pueblos Originarios Procesados. Digite Cero si no tiene.",IF(AS194&gt;C194," * Los exámenes de Pueblos originarios Procesados no pueden ser mayor que el Total de exámenes procesados.",""))</f>
        <v/>
      </c>
      <c r="CN194" s="219">
        <f>IF(AND(C194&gt;0,AU194="")," * No olvide digitar los exámenes Procesados de Migrantes. Digite Cero si no tiene.",IF(AU194&gt;C194," * Los exámenes procesados de Migrantes no pueden ser mayor que el Total de exámenes procesados.",""))</f>
        <v/>
      </c>
      <c r="CO194" s="219">
        <f>IF(AND(D194&gt;0,AND(AP194="",AR194=""))," * No olvide digitar los exámenes Confirmados positivos por ISP de Trans (Masculino y Femenino). Digite Cero si no tiene.",IF((AP194+AR194)&gt;D194," * Los exámenes confirmados positivos por ISP de Trans (Masculino y Femenino) no pueden ser mayor que el Total de exámenes Confirmados positivos por ISP.",""))</f>
        <v/>
      </c>
      <c r="CP194" s="219">
        <f>IF(AND(D194&gt;0,AT194="")," * No olvide digitar los exámenes Confirmados positivos por ISP de Pueblos Originarios. Digite Cero si no tiene.",IF(AT194&gt;D194," * Los exámenes Confirmados positivos por ISP de Pueblos originarios no pueden ser mayor que el Total de exámenes Procesados por ISP.",""))</f>
        <v/>
      </c>
      <c r="CQ194" s="219">
        <f>IF(AND(D194&gt;0,AV194="")," * No olvide digitar los exámenes Confirmados positivos por ISP de Migrantes. Digite Cero si no tiene.",IF(AV194&gt;D194," * Los exámenes Confirmados positivos por ISP de Migrantes no pueden ser mayor que el Total de exámenes Procesados por ISP.",""))</f>
        <v/>
      </c>
      <c r="CR194" s="226" t="n"/>
      <c r="CS194" s="226" t="n"/>
      <c r="CT194" s="260">
        <f>IF(AND((M194+O194)&gt;0,AW194=""),"*No olvide digitar los Exámenes Procesados de 14-18 años. Digite cero si no tiene.",IF(AW194&gt;(M194+O194),"* El Total de Procesados de 14-18 años NO DEBE ser mayor al Total de Procesados registrados en los grupos de edad 10 a 14 + 15 a 19 años. ",""))</f>
        <v/>
      </c>
      <c r="CU194" s="260">
        <f>IF(AND((N194+P194)&gt;0,AX194=""),"*No olvide digitar los Exámenes Confirmados Positivos por ISP de 14-18 años. Digite cero si no tiene.",IF(AX194&gt;(N194+P194),"* El Total de Confirmados de 14-18 años NO DEBE ser mayor al Total de Confirmados Positivos por ISP registrados en los grupos de edad 10 a 14 + 15 a 19 años. ",""))</f>
        <v/>
      </c>
      <c r="DF194" s="381">
        <f>IF(D194&gt;C194,1,0)</f>
        <v/>
      </c>
      <c r="DG194" s="378">
        <f>IF(AL194&gt;AK194,1,0)</f>
        <v/>
      </c>
      <c r="DH194" s="378">
        <f>IF(AN194&gt;AM194,1,0)</f>
        <v/>
      </c>
      <c r="DI194" s="226" t="n"/>
      <c r="DJ194" s="226" t="n"/>
      <c r="DK194" s="226" t="n"/>
      <c r="DL194" s="226" t="n"/>
      <c r="DM194" s="226" t="n"/>
      <c r="DN194" s="378">
        <f>IF(AND(C194&gt;0,AND(AO194="",AQ194="")),1,IF((AO194+AQ194)&gt;C194,1,0))</f>
        <v/>
      </c>
      <c r="DO194" s="227" t="n"/>
      <c r="DP194" s="378">
        <f>IF((AM194+AK194)&lt;&gt;C194,1,0)</f>
        <v/>
      </c>
      <c r="DQ194" s="378">
        <f>IF((AN194+AL194)&lt;&gt;D194,1,0)</f>
        <v/>
      </c>
      <c r="DR194" s="378">
        <f>IF(AND(C194&gt;0,AS194=""),1,IF(AS194&gt;C194,1,0))</f>
        <v/>
      </c>
      <c r="DS194" s="378">
        <f>IF(AND(C194&gt;0,AU194=""),1,IF(AU194&gt;C194,1,0))</f>
        <v/>
      </c>
      <c r="DT194" s="378">
        <f>IF(AND(D194&gt;0,OR(AP194="",AR194="")),1,IF((AP194+AR194)&gt;D194,1,0))</f>
        <v/>
      </c>
      <c r="DU194" s="378">
        <f>IF(AND(D194&gt;0,AT194=""),1,IF(AT194&gt;D194,1,0))</f>
        <v/>
      </c>
      <c r="DV194" s="378">
        <f>IF(AND(D194&gt;0,AV194=""),1,IF(AV194&gt;D194,1,0))</f>
        <v/>
      </c>
      <c r="DW194" s="226" t="n"/>
      <c r="DX194" s="226" t="n"/>
      <c r="DY194" s="378">
        <f>IF(AND((M194+O194)&gt;0,AW194=""),1,IF(AW194&gt;(M194+O194),1,0))</f>
        <v/>
      </c>
      <c r="DZ194" s="378">
        <f>IF(AND((N194+P194)&gt;0,AX194=""),1,IF(AX194&gt;(N194+P194),1,0))</f>
        <v/>
      </c>
    </row>
    <row r="195">
      <c r="A195" s="10306" t="inlineStr">
        <is>
          <t>Personas EMP/EMPAM</t>
        </is>
      </c>
      <c r="B195" s="9644" t="n"/>
      <c r="C195" s="3103">
        <f>+O195+Q195+S195+U195+W195+Y195+AA195+AC195+AE195+AG195+AI195</f>
        <v/>
      </c>
      <c r="D195" s="757">
        <f>+P195+R195+T195+V195+X195+Z195+AB195+AD195+AF195+AH195+AJ195</f>
        <v/>
      </c>
      <c r="E195" s="3104" t="n"/>
      <c r="F195" s="3105" t="n"/>
      <c r="G195" s="3104" t="n"/>
      <c r="H195" s="3105" t="n"/>
      <c r="I195" s="3104" t="n"/>
      <c r="J195" s="3105" t="n"/>
      <c r="K195" s="3104" t="n"/>
      <c r="L195" s="3105" t="n"/>
      <c r="M195" s="3104" t="n"/>
      <c r="N195" s="3105" t="n"/>
      <c r="O195" s="3108" t="n">
        <v>1</v>
      </c>
      <c r="P195" s="3107" t="n">
        <v>0</v>
      </c>
      <c r="Q195" s="3108" t="n">
        <v>2</v>
      </c>
      <c r="R195" s="3107" t="n">
        <v>0</v>
      </c>
      <c r="S195" s="3108" t="n">
        <v>4</v>
      </c>
      <c r="T195" s="3107" t="n">
        <v>0</v>
      </c>
      <c r="U195" s="3108" t="n">
        <v>4</v>
      </c>
      <c r="V195" s="3107" t="n">
        <v>0</v>
      </c>
      <c r="W195" s="3108" t="n">
        <v>3</v>
      </c>
      <c r="X195" s="3107" t="n">
        <v>0</v>
      </c>
      <c r="Y195" s="3108" t="n">
        <v>1</v>
      </c>
      <c r="Z195" s="3107" t="n">
        <v>0</v>
      </c>
      <c r="AA195" s="3108" t="n">
        <v>0</v>
      </c>
      <c r="AB195" s="3107" t="n">
        <v>0</v>
      </c>
      <c r="AC195" s="3108" t="n">
        <v>1</v>
      </c>
      <c r="AD195" s="3107" t="n">
        <v>0</v>
      </c>
      <c r="AE195" s="3108" t="n">
        <v>0</v>
      </c>
      <c r="AF195" s="3107" t="n">
        <v>0</v>
      </c>
      <c r="AG195" s="3108" t="n">
        <v>0</v>
      </c>
      <c r="AH195" s="3107" t="n">
        <v>0</v>
      </c>
      <c r="AI195" s="3108" t="n">
        <v>6</v>
      </c>
      <c r="AJ195" s="3107" t="n">
        <v>0</v>
      </c>
      <c r="AK195" s="3099" t="n">
        <v>7</v>
      </c>
      <c r="AL195" s="1125" t="n">
        <v>0</v>
      </c>
      <c r="AM195" s="3108" t="n">
        <v>15</v>
      </c>
      <c r="AN195" s="3149" t="n">
        <v>0</v>
      </c>
      <c r="AO195" s="3099" t="n">
        <v>0</v>
      </c>
      <c r="AP195" s="1125" t="n">
        <v>0</v>
      </c>
      <c r="AQ195" s="3100" t="n">
        <v>0</v>
      </c>
      <c r="AR195" s="3149" t="n">
        <v>0</v>
      </c>
      <c r="AS195" s="3099" t="n">
        <v>0</v>
      </c>
      <c r="AT195" s="3149" t="n">
        <v>0</v>
      </c>
      <c r="AU195" s="3099" t="n">
        <v>0</v>
      </c>
      <c r="AV195" s="1125" t="n">
        <v>0</v>
      </c>
      <c r="AW195" s="3099" t="n">
        <v>0</v>
      </c>
      <c r="AX195" s="1125" t="n">
        <v>0</v>
      </c>
      <c r="AY195" s="218">
        <f>$CA195&amp;CB195&amp;$CC195&amp;CD195&amp;CE195&amp;CF195&amp;CG195&amp;CH195&amp;CI195&amp;CJ195&amp;CK195&amp;CL195&amp;CM195&amp;CN195&amp;CO195&amp;CP195&amp;CQ195&amp;CR195&amp;CS195&amp;CT195&amp;CU195</f>
        <v/>
      </c>
      <c r="CA195" s="379">
        <f>IF(D195&gt;C195," * El Total de Exámenes Confirmados Positivos por ISP NO DEBE SUPERAR los Exámenes Procesados. ","")</f>
        <v/>
      </c>
      <c r="CB195" s="219">
        <f>IF(AL195&gt;AK195," * El número de Exámenes por Sexo Hombres Confirmados positivos por ISP NO PUEDE Superar al número de Procesados. ","")</f>
        <v/>
      </c>
      <c r="CC195" s="219">
        <f>IF(AN195&gt;AM195," * El número de Exámenes por Sexo Mujeres Confirmados positivos por ISP NO PUEDE Superar al número de Procesados. ","")</f>
        <v/>
      </c>
      <c r="CD195" s="226" t="n"/>
      <c r="CE195" s="226" t="n"/>
      <c r="CF195" s="226" t="n"/>
      <c r="CG195" s="226" t="n"/>
      <c r="CH195" s="226" t="n"/>
      <c r="CI195" s="219">
        <f>IF(AND(C195&gt;0,AND(AO195="",AQ195=""))," * No olvide digitar los exámenes procesados Trans (Masculino y femenino) Digite Cero si no tiene.",IF((AO195+AQ195)&gt;C195," * Los exámenes procesados en Trans (Masculino y femenino) no pueden ser mayor que el Total de exámenes procesados.",""))</f>
        <v/>
      </c>
      <c r="CJ195" s="227" t="n"/>
      <c r="CK195" s="219">
        <f>IF((AM195+AK195)&lt;&gt;C195," * El N° de exámenes Procesados por SEXO (Hombres + Mujeres)no puede ser distinto al Total de exámenes procesados","")</f>
        <v/>
      </c>
      <c r="CL195" s="219">
        <f>IF((AN195+AL195)&lt;&gt;D195," * El N° de exámenes Confirmados positivos por ISP por Sexo (Hombres+Mujeres) no puede ser distinto al N° Total de exámenes Confirmados positivos por ISP ","")</f>
        <v/>
      </c>
      <c r="CM195" s="219">
        <f>IF(AND(C195&gt;0,AS195="")," * No olvide digitar los examanes de Pueblos Originarios Procesados. Digite Cero si no tiene.",IF(AS195&gt;C195," * Los exámenes de Pueblos originarios Procesados no pueden ser mayor que el Total de exámenes procesados.",""))</f>
        <v/>
      </c>
      <c r="CN195" s="219">
        <f>IF(AND(C195&gt;0,AU195="")," * No olvide digitar los exámenes Procesados de Migrantes. Digite Cero si no tiene.",IF(AU195&gt;C195," * Los exámenes procesados de Migrantes no pueden ser mayor que el Total de exámenes procesados.",""))</f>
        <v/>
      </c>
      <c r="CO195" s="219">
        <f>IF(AND(D195&gt;0,AND(AP195="",AR195=""))," * No olvide digitar los exámenes Confirmados positivos por ISP de Trans (Masculino y Femenino). Digite Cero si no tiene.",IF((AP195+AR195)&gt;D195," * Los exámenes confirmados positivos por ISP de Trans (Masculino y Femenino) no pueden ser mayor que el Total de exámenes Confirmados positivos por ISP.",""))</f>
        <v/>
      </c>
      <c r="CP195" s="219">
        <f>IF(AND(D195&gt;0,AT195="")," * No olvide digitar los exámenes Confirmados positivos por ISP de Pueblos Originarios. Digite Cero si no tiene.",IF(AT195&gt;D195," * Los exámenes Confirmados positivos por ISP de Pueblos originarios no pueden ser mayor que el Total de exámenes Procesados por ISP.",""))</f>
        <v/>
      </c>
      <c r="CQ195" s="219">
        <f>IF(AND(D195&gt;0,AV195="")," * No olvide digitar los exámenes Confirmados positivos por ISP de Migrantes. Digite Cero si no tiene.",IF(AV195&gt;D195," * Los exámenes Confirmados positivos por ISP de Migrantes no pueden ser mayor que el Total de exámenes Procesados por ISP.",""))</f>
        <v/>
      </c>
      <c r="CR195" s="226" t="n"/>
      <c r="CS195" s="226" t="n"/>
      <c r="CT195" s="260">
        <f>IF(AND((M195+O195)&gt;0,AW195=""),"*No olvide digitar los Exámenes Procesados de 14-18 años. Digite cero si no tiene.",IF(AW195&gt;(M195+O195),"* El Total de Procesados de 14-18 años NO DEBE ser mayor al Total de Procesados registrados en los grupos de edad 10 a 14 + 15 a 19 años. ",""))</f>
        <v/>
      </c>
      <c r="CU195" s="260">
        <f>IF(AND((N195+P195)&gt;0,AX195=""),"*No olvide digitar los Exámenes Confirmados Positivos por ISP de 14-18 años. Digite cero si no tiene.",IF(AX195&gt;(N195+P195),"* El Total de Confirmados de 14-18 años NO DEBE ser mayor al Total de Confirmados Positivos por ISP registrados en los grupos de edad 10 a 14 + 15 a 19 años. ",""))</f>
        <v/>
      </c>
      <c r="DF195" s="381">
        <f>IF(D195&gt;C195,1,0)</f>
        <v/>
      </c>
      <c r="DG195" s="378">
        <f>IF(AL195&gt;AK195,1,0)</f>
        <v/>
      </c>
      <c r="DH195" s="378">
        <f>IF(AN195&gt;AM195,1,0)</f>
        <v/>
      </c>
      <c r="DI195" s="226" t="n"/>
      <c r="DJ195" s="226" t="n"/>
      <c r="DK195" s="226" t="n"/>
      <c r="DL195" s="226" t="n"/>
      <c r="DM195" s="226" t="n"/>
      <c r="DN195" s="378">
        <f>IF(AND(C195&gt;0,AND(AO195="",AQ195="")),1,IF((AO195+AQ195)&gt;C195,1,0))</f>
        <v/>
      </c>
      <c r="DO195" s="227" t="n"/>
      <c r="DP195" s="378">
        <f>IF((AM195+AK195)&lt;&gt;C195,1,0)</f>
        <v/>
      </c>
      <c r="DQ195" s="378">
        <f>IF((AN195+AL195)&lt;&gt;D195,1,0)</f>
        <v/>
      </c>
      <c r="DR195" s="378">
        <f>IF(AND(C195&gt;0,AS195=""),1,IF(AS195&gt;C195,1,0))</f>
        <v/>
      </c>
      <c r="DS195" s="378">
        <f>IF(AND(C195&gt;0,AU195=""),1,IF(AU195&gt;C195,1,0))</f>
        <v/>
      </c>
      <c r="DT195" s="378">
        <f>IF(AND(D195&gt;0,OR(AP195="",AR195="")),1,IF((AP195+AR195)&gt;D195,1,0))</f>
        <v/>
      </c>
      <c r="DU195" s="378">
        <f>IF(AND(D195&gt;0,AT195=""),1,IF(AT195&gt;D195,1,0))</f>
        <v/>
      </c>
      <c r="DV195" s="378">
        <f>IF(AND(D195&gt;0,AV195=""),1,IF(AV195&gt;D195,1,0))</f>
        <v/>
      </c>
      <c r="DW195" s="226" t="n"/>
      <c r="DX195" s="226" t="n"/>
      <c r="DY195" s="378">
        <f>IF(AND((M195+O195)&gt;0,AW195=""),1,IF(AW195&gt;(M195+O195),1,0))</f>
        <v/>
      </c>
      <c r="DZ195" s="378">
        <f>IF(AND((N195+P195)&gt;0,AX195=""),1,IF(AX195&gt;(N195+P195),1,0))</f>
        <v/>
      </c>
    </row>
    <row r="196">
      <c r="A196" s="10307" t="inlineStr">
        <is>
          <t>Personas en control de salud según ciclo vital</t>
        </is>
      </c>
      <c r="B196" s="9646" t="n"/>
      <c r="C196" s="1176">
        <f>+E196+G196+I196+K196+M196+O196+Q196+S196+U196+W196+Y196+AA196+AC196+AE196+AG196+AI196</f>
        <v/>
      </c>
      <c r="D196" s="3153">
        <f>+F196+H196+J196+L196+N196+P196+R196+T196+V196+X196+Z196+AB196+AD196+AF196+AH196+AJ196</f>
        <v/>
      </c>
      <c r="E196" s="1198" t="n"/>
      <c r="F196" s="1147" t="n"/>
      <c r="G196" s="1198" t="n"/>
      <c r="H196" s="1147" t="n"/>
      <c r="I196" s="1198" t="n"/>
      <c r="J196" s="1147" t="n"/>
      <c r="K196" s="1198" t="n"/>
      <c r="L196" s="1147" t="n"/>
      <c r="M196" s="1198" t="n"/>
      <c r="N196" s="1147" t="n"/>
      <c r="O196" s="1198" t="n"/>
      <c r="P196" s="1147" t="n"/>
      <c r="Q196" s="1198" t="n"/>
      <c r="R196" s="1147" t="n"/>
      <c r="S196" s="1198" t="n"/>
      <c r="T196" s="1147" t="n"/>
      <c r="U196" s="1198" t="n"/>
      <c r="V196" s="1147" t="n"/>
      <c r="W196" s="1198" t="n"/>
      <c r="X196" s="1147" t="n"/>
      <c r="Y196" s="1198" t="n"/>
      <c r="Z196" s="1147" t="n"/>
      <c r="AA196" s="1198" t="n"/>
      <c r="AB196" s="1147" t="n"/>
      <c r="AC196" s="1198" t="n"/>
      <c r="AD196" s="1147" t="n"/>
      <c r="AE196" s="1198" t="n"/>
      <c r="AF196" s="1147" t="n"/>
      <c r="AG196" s="1198" t="n"/>
      <c r="AH196" s="1147" t="n"/>
      <c r="AI196" s="1198" t="n"/>
      <c r="AJ196" s="1147" t="n"/>
      <c r="AK196" s="1146" t="n"/>
      <c r="AL196" s="1148" t="n"/>
      <c r="AM196" s="1198" t="n"/>
      <c r="AN196" s="2689" t="n"/>
      <c r="AO196" s="1146" t="n"/>
      <c r="AP196" s="1148" t="n"/>
      <c r="AQ196" s="1200" t="n"/>
      <c r="AR196" s="2689" t="n"/>
      <c r="AS196" s="1152" t="n"/>
      <c r="AT196" s="1416" t="n"/>
      <c r="AU196" s="1146" t="n"/>
      <c r="AV196" s="1148" t="n"/>
      <c r="AW196" s="1146" t="n"/>
      <c r="AX196" s="1148" t="n"/>
      <c r="AY196" s="218">
        <f>$CA196&amp;CB196&amp;$CC196&amp;CD196&amp;CE196&amp;CF196&amp;CG196&amp;CH196&amp;CI196&amp;CJ196&amp;CK196&amp;CL196&amp;CM196&amp;CN196&amp;CO196&amp;CP196&amp;CQ196&amp;CR196&amp;CS196&amp;CT196&amp;CU196</f>
        <v/>
      </c>
      <c r="CA196" s="379">
        <f>IF(D196&gt;C196," * El Total de Exámenes Confirmados Positivos por ISP NO DEBE SUPERAR los Exámenes Procesados. ","")</f>
        <v/>
      </c>
      <c r="CB196" s="219">
        <f>IF(AL196&gt;AK196," * El número de Exámenes por Sexo Hombres Confirmados positivos por ISP NO PUEDE Superar al número de Procesados. ","")</f>
        <v/>
      </c>
      <c r="CC196" s="219">
        <f>IF(AN196&gt;AM196," * El número de Exámenes por Sexo Mujeres Confirmados positivos por ISP NO PUEDE Superar al número de Procesados. ","")</f>
        <v/>
      </c>
      <c r="CD196" s="226" t="n"/>
      <c r="CE196" s="226" t="n"/>
      <c r="CF196" s="226" t="n"/>
      <c r="CG196" s="226" t="n"/>
      <c r="CH196" s="226" t="n"/>
      <c r="CI196" s="219">
        <f>IF(AND(C196&gt;0,AND(AO196="",AQ196=""))," * No olvide digitar los exámenes procesados Trans (Masculino y femenino) Digite Cero si no tiene.",IF((AO196+AQ196)&gt;C196," * Los exámenes procesados en Trans (Masculino y femenino) no pueden ser mayor que el Total de exámenes procesados.",""))</f>
        <v/>
      </c>
      <c r="CJ196" s="227" t="n"/>
      <c r="CK196" s="219">
        <f>IF((AM196+AK196)&lt;&gt;C196," * El N° de exámenes Procesados por SEXO (Hombres + Mujeres)no puede ser distinto al Total de exámenes procesados","")</f>
        <v/>
      </c>
      <c r="CL196" s="219">
        <f>IF((AN196+AL196)&lt;&gt;D196," * El N° de exámenes Confirmados positivos por ISP por Sexo (Hombres+Mujeres) no puede ser distinto al N° Total de exámenes Confirmados positivos por ISP ","")</f>
        <v/>
      </c>
      <c r="CM196" s="219">
        <f>IF(AND(C196&gt;0,AS196="")," * No olvide digitar los examanes de Pueblos Originarios Procesados. Digite Cero si no tiene.",IF(AS196&gt;C196," * Los exámenes de Pueblos originarios Procesados no pueden ser mayor que el Total de exámenes procesados.",""))</f>
        <v/>
      </c>
      <c r="CN196" s="219">
        <f>IF(AND(C196&gt;0,AU196="")," * No olvide digitar los exámenes Procesados de Migrantes. Digite Cero si no tiene.",IF(AU196&gt;C196," * Los exámenes procesados de Migrantes no pueden ser mayor que el Total de exámenes procesados.",""))</f>
        <v/>
      </c>
      <c r="CO196" s="219">
        <f>IF(AND(D196&gt;0,AND(AP196="",AR196=""))," * No olvide digitar los exámenes Confirmados positivos por ISP de Trans (Masculino y Femenino). Digite Cero si no tiene.",IF((AP196+AR196)&gt;D196," * Los exámenes confirmados positivos por ISP de Trans (Masculino y Femenino) no pueden ser mayor que el Total de exámenes Confirmados positivos por ISP.",""))</f>
        <v/>
      </c>
      <c r="CP196" s="219">
        <f>IF(AND(D196&gt;0,AT196="")," * No olvide digitar los exámenes Confirmados positivos por ISP de Pueblos Originarios. Digite Cero si no tiene.",IF(AT196&gt;D196," * Los exámenes Confirmados positivos por ISP de Pueblos originarios no pueden ser mayor que el Total de exámenes Procesados por ISP.",""))</f>
        <v/>
      </c>
      <c r="CQ196" s="219">
        <f>IF(AND(D196&gt;0,AV196="")," * No olvide digitar los exámenes Confirmados positivos por ISP de Migrantes. Digite Cero si no tiene.",IF(AV196&gt;D196," * Los exámenes Confirmados positivos por ISP de Migrantes no pueden ser mayor que el Total de exámenes Procesados por ISP.",""))</f>
        <v/>
      </c>
      <c r="CR196" s="226" t="n"/>
      <c r="CS196" s="226" t="n"/>
      <c r="CT196" s="260">
        <f>IF(AND((M196+O196)&gt;0,AW196=""),"*No olvide digitar los Exámenes Procesados de 14-18 años. Digite cero si no tiene.",IF(AW196&gt;(M196+O196),"* El Total de Procesados de 14-18 años NO DEBE ser mayor al Total de Procesados registrados en los grupos de edad 10 a 14 + 15 a 19 años. ",""))</f>
        <v/>
      </c>
      <c r="CU196" s="260">
        <f>IF(AND((N196+P196)&gt;0,AX196=""),"*No olvide digitar los Exámenes Confirmados Positivos por ISP de 14-18 años. Digite cero si no tiene.",IF(AX196&gt;(N196+P196),"* El Total de Confirmados de 14-18 años NO DEBE ser mayor al Total de Confirmados Positivos por ISP registrados en los grupos de edad 10 a 14 + 15 a 19 años. ",""))</f>
        <v/>
      </c>
      <c r="DF196" s="381">
        <f>IF(D196&gt;C196,1,0)</f>
        <v/>
      </c>
      <c r="DG196" s="378">
        <f>IF(AL196&gt;AK196,1,0)</f>
        <v/>
      </c>
      <c r="DH196" s="378">
        <f>IF(AN196&gt;AM196,1,0)</f>
        <v/>
      </c>
      <c r="DI196" s="226" t="n"/>
      <c r="DJ196" s="226" t="n"/>
      <c r="DK196" s="226" t="n"/>
      <c r="DL196" s="226" t="n"/>
      <c r="DM196" s="226" t="n"/>
      <c r="DN196" s="378">
        <f>IF(AND(C196&gt;0,AND(AO196="",AQ196="")),1,IF((AO196+AQ196)&gt;C196,1,0))</f>
        <v/>
      </c>
      <c r="DO196" s="227" t="n"/>
      <c r="DP196" s="378">
        <f>IF((AM196+AK196)&lt;&gt;C196,1,0)</f>
        <v/>
      </c>
      <c r="DQ196" s="378">
        <f>IF((AN196+AL196)&lt;&gt;D196,1,0)</f>
        <v/>
      </c>
      <c r="DR196" s="378">
        <f>IF(AND(C196&gt;0,AS196=""),1,IF(AS196&gt;C196,1,0))</f>
        <v/>
      </c>
      <c r="DS196" s="378">
        <f>IF(AND(C196&gt;0,AU196=""),1,IF(AU196&gt;C196,1,0))</f>
        <v/>
      </c>
      <c r="DT196" s="378">
        <f>IF(AND(D196&gt;0,OR(AP196="",AR196="")),1,IF((AP196+AR196)&gt;D196,1,0))</f>
        <v/>
      </c>
      <c r="DU196" s="378">
        <f>IF(AND(D196&gt;0,AT196=""),1,IF(AT196&gt;D196,1,0))</f>
        <v/>
      </c>
      <c r="DV196" s="378">
        <f>IF(AND(D196&gt;0,AV196=""),1,IF(AV196&gt;D196,1,0))</f>
        <v/>
      </c>
      <c r="DW196" s="226" t="n"/>
      <c r="DX196" s="226" t="n"/>
      <c r="DY196" s="378">
        <f>IF(AND((M196+O196)&gt;0,AW196=""),1,IF(AW196&gt;(M196+O196),1,0))</f>
        <v/>
      </c>
      <c r="DZ196" s="378">
        <f>IF(AND((N196+P196)&gt;0,AX196=""),1,IF(AX196&gt;(N196+P196),1,0))</f>
        <v/>
      </c>
    </row>
    <row r="197">
      <c r="A197" s="4244" t="inlineStr">
        <is>
          <t>Donantes</t>
        </is>
      </c>
      <c r="B197" s="3136" t="inlineStr">
        <is>
          <t>Altruista nuevo</t>
        </is>
      </c>
      <c r="C197" s="1926">
        <f>+O197+Q197+S197+U197+W197+Y197+AA197+AC197+AE197+AG197</f>
        <v/>
      </c>
      <c r="D197" s="3142">
        <f>+P197+R197+T197+V197+X197+Z197+AB197+AD197+AF197+AH197</f>
        <v/>
      </c>
      <c r="E197" s="3143" t="n"/>
      <c r="F197" s="3144" t="n"/>
      <c r="G197" s="3143" t="n"/>
      <c r="H197" s="3144" t="n"/>
      <c r="I197" s="3143" t="n"/>
      <c r="J197" s="3144" t="n"/>
      <c r="K197" s="3143" t="n"/>
      <c r="L197" s="3144" t="n"/>
      <c r="M197" s="3143" t="n"/>
      <c r="N197" s="3144" t="n"/>
      <c r="O197" s="3128" t="n"/>
      <c r="P197" s="3129" t="n"/>
      <c r="Q197" s="3128" t="n"/>
      <c r="R197" s="3129" t="n"/>
      <c r="S197" s="3128" t="n"/>
      <c r="T197" s="3129" t="n"/>
      <c r="U197" s="3128" t="n"/>
      <c r="V197" s="3129" t="n"/>
      <c r="W197" s="3128" t="n"/>
      <c r="X197" s="3129" t="n"/>
      <c r="Y197" s="3128" t="n"/>
      <c r="Z197" s="3129" t="n"/>
      <c r="AA197" s="3128" t="n"/>
      <c r="AB197" s="3129" t="n"/>
      <c r="AC197" s="3128" t="n"/>
      <c r="AD197" s="3129" t="n"/>
      <c r="AE197" s="3128" t="n"/>
      <c r="AF197" s="3129" t="n"/>
      <c r="AG197" s="3128" t="n"/>
      <c r="AH197" s="3129" t="n"/>
      <c r="AI197" s="3154" t="n"/>
      <c r="AJ197" s="3155" t="n"/>
      <c r="AK197" s="3156" t="n"/>
      <c r="AL197" s="3130" t="n"/>
      <c r="AM197" s="3128" t="n"/>
      <c r="AN197" s="3157" t="n"/>
      <c r="AO197" s="3156" t="n"/>
      <c r="AP197" s="3130" t="n"/>
      <c r="AQ197" s="3158" t="n"/>
      <c r="AR197" s="3157" t="n"/>
      <c r="AS197" s="1972" t="n"/>
      <c r="AT197" s="1458" t="n"/>
      <c r="AU197" s="3158" t="n"/>
      <c r="AV197" s="3157" t="n"/>
      <c r="AW197" s="3159" t="n"/>
      <c r="AX197" s="3160" t="n"/>
      <c r="AY197" s="218">
        <f>$CA197&amp;CB197&amp;$CC197&amp;CD197&amp;CE197&amp;CF197&amp;CG197&amp;CH197&amp;CI197&amp;CJ197&amp;CK197&amp;CL197&amp;CM197&amp;CN197&amp;CO197&amp;CP197&amp;CQ197&amp;CR197&amp;CS197</f>
        <v/>
      </c>
      <c r="CA197" s="379">
        <f>IF(D197&gt;C197," * El Total de Exámenes Confirmados Positivos por ISP NO DEBE SUPERAR los Exámenes Procesados. ","")</f>
        <v/>
      </c>
      <c r="CB197" s="219">
        <f>IF(AL197&gt;AK197," * El número de Exámenes por Sexo Hombres Confirmados positivos por ISP NO PUEDE Superar al número de Procesados. ","")</f>
        <v/>
      </c>
      <c r="CC197" s="219">
        <f>IF(AN197&gt;AM197," * El número de Exámenes por Sexo Mujeres Confirmados positivos por ISP NO PUEDE Superar al número de Procesados. ","")</f>
        <v/>
      </c>
      <c r="CD197" s="226" t="n"/>
      <c r="CE197" s="226" t="n"/>
      <c r="CF197" s="226" t="n"/>
      <c r="CG197" s="226" t="n"/>
      <c r="CH197" s="226" t="n"/>
      <c r="CI197" s="219">
        <f>IF(AND(C197&gt;0,AND(AO197="",AQ197=""))," * No olvide digitar los exámenes procesados Trans (Masculino y femenino) Digite Cero si no tiene.",IF((AO197+AQ197)&gt;C197," * Los exámenes procesados en Trans (Masculino y femenino) no pueden ser mayor que el Total de exámenes procesados.",""))</f>
        <v/>
      </c>
      <c r="CJ197" s="227" t="n"/>
      <c r="CK197" s="219">
        <f>IF((AM197+AK197)&lt;&gt;C197," * El N° de exámenes Procesados por SEXO (Hombres + Mujeres)no puede ser distinto al Total de exámenes procesados","")</f>
        <v/>
      </c>
      <c r="CL197" s="219">
        <f>IF((AN197+AL197)&lt;&gt;D197," * El N° de exámenes Confirmados positivos por ISP por Sexo (Hombres+Mujeres) no puede ser distinto al N° Total de exámenes Confirmados positivos por ISP ","")</f>
        <v/>
      </c>
      <c r="CM197" s="219">
        <f>IF(AND(C197&gt;0,AS197="")," * No olvide digitar los examanes de Pueblos Originarios Procesados. Digite Cero si no tiene.",IF(AS197&gt;C197," * Los exámenes de Pueblos originarios Procesados no pueden ser mayor que el Total de exámenes procesados.",""))</f>
        <v/>
      </c>
      <c r="CN197" s="219">
        <f>IF(AND(C197&gt;0,AU197="")," * No olvide digitar los exámenes Procesados de Migrantes. Digite Cero si no tiene.",IF(AU197&gt;C197," * Los exámenes procesados de Migrantes no pueden ser mayor que el Total de exámenes procesados.",""))</f>
        <v/>
      </c>
      <c r="CO197" s="219">
        <f>IF(AND(D197&gt;0,AND(AP197="",AR197=""))," * No olvide digitar los exámenes Confirmados positivos por ISP de Trans (Masculino y Femenino). Digite Cero si no tiene.",IF((AP197+AR197)&gt;D197," * Los exámenes confirmados positivos por ISP de Trans (Masculino y Femenino) no pueden ser mayor que el Total de exámenes Confirmados positivos por ISP.",""))</f>
        <v/>
      </c>
      <c r="CP197" s="219">
        <f>IF(AND(D197&gt;0,AT197="")," * No olvide digitar los exámenes Confirmados positivos por ISP de Pueblos Originarios. Digite Cero si no tiene.",IF(AT197&gt;D197," * Los exámenes Confirmados positivos por ISP de Pueblos originarios no pueden ser mayor que el Total de exámenes Procesados por ISP.",""))</f>
        <v/>
      </c>
      <c r="CQ197" s="219">
        <f>IF(AND(D197&gt;0,AV197="")," * No olvide digitar los exámenes Confirmados positivos por ISP de Migrantes. Digite Cero si no tiene.",IF(AV197&gt;D197," * Los exámenes Confirmados positivos por ISP de Migrantes no pueden ser mayor que el Total de exámenes Procesados por ISP.",""))</f>
        <v/>
      </c>
      <c r="CR197" s="226" t="n"/>
      <c r="CS197" s="226" t="n"/>
      <c r="CT197" s="222" t="n"/>
      <c r="CU197" s="222" t="n"/>
      <c r="DF197" s="381">
        <f>IF(D197&gt;C197,1,0)</f>
        <v/>
      </c>
      <c r="DG197" s="378">
        <f>IF(AL197&gt;AK197,1,0)</f>
        <v/>
      </c>
      <c r="DH197" s="378">
        <f>IF(AN197&gt;AM197,1,0)</f>
        <v/>
      </c>
      <c r="DI197" s="226" t="n"/>
      <c r="DJ197" s="226" t="n"/>
      <c r="DK197" s="226" t="n"/>
      <c r="DL197" s="226" t="n"/>
      <c r="DM197" s="226" t="n"/>
      <c r="DN197" s="378">
        <f>IF(AND(C197&gt;0,AND(AO197="",AQ197="")),1,IF((AO197+AQ197)&gt;C197,1,0))</f>
        <v/>
      </c>
      <c r="DO197" s="227" t="n"/>
      <c r="DP197" s="378">
        <f>IF((AM197+AK197)&lt;&gt;C197,1,0)</f>
        <v/>
      </c>
      <c r="DQ197" s="378">
        <f>IF((AN197+AL197)&lt;&gt;D197,1,0)</f>
        <v/>
      </c>
      <c r="DR197" s="378">
        <f>IF(AND(C197&gt;0,AS197=""),1,IF(AS197&gt;C197,1,0))</f>
        <v/>
      </c>
      <c r="DS197" s="378">
        <f>IF(AND(C197&gt;0,AU197=""),1,IF(AU197&gt;C197,1,0))</f>
        <v/>
      </c>
      <c r="DT197" s="378">
        <f>IF(AND(D197&gt;0,OR(AP197="",AR197="")),1,IF((AP197+AR197)&gt;D197,1,0))</f>
        <v/>
      </c>
      <c r="DU197" s="378">
        <f>IF(AND(D197&gt;0,AT197=""),1,IF(AT197&gt;D197,1,0))</f>
        <v/>
      </c>
      <c r="DV197" s="378">
        <f>IF(AND(D197&gt;0,AV197=""),1,IF(AV197&gt;D197,1,0))</f>
        <v/>
      </c>
      <c r="DW197" s="226" t="n"/>
      <c r="DX197" s="226" t="n"/>
      <c r="DY197" s="223" t="n"/>
      <c r="DZ197" s="223" t="n"/>
    </row>
    <row r="198">
      <c r="A198" s="10125" t="n"/>
      <c r="B198" s="3137" t="inlineStr">
        <is>
          <t>Altruista repetido</t>
        </is>
      </c>
      <c r="C198" s="3103">
        <f>+O198+Q198+S198+U198+W198+Y198+AA198+AC198+AE198+AG198</f>
        <v/>
      </c>
      <c r="D198" s="757">
        <f>+P198+R198+T198+V198+X198+Z198+AB198+AD198+AF198+AH198</f>
        <v/>
      </c>
      <c r="E198" s="3104" t="n"/>
      <c r="F198" s="3105" t="n"/>
      <c r="G198" s="3104" t="n"/>
      <c r="H198" s="3105" t="n"/>
      <c r="I198" s="3104" t="n"/>
      <c r="J198" s="3105" t="n"/>
      <c r="K198" s="3104" t="n"/>
      <c r="L198" s="3105" t="n"/>
      <c r="M198" s="3104" t="n"/>
      <c r="N198" s="3105" t="n"/>
      <c r="O198" s="3108" t="n"/>
      <c r="P198" s="3107" t="n"/>
      <c r="Q198" s="3108" t="n"/>
      <c r="R198" s="3107" t="n"/>
      <c r="S198" s="3108" t="n"/>
      <c r="T198" s="3107" t="n"/>
      <c r="U198" s="3108" t="n"/>
      <c r="V198" s="3107" t="n"/>
      <c r="W198" s="3108" t="n"/>
      <c r="X198" s="3107" t="n"/>
      <c r="Y198" s="3108" t="n"/>
      <c r="Z198" s="3107" t="n"/>
      <c r="AA198" s="3108" t="n"/>
      <c r="AB198" s="3107" t="n"/>
      <c r="AC198" s="3108" t="n"/>
      <c r="AD198" s="3107" t="n"/>
      <c r="AE198" s="3108" t="n"/>
      <c r="AF198" s="3107" t="n"/>
      <c r="AG198" s="3108" t="n"/>
      <c r="AH198" s="3107" t="n"/>
      <c r="AI198" s="3104" t="n"/>
      <c r="AJ198" s="3106" t="n"/>
      <c r="AK198" s="3099" t="n"/>
      <c r="AL198" s="1125" t="n"/>
      <c r="AM198" s="3108" t="n"/>
      <c r="AN198" s="3149" t="n"/>
      <c r="AO198" s="3099" t="n"/>
      <c r="AP198" s="1125" t="n"/>
      <c r="AQ198" s="3100" t="n"/>
      <c r="AR198" s="3149" t="n"/>
      <c r="AS198" s="3099" t="n"/>
      <c r="AT198" s="3149" t="n"/>
      <c r="AU198" s="3100" t="n"/>
      <c r="AV198" s="3149" t="n"/>
      <c r="AW198" s="3161" t="n"/>
      <c r="AX198" s="2651" t="n"/>
      <c r="AY198" s="218">
        <f>$CA198&amp;CB198&amp;$CC198&amp;CD198&amp;CE198&amp;CF198&amp;CG198&amp;CH198&amp;CI198&amp;CJ198&amp;CK198&amp;CL198&amp;CM198&amp;CN198&amp;CO198&amp;CP198&amp;CQ198&amp;CR198&amp;CS198</f>
        <v/>
      </c>
      <c r="CA198" s="379">
        <f>IF(D198&gt;C198," * El Total de Exámenes Confirmados Positivos por ISP NO DEBE SUPERAR los Exámenes Procesados. ","")</f>
        <v/>
      </c>
      <c r="CB198" s="219">
        <f>IF(AL198&gt;AK198," * El número de Exámenes por Sexo Hombres Confirmados positivos por ISP NO PUEDE Superar al número de Procesados. ","")</f>
        <v/>
      </c>
      <c r="CC198" s="219">
        <f>IF(AN198&gt;AM198," * El número de Exámenes por Sexo Mujeres Confirmados positivos por ISP NO PUEDE Superar al número de Procesados. ","")</f>
        <v/>
      </c>
      <c r="CD198" s="226" t="n"/>
      <c r="CE198" s="226" t="n"/>
      <c r="CF198" s="226" t="n"/>
      <c r="CG198" s="226" t="n"/>
      <c r="CH198" s="226" t="n"/>
      <c r="CI198" s="219">
        <f>IF(AND(C198&gt;0,AND(AO198="",AQ198=""))," * No olvide digitar los exámenes procesados Trans (Masculino y femenino) Digite Cero si no tiene.",IF((AO198+AQ198)&gt;C198," * Los exámenes procesados en Trans (Masculino y femenino) no pueden ser mayor que el Total de exámenes procesados.",""))</f>
        <v/>
      </c>
      <c r="CJ198" s="227" t="n"/>
      <c r="CK198" s="219">
        <f>IF((AM198+AK198)&lt;&gt;C198," * El N° de exámenes Procesados por SEXO (Hombres + Mujeres)no puede ser distinto al Total de exámenes procesados","")</f>
        <v/>
      </c>
      <c r="CL198" s="219">
        <f>IF((AN198+AL198)&lt;&gt;D198," * El N° de exámenes Confirmados positivos por ISP por Sexo (Hombres+Mujeres) no puede ser distinto al N° Total de exámenes Confirmados positivos por ISP ","")</f>
        <v/>
      </c>
      <c r="CM198" s="219">
        <f>IF(AND(C198&gt;0,AS198="")," * No olvide digitar los examanes de Pueblos Originarios Procesados. Digite Cero si no tiene.",IF(AS198&gt;C198," * Los exámenes de Pueblos originarios Procesados no pueden ser mayor que el Total de exámenes procesados.",""))</f>
        <v/>
      </c>
      <c r="CN198" s="219">
        <f>IF(AND(C198&gt;0,AU198="")," * No olvide digitar los exámenes Procesados de Migrantes. Digite Cero si no tiene.",IF(AU198&gt;C198," * Los exámenes procesados de Migrantes no pueden ser mayor que el Total de exámenes procesados.",""))</f>
        <v/>
      </c>
      <c r="CO198" s="219">
        <f>IF(AND(D198&gt;0,AND(AP198="",AR198=""))," * No olvide digitar los exámenes Confirmados positivos por ISP de Trans (Masculino y Femenino). Digite Cero si no tiene.",IF((AP198+AR198)&gt;D198," * Los exámenes confirmados positivos por ISP de Trans (Masculino y Femenino) no pueden ser mayor que el Total de exámenes Confirmados positivos por ISP.",""))</f>
        <v/>
      </c>
      <c r="CP198" s="219">
        <f>IF(AND(D198&gt;0,AT198="")," * No olvide digitar los exámenes Confirmados positivos por ISP de Pueblos Originarios. Digite Cero si no tiene.",IF(AT198&gt;D198," * Los exámenes Confirmados positivos por ISP de Pueblos originarios no pueden ser mayor que el Total de exámenes Procesados por ISP.",""))</f>
        <v/>
      </c>
      <c r="CQ198" s="219">
        <f>IF(AND(D198&gt;0,AV198="")," * No olvide digitar los exámenes Confirmados positivos por ISP de Migrantes. Digite Cero si no tiene.",IF(AV198&gt;D198," * Los exámenes Confirmados positivos por ISP de Migrantes no pueden ser mayor que el Total de exámenes Procesados por ISP.",""))</f>
        <v/>
      </c>
      <c r="CR198" s="226" t="n"/>
      <c r="CS198" s="226" t="n"/>
      <c r="CT198" s="222" t="n"/>
      <c r="CU198" s="222" t="n"/>
      <c r="DF198" s="381">
        <f>IF(D198&gt;C198,1,0)</f>
        <v/>
      </c>
      <c r="DG198" s="378">
        <f>IF(AL198&gt;AK198,1,0)</f>
        <v/>
      </c>
      <c r="DH198" s="378">
        <f>IF(AN198&gt;AM198,1,0)</f>
        <v/>
      </c>
      <c r="DI198" s="226" t="n"/>
      <c r="DJ198" s="226" t="n"/>
      <c r="DK198" s="226" t="n"/>
      <c r="DL198" s="226" t="n"/>
      <c r="DM198" s="226" t="n"/>
      <c r="DN198" s="378">
        <f>IF(AND(C198&gt;0,AND(AO198="",AQ198="")),1,IF((AO198+AQ198)&gt;C198,1,0))</f>
        <v/>
      </c>
      <c r="DO198" s="227" t="n"/>
      <c r="DP198" s="378">
        <f>IF((AM198+AK198)&lt;&gt;C198,1,0)</f>
        <v/>
      </c>
      <c r="DQ198" s="378">
        <f>IF((AN198+AL198)&lt;&gt;D198,1,0)</f>
        <v/>
      </c>
      <c r="DR198" s="378">
        <f>IF(AND(C198&gt;0,AS198=""),1,IF(AS198&gt;C198,1,0))</f>
        <v/>
      </c>
      <c r="DS198" s="378">
        <f>IF(AND(C198&gt;0,AU198=""),1,IF(AU198&gt;C198,1,0))</f>
        <v/>
      </c>
      <c r="DT198" s="378">
        <f>IF(AND(D198&gt;0,OR(AP198="",AR198="")),1,IF((AP198+AR198)&gt;D198,1,0))</f>
        <v/>
      </c>
      <c r="DU198" s="378">
        <f>IF(AND(D198&gt;0,AT198=""),1,IF(AT198&gt;D198,1,0))</f>
        <v/>
      </c>
      <c r="DV198" s="378">
        <f>IF(AND(D198&gt;0,AV198=""),1,IF(AV198&gt;D198,1,0))</f>
        <v/>
      </c>
      <c r="DW198" s="226" t="n"/>
      <c r="DX198" s="226" t="n"/>
      <c r="DY198" s="223" t="n"/>
      <c r="DZ198" s="223" t="n"/>
    </row>
    <row r="199">
      <c r="A199" s="10124" t="n"/>
      <c r="B199" s="1232" t="inlineStr">
        <is>
          <t>Familiar o Reposición</t>
        </is>
      </c>
      <c r="C199" s="1176">
        <f>+O199+Q199+S199+U199+W199+Y199+AA199+AC199+AE199+AG199</f>
        <v/>
      </c>
      <c r="D199" s="2512">
        <f>+P199+R199+T199+V199+X199+Z199+AB199+AD199+AF199+AH199</f>
        <v/>
      </c>
      <c r="E199" s="1154" t="n"/>
      <c r="F199" s="1456" t="n"/>
      <c r="G199" s="1154" t="n"/>
      <c r="H199" s="1456" t="n"/>
      <c r="I199" s="1154" t="n"/>
      <c r="J199" s="1456" t="n"/>
      <c r="K199" s="1154" t="n"/>
      <c r="L199" s="1456" t="n"/>
      <c r="M199" s="1154" t="n"/>
      <c r="N199" s="1456" t="n"/>
      <c r="O199" s="1137" t="n"/>
      <c r="P199" s="1153" t="n"/>
      <c r="Q199" s="1137" t="n"/>
      <c r="R199" s="1153" t="n"/>
      <c r="S199" s="1137" t="n"/>
      <c r="T199" s="1153" t="n"/>
      <c r="U199" s="1137" t="n"/>
      <c r="V199" s="1153" t="n"/>
      <c r="W199" s="1137" t="n"/>
      <c r="X199" s="1153" t="n"/>
      <c r="Y199" s="1137" t="n"/>
      <c r="Z199" s="1153" t="n"/>
      <c r="AA199" s="1137" t="n"/>
      <c r="AB199" s="1153" t="n"/>
      <c r="AC199" s="1137" t="n"/>
      <c r="AD199" s="1153" t="n"/>
      <c r="AE199" s="1137" t="n"/>
      <c r="AF199" s="1153" t="n"/>
      <c r="AG199" s="1137" t="n"/>
      <c r="AH199" s="1153" t="n"/>
      <c r="AI199" s="1154" t="n"/>
      <c r="AJ199" s="1457" t="n"/>
      <c r="AK199" s="1152" t="n"/>
      <c r="AL199" s="1138" t="n"/>
      <c r="AM199" s="1137" t="n"/>
      <c r="AN199" s="1416" t="n"/>
      <c r="AO199" s="1152" t="n"/>
      <c r="AP199" s="1138" t="n"/>
      <c r="AQ199" s="1140" t="n"/>
      <c r="AR199" s="1416" t="n"/>
      <c r="AS199" s="1152" t="n"/>
      <c r="AT199" s="1416" t="n"/>
      <c r="AU199" s="1140" t="n"/>
      <c r="AV199" s="1416" t="n"/>
      <c r="AW199" s="3162" t="n"/>
      <c r="AX199" s="1464" t="n"/>
      <c r="AY199" s="218">
        <f>$CA199&amp;CB199&amp;$CC199&amp;CD199&amp;CE199&amp;CF199&amp;CG199&amp;CH199&amp;CI199&amp;CJ199&amp;CK199&amp;CL199&amp;CM199&amp;CN199&amp;CO199&amp;CP199&amp;CQ199&amp;CR199&amp;CS199</f>
        <v/>
      </c>
      <c r="CA199" s="379">
        <f>IF(D199&gt;C199," * El Total de Exámenes Confirmados Positivos por ISP NO DEBE SUPERAR los Exámenes Procesados. ","")</f>
        <v/>
      </c>
      <c r="CB199" s="219">
        <f>IF(AL199&gt;AK199," * El número de Exámenes por Sexo Hombres Confirmados positivos por ISP NO PUEDE Superar al número de Procesados. ","")</f>
        <v/>
      </c>
      <c r="CC199" s="219">
        <f>IF(AN199&gt;AM199," * El número de Exámenes por Sexo Mujeres Confirmados positivos por ISP NO PUEDE Superar al número de Procesados. ","")</f>
        <v/>
      </c>
      <c r="CD199" s="226" t="n"/>
      <c r="CE199" s="226" t="n"/>
      <c r="CF199" s="226" t="n"/>
      <c r="CG199" s="226" t="n"/>
      <c r="CH199" s="226" t="n"/>
      <c r="CI199" s="219">
        <f>IF(AND(C199&gt;0,AND(AO199="",AQ199=""))," * No olvide digitar los exámenes procesados Trans (Masculino y femenino) Digite Cero si no tiene.",IF((AO199+AQ199)&gt;C199," * Los exámenes procesados en Trans (Masculino y femenino) no pueden ser mayor que el Total de exámenes procesados.",""))</f>
        <v/>
      </c>
      <c r="CJ199" s="227" t="n"/>
      <c r="CK199" s="219">
        <f>IF((AM199+AK199)&lt;&gt;C199," * El N° de exámenes Procesados por SEXO (Hombres + Mujeres)no puede ser distinto al Total de exámenes procesados","")</f>
        <v/>
      </c>
      <c r="CL199" s="219">
        <f>IF((AN199+AL199)&lt;&gt;D199," * El N° de exámenes Confirmados positivos por ISP por Sexo (Hombres+Mujeres) no puede ser distinto al N° Total de exámenes Confirmados positivos por ISP ","")</f>
        <v/>
      </c>
      <c r="CM199" s="219">
        <f>IF(AND(C199&gt;0,AS199="")," * No olvide digitar los examanes de Pueblos Originarios Procesados. Digite Cero si no tiene.",IF(AS199&gt;C199," * Los exámenes de Pueblos originarios Procesados no pueden ser mayor que el Total de exámenes procesados.",""))</f>
        <v/>
      </c>
      <c r="CN199" s="219">
        <f>IF(AND(C199&gt;0,AU199="")," * No olvide digitar los exámenes Procesados de Migrantes. Digite Cero si no tiene.",IF(AU199&gt;C199," * Los exámenes procesados de Migrantes no pueden ser mayor que el Total de exámenes procesados.",""))</f>
        <v/>
      </c>
      <c r="CO199" s="219">
        <f>IF(AND(D199&gt;0,AND(AP199="",AR199=""))," * No olvide digitar los exámenes Confirmados positivos por ISP de Trans (Masculino y Femenino). Digite Cero si no tiene.",IF((AP199+AR199)&gt;D199," * Los exámenes confirmados positivos por ISP de Trans (Masculino y Femenino) no pueden ser mayor que el Total de exámenes Confirmados positivos por ISP.",""))</f>
        <v/>
      </c>
      <c r="CP199" s="219">
        <f>IF(AND(D199&gt;0,AT199="")," * No olvide digitar los exámenes Confirmados positivos por ISP de Pueblos Originarios. Digite Cero si no tiene.",IF(AT199&gt;D199," * Los exámenes Confirmados positivos por ISP de Pueblos originarios no pueden ser mayor que el Total de exámenes Procesados por ISP.",""))</f>
        <v/>
      </c>
      <c r="CQ199" s="219">
        <f>IF(AND(D199&gt;0,AV199="")," * No olvide digitar los exámenes Confirmados positivos por ISP de Migrantes. Digite Cero si no tiene.",IF(AV199&gt;D199," * Los exámenes Confirmados positivos por ISP de Migrantes no pueden ser mayor que el Total de exámenes Procesados por ISP.",""))</f>
        <v/>
      </c>
      <c r="CR199" s="226" t="n"/>
      <c r="CS199" s="226" t="n"/>
      <c r="CT199" s="222" t="n"/>
      <c r="CU199" s="222" t="n"/>
      <c r="DF199" s="381">
        <f>IF(D199&gt;C199,1,0)</f>
        <v/>
      </c>
      <c r="DG199" s="378">
        <f>IF(AL199&gt;AK199,1,0)</f>
        <v/>
      </c>
      <c r="DH199" s="378">
        <f>IF(AN199&gt;AM199,1,0)</f>
        <v/>
      </c>
      <c r="DI199" s="226" t="n"/>
      <c r="DJ199" s="226" t="n"/>
      <c r="DK199" s="226" t="n"/>
      <c r="DL199" s="226" t="n"/>
      <c r="DM199" s="226" t="n"/>
      <c r="DN199" s="378">
        <f>IF(AND(C199&gt;0,AND(AO199="",AQ199="")),1,IF((AO199+AQ199)&gt;C199,1,0))</f>
        <v/>
      </c>
      <c r="DO199" s="227" t="n"/>
      <c r="DP199" s="378">
        <f>IF((AM199+AK199)&lt;&gt;C199,1,0)</f>
        <v/>
      </c>
      <c r="DQ199" s="378">
        <f>IF((AN199+AL199)&lt;&gt;D199,1,0)</f>
        <v/>
      </c>
      <c r="DR199" s="378">
        <f>IF(AND(C199&gt;0,AS199=""),1,IF(AS199&gt;C199,1,0))</f>
        <v/>
      </c>
      <c r="DS199" s="378">
        <f>IF(AND(C199&gt;0,AU199=""),1,IF(AU199&gt;C199,1,0))</f>
        <v/>
      </c>
      <c r="DT199" s="378">
        <f>IF(AND(D199&gt;0,OR(AP199="",AR199="")),1,IF((AP199+AR199)&gt;D199,1,0))</f>
        <v/>
      </c>
      <c r="DU199" s="378">
        <f>IF(AND(D199&gt;0,AT199=""),1,IF(AT199&gt;D199,1,0))</f>
        <v/>
      </c>
      <c r="DV199" s="378">
        <f>IF(AND(D199&gt;0,AV199=""),1,IF(AV199&gt;D199,1,0))</f>
        <v/>
      </c>
      <c r="DW199" s="226" t="n"/>
      <c r="DX199" s="226" t="n"/>
      <c r="DY199" s="223" t="n"/>
      <c r="DZ199" s="223" t="n"/>
    </row>
    <row r="200">
      <c r="A200" s="10308" t="inlineStr">
        <is>
          <t>Donantes de órganos y/o tejidos</t>
        </is>
      </c>
      <c r="B200" s="9935" t="n"/>
      <c r="C200" s="1926">
        <f>+E200+G200+I200+K200+M200+O200+Q200+S200+U200+W200+Y200+AA200+AC200+AE200+AG200+AI200</f>
        <v/>
      </c>
      <c r="D200" s="757">
        <f>+F200+H200+J200+L200+N200+P200+R200+T200+V200+X200+Z200+AB200+AD200+AF200+AH200+AJ200</f>
        <v/>
      </c>
      <c r="E200" s="1971" t="n"/>
      <c r="F200" s="747" t="n"/>
      <c r="G200" s="1971" t="n"/>
      <c r="H200" s="747" t="n"/>
      <c r="I200" s="1971" t="n"/>
      <c r="J200" s="747" t="n"/>
      <c r="K200" s="1971" t="n"/>
      <c r="L200" s="747" t="n"/>
      <c r="M200" s="638" t="n"/>
      <c r="N200" s="141" t="n"/>
      <c r="O200" s="638" t="n"/>
      <c r="P200" s="141" t="n"/>
      <c r="Q200" s="638" t="n"/>
      <c r="R200" s="141" t="n"/>
      <c r="S200" s="638" t="n"/>
      <c r="T200" s="141" t="n"/>
      <c r="U200" s="638" t="n"/>
      <c r="V200" s="141" t="n"/>
      <c r="W200" s="638" t="n"/>
      <c r="X200" s="141" t="n"/>
      <c r="Y200" s="638" t="n"/>
      <c r="Z200" s="141" t="n"/>
      <c r="AA200" s="638" t="n"/>
      <c r="AB200" s="141" t="n"/>
      <c r="AC200" s="638" t="n"/>
      <c r="AD200" s="3163" t="n"/>
      <c r="AE200" s="638" t="n"/>
      <c r="AF200" s="3163" t="n"/>
      <c r="AG200" s="3123" t="n"/>
      <c r="AH200" s="3126" t="n"/>
      <c r="AI200" s="638" t="n"/>
      <c r="AJ200" s="141" t="n"/>
      <c r="AK200" s="1972" t="n"/>
      <c r="AL200" s="1122" t="n"/>
      <c r="AM200" s="1971" t="n"/>
      <c r="AN200" s="1458" t="n"/>
      <c r="AO200" s="1972" t="n"/>
      <c r="AP200" s="1122" t="n"/>
      <c r="AQ200" s="1452" t="n"/>
      <c r="AR200" s="1458" t="n"/>
      <c r="AS200" s="1972" t="n"/>
      <c r="AT200" s="1458" t="n"/>
      <c r="AU200" s="1972" t="n"/>
      <c r="AV200" s="1122" t="n"/>
      <c r="AW200" s="1972" t="n"/>
      <c r="AX200" s="1122" t="n"/>
      <c r="AY200" s="218">
        <f>$CA200&amp;CB200&amp;$CC200&amp;CD200&amp;CE200&amp;CF200&amp;CG200&amp;CH200&amp;CI200&amp;CJ200&amp;CK200&amp;CL200&amp;CM200&amp;CN200&amp;CO200&amp;CP200&amp;CQ200&amp;CR200&amp;CS200&amp;CT200&amp;CU200</f>
        <v/>
      </c>
      <c r="CA200" s="379">
        <f>IF(D200&gt;C200," * El Total de Exámenes Confirmados Positivos por ISP NO DEBE SUPERAR los Exámenes Procesados. ","")</f>
        <v/>
      </c>
      <c r="CB200" s="219">
        <f>IF(AL200&gt;AK200," * El número de Exámenes por Sexo Hombres Confirmados positivos por ISP NO PUEDE Superar al número de Procesados. ","")</f>
        <v/>
      </c>
      <c r="CC200" s="219">
        <f>IF(AN200&gt;AM200," * El número de Exámenes por Sexo Mujeres Confirmados positivos por ISP NO PUEDE Superar al número de Procesados. ","")</f>
        <v/>
      </c>
      <c r="CD200" s="226" t="n"/>
      <c r="CE200" s="226" t="n"/>
      <c r="CF200" s="226" t="n"/>
      <c r="CG200" s="226" t="n"/>
      <c r="CH200" s="226" t="n"/>
      <c r="CI200" s="219">
        <f>IF(AND(C200&gt;0,AND(AO200="",AQ200=""))," * No olvide digitar los exámenes procesados Trans (Masculino y femenino) Digite Cero si no tiene.",IF((AO200+AQ200)&gt;C200," * Los exámenes procesados en Trans (Masculino y femenino) no pueden ser mayor que el Total de exámenes procesados.",""))</f>
        <v/>
      </c>
      <c r="CJ200" s="227" t="n"/>
      <c r="CK200" s="219">
        <f>IF((AM200+AK200)&lt;&gt;C200," * El N° de exámenes Procesados por SEXO (Hombres + Mujeres)no puede ser distinto al Total de exámenes procesados","")</f>
        <v/>
      </c>
      <c r="CL200" s="219">
        <f>IF((AN200+AL200)&lt;&gt;D200," * El N° de exámenes Confirmados positivos por ISP por Sexo (Hombres+Mujeres) no puede ser distinto al N° Total de exámenes Confirmados positivos por ISP ","")</f>
        <v/>
      </c>
      <c r="CM200" s="219">
        <f>IF(AND(C200&gt;0,AS200="")," * No olvide digitar los examanes de Pueblos Originarios Procesados. Digite Cero si no tiene.",IF(AS200&gt;C200," * Los exámenes de Pueblos originarios Procesados no pueden ser mayor que el Total de exámenes procesados.",""))</f>
        <v/>
      </c>
      <c r="CN200" s="219">
        <f>IF(AND(C200&gt;0,AU200="")," * No olvide digitar los exámenes Procesados de Migrantes. Digite Cero si no tiene.",IF(AU200&gt;C200," * Los exámenes procesados de Migrantes no pueden ser mayor que el Total de exámenes procesados.",""))</f>
        <v/>
      </c>
      <c r="CO200" s="219">
        <f>IF(AND(D200&gt;0,AND(AP200="",AR200=""))," * No olvide digitar los exámenes Confirmados positivos por ISP de Trans (Masculino y Femenino). Digite Cero si no tiene.",IF((AP200+AR200)&gt;D200," * Los exámenes confirmados positivos por ISP de Trans (Masculino y Femenino) no pueden ser mayor que el Total de exámenes Confirmados positivos por ISP.",""))</f>
        <v/>
      </c>
      <c r="CP200" s="219">
        <f>IF(AND(D200&gt;0,AT200="")," * No olvide digitar los exámenes Confirmados positivos por ISP de Pueblos Originarios. Digite Cero si no tiene.",IF(AT200&gt;D200," * Los exámenes Confirmados positivos por ISP de Pueblos originarios no pueden ser mayor que el Total de exámenes Procesados por ISP.",""))</f>
        <v/>
      </c>
      <c r="CQ200" s="219">
        <f>IF(AND(D200&gt;0,AV200="")," * No olvide digitar los exámenes Confirmados positivos por ISP de Migrantes. Digite Cero si no tiene.",IF(AV200&gt;D200," * Los exámenes Confirmados positivos por ISP de Migrantes no pueden ser mayor que el Total de exámenes Procesados por ISP.",""))</f>
        <v/>
      </c>
      <c r="CR200" s="226" t="n"/>
      <c r="CS200" s="226" t="n"/>
      <c r="CT200" s="260">
        <f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>
        <f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>IF(D200&gt;C200,1,0)</f>
        <v/>
      </c>
      <c r="DG200" s="378">
        <f>IF(AL200&gt;AK200,1,0)</f>
        <v/>
      </c>
      <c r="DH200" s="378">
        <f>IF(AN200&gt;AM200,1,0)</f>
        <v/>
      </c>
      <c r="DI200" s="226" t="n"/>
      <c r="DJ200" s="226" t="n"/>
      <c r="DK200" s="226" t="n"/>
      <c r="DL200" s="226" t="n"/>
      <c r="DM200" s="226" t="n"/>
      <c r="DN200" s="378">
        <f>IF(AND(C200&gt;0,AND(AO200="",AQ200="")),1,IF((AO200+AQ200)&gt;C200,1,0))</f>
        <v/>
      </c>
      <c r="DO200" s="227" t="n"/>
      <c r="DP200" s="378">
        <f>IF((AM200+AK200)&lt;&gt;C200,1,0)</f>
        <v/>
      </c>
      <c r="DQ200" s="378">
        <f>IF((AN200+AL200)&lt;&gt;D200,1,0)</f>
        <v/>
      </c>
      <c r="DR200" s="378">
        <f>IF(AND(C200&gt;0,AS200=""),1,IF(AS200&gt;C200,1,0))</f>
        <v/>
      </c>
      <c r="DS200" s="378">
        <f>IF(AND(C200&gt;0,AU200=""),1,IF(AU200&gt;C200,1,0))</f>
        <v/>
      </c>
      <c r="DT200" s="378">
        <f>IF(AND(D200&gt;0,OR(AP200="",AR200="")),1,IF((AP200+AR200)&gt;D200,1,0))</f>
        <v/>
      </c>
      <c r="DU200" s="378">
        <f>IF(AND(D200&gt;0,AT200=""),1,IF(AT200&gt;D200,1,0))</f>
        <v/>
      </c>
      <c r="DV200" s="378">
        <f>IF(AND(D200&gt;0,AV200=""),1,IF(AV200&gt;D200,1,0))</f>
        <v/>
      </c>
      <c r="DW200" s="226" t="n"/>
      <c r="DX200" s="226" t="n"/>
      <c r="DY200" s="378">
        <f>IF(AND((M200+O200)&gt;0,AW200=""),1,IF(AW200&gt;(M200+O200),1,0))</f>
        <v/>
      </c>
      <c r="DZ200" s="378">
        <f>IF(AND((N200+P200)&gt;0,AX200=""),1,IF(AX200&gt;(N200+P200),1,0))</f>
        <v/>
      </c>
    </row>
    <row r="201">
      <c r="A201" s="10306" t="inlineStr">
        <is>
          <t>Persona en control por TBC</t>
        </is>
      </c>
      <c r="B201" s="9644" t="n"/>
      <c r="C201" s="3103">
        <f>+E201+G201+I201+K201+M201+O201+Q201+S201+U201+W201+Y201+AA201+AC201+AE201+AG201+AI201</f>
        <v/>
      </c>
      <c r="D201" s="3150">
        <f>+F201+H201+J201+L201+N201+P201+R201+T201+V201+X201+Z201+AB201+AD201+AF201+AH201+AJ201</f>
        <v/>
      </c>
      <c r="E201" s="3108" t="n"/>
      <c r="F201" s="3107" t="n"/>
      <c r="G201" s="3108" t="n"/>
      <c r="H201" s="3107" t="n"/>
      <c r="I201" s="3108" t="n"/>
      <c r="J201" s="3107" t="n"/>
      <c r="K201" s="3108" t="n"/>
      <c r="L201" s="3107" t="n"/>
      <c r="M201" s="3108" t="n"/>
      <c r="N201" s="3107" t="n"/>
      <c r="O201" s="1198" t="n"/>
      <c r="P201" s="1147" t="n"/>
      <c r="Q201" s="1198" t="n"/>
      <c r="R201" s="1147" t="n"/>
      <c r="S201" s="1198" t="n"/>
      <c r="T201" s="1147" t="n"/>
      <c r="U201" s="1198" t="n"/>
      <c r="V201" s="1147" t="n"/>
      <c r="W201" s="1198" t="n"/>
      <c r="X201" s="1147" t="n"/>
      <c r="Y201" s="1198" t="n"/>
      <c r="Z201" s="1147" t="n"/>
      <c r="AA201" s="1198" t="n"/>
      <c r="AB201" s="1147" t="n"/>
      <c r="AC201" s="1198" t="n"/>
      <c r="AD201" s="1201" t="n"/>
      <c r="AE201" s="1198" t="n"/>
      <c r="AF201" s="1201" t="n"/>
      <c r="AG201" s="1198" t="n"/>
      <c r="AH201" s="1199" t="n"/>
      <c r="AI201" s="1198" t="n"/>
      <c r="AJ201" s="1147" t="n"/>
      <c r="AK201" s="1146" t="n"/>
      <c r="AL201" s="1148" t="n"/>
      <c r="AM201" s="1198" t="n"/>
      <c r="AN201" s="2689" t="n"/>
      <c r="AO201" s="1146" t="n"/>
      <c r="AP201" s="1148" t="n"/>
      <c r="AQ201" s="1200" t="n"/>
      <c r="AR201" s="2689" t="n"/>
      <c r="AS201" s="1146" t="n"/>
      <c r="AT201" s="2689" t="n"/>
      <c r="AU201" s="1146" t="n"/>
      <c r="AV201" s="1148" t="n"/>
      <c r="AW201" s="1146" t="n"/>
      <c r="AX201" s="1148" t="n"/>
      <c r="AY201" s="218">
        <f>$CA201&amp;CB201&amp;$CC201&amp;CD201&amp;CE201&amp;CF201&amp;CG201&amp;CH201&amp;CI201&amp;CJ201&amp;CK201&amp;CL201&amp;CM201&amp;CN201&amp;CO201&amp;CP201&amp;CQ201&amp;CR201&amp;CS201&amp;CT201&amp;CU201</f>
        <v/>
      </c>
      <c r="CA201" s="379">
        <f>IF(D201&gt;C201," * El Total de Exámenes Confirmados Positivos por ISP NO DEBE SUPERAR los Exámenes Procesados. ","")</f>
        <v/>
      </c>
      <c r="CB201" s="219">
        <f>IF(AL201&gt;AK201," * El número de Exámenes por Sexo Hombres Confirmados positivos por ISP NO PUEDE Superar al número de Procesados. ","")</f>
        <v/>
      </c>
      <c r="CC201" s="219">
        <f>IF(AN201&gt;AM201," * El número de Exámenes por Sexo Mujeres Confirmados positivos por ISP NO PUEDE Superar al número de Procesados. ","")</f>
        <v/>
      </c>
      <c r="CD201" s="226" t="n"/>
      <c r="CE201" s="226" t="n"/>
      <c r="CF201" s="226" t="n"/>
      <c r="CG201" s="226" t="n"/>
      <c r="CH201" s="226" t="n"/>
      <c r="CI201" s="219">
        <f>IF(AND(C201&gt;0,AND(AO201="",AQ201=""))," * No olvide digitar los exámenes procesados Trans (Masculino y femenino) Digite Cero si no tiene.",IF((AO201+AQ201)&gt;C201," * Los exámenes procesados en Trans (Masculino y femenino) no pueden ser mayor que el Total de exámenes procesados.",""))</f>
        <v/>
      </c>
      <c r="CJ201" s="227" t="n"/>
      <c r="CK201" s="219">
        <f>IF((AM201+AK201)&lt;&gt;C201," * El N° de exámenes Procesados por SEXO (Hombres + Mujeres)no puede ser distinto al Total de exámenes procesados","")</f>
        <v/>
      </c>
      <c r="CL201" s="219">
        <f>IF((AN201+AL201)&lt;&gt;D201," * El N° de exámenes Confirmados positivos por ISP por Sexo (Hombres+Mujeres) no puede ser distinto al N° Total de exámenes Confirmados positivos por ISP ","")</f>
        <v/>
      </c>
      <c r="CM201" s="219">
        <f>IF(AND(C201&gt;0,AS201="")," * No olvide digitar los examanes de Pueblos Originarios Procesados. Digite Cero si no tiene.",IF(AS201&gt;C201," * Los exámenes de Pueblos originarios Procesados no pueden ser mayor que el Total de exámenes procesados.",""))</f>
        <v/>
      </c>
      <c r="CN201" s="219">
        <f>IF(AND(C201&gt;0,AU201="")," * No olvide digitar los exámenes Procesados de Migrantes. Digite Cero si no tiene.",IF(AU201&gt;C201," * Los exámenes procesados de Migrantes no pueden ser mayor que el Total de exámenes procesados.",""))</f>
        <v/>
      </c>
      <c r="CO201" s="219">
        <f>IF(AND(D201&gt;0,AND(AP201="",AR201=""))," * No olvide digitar los exámenes Confirmados positivos por ISP de Trans (Masculino y Femenino). Digite Cero si no tiene.",IF((AP201+AR201)&gt;D201," * Los exámenes confirmados positivos por ISP de Trans (Masculino y Femenino) no pueden ser mayor que el Total de exámenes Confirmados positivos por ISP.",""))</f>
        <v/>
      </c>
      <c r="CP201" s="219">
        <f>IF(AND(D201&gt;0,AT201="")," * No olvide digitar los exámenes Confirmados positivos por ISP de Pueblos Originarios. Digite Cero si no tiene.",IF(AT201&gt;D201," * Los exámenes Confirmados positivos por ISP de Pueblos originarios no pueden ser mayor que el Total de exámenes Procesados por ISP.",""))</f>
        <v/>
      </c>
      <c r="CQ201" s="219">
        <f>IF(AND(D201&gt;0,AV201="")," * No olvide digitar los exámenes Confirmados positivos por ISP de Migrantes. Digite Cero si no tiene.",IF(AV201&gt;D201," * Los exámenes Confirmados positivos por ISP de Migrantes no pueden ser mayor que el Total de exámenes Procesados por ISP.",""))</f>
        <v/>
      </c>
      <c r="CR201" s="226" t="n"/>
      <c r="CS201" s="226" t="n"/>
      <c r="CT201" s="260">
        <f>IF(AND((M201+O201)&gt;0,AW201=""),"*No olvide digitar los Exámenes Procesados de 14-18 años. Digite cero si no tiene.",IF(AW201&gt;(M201+O201),"* El Total de Procesados de 14-18 años NO DEBE ser mayor al Total de Procesados registrados en los grupos de edad 10 a 14 + 15 a 19 años. ",""))</f>
        <v/>
      </c>
      <c r="CU201" s="260">
        <f>IF(AND((N201+P201)&gt;0,AX201=""),"*No olvide digitar los Exámenes Confirmados Positivos por ISP de 14-18 años. Digite cero si no tiene.",IF(AX201&gt;(N201+P201),"* El Total de Confirmados de 14-18 años NO DEBE ser mayor al Total de Confirmados Positivos por ISP registrados en los grupos de edad 10 a 14 + 15 a 19 años. ",""))</f>
        <v/>
      </c>
      <c r="DF201" s="381">
        <f>IF(D201&gt;C201,1,0)</f>
        <v/>
      </c>
      <c r="DG201" s="378">
        <f>IF(AL201&gt;AK201,1,0)</f>
        <v/>
      </c>
      <c r="DH201" s="378">
        <f>IF(AN201&gt;AM201,1,0)</f>
        <v/>
      </c>
      <c r="DI201" s="226" t="n"/>
      <c r="DJ201" s="226" t="n"/>
      <c r="DK201" s="226" t="n"/>
      <c r="DL201" s="226" t="n"/>
      <c r="DM201" s="226" t="n"/>
      <c r="DN201" s="378">
        <f>IF(AND(C201&gt;0,AND(AO201="",AQ201="")),1,IF((AO201+AQ201)&gt;C201,1,0))</f>
        <v/>
      </c>
      <c r="DO201" s="227" t="n"/>
      <c r="DP201" s="378">
        <f>IF((AM201+AK201)&lt;&gt;C201,1,0)</f>
        <v/>
      </c>
      <c r="DQ201" s="378">
        <f>IF((AN201+AL201)&lt;&gt;D201,1,0)</f>
        <v/>
      </c>
      <c r="DR201" s="378">
        <f>IF(AND(C201&gt;0,AS201=""),1,IF(AS201&gt;C201,1,0))</f>
        <v/>
      </c>
      <c r="DS201" s="378">
        <f>IF(AND(C201&gt;0,AU201=""),1,IF(AU201&gt;C201,1,0))</f>
        <v/>
      </c>
      <c r="DT201" s="378">
        <f>IF(AND(D201&gt;0,OR(AP201="",AR201="")),1,IF((AP201+AR201)&gt;D201,1,0))</f>
        <v/>
      </c>
      <c r="DU201" s="378">
        <f>IF(AND(D201&gt;0,AT201=""),1,IF(AT201&gt;D201,1,0))</f>
        <v/>
      </c>
      <c r="DV201" s="378">
        <f>IF(AND(D201&gt;0,AV201=""),1,IF(AV201&gt;D201,1,0))</f>
        <v/>
      </c>
      <c r="DW201" s="226" t="n"/>
      <c r="DX201" s="226" t="n"/>
      <c r="DY201" s="378">
        <f>IF(AND((M201+O201)&gt;0,AW201=""),1,IF(AW201&gt;(M201+O201),1,0))</f>
        <v/>
      </c>
      <c r="DZ201" s="378">
        <f>IF(AND((N201+P201)&gt;0,AX201=""),1,IF(AX201&gt;(N201+P201),1,0))</f>
        <v/>
      </c>
    </row>
    <row r="202">
      <c r="A202" s="10306" t="inlineStr">
        <is>
          <t>Víctima de violencia sexual</t>
        </is>
      </c>
      <c r="B202" s="9644" t="n"/>
      <c r="C202" s="3103">
        <f>+E202+G202+I202+K202+M202+O202+Q202+S202+U202+W202+Y202+AA202+AC202+AE202+AG202+AI202</f>
        <v/>
      </c>
      <c r="D202" s="3150">
        <f>+F202+H202+J202+L202+N202+P202+R202+T202+V202+X202+Z202+AB202+AD202+AF202+AH202+AJ202</f>
        <v/>
      </c>
      <c r="E202" s="3108" t="n"/>
      <c r="F202" s="3107" t="n"/>
      <c r="G202" s="3108" t="n"/>
      <c r="H202" s="3107" t="n"/>
      <c r="I202" s="3108" t="n"/>
      <c r="J202" s="3107" t="n"/>
      <c r="K202" s="3108" t="n"/>
      <c r="L202" s="3107" t="n"/>
      <c r="M202" s="3108" t="n"/>
      <c r="N202" s="3107" t="n"/>
      <c r="O202" s="1198" t="n"/>
      <c r="P202" s="1147" t="n"/>
      <c r="Q202" s="1198" t="n"/>
      <c r="R202" s="1147" t="n"/>
      <c r="S202" s="1198" t="n"/>
      <c r="T202" s="1147" t="n"/>
      <c r="U202" s="1198" t="n"/>
      <c r="V202" s="1147" t="n"/>
      <c r="W202" s="1198" t="n"/>
      <c r="X202" s="1147" t="n"/>
      <c r="Y202" s="1198" t="n"/>
      <c r="Z202" s="1147" t="n"/>
      <c r="AA202" s="1198" t="n"/>
      <c r="AB202" s="1147" t="n"/>
      <c r="AC202" s="1198" t="n"/>
      <c r="AD202" s="1201" t="n"/>
      <c r="AE202" s="1198" t="n"/>
      <c r="AF202" s="1201" t="n"/>
      <c r="AG202" s="1198" t="n"/>
      <c r="AH202" s="1199" t="n"/>
      <c r="AI202" s="1198" t="n"/>
      <c r="AJ202" s="1147" t="n"/>
      <c r="AK202" s="1146" t="n"/>
      <c r="AL202" s="1148" t="n"/>
      <c r="AM202" s="1198" t="n"/>
      <c r="AN202" s="2689" t="n"/>
      <c r="AO202" s="1146" t="n"/>
      <c r="AP202" s="1148" t="n"/>
      <c r="AQ202" s="1200" t="n"/>
      <c r="AR202" s="2689" t="n"/>
      <c r="AS202" s="1146" t="n"/>
      <c r="AT202" s="2689" t="n"/>
      <c r="AU202" s="1146" t="n"/>
      <c r="AV202" s="1148" t="n"/>
      <c r="AW202" s="1146" t="n"/>
      <c r="AX202" s="1148" t="n"/>
      <c r="AY202" s="218">
        <f>$CA202&amp;CB202&amp;$CC202&amp;CD202&amp;CE202&amp;CF202&amp;CG202&amp;CH202&amp;CI202&amp;CJ202&amp;CK202&amp;CL202&amp;CM202&amp;CN202&amp;CO202&amp;CP202&amp;CQ202&amp;CR202&amp;CS202&amp;CT202&amp;CU202</f>
        <v/>
      </c>
      <c r="CA202" s="379">
        <f>IF(D202&gt;C202," * El Total de Exámenes Confirmados Positivos por ISP NO DEBE SUPERAR los Exámenes Procesados. ","")</f>
        <v/>
      </c>
      <c r="CB202" s="219">
        <f>IF(AL202&gt;AK202," * El número de Exámenes por Sexo Hombres Confirmados positivos por ISP NO PUEDE Superar al número de Procesados. ","")</f>
        <v/>
      </c>
      <c r="CC202" s="219">
        <f>IF(AN202&gt;AM202," * El número de Exámenes por Sexo Mujeres Confirmados positivos por ISP NO PUEDE Superar al número de Procesados. ","")</f>
        <v/>
      </c>
      <c r="CD202" s="226" t="n"/>
      <c r="CE202" s="226" t="n"/>
      <c r="CF202" s="226" t="n"/>
      <c r="CG202" s="226" t="n"/>
      <c r="CH202" s="226" t="n"/>
      <c r="CI202" s="219">
        <f>IF(AND(C202&gt;0,AND(AO202="",AQ202=""))," * No olvide digitar los exámenes procesados Trans (Masculino y femenino) Digite Cero si no tiene.",IF((AO202+AQ202)&gt;C202," * Los exámenes procesados en Trans (Masculino y femenino) no pueden ser mayor que el Total de exámenes procesados.",""))</f>
        <v/>
      </c>
      <c r="CJ202" s="227" t="n"/>
      <c r="CK202" s="219">
        <f>IF((AM202+AK202)&lt;&gt;C202," * El N° de exámenes Procesados por SEXO (Hombres + Mujeres)no puede ser distinto al Total de exámenes procesados","")</f>
        <v/>
      </c>
      <c r="CL202" s="219">
        <f>IF((AN202+AL202)&lt;&gt;D202," * El N° de exámenes Confirmados positivos por ISP por Sexo (Hombres+Mujeres) no puede ser distinto al N° Total de exámenes Confirmados positivos por ISP ","")</f>
        <v/>
      </c>
      <c r="CM202" s="219">
        <f>IF(AND(C202&gt;0,AS202="")," * No olvide digitar los examanes de Pueblos Originarios Procesados. Digite Cero si no tiene.",IF(AS202&gt;C202," * Los exámenes de Pueblos originarios Procesados no pueden ser mayor que el Total de exámenes procesados.",""))</f>
        <v/>
      </c>
      <c r="CN202" s="219">
        <f>IF(AND(C202&gt;0,AU202="")," * No olvide digitar los exámenes Procesados de Migrantes. Digite Cero si no tiene.",IF(AU202&gt;C202," * Los exámenes procesados de Migrantes no pueden ser mayor que el Total de exámenes procesados.",""))</f>
        <v/>
      </c>
      <c r="CO202" s="219">
        <f>IF(AND(D202&gt;0,AND(AP202="",AR202=""))," * No olvide digitar los exámenes Confirmados positivos por ISP de Trans (Masculino y Femenino). Digite Cero si no tiene.",IF((AP202+AR202)&gt;D202," * Los exámenes confirmados positivos por ISP de Trans (Masculino y Femenino) no pueden ser mayor que el Total de exámenes Confirmados positivos por ISP.",""))</f>
        <v/>
      </c>
      <c r="CP202" s="219">
        <f>IF(AND(D202&gt;0,AT202="")," * No olvide digitar los exámenes Confirmados positivos por ISP de Pueblos Originarios. Digite Cero si no tiene.",IF(AT202&gt;D202," * Los exámenes Confirmados positivos por ISP de Pueblos originarios no pueden ser mayor que el Total de exámenes Procesados por ISP.",""))</f>
        <v/>
      </c>
      <c r="CQ202" s="219">
        <f>IF(AND(D202&gt;0,AV202="")," * No olvide digitar los exámenes Confirmados positivos por ISP de Migrantes. Digite Cero si no tiene.",IF(AV202&gt;D202," * Los exámenes Confirmados positivos por ISP de Migrantes no pueden ser mayor que el Total de exámenes Procesados por ISP.",""))</f>
        <v/>
      </c>
      <c r="CR202" s="226" t="n"/>
      <c r="CS202" s="226" t="n"/>
      <c r="CT202" s="260">
        <f>IF(AND((M202+O202)&gt;0,AW202=""),"*No olvide digitar los Exámenes Procesados de 14-18 años. Digite cero si no tiene.",IF(AW202&gt;(M202+O202),"* El Total de Procesados de 14-18 años NO DEBE ser mayor al Total de Procesados registrados en los grupos de edad 10 a 14 + 15 a 19 años. ",""))</f>
        <v/>
      </c>
      <c r="CU202" s="260">
        <f>IF(AND((N202+P202)&gt;0,AX202=""),"*No olvide digitar los Exámenes Confirmados Positivos por ISP de 14-18 años. Digite cero si no tiene.",IF(AX202&gt;(N202+P202),"* El Total de Confirmados de 14-18 años NO DEBE ser mayor al Total de Confirmados Positivos por ISP registrados en los grupos de edad 10 a 14 + 15 a 19 años. ",""))</f>
        <v/>
      </c>
      <c r="DF202" s="381">
        <f>IF(D202&gt;C202,1,0)</f>
        <v/>
      </c>
      <c r="DG202" s="378">
        <f>IF(AL202&gt;AK202,1,0)</f>
        <v/>
      </c>
      <c r="DH202" s="378">
        <f>IF(AN202&gt;AM202,1,0)</f>
        <v/>
      </c>
      <c r="DI202" s="226" t="n"/>
      <c r="DJ202" s="226" t="n"/>
      <c r="DK202" s="226" t="n"/>
      <c r="DL202" s="226" t="n"/>
      <c r="DM202" s="226" t="n"/>
      <c r="DN202" s="378">
        <f>IF(AND(C202&gt;0,AND(AO202="",AQ202="")),1,IF((AO202+AQ202)&gt;C202,1,0))</f>
        <v/>
      </c>
      <c r="DO202" s="227" t="n"/>
      <c r="DP202" s="378">
        <f>IF((AM202+AK202)&lt;&gt;C202,1,0)</f>
        <v/>
      </c>
      <c r="DQ202" s="378">
        <f>IF((AN202+AL202)&lt;&gt;D202,1,0)</f>
        <v/>
      </c>
      <c r="DR202" s="378">
        <f>IF(AND(C202&gt;0,AS202=""),1,IF(AS202&gt;C202,1,0))</f>
        <v/>
      </c>
      <c r="DS202" s="378">
        <f>IF(AND(C202&gt;0,AU202=""),1,IF(AU202&gt;C202,1,0))</f>
        <v/>
      </c>
      <c r="DT202" s="378">
        <f>IF(AND(D202&gt;0,OR(AP202="",AR202="")),1,IF((AP202+AR202)&gt;D202,1,0))</f>
        <v/>
      </c>
      <c r="DU202" s="378">
        <f>IF(AND(D202&gt;0,AT202=""),1,IF(AT202&gt;D202,1,0))</f>
        <v/>
      </c>
      <c r="DV202" s="378">
        <f>IF(AND(D202&gt;0,AV202=""),1,IF(AV202&gt;D202,1,0))</f>
        <v/>
      </c>
      <c r="DW202" s="226" t="n"/>
      <c r="DX202" s="226" t="n"/>
      <c r="DY202" s="378">
        <f>IF(AND((M202+O202)&gt;0,AW202=""),1,IF(AW202&gt;(M202+O202),1,0))</f>
        <v/>
      </c>
      <c r="DZ202" s="378">
        <f>IF(AND((N202+P202)&gt;0,AX202=""),1,IF(AX202&gt;(N202+P202),1,0))</f>
        <v/>
      </c>
    </row>
    <row r="203">
      <c r="A203" s="10306" t="inlineStr">
        <is>
          <t>Pareja serodiscordante</t>
        </is>
      </c>
      <c r="B203" s="9644" t="n"/>
      <c r="C203" s="3103">
        <f>+O203+Q203+S203+U203+W203+Y203+AA203+AC203+AE203+AG203+AI203</f>
        <v/>
      </c>
      <c r="D203" s="1249">
        <f>+P203+R203+T203+V203+X203+Z203+AB203+AD203+AF203+AH203+AJ203</f>
        <v/>
      </c>
      <c r="E203" s="3104" t="n"/>
      <c r="F203" s="3105" t="n"/>
      <c r="G203" s="3104" t="n"/>
      <c r="H203" s="3105" t="n"/>
      <c r="I203" s="3104" t="n"/>
      <c r="J203" s="3105" t="n"/>
      <c r="K203" s="3104" t="n"/>
      <c r="L203" s="3105" t="n"/>
      <c r="M203" s="3104" t="n"/>
      <c r="N203" s="3105" t="n"/>
      <c r="O203" s="1198" t="n"/>
      <c r="P203" s="1147" t="n"/>
      <c r="Q203" s="1198" t="n"/>
      <c r="R203" s="1147" t="n"/>
      <c r="S203" s="1198" t="n"/>
      <c r="T203" s="1147" t="n"/>
      <c r="U203" s="1198" t="n"/>
      <c r="V203" s="1147" t="n"/>
      <c r="W203" s="1198" t="n"/>
      <c r="X203" s="1147" t="n"/>
      <c r="Y203" s="1198" t="n"/>
      <c r="Z203" s="1147" t="n"/>
      <c r="AA203" s="1198" t="n"/>
      <c r="AB203" s="1147" t="n"/>
      <c r="AC203" s="1198" t="n"/>
      <c r="AD203" s="1201" t="n"/>
      <c r="AE203" s="1198" t="n"/>
      <c r="AF203" s="1201" t="n"/>
      <c r="AG203" s="1198" t="n"/>
      <c r="AH203" s="1199" t="n"/>
      <c r="AI203" s="1198" t="n"/>
      <c r="AJ203" s="1147" t="n"/>
      <c r="AK203" s="1146" t="n"/>
      <c r="AL203" s="1148" t="n"/>
      <c r="AM203" s="1198" t="n"/>
      <c r="AN203" s="2689" t="n"/>
      <c r="AO203" s="1146" t="n"/>
      <c r="AP203" s="1148" t="n"/>
      <c r="AQ203" s="1200" t="n"/>
      <c r="AR203" s="2689" t="n"/>
      <c r="AS203" s="1146" t="n"/>
      <c r="AT203" s="2689" t="n"/>
      <c r="AU203" s="1146" t="n"/>
      <c r="AV203" s="1148" t="n"/>
      <c r="AW203" s="1146" t="n"/>
      <c r="AX203" s="1148" t="n"/>
      <c r="AY203" s="218">
        <f>$CA203&amp;CB203&amp;$CC203&amp;CD203&amp;CE203&amp;CF203&amp;CG203&amp;CH203&amp;CI203&amp;CJ203&amp;CK203&amp;CL203&amp;CM203&amp;CN203&amp;CO203&amp;CP203&amp;CQ203&amp;CR203&amp;CS203&amp;CT203&amp;CU203</f>
        <v/>
      </c>
      <c r="CA203" s="379">
        <f>IF(D203&gt;C203," * El Total de Exámenes Confirmados Positivos por ISP NO DEBE SUPERAR los Exámenes Procesados. ","")</f>
        <v/>
      </c>
      <c r="CB203" s="219">
        <f>IF(AL203&gt;AK203," * El número de Exámenes por Sexo Hombres Confirmados positivos por ISP NO PUEDE Superar al número de Procesados. ","")</f>
        <v/>
      </c>
      <c r="CC203" s="219">
        <f>IF(AN203&gt;AM203," * El número de Exámenes por Sexo Mujeres Confirmados positivos por ISP NO PUEDE Superar al número de Procesados. ","")</f>
        <v/>
      </c>
      <c r="CD203" s="226" t="n"/>
      <c r="CE203" s="226" t="n"/>
      <c r="CF203" s="226" t="n"/>
      <c r="CG203" s="226" t="n"/>
      <c r="CH203" s="226" t="n"/>
      <c r="CI203" s="219">
        <f>IF(AND(C203&gt;0,AND(AO203="",AQ203=""))," * No olvide digitar los exámenes procesados Trans (Masculino y femenino) Digite Cero si no tiene.",IF((AO203+AQ203)&gt;C203," * Los exámenes procesados en Trans (Masculino y femenino) no pueden ser mayor que el Total de exámenes procesados.",""))</f>
        <v/>
      </c>
      <c r="CJ203" s="227" t="n"/>
      <c r="CK203" s="219">
        <f>IF((AM203+AK203)&lt;&gt;C203," * El N° de exámenes Procesados por SEXO (Hombres + Mujeres)no puede ser distinto al Total de exámenes procesados","")</f>
        <v/>
      </c>
      <c r="CL203" s="219">
        <f>IF((AN203+AL203)&lt;&gt;D203," * El N° de exámenes Confirmados positivos por ISP por Sexo (Hombres+Mujeres) no puede ser distinto al N° Total de exámenes Confirmados positivos por ISP ","")</f>
        <v/>
      </c>
      <c r="CM203" s="219">
        <f>IF(AND(C203&gt;0,AS203="")," * No olvide digitar los examanes de Pueblos Originarios Procesados. Digite Cero si no tiene.",IF(AS203&gt;C203," * Los exámenes de Pueblos originarios Procesados no pueden ser mayor que el Total de exámenes procesados.",""))</f>
        <v/>
      </c>
      <c r="CN203" s="219">
        <f>IF(AND(C203&gt;0,AU203="")," * No olvide digitar los exámenes Procesados de Migrantes. Digite Cero si no tiene.",IF(AU203&gt;C203," * Los exámenes procesados de Migrantes no pueden ser mayor que el Total de exámenes procesados.",""))</f>
        <v/>
      </c>
      <c r="CO203" s="219">
        <f>IF(AND(D203&gt;0,AND(AP203="",AR203=""))," * No olvide digitar los exámenes Confirmados positivos por ISP de Trans (Masculino y Femenino). Digite Cero si no tiene.",IF((AP203+AR203)&gt;D203," * Los exámenes confirmados positivos por ISP de Trans (Masculino y Femenino) no pueden ser mayor que el Total de exámenes Confirmados positivos por ISP.",""))</f>
        <v/>
      </c>
      <c r="CP203" s="219">
        <f>IF(AND(D203&gt;0,AT203="")," * No olvide digitar los exámenes Confirmados positivos por ISP de Pueblos Originarios. Digite Cero si no tiene.",IF(AT203&gt;D203," * Los exámenes Confirmados positivos por ISP de Pueblos originarios no pueden ser mayor que el Total de exámenes Procesados por ISP.",""))</f>
        <v/>
      </c>
      <c r="CQ203" s="219">
        <f>IF(AND(D203&gt;0,AV203="")," * No olvide digitar los exámenes Confirmados positivos por ISP de Migrantes. Digite Cero si no tiene.",IF(AV203&gt;D203," * Los exámenes Confirmados positivos por ISP de Migrantes no pueden ser mayor que el Total de exámenes Procesados por ISP.",""))</f>
        <v/>
      </c>
      <c r="CR203" s="226" t="n"/>
      <c r="CS203" s="226" t="n"/>
      <c r="CT203" s="260">
        <f>IF(AND((M203+O203)&gt;0,AW203=""),"*No olvide digitar los Exámenes Procesados de 14-18 años. Digite cero si no tiene.",IF(AW203&gt;(M203+O203),"* El Total de Procesados de 14-18 años NO DEBE ser mayor al Total de Procesados registrados en los grupos de edad 10 a 14 + 15 a 19 años. ",""))</f>
        <v/>
      </c>
      <c r="CU203" s="260">
        <f>IF(AND((N203+P203)&gt;0,AX203=""),"*No olvide digitar los Exámenes Confirmados Positivos por ISP de 14-18 años. Digite cero si no tiene.",IF(AX203&gt;(N203+P203),"* El Total de Confirmados de 14-18 años NO DEBE ser mayor al Total de Confirmados Positivos por ISP registrados en los grupos de edad 10 a 14 + 15 a 19 años. ",""))</f>
        <v/>
      </c>
      <c r="DF203" s="381">
        <f>IF(D203&gt;C203,1,0)</f>
        <v/>
      </c>
      <c r="DG203" s="378">
        <f>IF(AL203&gt;AK203,1,0)</f>
        <v/>
      </c>
      <c r="DH203" s="378">
        <f>IF(AN203&gt;AM203,1,0)</f>
        <v/>
      </c>
      <c r="DI203" s="226" t="n"/>
      <c r="DJ203" s="226" t="n"/>
      <c r="DK203" s="226" t="n"/>
      <c r="DL203" s="226" t="n"/>
      <c r="DM203" s="226" t="n"/>
      <c r="DN203" s="378">
        <f>IF(AND(C203&gt;0,AND(AO203="",AQ203="")),1,IF((AO203+AQ203)&gt;C203,1,0))</f>
        <v/>
      </c>
      <c r="DO203" s="227" t="n"/>
      <c r="DP203" s="378">
        <f>IF((AM203+AK203)&lt;&gt;C203,1,0)</f>
        <v/>
      </c>
      <c r="DQ203" s="378">
        <f>IF((AN203+AL203)&lt;&gt;D203,1,0)</f>
        <v/>
      </c>
      <c r="DR203" s="378">
        <f>IF(AND(C203&gt;0,AS203=""),1,IF(AS203&gt;C203,1,0))</f>
        <v/>
      </c>
      <c r="DS203" s="378">
        <f>IF(AND(C203&gt;0,AU203=""),1,IF(AU203&gt;C203,1,0))</f>
        <v/>
      </c>
      <c r="DT203" s="378">
        <f>IF(AND(D203&gt;0,OR(AP203="",AR203="")),1,IF((AP203+AR203)&gt;D203,1,0))</f>
        <v/>
      </c>
      <c r="DU203" s="378">
        <f>IF(AND(D203&gt;0,AT203=""),1,IF(AT203&gt;D203,1,0))</f>
        <v/>
      </c>
      <c r="DV203" s="378">
        <f>IF(AND(D203&gt;0,AV203=""),1,IF(AV203&gt;D203,1,0))</f>
        <v/>
      </c>
      <c r="DW203" s="226" t="n"/>
      <c r="DX203" s="226" t="n"/>
      <c r="DY203" s="378">
        <f>IF(AND((M203+O203)&gt;0,AW203=""),1,IF(AW203&gt;(M203+O203),1,0))</f>
        <v/>
      </c>
      <c r="DZ203" s="378">
        <f>IF(AND((N203+P203)&gt;0,AX203=""),1,IF(AX203&gt;(N203+P203),1,0))</f>
        <v/>
      </c>
    </row>
    <row r="204">
      <c r="A204" s="10306" t="inlineStr">
        <is>
          <t>Pareja de gestante VIH positivo</t>
        </is>
      </c>
      <c r="B204" s="9644" t="n"/>
      <c r="C204" s="3103">
        <f>+O204+Q204+S204+U204+W204+Y204+AA204+AC204+AE204+AG204+AI204</f>
        <v/>
      </c>
      <c r="D204" s="1249">
        <f>+P204+R204+T204+V204+X204+Z204+AB204+AD204+AF204+AH204+AJ204</f>
        <v/>
      </c>
      <c r="E204" s="3104" t="n"/>
      <c r="F204" s="3105" t="n"/>
      <c r="G204" s="3104" t="n"/>
      <c r="H204" s="3105" t="n"/>
      <c r="I204" s="3104" t="n"/>
      <c r="J204" s="3105" t="n"/>
      <c r="K204" s="3104" t="n"/>
      <c r="L204" s="3105" t="n"/>
      <c r="M204" s="3104" t="n"/>
      <c r="N204" s="3105" t="n"/>
      <c r="O204" s="1198" t="n"/>
      <c r="P204" s="1147" t="n"/>
      <c r="Q204" s="1198" t="n"/>
      <c r="R204" s="1147" t="n"/>
      <c r="S204" s="1198" t="n"/>
      <c r="T204" s="1147" t="n"/>
      <c r="U204" s="1198" t="n"/>
      <c r="V204" s="1147" t="n"/>
      <c r="W204" s="1198" t="n"/>
      <c r="X204" s="1147" t="n"/>
      <c r="Y204" s="1198" t="n"/>
      <c r="Z204" s="1147" t="n"/>
      <c r="AA204" s="1198" t="n"/>
      <c r="AB204" s="1147" t="n"/>
      <c r="AC204" s="1198" t="n"/>
      <c r="AD204" s="1201" t="n"/>
      <c r="AE204" s="1198" t="n"/>
      <c r="AF204" s="1201" t="n"/>
      <c r="AG204" s="3108" t="n"/>
      <c r="AH204" s="1148" t="n"/>
      <c r="AI204" s="3108" t="n"/>
      <c r="AJ204" s="1200" t="n"/>
      <c r="AK204" s="1146" t="n"/>
      <c r="AL204" s="1148" t="n"/>
      <c r="AM204" s="1198" t="n"/>
      <c r="AN204" s="2689" t="n"/>
      <c r="AO204" s="1146" t="n"/>
      <c r="AP204" s="1148" t="n"/>
      <c r="AQ204" s="1200" t="n"/>
      <c r="AR204" s="2689" t="n"/>
      <c r="AS204" s="1146" t="n"/>
      <c r="AT204" s="2689" t="n"/>
      <c r="AU204" s="1146" t="n"/>
      <c r="AV204" s="1148" t="n"/>
      <c r="AW204" s="1146" t="n"/>
      <c r="AX204" s="1148" t="n"/>
      <c r="AY204" s="218">
        <f>$CA204&amp;CB204&amp;$CC204&amp;CD204&amp;CE204&amp;CF204&amp;CG204&amp;CH204&amp;CI204&amp;CJ204&amp;CK204&amp;CL204&amp;CM204&amp;CN204&amp;CO204&amp;CP204&amp;CQ204&amp;CR204&amp;CS204&amp;CT204&amp;CU204</f>
        <v/>
      </c>
      <c r="CA204" s="379">
        <f>IF(D204&gt;C204," * El Total de Exámenes Confirmados Positivos por ISP NO DEBE SUPERAR los Exámenes Procesados. ","")</f>
        <v/>
      </c>
      <c r="CB204" s="219">
        <f>IF(AL204&gt;AK204," * El número de Exámenes por Sexo Hombres Confirmados positivos por ISP NO PUEDE Superar al número de Procesados. ","")</f>
        <v/>
      </c>
      <c r="CC204" s="219">
        <f>IF(AN204&gt;AM204," * El número de Exámenes por Sexo Mujeres Confirmados positivos por ISP NO PUEDE Superar al número de Procesados. ","")</f>
        <v/>
      </c>
      <c r="CD204" s="226" t="n"/>
      <c r="CE204" s="226" t="n"/>
      <c r="CF204" s="226" t="n"/>
      <c r="CG204" s="226" t="n"/>
      <c r="CH204" s="226" t="n"/>
      <c r="CI204" s="219">
        <f>IF(AND(C204&gt;0,AND(AO204="",AQ204=""))," * No olvide digitar los exámenes procesados Trans (Masculino y femenino) Digite Cero si no tiene.",IF((AO204+AQ204)&gt;C204," * Los exámenes procesados en Trans (Masculino y femenino) no pueden ser mayor que el Total de exámenes procesados.",""))</f>
        <v/>
      </c>
      <c r="CJ204" s="227" t="n"/>
      <c r="CK204" s="219">
        <f>IF((AM204+AK204)&lt;&gt;C204," * El N° de exámenes Procesados por SEXO (Hombres + Mujeres)no puede ser distinto al Total de exámenes procesados","")</f>
        <v/>
      </c>
      <c r="CL204" s="219">
        <f>IF((AN204+AL204)&lt;&gt;D204," * El N° de exámenes Confirmados positivos por ISP por Sexo (Hombres+Mujeres) no puede ser distinto al N° Total de exámenes Confirmados positivos por ISP ","")</f>
        <v/>
      </c>
      <c r="CM204" s="219">
        <f>IF(AND(C204&gt;0,AS204="")," * No olvide digitar los examanes de Pueblos Originarios Procesados. Digite Cero si no tiene.",IF(AS204&gt;C204," * Los exámenes de Pueblos originarios Procesados no pueden ser mayor que el Total de exámenes procesados.",""))</f>
        <v/>
      </c>
      <c r="CN204" s="219">
        <f>IF(AND(C204&gt;0,AU204="")," * No olvide digitar los exámenes Procesados de Migrantes. Digite Cero si no tiene.",IF(AU204&gt;C204," * Los exámenes procesados de Migrantes no pueden ser mayor que el Total de exámenes procesados.",""))</f>
        <v/>
      </c>
      <c r="CO204" s="219">
        <f>IF(AND(D204&gt;0,AND(AP204="",AR204=""))," * No olvide digitar los exámenes Confirmados positivos por ISP de Trans (Masculino y Femenino). Digite Cero si no tiene.",IF((AP204+AR204)&gt;D204," * Los exámenes confirmados positivos por ISP de Trans (Masculino y Femenino) no pueden ser mayor que el Total de exámenes Confirmados positivos por ISP.",""))</f>
        <v/>
      </c>
      <c r="CP204" s="219">
        <f>IF(AND(D204&gt;0,AT204="")," * No olvide digitar los exámenes Confirmados positivos por ISP de Pueblos Originarios. Digite Cero si no tiene.",IF(AT204&gt;D204," * Los exámenes Confirmados positivos por ISP de Pueblos originarios no pueden ser mayor que el Total de exámenes Procesados por ISP.",""))</f>
        <v/>
      </c>
      <c r="CQ204" s="219">
        <f>IF(AND(D204&gt;0,AV204="")," * No olvide digitar los exámenes Confirmados positivos por ISP de Migrantes. Digite Cero si no tiene.",IF(AV204&gt;D204," * Los exámenes Confirmados positivos por ISP de Migrantes no pueden ser mayor que el Total de exámenes Procesados por ISP.",""))</f>
        <v/>
      </c>
      <c r="CR204" s="226" t="n"/>
      <c r="CS204" s="226" t="n"/>
      <c r="CT204" s="260">
        <f>IF(AND((M204+O204)&gt;0,AW204=""),"*No olvide digitar los Exámenes Procesados de 14-18 años. Digite cero si no tiene.",IF(AW204&gt;(M204+O204),"* El Total de Procesados de 14-18 años NO DEBE ser mayor al Total de Procesados registrados en los grupos de edad 10 a 14 + 15 a 19 años. ",""))</f>
        <v/>
      </c>
      <c r="CU204" s="260">
        <f>IF(AND((N204+P204)&gt;0,AX204=""),"*No olvide digitar los Exámenes Confirmados Positivos por ISP de 14-18 años. Digite cero si no tiene.",IF(AX204&gt;(N204+P204),"* El Total de Confirmados de 14-18 años NO DEBE ser mayor al Total de Confirmados Positivos por ISP registrados en los grupos de edad 10 a 14 + 15 a 19 años. ",""))</f>
        <v/>
      </c>
      <c r="DF204" s="381">
        <f>IF(D204&gt;C204,1,0)</f>
        <v/>
      </c>
      <c r="DG204" s="378">
        <f>IF(AL204&gt;AK204,1,0)</f>
        <v/>
      </c>
      <c r="DH204" s="378">
        <f>IF(AN204&gt;AM204,1,0)</f>
        <v/>
      </c>
      <c r="DI204" s="226" t="n"/>
      <c r="DJ204" s="226" t="n"/>
      <c r="DK204" s="226" t="n"/>
      <c r="DL204" s="226" t="n"/>
      <c r="DM204" s="226" t="n"/>
      <c r="DN204" s="378">
        <f>IF(AND(C204&gt;0,AND(AO204="",AQ204="")),1,IF((AO204+AQ204)&gt;C204,1,0))</f>
        <v/>
      </c>
      <c r="DO204" s="227" t="n"/>
      <c r="DP204" s="378">
        <f>IF((AM204+AK204)&lt;&gt;C204,1,0)</f>
        <v/>
      </c>
      <c r="DQ204" s="378">
        <f>IF((AN204+AL204)&lt;&gt;D204,1,0)</f>
        <v/>
      </c>
      <c r="DR204" s="378">
        <f>IF(AND(C204&gt;0,AS204=""),1,IF(AS204&gt;C204,1,0))</f>
        <v/>
      </c>
      <c r="DS204" s="378">
        <f>IF(AND(C204&gt;0,AU204=""),1,IF(AU204&gt;C204,1,0))</f>
        <v/>
      </c>
      <c r="DT204" s="378">
        <f>IF(AND(D204&gt;0,OR(AP204="",AR204="")),1,IF((AP204+AR204)&gt;D204,1,0))</f>
        <v/>
      </c>
      <c r="DU204" s="378">
        <f>IF(AND(D204&gt;0,AT204=""),1,IF(AT204&gt;D204,1,0))</f>
        <v/>
      </c>
      <c r="DV204" s="378">
        <f>IF(AND(D204&gt;0,AV204=""),1,IF(AV204&gt;D204,1,0))</f>
        <v/>
      </c>
      <c r="DW204" s="226" t="n"/>
      <c r="DX204" s="226" t="n"/>
      <c r="DY204" s="378">
        <f>IF(AND((M204+O204)&gt;0,AW204=""),1,IF(AW204&gt;(M204+O204),1,0))</f>
        <v/>
      </c>
      <c r="DZ204" s="378">
        <f>IF(AND((N204+P204)&gt;0,AX204=""),1,IF(AX204&gt;(N204+P204),1,0))</f>
        <v/>
      </c>
    </row>
    <row r="205">
      <c r="A205" s="10306" t="inlineStr">
        <is>
          <t>Personal de salud expuesto a accidente cortopunzante</t>
        </is>
      </c>
      <c r="B205" s="9644" t="n"/>
      <c r="C205" s="3103">
        <f>+O205+Q205+S205+U205+W205+Y205+AA205+AC205+AE205+AG205+AI205</f>
        <v/>
      </c>
      <c r="D205" s="1249">
        <f>+P205+R205+T205+V205+X205+Z205+AB205+AD205+AF205+AH205+AJ205</f>
        <v/>
      </c>
      <c r="E205" s="3104" t="n"/>
      <c r="F205" s="3105" t="n"/>
      <c r="G205" s="3104" t="n"/>
      <c r="H205" s="3105" t="n"/>
      <c r="I205" s="3104" t="n"/>
      <c r="J205" s="3105" t="n"/>
      <c r="K205" s="3104" t="n"/>
      <c r="L205" s="3105" t="n"/>
      <c r="M205" s="3104" t="n"/>
      <c r="N205" s="3105" t="n"/>
      <c r="O205" s="1198" t="n"/>
      <c r="P205" s="1147" t="n"/>
      <c r="Q205" s="1198" t="n"/>
      <c r="R205" s="1147" t="n"/>
      <c r="S205" s="1198" t="n"/>
      <c r="T205" s="1147" t="n"/>
      <c r="U205" s="1198" t="n"/>
      <c r="V205" s="1147" t="n"/>
      <c r="W205" s="1198" t="n"/>
      <c r="X205" s="1147" t="n"/>
      <c r="Y205" s="1198" t="n"/>
      <c r="Z205" s="1147" t="n"/>
      <c r="AA205" s="1198" t="n"/>
      <c r="AB205" s="1147" t="n"/>
      <c r="AC205" s="1198" t="n"/>
      <c r="AD205" s="1201" t="n"/>
      <c r="AE205" s="1198" t="n"/>
      <c r="AF205" s="1201" t="n"/>
      <c r="AG205" s="1198" t="n"/>
      <c r="AH205" s="1199" t="n"/>
      <c r="AI205" s="1198" t="n"/>
      <c r="AJ205" s="1147" t="n"/>
      <c r="AK205" s="1146" t="n"/>
      <c r="AL205" s="1148" t="n"/>
      <c r="AM205" s="1198" t="n"/>
      <c r="AN205" s="2689" t="n"/>
      <c r="AO205" s="1146" t="n"/>
      <c r="AP205" s="1148" t="n"/>
      <c r="AQ205" s="1200" t="n"/>
      <c r="AR205" s="2689" t="n"/>
      <c r="AS205" s="1146" t="n"/>
      <c r="AT205" s="2689" t="n"/>
      <c r="AU205" s="1146" t="n"/>
      <c r="AV205" s="1148" t="n"/>
      <c r="AW205" s="1146" t="n"/>
      <c r="AX205" s="1148" t="n"/>
      <c r="AY205" s="218">
        <f>$CA205&amp;CB205&amp;$CC205&amp;CD205&amp;CE205&amp;CF205&amp;CG205&amp;CH205&amp;CI205&amp;CJ205&amp;CK205&amp;CL205&amp;CM205&amp;CN205&amp;CO205&amp;CP205&amp;CQ205&amp;CR205&amp;CS205&amp;CT205&amp;CU205</f>
        <v/>
      </c>
      <c r="CA205" s="379">
        <f>IF(D205&gt;C205," * El Total de Exámenes Confirmados Positivos por ISP NO DEBE SUPERAR los Exámenes Procesados. ","")</f>
        <v/>
      </c>
      <c r="CB205" s="219">
        <f>IF(AL205&gt;AK205," * El número de Exámenes por Sexo Hombres Confirmados positivos por ISP NO PUEDE Superar al número de Procesados. ","")</f>
        <v/>
      </c>
      <c r="CC205" s="219">
        <f>IF(AN205&gt;AM205," * El número de Exámenes por Sexo Mujeres Confirmados positivos por ISP NO PUEDE Superar al número de Procesados. ","")</f>
        <v/>
      </c>
      <c r="CD205" s="226" t="n"/>
      <c r="CE205" s="226" t="n"/>
      <c r="CF205" s="226" t="n"/>
      <c r="CG205" s="226" t="n"/>
      <c r="CH205" s="226" t="n"/>
      <c r="CI205" s="219">
        <f>IF(AND(C205&gt;0,AND(AO205="",AQ205=""))," * No olvide digitar los exámenes procesados Trans (Masculino y femenino) Digite Cero si no tiene.",IF((AO205+AQ205)&gt;C205," * Los exámenes procesados en Trans (Masculino y femenino) no pueden ser mayor que el Total de exámenes procesados.",""))</f>
        <v/>
      </c>
      <c r="CJ205" s="227" t="n"/>
      <c r="CK205" s="219">
        <f>IF((AM205+AK205)&lt;&gt;C205," * El N° de exámenes Procesados por SEXO (Hombres + Mujeres)no puede ser distinto al Total de exámenes procesados","")</f>
        <v/>
      </c>
      <c r="CL205" s="219">
        <f>IF((AN205+AL205)&lt;&gt;D205," * El N° de exámenes Confirmados positivos por ISP por Sexo (Hombres+Mujeres) no puede ser distinto al N° Total de exámenes Confirmados positivos por ISP ","")</f>
        <v/>
      </c>
      <c r="CM205" s="219">
        <f>IF(AND(C205&gt;0,AS205="")," * No olvide digitar los examanes de Pueblos Originarios Procesados. Digite Cero si no tiene.",IF(AS205&gt;C205," * Los exámenes de Pueblos originarios Procesados no pueden ser mayor que el Total de exámenes procesados.",""))</f>
        <v/>
      </c>
      <c r="CN205" s="219">
        <f>IF(AND(C205&gt;0,AU205="")," * No olvide digitar los exámenes Procesados de Migrantes. Digite Cero si no tiene.",IF(AU205&gt;C205," * Los exámenes procesados de Migrantes no pueden ser mayor que el Total de exámenes procesados.",""))</f>
        <v/>
      </c>
      <c r="CO205" s="219">
        <f>IF(AND(D205&gt;0,AND(AP205="",AR205=""))," * No olvide digitar los exámenes Confirmados positivos por ISP de Trans (Masculino y Femenino). Digite Cero si no tiene.",IF((AP205+AR205)&gt;D205," * Los exámenes confirmados positivos por ISP de Trans (Masculino y Femenino) no pueden ser mayor que el Total de exámenes Confirmados positivos por ISP.",""))</f>
        <v/>
      </c>
      <c r="CP205" s="219">
        <f>IF(AND(D205&gt;0,AT205="")," * No olvide digitar los exámenes Confirmados positivos por ISP de Pueblos Originarios. Digite Cero si no tiene.",IF(AT205&gt;D205," * Los exámenes Confirmados positivos por ISP de Pueblos originarios no pueden ser mayor que el Total de exámenes Procesados por ISP.",""))</f>
        <v/>
      </c>
      <c r="CQ205" s="219">
        <f>IF(AND(D205&gt;0,AV205="")," * No olvide digitar los exámenes Confirmados positivos por ISP de Migrantes. Digite Cero si no tiene.",IF(AV205&gt;D205," * Los exámenes Confirmados positivos por ISP de Migrantes no pueden ser mayor que el Total de exámenes Procesados por ISP.",""))</f>
        <v/>
      </c>
      <c r="CR205" s="226" t="n"/>
      <c r="CS205" s="226" t="n"/>
      <c r="CT205" s="260">
        <f>IF(AND((M205+O205)&gt;0,AW205=""),"*No olvide digitar los Exámenes Procesados de 14-18 años. Digite cero si no tiene.",IF(AW205&gt;(M205+O205),"* El Total de Procesados de 14-18 años NO DEBE ser mayor al Total de Procesados registrados en los grupos de edad 10 a 14 + 15 a 19 años. ",""))</f>
        <v/>
      </c>
      <c r="CU205" s="260">
        <f>IF(AND((N205+P205)&gt;0,AX205=""),"*No olvide digitar los Exámenes Confirmados Positivos por ISP de 14-18 años. Digite cero si no tiene.",IF(AX205&gt;(N205+P205),"* El Total de Confirmados de 14-18 años NO DEBE ser mayor al Total de Confirmados Positivos por ISP registrados en los grupos de edad 10 a 14 + 15 a 19 años. ",""))</f>
        <v/>
      </c>
      <c r="DF205" s="381">
        <f>IF(D205&gt;C205,1,0)</f>
        <v/>
      </c>
      <c r="DG205" s="378">
        <f>IF(AL205&gt;AK205,1,0)</f>
        <v/>
      </c>
      <c r="DH205" s="378">
        <f>IF(AN205&gt;AM205,1,0)</f>
        <v/>
      </c>
      <c r="DI205" s="226" t="n"/>
      <c r="DJ205" s="226" t="n"/>
      <c r="DK205" s="226" t="n"/>
      <c r="DL205" s="226" t="n"/>
      <c r="DM205" s="226" t="n"/>
      <c r="DN205" s="378">
        <f>IF(AND(C205&gt;0,AND(AO205="",AQ205="")),1,IF((AO205+AQ205)&gt;C205,1,0))</f>
        <v/>
      </c>
      <c r="DO205" s="227" t="n"/>
      <c r="DP205" s="378">
        <f>IF((AM205+AK205)&lt;&gt;C205,1,0)</f>
        <v/>
      </c>
      <c r="DQ205" s="378">
        <f>IF((AN205+AL205)&lt;&gt;D205,1,0)</f>
        <v/>
      </c>
      <c r="DR205" s="378">
        <f>IF(AND(C205&gt;0,AS205=""),1,IF(AS205&gt;C205,1,0))</f>
        <v/>
      </c>
      <c r="DS205" s="378">
        <f>IF(AND(C205&gt;0,AU205=""),1,IF(AU205&gt;C205,1,0))</f>
        <v/>
      </c>
      <c r="DT205" s="378">
        <f>IF(AND(D205&gt;0,OR(AP205="",AR205="")),1,IF((AP205+AR205)&gt;D205,1,0))</f>
        <v/>
      </c>
      <c r="DU205" s="378">
        <f>IF(AND(D205&gt;0,AT205=""),1,IF(AT205&gt;D205,1,0))</f>
        <v/>
      </c>
      <c r="DV205" s="378">
        <f>IF(AND(D205&gt;0,AV205=""),1,IF(AV205&gt;D205,1,0))</f>
        <v/>
      </c>
      <c r="DW205" s="226" t="n"/>
      <c r="DX205" s="226" t="n"/>
      <c r="DY205" s="378">
        <f>IF(AND((M205+O205)&gt;0,AW205=""),1,IF(AW205&gt;(M205+O205),1,0))</f>
        <v/>
      </c>
      <c r="DZ205" s="378">
        <f>IF(AND((N205+P205)&gt;0,AX205=""),1,IF(AX205&gt;(N205+P205),1,0))</f>
        <v/>
      </c>
    </row>
    <row r="206">
      <c r="A206" s="10306" t="inlineStr">
        <is>
          <t>Pacientes fuente de accidente cortopunzante</t>
        </is>
      </c>
      <c r="B206" s="9644" t="n"/>
      <c r="C206" s="3103">
        <f>+E206+G206+I206+K206+M206+O206+Q206+S206+U206+W206+Y206+AA206+AC206+AE206+AG206+AI206</f>
        <v/>
      </c>
      <c r="D206" s="1249">
        <f>+F206+H206+J206+L206+N206+P206+R206+T206+V206+X206+Z206+AB206+AD206+AF206+AH206+AJ206</f>
        <v/>
      </c>
      <c r="E206" s="1198" t="n"/>
      <c r="F206" s="1147" t="n"/>
      <c r="G206" s="1198" t="n"/>
      <c r="H206" s="1147" t="n"/>
      <c r="I206" s="1198" t="n"/>
      <c r="J206" s="1147" t="n"/>
      <c r="K206" s="1198" t="n"/>
      <c r="L206" s="1147" t="n"/>
      <c r="M206" s="1198" t="n"/>
      <c r="N206" s="1147" t="n"/>
      <c r="O206" s="1198" t="n"/>
      <c r="P206" s="1147" t="n"/>
      <c r="Q206" s="1198" t="n"/>
      <c r="R206" s="1147" t="n"/>
      <c r="S206" s="1198" t="n"/>
      <c r="T206" s="1147" t="n"/>
      <c r="U206" s="1198" t="n"/>
      <c r="V206" s="1147" t="n"/>
      <c r="W206" s="1198" t="n"/>
      <c r="X206" s="1147" t="n"/>
      <c r="Y206" s="1198" t="n"/>
      <c r="Z206" s="1147" t="n"/>
      <c r="AA206" s="1198" t="n"/>
      <c r="AB206" s="1147" t="n"/>
      <c r="AC206" s="1198" t="n"/>
      <c r="AD206" s="1201" t="n"/>
      <c r="AE206" s="1198" t="n"/>
      <c r="AF206" s="1201" t="n"/>
      <c r="AG206" s="1198" t="n"/>
      <c r="AH206" s="1199" t="n"/>
      <c r="AI206" s="1198" t="n"/>
      <c r="AJ206" s="1147" t="n"/>
      <c r="AK206" s="1146" t="n"/>
      <c r="AL206" s="1148" t="n"/>
      <c r="AM206" s="1198" t="n"/>
      <c r="AN206" s="2689" t="n"/>
      <c r="AO206" s="1146" t="n"/>
      <c r="AP206" s="1148" t="n"/>
      <c r="AQ206" s="1200" t="n"/>
      <c r="AR206" s="2689" t="n"/>
      <c r="AS206" s="1146" t="n"/>
      <c r="AT206" s="2689" t="n"/>
      <c r="AU206" s="1146" t="n"/>
      <c r="AV206" s="1148" t="n"/>
      <c r="AW206" s="1146" t="n"/>
      <c r="AX206" s="1148" t="n"/>
      <c r="AY206" s="218">
        <f>$CA206&amp;CB206&amp;$CC206&amp;CD206&amp;CE206&amp;CF206&amp;CG206&amp;CH206&amp;CI206&amp;CJ206&amp;CK206&amp;CL206&amp;CM206&amp;CN206&amp;CO206&amp;CP206&amp;CQ206&amp;CR206&amp;CS206&amp;CT206&amp;CU206</f>
        <v/>
      </c>
      <c r="CA206" s="379">
        <f>IF(D206&gt;C206," * El Total de Exámenes Confirmados Positivos por ISP NO DEBE SUPERAR los Exámenes Procesados. ","")</f>
        <v/>
      </c>
      <c r="CB206" s="219">
        <f>IF(AL206&gt;AK206," * El número de Exámenes por Sexo Hombres Confirmados positivos por ISP NO PUEDE Superar al número de Procesados. ","")</f>
        <v/>
      </c>
      <c r="CC206" s="219">
        <f>IF(AN206&gt;AM206," * El número de Exámenes por Sexo Mujeres Confirmados positivos por ISP NO PUEDE Superar al número de Procesados. ","")</f>
        <v/>
      </c>
      <c r="CD206" s="226" t="n"/>
      <c r="CE206" s="226" t="n"/>
      <c r="CF206" s="226" t="n"/>
      <c r="CG206" s="226" t="n"/>
      <c r="CH206" s="226" t="n"/>
      <c r="CI206" s="219">
        <f>IF(AND(C206&gt;0,AND(AO206="",AQ206=""))," * No olvide digitar los exámenes procesados Trans (Masculino y femenino) Digite Cero si no tiene.",IF((AO206+AQ206)&gt;C206," * Los exámenes procesados en Trans (Masculino y femenino) no pueden ser mayor que el Total de exámenes procesados.",""))</f>
        <v/>
      </c>
      <c r="CJ206" s="227" t="n"/>
      <c r="CK206" s="219">
        <f>IF((AM206+AK206)&lt;&gt;C206," * El N° de exámenes Procesados por SEXO (Hombres + Mujeres)no puede ser distinto al Total de exámenes procesados","")</f>
        <v/>
      </c>
      <c r="CL206" s="219">
        <f>IF((AN206+AL206)&lt;&gt;D206," * El N° de exámenes Confirmados positivos por ISP por Sexo (Hombres+Mujeres) no puede ser distinto al N° Total de exámenes Confirmados positivos por ISP ","")</f>
        <v/>
      </c>
      <c r="CM206" s="219">
        <f>IF(AND(C206&gt;0,AS206="")," * No olvide digitar los examanes de Pueblos Originarios Procesados. Digite Cero si no tiene.",IF(AS206&gt;C206," * Los exámenes de Pueblos originarios Procesados no pueden ser mayor que el Total de exámenes procesados.",""))</f>
        <v/>
      </c>
      <c r="CN206" s="219">
        <f>IF(AND(C206&gt;0,AU206="")," * No olvide digitar los exámenes Procesados de Migrantes. Digite Cero si no tiene.",IF(AU206&gt;C206," * Los exámenes procesados de Migrantes no pueden ser mayor que el Total de exámenes procesados.",""))</f>
        <v/>
      </c>
      <c r="CO206" s="219">
        <f>IF(AND(D206&gt;0,AND(AP206="",AR206=""))," * No olvide digitar los exámenes Confirmados positivos por ISP de Trans (Masculino y Femenino). Digite Cero si no tiene.",IF((AP206+AR206)&gt;D206," * Los exámenes confirmados positivos por ISP de Trans (Masculino y Femenino) no pueden ser mayor que el Total de exámenes Confirmados positivos por ISP.",""))</f>
        <v/>
      </c>
      <c r="CP206" s="219">
        <f>IF(AND(D206&gt;0,AT206="")," * No olvide digitar los exámenes Confirmados positivos por ISP de Pueblos Originarios. Digite Cero si no tiene.",IF(AT206&gt;D206," * Los exámenes Confirmados positivos por ISP de Pueblos originarios no pueden ser mayor que el Total de exámenes Procesados por ISP.",""))</f>
        <v/>
      </c>
      <c r="CQ206" s="219">
        <f>IF(AND(D206&gt;0,AV206="")," * No olvide digitar los exámenes Confirmados positivos por ISP de Migrantes. Digite Cero si no tiene.",IF(AV206&gt;D206," * Los exámenes Confirmados positivos por ISP de Migrantes no pueden ser mayor que el Total de exámenes Procesados por ISP.",""))</f>
        <v/>
      </c>
      <c r="CR206" s="226" t="n"/>
      <c r="CS206" s="226" t="n"/>
      <c r="CT206" s="260">
        <f>IF(AND((M206+O206)&gt;0,AW206=""),"*No olvide digitar los Exámenes Procesados de 14-18 años. Digite cero si no tiene.",IF(AW206&gt;(M206+O206),"* El Total de Procesados de 14-18 años NO DEBE ser mayor al Total de Procesados registrados en los grupos de edad 10 a 14 + 15 a 19 años. ",""))</f>
        <v/>
      </c>
      <c r="CU206" s="260">
        <f>IF(AND((N206+P206)&gt;0,AX206=""),"*No olvide digitar los Exámenes Confirmados Positivos por ISP de 14-18 años. Digite cero si no tiene.",IF(AX206&gt;(N206+P206),"* El Total de Confirmados de 14-18 años NO DEBE ser mayor al Total de Confirmados Positivos por ISP registrados en los grupos de edad 10 a 14 + 15 a 19 años. ",""))</f>
        <v/>
      </c>
      <c r="DF206" s="381">
        <f>IF(D206&gt;C206,1,0)</f>
        <v/>
      </c>
      <c r="DG206" s="378">
        <f>IF(AL206&gt;AK206,1,0)</f>
        <v/>
      </c>
      <c r="DH206" s="378">
        <f>IF(AN206&gt;AM206,1,0)</f>
        <v/>
      </c>
      <c r="DI206" s="226" t="n"/>
      <c r="DJ206" s="226" t="n"/>
      <c r="DK206" s="226" t="n"/>
      <c r="DL206" s="226" t="n"/>
      <c r="DM206" s="226" t="n"/>
      <c r="DN206" s="378">
        <f>IF(AND(C206&gt;0,AND(AO206="",AQ206="")),1,IF((AO206+AQ206)&gt;C206,1,0))</f>
        <v/>
      </c>
      <c r="DO206" s="227" t="n"/>
      <c r="DP206" s="378">
        <f>IF((AM206+AK206)&lt;&gt;C206,1,0)</f>
        <v/>
      </c>
      <c r="DQ206" s="378">
        <f>IF((AN206+AL206)&lt;&gt;D206,1,0)</f>
        <v/>
      </c>
      <c r="DR206" s="378">
        <f>IF(AND(C206&gt;0,AS206=""),1,IF(AS206&gt;C206,1,0))</f>
        <v/>
      </c>
      <c r="DS206" s="378">
        <f>IF(AND(C206&gt;0,AU206=""),1,IF(AU206&gt;C206,1,0))</f>
        <v/>
      </c>
      <c r="DT206" s="378">
        <f>IF(AND(D206&gt;0,OR(AP206="",AR206="")),1,IF((AP206+AR206)&gt;D206,1,0))</f>
        <v/>
      </c>
      <c r="DU206" s="378">
        <f>IF(AND(D206&gt;0,AT206=""),1,IF(AT206&gt;D206,1,0))</f>
        <v/>
      </c>
      <c r="DV206" s="378">
        <f>IF(AND(D206&gt;0,AV206=""),1,IF(AV206&gt;D206,1,0))</f>
        <v/>
      </c>
      <c r="DW206" s="226" t="n"/>
      <c r="DX206" s="226" t="n"/>
      <c r="DY206" s="378">
        <f>IF(AND((M206+O206)&gt;0,AW206=""),1,IF(AW206&gt;(M206+O206),1,0))</f>
        <v/>
      </c>
      <c r="DZ206" s="378">
        <f>IF(AND((N206+P206)&gt;0,AX206=""),1,IF(AX206&gt;(N206+P206),1,0))</f>
        <v/>
      </c>
    </row>
    <row r="207">
      <c r="A207" s="10306" t="inlineStr">
        <is>
          <t>Persona en control por Hepatitis B</t>
        </is>
      </c>
      <c r="B207" s="9644" t="n"/>
      <c r="C207" s="3103">
        <f>+E207+G207+I207+K207+M207+O207+Q207+S207+U207+W207+Y207+AA207+AC207+AE207+AG207+AI207</f>
        <v/>
      </c>
      <c r="D207" s="1249">
        <f>+F207+H207+J207+L207+N207+P207+R207+T207+V207+X207+Z207+AB207+AD207+AF207+AH207+AJ207</f>
        <v/>
      </c>
      <c r="E207" s="1198" t="n"/>
      <c r="F207" s="1147" t="n"/>
      <c r="G207" s="1198" t="n"/>
      <c r="H207" s="1147" t="n"/>
      <c r="I207" s="1198" t="n"/>
      <c r="J207" s="1147" t="n"/>
      <c r="K207" s="1198" t="n"/>
      <c r="L207" s="1147" t="n"/>
      <c r="M207" s="1198" t="n"/>
      <c r="N207" s="1147" t="n"/>
      <c r="O207" s="1198" t="n"/>
      <c r="P207" s="1147" t="n"/>
      <c r="Q207" s="1198" t="n"/>
      <c r="R207" s="1147" t="n"/>
      <c r="S207" s="1198" t="n"/>
      <c r="T207" s="1147" t="n"/>
      <c r="U207" s="1198" t="n"/>
      <c r="V207" s="1147" t="n"/>
      <c r="W207" s="1198" t="n"/>
      <c r="X207" s="1147" t="n"/>
      <c r="Y207" s="1198" t="n"/>
      <c r="Z207" s="1147" t="n"/>
      <c r="AA207" s="1198" t="n"/>
      <c r="AB207" s="1147" t="n"/>
      <c r="AC207" s="1198" t="n"/>
      <c r="AD207" s="1201" t="n"/>
      <c r="AE207" s="1198" t="n"/>
      <c r="AF207" s="1201" t="n"/>
      <c r="AG207" s="1198" t="n"/>
      <c r="AH207" s="1199" t="n"/>
      <c r="AI207" s="1198" t="n"/>
      <c r="AJ207" s="1147" t="n"/>
      <c r="AK207" s="1146" t="n"/>
      <c r="AL207" s="1148" t="n"/>
      <c r="AM207" s="1198" t="n"/>
      <c r="AN207" s="2689" t="n"/>
      <c r="AO207" s="1146" t="n"/>
      <c r="AP207" s="1148" t="n"/>
      <c r="AQ207" s="1200" t="n"/>
      <c r="AR207" s="2689" t="n"/>
      <c r="AS207" s="1146" t="n"/>
      <c r="AT207" s="2689" t="n"/>
      <c r="AU207" s="1146" t="n"/>
      <c r="AV207" s="1148" t="n"/>
      <c r="AW207" s="1146" t="n"/>
      <c r="AX207" s="1148" t="n"/>
      <c r="AY207" s="218">
        <f>$CA207&amp;CB207&amp;$CC207&amp;CD207&amp;CE207&amp;CF207&amp;CG207&amp;CH207&amp;CI207&amp;CJ207&amp;CK207&amp;CL207&amp;CM207&amp;CN207&amp;CO207&amp;CP207&amp;CQ207&amp;CR207&amp;CS207&amp;CT207&amp;CU207</f>
        <v/>
      </c>
      <c r="CA207" s="379">
        <f>IF(D207&gt;C207," * El Total de Exámenes Confirmados Positivos por ISP NO DEBE SUPERAR los Exámenes Procesados. ","")</f>
        <v/>
      </c>
      <c r="CB207" s="219">
        <f>IF(AL207&gt;AK207," * El número de Exámenes por Sexo Hombres Confirmados positivos por ISP NO PUEDE Superar al número de Procesados. ","")</f>
        <v/>
      </c>
      <c r="CC207" s="219">
        <f>IF(AN207&gt;AM207," * El número de Exámenes por Sexo Mujeres Confirmados positivos por ISP NO PUEDE Superar al número de Procesados. ","")</f>
        <v/>
      </c>
      <c r="CD207" s="226" t="n"/>
      <c r="CE207" s="226" t="n"/>
      <c r="CF207" s="226" t="n"/>
      <c r="CG207" s="226" t="n"/>
      <c r="CH207" s="226" t="n"/>
      <c r="CI207" s="219">
        <f>IF(AND(C207&gt;0,AND(AO207="",AQ207=""))," * No olvide digitar los exámenes procesados Trans (Masculino y femenino) Digite Cero si no tiene.",IF((AO207+AQ207)&gt;C207," * Los exámenes procesados en Trans (Masculino y femenino) no pueden ser mayor que el Total de exámenes procesados.",""))</f>
        <v/>
      </c>
      <c r="CJ207" s="227" t="n"/>
      <c r="CK207" s="219">
        <f>IF((AM207+AK207)&lt;&gt;C207," * El N° de exámenes Procesados por SEXO (Hombres + Mujeres)no puede ser distinto al Total de exámenes procesados","")</f>
        <v/>
      </c>
      <c r="CL207" s="219">
        <f>IF((AN207+AL207)&lt;&gt;D207," * El N° de exámenes Confirmados positivos por ISP por Sexo (Hombres+Mujeres) no puede ser distinto al N° Total de exámenes Confirmados positivos por ISP ","")</f>
        <v/>
      </c>
      <c r="CM207" s="219">
        <f>IF(AND(C207&gt;0,AS207="")," * No olvide digitar los examanes de Pueblos Originarios Procesados. Digite Cero si no tiene.",IF(AS207&gt;C207," * Los exámenes de Pueblos originarios Procesados no pueden ser mayor que el Total de exámenes procesados.",""))</f>
        <v/>
      </c>
      <c r="CN207" s="219">
        <f>IF(AND(C207&gt;0,AU207="")," * No olvide digitar los exámenes Procesados de Migrantes. Digite Cero si no tiene.",IF(AU207&gt;C207," * Los exámenes procesados de Migrantes no pueden ser mayor que el Total de exámenes procesados.",""))</f>
        <v/>
      </c>
      <c r="CO207" s="219">
        <f>IF(AND(D207&gt;0,AND(AP207="",AR207=""))," * No olvide digitar los exámenes Confirmados positivos por ISP de Trans (Masculino y Femenino). Digite Cero si no tiene.",IF((AP207+AR207)&gt;D207," * Los exámenes confirmados positivos por ISP de Trans (Masculino y Femenino) no pueden ser mayor que el Total de exámenes Confirmados positivos por ISP.",""))</f>
        <v/>
      </c>
      <c r="CP207" s="219">
        <f>IF(AND(D207&gt;0,AT207="")," * No olvide digitar los exámenes Confirmados positivos por ISP de Pueblos Originarios. Digite Cero si no tiene.",IF(AT207&gt;D207," * Los exámenes Confirmados positivos por ISP de Pueblos originarios no pueden ser mayor que el Total de exámenes Procesados por ISP.",""))</f>
        <v/>
      </c>
      <c r="CQ207" s="219">
        <f>IF(AND(D207&gt;0,AV207="")," * No olvide digitar los exámenes Confirmados positivos por ISP de Migrantes. Digite Cero si no tiene.",IF(AV207&gt;D207," * Los exámenes Confirmados positivos por ISP de Migrantes no pueden ser mayor que el Total de exámenes Procesados por ISP.",""))</f>
        <v/>
      </c>
      <c r="CR207" s="226" t="n"/>
      <c r="CS207" s="226" t="n"/>
      <c r="CT207" s="260">
        <f>IF(AND((M207+O207)&gt;0,AW207=""),"*No olvide digitar los Exámenes Procesados de 14-18 años. Digite cero si no tiene.",IF(AW207&gt;(M207+O207),"* El Total de Procesados de 14-18 años NO DEBE ser mayor al Total de Procesados registrados en los grupos de edad 10 a 14 + 15 a 19 años. ",""))</f>
        <v/>
      </c>
      <c r="CU207" s="260">
        <f>IF(AND((N207+P207)&gt;0,AX207=""),"*No olvide digitar los Exámenes Confirmados Positivos por ISP de 14-18 años. Digite cero si no tiene.",IF(AX207&gt;(N207+P207),"* El Total de Confirmados de 14-18 años NO DEBE ser mayor al Total de Confirmados Positivos por ISP registrados en los grupos de edad 10 a 14 + 15 a 19 años. ",""))</f>
        <v/>
      </c>
      <c r="DF207" s="381">
        <f>IF(D207&gt;C207,1,0)</f>
        <v/>
      </c>
      <c r="DG207" s="378">
        <f>IF(AL207&gt;AK207,1,0)</f>
        <v/>
      </c>
      <c r="DH207" s="378">
        <f>IF(AN207&gt;AM207,1,0)</f>
        <v/>
      </c>
      <c r="DI207" s="226" t="n"/>
      <c r="DJ207" s="226" t="n"/>
      <c r="DK207" s="226" t="n"/>
      <c r="DL207" s="226" t="n"/>
      <c r="DM207" s="226" t="n"/>
      <c r="DN207" s="378">
        <f>IF(AND(C207&gt;0,AND(AO207="",AQ207="")),1,IF((AO207+AQ207)&gt;C207,1,0))</f>
        <v/>
      </c>
      <c r="DO207" s="227" t="n"/>
      <c r="DP207" s="378">
        <f>IF((AM207+AK207)&lt;&gt;C207,1,0)</f>
        <v/>
      </c>
      <c r="DQ207" s="378">
        <f>IF((AN207+AL207)&lt;&gt;D207,1,0)</f>
        <v/>
      </c>
      <c r="DR207" s="378">
        <f>IF(AND(C207&gt;0,AS207=""),1,IF(AS207&gt;C207,1,0))</f>
        <v/>
      </c>
      <c r="DS207" s="378">
        <f>IF(AND(C207&gt;0,AU207=""),1,IF(AU207&gt;C207,1,0))</f>
        <v/>
      </c>
      <c r="DT207" s="378">
        <f>IF(AND(D207&gt;0,OR(AP207="",AR207="")),1,IF((AP207+AR207)&gt;D207,1,0))</f>
        <v/>
      </c>
      <c r="DU207" s="378">
        <f>IF(AND(D207&gt;0,AT207=""),1,IF(AT207&gt;D207,1,0))</f>
        <v/>
      </c>
      <c r="DV207" s="378">
        <f>IF(AND(D207&gt;0,AV207=""),1,IF(AV207&gt;D207,1,0))</f>
        <v/>
      </c>
      <c r="DW207" s="226" t="n"/>
      <c r="DX207" s="226" t="n"/>
      <c r="DY207" s="378">
        <f>IF(AND((M207+O207)&gt;0,AW207=""),1,IF(AW207&gt;(M207+O207),1,0))</f>
        <v/>
      </c>
      <c r="DZ207" s="378">
        <f>IF(AND((N207+P207)&gt;0,AX207=""),1,IF(AX207&gt;(N207+P207),1,0))</f>
        <v/>
      </c>
    </row>
    <row r="208">
      <c r="A208" s="10306" t="inlineStr">
        <is>
          <t>Persona en control por Hepatitis C</t>
        </is>
      </c>
      <c r="B208" s="9644" t="n"/>
      <c r="C208" s="3103">
        <f>+E208+G208+I208+K208+M208+O208+Q208+S208+U208+W208+Y208+AA208+AC208+AE208+AG208+AI208</f>
        <v/>
      </c>
      <c r="D208" s="1249">
        <f>+F208+H208+J208+L208+N208+P208+R208+T208+V208+X208+Z208+AB208+AD208+AF208+AH208+AJ208</f>
        <v/>
      </c>
      <c r="E208" s="1198" t="n"/>
      <c r="F208" s="1147" t="n"/>
      <c r="G208" s="1198" t="n"/>
      <c r="H208" s="1147" t="n"/>
      <c r="I208" s="1198" t="n"/>
      <c r="J208" s="1147" t="n"/>
      <c r="K208" s="1198" t="n"/>
      <c r="L208" s="1147" t="n"/>
      <c r="M208" s="1198" t="n"/>
      <c r="N208" s="1147" t="n"/>
      <c r="O208" s="1198" t="n"/>
      <c r="P208" s="1147" t="n"/>
      <c r="Q208" s="1198" t="n"/>
      <c r="R208" s="1147" t="n"/>
      <c r="S208" s="1198" t="n"/>
      <c r="T208" s="1147" t="n"/>
      <c r="U208" s="1198" t="n"/>
      <c r="V208" s="1147" t="n"/>
      <c r="W208" s="1198" t="n"/>
      <c r="X208" s="1147" t="n"/>
      <c r="Y208" s="1198" t="n"/>
      <c r="Z208" s="1147" t="n"/>
      <c r="AA208" s="1198" t="n"/>
      <c r="AB208" s="1147" t="n"/>
      <c r="AC208" s="1198" t="n"/>
      <c r="AD208" s="1201" t="n"/>
      <c r="AE208" s="1198" t="n"/>
      <c r="AF208" s="1201" t="n"/>
      <c r="AG208" s="1198" t="n"/>
      <c r="AH208" s="1199" t="n"/>
      <c r="AI208" s="1198" t="n"/>
      <c r="AJ208" s="1147" t="n"/>
      <c r="AK208" s="1146" t="n"/>
      <c r="AL208" s="1148" t="n"/>
      <c r="AM208" s="1198" t="n"/>
      <c r="AN208" s="2689" t="n"/>
      <c r="AO208" s="1146" t="n"/>
      <c r="AP208" s="1148" t="n"/>
      <c r="AQ208" s="1200" t="n"/>
      <c r="AR208" s="2689" t="n"/>
      <c r="AS208" s="1146" t="n"/>
      <c r="AT208" s="2689" t="n"/>
      <c r="AU208" s="1146" t="n"/>
      <c r="AV208" s="1148" t="n"/>
      <c r="AW208" s="1146" t="n"/>
      <c r="AX208" s="1148" t="n"/>
      <c r="AY208" s="218">
        <f>$CA208&amp;CB208&amp;$CC208&amp;CD208&amp;CE208&amp;CF208&amp;CG208&amp;CH208&amp;CI208&amp;CJ208&amp;CK208&amp;CL208&amp;CM208&amp;CN208&amp;CO208&amp;CP208&amp;CQ208&amp;CR208&amp;CS208&amp;CT208&amp;CU208</f>
        <v/>
      </c>
      <c r="CA208" s="379">
        <f>IF(D208&gt;C208," * El Total de Exámenes Confirmados Positivos por ISP NO DEBE SUPERAR los Exámenes Procesados. ","")</f>
        <v/>
      </c>
      <c r="CB208" s="219">
        <f>IF(AL208&gt;AK208," * El número de Exámenes por Sexo Hombres Confirmados positivos por ISP NO PUEDE Superar al número de Procesados. ","")</f>
        <v/>
      </c>
      <c r="CC208" s="219">
        <f>IF(AN208&gt;AM208," * El número de Exámenes por Sexo Mujeres Confirmados positivos por ISP NO PUEDE Superar al número de Procesados. ","")</f>
        <v/>
      </c>
      <c r="CD208" s="226" t="n"/>
      <c r="CE208" s="226" t="n"/>
      <c r="CF208" s="226" t="n"/>
      <c r="CG208" s="226" t="n"/>
      <c r="CH208" s="226" t="n"/>
      <c r="CI208" s="219">
        <f>IF(AND(C208&gt;0,AND(AO208="",AQ208=""))," * No olvide digitar los exámenes procesados Trans (Masculino y femenino) Digite Cero si no tiene.",IF((AO208+AQ208)&gt;C208," * Los exámenes procesados en Trans (Masculino y femenino) no pueden ser mayor que el Total de exámenes procesados.",""))</f>
        <v/>
      </c>
      <c r="CJ208" s="227" t="n"/>
      <c r="CK208" s="219">
        <f>IF((AM208+AK208)&lt;&gt;C208," * El N° de exámenes Procesados por SEXO (Hombres + Mujeres)no puede ser distinto al Total de exámenes procesados","")</f>
        <v/>
      </c>
      <c r="CL208" s="219">
        <f>IF((AN208+AL208)&lt;&gt;D208," * El N° de exámenes Confirmados positivos por ISP por Sexo (Hombres+Mujeres) no puede ser distinto al N° Total de exámenes Confirmados positivos por ISP ","")</f>
        <v/>
      </c>
      <c r="CM208" s="219">
        <f>IF(AND(C208&gt;0,AS208="")," * No olvide digitar los examanes de Pueblos Originarios Procesados. Digite Cero si no tiene.",IF(AS208&gt;C208," * Los exámenes de Pueblos originarios Procesados no pueden ser mayor que el Total de exámenes procesados.",""))</f>
        <v/>
      </c>
      <c r="CN208" s="219">
        <f>IF(AND(C208&gt;0,AU208="")," * No olvide digitar los exámenes Procesados de Migrantes. Digite Cero si no tiene.",IF(AU208&gt;C208," * Los exámenes procesados de Migrantes no pueden ser mayor que el Total de exámenes procesados.",""))</f>
        <v/>
      </c>
      <c r="CO208" s="219">
        <f>IF(AND(D208&gt;0,AND(AP208="",AR208=""))," * No olvide digitar los exámenes Confirmados positivos por ISP de Trans (Masculino y Femenino). Digite Cero si no tiene.",IF((AP208+AR208)&gt;D208," * Los exámenes confirmados positivos por ISP de Trans (Masculino y Femenino) no pueden ser mayor que el Total de exámenes Confirmados positivos por ISP.",""))</f>
        <v/>
      </c>
      <c r="CP208" s="219">
        <f>IF(AND(D208&gt;0,AT208="")," * No olvide digitar los exámenes Confirmados positivos por ISP de Pueblos Originarios. Digite Cero si no tiene.",IF(AT208&gt;D208," * Los exámenes Confirmados positivos por ISP de Pueblos originarios no pueden ser mayor que el Total de exámenes Procesados por ISP.",""))</f>
        <v/>
      </c>
      <c r="CQ208" s="219">
        <f>IF(AND(D208&gt;0,AV208="")," * No olvide digitar los exámenes Confirmados positivos por ISP de Migrantes. Digite Cero si no tiene.",IF(AV208&gt;D208," * Los exámenes Confirmados positivos por ISP de Migrantes no pueden ser mayor que el Total de exámenes Procesados por ISP.",""))</f>
        <v/>
      </c>
      <c r="CR208" s="226" t="n"/>
      <c r="CS208" s="226" t="n"/>
      <c r="CT208" s="260">
        <f>IF(AND((M208+O208)&gt;0,AW208=""),"*No olvide digitar los Exámenes Procesados de 14-18 años. Digite cero si no tiene.",IF(AW208&gt;(M208+O208),"* El Total de Procesados de 14-18 años NO DEBE ser mayor al Total de Procesados registrados en los grupos de edad 10 a 14 + 15 a 19 años. ",""))</f>
        <v/>
      </c>
      <c r="CU208" s="260">
        <f>IF(AND((N208+P208)&gt;0,AX208=""),"*No olvide digitar los Exámenes Confirmados Positivos por ISP de 14-18 años. Digite cero si no tiene.",IF(AX208&gt;(N208+P208),"* El Total de Confirmados de 14-18 años NO DEBE ser mayor al Total de Confirmados Positivos por ISP registrados en los grupos de edad 10 a 14 + 15 a 19 años. ",""))</f>
        <v/>
      </c>
      <c r="DF208" s="381">
        <f>IF(D208&gt;C208,1,0)</f>
        <v/>
      </c>
      <c r="DG208" s="378">
        <f>IF(AL208&gt;AK208,1,0)</f>
        <v/>
      </c>
      <c r="DH208" s="378">
        <f>IF(AN208&gt;AM208,1,0)</f>
        <v/>
      </c>
      <c r="DI208" s="226" t="n"/>
      <c r="DJ208" s="226" t="n"/>
      <c r="DK208" s="226" t="n"/>
      <c r="DL208" s="226" t="n"/>
      <c r="DM208" s="226" t="n"/>
      <c r="DN208" s="378">
        <f>IF(AND(C208&gt;0,AND(AO208="",AQ208="")),1,IF((AO208+AQ208)&gt;C208,1,0))</f>
        <v/>
      </c>
      <c r="DO208" s="227" t="n"/>
      <c r="DP208" s="378">
        <f>IF((AM208+AK208)&lt;&gt;C208,1,0)</f>
        <v/>
      </c>
      <c r="DQ208" s="378">
        <f>IF((AN208+AL208)&lt;&gt;D208,1,0)</f>
        <v/>
      </c>
      <c r="DR208" s="378">
        <f>IF(AND(C208&gt;0,AS208=""),1,IF(AS208&gt;C208,1,0))</f>
        <v/>
      </c>
      <c r="DS208" s="378">
        <f>IF(AND(C208&gt;0,AU208=""),1,IF(AU208&gt;C208,1,0))</f>
        <v/>
      </c>
      <c r="DT208" s="378">
        <f>IF(AND(D208&gt;0,OR(AP208="",AR208="")),1,IF((AP208+AR208)&gt;D208,1,0))</f>
        <v/>
      </c>
      <c r="DU208" s="378">
        <f>IF(AND(D208&gt;0,AT208=""),1,IF(AT208&gt;D208,1,0))</f>
        <v/>
      </c>
      <c r="DV208" s="378">
        <f>IF(AND(D208&gt;0,AV208=""),1,IF(AV208&gt;D208,1,0))</f>
        <v/>
      </c>
      <c r="DW208" s="226" t="n"/>
      <c r="DX208" s="226" t="n"/>
      <c r="DY208" s="378">
        <f>IF(AND((M208+O208)&gt;0,AW208=""),1,IF(AW208&gt;(M208+O208),1,0))</f>
        <v/>
      </c>
      <c r="DZ208" s="378">
        <f>IF(AND((N208+P208)&gt;0,AX208=""),1,IF(AX208&gt;(N208+P208),1,0))</f>
        <v/>
      </c>
    </row>
    <row r="209">
      <c r="A209" s="10306" t="inlineStr">
        <is>
          <t>Consultantes por morbilidad</t>
        </is>
      </c>
      <c r="B209" s="9644" t="n"/>
      <c r="C209" s="3103">
        <f>+E209+G209+I209+K209+M209+O209+Q209+S209+U209+W209+Y209+AA209+AC209+AE209+AG209+AI209</f>
        <v/>
      </c>
      <c r="D209" s="1249">
        <f>+F209+H209+J209+L209+N209+P209+R209+T209+V209+X209+Z209+AB209+AD209+AF209+AH209+AJ209</f>
        <v/>
      </c>
      <c r="E209" s="1198" t="n"/>
      <c r="F209" s="1147" t="n"/>
      <c r="G209" s="1198" t="n"/>
      <c r="H209" s="1147" t="n"/>
      <c r="I209" s="1198" t="n"/>
      <c r="J209" s="1147" t="n"/>
      <c r="K209" s="1198" t="n"/>
      <c r="L209" s="1147" t="n"/>
      <c r="M209" s="1198" t="n"/>
      <c r="N209" s="1147" t="n"/>
      <c r="O209" s="1198" t="n"/>
      <c r="P209" s="1147" t="n"/>
      <c r="Q209" s="1198" t="n"/>
      <c r="R209" s="1147" t="n"/>
      <c r="S209" s="1198" t="n"/>
      <c r="T209" s="1147" t="n"/>
      <c r="U209" s="1198" t="n"/>
      <c r="V209" s="1147" t="n"/>
      <c r="W209" s="1198" t="n"/>
      <c r="X209" s="1147" t="n"/>
      <c r="Y209" s="1198" t="n"/>
      <c r="Z209" s="1147" t="n"/>
      <c r="AA209" s="1198" t="n"/>
      <c r="AB209" s="1147" t="n"/>
      <c r="AC209" s="1198" t="n"/>
      <c r="AD209" s="1201" t="n"/>
      <c r="AE209" s="1198" t="n"/>
      <c r="AF209" s="1201" t="n"/>
      <c r="AG209" s="1198" t="n"/>
      <c r="AH209" s="1199" t="n"/>
      <c r="AI209" s="1198" t="n"/>
      <c r="AJ209" s="1147" t="n"/>
      <c r="AK209" s="1146" t="n"/>
      <c r="AL209" s="1148" t="n"/>
      <c r="AM209" s="1198" t="n"/>
      <c r="AN209" s="2689" t="n"/>
      <c r="AO209" s="1146" t="n"/>
      <c r="AP209" s="1148" t="n"/>
      <c r="AQ209" s="1200" t="n"/>
      <c r="AR209" s="2689" t="n"/>
      <c r="AS209" s="1146" t="n"/>
      <c r="AT209" s="2689" t="n"/>
      <c r="AU209" s="1146" t="n"/>
      <c r="AV209" s="1148" t="n"/>
      <c r="AW209" s="1146" t="n"/>
      <c r="AX209" s="1148" t="n"/>
      <c r="AY209" s="218">
        <f>$CA209&amp;CB209&amp;$CC209&amp;CD209&amp;CE209&amp;CF209&amp;CG209&amp;CH209&amp;CI209&amp;CJ209&amp;CK209&amp;CL209&amp;CM209&amp;CN209&amp;CO209&amp;CP209&amp;CQ209&amp;CR209&amp;CS209&amp;CT209&amp;CU209</f>
        <v/>
      </c>
      <c r="CA209" s="379">
        <f>IF(D209&gt;C209," * El Total de Exámenes Confirmados Positivos por ISP NO DEBE SUPERAR los Exámenes Procesados. ","")</f>
        <v/>
      </c>
      <c r="CB209" s="219">
        <f>IF(AL209&gt;AK209," * El número de Exámenes por Sexo Hombres Confirmados positivos por ISP NO PUEDE Superar al número de Procesados. ","")</f>
        <v/>
      </c>
      <c r="CC209" s="219">
        <f>IF(AN209&gt;AM209," * El número de Exámenes por Sexo Mujeres Confirmados positivos por ISP NO PUEDE Superar al número de Procesados. ","")</f>
        <v/>
      </c>
      <c r="CD209" s="226" t="n"/>
      <c r="CE209" s="226" t="n"/>
      <c r="CF209" s="226" t="n"/>
      <c r="CG209" s="226" t="n"/>
      <c r="CH209" s="226" t="n"/>
      <c r="CI209" s="219">
        <f>IF(AND(C209&gt;0,AND(AO209="",AQ209=""))," * No olvide digitar los exámenes procesados Trans (Masculino y femenino) Digite Cero si no tiene.",IF((AO209+AQ209)&gt;C209," * Los exámenes procesados en Trans (Masculino y femenino) no pueden ser mayor que el Total de exámenes procesados.",""))</f>
        <v/>
      </c>
      <c r="CJ209" s="227" t="n"/>
      <c r="CK209" s="219">
        <f>IF((AM209+AK209)&lt;&gt;C209," * El N° de exámenes Procesados por SEXO (Hombres + Mujeres)no puede ser distinto al Total de exámenes procesados","")</f>
        <v/>
      </c>
      <c r="CL209" s="219">
        <f>IF((AN209+AL209)&lt;&gt;D209," * El N° de exámenes Confirmados positivos por ISP por Sexo (Hombres+Mujeres) no puede ser distinto al N° Total de exámenes Confirmados positivos por ISP ","")</f>
        <v/>
      </c>
      <c r="CM209" s="219">
        <f>IF(AND(C209&gt;0,AS209="")," * No olvide digitar los examanes de Pueblos Originarios Procesados. Digite Cero si no tiene.",IF(AS209&gt;C209," * Los exámenes de Pueblos originarios Procesados no pueden ser mayor que el Total de exámenes procesados.",""))</f>
        <v/>
      </c>
      <c r="CN209" s="219">
        <f>IF(AND(C209&gt;0,AU209="")," * No olvide digitar los exámenes Procesados de Migrantes. Digite Cero si no tiene.",IF(AU209&gt;C209," * Los exámenes procesados de Migrantes no pueden ser mayor que el Total de exámenes procesados.",""))</f>
        <v/>
      </c>
      <c r="CO209" s="219">
        <f>IF(AND(D209&gt;0,AND(AP209="",AR209=""))," * No olvide digitar los exámenes Confirmados positivos por ISP de Trans (Masculino y Femenino). Digite Cero si no tiene.",IF((AP209+AR209)&gt;D209," * Los exámenes confirmados positivos por ISP de Trans (Masculino y Femenino) no pueden ser mayor que el Total de exámenes Confirmados positivos por ISP.",""))</f>
        <v/>
      </c>
      <c r="CP209" s="219">
        <f>IF(AND(D209&gt;0,AT209="")," * No olvide digitar los exámenes Confirmados positivos por ISP de Pueblos Originarios. Digite Cero si no tiene.",IF(AT209&gt;D209," * Los exámenes Confirmados positivos por ISP de Pueblos originarios no pueden ser mayor que el Total de exámenes Procesados por ISP.",""))</f>
        <v/>
      </c>
      <c r="CQ209" s="219">
        <f>IF(AND(D209&gt;0,AV209="")," * No olvide digitar los exámenes Confirmados positivos por ISP de Migrantes. Digite Cero si no tiene.",IF(AV209&gt;D209," * Los exámenes Confirmados positivos por ISP de Migrantes no pueden ser mayor que el Total de exámenes Procesados por ISP.",""))</f>
        <v/>
      </c>
      <c r="CR209" s="226" t="n"/>
      <c r="CS209" s="226" t="n"/>
      <c r="CT209" s="260">
        <f>IF(AND((M209+O209)&gt;0,AW209=""),"*No olvide digitar los Exámenes Procesados de 14-18 años. Digite cero si no tiene.",IF(AW209&gt;(M209+O209),"* El Total de Procesados de 14-18 años NO DEBE ser mayor al Total de Procesados registrados en los grupos de edad 10 a 14 + 15 a 19 años. ",""))</f>
        <v/>
      </c>
      <c r="CU209" s="260">
        <f>IF(AND((N209+P209)&gt;0,AX209=""),"*No olvide digitar los Exámenes Confirmados Positivos por ISP de 14-18 años. Digite cero si no tiene.",IF(AX209&gt;(N209+P209),"* El Total de Confirmados de 14-18 años NO DEBE ser mayor al Total de Confirmados Positivos por ISP registrados en los grupos de edad 10 a 14 + 15 a 19 años. ",""))</f>
        <v/>
      </c>
      <c r="DF209" s="381">
        <f>IF(D209&gt;C209,1,0)</f>
        <v/>
      </c>
      <c r="DG209" s="378">
        <f>IF(AL209&gt;AK209,1,0)</f>
        <v/>
      </c>
      <c r="DH209" s="378">
        <f>IF(AN209&gt;AM209,1,0)</f>
        <v/>
      </c>
      <c r="DI209" s="226" t="n"/>
      <c r="DJ209" s="226" t="n"/>
      <c r="DK209" s="226" t="n"/>
      <c r="DL209" s="226" t="n"/>
      <c r="DM209" s="226" t="n"/>
      <c r="DN209" s="378">
        <f>IF(AND(C209&gt;0,AND(AO209="",AQ209="")),1,IF((AO209+AQ209)&gt;C209,1,0))</f>
        <v/>
      </c>
      <c r="DO209" s="227" t="n"/>
      <c r="DP209" s="378">
        <f>IF((AM209+AK209)&lt;&gt;C209,1,0)</f>
        <v/>
      </c>
      <c r="DQ209" s="378">
        <f>IF((AN209+AL209)&lt;&gt;D209,1,0)</f>
        <v/>
      </c>
      <c r="DR209" s="378">
        <f>IF(AND(C209&gt;0,AS209=""),1,IF(AS209&gt;C209,1,0))</f>
        <v/>
      </c>
      <c r="DS209" s="378">
        <f>IF(AND(C209&gt;0,AU209=""),1,IF(AU209&gt;C209,1,0))</f>
        <v/>
      </c>
      <c r="DT209" s="378">
        <f>IF(AND(D209&gt;0,OR(AP209="",AR209="")),1,IF((AP209+AR209)&gt;D209,1,0))</f>
        <v/>
      </c>
      <c r="DU209" s="378">
        <f>IF(AND(D209&gt;0,AT209=""),1,IF(AT209&gt;D209,1,0))</f>
        <v/>
      </c>
      <c r="DV209" s="378">
        <f>IF(AND(D209&gt;0,AV209=""),1,IF(AV209&gt;D209,1,0))</f>
        <v/>
      </c>
      <c r="DW209" s="226" t="n"/>
      <c r="DX209" s="226" t="n"/>
      <c r="DY209" s="378">
        <f>IF(AND((M209+O209)&gt;0,AW209=""),1,IF(AW209&gt;(M209+O209),1,0))</f>
        <v/>
      </c>
      <c r="DZ209" s="378">
        <f>IF(AND((N209+P209)&gt;0,AX209=""),1,IF(AX209&gt;(N209+P209),1,0))</f>
        <v/>
      </c>
    </row>
    <row r="210">
      <c r="A210" s="10309" t="inlineStr">
        <is>
          <t>Por consulta espontánea</t>
        </is>
      </c>
      <c r="B210" s="9720" t="n"/>
      <c r="C210" s="1176">
        <f>+E210+G210+I210+K210+M210+O210+Q210+S210+U210+W210+Y210+AA210+AC210+AE210+AG210+AI210</f>
        <v/>
      </c>
      <c r="D210" s="2512">
        <f>+F210+H210+J210+L210+N210+P210+R210+T210+V210+X210+Z210+AB210+AD210+AF210+AH210+AJ210</f>
        <v/>
      </c>
      <c r="E210" s="1137" t="n"/>
      <c r="F210" s="1153" t="n"/>
      <c r="G210" s="1137" t="n"/>
      <c r="H210" s="1153" t="n"/>
      <c r="I210" s="1137" t="n"/>
      <c r="J210" s="1153" t="n"/>
      <c r="K210" s="1137" t="n"/>
      <c r="L210" s="1153" t="n"/>
      <c r="M210" s="1137" t="n"/>
      <c r="N210" s="1139" t="n"/>
      <c r="O210" s="1137" t="n"/>
      <c r="P210" s="1153" t="n"/>
      <c r="Q210" s="1137" t="n"/>
      <c r="R210" s="1153" t="n"/>
      <c r="S210" s="1137" t="n"/>
      <c r="T210" s="1153" t="n"/>
      <c r="U210" s="1137" t="n"/>
      <c r="V210" s="1153" t="n"/>
      <c r="W210" s="1137" t="n"/>
      <c r="X210" s="1153" t="n"/>
      <c r="Y210" s="1137" t="n"/>
      <c r="Z210" s="1153" t="n"/>
      <c r="AA210" s="1137" t="n"/>
      <c r="AB210" s="1153" t="n"/>
      <c r="AC210" s="1137" t="n"/>
      <c r="AD210" s="1141" t="n"/>
      <c r="AE210" s="1137" t="n"/>
      <c r="AF210" s="1141" t="n"/>
      <c r="AG210" s="1137" t="n"/>
      <c r="AH210" s="1139" t="n"/>
      <c r="AI210" s="1137" t="n"/>
      <c r="AJ210" s="1153" t="n"/>
      <c r="AK210" s="1152" t="n"/>
      <c r="AL210" s="1138" t="n"/>
      <c r="AM210" s="1137" t="n"/>
      <c r="AN210" s="1416" t="n"/>
      <c r="AO210" s="1152" t="n"/>
      <c r="AP210" s="1138" t="n"/>
      <c r="AQ210" s="1140" t="n"/>
      <c r="AR210" s="1416" t="n"/>
      <c r="AS210" s="1152" t="n"/>
      <c r="AT210" s="1416" t="n"/>
      <c r="AU210" s="1152" t="n"/>
      <c r="AV210" s="1138" t="n"/>
      <c r="AW210" s="1152" t="n"/>
      <c r="AX210" s="1138" t="n"/>
      <c r="AY210" s="218">
        <f>$CA210&amp;CB210&amp;$CC210&amp;CD210&amp;CE210&amp;CF210&amp;CG210&amp;CH210&amp;CI210&amp;CJ210&amp;CK210&amp;CL210&amp;CM210&amp;CN210&amp;CO210&amp;CP210&amp;CQ210&amp;CR210&amp;CS210&amp;CT210&amp;CU210</f>
        <v/>
      </c>
      <c r="CA210" s="379">
        <f>IF(D210&gt;C210," * El Total de Exámenes Confirmados Positivos por ISP NO DEBE SUPERAR los Exámenes Procesados. ","")</f>
        <v/>
      </c>
      <c r="CB210" s="219">
        <f>IF(AL210&gt;AK210," * El número de Exámenes por Sexo Hombres Confirmados positivos por ISP NO PUEDE Superar al número de Procesados. ","")</f>
        <v/>
      </c>
      <c r="CC210" s="219">
        <f>IF(AN210&gt;AM210," * El número de Exámenes por Sexo Mujeres Confirmados positivos por ISP NO PUEDE Superar al número de Procesados. ","")</f>
        <v/>
      </c>
      <c r="CD210" s="226" t="n"/>
      <c r="CE210" s="226" t="n"/>
      <c r="CF210" s="226" t="n"/>
      <c r="CG210" s="226" t="n"/>
      <c r="CH210" s="226" t="n"/>
      <c r="CI210" s="219">
        <f>IF(AND(C210&gt;0,AND(AO210="",AQ210=""))," * No olvide digitar los exámenes procesados Trans (Masculino y femenino) Digite Cero si no tiene.",IF((AO210+AQ210)&gt;C210," * Los exámenes procesados en Trans (Masculino y femenino) no pueden ser mayor que el Total de exámenes procesados.",""))</f>
        <v/>
      </c>
      <c r="CJ210" s="227" t="n"/>
      <c r="CK210" s="219">
        <f>IF((AM210+AK210)&lt;&gt;C210," * El N° de exámenes Procesados por SEXO (Hombres + Mujeres)no puede ser distinto al Total de exámenes procesados","")</f>
        <v/>
      </c>
      <c r="CL210" s="219">
        <f>IF((AN210+AL210)&lt;&gt;D210," * El N° de exámenes Confirmados positivos por ISP por Sexo (Hombres+Mujeres) no puede ser distinto al N° Total de exámenes Confirmados positivos por ISP ","")</f>
        <v/>
      </c>
      <c r="CM210" s="219">
        <f>IF(AND(C210&gt;0,AS210="")," * No olvide digitar los examanes de Pueblos Originarios Procesados. Digite Cero si no tiene.",IF(AS210&gt;C210," * Los exámenes de Pueblos originarios Procesados no pueden ser mayor que el Total de exámenes procesados.",""))</f>
        <v/>
      </c>
      <c r="CN210" s="219">
        <f>IF(AND(C210&gt;0,AU210="")," * No olvide digitar los exámenes Procesados de Migrantes. Digite Cero si no tiene.",IF(AU210&gt;C210," * Los exámenes procesados de Migrantes no pueden ser mayor que el Total de exámenes procesados.",""))</f>
        <v/>
      </c>
      <c r="CO210" s="219">
        <f>IF(AND(D210&gt;0,AND(AP210="",AR210=""))," * No olvide digitar los exámenes Confirmados positivos por ISP de Trans (Masculino y Femenino). Digite Cero si no tiene.",IF((AP210+AR210)&gt;D210," * Los exámenes confirmados positivos por ISP de Trans (Masculino y Femenino) no pueden ser mayor que el Total de exámenes Confirmados positivos por ISP.",""))</f>
        <v/>
      </c>
      <c r="CP210" s="219">
        <f>IF(AND(D210&gt;0,AT210="")," * No olvide digitar los exámenes Confirmados positivos por ISP de Pueblos Originarios. Digite Cero si no tiene.",IF(AT210&gt;D210," * Los exámenes Confirmados positivos por ISP de Pueblos originarios no pueden ser mayor que el Total de exámenes Procesados por ISP.",""))</f>
        <v/>
      </c>
      <c r="CQ210" s="219">
        <f>IF(AND(D210&gt;0,AV210="")," * No olvide digitar los exámenes Confirmados positivos por ISP de Migrantes. Digite Cero si no tiene.",IF(AV210&gt;D210," * Los exámenes Confirmados positivos por ISP de Migrantes no pueden ser mayor que el Total de exámenes Procesados por ISP.",""))</f>
        <v/>
      </c>
      <c r="CR210" s="226" t="n"/>
      <c r="CS210" s="226" t="n"/>
      <c r="CT210" s="260">
        <f>IF(AND((M210+O210)&gt;0,AW210=""),"*No olvide digitar los Exámenes Procesados de 14-18 años. Digite cero si no tiene.",IF(AW210&gt;(M210+O210),"* El Total de Procesados de 14-18 años NO DEBE ser mayor al Total de Procesados registrados en los grupos de edad 10 a 14 + 15 a 19 años. ",""))</f>
        <v/>
      </c>
      <c r="CU210" s="260">
        <f>IF(AND((N210+P210)&gt;0,AX210=""),"*No olvide digitar los Exámenes Confirmados Positivos por ISP de 14-18 años. Digite cero si no tiene.",IF(AX210&gt;(N210+P210),"* El Total de Confirmados de 14-18 años NO DEBE ser mayor al Total de Confirmados Positivos por ISP registrados en los grupos de edad 10 a 14 + 15 a 19 años. ",""))</f>
        <v/>
      </c>
      <c r="DF210" s="381">
        <f>IF(D210&gt;C210,1,0)</f>
        <v/>
      </c>
      <c r="DG210" s="378">
        <f>IF(AL210&gt;AK210,1,0)</f>
        <v/>
      </c>
      <c r="DH210" s="378">
        <f>IF(AN210&gt;AM210,1,0)</f>
        <v/>
      </c>
      <c r="DI210" s="226" t="n"/>
      <c r="DJ210" s="226" t="n"/>
      <c r="DK210" s="226" t="n"/>
      <c r="DL210" s="226" t="n"/>
      <c r="DM210" s="226" t="n"/>
      <c r="DN210" s="378">
        <f>IF(AND(C210&gt;0,AND(AO210="",AQ210="")),1,IF((AO210+AQ210)&gt;C210,1,0))</f>
        <v/>
      </c>
      <c r="DO210" s="227" t="n"/>
      <c r="DP210" s="378">
        <f>IF((AM210+AK210)&lt;&gt;C210,1,0)</f>
        <v/>
      </c>
      <c r="DQ210" s="378">
        <f>IF((AN210+AL210)&lt;&gt;D210,1,0)</f>
        <v/>
      </c>
      <c r="DR210" s="378">
        <f>IF(AND(C210&gt;0,AS210=""),1,IF(AS210&gt;C210,1,0))</f>
        <v/>
      </c>
      <c r="DS210" s="378">
        <f>IF(AND(C210&gt;0,AU210=""),1,IF(AU210&gt;C210,1,0))</f>
        <v/>
      </c>
      <c r="DT210" s="378">
        <f>IF(AND(D210&gt;0,OR(AP210="",AR210="")),1,IF((AP210+AR210)&gt;D210,1,0))</f>
        <v/>
      </c>
      <c r="DU210" s="378">
        <f>IF(AND(D210&gt;0,AT210=""),1,IF(AT210&gt;D210,1,0))</f>
        <v/>
      </c>
      <c r="DV210" s="378">
        <f>IF(AND(D210&gt;0,AV210=""),1,IF(AV210&gt;D210,1,0))</f>
        <v/>
      </c>
      <c r="DW210" s="226" t="n"/>
      <c r="DX210" s="226" t="n"/>
      <c r="DY210" s="378">
        <f>IF(AND((M210+O210)&gt;0,AW210=""),1,IF(AW210&gt;(M210+O210),1,0))</f>
        <v/>
      </c>
      <c r="DZ210" s="378">
        <f>IF(AND((N210+P210)&gt;0,AX210=""),1,IF(AX210&gt;(N210+P210),1,0))</f>
        <v/>
      </c>
    </row>
    <row r="211" ht="18" customHeight="1" s="8286">
      <c r="A211" s="3165" t="inlineStr">
        <is>
          <t xml:space="preserve">SECCIÓN D: EXÁMENES DE GONORREA POR GRUPOS DE USUARIOS </t>
        </is>
      </c>
      <c r="B211" s="3165" t="n"/>
      <c r="C211" s="3165" t="n"/>
      <c r="D211" s="3165" t="n"/>
      <c r="E211" s="3165" t="n"/>
      <c r="F211" s="3165" t="n"/>
      <c r="G211" s="3165" t="n"/>
      <c r="H211" s="3165" t="n"/>
      <c r="I211" s="3165" t="n"/>
      <c r="J211" s="3165" t="n"/>
      <c r="K211" s="3165" t="n"/>
      <c r="L211" s="3165" t="n"/>
      <c r="M211" s="3165" t="n"/>
      <c r="N211" s="3165" t="n"/>
      <c r="O211" s="3165" t="n"/>
      <c r="P211" s="3165" t="n"/>
      <c r="Q211" s="3165" t="n"/>
      <c r="R211" s="3165" t="n"/>
      <c r="S211" s="3165" t="n"/>
      <c r="T211" s="3165" t="n"/>
      <c r="U211" s="3165" t="n"/>
      <c r="V211" s="3165" t="n"/>
      <c r="W211" s="3165" t="n"/>
      <c r="X211" s="3165" t="n"/>
      <c r="Y211" s="3165" t="n"/>
      <c r="Z211" s="3165" t="n"/>
      <c r="AA211" s="3165" t="n"/>
      <c r="AB211" s="3165" t="n"/>
      <c r="AC211" s="3165" t="n"/>
      <c r="AD211" s="3165" t="n"/>
      <c r="AE211" s="3165" t="n"/>
      <c r="AF211" s="3165" t="n"/>
      <c r="AG211" s="3165" t="n"/>
      <c r="AH211" s="3165" t="n"/>
      <c r="AI211" s="3165" t="n"/>
      <c r="AJ211" s="3165" t="n"/>
      <c r="AK211" s="3165" t="n"/>
      <c r="AL211" s="227" t="n"/>
      <c r="AM211" s="227" t="n"/>
      <c r="AN211" s="227" t="n"/>
      <c r="AO211" s="227" t="n"/>
      <c r="AP211" s="227" t="n"/>
      <c r="AQ211" s="227" t="n"/>
    </row>
    <row r="212" ht="23.25" customHeight="1" s="8286">
      <c r="A212" s="10310" t="inlineStr">
        <is>
          <t>GRUPO DE USUARIOS</t>
        </is>
      </c>
      <c r="B212" s="10164" t="inlineStr">
        <is>
          <t>TOTAL</t>
        </is>
      </c>
      <c r="C212" s="9630" t="n"/>
      <c r="D212" s="10164" t="inlineStr">
        <is>
          <t>RANGO ETARIO</t>
        </is>
      </c>
      <c r="E212" s="9584" t="n"/>
      <c r="F212" s="9584" t="n"/>
      <c r="G212" s="9584" t="n"/>
      <c r="H212" s="9584" t="n"/>
      <c r="I212" s="9584" t="n"/>
      <c r="J212" s="9584" t="n"/>
      <c r="K212" s="9584" t="n"/>
      <c r="L212" s="9584" t="n"/>
      <c r="M212" s="9584" t="n"/>
      <c r="N212" s="9584" t="n"/>
      <c r="O212" s="9584" t="n"/>
      <c r="P212" s="9584" t="n"/>
      <c r="Q212" s="9584" t="n"/>
      <c r="R212" s="9584" t="n"/>
      <c r="S212" s="9584" t="n"/>
      <c r="T212" s="9584" t="n"/>
      <c r="U212" s="9584" t="n"/>
      <c r="V212" s="9584" t="n"/>
      <c r="W212" s="9584" t="n"/>
      <c r="X212" s="9584" t="n"/>
      <c r="Y212" s="9584" t="n"/>
      <c r="Z212" s="9584" t="n"/>
      <c r="AA212" s="9584" t="n"/>
      <c r="AB212" s="9584" t="n"/>
      <c r="AC212" s="9584" t="n"/>
      <c r="AD212" s="9584" t="n"/>
      <c r="AE212" s="9584" t="n"/>
      <c r="AF212" s="9584" t="n"/>
      <c r="AG212" s="9584" t="n"/>
      <c r="AH212" s="9584" t="n"/>
      <c r="AI212" s="9584" t="n"/>
      <c r="AJ212" s="9584" t="n"/>
      <c r="AK212" s="9647" t="n"/>
      <c r="AL212" s="10311" t="inlineStr">
        <is>
          <t>POR SEXO
(Procesados)</t>
        </is>
      </c>
      <c r="AM212" s="9582" t="n"/>
      <c r="AN212" s="10312" t="inlineStr">
        <is>
          <t>TRANS</t>
        </is>
      </c>
      <c r="AO212" s="9597" t="n"/>
      <c r="AP212" s="10311" t="inlineStr">
        <is>
          <t>Pueblos Originarios</t>
        </is>
      </c>
      <c r="AQ212" s="4568" t="inlineStr">
        <is>
          <t>Migrantes</t>
        </is>
      </c>
    </row>
    <row r="213">
      <c r="A213" s="9588" t="n"/>
      <c r="B213" s="9698" t="n"/>
      <c r="C213" s="9776" t="n"/>
      <c r="D213" s="10164" t="inlineStr">
        <is>
          <t>0 - 4 años</t>
        </is>
      </c>
      <c r="E213" s="9647" t="n"/>
      <c r="F213" s="10164" t="inlineStr">
        <is>
          <t>5 - 9 años</t>
        </is>
      </c>
      <c r="G213" s="9647" t="n"/>
      <c r="H213" s="10164" t="inlineStr">
        <is>
          <t>10 - 14 años</t>
        </is>
      </c>
      <c r="I213" s="9647" t="n"/>
      <c r="J213" s="10164" t="inlineStr">
        <is>
          <t>15 - 19 años</t>
        </is>
      </c>
      <c r="K213" s="9647" t="n"/>
      <c r="L213" s="10164" t="inlineStr">
        <is>
          <t>20 - 24 años</t>
        </is>
      </c>
      <c r="M213" s="9647" t="n"/>
      <c r="N213" s="10164" t="inlineStr">
        <is>
          <t>25 - 29 años</t>
        </is>
      </c>
      <c r="O213" s="9647" t="n"/>
      <c r="P213" s="10164" t="inlineStr">
        <is>
          <t>30 - 34 años</t>
        </is>
      </c>
      <c r="Q213" s="9647" t="n"/>
      <c r="R213" s="10164" t="inlineStr">
        <is>
          <t>35 - 39 años</t>
        </is>
      </c>
      <c r="S213" s="9647" t="n"/>
      <c r="T213" s="10164" t="inlineStr">
        <is>
          <t>40 - 44 años</t>
        </is>
      </c>
      <c r="U213" s="9647" t="n"/>
      <c r="V213" s="10164" t="inlineStr">
        <is>
          <t>45 - 49 años</t>
        </is>
      </c>
      <c r="W213" s="9647" t="n"/>
      <c r="X213" s="10164" t="inlineStr">
        <is>
          <t>50 - 54 años</t>
        </is>
      </c>
      <c r="Y213" s="9647" t="n"/>
      <c r="Z213" s="10164" t="inlineStr">
        <is>
          <t>55 - 59 años</t>
        </is>
      </c>
      <c r="AA213" s="9647" t="n"/>
      <c r="AB213" s="10164" t="inlineStr">
        <is>
          <t>60 - 64 años</t>
        </is>
      </c>
      <c r="AC213" s="9647" t="n"/>
      <c r="AD213" s="10164" t="inlineStr">
        <is>
          <t>65 - 69 años</t>
        </is>
      </c>
      <c r="AE213" s="9647" t="n"/>
      <c r="AF213" s="10164" t="inlineStr">
        <is>
          <t>70 - 74 años</t>
        </is>
      </c>
      <c r="AG213" s="9647" t="n"/>
      <c r="AH213" s="10164" t="inlineStr">
        <is>
          <t>75 - 79 años</t>
        </is>
      </c>
      <c r="AI213" s="9647" t="n"/>
      <c r="AJ213" s="10164" t="inlineStr">
        <is>
          <t>80 y más años</t>
        </is>
      </c>
      <c r="AK213" s="9647" t="n"/>
      <c r="AL213" s="4946" t="inlineStr">
        <is>
          <t>Hombres</t>
        </is>
      </c>
      <c r="AM213" s="9364" t="inlineStr">
        <is>
          <t>Mujeres</t>
        </is>
      </c>
      <c r="AN213" s="9980" t="inlineStr">
        <is>
          <t>Masculino</t>
        </is>
      </c>
      <c r="AO213" s="10313" t="inlineStr">
        <is>
          <t>Femenino</t>
        </is>
      </c>
      <c r="AP213" s="9625" t="n"/>
      <c r="AQ213" s="9627" t="n"/>
    </row>
    <row r="214">
      <c r="A214" s="9589" t="n"/>
      <c r="B214" s="3168" t="inlineStr">
        <is>
          <t>Procesados</t>
        </is>
      </c>
      <c r="C214" s="8586" t="inlineStr">
        <is>
          <t>Reactivos</t>
        </is>
      </c>
      <c r="D214" s="3170" t="inlineStr">
        <is>
          <t>Procesados</t>
        </is>
      </c>
      <c r="E214" s="8551" t="inlineStr">
        <is>
          <t>Reactivos</t>
        </is>
      </c>
      <c r="F214" s="3170" t="inlineStr">
        <is>
          <t>Procesados</t>
        </is>
      </c>
      <c r="G214" s="8551" t="inlineStr">
        <is>
          <t>Reactivos</t>
        </is>
      </c>
      <c r="H214" s="3170" t="inlineStr">
        <is>
          <t>Procesados</t>
        </is>
      </c>
      <c r="I214" s="8551" t="inlineStr">
        <is>
          <t>Reactivos</t>
        </is>
      </c>
      <c r="J214" s="3170" t="inlineStr">
        <is>
          <t>Procesados</t>
        </is>
      </c>
      <c r="K214" s="8551" t="inlineStr">
        <is>
          <t>Reactivos</t>
        </is>
      </c>
      <c r="L214" s="3170" t="inlineStr">
        <is>
          <t>Procesados</t>
        </is>
      </c>
      <c r="M214" s="8551" t="inlineStr">
        <is>
          <t>Reactivos</t>
        </is>
      </c>
      <c r="N214" s="3170" t="inlineStr">
        <is>
          <t>Procesados</t>
        </is>
      </c>
      <c r="O214" s="8551" t="inlineStr">
        <is>
          <t>Reactivos</t>
        </is>
      </c>
      <c r="P214" s="3170" t="inlineStr">
        <is>
          <t>Procesados</t>
        </is>
      </c>
      <c r="Q214" s="8551" t="inlineStr">
        <is>
          <t>Reactivos</t>
        </is>
      </c>
      <c r="R214" s="3170" t="inlineStr">
        <is>
          <t>Procesados</t>
        </is>
      </c>
      <c r="S214" s="8551" t="inlineStr">
        <is>
          <t>Reactivos</t>
        </is>
      </c>
      <c r="T214" s="3170" t="inlineStr">
        <is>
          <t>Procesados</t>
        </is>
      </c>
      <c r="U214" s="8551" t="inlineStr">
        <is>
          <t>Reactivos</t>
        </is>
      </c>
      <c r="V214" s="3170" t="inlineStr">
        <is>
          <t>Procesados</t>
        </is>
      </c>
      <c r="W214" s="8551" t="inlineStr">
        <is>
          <t>Reactivos</t>
        </is>
      </c>
      <c r="X214" s="3170" t="inlineStr">
        <is>
          <t>Procesados</t>
        </is>
      </c>
      <c r="Y214" s="8551" t="inlineStr">
        <is>
          <t>Reactivos</t>
        </is>
      </c>
      <c r="Z214" s="3170" t="inlineStr">
        <is>
          <t>Procesados</t>
        </is>
      </c>
      <c r="AA214" s="8551" t="inlineStr">
        <is>
          <t>Reactivos</t>
        </is>
      </c>
      <c r="AB214" s="3170" t="inlineStr">
        <is>
          <t>Procesados</t>
        </is>
      </c>
      <c r="AC214" s="8551" t="inlineStr">
        <is>
          <t>Reactivos</t>
        </is>
      </c>
      <c r="AD214" s="3170" t="inlineStr">
        <is>
          <t>Procesados</t>
        </is>
      </c>
      <c r="AE214" s="8551" t="inlineStr">
        <is>
          <t>Reactivos</t>
        </is>
      </c>
      <c r="AF214" s="3170" t="inlineStr">
        <is>
          <t>Procesados</t>
        </is>
      </c>
      <c r="AG214" s="8551" t="inlineStr">
        <is>
          <t>Reactivos</t>
        </is>
      </c>
      <c r="AH214" s="3170" t="inlineStr">
        <is>
          <t>Procesados</t>
        </is>
      </c>
      <c r="AI214" s="8551" t="inlineStr">
        <is>
          <t>Reactivos</t>
        </is>
      </c>
      <c r="AJ214" s="3170" t="inlineStr">
        <is>
          <t>Procesados</t>
        </is>
      </c>
      <c r="AK214" s="8549" t="inlineStr">
        <is>
          <t>Reactivos</t>
        </is>
      </c>
      <c r="AL214" s="9688" t="n"/>
      <c r="AM214" s="9865" t="n"/>
      <c r="AN214" s="9604" t="n"/>
      <c r="AO214" s="10314" t="n"/>
      <c r="AP214" s="9611" t="n"/>
      <c r="AQ214" s="9621" t="n"/>
      <c r="DF214" s="227" t="n"/>
    </row>
    <row r="215">
      <c r="A215" s="3171" t="inlineStr">
        <is>
          <t>Gestantes</t>
        </is>
      </c>
      <c r="B215" s="3094">
        <f>SUM(H215+J215+L215+N215+P215+R215+T215+V215+X215)</f>
        <v/>
      </c>
      <c r="C215" s="3095">
        <f>SUM(I215+K215+M215+O215+Q215+S215+U215+W215+Y215)</f>
        <v/>
      </c>
      <c r="D215" s="3097" t="n"/>
      <c r="E215" s="3110" t="n"/>
      <c r="F215" s="3109" t="n"/>
      <c r="G215" s="3110" t="n"/>
      <c r="H215" s="3108" t="n"/>
      <c r="I215" s="3107" t="n"/>
      <c r="J215" s="3108" t="n"/>
      <c r="K215" s="3107" t="n"/>
      <c r="L215" s="3108" t="n"/>
      <c r="M215" s="3107" t="n"/>
      <c r="N215" s="3108" t="n"/>
      <c r="O215" s="3107" t="n"/>
      <c r="P215" s="3108" t="n"/>
      <c r="Q215" s="3107" t="n"/>
      <c r="R215" s="3108" t="n"/>
      <c r="S215" s="3107" t="n"/>
      <c r="T215" s="3108" t="n"/>
      <c r="U215" s="3107" t="n"/>
      <c r="V215" s="3108" t="n"/>
      <c r="W215" s="3107" t="n"/>
      <c r="X215" s="3108" t="n"/>
      <c r="Y215" s="3107" t="n"/>
      <c r="Z215" s="3109" t="n"/>
      <c r="AA215" s="3110" t="n"/>
      <c r="AB215" s="3109" t="n"/>
      <c r="AC215" s="3110" t="n"/>
      <c r="AD215" s="3109" t="n"/>
      <c r="AE215" s="3110" t="n"/>
      <c r="AF215" s="3109" t="n"/>
      <c r="AG215" s="3110" t="n"/>
      <c r="AH215" s="3109" t="n"/>
      <c r="AI215" s="3110" t="n"/>
      <c r="AJ215" s="3109" t="n"/>
      <c r="AK215" s="3111" t="n"/>
      <c r="AL215" s="3097" t="n"/>
      <c r="AM215" s="1465" t="n"/>
      <c r="AN215" s="3156" t="n"/>
      <c r="AO215" s="3149" t="n"/>
      <c r="AP215" s="3100" t="n"/>
      <c r="AQ215" s="3172" t="n"/>
      <c r="AR215" s="218">
        <f>$CA215&amp;CB215&amp;CC215&amp;CD215&amp;CE215&amp;CG215&amp;CF215&amp;CH215&amp;CI215</f>
        <v/>
      </c>
      <c r="CA215" s="379">
        <f>IF(C215&gt;B215," * El Total de Exámenes reactivos NO DEBE SUPERAR los Exámenes Procesados. ","")</f>
        <v/>
      </c>
      <c r="CB215" s="219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>
        <f>IF(AND(B215&gt;0,AQ215="")," * No olvide digitar la variable Migrantes. Digite cero si no tiene.",IF(AQ215&gt;B215," * La variable Migrantes no puede ser mayor que el Total de Procesados.",""))</f>
        <v/>
      </c>
      <c r="CF215" s="226" t="n"/>
      <c r="CG215" s="227" t="n"/>
      <c r="CH215" s="227" t="n"/>
      <c r="CI215" s="227" t="n"/>
      <c r="CJ215" s="227" t="n"/>
      <c r="DF215" s="376">
        <f>IF(C215&gt;B215,1,0)</f>
        <v/>
      </c>
      <c r="DG215" s="376">
        <f>IF(AND(B215&gt;0,AND(AL215+AM215="")),1,IF(B215&lt;&gt;(AL215+AM215),1,0))</f>
        <v/>
      </c>
      <c r="DH215" s="376">
        <f>IF(AND(B215&gt;0,AND(AN215="",AO215="")),1,IF((AN215+AO215)&gt;B215,1,0))</f>
        <v/>
      </c>
      <c r="DI215" s="376">
        <f>IF(AND(B215&gt;0,AP215=""),1,IF(AP215&gt;B215,1,0))</f>
        <v/>
      </c>
      <c r="DJ215" s="376">
        <f>IF(AND(B215&gt;0,AQ215=""),1,IF(AQ215&gt;B215,1,0))</f>
        <v/>
      </c>
      <c r="DK215" s="226" t="n"/>
      <c r="DL215" s="226" t="n"/>
      <c r="DM215" s="226" t="n"/>
      <c r="DN215" s="226" t="n"/>
      <c r="DO215" s="226" t="n"/>
    </row>
    <row r="216">
      <c r="A216" s="3171" t="inlineStr">
        <is>
          <t>Comercio sexual</t>
        </is>
      </c>
      <c r="B216" s="3103">
        <f>SUM(J216+L216+N216+P216+R216+T216+V216+X216+Z216+AB216+AD216+AF216+AH216+AJ216)</f>
        <v/>
      </c>
      <c r="C216" s="1171">
        <f>SUM(I216+K216+M216+O216+Q216+S216+U216+W216+Y216+AA216+AC216+AE216+AG216+AI216+AK216)</f>
        <v/>
      </c>
      <c r="D216" s="3097" t="n"/>
      <c r="E216" s="3110" t="n"/>
      <c r="F216" s="3109" t="n"/>
      <c r="G216" s="3110" t="n"/>
      <c r="H216" s="3109" t="n"/>
      <c r="I216" s="3110" t="n"/>
      <c r="J216" s="3108" t="n"/>
      <c r="K216" s="3107" t="n"/>
      <c r="L216" s="3108" t="n"/>
      <c r="M216" s="3107" t="n"/>
      <c r="N216" s="3108" t="n"/>
      <c r="O216" s="3107" t="n"/>
      <c r="P216" s="3108" t="n"/>
      <c r="Q216" s="3107" t="n"/>
      <c r="R216" s="3108" t="n"/>
      <c r="S216" s="3107" t="n"/>
      <c r="T216" s="3108" t="n"/>
      <c r="U216" s="3107" t="n"/>
      <c r="V216" s="3108" t="n"/>
      <c r="W216" s="3107" t="n"/>
      <c r="X216" s="3108" t="n"/>
      <c r="Y216" s="3107" t="n"/>
      <c r="Z216" s="3108" t="n"/>
      <c r="AA216" s="3107" t="n"/>
      <c r="AB216" s="3108" t="n"/>
      <c r="AC216" s="3107" t="n"/>
      <c r="AD216" s="3108" t="n"/>
      <c r="AE216" s="3107" t="n"/>
      <c r="AF216" s="3108" t="n"/>
      <c r="AG216" s="3107" t="n"/>
      <c r="AH216" s="3108" t="n"/>
      <c r="AI216" s="3107" t="n"/>
      <c r="AJ216" s="3108" t="n"/>
      <c r="AK216" s="3098" t="n"/>
      <c r="AL216" s="3100" t="n"/>
      <c r="AM216" s="3098" t="n"/>
      <c r="AN216" s="3099" t="n"/>
      <c r="AO216" s="3149" t="n"/>
      <c r="AP216" s="3100" t="n"/>
      <c r="AQ216" s="3172" t="n"/>
      <c r="AR216" s="218">
        <f>$CA216&amp;CB216&amp;CC216&amp;CD216&amp;CE216&amp;CG216&amp;CF216&amp;CH216&amp;CI216</f>
        <v/>
      </c>
      <c r="CA216" s="379">
        <f>IF(C216&gt;B216," * El Total de Exámenes reactivos NO DEBE SUPERAR los Exámenes Procesados. ","")</f>
        <v/>
      </c>
      <c r="CB216" s="219">
        <f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>
        <f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>
        <f>IF(AND(B216&gt;0,AP216="")," * No olvide digitar la variable Pueblos originarios. Digite cero si no tiene.",IF(AP216&gt;B216," * La variable Pueblos originarios no puede ser mayor que el Total de Procesados.",""))</f>
        <v/>
      </c>
      <c r="CE216" s="219">
        <f>IF(AND(B216&gt;0,AQ216="")," * No olvide digitar la variable Migrantes. Digite cero si no tiene.",IF(AQ216&gt;B216," * La variable Migrantes no puede ser mayor que el Total de Procesados.",""))</f>
        <v/>
      </c>
      <c r="CF216" s="226" t="n"/>
      <c r="CG216" s="227" t="n"/>
      <c r="CH216" s="227" t="n"/>
      <c r="CI216" s="227" t="n"/>
      <c r="DF216" s="376">
        <f>IF(C216&gt;B216,1,0)</f>
        <v/>
      </c>
      <c r="DG216" s="376">
        <f>IF(AND(B216&gt;0,AND(AL216+AM216="")),1,IF(B216&lt;&gt;(AL216+AM216),1,0))</f>
        <v/>
      </c>
      <c r="DH216" s="376">
        <f>IF(AND(B216&gt;0,AND(AN216="",AO216="")),1,IF((AN216+AO216)&gt;B216,1,0))</f>
        <v/>
      </c>
      <c r="DI216" s="376">
        <f>IF(AND(B216&gt;0,AP216=""),1,IF(AP216&gt;B216,1,0))</f>
        <v/>
      </c>
      <c r="DJ216" s="376">
        <f>IF(AND(B216&gt;0,AQ216=""),1,IF(AQ216&gt;B216,1,0))</f>
        <v/>
      </c>
      <c r="DK216" s="226" t="n"/>
      <c r="DL216" s="226" t="n"/>
      <c r="DM216" s="226" t="n"/>
      <c r="DN216" s="226" t="n"/>
      <c r="DO216" s="226" t="n"/>
    </row>
    <row r="217">
      <c r="A217" s="3171" t="inlineStr">
        <is>
          <t>Personas VIH (+)</t>
        </is>
      </c>
      <c r="B217" s="3103">
        <f>SUM(D217+F217+H217+J217+L217+N217+P217+R217+T217+V217+X217+Z217+AB217+AD217+AF217+AH217+AJ217)</f>
        <v/>
      </c>
      <c r="C217" s="1171">
        <f>SUM(E217+G217+I217+K217+M217+O217+Q217+S217+U217+W217+Y217+AA217+AC217+AE217+AG217+AI217+AK217)</f>
        <v/>
      </c>
      <c r="D217" s="3100" t="n"/>
      <c r="E217" s="3107" t="n"/>
      <c r="F217" s="3108" t="n"/>
      <c r="G217" s="3107" t="n"/>
      <c r="H217" s="3108" t="n"/>
      <c r="I217" s="3107" t="n"/>
      <c r="J217" s="3108" t="n"/>
      <c r="K217" s="3107" t="n"/>
      <c r="L217" s="3108" t="n"/>
      <c r="M217" s="3107" t="n"/>
      <c r="N217" s="3108" t="n"/>
      <c r="O217" s="3107" t="n"/>
      <c r="P217" s="3108" t="n"/>
      <c r="Q217" s="3107" t="n"/>
      <c r="R217" s="3108" t="n"/>
      <c r="S217" s="3107" t="n"/>
      <c r="T217" s="3108" t="n"/>
      <c r="U217" s="3107" t="n"/>
      <c r="V217" s="3108" t="n"/>
      <c r="W217" s="3107" t="n"/>
      <c r="X217" s="3108" t="n"/>
      <c r="Y217" s="3107" t="n"/>
      <c r="Z217" s="3108" t="n"/>
      <c r="AA217" s="3107" t="n"/>
      <c r="AB217" s="3108" t="n"/>
      <c r="AC217" s="3107" t="n"/>
      <c r="AD217" s="3108" t="n"/>
      <c r="AE217" s="3107" t="n"/>
      <c r="AF217" s="3108" t="n"/>
      <c r="AG217" s="3107" t="n"/>
      <c r="AH217" s="3108" t="n"/>
      <c r="AI217" s="3107" t="n"/>
      <c r="AJ217" s="3108" t="n"/>
      <c r="AK217" s="3098" t="n"/>
      <c r="AL217" s="3100" t="n"/>
      <c r="AM217" s="3098" t="n"/>
      <c r="AN217" s="3099" t="n"/>
      <c r="AO217" s="3149" t="n"/>
      <c r="AP217" s="3100" t="n"/>
      <c r="AQ217" s="3172" t="n"/>
      <c r="AR217" s="218">
        <f>$CA217&amp;CB217&amp;CC217&amp;CD217&amp;CE217&amp;CG217&amp;CF217&amp;CH217&amp;CI217</f>
        <v/>
      </c>
      <c r="CA217" s="379">
        <f>IF(C217&gt;B217," * El Total de Exámenes reactivos NO DEBE SUPERAR los Exámenes Procesados. ","")</f>
        <v/>
      </c>
      <c r="CB217" s="219">
        <f>IF(AND(B217&gt;0,AND(AL217+AM217=""))," * No olvide digitar la variable POR SEXO (Procesados). Digite cero si no tiene.",IF(B217&lt;&gt;(AL217+AM217)," * La suma de las variables POR SEXO (Procesados) debe ser igual al Total de procesados.",""))</f>
        <v/>
      </c>
      <c r="CC217" s="219">
        <f>IF(AND(B217&gt;0,AND(AN217="",AO217=""))," * No olvide digitar la variable Trans (Masculino o Femenino). Digite cero si no tiene.",IF((AN217+AO217)&gt;B217," *  La suma de exámenes a Trans (Masculino + Femenino) no puede ser mayor que el Total de Procesados .",""))</f>
        <v/>
      </c>
      <c r="CD217" s="219">
        <f>IF(AND(B217&gt;0,AP217="")," * No olvide digitar la variable Pueblos originarios. Digite cero si no tiene.",IF(AP217&gt;B217," * La variable Pueblos originarios no puede ser mayor que el Total de Procesados.",""))</f>
        <v/>
      </c>
      <c r="CE217" s="219">
        <f>IF(AND(B217&gt;0,AQ217="")," * No olvide digitar la variable Migrantes. Digite cero si no tiene.",IF(AQ217&gt;B217," * La variable Migrantes no puede ser mayor que el Total de Procesados.",""))</f>
        <v/>
      </c>
      <c r="CF217" s="226" t="n"/>
      <c r="CG217" s="227" t="n"/>
      <c r="CH217" s="227" t="n"/>
      <c r="CI217" s="227" t="n"/>
      <c r="DF217" s="376">
        <f>IF(C217&gt;B217,1,0)</f>
        <v/>
      </c>
      <c r="DG217" s="376">
        <f>IF(AND(B217&gt;0,AND(AL217+AM217="")),1,IF(B217&lt;&gt;(AL217+AM217),1,0))</f>
        <v/>
      </c>
      <c r="DH217" s="376">
        <f>IF(AND(B217&gt;0,AND(AN217="",AO217="")),1,IF((AN217+AO217)&gt;B217,1,0))</f>
        <v/>
      </c>
      <c r="DI217" s="376">
        <f>IF(AND(B217&gt;0,AP217=""),1,IF(AP217&gt;B217,1,0))</f>
        <v/>
      </c>
      <c r="DJ217" s="376">
        <f>IF(AND(B217&gt;0,AQ217=""),1,IF(AQ217&gt;B217,1,0))</f>
        <v/>
      </c>
      <c r="DK217" s="226" t="n"/>
      <c r="DL217" s="226" t="n"/>
      <c r="DM217" s="226" t="n"/>
      <c r="DN217" s="226" t="n"/>
      <c r="DO217" s="226" t="n"/>
    </row>
    <row r="218">
      <c r="A218" s="3171" t="inlineStr">
        <is>
          <t>Consultante ITS ambulatorio (Nivel 1º y 2º)</t>
        </is>
      </c>
      <c r="B218" s="3103">
        <f>SUM(D218+F218+H218+J218+L218+N218+P218+R218+T218+V218+X218+Z218+AB218+AD218+AF218+AH218+AJ218)</f>
        <v/>
      </c>
      <c r="C218" s="1171">
        <f>SUM(E218+G218+I218+K218+M218+O218+Q218+S218+U218+W218+Y218+AA218+AC218+AE218+AG218+AI218+AK218)</f>
        <v/>
      </c>
      <c r="D218" s="3100" t="n"/>
      <c r="E218" s="3107" t="n"/>
      <c r="F218" s="3108" t="n"/>
      <c r="G218" s="3107" t="n"/>
      <c r="H218" s="3108" t="n"/>
      <c r="I218" s="3107" t="n"/>
      <c r="J218" s="3108" t="n"/>
      <c r="K218" s="3107" t="n"/>
      <c r="L218" s="3108" t="n"/>
      <c r="M218" s="3107" t="n"/>
      <c r="N218" s="3108" t="n"/>
      <c r="O218" s="3107" t="n"/>
      <c r="P218" s="3108" t="n"/>
      <c r="Q218" s="3107" t="n"/>
      <c r="R218" s="3108" t="n"/>
      <c r="S218" s="3107" t="n"/>
      <c r="T218" s="3108" t="n"/>
      <c r="U218" s="3107" t="n"/>
      <c r="V218" s="3108" t="n"/>
      <c r="W218" s="3107" t="n"/>
      <c r="X218" s="3108" t="n"/>
      <c r="Y218" s="3107" t="n"/>
      <c r="Z218" s="3108" t="n"/>
      <c r="AA218" s="3107" t="n"/>
      <c r="AB218" s="3108" t="n"/>
      <c r="AC218" s="3107" t="n"/>
      <c r="AD218" s="3108" t="n"/>
      <c r="AE218" s="3107" t="n"/>
      <c r="AF218" s="3108" t="n"/>
      <c r="AG218" s="3107" t="n"/>
      <c r="AH218" s="3108" t="n"/>
      <c r="AI218" s="3107" t="n"/>
      <c r="AJ218" s="3108" t="n"/>
      <c r="AK218" s="3098" t="n"/>
      <c r="AL218" s="3100" t="n"/>
      <c r="AM218" s="3098" t="n"/>
      <c r="AN218" s="3099" t="n"/>
      <c r="AO218" s="3149" t="n"/>
      <c r="AP218" s="3100" t="n"/>
      <c r="AQ218" s="3172" t="n"/>
      <c r="AR218" s="218">
        <f>$CA218&amp;CB218&amp;CC218&amp;CD218&amp;CE218&amp;CG218&amp;CF218&amp;CH218&amp;CI218</f>
        <v/>
      </c>
      <c r="CA218" s="379">
        <f>IF(C218&gt;B218," * El Total de Exámenes reactivos NO DEBE SUPERAR los Exámenes Procesados. ","")</f>
        <v/>
      </c>
      <c r="CB218" s="219">
        <f>IF(AND(B218&gt;0,AND(AL218+AM218=""))," * No olvide digitar la variable POR SEXO (Procesados). Digite cero si no tiene.",IF(B218&lt;&gt;(AL218+AM218)," * La suma de las variables POR SEXO (Procesados) debe ser igual al Total de procesados.",""))</f>
        <v/>
      </c>
      <c r="CC218" s="219">
        <f>IF(AND(B218&gt;0,AND(AN218="",AO218=""))," * No olvide digitar la variable Trans (Masculino o Femenino). Digite cero si no tiene.",IF((AN218+AO218)&gt;B218," *  La suma de exámenes a Trans (Masculino + Femenino) no puede ser mayor que el Total de Procesados .",""))</f>
        <v/>
      </c>
      <c r="CD218" s="219">
        <f>IF(AND(B218&gt;0,AP218="")," * No olvide digitar la variable Pueblos originarios. Digite cero si no tiene.",IF(AP218&gt;B218," * La variable Pueblos originarios no puede ser mayor que el Total de Procesados.",""))</f>
        <v/>
      </c>
      <c r="CE218" s="219">
        <f>IF(AND(B218&gt;0,AQ218="")," * No olvide digitar la variable Migrantes. Digite cero si no tiene.",IF(AQ218&gt;B218," * La variable Migrantes no puede ser mayor que el Total de Procesados.",""))</f>
        <v/>
      </c>
      <c r="CF218" s="226" t="n"/>
      <c r="CG218" s="227" t="n"/>
      <c r="CH218" s="227" t="n"/>
      <c r="CI218" s="227" t="n"/>
      <c r="DF218" s="376">
        <f>IF(C218&gt;B218,1,0)</f>
        <v/>
      </c>
      <c r="DG218" s="376">
        <f>IF(AND(B218&gt;0,AND(AL218+AM218="")),1,IF(B218&lt;&gt;(AL218+AM218),1,0))</f>
        <v/>
      </c>
      <c r="DH218" s="376">
        <f>IF(AND(B218&gt;0,AND(AN218="",AO218="")),1,IF((AN218+AO218)&gt;B218,1,0))</f>
        <v/>
      </c>
      <c r="DI218" s="376">
        <f>IF(AND(B218&gt;0,AP218=""),1,IF(AP218&gt;B218,1,0))</f>
        <v/>
      </c>
      <c r="DJ218" s="376">
        <f>IF(AND(B218&gt;0,AQ218=""),1,IF(AQ218&gt;B218,1,0))</f>
        <v/>
      </c>
      <c r="DK218" s="226" t="n"/>
      <c r="DL218" s="226" t="n"/>
      <c r="DM218" s="226" t="n"/>
      <c r="DN218" s="226" t="n"/>
      <c r="DO218" s="226" t="n"/>
    </row>
    <row r="219">
      <c r="A219" s="3173" t="inlineStr">
        <is>
          <t>Consultante ITS hospitalario (Nivel 3º y Urgencia)</t>
        </is>
      </c>
      <c r="B219" s="3103">
        <f>SUM(D219+F219+H219+J219+L219+N219+P219+R219+T219+V219+X219+Z219+AB219+AD219+AF219+AH219+AJ219)</f>
        <v/>
      </c>
      <c r="C219" s="1171">
        <f>SUM(E219+G219+I219+K219+M219+O219+Q219+S219+U219+W219+Y219+AA219+AC219+AE219+AG219+AI219+AK219)</f>
        <v/>
      </c>
      <c r="D219" s="3100" t="n"/>
      <c r="E219" s="3107" t="n"/>
      <c r="F219" s="3108" t="n"/>
      <c r="G219" s="3107" t="n"/>
      <c r="H219" s="3108" t="n"/>
      <c r="I219" s="3107" t="n"/>
      <c r="J219" s="3108" t="n"/>
      <c r="K219" s="3107" t="n"/>
      <c r="L219" s="3108" t="n"/>
      <c r="M219" s="3107" t="n"/>
      <c r="N219" s="3108" t="n"/>
      <c r="O219" s="3107" t="n"/>
      <c r="P219" s="3108" t="n"/>
      <c r="Q219" s="3107" t="n"/>
      <c r="R219" s="3108" t="n"/>
      <c r="S219" s="3107" t="n"/>
      <c r="T219" s="3108" t="n"/>
      <c r="U219" s="3107" t="n"/>
      <c r="V219" s="3108" t="n"/>
      <c r="W219" s="3107" t="n"/>
      <c r="X219" s="3108" t="n"/>
      <c r="Y219" s="3107" t="n"/>
      <c r="Z219" s="3108" t="n"/>
      <c r="AA219" s="3107" t="n"/>
      <c r="AB219" s="3108" t="n"/>
      <c r="AC219" s="3107" t="n"/>
      <c r="AD219" s="3108" t="n"/>
      <c r="AE219" s="3107" t="n"/>
      <c r="AF219" s="3108" t="n"/>
      <c r="AG219" s="3107" t="n"/>
      <c r="AH219" s="3108" t="n"/>
      <c r="AI219" s="3107" t="n"/>
      <c r="AJ219" s="3108" t="n"/>
      <c r="AK219" s="3098" t="n"/>
      <c r="AL219" s="3100" t="n"/>
      <c r="AM219" s="3098" t="n"/>
      <c r="AN219" s="3099" t="n"/>
      <c r="AO219" s="3149" t="n"/>
      <c r="AP219" s="3100" t="n"/>
      <c r="AQ219" s="3172" t="n"/>
      <c r="AR219" s="218">
        <f>$CA219&amp;CB219&amp;CC219&amp;CD219&amp;CE219&amp;CG219&amp;CF219&amp;CH219&amp;CI219</f>
        <v/>
      </c>
      <c r="CA219" s="379">
        <f>IF(C219&gt;B219," * El Total de Exámenes reactivos NO DEBE SUPERAR los Exámenes Procesados. ","")</f>
        <v/>
      </c>
      <c r="CB219" s="219">
        <f>IF(AND(B219&gt;0,AND(AL219+AM219=""))," * No olvide digitar la variable POR SEXO (Procesados). Digite cero si no tiene.",IF(B219&lt;&gt;(AL219+AM219)," * La suma de las variables POR SEXO (Procesados) debe ser igual al Total de procesados.",""))</f>
        <v/>
      </c>
      <c r="CC219" s="219">
        <f>IF(AND(B219&gt;0,AND(AN219="",AO219=""))," * No olvide digitar la variable Trans (Masculino o Femenino). Digite cero si no tiene.",IF((AN219+AO219)&gt;B219," *  La suma de exámenes a Trans (Masculino + Femenino) no puede ser mayor que el Total de Procesados .",""))</f>
        <v/>
      </c>
      <c r="CD219" s="219">
        <f>IF(AND(B219&gt;0,AP219="")," * No olvide digitar la variable Pueblos originarios. Digite cero si no tiene.",IF(AP219&gt;B219," * La variable Pueblos originarios no puede ser mayor que el Total de Procesados.",""))</f>
        <v/>
      </c>
      <c r="CE219" s="219">
        <f>IF(AND(B219&gt;0,AQ219="")," * No olvide digitar la variable Migrantes. Digite cero si no tiene.",IF(AQ219&gt;B219," * La variable Migrantes no puede ser mayor que el Total de Procesados.",""))</f>
        <v/>
      </c>
      <c r="CF219" s="226" t="n"/>
      <c r="CG219" s="227" t="n"/>
      <c r="CH219" s="227" t="n"/>
      <c r="CI219" s="227" t="n"/>
      <c r="DF219" s="376">
        <f>IF(C219&gt;B219,1,0)</f>
        <v/>
      </c>
      <c r="DG219" s="376">
        <f>IF(AND(B219&gt;0,AND(AL219+AM219="")),1,IF(B219&lt;&gt;(AL219+AM219),1,0))</f>
        <v/>
      </c>
      <c r="DH219" s="376">
        <f>IF(AND(B219&gt;0,AND(AN219="",AO219="")),1,IF((AN219+AO219)&gt;B219,1,0))</f>
        <v/>
      </c>
      <c r="DI219" s="376">
        <f>IF(AND(B219&gt;0,AP219=""),1,IF(AP219&gt;B219,1,0))</f>
        <v/>
      </c>
      <c r="DJ219" s="376">
        <f>IF(AND(B219&gt;0,AQ219=""),1,IF(AQ219&gt;B219,1,0))</f>
        <v/>
      </c>
      <c r="DK219" s="226" t="n"/>
      <c r="DL219" s="226" t="n"/>
      <c r="DM219" s="226" t="n"/>
      <c r="DN219" s="226" t="n"/>
      <c r="DO219" s="226" t="n"/>
    </row>
    <row r="220">
      <c r="A220" s="3171" t="inlineStr">
        <is>
          <t>Víctima de violencia sexual</t>
        </is>
      </c>
      <c r="B220" s="3103">
        <f>SUM(D220+F220+H220+J220+L220+N220+P220+R220+T220+V220+X220+Z220+AB220+AD220+AF220+AH220+AJ220)</f>
        <v/>
      </c>
      <c r="C220" s="1171">
        <f>SUM(E220+G220+I220+K220+M220+O220+Q220+S220+U220+W220+Y220+AA220+AC220+AE220+AG220+AI220+AK220)</f>
        <v/>
      </c>
      <c r="D220" s="3100" t="n"/>
      <c r="E220" s="3107" t="n"/>
      <c r="F220" s="3108" t="n"/>
      <c r="G220" s="3107" t="n"/>
      <c r="H220" s="3108" t="n"/>
      <c r="I220" s="3107" t="n"/>
      <c r="J220" s="3108" t="n"/>
      <c r="K220" s="3107" t="n"/>
      <c r="L220" s="3108" t="n"/>
      <c r="M220" s="3107" t="n"/>
      <c r="N220" s="3108" t="n"/>
      <c r="O220" s="3107" t="n"/>
      <c r="P220" s="3108" t="n"/>
      <c r="Q220" s="3107" t="n"/>
      <c r="R220" s="3108" t="n"/>
      <c r="S220" s="3107" t="n"/>
      <c r="T220" s="3108" t="n"/>
      <c r="U220" s="3107" t="n"/>
      <c r="V220" s="3108" t="n"/>
      <c r="W220" s="3107" t="n"/>
      <c r="X220" s="3108" t="n"/>
      <c r="Y220" s="3107" t="n"/>
      <c r="Z220" s="3108" t="n"/>
      <c r="AA220" s="3107" t="n"/>
      <c r="AB220" s="3108" t="n"/>
      <c r="AC220" s="3107" t="n"/>
      <c r="AD220" s="3108" t="n"/>
      <c r="AE220" s="3107" t="n"/>
      <c r="AF220" s="3108" t="n"/>
      <c r="AG220" s="3107" t="n"/>
      <c r="AH220" s="3108" t="n"/>
      <c r="AI220" s="3107" t="n"/>
      <c r="AJ220" s="3108" t="n"/>
      <c r="AK220" s="3098" t="n"/>
      <c r="AL220" s="3100" t="n"/>
      <c r="AM220" s="3098" t="n"/>
      <c r="AN220" s="3099" t="n"/>
      <c r="AO220" s="3149" t="n"/>
      <c r="AP220" s="3100" t="n"/>
      <c r="AQ220" s="3172" t="n"/>
      <c r="AR220" s="218">
        <f>$CA220&amp;CB220&amp;CC220&amp;CD220&amp;CE220&amp;CG220&amp;CF220&amp;CH220&amp;CI220</f>
        <v/>
      </c>
      <c r="CA220" s="379">
        <f>IF(C220&gt;B220," * El Total de Exámenes reactivos NO DEBE SUPERAR los Exámenes Procesados. ","")</f>
        <v/>
      </c>
      <c r="CB220" s="219">
        <f>IF(AND(B220&gt;0,AND(AL220+AM220=""))," * No olvide digitar la variable POR SEXO (Procesados). Digite cero si no tiene.",IF(B220&lt;&gt;(AL220+AM220)," * La suma de las variables POR SEXO (Procesados) debe ser igual al Total de procesados.",""))</f>
        <v/>
      </c>
      <c r="CC220" s="219">
        <f>IF(AND(B220&gt;0,AND(AN220="",AO220=""))," * No olvide digitar la variable Trans (Masculino o Femenino). Digite cero si no tiene.",IF((AN220+AO220)&gt;B220," *  La suma de exámenes a Trans (Masculino + Femenino) no puede ser mayor que el Total de Procesados .",""))</f>
        <v/>
      </c>
      <c r="CD220" s="219">
        <f>IF(AND(B220&gt;0,AP220="")," * No olvide digitar la variable Pueblos originarios. Digite cero si no tiene.",IF(AP220&gt;B220," * La variable Pueblos originarios no puede ser mayor que el Total de Procesados.",""))</f>
        <v/>
      </c>
      <c r="CE220" s="219">
        <f>IF(AND(B220&gt;0,AQ220="")," * No olvide digitar la variable Migrantes. Digite cero si no tiene.",IF(AQ220&gt;B220," * La variable Migrantes no puede ser mayor que el Total de Procesados.",""))</f>
        <v/>
      </c>
      <c r="CF220" s="226" t="n"/>
      <c r="CG220" s="227" t="n"/>
      <c r="CH220" s="227" t="n"/>
      <c r="CI220" s="227" t="n"/>
      <c r="DF220" s="376">
        <f>IF(C220&gt;B220,1,0)</f>
        <v/>
      </c>
      <c r="DG220" s="376">
        <f>IF(AND(B220&gt;0,AND(AL220+AM220="")),1,IF(B220&lt;&gt;(AL220+AM220),1,0))</f>
        <v/>
      </c>
      <c r="DH220" s="376">
        <f>IF(AND(B220&gt;0,AND(AN220="",AO220="")),1,IF((AN220+AO220)&gt;B220,1,0))</f>
        <v/>
      </c>
      <c r="DI220" s="376">
        <f>IF(AND(B220&gt;0,AP220=""),1,IF(AP220&gt;B220,1,0))</f>
        <v/>
      </c>
      <c r="DJ220" s="376">
        <f>IF(AND(B220&gt;0,AQ220=""),1,IF(AQ220&gt;B220,1,0))</f>
        <v/>
      </c>
      <c r="DK220" s="226" t="n"/>
      <c r="DL220" s="226" t="n"/>
      <c r="DM220" s="226" t="n"/>
      <c r="DN220" s="226" t="n"/>
      <c r="DO220" s="226" t="n"/>
    </row>
    <row r="221">
      <c r="A221" s="7720" t="inlineStr">
        <is>
          <t>Otros</t>
        </is>
      </c>
      <c r="B221" s="2576">
        <f>SUM(D221+F221+H221+J221+L221+N221+P221+R221+T221+V221+X221+Z221+AB221+AD221+AF221+AH221+AJ221)</f>
        <v/>
      </c>
      <c r="C221" s="2464">
        <f>SUM(E221+G221+I221+K221+M221+O221+Q221+S221+U221+W221+Y221+AA221+AC221+AE221+AG221+AI221+AK221)</f>
        <v/>
      </c>
      <c r="D221" s="1140" t="n"/>
      <c r="E221" s="1153" t="n"/>
      <c r="F221" s="1137" t="n"/>
      <c r="G221" s="1153" t="n"/>
      <c r="H221" s="1137" t="n"/>
      <c r="I221" s="1153" t="n"/>
      <c r="J221" s="1137" t="n"/>
      <c r="K221" s="1153" t="n"/>
      <c r="L221" s="1137" t="n"/>
      <c r="M221" s="1153" t="n"/>
      <c r="N221" s="1137" t="n"/>
      <c r="O221" s="1153" t="n"/>
      <c r="P221" s="1137" t="n"/>
      <c r="Q221" s="1153" t="n"/>
      <c r="R221" s="1137" t="n"/>
      <c r="S221" s="1153" t="n"/>
      <c r="T221" s="1137" t="n"/>
      <c r="U221" s="1153" t="n"/>
      <c r="V221" s="1137" t="n"/>
      <c r="W221" s="1153" t="n"/>
      <c r="X221" s="1137" t="n"/>
      <c r="Y221" s="1153" t="n"/>
      <c r="Z221" s="1137" t="n"/>
      <c r="AA221" s="1153" t="n"/>
      <c r="AB221" s="1137" t="n"/>
      <c r="AC221" s="1153" t="n"/>
      <c r="AD221" s="1137" t="n"/>
      <c r="AE221" s="1153" t="n"/>
      <c r="AF221" s="1137" t="n"/>
      <c r="AG221" s="1153" t="n"/>
      <c r="AH221" s="1137" t="n"/>
      <c r="AI221" s="1153" t="n"/>
      <c r="AJ221" s="1137" t="n"/>
      <c r="AK221" s="1143" t="n"/>
      <c r="AL221" s="1140" t="n"/>
      <c r="AM221" s="1143" t="n"/>
      <c r="AN221" s="1152" t="n"/>
      <c r="AO221" s="1416" t="n"/>
      <c r="AP221" s="1140" t="n"/>
      <c r="AQ221" s="1299" t="n"/>
      <c r="AR221" s="218">
        <f>$CA221&amp;CB221&amp;CC221&amp;CD221&amp;CE221&amp;CG221&amp;CF221&amp;CH221&amp;CI221</f>
        <v/>
      </c>
      <c r="CA221" s="379">
        <f>IF(C221&gt;B221," * El Total de Exámenes reactivos NO DEBE SUPERAR los Exámenes Procesados. ","")</f>
        <v/>
      </c>
      <c r="CB221" s="219">
        <f>IF(AND(B221&gt;0,AND(AL221+AM221=""))," * No olvide digitar la variable POR SEXO (Procesados). Digite cero si no tiene.",IF(B221&lt;&gt;(AL221+AM221)," * La suma de las variables POR SEXO (Procesados) debe ser igual al Total de procesados.",""))</f>
        <v/>
      </c>
      <c r="CC221" s="219">
        <f>IF(AND(B221&gt;0,AND(AN221="",AO221=""))," * No olvide digitar la variable Trans (Masculino o Femenino). Digite cero si no tiene.",IF((AN221+AO221)&gt;B221," *  La suma de exámenes a Trans (Masculino + Femenino) no puede ser mayor que el Total de Procesados .",""))</f>
        <v/>
      </c>
      <c r="CD221" s="219">
        <f>IF(AND(B221&gt;0,AP221="")," * No olvide digitar la variable Pueblos originarios. Digite cero si no tiene.",IF(AP221&gt;B221," * La variable Pueblos originarios no puede ser mayor que el Total de Procesados.",""))</f>
        <v/>
      </c>
      <c r="CE221" s="219">
        <f>IF(AND(B221&gt;0,AQ221="")," * No olvide digitar la variable Migrantes. Digite cero si no tiene.",IF(AQ221&gt;B221," * La variable Migrantes no puede ser mayor que el Total de Procesados.",""))</f>
        <v/>
      </c>
      <c r="CF221" s="226" t="n"/>
      <c r="CG221" s="227" t="n"/>
      <c r="CH221" s="227" t="n"/>
      <c r="CI221" s="227" t="n"/>
      <c r="DF221" s="376">
        <f>IF(C221&gt;B221,1,0)</f>
        <v/>
      </c>
      <c r="DG221" s="376">
        <f>IF(AND(B221&gt;0,AND(AL221+AM221="")),1,IF(B221&lt;&gt;(AL221+AM221),1,0))</f>
        <v/>
      </c>
      <c r="DH221" s="376">
        <f>IF(AND(B221&gt;0,AND(AN221="",AO221="")),1,IF((AN221+AO221)&gt;B221,1,0))</f>
        <v/>
      </c>
      <c r="DI221" s="376">
        <f>IF(AND(B221&gt;0,AP221=""),1,IF(AP221&gt;B221,1,0))</f>
        <v/>
      </c>
      <c r="DJ221" s="376">
        <f>IF(AND(B221&gt;0,AQ221=""),1,IF(AQ221&gt;B221,1,0))</f>
        <v/>
      </c>
      <c r="DK221" s="226" t="n"/>
      <c r="DL221" s="226" t="n"/>
      <c r="DM221" s="226" t="n"/>
      <c r="DN221" s="226" t="n"/>
      <c r="DO221" s="226" t="n"/>
    </row>
    <row r="222" ht="18" customFormat="1" customHeight="1" s="5">
      <c r="A222" s="2677" t="inlineStr">
        <is>
          <t xml:space="preserve">SECCIÓN E: EXÁMENES DE CHLAMYIDIA TRACHOMATIS POR GRUPOS DE USUARIOS </t>
        </is>
      </c>
      <c r="B222" s="2677" t="n"/>
      <c r="C222" s="2677" t="n"/>
      <c r="D222" s="2677" t="n"/>
      <c r="E222" s="2677" t="n"/>
      <c r="F222" s="2677" t="n"/>
      <c r="G222" s="2677" t="n"/>
      <c r="H222" s="2677" t="n"/>
      <c r="I222" s="2677" t="n"/>
      <c r="J222" s="2677" t="n"/>
      <c r="K222" s="2677" t="n"/>
      <c r="L222" s="2677" t="n"/>
      <c r="M222" s="2677" t="n"/>
      <c r="N222" s="2677" t="n"/>
      <c r="O222" s="2677" t="n"/>
      <c r="P222" s="2677" t="n"/>
      <c r="Q222" s="2677" t="n"/>
      <c r="R222" s="2677" t="n"/>
      <c r="S222" s="2677" t="n"/>
      <c r="T222" s="2677" t="n"/>
      <c r="U222" s="2677" t="n"/>
      <c r="V222" s="2677" t="n"/>
      <c r="W222" s="2677" t="n"/>
      <c r="X222" s="2677" t="n"/>
      <c r="Y222" s="2677" t="n"/>
      <c r="Z222" s="2677" t="n"/>
      <c r="AA222" s="2677" t="n"/>
      <c r="AB222" s="2677" t="n"/>
      <c r="AC222" s="2677" t="n"/>
      <c r="AD222" s="2677" t="n"/>
      <c r="AE222" s="2677" t="n"/>
      <c r="AF222" s="2677" t="n"/>
      <c r="AG222" s="2677" t="n"/>
      <c r="AH222" s="2677" t="n"/>
      <c r="AI222" s="2677" t="n"/>
      <c r="AJ222" s="2677" t="n"/>
      <c r="AK222" s="2677" t="n"/>
      <c r="AL222" s="2677" t="n"/>
      <c r="AM222" s="2677" t="n"/>
      <c r="AN222" s="64" t="n"/>
      <c r="AO222" s="64" t="n"/>
      <c r="AP222" s="64" t="n"/>
      <c r="AQ222" s="64" t="n"/>
    </row>
    <row r="223">
      <c r="A223" s="10310" t="inlineStr">
        <is>
          <t>GRUPO DE USUARIOS</t>
        </is>
      </c>
      <c r="B223" s="10164" t="inlineStr">
        <is>
          <t>TOTAL</t>
        </is>
      </c>
      <c r="C223" s="9630" t="n"/>
      <c r="D223" s="10164" t="inlineStr">
        <is>
          <t>RANGO ETARIO</t>
        </is>
      </c>
      <c r="E223" s="9584" t="n"/>
      <c r="F223" s="9584" t="n"/>
      <c r="G223" s="9584" t="n"/>
      <c r="H223" s="9584" t="n"/>
      <c r="I223" s="9584" t="n"/>
      <c r="J223" s="9584" t="n"/>
      <c r="K223" s="9584" t="n"/>
      <c r="L223" s="9584" t="n"/>
      <c r="M223" s="9584" t="n"/>
      <c r="N223" s="9584" t="n"/>
      <c r="O223" s="9584" t="n"/>
      <c r="P223" s="9584" t="n"/>
      <c r="Q223" s="9584" t="n"/>
      <c r="R223" s="9584" t="n"/>
      <c r="S223" s="9584" t="n"/>
      <c r="T223" s="9584" t="n"/>
      <c r="U223" s="9584" t="n"/>
      <c r="V223" s="9584" t="n"/>
      <c r="W223" s="9584" t="n"/>
      <c r="X223" s="9584" t="n"/>
      <c r="Y223" s="9584" t="n"/>
      <c r="Z223" s="9584" t="n"/>
      <c r="AA223" s="9584" t="n"/>
      <c r="AB223" s="9584" t="n"/>
      <c r="AC223" s="9584" t="n"/>
      <c r="AD223" s="9584" t="n"/>
      <c r="AE223" s="9584" t="n"/>
      <c r="AF223" s="9584" t="n"/>
      <c r="AG223" s="9584" t="n"/>
      <c r="AH223" s="9584" t="n"/>
      <c r="AI223" s="9584" t="n"/>
      <c r="AJ223" s="9584" t="n"/>
      <c r="AK223" s="9647" t="n"/>
      <c r="AL223" s="10311" t="inlineStr">
        <is>
          <t>POR SEXO (Procesados)</t>
        </is>
      </c>
      <c r="AM223" s="9582" t="n"/>
      <c r="AN223" s="10312" t="inlineStr">
        <is>
          <t>TRANS</t>
        </is>
      </c>
      <c r="AO223" s="9597" t="n"/>
      <c r="AP223" s="10311" t="inlineStr">
        <is>
          <t>Pueblos Originarios</t>
        </is>
      </c>
      <c r="AQ223" s="4568" t="inlineStr">
        <is>
          <t>Migrantes</t>
        </is>
      </c>
    </row>
    <row r="224">
      <c r="A224" s="9588" t="n"/>
      <c r="B224" s="9698" t="n"/>
      <c r="C224" s="9776" t="n"/>
      <c r="D224" s="10164" t="inlineStr">
        <is>
          <t>0 - 4 años</t>
        </is>
      </c>
      <c r="E224" s="9647" t="n"/>
      <c r="F224" s="10164" t="inlineStr">
        <is>
          <t>5 - 9 años</t>
        </is>
      </c>
      <c r="G224" s="9647" t="n"/>
      <c r="H224" s="10164" t="inlineStr">
        <is>
          <t>10 - 14 años</t>
        </is>
      </c>
      <c r="I224" s="9647" t="n"/>
      <c r="J224" s="10164" t="inlineStr">
        <is>
          <t>15 - 19 años</t>
        </is>
      </c>
      <c r="K224" s="9647" t="n"/>
      <c r="L224" s="10164" t="inlineStr">
        <is>
          <t>20 - 24 años</t>
        </is>
      </c>
      <c r="M224" s="9647" t="n"/>
      <c r="N224" s="10164" t="inlineStr">
        <is>
          <t>25 - 29 años</t>
        </is>
      </c>
      <c r="O224" s="9647" t="n"/>
      <c r="P224" s="10164" t="inlineStr">
        <is>
          <t>30 - 34 años</t>
        </is>
      </c>
      <c r="Q224" s="9647" t="n"/>
      <c r="R224" s="10164" t="inlineStr">
        <is>
          <t>35 - 39 años</t>
        </is>
      </c>
      <c r="S224" s="9647" t="n"/>
      <c r="T224" s="10164" t="inlineStr">
        <is>
          <t>40 - 44 años</t>
        </is>
      </c>
      <c r="U224" s="9647" t="n"/>
      <c r="V224" s="10164" t="inlineStr">
        <is>
          <t>45 - 49 años</t>
        </is>
      </c>
      <c r="W224" s="9647" t="n"/>
      <c r="X224" s="10164" t="inlineStr">
        <is>
          <t>50 - 54 años</t>
        </is>
      </c>
      <c r="Y224" s="9647" t="n"/>
      <c r="Z224" s="10164" t="inlineStr">
        <is>
          <t>55 - 59 años</t>
        </is>
      </c>
      <c r="AA224" s="9647" t="n"/>
      <c r="AB224" s="10164" t="inlineStr">
        <is>
          <t>60 - 64 años</t>
        </is>
      </c>
      <c r="AC224" s="9647" t="n"/>
      <c r="AD224" s="10164" t="inlineStr">
        <is>
          <t>65 - 69 años</t>
        </is>
      </c>
      <c r="AE224" s="9647" t="n"/>
      <c r="AF224" s="10164" t="inlineStr">
        <is>
          <t>70 - 74 años</t>
        </is>
      </c>
      <c r="AG224" s="9647" t="n"/>
      <c r="AH224" s="10164" t="inlineStr">
        <is>
          <t>75 - 79 años</t>
        </is>
      </c>
      <c r="AI224" s="9647" t="n"/>
      <c r="AJ224" s="10164" t="inlineStr">
        <is>
          <t>80 y más años</t>
        </is>
      </c>
      <c r="AK224" s="9647" t="n"/>
      <c r="AL224" s="4946" t="inlineStr">
        <is>
          <t>Hombres</t>
        </is>
      </c>
      <c r="AM224" s="9364" t="inlineStr">
        <is>
          <t>Mujeres</t>
        </is>
      </c>
      <c r="AN224" s="9980" t="inlineStr">
        <is>
          <t>Masculino</t>
        </is>
      </c>
      <c r="AO224" s="10313" t="inlineStr">
        <is>
          <t>Femenino</t>
        </is>
      </c>
      <c r="AP224" s="9625" t="n"/>
      <c r="AQ224" s="9627" t="n"/>
    </row>
    <row r="225">
      <c r="A225" s="9589" t="n"/>
      <c r="B225" s="3168" t="inlineStr">
        <is>
          <t>Procesados</t>
        </is>
      </c>
      <c r="C225" s="8586" t="inlineStr">
        <is>
          <t>Reactivos</t>
        </is>
      </c>
      <c r="D225" s="3170" t="inlineStr">
        <is>
          <t>Procesados</t>
        </is>
      </c>
      <c r="E225" s="8551" t="inlineStr">
        <is>
          <t>Reactivos</t>
        </is>
      </c>
      <c r="F225" s="3170" t="inlineStr">
        <is>
          <t>Procesados</t>
        </is>
      </c>
      <c r="G225" s="8551" t="inlineStr">
        <is>
          <t>Reactivos</t>
        </is>
      </c>
      <c r="H225" s="3170" t="inlineStr">
        <is>
          <t>Procesados</t>
        </is>
      </c>
      <c r="I225" s="8551" t="inlineStr">
        <is>
          <t>Reactivos</t>
        </is>
      </c>
      <c r="J225" s="3170" t="inlineStr">
        <is>
          <t>Procesados</t>
        </is>
      </c>
      <c r="K225" s="8551" t="inlineStr">
        <is>
          <t>Reactivos</t>
        </is>
      </c>
      <c r="L225" s="3170" t="inlineStr">
        <is>
          <t>Procesados</t>
        </is>
      </c>
      <c r="M225" s="8551" t="inlineStr">
        <is>
          <t>Reactivos</t>
        </is>
      </c>
      <c r="N225" s="3170" t="inlineStr">
        <is>
          <t>Procesados</t>
        </is>
      </c>
      <c r="O225" s="8551" t="inlineStr">
        <is>
          <t>Reactivos</t>
        </is>
      </c>
      <c r="P225" s="3170" t="inlineStr">
        <is>
          <t>Procesados</t>
        </is>
      </c>
      <c r="Q225" s="8551" t="inlineStr">
        <is>
          <t>Reactivos</t>
        </is>
      </c>
      <c r="R225" s="3170" t="inlineStr">
        <is>
          <t>Procesados</t>
        </is>
      </c>
      <c r="S225" s="8551" t="inlineStr">
        <is>
          <t>Reactivos</t>
        </is>
      </c>
      <c r="T225" s="3170" t="inlineStr">
        <is>
          <t>Procesados</t>
        </is>
      </c>
      <c r="U225" s="8551" t="inlineStr">
        <is>
          <t>Reactivos</t>
        </is>
      </c>
      <c r="V225" s="3170" t="inlineStr">
        <is>
          <t>Procesados</t>
        </is>
      </c>
      <c r="W225" s="8551" t="inlineStr">
        <is>
          <t>Reactivos</t>
        </is>
      </c>
      <c r="X225" s="3170" t="inlineStr">
        <is>
          <t>Procesados</t>
        </is>
      </c>
      <c r="Y225" s="8551" t="inlineStr">
        <is>
          <t>Reactivos</t>
        </is>
      </c>
      <c r="Z225" s="3170" t="inlineStr">
        <is>
          <t>Procesados</t>
        </is>
      </c>
      <c r="AA225" s="8551" t="inlineStr">
        <is>
          <t>Reactivos</t>
        </is>
      </c>
      <c r="AB225" s="3170" t="inlineStr">
        <is>
          <t>Procesados</t>
        </is>
      </c>
      <c r="AC225" s="8551" t="inlineStr">
        <is>
          <t>Reactivos</t>
        </is>
      </c>
      <c r="AD225" s="3170" t="inlineStr">
        <is>
          <t>Procesados</t>
        </is>
      </c>
      <c r="AE225" s="8551" t="inlineStr">
        <is>
          <t>Reactivos</t>
        </is>
      </c>
      <c r="AF225" s="3170" t="inlineStr">
        <is>
          <t>Procesados</t>
        </is>
      </c>
      <c r="AG225" s="8551" t="inlineStr">
        <is>
          <t>Reactivos</t>
        </is>
      </c>
      <c r="AH225" s="3170" t="inlineStr">
        <is>
          <t>Procesados</t>
        </is>
      </c>
      <c r="AI225" s="8551" t="inlineStr">
        <is>
          <t>Reactivos</t>
        </is>
      </c>
      <c r="AJ225" s="3170" t="inlineStr">
        <is>
          <t>Procesados</t>
        </is>
      </c>
      <c r="AK225" s="8549" t="inlineStr">
        <is>
          <t>Reactivos</t>
        </is>
      </c>
      <c r="AL225" s="9688" t="n"/>
      <c r="AM225" s="9865" t="n"/>
      <c r="AN225" s="9604" t="n"/>
      <c r="AO225" s="10314" t="n"/>
      <c r="AP225" s="9611" t="n"/>
      <c r="AQ225" s="9621" t="n"/>
    </row>
    <row r="226">
      <c r="A226" s="3171" t="inlineStr">
        <is>
          <t>Gestantes</t>
        </is>
      </c>
      <c r="B226" s="3094">
        <f>SUM(D226+F226+H226+J226+L226+N226+P226+R226+T226+V226+X226+Z226+AB226+AD226+AF226+AH226+AJ226)</f>
        <v/>
      </c>
      <c r="C226" s="3095">
        <f>SUM(E226+G226+I226+K226+M226+O226+Q226+S226+U226+W226+Y226+AA226+AC226+AE226+AG226+AI226+AK226)</f>
        <v/>
      </c>
      <c r="D226" s="3097" t="n"/>
      <c r="E226" s="3110" t="n"/>
      <c r="F226" s="3109" t="n"/>
      <c r="G226" s="3110" t="n"/>
      <c r="H226" s="3108" t="n"/>
      <c r="I226" s="3107" t="n"/>
      <c r="J226" s="3108" t="n"/>
      <c r="K226" s="3107" t="n"/>
      <c r="L226" s="3108" t="n"/>
      <c r="M226" s="3107" t="n"/>
      <c r="N226" s="3108" t="n"/>
      <c r="O226" s="3107" t="n"/>
      <c r="P226" s="3108" t="n"/>
      <c r="Q226" s="3107" t="n"/>
      <c r="R226" s="3108" t="n"/>
      <c r="S226" s="3107" t="n"/>
      <c r="T226" s="3108" t="n"/>
      <c r="U226" s="3107" t="n"/>
      <c r="V226" s="3108" t="n"/>
      <c r="W226" s="3107" t="n"/>
      <c r="X226" s="3108" t="n"/>
      <c r="Y226" s="3107" t="n"/>
      <c r="Z226" s="3109" t="n"/>
      <c r="AA226" s="3110" t="n"/>
      <c r="AB226" s="3109" t="n"/>
      <c r="AC226" s="3110" t="n"/>
      <c r="AD226" s="3109" t="n"/>
      <c r="AE226" s="3110" t="n"/>
      <c r="AF226" s="3109" t="n"/>
      <c r="AG226" s="3110" t="n"/>
      <c r="AH226" s="3109" t="n"/>
      <c r="AI226" s="3110" t="n"/>
      <c r="AJ226" s="3109" t="n"/>
      <c r="AK226" s="3111" t="n"/>
      <c r="AL226" s="3097" t="n"/>
      <c r="AM226" s="1465" t="n"/>
      <c r="AN226" s="3156" t="n"/>
      <c r="AO226" s="3149" t="n"/>
      <c r="AP226" s="3100" t="n"/>
      <c r="AQ226" s="3172" t="n"/>
      <c r="AR226" s="218">
        <f>$CA226&amp;CB226&amp;CC226&amp;CD226&amp;CE226&amp;CG226&amp;CF226</f>
        <v/>
      </c>
      <c r="CA226" s="379">
        <f>IF(C226&gt;B226," * El Total de Exámenes reactivos NO DEBE SUPERAR los Exámenes Procesados. ","")</f>
        <v/>
      </c>
      <c r="CB226" s="219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>
        <f>IF(AND(B226&gt;0,AQ226="")," * No olvide digitar la variable Migrantes. Digite cero si no tiene.",IF(AQ226&gt;B226," * La variable Migrantes no puede ser mayor que el Total de Procesados.",""))</f>
        <v/>
      </c>
      <c r="CF226" s="226" t="n"/>
      <c r="CG226" s="227" t="n"/>
      <c r="CH226" s="227" t="n"/>
      <c r="CI226" s="227" t="n"/>
      <c r="CJ226" s="227" t="n"/>
      <c r="DF226" s="376">
        <f>IF(C226&gt;B226,1,0)</f>
        <v/>
      </c>
      <c r="DG226" s="376">
        <f>IF(AND(B226&gt;0,AND(AL226+AM226="")),1,IF(B226&lt;&gt;(AL226+AM226),1,0))</f>
        <v/>
      </c>
      <c r="DH226" s="376">
        <f>IF(AND(B226&gt;0,AND(AN226="",AO226="")),1,IF((AN226+AO226)&gt;B226,1,0))</f>
        <v/>
      </c>
      <c r="DI226" s="376">
        <f>IF(AND(B226&gt;0,AP226=""),1,IF(AP226&gt;B226,1,0))</f>
        <v/>
      </c>
      <c r="DJ226" s="376">
        <f>IF(AND(B226&gt;0,AQ226=""),1,IF(AQ226&gt;B226,1,0))</f>
        <v/>
      </c>
      <c r="DK226" s="226" t="n"/>
    </row>
    <row r="227">
      <c r="A227" s="3171" t="inlineStr">
        <is>
          <t>Comercio sexual</t>
        </is>
      </c>
      <c r="B227" s="3103">
        <f>SUM(D227+F227+H227+J227+L227+N227+P227+R227+T227+V227+X227+Z227+AB227+AD227+AF227+AH227+AJ227)</f>
        <v/>
      </c>
      <c r="C227" s="1171">
        <f>SUM(E227+G227+I227+K227+M227+O227+Q227+S227+U227+W227+Y227+AA227+AC227+AE227+AG227+AI227+AK227)</f>
        <v/>
      </c>
      <c r="D227" s="3097" t="n"/>
      <c r="E227" s="3110" t="n"/>
      <c r="F227" s="3109" t="n"/>
      <c r="G227" s="3110" t="n"/>
      <c r="H227" s="3109" t="n"/>
      <c r="I227" s="3110" t="n"/>
      <c r="J227" s="3108" t="n"/>
      <c r="K227" s="3107" t="n"/>
      <c r="L227" s="3108" t="n"/>
      <c r="M227" s="3107" t="n"/>
      <c r="N227" s="3108" t="n"/>
      <c r="O227" s="3107" t="n"/>
      <c r="P227" s="3108" t="n"/>
      <c r="Q227" s="3107" t="n"/>
      <c r="R227" s="3108" t="n"/>
      <c r="S227" s="3107" t="n"/>
      <c r="T227" s="3108" t="n"/>
      <c r="U227" s="3107" t="n"/>
      <c r="V227" s="3108" t="n"/>
      <c r="W227" s="3107" t="n"/>
      <c r="X227" s="3108" t="n"/>
      <c r="Y227" s="3107" t="n"/>
      <c r="Z227" s="3108" t="n"/>
      <c r="AA227" s="3107" t="n"/>
      <c r="AB227" s="3108" t="n"/>
      <c r="AC227" s="3107" t="n"/>
      <c r="AD227" s="3108" t="n"/>
      <c r="AE227" s="3107" t="n"/>
      <c r="AF227" s="3108" t="n"/>
      <c r="AG227" s="3107" t="n"/>
      <c r="AH227" s="3108" t="n"/>
      <c r="AI227" s="3107" t="n"/>
      <c r="AJ227" s="3108" t="n"/>
      <c r="AK227" s="3098" t="n"/>
      <c r="AL227" s="3100" t="n"/>
      <c r="AM227" s="3098" t="n"/>
      <c r="AN227" s="3099" t="n"/>
      <c r="AO227" s="3149" t="n"/>
      <c r="AP227" s="3100" t="n"/>
      <c r="AQ227" s="3172" t="n"/>
      <c r="AR227" s="218">
        <f>$CA227&amp;CB227&amp;CC227&amp;CD227&amp;CE227&amp;CG227&amp;CF227</f>
        <v/>
      </c>
      <c r="CA227" s="379">
        <f>IF(C227&gt;B227," * El Total de Exámenes reactivos NO DEBE SUPERAR los Exámenes Procesados. ","")</f>
        <v/>
      </c>
      <c r="CB227" s="219">
        <f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>
        <f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>
        <f>IF(AND(B227&gt;0,AP227="")," * No olvide digitar la variable Pueblos originarios. Digite cero si no tiene.",IF(AP227&gt;B227," * La variable Pueblos originarios no puede ser mayor que el Total de Procesados.",""))</f>
        <v/>
      </c>
      <c r="CE227" s="219">
        <f>IF(AND(B227&gt;0,AQ227="")," * No olvide digitar la variable Migrantes. Digite cero si no tiene.",IF(AQ227&gt;B227," * La variable Migrantes no puede ser mayor que el Total de Procesados.",""))</f>
        <v/>
      </c>
      <c r="CF227" s="226" t="n"/>
      <c r="CG227" s="227" t="n"/>
      <c r="DF227" s="376">
        <f>IF(C227&gt;B227,1,0)</f>
        <v/>
      </c>
      <c r="DG227" s="376">
        <f>IF(AND(B227&gt;0,AND(AL227+AM227="")),1,IF(B227&lt;&gt;(AL227+AM227),1,0))</f>
        <v/>
      </c>
      <c r="DH227" s="376">
        <f>IF(AND(B227&gt;0,AND(AN227="",AO227="")),1,IF((AN227+AO227)&gt;B227,1,0))</f>
        <v/>
      </c>
      <c r="DI227" s="376">
        <f>IF(AND(B227&gt;0,AP227=""),1,IF(AP227&gt;B227,1,0))</f>
        <v/>
      </c>
      <c r="DJ227" s="376">
        <f>IF(AND(B227&gt;0,AQ227=""),1,IF(AQ227&gt;B227,1,0))</f>
        <v/>
      </c>
      <c r="DK227" s="226" t="n"/>
    </row>
    <row r="228">
      <c r="A228" s="3171" t="inlineStr">
        <is>
          <t>Personas VIH (+)</t>
        </is>
      </c>
      <c r="B228" s="3103">
        <f>SUM(D228+F228+H228+J228+L228+N228+P228+R228+T228+V228+X228+Z228+AB228+AD228+AF228+AH228+AJ228)</f>
        <v/>
      </c>
      <c r="C228" s="1171">
        <f>SUM(E228+G228+I228+K228+M228+O228+Q228+S228+U228+W228+Y228+AA228+AC228+AE228+AG228+AI228+AK228)</f>
        <v/>
      </c>
      <c r="D228" s="3100" t="n"/>
      <c r="E228" s="3107" t="n"/>
      <c r="F228" s="3108" t="n"/>
      <c r="G228" s="3107" t="n"/>
      <c r="H228" s="3108" t="n"/>
      <c r="I228" s="3107" t="n"/>
      <c r="J228" s="3108" t="n"/>
      <c r="K228" s="3107" t="n"/>
      <c r="L228" s="3108" t="n"/>
      <c r="M228" s="3107" t="n"/>
      <c r="N228" s="3108" t="n"/>
      <c r="O228" s="3107" t="n"/>
      <c r="P228" s="3108" t="n"/>
      <c r="Q228" s="3107" t="n"/>
      <c r="R228" s="3108" t="n"/>
      <c r="S228" s="3107" t="n"/>
      <c r="T228" s="3108" t="n"/>
      <c r="U228" s="3107" t="n"/>
      <c r="V228" s="3108" t="n"/>
      <c r="W228" s="3107" t="n"/>
      <c r="X228" s="3108" t="n"/>
      <c r="Y228" s="3107" t="n"/>
      <c r="Z228" s="3108" t="n"/>
      <c r="AA228" s="3107" t="n"/>
      <c r="AB228" s="3108" t="n"/>
      <c r="AC228" s="3107" t="n"/>
      <c r="AD228" s="3108" t="n"/>
      <c r="AE228" s="3107" t="n"/>
      <c r="AF228" s="3108" t="n"/>
      <c r="AG228" s="3107" t="n"/>
      <c r="AH228" s="3108" t="n"/>
      <c r="AI228" s="3107" t="n"/>
      <c r="AJ228" s="3108" t="n"/>
      <c r="AK228" s="3098" t="n"/>
      <c r="AL228" s="3100" t="n"/>
      <c r="AM228" s="3098" t="n"/>
      <c r="AN228" s="3099" t="n"/>
      <c r="AO228" s="3149" t="n"/>
      <c r="AP228" s="3100" t="n"/>
      <c r="AQ228" s="3172" t="n"/>
      <c r="AR228" s="218">
        <f>$CA228&amp;CB228&amp;CC228&amp;CD228&amp;CE228&amp;CG228&amp;CF228</f>
        <v/>
      </c>
      <c r="CA228" s="379">
        <f>IF(C228&gt;B228," * El Total de Exámenes reactivos NO DEBE SUPERAR los Exámenes Procesados. ","")</f>
        <v/>
      </c>
      <c r="CB228" s="219">
        <f>IF(AND(B228&gt;0,AND(AL228+AM228=""))," * No olvide digitar la variable POR SEXO (Procesados). Digite cero si no tiene.",IF(B228&lt;&gt;(AL228+AM228)," * La suma de las variables POR SEXO (Procesados) debe ser igual al Total de procesados.",""))</f>
        <v/>
      </c>
      <c r="CC228" s="219">
        <f>IF(AND(B228&gt;0,AND(AN228="",AO228=""))," * No olvide digitar la variable Trans (Masculino o Femenino). Digite cero si no tiene.",IF((AN228+AO228)&gt;B228," *  La suma de exámenes a Trans (Masculino + Femenino) no puede ser mayor que el Total de Procesados .",""))</f>
        <v/>
      </c>
      <c r="CD228" s="219">
        <f>IF(AND(B228&gt;0,AP228="")," * No olvide digitar la variable Pueblos originarios. Digite cero si no tiene.",IF(AP228&gt;B228," * La variable Pueblos originarios no puede ser mayor que el Total de Procesados.",""))</f>
        <v/>
      </c>
      <c r="CE228" s="219">
        <f>IF(AND(B228&gt;0,AQ228="")," * No olvide digitar la variable Migrantes. Digite cero si no tiene.",IF(AQ228&gt;B228," * La variable Migrantes no puede ser mayor que el Total de Procesados.",""))</f>
        <v/>
      </c>
      <c r="CF228" s="226" t="n"/>
      <c r="CG228" s="227" t="n"/>
      <c r="DF228" s="376">
        <f>IF(C228&gt;B228,1,0)</f>
        <v/>
      </c>
      <c r="DG228" s="376">
        <f>IF(AND(B228&gt;0,AND(AL228+AM228="")),1,IF(B228&lt;&gt;(AL228+AM228),1,0))</f>
        <v/>
      </c>
      <c r="DH228" s="376">
        <f>IF(AND(B228&gt;0,AND(AN228="",AO228="")),1,IF((AN228+AO228)&gt;B228,1,0))</f>
        <v/>
      </c>
      <c r="DI228" s="376">
        <f>IF(AND(B228&gt;0,AP228=""),1,IF(AP228&gt;B228,1,0))</f>
        <v/>
      </c>
      <c r="DJ228" s="376">
        <f>IF(AND(B228&gt;0,AQ228=""),1,IF(AQ228&gt;B228,1,0))</f>
        <v/>
      </c>
      <c r="DK228" s="226" t="n"/>
    </row>
    <row r="229">
      <c r="A229" s="3171" t="inlineStr">
        <is>
          <t>Consultante ITS ambulatorio (Nivel 1º y 2º)</t>
        </is>
      </c>
      <c r="B229" s="3103">
        <f>SUM(D229+F229+H229+J229+L229+N229+P229+R229+T229+V229+X229+Z229+AB229+AD229+AF229+AH229+AJ229)</f>
        <v/>
      </c>
      <c r="C229" s="1171">
        <f>SUM(E229+G229+I229+K229+M229+O229+Q229+S229+U229+W229+Y229+AA229+AC229+AE229+AG229+AI229+AK229)</f>
        <v/>
      </c>
      <c r="D229" s="3100" t="n"/>
      <c r="E229" s="3107" t="n"/>
      <c r="F229" s="3108" t="n"/>
      <c r="G229" s="3107" t="n"/>
      <c r="H229" s="3108" t="n"/>
      <c r="I229" s="3107" t="n"/>
      <c r="J229" s="3108" t="n"/>
      <c r="K229" s="3107" t="n"/>
      <c r="L229" s="3108" t="n"/>
      <c r="M229" s="3107" t="n"/>
      <c r="N229" s="3108" t="n"/>
      <c r="O229" s="3107" t="n"/>
      <c r="P229" s="3108" t="n"/>
      <c r="Q229" s="3107" t="n"/>
      <c r="R229" s="3108" t="n"/>
      <c r="S229" s="3107" t="n"/>
      <c r="T229" s="3108" t="n"/>
      <c r="U229" s="3107" t="n"/>
      <c r="V229" s="3108" t="n"/>
      <c r="W229" s="3107" t="n"/>
      <c r="X229" s="3108" t="n"/>
      <c r="Y229" s="3107" t="n"/>
      <c r="Z229" s="3108" t="n"/>
      <c r="AA229" s="3107" t="n"/>
      <c r="AB229" s="3108" t="n"/>
      <c r="AC229" s="3107" t="n"/>
      <c r="AD229" s="3108" t="n"/>
      <c r="AE229" s="3107" t="n"/>
      <c r="AF229" s="3108" t="n"/>
      <c r="AG229" s="3107" t="n"/>
      <c r="AH229" s="3108" t="n"/>
      <c r="AI229" s="3107" t="n"/>
      <c r="AJ229" s="3108" t="n"/>
      <c r="AK229" s="3098" t="n"/>
      <c r="AL229" s="3100" t="n"/>
      <c r="AM229" s="3098" t="n"/>
      <c r="AN229" s="3099" t="n"/>
      <c r="AO229" s="3149" t="n"/>
      <c r="AP229" s="3100" t="n"/>
      <c r="AQ229" s="3172" t="n"/>
      <c r="AR229" s="218">
        <f>$CA229&amp;CB229&amp;CC229&amp;CD229&amp;CE229&amp;CG229&amp;CF229</f>
        <v/>
      </c>
      <c r="CA229" s="379">
        <f>IF(C229&gt;B229," * El Total de Exámenes reactivos NO DEBE SUPERAR los Exámenes Procesados. ","")</f>
        <v/>
      </c>
      <c r="CB229" s="219">
        <f>IF(AND(B229&gt;0,AND(AL229+AM229=""))," * No olvide digitar la variable POR SEXO (Procesados). Digite cero si no tiene.",IF(B229&lt;&gt;(AL229+AM229)," * La suma de las variables POR SEXO (Procesados) debe ser igual al Total de procesados.",""))</f>
        <v/>
      </c>
      <c r="CC229" s="219">
        <f>IF(AND(B229&gt;0,AND(AN229="",AO229=""))," * No olvide digitar la variable Trans (Masculino o Femenino). Digite cero si no tiene.",IF((AN229+AO229)&gt;B229," *  La suma de exámenes a Trans (Masculino + Femenino) no puede ser mayor que el Total de Procesados .",""))</f>
        <v/>
      </c>
      <c r="CD229" s="219">
        <f>IF(AND(B229&gt;0,AP229="")," * No olvide digitar la variable Pueblos originarios. Digite cero si no tiene.",IF(AP229&gt;B229," * La variable Pueblos originarios no puede ser mayor que el Total de Procesados.",""))</f>
        <v/>
      </c>
      <c r="CE229" s="219">
        <f>IF(AND(B229&gt;0,AQ229="")," * No olvide digitar la variable Migrantes. Digite cero si no tiene.",IF(AQ229&gt;B229," * La variable Migrantes no puede ser mayor que el Total de Procesados.",""))</f>
        <v/>
      </c>
      <c r="CF229" s="226" t="n"/>
      <c r="CG229" s="227" t="n"/>
      <c r="DF229" s="376">
        <f>IF(C229&gt;B229,1,0)</f>
        <v/>
      </c>
      <c r="DG229" s="376">
        <f>IF(AND(B229&gt;0,AND(AL229+AM229="")),1,IF(B229&lt;&gt;(AL229+AM229),1,0))</f>
        <v/>
      </c>
      <c r="DH229" s="376">
        <f>IF(AND(B229&gt;0,AND(AN229="",AO229="")),1,IF((AN229+AO229)&gt;B229,1,0))</f>
        <v/>
      </c>
      <c r="DI229" s="376">
        <f>IF(AND(B229&gt;0,AP229=""),1,IF(AP229&gt;B229,1,0))</f>
        <v/>
      </c>
      <c r="DJ229" s="376">
        <f>IF(AND(B229&gt;0,AQ229=""),1,IF(AQ229&gt;B229,1,0))</f>
        <v/>
      </c>
      <c r="DK229" s="226" t="n"/>
    </row>
    <row r="230">
      <c r="A230" s="3173" t="inlineStr">
        <is>
          <t>Consultante ITS hospitalario (nivel 3º y Urgencia)</t>
        </is>
      </c>
      <c r="B230" s="3103">
        <f>SUM(D230+F230+H230+J230+L230+N230+P230+R230+T230+V230+X230+Z230+AB230+AD230+AF230+AH230+AJ230)</f>
        <v/>
      </c>
      <c r="C230" s="1171">
        <f>SUM(E230+G230+I230+K230+M230+O230+Q230+S230+U230+W230+Y230+AA230+AC230+AE230+AG230+AI230+AK230)</f>
        <v/>
      </c>
      <c r="D230" s="3100" t="n"/>
      <c r="E230" s="3107" t="n"/>
      <c r="F230" s="3108" t="n"/>
      <c r="G230" s="3107" t="n"/>
      <c r="H230" s="3108" t="n"/>
      <c r="I230" s="3107" t="n"/>
      <c r="J230" s="3108" t="n"/>
      <c r="K230" s="3107" t="n"/>
      <c r="L230" s="3108" t="n"/>
      <c r="M230" s="3107" t="n"/>
      <c r="N230" s="3108" t="n"/>
      <c r="O230" s="3107" t="n"/>
      <c r="P230" s="3108" t="n"/>
      <c r="Q230" s="3107" t="n"/>
      <c r="R230" s="3108" t="n"/>
      <c r="S230" s="3107" t="n"/>
      <c r="T230" s="3108" t="n"/>
      <c r="U230" s="3107" t="n"/>
      <c r="V230" s="3108" t="n"/>
      <c r="W230" s="3107" t="n"/>
      <c r="X230" s="3108" t="n"/>
      <c r="Y230" s="3107" t="n"/>
      <c r="Z230" s="3108" t="n"/>
      <c r="AA230" s="3107" t="n"/>
      <c r="AB230" s="3108" t="n"/>
      <c r="AC230" s="3107" t="n"/>
      <c r="AD230" s="3108" t="n"/>
      <c r="AE230" s="3107" t="n"/>
      <c r="AF230" s="3108" t="n"/>
      <c r="AG230" s="3107" t="n"/>
      <c r="AH230" s="3108" t="n"/>
      <c r="AI230" s="3107" t="n"/>
      <c r="AJ230" s="3108" t="n"/>
      <c r="AK230" s="3098" t="n"/>
      <c r="AL230" s="3100" t="n"/>
      <c r="AM230" s="3098" t="n"/>
      <c r="AN230" s="3099" t="n"/>
      <c r="AO230" s="3149" t="n"/>
      <c r="AP230" s="3100" t="n"/>
      <c r="AQ230" s="3172" t="n"/>
      <c r="AR230" s="218">
        <f>$CA230&amp;CB230&amp;CC230&amp;CD230&amp;CE230&amp;CG230&amp;CF230</f>
        <v/>
      </c>
      <c r="CA230" s="379">
        <f>IF(C230&gt;B230," * El Total de Exámenes reactivos NO DEBE SUPERAR los Exámenes Procesados. ","")</f>
        <v/>
      </c>
      <c r="CB230" s="219">
        <f>IF(AND(B230&gt;0,AND(AL230+AM230=""))," * No olvide digitar la variable POR SEXO (Procesados). Digite cero si no tiene.",IF(B230&lt;&gt;(AL230+AM230)," * La suma de las variables POR SEXO (Procesados) debe ser igual al Total de procesados.",""))</f>
        <v/>
      </c>
      <c r="CC230" s="219">
        <f>IF(AND(B230&gt;0,AND(AN230="",AO230=""))," * No olvide digitar la variable Trans (Masculino o Femenino). Digite cero si no tiene.",IF((AN230+AO230)&gt;B230," *  La suma de exámenes a Trans (Masculino + Femenino) no puede ser mayor que el Total de Procesados .",""))</f>
        <v/>
      </c>
      <c r="CD230" s="219">
        <f>IF(AND(B230&gt;0,AP230="")," * No olvide digitar la variable Pueblos originarios. Digite cero si no tiene.",IF(AP230&gt;B230," * La variable Pueblos originarios no puede ser mayor que el Total de Procesados.",""))</f>
        <v/>
      </c>
      <c r="CE230" s="219">
        <f>IF(AND(B230&gt;0,AQ230="")," * No olvide digitar la variable Migrantes. Digite cero si no tiene.",IF(AQ230&gt;B230," * La variable Migrantes no puede ser mayor que el Total de Procesados.",""))</f>
        <v/>
      </c>
      <c r="CF230" s="226" t="n"/>
      <c r="CG230" s="227" t="n"/>
      <c r="DF230" s="376">
        <f>IF(C230&gt;B230,1,0)</f>
        <v/>
      </c>
      <c r="DG230" s="376">
        <f>IF(AND(B230&gt;0,AND(AL230+AM230="")),1,IF(B230&lt;&gt;(AL230+AM230),1,0))</f>
        <v/>
      </c>
      <c r="DH230" s="376">
        <f>IF(AND(B230&gt;0,AND(AN230="",AO230="")),1,IF((AN230+AO230)&gt;B230,1,0))</f>
        <v/>
      </c>
      <c r="DI230" s="376">
        <f>IF(AND(B230&gt;0,AP230=""),1,IF(AP230&gt;B230,1,0))</f>
        <v/>
      </c>
      <c r="DJ230" s="376">
        <f>IF(AND(B230&gt;0,AQ230=""),1,IF(AQ230&gt;B230,1,0))</f>
        <v/>
      </c>
      <c r="DK230" s="226" t="n"/>
    </row>
    <row r="231">
      <c r="A231" s="3171" t="inlineStr">
        <is>
          <t>Víctima de violencia sexual</t>
        </is>
      </c>
      <c r="B231" s="3103">
        <f>SUM(D231+F231+H231+J231+L231+N231+P231+R231+T231+V231+X231+Z231+AB231+AD231+AF231+AH231+AJ231)</f>
        <v/>
      </c>
      <c r="C231" s="1171">
        <f>SUM(E231+G231+I231+K231+M231+O231+Q231+S231+U231+W231+Y231+AA231+AC231+AE231+AG231+AI231+AK231)</f>
        <v/>
      </c>
      <c r="D231" s="3100" t="n"/>
      <c r="E231" s="3107" t="n"/>
      <c r="F231" s="3108" t="n"/>
      <c r="G231" s="3107" t="n"/>
      <c r="H231" s="3108" t="n"/>
      <c r="I231" s="3107" t="n"/>
      <c r="J231" s="3108" t="n"/>
      <c r="K231" s="3107" t="n"/>
      <c r="L231" s="3108" t="n"/>
      <c r="M231" s="3107" t="n"/>
      <c r="N231" s="3108" t="n"/>
      <c r="O231" s="3107" t="n"/>
      <c r="P231" s="3108" t="n"/>
      <c r="Q231" s="3107" t="n"/>
      <c r="R231" s="3108" t="n"/>
      <c r="S231" s="3107" t="n"/>
      <c r="T231" s="3108" t="n"/>
      <c r="U231" s="3107" t="n"/>
      <c r="V231" s="3108" t="n"/>
      <c r="W231" s="3107" t="n"/>
      <c r="X231" s="3108" t="n"/>
      <c r="Y231" s="3107" t="n"/>
      <c r="Z231" s="3108" t="n"/>
      <c r="AA231" s="3107" t="n"/>
      <c r="AB231" s="3108" t="n"/>
      <c r="AC231" s="3107" t="n"/>
      <c r="AD231" s="3108" t="n"/>
      <c r="AE231" s="3107" t="n"/>
      <c r="AF231" s="3108" t="n"/>
      <c r="AG231" s="3107" t="n"/>
      <c r="AH231" s="3108" t="n"/>
      <c r="AI231" s="3107" t="n"/>
      <c r="AJ231" s="3108" t="n"/>
      <c r="AK231" s="3098" t="n"/>
      <c r="AL231" s="3100" t="n"/>
      <c r="AM231" s="3098" t="n"/>
      <c r="AN231" s="3099" t="n"/>
      <c r="AO231" s="3149" t="n"/>
      <c r="AP231" s="3100" t="n"/>
      <c r="AQ231" s="3172" t="n"/>
      <c r="AR231" s="218">
        <f>$CA231&amp;CB231&amp;CC231&amp;CD231&amp;CE231&amp;CG231&amp;CF231</f>
        <v/>
      </c>
      <c r="CA231" s="379">
        <f>IF(C231&gt;B231," * El Total de Exámenes reactivos NO DEBE SUPERAR los Exámenes Procesados. ","")</f>
        <v/>
      </c>
      <c r="CB231" s="219">
        <f>IF(AND(B231&gt;0,AND(AL231+AM231=""))," * No olvide digitar la variable POR SEXO (Procesados). Digite cero si no tiene.",IF(B231&lt;&gt;(AL231+AM231)," * La suma de las variables POR SEXO (Procesados) debe ser igual al Total de procesados.",""))</f>
        <v/>
      </c>
      <c r="CC231" s="219">
        <f>IF(AND(B231&gt;0,AND(AN231="",AO231=""))," * No olvide digitar la variable Trans (Masculino o Femenino). Digite cero si no tiene.",IF((AN231+AO231)&gt;B231," *  La suma de exámenes a Trans (Masculino + Femenino) no puede ser mayor que el Total de Procesados .",""))</f>
        <v/>
      </c>
      <c r="CD231" s="219">
        <f>IF(AND(B231&gt;0,AP231="")," * No olvide digitar la variable Pueblos originarios. Digite cero si no tiene.",IF(AP231&gt;B231," * La variable Pueblos originarios no puede ser mayor que el Total de Procesados.",""))</f>
        <v/>
      </c>
      <c r="CE231" s="219">
        <f>IF(AND(B231&gt;0,AQ231="")," * No olvide digitar la variable Migrantes. Digite cero si no tiene.",IF(AQ231&gt;B231," * La variable Migrantes no puede ser mayor que el Total de Procesados.",""))</f>
        <v/>
      </c>
      <c r="CF231" s="226" t="n"/>
      <c r="CG231" s="227" t="n"/>
      <c r="DF231" s="376">
        <f>IF(C231&gt;B231,1,0)</f>
        <v/>
      </c>
      <c r="DG231" s="376">
        <f>IF(AND(B231&gt;0,AND(AL231+AM231="")),1,IF(B231&lt;&gt;(AL231+AM231),1,0))</f>
        <v/>
      </c>
      <c r="DH231" s="376">
        <f>IF(AND(B231&gt;0,AND(AN231="",AO231="")),1,IF((AN231+AO231)&gt;B231,1,0))</f>
        <v/>
      </c>
      <c r="DI231" s="376">
        <f>IF(AND(B231&gt;0,AP231=""),1,IF(AP231&gt;B231,1,0))</f>
        <v/>
      </c>
      <c r="DJ231" s="376">
        <f>IF(AND(B231&gt;0,AQ231=""),1,IF(AQ231&gt;B231,1,0))</f>
        <v/>
      </c>
      <c r="DK231" s="226" t="n"/>
    </row>
    <row r="232">
      <c r="A232" s="7720" t="inlineStr">
        <is>
          <t>Otros</t>
        </is>
      </c>
      <c r="B232" s="2576">
        <f>SUM(D232+F232+H232+J232+L232+N232+P232+R232+T232+V232+X232+Z232+AB232+AD232+AF232+AH232+AJ232)</f>
        <v/>
      </c>
      <c r="C232" s="2464">
        <f>SUM(E232+G232+I232+K232+M232+O232+Q232+S232+U232+W232+Y232+AA232+AC232+AE232+AG232+AI232+AK232)</f>
        <v/>
      </c>
      <c r="D232" s="1140" t="n"/>
      <c r="E232" s="1153" t="n"/>
      <c r="F232" s="1137" t="n"/>
      <c r="G232" s="1153" t="n"/>
      <c r="H232" s="1137" t="n"/>
      <c r="I232" s="1153" t="n"/>
      <c r="J232" s="1137" t="n"/>
      <c r="K232" s="1153" t="n"/>
      <c r="L232" s="1137" t="n"/>
      <c r="M232" s="1153" t="n"/>
      <c r="N232" s="1137" t="n"/>
      <c r="O232" s="1153" t="n"/>
      <c r="P232" s="1137" t="n"/>
      <c r="Q232" s="1153" t="n"/>
      <c r="R232" s="1137" t="n"/>
      <c r="S232" s="1153" t="n"/>
      <c r="T232" s="1137" t="n"/>
      <c r="U232" s="1153" t="n"/>
      <c r="V232" s="1137" t="n"/>
      <c r="W232" s="1153" t="n"/>
      <c r="X232" s="1137" t="n"/>
      <c r="Y232" s="1153" t="n"/>
      <c r="Z232" s="1137" t="n"/>
      <c r="AA232" s="1153" t="n"/>
      <c r="AB232" s="1137" t="n"/>
      <c r="AC232" s="1153" t="n"/>
      <c r="AD232" s="1137" t="n"/>
      <c r="AE232" s="1153" t="n"/>
      <c r="AF232" s="1137" t="n"/>
      <c r="AG232" s="1153" t="n"/>
      <c r="AH232" s="1137" t="n"/>
      <c r="AI232" s="1153" t="n"/>
      <c r="AJ232" s="1137" t="n"/>
      <c r="AK232" s="1143" t="n"/>
      <c r="AL232" s="1140" t="n"/>
      <c r="AM232" s="1143" t="n"/>
      <c r="AN232" s="1152" t="n"/>
      <c r="AO232" s="1416" t="n"/>
      <c r="AP232" s="1140" t="n"/>
      <c r="AQ232" s="1299" t="n"/>
      <c r="AR232" s="218">
        <f>$CA232&amp;CB232&amp;CC232&amp;CD232&amp;CE232&amp;CG232&amp;CF232</f>
        <v/>
      </c>
      <c r="CA232" s="379">
        <f>IF(C232&gt;B232," * El Total de Exámenes reactivos NO DEBE SUPERAR los Exámenes Procesados. ","")</f>
        <v/>
      </c>
      <c r="CB232" s="219">
        <f>IF(AND(B232&gt;0,AND(AL232+AM232=""))," * No olvide digitar la variable POR SEXO (Procesados). Digite cero si no tiene.",IF(B232&lt;&gt;(AL232+AM232)," * La suma de las variables POR SEXO (Procesados) debe ser igual al Total de procesados.",""))</f>
        <v/>
      </c>
      <c r="CC232" s="219">
        <f>IF(AND(B232&gt;0,AND(AN232="",AO232=""))," * No olvide digitar la variable Trans (Masculino o Femenino). Digite cero si no tiene.",IF((AN232+AO232)&gt;B232," *  La suma de exámenes a Trans (Masculino + Femenino) no puede ser mayor que el Total de Procesados .",""))</f>
        <v/>
      </c>
      <c r="CD232" s="219">
        <f>IF(AND(B232&gt;0,AP232="")," * No olvide digitar la variable Pueblos originarios. Digite cero si no tiene.",IF(AP232&gt;B232," * La variable Pueblos originarios no puede ser mayor que el Total de Procesados.",""))</f>
        <v/>
      </c>
      <c r="CE232" s="219">
        <f>IF(AND(B232&gt;0,AQ232="")," * No olvide digitar la variable Migrantes. Digite cero si no tiene.",IF(AQ232&gt;B232," * La variable Migrantes no puede ser mayor que el Total de Procesados.",""))</f>
        <v/>
      </c>
      <c r="CF232" s="226" t="n"/>
      <c r="CG232" s="227" t="n"/>
      <c r="DF232" s="376">
        <f>IF(C232&gt;B232,1,0)</f>
        <v/>
      </c>
      <c r="DG232" s="376">
        <f>IF(AND(B232&gt;0,AND(AL232+AM232="")),1,IF(B232&lt;&gt;(AL232+AM232),1,0))</f>
        <v/>
      </c>
      <c r="DH232" s="376">
        <f>IF(AND(B232&gt;0,AND(AN232="",AO232="")),1,IF((AN232+AO232)&gt;B232,1,0))</f>
        <v/>
      </c>
      <c r="DI232" s="376">
        <f>IF(AND(B232&gt;0,AP232=""),1,IF(AP232&gt;B232,1,0))</f>
        <v/>
      </c>
      <c r="DJ232" s="376">
        <f>IF(AND(B232&gt;0,AQ232=""),1,IF(AQ232&gt;B232,1,0))</f>
        <v/>
      </c>
      <c r="DK232" s="226" t="n"/>
    </row>
    <row r="233" ht="18" customHeight="1" s="8286">
      <c r="A233" s="2677" t="inlineStr">
        <is>
          <t>SECCIÓN F: EXÁMENES  DE  VIH POR TECNICA VISUAL/RAPIDA Y GRUPOS DE USUARIOS (USO EXCLUSIVO DE ESTABLECIMIENTOS NO LABORATORIOS)</t>
        </is>
      </c>
      <c r="B233" s="2677" t="n"/>
      <c r="C233" s="2677" t="n"/>
      <c r="D233" s="2677" t="n"/>
      <c r="E233" s="2677" t="n"/>
      <c r="F233" s="2677" t="n"/>
      <c r="G233" s="2677" t="n"/>
      <c r="H233" s="2677" t="n"/>
      <c r="I233" s="2677" t="n"/>
      <c r="J233" s="2677" t="n"/>
      <c r="K233" s="2677" t="n"/>
      <c r="L233" s="2677" t="n"/>
      <c r="M233" s="2677" t="n"/>
      <c r="N233" s="2677" t="n"/>
      <c r="O233" s="2677" t="n"/>
      <c r="P233" s="2677" t="n"/>
      <c r="Q233" s="2677" t="n"/>
      <c r="R233" s="2677" t="n"/>
      <c r="S233" s="2677" t="n"/>
      <c r="T233" s="2677" t="n"/>
      <c r="U233" s="2677" t="n"/>
      <c r="V233" s="2677" t="n"/>
      <c r="W233" s="2677" t="n"/>
      <c r="X233" s="2677" t="n"/>
      <c r="Y233" s="2677" t="n"/>
      <c r="Z233" s="2677" t="n"/>
      <c r="AA233" s="2677" t="n"/>
      <c r="AB233" s="2677" t="n"/>
      <c r="AC233" s="2677" t="n"/>
      <c r="AD233" s="2677" t="n"/>
      <c r="AE233" s="2677" t="n"/>
      <c r="AF233" s="2677" t="n"/>
      <c r="AG233" s="2677" t="n"/>
      <c r="AH233" s="2677" t="n"/>
      <c r="AI233" s="2677" t="n"/>
      <c r="AJ233" s="2677" t="n"/>
      <c r="AK233" s="227" t="n"/>
      <c r="AL233" s="227" t="n"/>
      <c r="AM233" s="227" t="n"/>
      <c r="AN233" s="227" t="n"/>
      <c r="AO233" s="227" t="n"/>
      <c r="AP233" s="227" t="n"/>
      <c r="AQ233" s="227" t="n"/>
      <c r="AR233" s="227" t="n"/>
      <c r="AS233" s="227" t="n"/>
      <c r="AT233" s="227" t="n"/>
      <c r="AU233" s="227" t="n"/>
      <c r="AV233" s="227" t="n"/>
      <c r="AW233" s="227" t="n"/>
      <c r="AX233" s="227" t="n"/>
    </row>
    <row r="234">
      <c r="A234" s="10315" t="inlineStr">
        <is>
          <t>GRUPOS DE USUARIOS POR INSTANCIA</t>
        </is>
      </c>
      <c r="B234" s="9630" t="n"/>
      <c r="C234" s="10316" t="inlineStr">
        <is>
          <t>TOTAL</t>
        </is>
      </c>
      <c r="D234" s="9630" t="n"/>
      <c r="E234" s="10317" t="inlineStr">
        <is>
          <t>RANGO ETARIO</t>
        </is>
      </c>
      <c r="F234" s="9584" t="n"/>
      <c r="G234" s="9584" t="n"/>
      <c r="H234" s="9584" t="n"/>
      <c r="I234" s="9584" t="n"/>
      <c r="J234" s="9584" t="n"/>
      <c r="K234" s="9584" t="n"/>
      <c r="L234" s="9584" t="n"/>
      <c r="M234" s="9584" t="n"/>
      <c r="N234" s="9584" t="n"/>
      <c r="O234" s="9584" t="n"/>
      <c r="P234" s="9584" t="n"/>
      <c r="Q234" s="9584" t="n"/>
      <c r="R234" s="9584" t="n"/>
      <c r="S234" s="9584" t="n"/>
      <c r="T234" s="9584" t="n"/>
      <c r="U234" s="9584" t="n"/>
      <c r="V234" s="9584" t="n"/>
      <c r="W234" s="9584" t="n"/>
      <c r="X234" s="9584" t="n"/>
      <c r="Y234" s="9584" t="n"/>
      <c r="Z234" s="9584" t="n"/>
      <c r="AA234" s="9584" t="n"/>
      <c r="AB234" s="9584" t="n"/>
      <c r="AC234" s="9584" t="n"/>
      <c r="AD234" s="9584" t="n"/>
      <c r="AE234" s="9584" t="n"/>
      <c r="AF234" s="9584" t="n"/>
      <c r="AG234" s="9584" t="n"/>
      <c r="AH234" s="9584" t="n"/>
      <c r="AI234" s="9584" t="n"/>
      <c r="AJ234" s="9595" t="n"/>
      <c r="AK234" s="10301" t="inlineStr">
        <is>
          <t>POR SEXO</t>
        </is>
      </c>
      <c r="AL234" s="9617" t="n"/>
      <c r="AM234" s="9617" t="n"/>
      <c r="AN234" s="9597" t="n"/>
      <c r="AO234" s="10301" t="inlineStr">
        <is>
          <t>TRANS</t>
        </is>
      </c>
      <c r="AP234" s="9617" t="n"/>
      <c r="AQ234" s="9617" t="n"/>
      <c r="AR234" s="9597" t="n"/>
      <c r="AS234" s="10318" t="inlineStr">
        <is>
          <t>Pueblos originarios</t>
        </is>
      </c>
      <c r="AT234" s="10319" t="n"/>
      <c r="AU234" s="10318" t="inlineStr">
        <is>
          <t>Migrantes</t>
        </is>
      </c>
      <c r="AV234" s="10319" t="n"/>
      <c r="AW234" s="10005" t="inlineStr">
        <is>
          <t>14-18 años</t>
        </is>
      </c>
      <c r="AX234" s="9630" t="n"/>
    </row>
    <row r="235">
      <c r="A235" s="642" t="n"/>
      <c r="B235" s="9718" t="n"/>
      <c r="C235" s="9697" t="n"/>
      <c r="D235" s="9639" t="n"/>
      <c r="E235" s="10006" t="inlineStr">
        <is>
          <t>Menos de 12 meses</t>
        </is>
      </c>
      <c r="F235" s="9584" t="n"/>
      <c r="G235" s="10006" t="inlineStr">
        <is>
          <t>12-24 meses</t>
        </is>
      </c>
      <c r="H235" s="9584" t="n"/>
      <c r="I235" s="10006" t="inlineStr">
        <is>
          <t>3 - 4 años</t>
        </is>
      </c>
      <c r="J235" s="9584" t="n"/>
      <c r="K235" s="9977" t="inlineStr">
        <is>
          <t>5 - 9 años</t>
        </is>
      </c>
      <c r="L235" s="9582" t="n"/>
      <c r="M235" s="9977" t="inlineStr">
        <is>
          <t>10 - 14 años</t>
        </is>
      </c>
      <c r="N235" s="9582" t="n"/>
      <c r="O235" s="9977" t="inlineStr">
        <is>
          <t>15 - 19 años</t>
        </is>
      </c>
      <c r="P235" s="9582" t="n"/>
      <c r="Q235" s="9977" t="inlineStr">
        <is>
          <t>20 - 24 años</t>
        </is>
      </c>
      <c r="R235" s="9582" t="n"/>
      <c r="S235" s="9977" t="inlineStr">
        <is>
          <t>25 - 29 años</t>
        </is>
      </c>
      <c r="T235" s="9582" t="n"/>
      <c r="U235" s="9977" t="inlineStr">
        <is>
          <t>30 - 34 años</t>
        </is>
      </c>
      <c r="V235" s="9582" t="n"/>
      <c r="W235" s="10320" t="inlineStr">
        <is>
          <t>35 - 39 años</t>
        </is>
      </c>
      <c r="X235" s="10321" t="n"/>
      <c r="Y235" s="10320" t="inlineStr">
        <is>
          <t>40 - 44 años</t>
        </is>
      </c>
      <c r="Z235" s="10321" t="n"/>
      <c r="AA235" s="10320" t="inlineStr">
        <is>
          <t>45 - 49 años</t>
        </is>
      </c>
      <c r="AB235" s="10321" t="n"/>
      <c r="AC235" s="9977" t="inlineStr">
        <is>
          <t>50 - 54 años</t>
        </is>
      </c>
      <c r="AD235" s="9582" t="n"/>
      <c r="AE235" s="10320" t="inlineStr">
        <is>
          <t>55 - 59 años</t>
        </is>
      </c>
      <c r="AF235" s="10321" t="n"/>
      <c r="AG235" s="10320" t="inlineStr">
        <is>
          <t>60 - 64 años</t>
        </is>
      </c>
      <c r="AH235" s="10321" t="n"/>
      <c r="AI235" s="10322" t="inlineStr">
        <is>
          <t>65 y Mas años</t>
        </is>
      </c>
      <c r="AJ235" s="10211" t="n"/>
      <c r="AK235" s="10302" t="inlineStr">
        <is>
          <t>Hombres</t>
        </is>
      </c>
      <c r="AL235" s="9648" t="n"/>
      <c r="AM235" s="10304" t="inlineStr">
        <is>
          <t>Mujeres</t>
        </is>
      </c>
      <c r="AN235" s="10211" t="n"/>
      <c r="AO235" s="10302" t="inlineStr">
        <is>
          <t>Masculino</t>
        </is>
      </c>
      <c r="AP235" s="9648" t="n"/>
      <c r="AQ235" s="10304" t="inlineStr">
        <is>
          <t>Femenino</t>
        </is>
      </c>
      <c r="AR235" s="10211" t="n"/>
      <c r="AS235" s="9640" t="n"/>
      <c r="AT235" s="9639" t="n"/>
      <c r="AU235" s="9640" t="n"/>
      <c r="AV235" s="9639" t="n"/>
      <c r="AW235" s="9697" t="n"/>
      <c r="AX235" s="9639" t="n"/>
    </row>
    <row r="236" ht="31.5" customHeight="1" s="8286">
      <c r="A236" s="9638" t="n"/>
      <c r="B236" s="9639" t="n"/>
      <c r="C236" s="3091" t="inlineStr">
        <is>
          <t>Procesados</t>
        </is>
      </c>
      <c r="D236" s="3090" t="inlineStr">
        <is>
          <t>Confirmados positivos por ISP</t>
        </is>
      </c>
      <c r="E236" s="3088" t="inlineStr">
        <is>
          <t>Procesados</t>
        </is>
      </c>
      <c r="F236" s="3090" t="inlineStr">
        <is>
          <t>Confirmados positivos por ISP</t>
        </is>
      </c>
      <c r="G236" s="3088" t="inlineStr">
        <is>
          <t>Procesados</t>
        </is>
      </c>
      <c r="H236" s="3090" t="inlineStr">
        <is>
          <t>Confirmados positivos por ISP</t>
        </is>
      </c>
      <c r="I236" s="3091" t="inlineStr">
        <is>
          <t>Procesados</t>
        </is>
      </c>
      <c r="J236" s="3090" t="inlineStr">
        <is>
          <t>Confirmados positivos por ISP</t>
        </is>
      </c>
      <c r="K236" s="3091" t="inlineStr">
        <is>
          <t>Procesados</t>
        </is>
      </c>
      <c r="L236" s="3090" t="inlineStr">
        <is>
          <t>Confirmados positivos por ISP</t>
        </is>
      </c>
      <c r="M236" s="3088" t="inlineStr">
        <is>
          <t>Procesados</t>
        </is>
      </c>
      <c r="N236" s="3090" t="inlineStr">
        <is>
          <t>Confirmados positivos por ISP</t>
        </is>
      </c>
      <c r="O236" s="3088" t="inlineStr">
        <is>
          <t>Procesados</t>
        </is>
      </c>
      <c r="P236" s="3090" t="inlineStr">
        <is>
          <t>Confirmados positivos por ISP</t>
        </is>
      </c>
      <c r="Q236" s="3088" t="inlineStr">
        <is>
          <t>Procesados</t>
        </is>
      </c>
      <c r="R236" s="3090" t="inlineStr">
        <is>
          <t>Confirmados positivos por ISP</t>
        </is>
      </c>
      <c r="S236" s="3088" t="inlineStr">
        <is>
          <t>Procesados</t>
        </is>
      </c>
      <c r="T236" s="3090" t="inlineStr">
        <is>
          <t>Confirmados positivos por ISP</t>
        </is>
      </c>
      <c r="U236" s="3088" t="inlineStr">
        <is>
          <t>Procesados</t>
        </is>
      </c>
      <c r="V236" s="3090" t="inlineStr">
        <is>
          <t>Confirmados positivos por ISP</t>
        </is>
      </c>
      <c r="W236" s="3091" t="inlineStr">
        <is>
          <t>Procesados</t>
        </is>
      </c>
      <c r="X236" s="3090" t="inlineStr">
        <is>
          <t>Confirmados positivos por ISP</t>
        </is>
      </c>
      <c r="Y236" s="3091" t="inlineStr">
        <is>
          <t>Procesados</t>
        </is>
      </c>
      <c r="Z236" s="3090" t="inlineStr">
        <is>
          <t>Confirmados positivos por ISP</t>
        </is>
      </c>
      <c r="AA236" s="3091" t="inlineStr">
        <is>
          <t>Procesados</t>
        </is>
      </c>
      <c r="AB236" s="3090" t="inlineStr">
        <is>
          <t>Confirmados positivos por ISP</t>
        </is>
      </c>
      <c r="AC236" s="3088" t="inlineStr">
        <is>
          <t>Procesados</t>
        </is>
      </c>
      <c r="AD236" s="3090" t="inlineStr">
        <is>
          <t>Confirmados positivos por ISP</t>
        </is>
      </c>
      <c r="AE236" s="3091" t="inlineStr">
        <is>
          <t>Procesados</t>
        </is>
      </c>
      <c r="AF236" s="3090" t="inlineStr">
        <is>
          <t>Confirmados positivos por ISP</t>
        </is>
      </c>
      <c r="AG236" s="3091" t="inlineStr">
        <is>
          <t>Procesados</t>
        </is>
      </c>
      <c r="AH236" s="3090" t="inlineStr">
        <is>
          <t>Confirmados positivos por ISP</t>
        </is>
      </c>
      <c r="AI236" s="3091" t="inlineStr">
        <is>
          <t>Procesados</t>
        </is>
      </c>
      <c r="AJ236" s="3090" t="inlineStr">
        <is>
          <t>Confirmados positivos por ISP</t>
        </is>
      </c>
      <c r="AK236" s="3141" t="inlineStr">
        <is>
          <t>Procesados</t>
        </is>
      </c>
      <c r="AL236" s="3090" t="inlineStr">
        <is>
          <t>Confirmados positivos por ISP</t>
        </is>
      </c>
      <c r="AM236" s="3091" t="inlineStr">
        <is>
          <t>Procesados</t>
        </is>
      </c>
      <c r="AN236" s="3092" t="inlineStr">
        <is>
          <t>Confirmados positivos por ISP</t>
        </is>
      </c>
      <c r="AO236" s="3141" t="inlineStr">
        <is>
          <t>Procesados</t>
        </is>
      </c>
      <c r="AP236" s="3090" t="inlineStr">
        <is>
          <t>Confirmados positivos por ISP</t>
        </is>
      </c>
      <c r="AQ236" s="3091" t="inlineStr">
        <is>
          <t>Procesados</t>
        </is>
      </c>
      <c r="AR236" s="3092" t="inlineStr">
        <is>
          <t>Confirmados positivos por ISP</t>
        </is>
      </c>
      <c r="AS236" s="3141" t="inlineStr">
        <is>
          <t>Procesados</t>
        </is>
      </c>
      <c r="AT236" s="8519" t="inlineStr">
        <is>
          <t>Confirmados positivos por ISP</t>
        </is>
      </c>
      <c r="AU236" s="3141" t="inlineStr">
        <is>
          <t>Procesados</t>
        </is>
      </c>
      <c r="AV236" s="8519" t="inlineStr">
        <is>
          <t>Confirmados positivos por ISP</t>
        </is>
      </c>
      <c r="AW236" s="3091" t="inlineStr">
        <is>
          <t>Procesados</t>
        </is>
      </c>
      <c r="AX236" s="3090" t="inlineStr">
        <is>
          <t>Confirmados positivos por ISP</t>
        </is>
      </c>
    </row>
    <row r="237" ht="15" customHeight="1" s="8286">
      <c r="A237" s="10236" t="inlineStr">
        <is>
          <t>Interior establecimiento salud (intramuro)</t>
        </is>
      </c>
      <c r="B237" s="3175" t="inlineStr">
        <is>
          <t>Gestantes primer examen</t>
        </is>
      </c>
      <c r="C237" s="3176">
        <f>+M237+O237+Q237+S237+U237+W237+Y237+AA237+AC237</f>
        <v/>
      </c>
      <c r="D237" s="3095">
        <f>+N237+P237+R237+T237+V237+X237+Z237+AB237+AD237</f>
        <v/>
      </c>
      <c r="E237" s="383" t="n"/>
      <c r="F237" s="384" t="n"/>
      <c r="G237" s="385" t="n"/>
      <c r="H237" s="384" t="n"/>
      <c r="I237" s="385" t="n"/>
      <c r="J237" s="384" t="n"/>
      <c r="K237" s="385" t="n"/>
      <c r="L237" s="384" t="n"/>
      <c r="M237" s="3100" t="n"/>
      <c r="N237" s="1125" t="n"/>
      <c r="O237" s="3107" t="n"/>
      <c r="P237" s="1125" t="n"/>
      <c r="Q237" s="3108" t="n"/>
      <c r="R237" s="1125" t="n"/>
      <c r="S237" s="3108" t="n"/>
      <c r="T237" s="1125" t="n"/>
      <c r="U237" s="3108" t="n"/>
      <c r="V237" s="1125" t="n"/>
      <c r="W237" s="3100" t="n"/>
      <c r="X237" s="1125" t="n"/>
      <c r="Y237" s="3100" t="n"/>
      <c r="Z237" s="1125" t="n"/>
      <c r="AA237" s="3100" t="n"/>
      <c r="AB237" s="1125" t="n"/>
      <c r="AC237" s="3108" t="n"/>
      <c r="AD237" s="1125" t="n"/>
      <c r="AE237" s="3097" t="n"/>
      <c r="AF237" s="2651" t="n"/>
      <c r="AG237" s="3097" t="n"/>
      <c r="AH237" s="2651" t="n"/>
      <c r="AI237" s="3097" t="n"/>
      <c r="AJ237" s="3177" t="n"/>
      <c r="AK237" s="3161" t="n"/>
      <c r="AL237" s="2651" t="n"/>
      <c r="AM237" s="3100" t="n"/>
      <c r="AN237" s="3149" t="n"/>
      <c r="AO237" s="3099" t="n"/>
      <c r="AP237" s="1125" t="n"/>
      <c r="AQ237" s="3100" t="n"/>
      <c r="AR237" s="3149" t="n"/>
      <c r="AS237" s="3099" t="n"/>
      <c r="AT237" s="3149" t="n"/>
      <c r="AU237" s="3099" t="n"/>
      <c r="AV237" s="3149" t="n"/>
      <c r="AW237" s="3100" t="n"/>
      <c r="AX237" s="1125" t="n"/>
      <c r="AY237" s="218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>
        <f>IF(D237&gt;C237," * El Total de Exámenes Confirmados Positivos por ISP NO DEBE SUPERAR los Exámenes Procesados. ","")</f>
        <v/>
      </c>
      <c r="CB237" s="380" t="n"/>
      <c r="CC237" s="219">
        <f>IF(AN237&gt;AM237," * El número de Exámenes por Sexo Mujeres Confirmados positivos por ISP NO PUEDE Superar al número de Procesados. ","")</f>
        <v/>
      </c>
      <c r="CD237" s="226" t="n"/>
      <c r="CE237" s="226" t="n"/>
      <c r="CF237" s="226" t="n"/>
      <c r="CG237" s="226" t="n"/>
      <c r="CH237" s="226" t="n"/>
      <c r="CI237" s="219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 t="n"/>
      <c r="CK237" s="219">
        <f>IF((AM237+AK237)&lt;&gt;C237," * El N° de exámenes Procesados por SEXO (Hombres + Mujeres)no puede ser distinto al Total de exámenes procesados","")</f>
        <v/>
      </c>
      <c r="CL237" s="219">
        <f>IF((AN237+AL237)&lt;&gt;D237," * El N° de exámenes Confirmados positivos por ISP por Sexo (Hombres+Mujeres) no puede ser distinto al N° Total de exámenes Confirmados positivos por ISP ","")</f>
        <v/>
      </c>
      <c r="CM237" s="219">
        <f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>
        <f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>
        <f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 t="n"/>
      <c r="CS237" s="226" t="n"/>
      <c r="CT237" s="260">
        <f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>
        <f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>IF(D237&gt;C237,1,0)</f>
        <v/>
      </c>
      <c r="DG237" s="380" t="n"/>
      <c r="DH237" s="378">
        <f>IF(AN237&gt;AM237,1,0)</f>
        <v/>
      </c>
      <c r="DI237" s="226" t="n"/>
      <c r="DJ237" s="226" t="n"/>
      <c r="DK237" s="226" t="n"/>
      <c r="DL237" s="226" t="n"/>
      <c r="DM237" s="226" t="n"/>
      <c r="DN237" s="378">
        <f>IF(AND(C237&gt;0,AND(AO237="",AQ237="")),1,IF((AO237+AQ237)&gt;C237,1,0))</f>
        <v/>
      </c>
      <c r="DO237" s="227" t="n"/>
      <c r="DP237" s="378">
        <f>IF((AM237+AK237)&lt;&gt;C237,1,0)</f>
        <v/>
      </c>
      <c r="DQ237" s="378">
        <f>IF((AN237+AL237)&lt;&gt;D237,1,0)</f>
        <v/>
      </c>
      <c r="DR237" s="378">
        <f>IF(AND(C237&gt;0,AS237=""),1,IF(AS237&gt;C237,1,0))</f>
        <v/>
      </c>
      <c r="DS237" s="378">
        <f>IF(AND(C237&gt;0,AU237=""),1,IF(AU237&gt;C237,1,0))</f>
        <v/>
      </c>
      <c r="DT237" s="378">
        <f>IF(AND(D237&gt;0,OR(AP237="",AR237="")),1,IF((AP237+AR237)&gt;D237,1,0))</f>
        <v/>
      </c>
      <c r="DU237" s="378">
        <f>IF(AND(D237&gt;0,AT237=""),1,IF(AT237&gt;D237,1,0))</f>
        <v/>
      </c>
      <c r="DV237" s="378">
        <f>IF(AND(D237&gt;0,AV237=""),1,IF(AV237&gt;D237,1,0))</f>
        <v/>
      </c>
      <c r="DW237" s="226" t="n"/>
      <c r="DX237" s="226" t="n"/>
      <c r="DY237" s="378">
        <f>IF(AND((M237+O237)&gt;0,AW237=""),1,IF(AW237&gt;(M237+O237),1,0))</f>
        <v/>
      </c>
      <c r="DZ237" s="378">
        <f>IF(AND((N237+P237)&gt;0,AX237=""),1,IF(AX237&gt;(N237+P237),1,0))</f>
        <v/>
      </c>
      <c r="EA237" s="261">
        <f>IF(AND((M237+O237)&gt;0,AW237=""),1,0)</f>
        <v/>
      </c>
      <c r="EB237" s="261">
        <f>IF(AND((N237+P237)&gt;0,AX237=""),1,0)</f>
        <v/>
      </c>
    </row>
    <row r="238" ht="15" customHeight="1" s="8286">
      <c r="A238" s="9588" t="n"/>
      <c r="B238" s="3178" t="inlineStr">
        <is>
          <t>Gestantes segundo examen</t>
        </is>
      </c>
      <c r="C238" s="3179">
        <f>+M238+O238+Q238+S238+U238+W238+Y238+AA238+AC238</f>
        <v/>
      </c>
      <c r="D238" s="1171">
        <f>+N238+P238+R238+T238+V238+X238+Z238+AB238+AD238</f>
        <v/>
      </c>
      <c r="E238" s="386" t="n"/>
      <c r="F238" s="387" t="n"/>
      <c r="G238" s="388" t="n"/>
      <c r="H238" s="387" t="n"/>
      <c r="I238" s="388" t="n"/>
      <c r="J238" s="387" t="n"/>
      <c r="K238" s="388" t="n"/>
      <c r="L238" s="387" t="n"/>
      <c r="M238" s="3100" t="n"/>
      <c r="N238" s="1125" t="n"/>
      <c r="O238" s="3107" t="n"/>
      <c r="P238" s="1125" t="n"/>
      <c r="Q238" s="3108" t="n"/>
      <c r="R238" s="1125" t="n"/>
      <c r="S238" s="3108" t="n"/>
      <c r="T238" s="1125" t="n"/>
      <c r="U238" s="3108" t="n"/>
      <c r="V238" s="1125" t="n"/>
      <c r="W238" s="3100" t="n"/>
      <c r="X238" s="1125" t="n"/>
      <c r="Y238" s="3100" t="n"/>
      <c r="Z238" s="1125" t="n"/>
      <c r="AA238" s="3100" t="n"/>
      <c r="AB238" s="1125" t="n"/>
      <c r="AC238" s="3108" t="n"/>
      <c r="AD238" s="1125" t="n"/>
      <c r="AE238" s="3097" t="n"/>
      <c r="AF238" s="2651" t="n"/>
      <c r="AG238" s="3097" t="n"/>
      <c r="AH238" s="2651" t="n"/>
      <c r="AI238" s="3097" t="n"/>
      <c r="AJ238" s="3177" t="n"/>
      <c r="AK238" s="3161" t="n"/>
      <c r="AL238" s="2651" t="n"/>
      <c r="AM238" s="3100" t="n"/>
      <c r="AN238" s="3149" t="n"/>
      <c r="AO238" s="3099" t="n"/>
      <c r="AP238" s="1125" t="n"/>
      <c r="AQ238" s="3100" t="n"/>
      <c r="AR238" s="3149" t="n"/>
      <c r="AS238" s="3099" t="n"/>
      <c r="AT238" s="3149" t="n"/>
      <c r="AU238" s="3099" t="n"/>
      <c r="AV238" s="3149" t="n"/>
      <c r="AW238" s="3100" t="n"/>
      <c r="AX238" s="1125" t="n"/>
      <c r="AY238" s="218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>
        <f>IF(D238&gt;C238," * El Total de Exámenes Confirmados Positivos por ISP NO DEBE SUPERAR los Exámenes Procesados. ","")</f>
        <v/>
      </c>
      <c r="CB238" s="380" t="n"/>
      <c r="CC238" s="219">
        <f>IF(AN238&gt;AM238," * El número de Exámenes por Sexo Mujeres Confirmados positivos por ISP NO PUEDE Superar al número de Procesados. ","")</f>
        <v/>
      </c>
      <c r="CD238" s="226" t="n"/>
      <c r="CE238" s="226" t="n"/>
      <c r="CF238" s="226" t="n"/>
      <c r="CG238" s="226" t="n"/>
      <c r="CH238" s="226" t="n"/>
      <c r="CI238" s="219">
        <f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 t="n"/>
      <c r="CK238" s="219">
        <f>IF((AM238+AK238)&lt;&gt;C238," * El N° de exámenes Procesados por SEXO (Hombres + Mujeres)no puede ser distinto al Total de exámenes procesados","")</f>
        <v/>
      </c>
      <c r="CL238" s="219">
        <f>IF((AN238+AL238)&lt;&gt;D238," * El N° de exámenes Confirmados positivos por ISP por Sexo (Hombres+Mujeres) no puede ser distinto al N° Total de exámenes Confirmados positivos por ISP ","")</f>
        <v/>
      </c>
      <c r="CM238" s="219">
        <f>IF(AND(C238&gt;0,AS238="")," * No olvide digitar los examanes de Pueblos Originarios Procesados. Digite Cero si no tiene.",IF(AS238&gt;C238," * Los exámenes de Pueblos originarios Procesados no pueden ser mayor que el Total de exámenes procesados.",""))</f>
        <v/>
      </c>
      <c r="CN238" s="219">
        <f>IF(AND(C238&gt;0,AU238="")," * No olvide digitar los exámenes Procesados de Migrantes. Digite Cero si no tiene.",IF(AU238&gt;C238," * Los exámenes procesados de Migrantes no pueden ser mayor que el Total de exámenes procesados.",""))</f>
        <v/>
      </c>
      <c r="CO238" s="219">
        <f>IF(AND(D238&gt;0,AND(AP238="",AR238=""))," * No olvide digitar los exámenes Confirmados positivos por ISP de Trans (Masculino y Femenino). Digite Cero si no tiene.",IF((AP238+AR238)&gt;D238," * Los exámenes confirmados positivos por ISP de Trans (Masculino y Femenino) no pueden ser mayor que el Total de exámenes Confirmados positivos por ISP.",""))</f>
        <v/>
      </c>
      <c r="CP238" s="219">
        <f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19">
        <f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26" t="n"/>
      <c r="CS238" s="226" t="n"/>
      <c r="CT238" s="260">
        <f>IF(AND((M238+O238)&gt;0,AW238=""),"*No olvide digitar los Exámenes Procesados de 14-18 años. Digite cero si no tiene.",IF(AW238&gt;(M238+O238),"* El Total de Procesados de 14-18 años NO DEBE ser mayor al Total de Procesados registrados en los grupos de edad 10 a 14 + 15 a 19 años. ",""))</f>
        <v/>
      </c>
      <c r="CU238" s="260">
        <f>IF(AND((N238+P238)&gt;0,AX238=""),"*No olvide digitar los Exámenes Confirmados Positivos por ISP de 14-18 años. Digite cero si no tiene.",IF(AX238&gt;(N238+P238),"* El Total de Confirmados de 14-18 años NO DEBE ser mayor al Total de Confirmados Positivos por ISP registrados en los grupos de edad 10 a 14 + 15 a 19 años. ",""))</f>
        <v/>
      </c>
      <c r="DF238" s="381">
        <f>IF(D238&gt;C238,1,0)</f>
        <v/>
      </c>
      <c r="DG238" s="380" t="n"/>
      <c r="DH238" s="378">
        <f>IF(AN238&gt;AM238,1,0)</f>
        <v/>
      </c>
      <c r="DI238" s="226" t="n"/>
      <c r="DJ238" s="226" t="n"/>
      <c r="DK238" s="226" t="n"/>
      <c r="DL238" s="226" t="n"/>
      <c r="DM238" s="226" t="n"/>
      <c r="DN238" s="378">
        <f>IF(AND(C238&gt;0,AND(AO238="",AQ238="")),1,IF((AO238+AQ238)&gt;C238,1,0))</f>
        <v/>
      </c>
      <c r="DO238" s="227" t="n"/>
      <c r="DP238" s="378">
        <f>IF((AM238+AK238)&lt;&gt;C238,1,0)</f>
        <v/>
      </c>
      <c r="DQ238" s="378">
        <f>IF((AN238+AL238)&lt;&gt;D238,1,0)</f>
        <v/>
      </c>
      <c r="DR238" s="378">
        <f>IF(AND(C238&gt;0,AS238=""),1,IF(AS238&gt;C238,1,0))</f>
        <v/>
      </c>
      <c r="DS238" s="378">
        <f>IF(AND(C238&gt;0,AU238=""),1,IF(AU238&gt;C238,1,0))</f>
        <v/>
      </c>
      <c r="DT238" s="378">
        <f>IF(AND(D238&gt;0,OR(AP238="",AR238="")),1,IF((AP238+AR238)&gt;D238,1,0))</f>
        <v/>
      </c>
      <c r="DU238" s="378">
        <f>IF(AND(D238&gt;0,AT238=""),1,IF(AT238&gt;D238,1,0))</f>
        <v/>
      </c>
      <c r="DV238" s="378">
        <f>IF(AND(D238&gt;0,AV238=""),1,IF(AV238&gt;D238,1,0))</f>
        <v/>
      </c>
      <c r="DW238" s="226" t="n"/>
      <c r="DX238" s="226" t="n"/>
      <c r="DY238" s="378">
        <f>IF(AND((M238+O238)&gt;0,AW238=""),1,IF(AW238&gt;(M238+O238),1,0))</f>
        <v/>
      </c>
      <c r="DZ238" s="378">
        <f>IF(AND((N238+P238)&gt;0,AX238=""),1,IF(AX238&gt;(N238+P238),1,0))</f>
        <v/>
      </c>
      <c r="EA238" s="261">
        <f>IF(AND((M238+O238)&gt;0,AW238=""),1,0)</f>
        <v/>
      </c>
      <c r="EB238" s="261">
        <f>IF(AND((N238+P238)&gt;0,AX238=""),1,0)</f>
        <v/>
      </c>
    </row>
    <row r="239" ht="15" customHeight="1" s="8286">
      <c r="A239" s="9588" t="n"/>
      <c r="B239" s="3180" t="inlineStr">
        <is>
          <t>Mujer en trabajo de preparto o parto</t>
        </is>
      </c>
      <c r="C239" s="3179">
        <f>+M239+O239+Q239+S239+U239+W239+Y239+AA239+AC239</f>
        <v/>
      </c>
      <c r="D239" s="1171">
        <f>+N239+P239+R239+T239+V239+X239+Z239+AB239+AD239</f>
        <v/>
      </c>
      <c r="E239" s="386" t="n"/>
      <c r="F239" s="387" t="n"/>
      <c r="G239" s="388" t="n"/>
      <c r="H239" s="387" t="n"/>
      <c r="I239" s="388" t="n"/>
      <c r="J239" s="387" t="n"/>
      <c r="K239" s="388" t="n"/>
      <c r="L239" s="387" t="n"/>
      <c r="M239" s="389" t="n"/>
      <c r="N239" s="390" t="n"/>
      <c r="O239" s="3107" t="n"/>
      <c r="P239" s="1125" t="n"/>
      <c r="Q239" s="3108" t="n"/>
      <c r="R239" s="1125" t="n"/>
      <c r="S239" s="3108" t="n"/>
      <c r="T239" s="1125" t="n"/>
      <c r="U239" s="3108" t="n"/>
      <c r="V239" s="1125" t="n"/>
      <c r="W239" s="3100" t="n"/>
      <c r="X239" s="1125" t="n"/>
      <c r="Y239" s="3100" t="n"/>
      <c r="Z239" s="1125" t="n"/>
      <c r="AA239" s="3100" t="n"/>
      <c r="AB239" s="1125" t="n"/>
      <c r="AC239" s="3108" t="n"/>
      <c r="AD239" s="1125" t="n"/>
      <c r="AE239" s="3097" t="n"/>
      <c r="AF239" s="2651" t="n"/>
      <c r="AG239" s="3097" t="n"/>
      <c r="AH239" s="2651" t="n"/>
      <c r="AI239" s="3097" t="n"/>
      <c r="AJ239" s="3177" t="n"/>
      <c r="AK239" s="3161" t="n"/>
      <c r="AL239" s="2651" t="n"/>
      <c r="AM239" s="3100" t="n"/>
      <c r="AN239" s="3149" t="n"/>
      <c r="AO239" s="3099" t="n"/>
      <c r="AP239" s="1125" t="n"/>
      <c r="AQ239" s="3100" t="n"/>
      <c r="AR239" s="3149" t="n"/>
      <c r="AS239" s="3099" t="n"/>
      <c r="AT239" s="3149" t="n"/>
      <c r="AU239" s="3099" t="n"/>
      <c r="AV239" s="3149" t="n"/>
      <c r="AW239" s="3100" t="n"/>
      <c r="AX239" s="1125" t="n"/>
      <c r="AY239" s="218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>
        <f>IF(D239&gt;C239," * El Total de Exámenes Confirmados Positivos por ISP NO DEBE SUPERAR los Exámenes Procesados. ","")</f>
        <v/>
      </c>
      <c r="CB239" s="380" t="n"/>
      <c r="CC239" s="219">
        <f>IF(AN239&gt;AM239," * El número de Exámenes por Sexo Mujeres Confirmados positivos por ISP NO PUEDE Superar al número de Procesados. ","")</f>
        <v/>
      </c>
      <c r="CD239" s="226" t="n"/>
      <c r="CE239" s="226" t="n"/>
      <c r="CF239" s="226" t="n"/>
      <c r="CG239" s="226" t="n"/>
      <c r="CH239" s="226" t="n"/>
      <c r="CI239" s="219">
        <f>IF(AND(C239&gt;0,AND(AO239="",AQ239=""))," * No olvide digitar los exámenes procesados Trans (Masculino y femenino) Digite Cero si no tiene.",IF((AO239+AQ239)&gt;C239," * Los exámenes procesados en Trans (Masculino y femenino) no pueden ser mayor que el Total de exámenes procesados.",""))</f>
        <v/>
      </c>
      <c r="CJ239" s="227" t="n"/>
      <c r="CK239" s="219">
        <f>IF((AM239+AK239)&lt;&gt;C239," * El N° de exámenes Procesados por SEXO (Hombres + Mujeres)no puede ser distinto al Total de exámenes procesados","")</f>
        <v/>
      </c>
      <c r="CL239" s="219">
        <f>IF((AN239+AL239)&lt;&gt;D239," * El N° de exámenes Confirmados positivos por ISP por Sexo (Hombres+Mujeres) no puede ser distinto al N° Total de exámenes Confirmados positivos por ISP ","")</f>
        <v/>
      </c>
      <c r="CM239" s="219">
        <f>IF(AND(C239&gt;0,AS239="")," * No olvide digitar los examanes de Pueblos Originarios Procesados. Digite Cero si no tiene.",IF(AS239&gt;C239," * Los exámenes de Pueblos originarios Procesados no pueden ser mayor que el Total de exámenes procesados.",""))</f>
        <v/>
      </c>
      <c r="CN239" s="219">
        <f>IF(AND(C239&gt;0,AU239="")," * No olvide digitar los exámenes Procesados de Migrantes. Digite Cero si no tiene.",IF(AU239&gt;C239," * Los exámenes procesados de Migrantes no pueden ser mayor que el Total de exámenes procesados.",""))</f>
        <v/>
      </c>
      <c r="CO239" s="219">
        <f>IF(AND(D239&gt;0,AND(AP239="",AR239=""))," * No olvide digitar los exámenes Confirmados positivos por ISP de Trans (Masculino y Femenino). Digite Cero si no tiene.",IF((AP239+AR239)&gt;D239," * Los exámenes confirmados positivos por ISP de Trans (Masculino y Femenino) no pueden ser mayor que el Total de exámenes Confirmados positivos por ISP.",""))</f>
        <v/>
      </c>
      <c r="CP239" s="219">
        <f>IF(AND(D239&gt;0,AT239="")," * No olvide digitar los exámenes Confirmados positivos por ISP de Pueblos Originarios. Digite Cero si no tiene.",IF(AT239&gt;D239," * Los exámenes Confirmados positivos por ISP de Pueblos originarios no pueden ser mayor que el Total de exámenes Procesados por ISP.",""))</f>
        <v/>
      </c>
      <c r="CQ239" s="219">
        <f>IF(AND(D239&gt;0,AV239="")," * No olvide digitar los exámenes Confirmados positivos por ISP de Migrantes. Digite Cero si no tiene.",IF(AV239&gt;D239," * Los exámenes Confirmados positivos por ISP de Migrantes no pueden ser mayor que el Total de exámenes Procesados por ISP.",""))</f>
        <v/>
      </c>
      <c r="CR239" s="226" t="n"/>
      <c r="CS239" s="226" t="n"/>
      <c r="CT239" s="260">
        <f>IF(AND((M239+O239)&gt;0,AW239=""),"*No olvide digitar los Exámenes Procesados de 14-18 años. Digite cero si no tiene.",IF(AW239&gt;(M239+O239),"* El Total de Procesados de 14-18 años NO DEBE ser mayor al Total de Procesados registrados en los grupos de edad 10 a 14 + 15 a 19 años. ",""))</f>
        <v/>
      </c>
      <c r="CU239" s="260">
        <f>IF(AND((N239+P239)&gt;0,AX239=""),"*No olvide digitar los Exámenes Confirmados Positivos por ISP de 14-18 años. Digite cero si no tiene.",IF(AX239&gt;(N239+P239),"* El Total de Confirmados de 14-18 años NO DEBE ser mayor al Total de Confirmados Positivos por ISP registrados en los grupos de edad 10 a 14 + 15 a 19 años. ",""))</f>
        <v/>
      </c>
      <c r="DF239" s="381">
        <f>IF(D239&gt;C239,1,0)</f>
        <v/>
      </c>
      <c r="DG239" s="380" t="n"/>
      <c r="DH239" s="378">
        <f>IF(AN239&gt;AM239,1,0)</f>
        <v/>
      </c>
      <c r="DI239" s="226" t="n"/>
      <c r="DJ239" s="226" t="n"/>
      <c r="DK239" s="226" t="n"/>
      <c r="DL239" s="226" t="n"/>
      <c r="DM239" s="226" t="n"/>
      <c r="DN239" s="378">
        <f>IF(AND(C239&gt;0,AND(AO239="",AQ239="")),1,IF((AO239+AQ239)&gt;C239,1,0))</f>
        <v/>
      </c>
      <c r="DO239" s="227" t="n"/>
      <c r="DP239" s="378">
        <f>IF((AM239+AK239)&lt;&gt;C239,1,0)</f>
        <v/>
      </c>
      <c r="DQ239" s="378">
        <f>IF((AN239+AL239)&lt;&gt;D239,1,0)</f>
        <v/>
      </c>
      <c r="DR239" s="378">
        <f>IF(AND(C239&gt;0,AS239=""),1,IF(AS239&gt;C239,1,0))</f>
        <v/>
      </c>
      <c r="DS239" s="378">
        <f>IF(AND(C239&gt;0,AU239=""),1,IF(AU239&gt;C239,1,0))</f>
        <v/>
      </c>
      <c r="DT239" s="378">
        <f>IF(AND(D239&gt;0,OR(AP239="",AR239="")),1,IF((AP239+AR239)&gt;D239,1,0))</f>
        <v/>
      </c>
      <c r="DU239" s="378">
        <f>IF(AND(D239&gt;0,AT239=""),1,IF(AT239&gt;D239,1,0))</f>
        <v/>
      </c>
      <c r="DV239" s="378">
        <f>IF(AND(D239&gt;0,AV239=""),1,IF(AV239&gt;D239,1,0))</f>
        <v/>
      </c>
      <c r="DW239" s="226" t="n"/>
      <c r="DX239" s="226" t="n"/>
      <c r="DY239" s="378">
        <f>IF(AND((M239+O239)&gt;0,AW239=""),1,IF(AW239&gt;(M239+O239),1,0))</f>
        <v/>
      </c>
      <c r="DZ239" s="378">
        <f>IF(AND((N239+P239)&gt;0,AX239=""),1,IF(AX239&gt;(N239+P239),1,0))</f>
        <v/>
      </c>
      <c r="EA239" s="261">
        <f>IF(AND((M239+O239)&gt;0,AW239=""),1,0)</f>
        <v/>
      </c>
      <c r="EB239" s="261">
        <f>IF(AND((N239+P239)&gt;0,AX239=""),1,0)</f>
        <v/>
      </c>
    </row>
    <row r="240" ht="15" customHeight="1" s="8286">
      <c r="A240" s="9588" t="n"/>
      <c r="B240" s="3180" t="inlineStr">
        <is>
          <t>Personas en control por comercio sexual</t>
        </is>
      </c>
      <c r="C240" s="3179">
        <f>+O240+Q240+S240+U240+W240+Y240+AA240+AC240+AE240+AG240+AI240</f>
        <v/>
      </c>
      <c r="D240" s="1171">
        <f>+P240+R240+T240+V240+X240+Z240+AB240+AD240+AF240+AH240+AJ240</f>
        <v/>
      </c>
      <c r="E240" s="386" t="n"/>
      <c r="F240" s="387" t="n"/>
      <c r="G240" s="388" t="n"/>
      <c r="H240" s="387" t="n"/>
      <c r="I240" s="388" t="n"/>
      <c r="J240" s="387" t="n"/>
      <c r="K240" s="388" t="n"/>
      <c r="L240" s="387" t="n"/>
      <c r="M240" s="391" t="n"/>
      <c r="N240" s="392" t="n"/>
      <c r="O240" s="3100" t="n"/>
      <c r="P240" s="1125" t="n"/>
      <c r="Q240" s="3108" t="n"/>
      <c r="R240" s="1125" t="n"/>
      <c r="S240" s="3108" t="n"/>
      <c r="T240" s="1125" t="n"/>
      <c r="U240" s="3108" t="n"/>
      <c r="V240" s="1125" t="n"/>
      <c r="W240" s="3100" t="n"/>
      <c r="X240" s="1125" t="n"/>
      <c r="Y240" s="3100" t="n"/>
      <c r="Z240" s="1125" t="n"/>
      <c r="AA240" s="3100" t="n"/>
      <c r="AB240" s="1125" t="n"/>
      <c r="AC240" s="3108" t="n"/>
      <c r="AD240" s="1125" t="n"/>
      <c r="AE240" s="3100" t="n"/>
      <c r="AF240" s="1125" t="n"/>
      <c r="AG240" s="3100" t="n"/>
      <c r="AH240" s="1125" t="n"/>
      <c r="AI240" s="3100" t="n"/>
      <c r="AJ240" s="3149" t="n"/>
      <c r="AK240" s="3099" t="n"/>
      <c r="AL240" s="1125" t="n"/>
      <c r="AM240" s="3100" t="n"/>
      <c r="AN240" s="3149" t="n"/>
      <c r="AO240" s="3099" t="n"/>
      <c r="AP240" s="1125" t="n"/>
      <c r="AQ240" s="3100" t="n"/>
      <c r="AR240" s="3149" t="n"/>
      <c r="AS240" s="3099" t="n"/>
      <c r="AT240" s="3149" t="n"/>
      <c r="AU240" s="3099" t="n"/>
      <c r="AV240" s="3149" t="n"/>
      <c r="AW240" s="3100" t="n"/>
      <c r="AX240" s="1125" t="n"/>
      <c r="AY240" s="218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>
        <f>IF(D240&gt;C240," * El Total de Exámenes Confirmados Positivos por ISP NO DEBE SUPERAR los Exámenes Procesados. ","")</f>
        <v/>
      </c>
      <c r="CB240" s="219">
        <f>IF(AL240&gt;AK240," * El número de Exámenes por Sexo Hombres Confirmados positivos por ISP NO PUEDE Superar al número de Procesados. ","")</f>
        <v/>
      </c>
      <c r="CC240" s="219">
        <f>IF(AN240&gt;AM240," * El número de Exámenes por Sexo Mujeres Confirmados positivos por ISP NO PUEDE Superar al número de Procesados. ","")</f>
        <v/>
      </c>
      <c r="CD240" s="226" t="n"/>
      <c r="CE240" s="226" t="n"/>
      <c r="CF240" s="226" t="n"/>
      <c r="CG240" s="226" t="n"/>
      <c r="CH240" s="226" t="n"/>
      <c r="CI240" s="219">
        <f>IF(AND(C240&gt;0,AND(AO240="",AQ240=""))," * No olvide digitar los exámenes procesados Trans (Masculino y femenino) Digite Cero si no tiene.",IF((AO240+AQ240)&gt;C240," * Los exámenes procesados en Trans (Masculino y femenino) no pueden ser mayor que el Total de exámenes procesados.",""))</f>
        <v/>
      </c>
      <c r="CJ240" s="227" t="n"/>
      <c r="CK240" s="219">
        <f>IF((AM240+AK240)&lt;&gt;C240," * El N° de exámenes Procesados por SEXO (Hombres + Mujeres)no puede ser distinto al Total de exámenes procesados","")</f>
        <v/>
      </c>
      <c r="CL240" s="219">
        <f>IF((AN240+AL240)&lt;&gt;D240," * El N° de exámenes Confirmados positivos por ISP por Sexo (Hombres+Mujeres) no puede ser distinto al N° Total de exámenes Confirmados positivos por ISP ","")</f>
        <v/>
      </c>
      <c r="CM240" s="219">
        <f>IF(AND(C240&gt;0,AS240="")," * No olvide digitar los examanes de Pueblos Originarios Procesados. Digite Cero si no tiene.",IF(AS240&gt;C240," * Los exámenes de Pueblos originarios Procesados no pueden ser mayor que el Total de exámenes procesados.",""))</f>
        <v/>
      </c>
      <c r="CN240" s="219">
        <f>IF(AND(C240&gt;0,AU240="")," * No olvide digitar los exámenes Procesados de Migrantes. Digite Cero si no tiene.",IF(AU240&gt;C240," * Los exámenes procesados de Migrantes no pueden ser mayor que el Total de exámenes procesados.",""))</f>
        <v/>
      </c>
      <c r="CO240" s="219">
        <f>IF(AND(D240&gt;0,AND(AP240="",AR240=""))," * No olvide digitar los exámenes Confirmados positivos por ISP de Trans (Masculino y Femenino). Digite Cero si no tiene.",IF((AP240+AR240)&gt;D240," * Los exámenes confirmados positivos por ISP de Trans (Masculino y Femenino) no pueden ser mayor que el Total de exámenes Confirmados positivos por ISP.",""))</f>
        <v/>
      </c>
      <c r="CP240" s="219">
        <f>IF(AND(D240&gt;0,AT240="")," * No olvide digitar los exámenes Confirmados positivos por ISP de Pueblos Originarios. Digite Cero si no tiene.",IF(AT240&gt;D240," * Los exámenes Confirmados positivos por ISP de Pueblos originarios no pueden ser mayor que el Total de exámenes Procesados por ISP.",""))</f>
        <v/>
      </c>
      <c r="CQ240" s="219">
        <f>IF(AND(D240&gt;0,AV240="")," * No olvide digitar los exámenes Confirmados positivos por ISP de Migrantes. Digite Cero si no tiene.",IF(AV240&gt;D240," * Los exámenes Confirmados positivos por ISP de Migrantes no pueden ser mayor que el Total de exámenes Procesados por ISP.",""))</f>
        <v/>
      </c>
      <c r="CR240" s="226" t="n"/>
      <c r="CS240" s="226" t="n"/>
      <c r="CT240" s="260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>
        <f>IF(AND((N240+P240)&gt;0,AX240=""),"*No olvide digitar los Exámenes Confirmados Positivos por ISP de 14-18 años. Digite cero si no tiene.",IF(AX240&gt;(N240+P240),"* El Total de Confirmados de 14-18 años NO DEBE ser mayor al Total de Confirmados Positivos por ISP registrados en los grupos de edad 10 a 14 + 15 a 19 años. ",""))</f>
        <v/>
      </c>
      <c r="DF240" s="381">
        <f>IF(D240&gt;C240,1,0)</f>
        <v/>
      </c>
      <c r="DG240" s="378">
        <f>IF(AL240&gt;AK240,1,0)</f>
        <v/>
      </c>
      <c r="DH240" s="378">
        <f>IF(AN240&gt;AM240,1,0)</f>
        <v/>
      </c>
      <c r="DI240" s="226" t="n"/>
      <c r="DJ240" s="226" t="n"/>
      <c r="DK240" s="226" t="n"/>
      <c r="DL240" s="226" t="n"/>
      <c r="DM240" s="226" t="n"/>
      <c r="DN240" s="378">
        <f>IF(AND(C240&gt;0,AND(AO240="",AQ240="")),1,IF((AO240+AQ240)&gt;C240,1,0))</f>
        <v/>
      </c>
      <c r="DO240" s="227" t="n"/>
      <c r="DP240" s="378">
        <f>IF((AM240+AK240)&lt;&gt;C240,1,0)</f>
        <v/>
      </c>
      <c r="DQ240" s="378">
        <f>IF((AN240+AL240)&lt;&gt;D240,1,0)</f>
        <v/>
      </c>
      <c r="DR240" s="378">
        <f>IF(AND(C240&gt;0,AS240=""),1,IF(AS240&gt;C240,1,0))</f>
        <v/>
      </c>
      <c r="DS240" s="378">
        <f>IF(AND(C240&gt;0,AU240=""),1,IF(AU240&gt;C240,1,0))</f>
        <v/>
      </c>
      <c r="DT240" s="378">
        <f>IF(AND(D240&gt;0,OR(AP240="",AR240="")),1,IF((AP240+AR240)&gt;D240,1,0))</f>
        <v/>
      </c>
      <c r="DU240" s="378">
        <f>IF(AND(D240&gt;0,AT240=""),1,IF(AT240&gt;D240,1,0))</f>
        <v/>
      </c>
      <c r="DV240" s="378">
        <f>IF(AND(D240&gt;0,AV240=""),1,IF(AV240&gt;D240,1,0))</f>
        <v/>
      </c>
      <c r="DW240" s="226" t="n"/>
      <c r="DX240" s="226" t="n"/>
      <c r="DY240" s="378">
        <f>IF(AND((M240+O240)&gt;0,AW240=""),1,IF(AW240&gt;(M240+O240),1,0))</f>
        <v/>
      </c>
      <c r="DZ240" s="378">
        <f>IF(AND((N240+P240)&gt;0,AX240=""),1,IF(AX240&gt;(N240+P240),1,0))</f>
        <v/>
      </c>
      <c r="EA240" s="261">
        <f>IF(AND((M240+O240)&gt;0,AW240=""),1,0)</f>
        <v/>
      </c>
      <c r="EB240" s="261">
        <f>IF(AND((N240+P240)&gt;0,AX240=""),1,0)</f>
        <v/>
      </c>
    </row>
    <row r="241" ht="15" customHeight="1" s="8286">
      <c r="A241" s="9588" t="n"/>
      <c r="B241" s="3178" t="inlineStr">
        <is>
          <t>Por consulta ITS</t>
        </is>
      </c>
      <c r="C241" s="3179">
        <f>+E241+G241+I241+K241+M241+O241+Q241+S241+U241+W241+Y241+AA241+AC241+AE241+AG241+AI241</f>
        <v/>
      </c>
      <c r="D241" s="3181">
        <f>+F241+H241+J241+L241+N241+P241+R241+T241+V241+X241+Z241+AB241+AD241+AF241+AH241+AJ241</f>
        <v/>
      </c>
      <c r="E241" s="1452" t="n"/>
      <c r="F241" s="1122" t="n"/>
      <c r="G241" s="1452" t="n"/>
      <c r="H241" s="1122" t="n"/>
      <c r="I241" s="1452" t="n"/>
      <c r="J241" s="1122" t="n"/>
      <c r="K241" s="1452" t="n"/>
      <c r="L241" s="1122" t="n"/>
      <c r="M241" s="1452" t="n"/>
      <c r="N241" s="1122" t="n"/>
      <c r="O241" s="3107" t="n"/>
      <c r="P241" s="1125" t="n"/>
      <c r="Q241" s="3108" t="n"/>
      <c r="R241" s="1125" t="n"/>
      <c r="S241" s="3108" t="n"/>
      <c r="T241" s="1125" t="n"/>
      <c r="U241" s="3108" t="n"/>
      <c r="V241" s="1125" t="n"/>
      <c r="W241" s="3100" t="n"/>
      <c r="X241" s="1125" t="n"/>
      <c r="Y241" s="3100" t="n"/>
      <c r="Z241" s="1125" t="n"/>
      <c r="AA241" s="3100" t="n"/>
      <c r="AB241" s="1125" t="n"/>
      <c r="AC241" s="3108" t="n"/>
      <c r="AD241" s="1125" t="n"/>
      <c r="AE241" s="3100" t="n"/>
      <c r="AF241" s="1125" t="n"/>
      <c r="AG241" s="3100" t="n"/>
      <c r="AH241" s="1125" t="n"/>
      <c r="AI241" s="3100" t="n"/>
      <c r="AJ241" s="3149" t="n"/>
      <c r="AK241" s="3099" t="n"/>
      <c r="AL241" s="1125" t="n"/>
      <c r="AM241" s="3100" t="n"/>
      <c r="AN241" s="3149" t="n"/>
      <c r="AO241" s="3099" t="n"/>
      <c r="AP241" s="1125" t="n"/>
      <c r="AQ241" s="3100" t="n"/>
      <c r="AR241" s="3149" t="n"/>
      <c r="AS241" s="3099" t="n"/>
      <c r="AT241" s="3149" t="n"/>
      <c r="AU241" s="3099" t="n"/>
      <c r="AV241" s="3149" t="n"/>
      <c r="AW241" s="3100" t="n"/>
      <c r="AX241" s="1125" t="n"/>
      <c r="AY241" s="218">
        <f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>
        <f>IF(D241&gt;C241," * El Total de Exámenes Confirmados Positivos por ISP NO DEBE SUPERAR los Exámenes Procesados. ","")</f>
        <v/>
      </c>
      <c r="CB241" s="219">
        <f>IF(AL241&gt;AK241," * El número de Exámenes por Sexo Hombres Confirmados positivos por ISP NO PUEDE Superar al número de Procesados. ","")</f>
        <v/>
      </c>
      <c r="CC241" s="219">
        <f>IF(AN241&gt;AM241," * El número de Exámenes por Sexo Mujeres Confirmados positivos por ISP NO PUEDE Superar al número de Procesados. ","")</f>
        <v/>
      </c>
      <c r="CD241" s="226" t="n"/>
      <c r="CE241" s="226" t="n"/>
      <c r="CF241" s="226" t="n"/>
      <c r="CG241" s="226" t="n"/>
      <c r="CH241" s="226" t="n"/>
      <c r="CI241" s="219">
        <f>IF(AND(C241&gt;0,AND(AO241="",AQ241=""))," * No olvide digitar los exámenes procesados Trans (Masculino y femenino) Digite Cero si no tiene.",IF((AO241+AQ241)&gt;C241," * Los exámenes procesados en Trans (Masculino y femenino) no pueden ser mayor que el Total de exámenes procesados.",""))</f>
        <v/>
      </c>
      <c r="CJ241" s="227" t="n"/>
      <c r="CK241" s="219">
        <f>IF((AM241+AK241)&lt;&gt;C241," * El N° de exámenes Procesados por SEXO (Hombres + Mujeres)no puede ser distinto al Total de exámenes procesados","")</f>
        <v/>
      </c>
      <c r="CL241" s="219">
        <f>IF((AN241+AL241)&lt;&gt;D241," * El N° de exámenes Confirmados positivos por ISP por Sexo (Hombres+Mujeres) no puede ser distinto al N° Total de exámenes Confirmados positivos por ISP ","")</f>
        <v/>
      </c>
      <c r="CM241" s="219">
        <f>IF(AND(C241&gt;0,AS241="")," * No olvide digitar los examanes de Pueblos Originarios Procesados. Digite Cero si no tiene.",IF(AS241&gt;C241," * Los exámenes de Pueblos originarios Procesados no pueden ser mayor que el Total de exámenes procesados.",""))</f>
        <v/>
      </c>
      <c r="CN241" s="219">
        <f>IF(AND(C241&gt;0,AU241="")," * No olvide digitar los exámenes Procesados de Migrantes. Digite Cero si no tiene.",IF(AU241&gt;C241," * Los exámenes procesados de Migrantes no pueden ser mayor que el Total de exámenes procesados.",""))</f>
        <v/>
      </c>
      <c r="CO241" s="219">
        <f>IF(AND(D241&gt;0,AND(AP241="",AR241=""))," * No olvide digitar los exámenes Confirmados positivos por ISP de Trans (Masculino y Femenino). Digite Cero si no tiene.",IF((AP241+AR241)&gt;D241," * Los exámenes confirmados positivos por ISP de Trans (Masculino y Femenino) no pueden ser mayor que el Total de exámenes Confirmados positivos por ISP.",""))</f>
        <v/>
      </c>
      <c r="CP241" s="219">
        <f>IF(AND(D241&gt;0,AT241="")," * No olvide digitar los exámenes Confirmados positivos por ISP de Pueblos Originarios. Digite Cero si no tiene.",IF(AT241&gt;D241," * Los exámenes Confirmados positivos por ISP de Pueblos originarios no pueden ser mayor que el Total de exámenes Procesados por ISP.",""))</f>
        <v/>
      </c>
      <c r="CQ241" s="219">
        <f>IF(AND(D241&gt;0,AV241="")," * No olvide digitar los exámenes Confirmados positivos por ISP de Migrantes. Digite Cero si no tiene.",IF(AV241&gt;D241," * Los exámenes Confirmados positivos por ISP de Migrantes no pueden ser mayor que el Total de exámenes Procesados por ISP.",""))</f>
        <v/>
      </c>
      <c r="CR241" s="226" t="n"/>
      <c r="CS241" s="226" t="n"/>
      <c r="CT241" s="260">
        <f>IF(AND((M241+O241)&gt;0,AW241=""),"*No olvide digitar los Exámenes Procesados de 14-18 años. Digite cero si no tiene.",IF(AW241&gt;(M241+O241),"* El Total de Procesados de 14-18 años NO DEBE ser mayor al Total de Procesados registrados en los grupos de edad 10 a 14 + 15 a 19 años. ",""))</f>
        <v/>
      </c>
      <c r="CU241" s="260">
        <f>IF(AND((N241+P241)&gt;0,AX241=""),"*No olvide digitar los Exámenes Confirmados Positivos por ISP de 14-18 años. Digite cero si no tiene.",IF(AX241&gt;(N241+P241),"* El Total de Confirmados de 14-18 años NO DEBE ser mayor al Total de Confirmados Positivos por ISP registrados en los grupos de edad 10 a 14 + 15 a 19 años. ",""))</f>
        <v/>
      </c>
      <c r="DF241" s="381">
        <f>IF(D241&gt;C241,1,0)</f>
        <v/>
      </c>
      <c r="DG241" s="378">
        <f>IF(AL241&gt;AK241,1,0)</f>
        <v/>
      </c>
      <c r="DH241" s="378">
        <f>IF(AN241&gt;AM241,1,0)</f>
        <v/>
      </c>
      <c r="DI241" s="226" t="n"/>
      <c r="DJ241" s="226" t="n"/>
      <c r="DK241" s="226" t="n"/>
      <c r="DL241" s="226" t="n"/>
      <c r="DM241" s="226" t="n"/>
      <c r="DN241" s="378">
        <f>IF(AND(C241&gt;0,AND(AO241="",AQ241="")),1,IF((AO241+AQ241)&gt;C241,1,0))</f>
        <v/>
      </c>
      <c r="DO241" s="227" t="n"/>
      <c r="DP241" s="378">
        <f>IF((AM241+AK241)&lt;&gt;C241,1,0)</f>
        <v/>
      </c>
      <c r="DQ241" s="378">
        <f>IF((AN241+AL241)&lt;&gt;D241,1,0)</f>
        <v/>
      </c>
      <c r="DR241" s="378">
        <f>IF(AND(C241&gt;0,AS241=""),1,IF(AS241&gt;C241,1,0))</f>
        <v/>
      </c>
      <c r="DS241" s="378">
        <f>IF(AND(C241&gt;0,AU241=""),1,IF(AU241&gt;C241,1,0))</f>
        <v/>
      </c>
      <c r="DT241" s="378">
        <f>IF(AND(D241&gt;0,OR(AP241="",AR241="")),1,IF((AP241+AR241)&gt;D241,1,0))</f>
        <v/>
      </c>
      <c r="DU241" s="378">
        <f>IF(AND(D241&gt;0,AT241=""),1,IF(AT241&gt;D241,1,0))</f>
        <v/>
      </c>
      <c r="DV241" s="378">
        <f>IF(AND(D241&gt;0,AV241=""),1,IF(AV241&gt;D241,1,0))</f>
        <v/>
      </c>
      <c r="DW241" s="226" t="n"/>
      <c r="DX241" s="226" t="n"/>
      <c r="DY241" s="378">
        <f>IF(AND((M241+O241)&gt;0,AW241=""),1,IF(AW241&gt;(M241+O241),1,0))</f>
        <v/>
      </c>
      <c r="DZ241" s="378">
        <f>IF(AND((N241+P241)&gt;0,AX241=""),1,IF(AX241&gt;(N241+P241),1,0))</f>
        <v/>
      </c>
      <c r="EA241" s="261">
        <f>IF(AND((M241+O241)&gt;0,AW241=""),1,0)</f>
        <v/>
      </c>
      <c r="EB241" s="261">
        <f>IF(AND((N241+P241)&gt;0,AX241=""),1,0)</f>
        <v/>
      </c>
    </row>
    <row r="242" ht="24" customHeight="1" s="8286">
      <c r="A242" s="9588" t="n"/>
      <c r="B242" s="3182" t="inlineStr">
        <is>
          <t>Personas en control de regulación fecundidad, ginecológico, climaterio</t>
        </is>
      </c>
      <c r="C242" s="3183">
        <f>+M242+O242+Q242+S242+U242+W242+Y242+AA242+AC242+AE242+AG242+AI242</f>
        <v/>
      </c>
      <c r="D242" s="1171">
        <f>+N242+P242+R242+T242+V242+X242+Z242+AB242+AD242+AF242+AH242+AJ242</f>
        <v/>
      </c>
      <c r="E242" s="386" t="n"/>
      <c r="F242" s="387" t="n"/>
      <c r="G242" s="388" t="n"/>
      <c r="H242" s="387" t="n"/>
      <c r="I242" s="388" t="n"/>
      <c r="J242" s="387" t="n"/>
      <c r="K242" s="388" t="n"/>
      <c r="L242" s="387" t="n"/>
      <c r="M242" s="3108" t="n"/>
      <c r="N242" s="1125" t="n"/>
      <c r="O242" s="3100" t="n"/>
      <c r="P242" s="1125" t="n"/>
      <c r="Q242" s="3108" t="n"/>
      <c r="R242" s="1125" t="n"/>
      <c r="S242" s="3108" t="n"/>
      <c r="T242" s="1125" t="n"/>
      <c r="U242" s="3108" t="n"/>
      <c r="V242" s="1125" t="n"/>
      <c r="W242" s="3100" t="n"/>
      <c r="X242" s="1125" t="n"/>
      <c r="Y242" s="3100" t="n"/>
      <c r="Z242" s="1125" t="n"/>
      <c r="AA242" s="3100" t="n"/>
      <c r="AB242" s="1125" t="n"/>
      <c r="AC242" s="3108" t="n"/>
      <c r="AD242" s="1125" t="n"/>
      <c r="AE242" s="3100" t="n"/>
      <c r="AF242" s="1125" t="n"/>
      <c r="AG242" s="3100" t="n"/>
      <c r="AH242" s="1125" t="n"/>
      <c r="AI242" s="3100" t="n"/>
      <c r="AJ242" s="3149" t="n"/>
      <c r="AK242" s="3099" t="n"/>
      <c r="AL242" s="1125" t="n"/>
      <c r="AM242" s="3100" t="n"/>
      <c r="AN242" s="3149" t="n"/>
      <c r="AO242" s="3099" t="n"/>
      <c r="AP242" s="1125" t="n"/>
      <c r="AQ242" s="3100" t="n"/>
      <c r="AR242" s="3149" t="n"/>
      <c r="AS242" s="3099" t="n"/>
      <c r="AT242" s="3149" t="n"/>
      <c r="AU242" s="3099" t="n"/>
      <c r="AV242" s="3149" t="n"/>
      <c r="AW242" s="3100" t="n"/>
      <c r="AX242" s="1125" t="n"/>
      <c r="AY242" s="218">
        <f>$CA242&amp;CB242&amp;$CC242&amp;CD242&amp;CE242&amp;CF242&amp;CG242&amp;CH242&amp;CI242&amp;CJ242&amp;CK242&amp;CL242&amp;CM242&amp;CN242&amp;CO242&amp;CP242&amp;CQ242&amp;CR242&amp;CS242&amp;CT242&amp;CU242&amp;CV242&amp;CW242</f>
        <v/>
      </c>
      <c r="CA242" s="379">
        <f>IF(D242&gt;C242," * El Total de Exámenes Confirmados Positivos por ISP NO DEBE SUPERAR los Exámenes Procesados. ","")</f>
        <v/>
      </c>
      <c r="CB242" s="219">
        <f>IF(AL242&gt;AK242," * El número de Exámenes por Sexo Hombres Confirmados positivos por ISP NO PUEDE Superar al número de Procesados. ","")</f>
        <v/>
      </c>
      <c r="CC242" s="219">
        <f>IF(AN242&gt;AM242," * El número de Exámenes por Sexo Mujeres Confirmados positivos por ISP NO PUEDE Superar al número de Procesados. ","")</f>
        <v/>
      </c>
      <c r="CD242" s="226" t="n"/>
      <c r="CE242" s="226" t="n"/>
      <c r="CF242" s="226" t="n"/>
      <c r="CG242" s="226" t="n"/>
      <c r="CH242" s="226" t="n"/>
      <c r="CI242" s="219">
        <f>IF(AND(C242&gt;0,AND(AO242="",AQ242=""))," * No olvide digitar los exámenes procesados Trans (Masculino y femenino) Digite Cero si no tiene.",IF((AO242+AQ242)&gt;C242," * Los exámenes procesados en Trans (Masculino y femenino) no pueden ser mayor que el Total de exámenes procesados.",""))</f>
        <v/>
      </c>
      <c r="CJ242" s="227" t="n"/>
      <c r="CK242" s="219">
        <f>IF((AM242+AK242)&lt;&gt;C242," * El N° de exámenes Procesados por SEXO (Hombres + Mujeres)no puede ser distinto al Total de exámenes procesados","")</f>
        <v/>
      </c>
      <c r="CL242" s="219">
        <f>IF((AN242+AL242)&lt;&gt;D242," * El N° de exámenes Confirmados positivos por ISP por Sexo (Hombres+Mujeres) no puede ser distinto al N° Total de exámenes Confirmados positivos por ISP ","")</f>
        <v/>
      </c>
      <c r="CM242" s="219">
        <f>IF(AND(C242&gt;0,AS242="")," * No olvide digitar los examanes de Pueblos Originarios Procesados. Digite Cero si no tiene.",IF(AS242&gt;C242," * Los exámenes de Pueblos originarios Procesados no pueden ser mayor que el Total de exámenes procesados.",""))</f>
        <v/>
      </c>
      <c r="CN242" s="219">
        <f>IF(AND(C242&gt;0,AU242="")," * No olvide digitar los exámenes Procesados de Migrantes. Digite Cero si no tiene.",IF(AU242&gt;C242," * Los exámenes procesados de Migrantes no pueden ser mayor que el Total de exámenes procesados.",""))</f>
        <v/>
      </c>
      <c r="CO242" s="219">
        <f>IF(AND(D242&gt;0,AND(AP242="",AR242=""))," * No olvide digitar los exámenes Confirmados positivos por ISP de Trans (Masculino y Femenino). Digite Cero si no tiene.",IF((AP242+AR242)&gt;D242," * Los exámenes confirmados positivos por ISP de Trans (Masculino y Femenino) no pueden ser mayor que el Total de exámenes Confirmados positivos por ISP.",""))</f>
        <v/>
      </c>
      <c r="CP242" s="219">
        <f>IF(AND(D242&gt;0,AT242="")," * No olvide digitar los exámenes Confirmados positivos por ISP de Pueblos Originarios. Digite Cero si no tiene.",IF(AT242&gt;D242," * Los exámenes Confirmados positivos por ISP de Pueblos originarios no pueden ser mayor que el Total de exámenes Procesados por ISP.",""))</f>
        <v/>
      </c>
      <c r="CQ242" s="219">
        <f>IF(AND(D242&gt;0,AV242="")," * No olvide digitar los exámenes Confirmados positivos por ISP de Migrantes. Digite Cero si no tiene.",IF(AV242&gt;D242," * Los exámenes Confirmados positivos por ISP de Migrantes no pueden ser mayor que el Total de exámenes Procesados por ISP.",""))</f>
        <v/>
      </c>
      <c r="CR242" s="226" t="n"/>
      <c r="CS242" s="226" t="n"/>
      <c r="CT242" s="260">
        <f>IF(AND((M242+O242)&gt;0,AW242=""),"*No olvide digitar los Exámenes Procesados de 14-18 años. Digite cero si no tiene.",IF(AW242&gt;(M242+O242),"* El Total de Procesados de 14-18 años NO DEBE ser mayor al Total de Procesados registrados en los grupos de edad 10 a 14 + 15 a 19 años. ",""))</f>
        <v/>
      </c>
      <c r="CU242" s="260">
        <f>IF(AND((N242+P242)&gt;0,AX242=""),"*No olvide digitar los Exámenes Confirmados Positivos por ISP de 14-18 años. Digite cero si no tiene.",IF(AX242&gt;(N242+P242),"* El Total de Confirmados de 14-18 años NO DEBE ser mayor al Total de Confirmados Positivos por ISP registrados en los grupos de edad 10 a 14 + 15 a 19 años. ",""))</f>
        <v/>
      </c>
      <c r="DF242" s="381">
        <f>IF(D242&gt;C242,1,0)</f>
        <v/>
      </c>
      <c r="DG242" s="378">
        <f>IF(AL242&gt;AK242,1,0)</f>
        <v/>
      </c>
      <c r="DH242" s="378">
        <f>IF(AN242&gt;AM242,1,0)</f>
        <v/>
      </c>
      <c r="DI242" s="226" t="n"/>
      <c r="DJ242" s="226" t="n"/>
      <c r="DK242" s="226" t="n"/>
      <c r="DL242" s="226" t="n"/>
      <c r="DM242" s="226" t="n"/>
      <c r="DN242" s="378">
        <f>IF(AND(C242&gt;0,AND(AO242="",AQ242="")),1,IF((AO242+AQ242)&gt;C242,1,0))</f>
        <v/>
      </c>
      <c r="DO242" s="227" t="n"/>
      <c r="DP242" s="378">
        <f>IF((AM242+AK242)&lt;&gt;C242,1,0)</f>
        <v/>
      </c>
      <c r="DQ242" s="378">
        <f>IF((AN242+AL242)&lt;&gt;D242,1,0)</f>
        <v/>
      </c>
      <c r="DR242" s="378">
        <f>IF(AND(C242&gt;0,AS242=""),1,IF(AS242&gt;C242,1,0))</f>
        <v/>
      </c>
      <c r="DS242" s="378">
        <f>IF(AND(C242&gt;0,AU242=""),1,IF(AU242&gt;C242,1,0))</f>
        <v/>
      </c>
      <c r="DT242" s="378">
        <f>IF(AND(D242&gt;0,OR(AP242="",AR242="")),1,IF((AP242+AR242)&gt;D242,1,0))</f>
        <v/>
      </c>
      <c r="DU242" s="378">
        <f>IF(AND(D242&gt;0,AT242=""),1,IF(AT242&gt;D242,1,0))</f>
        <v/>
      </c>
      <c r="DV242" s="378">
        <f>IF(AND(D242&gt;0,AV242=""),1,IF(AV242&gt;D242,1,0))</f>
        <v/>
      </c>
      <c r="DW242" s="226" t="n"/>
      <c r="DX242" s="226" t="n"/>
      <c r="DY242" s="378">
        <f>IF(AND((M242+O242)&gt;0,AW242=""),1,IF(AW242&gt;(M242+O242),1,0))</f>
        <v/>
      </c>
      <c r="DZ242" s="378">
        <f>IF(AND((N242+P242)&gt;0,AX242=""),1,IF(AX242&gt;(N242+P242),1,0))</f>
        <v/>
      </c>
      <c r="EA242" s="261">
        <f>IF(AND((M242+O242)&gt;0,AW242=""),1,0)</f>
        <v/>
      </c>
      <c r="EB242" s="261">
        <f>IF(AND((N242+P242)&gt;0,AX242=""),1,0)</f>
        <v/>
      </c>
    </row>
    <row r="243" ht="15" customHeight="1" s="8286">
      <c r="A243" s="9588" t="n"/>
      <c r="B243" s="3178" t="inlineStr">
        <is>
          <t xml:space="preserve">Personas EMP/EMPAM </t>
        </is>
      </c>
      <c r="C243" s="3179">
        <f>+O243+Q243+S243+U243+W243+Y243+AA243+AC243+AE243+AG243+AI243</f>
        <v/>
      </c>
      <c r="D243" s="1171">
        <f>+P243+R243+T243+V243+X243+Z243+AB243+AD243+AF243+AH243+AJ243</f>
        <v/>
      </c>
      <c r="E243" s="386" t="n"/>
      <c r="F243" s="387" t="n"/>
      <c r="G243" s="388" t="n"/>
      <c r="H243" s="387" t="n"/>
      <c r="I243" s="388" t="n"/>
      <c r="J243" s="387" t="n"/>
      <c r="K243" s="388" t="n"/>
      <c r="L243" s="387" t="n"/>
      <c r="M243" s="3184" t="n"/>
      <c r="N243" s="393" t="n"/>
      <c r="O243" s="3100" t="n"/>
      <c r="P243" s="1125" t="n"/>
      <c r="Q243" s="3108" t="n"/>
      <c r="R243" s="1125" t="n"/>
      <c r="S243" s="3108" t="n"/>
      <c r="T243" s="1125" t="n"/>
      <c r="U243" s="3108" t="n"/>
      <c r="V243" s="1125" t="n"/>
      <c r="W243" s="3100" t="n"/>
      <c r="X243" s="1125" t="n"/>
      <c r="Y243" s="3100" t="n"/>
      <c r="Z243" s="1125" t="n"/>
      <c r="AA243" s="3100" t="n"/>
      <c r="AB243" s="1125" t="n"/>
      <c r="AC243" s="3108" t="n"/>
      <c r="AD243" s="1125" t="n"/>
      <c r="AE243" s="3100" t="n"/>
      <c r="AF243" s="1125" t="n"/>
      <c r="AG243" s="3100" t="n"/>
      <c r="AH243" s="1125" t="n"/>
      <c r="AI243" s="3100" t="n"/>
      <c r="AJ243" s="3149" t="n"/>
      <c r="AK243" s="3099" t="n"/>
      <c r="AL243" s="1125" t="n"/>
      <c r="AM243" s="3100" t="n"/>
      <c r="AN243" s="3149" t="n"/>
      <c r="AO243" s="3099" t="n"/>
      <c r="AP243" s="1125" t="n"/>
      <c r="AQ243" s="3100" t="n"/>
      <c r="AR243" s="3149" t="n"/>
      <c r="AS243" s="3099" t="n"/>
      <c r="AT243" s="3149" t="n"/>
      <c r="AU243" s="3099" t="n"/>
      <c r="AV243" s="3149" t="n"/>
      <c r="AW243" s="3100" t="n"/>
      <c r="AX243" s="1125" t="n"/>
      <c r="AY243" s="218">
        <f>$CA243&amp;CB243&amp;$CC243&amp;CD243&amp;CE243&amp;CF243&amp;CG243&amp;CH243&amp;CI243&amp;CJ243&amp;CK243&amp;CL243&amp;CM243&amp;CN243&amp;CO243&amp;CP243&amp;CQ243&amp;CR243&amp;CS243&amp;CT243&amp;CU243&amp;CV243&amp;CW243</f>
        <v/>
      </c>
      <c r="CA243" s="379">
        <f>IF(D243&gt;C243," * El Total de Exámenes Confirmados Positivos por ISP NO DEBE SUPERAR los Exámenes Procesados. ","")</f>
        <v/>
      </c>
      <c r="CB243" s="219">
        <f>IF(AL243&gt;AK243," * El número de Exámenes por Sexo Hombres Confirmados positivos por ISP NO PUEDE Superar al número de Procesados. ","")</f>
        <v/>
      </c>
      <c r="CC243" s="219">
        <f>IF(AN243&gt;AM243," * El número de Exámenes por Sexo Mujeres Confirmados positivos por ISP NO PUEDE Superar al número de Procesados. ","")</f>
        <v/>
      </c>
      <c r="CD243" s="226" t="n"/>
      <c r="CE243" s="226" t="n"/>
      <c r="CF243" s="226" t="n"/>
      <c r="CG243" s="226" t="n"/>
      <c r="CH243" s="226" t="n"/>
      <c r="CI243" s="219">
        <f>IF(AND(C243&gt;0,AND(AO243="",AQ243=""))," * No olvide digitar los exámenes procesados Trans (Masculino y femenino) Digite Cero si no tiene.",IF((AO243+AQ243)&gt;C243," * Los exámenes procesados en Trans (Masculino y femenino) no pueden ser mayor que el Total de exámenes procesados.",""))</f>
        <v/>
      </c>
      <c r="CJ243" s="227" t="n"/>
      <c r="CK243" s="219">
        <f>IF((AM243+AK243)&lt;&gt;C243," * El N° de exámenes Procesados por SEXO (Hombres + Mujeres)no puede ser distinto al Total de exámenes procesados","")</f>
        <v/>
      </c>
      <c r="CL243" s="219">
        <f>IF((AN243+AL243)&lt;&gt;D243," * El N° de exámenes Confirmados positivos por ISP por Sexo (Hombres+Mujeres) no puede ser distinto al N° Total de exámenes Confirmados positivos por ISP ","")</f>
        <v/>
      </c>
      <c r="CM243" s="219">
        <f>IF(AND(C243&gt;0,AS243="")," * No olvide digitar los examanes de Pueblos Originarios Procesados. Digite Cero si no tiene.",IF(AS243&gt;C243," * Los exámenes de Pueblos originarios Procesados no pueden ser mayor que el Total de exámenes procesados.",""))</f>
        <v/>
      </c>
      <c r="CN243" s="219">
        <f>IF(AND(C243&gt;0,AU243="")," * No olvide digitar los exámenes Procesados de Migrantes. Digite Cero si no tiene.",IF(AU243&gt;C243," * Los exámenes procesados de Migrantes no pueden ser mayor que el Total de exámenes procesados.",""))</f>
        <v/>
      </c>
      <c r="CO243" s="219">
        <f>IF(AND(D243&gt;0,AND(AP243="",AR243=""))," * No olvide digitar los exámenes Confirmados positivos por ISP de Trans (Masculino y Femenino). Digite Cero si no tiene.",IF((AP243+AR243)&gt;D243," * Los exámenes confirmados positivos por ISP de Trans (Masculino y Femenino) no pueden ser mayor que el Total de exámenes Confirmados positivos por ISP.",""))</f>
        <v/>
      </c>
      <c r="CP243" s="219">
        <f>IF(AND(D243&gt;0,AT243="")," * No olvide digitar los exámenes Confirmados positivos por ISP de Pueblos Originarios. Digite Cero si no tiene.",IF(AT243&gt;D243," * Los exámenes Confirmados positivos por ISP de Pueblos originarios no pueden ser mayor que el Total de exámenes Procesados por ISP.",""))</f>
        <v/>
      </c>
      <c r="CQ243" s="219">
        <f>IF(AND(D243&gt;0,AV243="")," * No olvide digitar los exámenes Confirmados positivos por ISP de Migrantes. Digite Cero si no tiene.",IF(AV243&gt;D243," * Los exámenes Confirmados positivos por ISP de Migrantes no pueden ser mayor que el Total de exámenes Procesados por ISP.",""))</f>
        <v/>
      </c>
      <c r="CR243" s="226" t="n"/>
      <c r="CS243" s="226" t="n"/>
      <c r="CT243" s="260">
        <f>IF(AND((M243+O243)&gt;0,AW243=""),"*No olvide digitar los Exámenes Procesados de 14-18 años. Digite cero si no tiene.",IF(AW243&gt;(M243+O243),"* El Total de Procesados de 14-18 años NO DEBE ser mayor al Total de Procesados registrados en los grupos de edad 10 a 14 + 15 a 19 años. ",""))</f>
        <v/>
      </c>
      <c r="CU243" s="260">
        <f>IF(AND((N243+P243)&gt;0,AX243=""),"*No olvide digitar los Exámenes Confirmados Positivos por ISP de 14-18 años. Digite cero si no tiene.",IF(AX243&gt;(N243+P243),"* El Total de Confirmados de 14-18 años NO DEBE ser mayor al Total de Confirmados Positivos por ISP registrados en los grupos de edad 10 a 14 + 15 a 19 años. ",""))</f>
        <v/>
      </c>
      <c r="DF243" s="381">
        <f>IF(D243&gt;C243,1,0)</f>
        <v/>
      </c>
      <c r="DG243" s="378">
        <f>IF(AL243&gt;AK243,1,0)</f>
        <v/>
      </c>
      <c r="DH243" s="378">
        <f>IF(AN243&gt;AM243,1,0)</f>
        <v/>
      </c>
      <c r="DI243" s="226" t="n"/>
      <c r="DJ243" s="226" t="n"/>
      <c r="DK243" s="226" t="n"/>
      <c r="DL243" s="226" t="n"/>
      <c r="DM243" s="226" t="n"/>
      <c r="DN243" s="378">
        <f>IF(AND(C243&gt;0,AND(AO243="",AQ243="")),1,IF((AO243+AQ243)&gt;C243,1,0))</f>
        <v/>
      </c>
      <c r="DO243" s="227" t="n"/>
      <c r="DP243" s="378">
        <f>IF((AM243+AK243)&lt;&gt;C243,1,0)</f>
        <v/>
      </c>
      <c r="DQ243" s="378">
        <f>IF((AN243+AL243)&lt;&gt;D243,1,0)</f>
        <v/>
      </c>
      <c r="DR243" s="378">
        <f>IF(AND(C243&gt;0,AS243=""),1,IF(AS243&gt;C243,1,0))</f>
        <v/>
      </c>
      <c r="DS243" s="378">
        <f>IF(AND(C243&gt;0,AU243=""),1,IF(AU243&gt;C243,1,0))</f>
        <v/>
      </c>
      <c r="DT243" s="378">
        <f>IF(AND(D243&gt;0,OR(AP243="",AR243="")),1,IF((AP243+AR243)&gt;D243,1,0))</f>
        <v/>
      </c>
      <c r="DU243" s="378">
        <f>IF(AND(D243&gt;0,AT243=""),1,IF(AT243&gt;D243,1,0))</f>
        <v/>
      </c>
      <c r="DV243" s="378">
        <f>IF(AND(D243&gt;0,AV243=""),1,IF(AV243&gt;D243,1,0))</f>
        <v/>
      </c>
      <c r="DW243" s="226" t="n"/>
      <c r="DX243" s="226" t="n"/>
      <c r="DY243" s="378">
        <f>IF(AND((M243+O243)&gt;0,AW243=""),1,IF(AW243&gt;(M243+O243),1,0))</f>
        <v/>
      </c>
      <c r="DZ243" s="378">
        <f>IF(AND((N243+P243)&gt;0,AX243=""),1,IF(AX243&gt;(N243+P243),1,0))</f>
        <v/>
      </c>
      <c r="EA243" s="261">
        <f>IF(AND((M243+O243)&gt;0,AW243=""),1,0)</f>
        <v/>
      </c>
      <c r="EB243" s="261">
        <f>IF(AND((N243+P243)&gt;0,AX243=""),1,0)</f>
        <v/>
      </c>
    </row>
    <row r="244" ht="24" customHeight="1" s="8286">
      <c r="A244" s="9588" t="n"/>
      <c r="B244" s="3180" t="inlineStr">
        <is>
          <t>Personas en control de salud según ciclo vital</t>
        </is>
      </c>
      <c r="C244" s="3185">
        <f>+E244+G244+I244+K244+M244+O244+Q244+S244+U244+W244+Y244+AA244+AC244+AE244+AG244+AI244</f>
        <v/>
      </c>
      <c r="D244" s="3181">
        <f>+F244+H244+J244+L244+N244+P244+R244+T244+V244+X244+Z244+AB244+AD244+AF244+AH244+AJ244</f>
        <v/>
      </c>
      <c r="E244" s="1452" t="n"/>
      <c r="F244" s="1122" t="n"/>
      <c r="G244" s="1452" t="n"/>
      <c r="H244" s="1122" t="n"/>
      <c r="I244" s="1452" t="n"/>
      <c r="J244" s="1122" t="n"/>
      <c r="K244" s="1452" t="n"/>
      <c r="L244" s="1122" t="n"/>
      <c r="M244" s="3108" t="n"/>
      <c r="N244" s="1125" t="n"/>
      <c r="O244" s="3100" t="n"/>
      <c r="P244" s="1125" t="n"/>
      <c r="Q244" s="3108" t="n"/>
      <c r="R244" s="1125" t="n"/>
      <c r="S244" s="3108" t="n"/>
      <c r="T244" s="1125" t="n"/>
      <c r="U244" s="3108" t="n"/>
      <c r="V244" s="1125" t="n"/>
      <c r="W244" s="3100" t="n"/>
      <c r="X244" s="1125" t="n"/>
      <c r="Y244" s="3100" t="n"/>
      <c r="Z244" s="1125" t="n"/>
      <c r="AA244" s="3100" t="n"/>
      <c r="AB244" s="1125" t="n"/>
      <c r="AC244" s="3108" t="n"/>
      <c r="AD244" s="1125" t="n"/>
      <c r="AE244" s="3100" t="n"/>
      <c r="AF244" s="1125" t="n"/>
      <c r="AG244" s="3100" t="n"/>
      <c r="AH244" s="1125" t="n"/>
      <c r="AI244" s="3100" t="n"/>
      <c r="AJ244" s="3149" t="n"/>
      <c r="AK244" s="3099" t="n"/>
      <c r="AL244" s="1125" t="n"/>
      <c r="AM244" s="3100" t="n"/>
      <c r="AN244" s="3149" t="n"/>
      <c r="AO244" s="3099" t="n"/>
      <c r="AP244" s="1125" t="n"/>
      <c r="AQ244" s="3100" t="n"/>
      <c r="AR244" s="3149" t="n"/>
      <c r="AS244" s="3099" t="n"/>
      <c r="AT244" s="3149" t="n"/>
      <c r="AU244" s="3099" t="n"/>
      <c r="AV244" s="3149" t="n"/>
      <c r="AW244" s="3100" t="n"/>
      <c r="AX244" s="1125" t="n"/>
      <c r="AY244" s="218">
        <f>$CA244&amp;CB244&amp;$CC244&amp;CD244&amp;CE244&amp;CF244&amp;CG244&amp;CH244&amp;CI244&amp;CJ244&amp;CK244&amp;CL244&amp;CM244&amp;CN244&amp;CO244&amp;CP244&amp;CQ244&amp;CR244&amp;CS244&amp;CT244&amp;CU244&amp;CV244&amp;CW244</f>
        <v/>
      </c>
      <c r="CA244" s="379">
        <f>IF(D244&gt;C244," * El Total de Exámenes Confirmados Positivos por ISP NO DEBE SUPERAR los Exámenes Procesados. ","")</f>
        <v/>
      </c>
      <c r="CB244" s="219">
        <f>IF(AL244&gt;AK244," * El número de Exámenes por Sexo Hombres Confirmados positivos por ISP NO PUEDE Superar al número de Procesados. ","")</f>
        <v/>
      </c>
      <c r="CC244" s="219">
        <f>IF(AN244&gt;AM244," * El número de Exámenes por Sexo Mujeres Confirmados positivos por ISP NO PUEDE Superar al número de Procesados. ","")</f>
        <v/>
      </c>
      <c r="CD244" s="226" t="n"/>
      <c r="CE244" s="226" t="n"/>
      <c r="CF244" s="226" t="n"/>
      <c r="CG244" s="226" t="n"/>
      <c r="CH244" s="226" t="n"/>
      <c r="CI244" s="219">
        <f>IF(AND(C244&gt;0,AND(AO244="",AQ244=""))," * No olvide digitar los exámenes procesados Trans (Masculino y femenino) Digite Cero si no tiene.",IF((AO244+AQ244)&gt;C244," * Los exámenes procesados en Trans (Masculino y femenino) no pueden ser mayor que el Total de exámenes procesados.",""))</f>
        <v/>
      </c>
      <c r="CJ244" s="227" t="n"/>
      <c r="CK244" s="219">
        <f>IF((AM244+AK244)&lt;&gt;C244," * El N° de exámenes Procesados por SEXO (Hombres + Mujeres)no puede ser distinto al Total de exámenes procesados","")</f>
        <v/>
      </c>
      <c r="CL244" s="219">
        <f>IF((AN244+AL244)&lt;&gt;D244," * El N° de exámenes Confirmados positivos por ISP por Sexo (Hombres+Mujeres) no puede ser distinto al N° Total de exámenes Confirmados positivos por ISP ","")</f>
        <v/>
      </c>
      <c r="CM244" s="219">
        <f>IF(AND(C244&gt;0,AS244="")," * No olvide digitar los examanes de Pueblos Originarios Procesados. Digite Cero si no tiene.",IF(AS244&gt;C244," * Los exámenes de Pueblos originarios Procesados no pueden ser mayor que el Total de exámenes procesados.",""))</f>
        <v/>
      </c>
      <c r="CN244" s="219">
        <f>IF(AND(C244&gt;0,AU244="")," * No olvide digitar los exámenes Procesados de Migrantes. Digite Cero si no tiene.",IF(AU244&gt;C244," * Los exámenes procesados de Migrantes no pueden ser mayor que el Total de exámenes procesados.",""))</f>
        <v/>
      </c>
      <c r="CO244" s="219">
        <f>IF(AND(D244&gt;0,AND(AP244="",AR244=""))," * No olvide digitar los exámenes Confirmados positivos por ISP de Trans (Masculino y Femenino). Digite Cero si no tiene.",IF((AP244+AR244)&gt;D244," * Los exámenes confirmados positivos por ISP de Trans (Masculino y Femenino) no pueden ser mayor que el Total de exámenes Confirmados positivos por ISP.",""))</f>
        <v/>
      </c>
      <c r="CP244" s="219">
        <f>IF(AND(D244&gt;0,AT244="")," * No olvide digitar los exámenes Confirmados positivos por ISP de Pueblos Originarios. Digite Cero si no tiene.",IF(AT244&gt;D244," * Los exámenes Confirmados positivos por ISP de Pueblos originarios no pueden ser mayor que el Total de exámenes Procesados por ISP.",""))</f>
        <v/>
      </c>
      <c r="CQ244" s="219">
        <f>IF(AND(D244&gt;0,AV244="")," * No olvide digitar los exámenes Confirmados positivos por ISP de Migrantes. Digite Cero si no tiene.",IF(AV244&gt;D244," * Los exámenes Confirmados positivos por ISP de Migrantes no pueden ser mayor que el Total de exámenes Procesados por ISP.",""))</f>
        <v/>
      </c>
      <c r="CR244" s="226" t="n"/>
      <c r="CS244" s="226" t="n"/>
      <c r="CT244" s="260">
        <f>IF(AND((M244+O244)&gt;0,AW244=""),"*No olvide digitar los Exámenes Procesados de 14-18 años. Digite cero si no tiene.",IF(AW244&gt;(M244+O244),"* El Total de Procesados de 14-18 años NO DEBE ser mayor al Total de Procesados registrados en los grupos de edad 10 a 14 + 15 a 19 años. ",""))</f>
        <v/>
      </c>
      <c r="CU244" s="260">
        <f>IF(AND((N244+P244)&gt;0,AX244=""),"*No olvide digitar los Exámenes Confirmados Positivos por ISP de 14-18 años. Digite cero si no tiene.",IF(AX244&gt;(N244+P244),"* El Total de Confirmados de 14-18 años NO DEBE ser mayor al Total de Confirmados Positivos por ISP registrados en los grupos de edad 10 a 14 + 15 a 19 años. ",""))</f>
        <v/>
      </c>
      <c r="DF244" s="381">
        <f>IF(D244&gt;C244,1,0)</f>
        <v/>
      </c>
      <c r="DG244" s="378">
        <f>IF(AL244&gt;AK244,1,0)</f>
        <v/>
      </c>
      <c r="DH244" s="378">
        <f>IF(AN244&gt;AM244,1,0)</f>
        <v/>
      </c>
      <c r="DI244" s="226" t="n"/>
      <c r="DJ244" s="226" t="n"/>
      <c r="DK244" s="226" t="n"/>
      <c r="DL244" s="226" t="n"/>
      <c r="DM244" s="226" t="n"/>
      <c r="DN244" s="378">
        <f>IF(AND(C244&gt;0,AND(AO244="",AQ244="")),1,IF((AO244+AQ244)&gt;C244,1,0))</f>
        <v/>
      </c>
      <c r="DO244" s="227" t="n"/>
      <c r="DP244" s="378">
        <f>IF((AM244+AK244)&lt;&gt;C244,1,0)</f>
        <v/>
      </c>
      <c r="DQ244" s="378">
        <f>IF((AN244+AL244)&lt;&gt;D244,1,0)</f>
        <v/>
      </c>
      <c r="DR244" s="378">
        <f>IF(AND(C244&gt;0,AS244=""),1,IF(AS244&gt;C244,1,0))</f>
        <v/>
      </c>
      <c r="DS244" s="378">
        <f>IF(AND(C244&gt;0,AU244=""),1,IF(AU244&gt;C244,1,0))</f>
        <v/>
      </c>
      <c r="DT244" s="378">
        <f>IF(AND(D244&gt;0,OR(AP244="",AR244="")),1,IF((AP244+AR244)&gt;D244,1,0))</f>
        <v/>
      </c>
      <c r="DU244" s="378">
        <f>IF(AND(D244&gt;0,AT244=""),1,IF(AT244&gt;D244,1,0))</f>
        <v/>
      </c>
      <c r="DV244" s="378">
        <f>IF(AND(D244&gt;0,AV244=""),1,IF(AV244&gt;D244,1,0))</f>
        <v/>
      </c>
      <c r="DW244" s="226" t="n"/>
      <c r="DX244" s="226" t="n"/>
      <c r="DY244" s="378">
        <f>IF(AND((M244+O244)&gt;0,AW244=""),1,IF(AW244&gt;(M244+O244),1,0))</f>
        <v/>
      </c>
      <c r="DZ244" s="378">
        <f>IF(AND((N244+P244)&gt;0,AX244=""),1,IF(AX244&gt;(N244+P244),1,0))</f>
        <v/>
      </c>
      <c r="EA244" s="261">
        <f>IF(AND((M244+O244)&gt;0,AW244=""),1,0)</f>
        <v/>
      </c>
      <c r="EB244" s="261">
        <f>IF(AND((N244+P244)&gt;0,AX244=""),1,0)</f>
        <v/>
      </c>
    </row>
    <row r="245" ht="15" customHeight="1" s="8286">
      <c r="A245" s="9588" t="n"/>
      <c r="B245" s="3180" t="inlineStr">
        <is>
          <t>Donantes de órganos y/o tejidos</t>
        </is>
      </c>
      <c r="C245" s="3179">
        <f>+M245+O245+Q245+S245+U245+W245+Y245+AA245+AC245+AE245+AG245+AI245</f>
        <v/>
      </c>
      <c r="D245" s="3181">
        <f>+N245+P245+R245+T245+V245+X245+Z245+AB245+AD245+AF245+AH245+AJ245</f>
        <v/>
      </c>
      <c r="E245" s="386" t="n"/>
      <c r="F245" s="387" t="n"/>
      <c r="G245" s="388" t="n"/>
      <c r="H245" s="387" t="n"/>
      <c r="I245" s="388" t="n"/>
      <c r="J245" s="387" t="n"/>
      <c r="K245" s="388" t="n"/>
      <c r="L245" s="387" t="n"/>
      <c r="M245" s="3100" t="n"/>
      <c r="N245" s="1125" t="n"/>
      <c r="O245" s="3107" t="n"/>
      <c r="P245" s="1125" t="n"/>
      <c r="Q245" s="3108" t="n"/>
      <c r="R245" s="1125" t="n"/>
      <c r="S245" s="3108" t="n"/>
      <c r="T245" s="1125" t="n"/>
      <c r="U245" s="3108" t="n"/>
      <c r="V245" s="1125" t="n"/>
      <c r="W245" s="3100" t="n"/>
      <c r="X245" s="1125" t="n"/>
      <c r="Y245" s="3100" t="n"/>
      <c r="Z245" s="1125" t="n"/>
      <c r="AA245" s="3100" t="n"/>
      <c r="AB245" s="1125" t="n"/>
      <c r="AC245" s="3108" t="n"/>
      <c r="AD245" s="1125" t="n"/>
      <c r="AE245" s="3100" t="n"/>
      <c r="AF245" s="1125" t="n"/>
      <c r="AG245" s="3100" t="n"/>
      <c r="AH245" s="1125" t="n"/>
      <c r="AI245" s="3100" t="n"/>
      <c r="AJ245" s="3149" t="n"/>
      <c r="AK245" s="3099" t="n"/>
      <c r="AL245" s="1125" t="n"/>
      <c r="AM245" s="3100" t="n"/>
      <c r="AN245" s="3149" t="n"/>
      <c r="AO245" s="3099" t="n"/>
      <c r="AP245" s="1125" t="n"/>
      <c r="AQ245" s="3100" t="n"/>
      <c r="AR245" s="3149" t="n"/>
      <c r="AS245" s="3099" t="n"/>
      <c r="AT245" s="3149" t="n"/>
      <c r="AU245" s="3099" t="n"/>
      <c r="AV245" s="3149" t="n"/>
      <c r="AW245" s="3100" t="n"/>
      <c r="AX245" s="1125" t="n"/>
      <c r="AY245" s="218">
        <f>$CA245&amp;CB245&amp;$CC245&amp;CD245&amp;CE245&amp;CF245&amp;CG245&amp;CH245&amp;CI245&amp;CJ245&amp;CK245&amp;CL245&amp;CM245&amp;CN245&amp;CO245&amp;CP245&amp;CQ245&amp;CR245&amp;CS245&amp;CT245&amp;CU245&amp;CV245&amp;CW245</f>
        <v/>
      </c>
      <c r="CA245" s="379">
        <f>IF(D245&gt;C245," * El Total de Exámenes Confirmados Positivos por ISP NO DEBE SUPERAR los Exámenes Procesados. ","")</f>
        <v/>
      </c>
      <c r="CB245" s="219">
        <f>IF(AL245&gt;AK245," * El número de Exámenes por Sexo Hombres Confirmados positivos por ISP NO PUEDE Superar al número de Procesados. ","")</f>
        <v/>
      </c>
      <c r="CC245" s="219">
        <f>IF(AN245&gt;AM245," * El número de Exámenes por Sexo Mujeres Confirmados positivos por ISP NO PUEDE Superar al número de Procesados. ","")</f>
        <v/>
      </c>
      <c r="CD245" s="226" t="n"/>
      <c r="CE245" s="226" t="n"/>
      <c r="CF245" s="226" t="n"/>
      <c r="CG245" s="226" t="n"/>
      <c r="CH245" s="226" t="n"/>
      <c r="CI245" s="219">
        <f>IF(AND(C245&gt;0,AND(AO245="",AQ245=""))," * No olvide digitar los exámenes procesados Trans (Masculino y femenino) Digite Cero si no tiene.",IF((AO245+AQ245)&gt;C245," * Los exámenes procesados en Trans (Masculino y femenino) no pueden ser mayor que el Total de exámenes procesados.",""))</f>
        <v/>
      </c>
      <c r="CJ245" s="227" t="n"/>
      <c r="CK245" s="219">
        <f>IF((AM245+AK245)&lt;&gt;C245," * El N° de exámenes Procesados por SEXO (Hombres + Mujeres)no puede ser distinto al Total de exámenes procesados","")</f>
        <v/>
      </c>
      <c r="CL245" s="219">
        <f>IF((AN245+AL245)&lt;&gt;D245," * El N° de exámenes Confirmados positivos por ISP por Sexo (Hombres+Mujeres) no puede ser distinto al N° Total de exámenes Confirmados positivos por ISP ","")</f>
        <v/>
      </c>
      <c r="CM245" s="219">
        <f>IF(AND(C245&gt;0,AS245="")," * No olvide digitar los examanes de Pueblos Originarios Procesados. Digite Cero si no tiene.",IF(AS245&gt;C245," * Los exámenes de Pueblos originarios Procesados no pueden ser mayor que el Total de exámenes procesados.",""))</f>
        <v/>
      </c>
      <c r="CN245" s="219">
        <f>IF(AND(C245&gt;0,AU245="")," * No olvide digitar los exámenes Procesados de Migrantes. Digite Cero si no tiene.",IF(AU245&gt;C245," * Los exámenes procesados de Migrantes no pueden ser mayor que el Total de exámenes procesados.",""))</f>
        <v/>
      </c>
      <c r="CO245" s="219">
        <f>IF(AND(D245&gt;0,AND(AP245="",AR245=""))," * No olvide digitar los exámenes Confirmados positivos por ISP de Trans (Masculino y Femenino). Digite Cero si no tiene.",IF((AP245+AR245)&gt;D245," * Los exámenes confirmados positivos por ISP de Trans (Masculino y Femenino) no pueden ser mayor que el Total de exámenes Confirmados positivos por ISP.",""))</f>
        <v/>
      </c>
      <c r="CP245" s="219">
        <f>IF(AND(D245&gt;0,AT245="")," * No olvide digitar los exámenes Confirmados positivos por ISP de Pueblos Originarios. Digite Cero si no tiene.",IF(AT245&gt;D245," * Los exámenes Confirmados positivos por ISP de Pueblos originarios no pueden ser mayor que el Total de exámenes Procesados por ISP.",""))</f>
        <v/>
      </c>
      <c r="CQ245" s="219">
        <f>IF(AND(D245&gt;0,AV245="")," * No olvide digitar los exámenes Confirmados positivos por ISP de Migrantes. Digite Cero si no tiene.",IF(AV245&gt;D245," * Los exámenes Confirmados positivos por ISP de Migrantes no pueden ser mayor que el Total de exámenes Procesados por ISP.",""))</f>
        <v/>
      </c>
      <c r="CR245" s="226" t="n"/>
      <c r="CS245" s="226" t="n"/>
      <c r="CT245" s="260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>
        <f>IF(AND((N245+P245)&gt;0,AX245=""),"*No olvide digitar los Exámenes Confirmados Positivos por ISP de 14-18 años. Digite cero si no tiene.",IF(AX245&gt;(N245+P245),"* El Total de Confirmados de 14-18 años NO DEBE ser mayor al Total de Confirmados Positivos por ISP registrados en los grupos de edad 10 a 14 + 15 a 19 años. ",""))</f>
        <v/>
      </c>
      <c r="DF245" s="381">
        <f>IF(D245&gt;C245,1,0)</f>
        <v/>
      </c>
      <c r="DG245" s="378">
        <f>IF(AL245&gt;AK245,1,0)</f>
        <v/>
      </c>
      <c r="DH245" s="378">
        <f>IF(AN245&gt;AM245,1,0)</f>
        <v/>
      </c>
      <c r="DI245" s="226" t="n"/>
      <c r="DJ245" s="226" t="n"/>
      <c r="DK245" s="226" t="n"/>
      <c r="DL245" s="226" t="n"/>
      <c r="DM245" s="226" t="n"/>
      <c r="DN245" s="378">
        <f>IF(AND(C245&gt;0,AND(AO245="",AQ245="")),1,IF((AO245+AQ245)&gt;C245,1,0))</f>
        <v/>
      </c>
      <c r="DO245" s="227" t="n"/>
      <c r="DP245" s="378">
        <f>IF((AM245+AK245)&lt;&gt;C245,1,0)</f>
        <v/>
      </c>
      <c r="DQ245" s="378">
        <f>IF((AN245+AL245)&lt;&gt;D245,1,0)</f>
        <v/>
      </c>
      <c r="DR245" s="378">
        <f>IF(AND(C245&gt;0,AS245=""),1,IF(AS245&gt;C245,1,0))</f>
        <v/>
      </c>
      <c r="DS245" s="378">
        <f>IF(AND(C245&gt;0,AU245=""),1,IF(AU245&gt;C245,1,0))</f>
        <v/>
      </c>
      <c r="DT245" s="378">
        <f>IF(AND(D245&gt;0,OR(AP245="",AR245="")),1,IF((AP245+AR245)&gt;D245,1,0))</f>
        <v/>
      </c>
      <c r="DU245" s="378">
        <f>IF(AND(D245&gt;0,AT245=""),1,IF(AT245&gt;D245,1,0))</f>
        <v/>
      </c>
      <c r="DV245" s="378">
        <f>IF(AND(D245&gt;0,AV245=""),1,IF(AV245&gt;D245,1,0))</f>
        <v/>
      </c>
      <c r="DW245" s="226" t="n"/>
      <c r="DX245" s="226" t="n"/>
      <c r="DY245" s="378">
        <f>IF(AND((M245+O245)&gt;0,AW245=""),1,IF(AW245&gt;(M245+O245),1,0))</f>
        <v/>
      </c>
      <c r="DZ245" s="378">
        <f>IF(AND((N245+P245)&gt;0,AX245=""),1,IF(AX245&gt;(N245+P245),1,0))</f>
        <v/>
      </c>
      <c r="EA245" s="261">
        <f>IF(AND((M245+O245)&gt;0,AW245=""),1,0)</f>
        <v/>
      </c>
      <c r="EB245" s="261">
        <f>IF(AND((N245+P245)&gt;0,AX245=""),1,0)</f>
        <v/>
      </c>
    </row>
    <row r="246" ht="15" customHeight="1" s="8286">
      <c r="A246" s="9588" t="n"/>
      <c r="B246" s="3178" t="inlineStr">
        <is>
          <t>Persona en control por TBC</t>
        </is>
      </c>
      <c r="C246" s="3179">
        <f>+M246+O246+Q246+S246+U246+W246+Y246+AA246+AC246+AE246+AG246+AI246</f>
        <v/>
      </c>
      <c r="D246" s="3181">
        <f>+N246+P246+R246+T246+V246+X246+Z246+AB246+AD246+AF246+AH246+AJ246</f>
        <v/>
      </c>
      <c r="E246" s="386" t="n"/>
      <c r="F246" s="387" t="n"/>
      <c r="G246" s="388" t="n"/>
      <c r="H246" s="387" t="n"/>
      <c r="I246" s="388" t="n"/>
      <c r="J246" s="387" t="n"/>
      <c r="K246" s="388" t="n"/>
      <c r="L246" s="387" t="n"/>
      <c r="M246" s="3100" t="n"/>
      <c r="N246" s="1125" t="n"/>
      <c r="O246" s="3100" t="n"/>
      <c r="P246" s="1125" t="n"/>
      <c r="Q246" s="3108" t="n"/>
      <c r="R246" s="1125" t="n"/>
      <c r="S246" s="3108" t="n"/>
      <c r="T246" s="1125" t="n"/>
      <c r="U246" s="3108" t="n"/>
      <c r="V246" s="1125" t="n"/>
      <c r="W246" s="3100" t="n"/>
      <c r="X246" s="1125" t="n"/>
      <c r="Y246" s="3100" t="n"/>
      <c r="Z246" s="1125" t="n"/>
      <c r="AA246" s="3100" t="n"/>
      <c r="AB246" s="1125" t="n"/>
      <c r="AC246" s="3108" t="n"/>
      <c r="AD246" s="1125" t="n"/>
      <c r="AE246" s="3100" t="n"/>
      <c r="AF246" s="1125" t="n"/>
      <c r="AG246" s="3100" t="n"/>
      <c r="AH246" s="1125" t="n"/>
      <c r="AI246" s="3100" t="n"/>
      <c r="AJ246" s="3149" t="n"/>
      <c r="AK246" s="3099" t="n"/>
      <c r="AL246" s="1125" t="n"/>
      <c r="AM246" s="3100" t="n"/>
      <c r="AN246" s="3149" t="n"/>
      <c r="AO246" s="3099" t="n"/>
      <c r="AP246" s="1125" t="n"/>
      <c r="AQ246" s="3100" t="n"/>
      <c r="AR246" s="3149" t="n"/>
      <c r="AS246" s="3099" t="n"/>
      <c r="AT246" s="3149" t="n"/>
      <c r="AU246" s="3099" t="n"/>
      <c r="AV246" s="3149" t="n"/>
      <c r="AW246" s="3100" t="n"/>
      <c r="AX246" s="1125" t="n"/>
      <c r="AY246" s="218">
        <f>$CA246&amp;CB246&amp;$CC246&amp;CD246&amp;CE246&amp;CF246&amp;CG246&amp;CH246&amp;CI246&amp;CJ246&amp;CK246&amp;CL246&amp;CM246&amp;CN246&amp;CO246&amp;CP246&amp;CQ246&amp;CR246&amp;CS246&amp;CT246&amp;CU246&amp;CV246&amp;CW246</f>
        <v/>
      </c>
      <c r="CA246" s="379">
        <f>IF(D246&gt;C246," * El Total de Exámenes Confirmados Positivos por ISP NO DEBE SUPERAR los Exámenes Procesados. ","")</f>
        <v/>
      </c>
      <c r="CB246" s="219">
        <f>IF(AL246&gt;AK246," * El número de Exámenes por Sexo Hombres Confirmados positivos por ISP NO PUEDE Superar al número de Procesados. ","")</f>
        <v/>
      </c>
      <c r="CC246" s="219">
        <f>IF(AN246&gt;AM246," * El número de Exámenes por Sexo Mujeres Confirmados positivos por ISP NO PUEDE Superar al número de Procesados. ","")</f>
        <v/>
      </c>
      <c r="CD246" s="226" t="n"/>
      <c r="CE246" s="226" t="n"/>
      <c r="CF246" s="226" t="n"/>
      <c r="CG246" s="226" t="n"/>
      <c r="CH246" s="226" t="n"/>
      <c r="CI246" s="219">
        <f>IF(AND(C246&gt;0,AND(AO246="",AQ246=""))," * No olvide digitar los exámenes procesados Trans (Masculino y femenino) Digite Cero si no tiene.",IF((AO246+AQ246)&gt;C246," * Los exámenes procesados en Trans (Masculino y femenino) no pueden ser mayor que el Total de exámenes procesados.",""))</f>
        <v/>
      </c>
      <c r="CJ246" s="227" t="n"/>
      <c r="CK246" s="219">
        <f>IF((AM246+AK246)&lt;&gt;C246," * El N° de exámenes Procesados por SEXO (Hombres + Mujeres)no puede ser distinto al Total de exámenes procesados","")</f>
        <v/>
      </c>
      <c r="CL246" s="219">
        <f>IF((AN246+AL246)&lt;&gt;D246," * El N° de exámenes Confirmados positivos por ISP por Sexo (Hombres+Mujeres) no puede ser distinto al N° Total de exámenes Confirmados positivos por ISP ","")</f>
        <v/>
      </c>
      <c r="CM246" s="219">
        <f>IF(AND(C246&gt;0,AS246="")," * No olvide digitar los examanes de Pueblos Originarios Procesados. Digite Cero si no tiene.",IF(AS246&gt;C246," * Los exámenes de Pueblos originarios Procesados no pueden ser mayor que el Total de exámenes procesados.",""))</f>
        <v/>
      </c>
      <c r="CN246" s="219">
        <f>IF(AND(C246&gt;0,AU246="")," * No olvide digitar los exámenes Procesados de Migrantes. Digite Cero si no tiene.",IF(AU246&gt;C246," * Los exámenes procesados de Migrantes no pueden ser mayor que el Total de exámenes procesados.",""))</f>
        <v/>
      </c>
      <c r="CO246" s="219">
        <f>IF(AND(D246&gt;0,AND(AP246="",AR246=""))," * No olvide digitar los exámenes Confirmados positivos por ISP de Trans (Masculino y Femenino). Digite Cero si no tiene.",IF((AP246+AR246)&gt;D246," * Los exámenes confirmados positivos por ISP de Trans (Masculino y Femenino) no pueden ser mayor que el Total de exámenes Confirmados positivos por ISP.",""))</f>
        <v/>
      </c>
      <c r="CP246" s="219">
        <f>IF(AND(D246&gt;0,AT246="")," * No olvide digitar los exámenes Confirmados positivos por ISP de Pueblos Originarios. Digite Cero si no tiene.",IF(AT246&gt;D246," * Los exámenes Confirmados positivos por ISP de Pueblos originarios no pueden ser mayor que el Total de exámenes Procesados por ISP.",""))</f>
        <v/>
      </c>
      <c r="CQ246" s="219">
        <f>IF(AND(D246&gt;0,AV246="")," * No olvide digitar los exámenes Confirmados positivos por ISP de Migrantes. Digite Cero si no tiene.",IF(AV246&gt;D246," * Los exámenes Confirmados positivos por ISP de Migrantes no pueden ser mayor que el Total de exámenes Procesados por ISP.",""))</f>
        <v/>
      </c>
      <c r="CR246" s="226" t="n"/>
      <c r="CS246" s="226" t="n"/>
      <c r="CT246" s="260">
        <f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>
        <f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>IF(D246&gt;C246,1,0)</f>
        <v/>
      </c>
      <c r="DG246" s="378">
        <f>IF(AL246&gt;AK246,1,0)</f>
        <v/>
      </c>
      <c r="DH246" s="378">
        <f>IF(AN246&gt;AM246,1,0)</f>
        <v/>
      </c>
      <c r="DI246" s="226" t="n"/>
      <c r="DJ246" s="226" t="n"/>
      <c r="DK246" s="226" t="n"/>
      <c r="DL246" s="226" t="n"/>
      <c r="DM246" s="226" t="n"/>
      <c r="DN246" s="378">
        <f>IF(AND(C246&gt;0,AND(AO246="",AQ246="")),1,IF((AO246+AQ246)&gt;C246,1,0))</f>
        <v/>
      </c>
      <c r="DO246" s="227" t="n"/>
      <c r="DP246" s="378">
        <f>IF((AM246+AK246)&lt;&gt;C246,1,0)</f>
        <v/>
      </c>
      <c r="DQ246" s="378">
        <f>IF((AN246+AL246)&lt;&gt;D246,1,0)</f>
        <v/>
      </c>
      <c r="DR246" s="378">
        <f>IF(AND(C246&gt;0,AS246=""),1,IF(AS246&gt;C246,1,0))</f>
        <v/>
      </c>
      <c r="DS246" s="378">
        <f>IF(AND(C246&gt;0,AU246=""),1,IF(AU246&gt;C246,1,0))</f>
        <v/>
      </c>
      <c r="DT246" s="378">
        <f>IF(AND(D246&gt;0,OR(AP246="",AR246="")),1,IF((AP246+AR246)&gt;D246,1,0))</f>
        <v/>
      </c>
      <c r="DU246" s="378">
        <f>IF(AND(D246&gt;0,AT246=""),1,IF(AT246&gt;D246,1,0))</f>
        <v/>
      </c>
      <c r="DV246" s="378">
        <f>IF(AND(D246&gt;0,AV246=""),1,IF(AV246&gt;D246,1,0))</f>
        <v/>
      </c>
      <c r="DW246" s="226" t="n"/>
      <c r="DX246" s="226" t="n"/>
      <c r="DY246" s="378">
        <f>IF(AND((M246+O246)&gt;0,AW246=""),1,IF(AW246&gt;(M246+O246),1,0))</f>
        <v/>
      </c>
      <c r="DZ246" s="378">
        <f>IF(AND((N246+P246)&gt;0,AX246=""),1,IF(AX246&gt;(N246+P246),1,0))</f>
        <v/>
      </c>
      <c r="EA246" s="261">
        <f>IF(AND((M246+O246)&gt;0,AW246=""),1,0)</f>
        <v/>
      </c>
      <c r="EB246" s="261">
        <f>IF(AND((N246+P246)&gt;0,AX246=""),1,0)</f>
        <v/>
      </c>
    </row>
    <row r="247" ht="15" customHeight="1" s="8286">
      <c r="A247" s="9588" t="n"/>
      <c r="B247" s="3178" t="inlineStr">
        <is>
          <t>Víctima de violencia sexual</t>
        </is>
      </c>
      <c r="C247" s="3179">
        <f>+E247+G247+I247+K247+M247+O247+Q247+S247+U247+W247+Y247+AA247+AC247+AE247+AG247+AI247</f>
        <v/>
      </c>
      <c r="D247" s="3181">
        <f>+F247+H247+J247+L247+N247+P247+R247+T247+V247+X247+Z247+AB247+AD247+AF247+AH247+AJ247</f>
        <v/>
      </c>
      <c r="E247" s="1452" t="n"/>
      <c r="F247" s="1122" t="n"/>
      <c r="G247" s="1452" t="n"/>
      <c r="H247" s="1122" t="n"/>
      <c r="I247" s="1452" t="n"/>
      <c r="J247" s="1122" t="n"/>
      <c r="K247" s="1452" t="n"/>
      <c r="L247" s="1122" t="n"/>
      <c r="M247" s="3100" t="n"/>
      <c r="N247" s="1125" t="n"/>
      <c r="O247" s="3100" t="n"/>
      <c r="P247" s="1125" t="n"/>
      <c r="Q247" s="3108" t="n"/>
      <c r="R247" s="1125" t="n"/>
      <c r="S247" s="3108" t="n"/>
      <c r="T247" s="1125" t="n"/>
      <c r="U247" s="3108" t="n"/>
      <c r="V247" s="1125" t="n"/>
      <c r="W247" s="3100" t="n"/>
      <c r="X247" s="1125" t="n"/>
      <c r="Y247" s="3100" t="n"/>
      <c r="Z247" s="1125" t="n"/>
      <c r="AA247" s="3100" t="n"/>
      <c r="AB247" s="1125" t="n"/>
      <c r="AC247" s="3108" t="n"/>
      <c r="AD247" s="1125" t="n"/>
      <c r="AE247" s="3100" t="n"/>
      <c r="AF247" s="1125" t="n"/>
      <c r="AG247" s="3100" t="n"/>
      <c r="AH247" s="1125" t="n"/>
      <c r="AI247" s="3100" t="n"/>
      <c r="AJ247" s="3149" t="n"/>
      <c r="AK247" s="3099" t="n"/>
      <c r="AL247" s="1125" t="n"/>
      <c r="AM247" s="3100" t="n"/>
      <c r="AN247" s="3149" t="n"/>
      <c r="AO247" s="3099" t="n"/>
      <c r="AP247" s="1125" t="n"/>
      <c r="AQ247" s="3100" t="n"/>
      <c r="AR247" s="3149" t="n"/>
      <c r="AS247" s="3099" t="n"/>
      <c r="AT247" s="3149" t="n"/>
      <c r="AU247" s="3099" t="n"/>
      <c r="AV247" s="3149" t="n"/>
      <c r="AW247" s="3100" t="n"/>
      <c r="AX247" s="1125" t="n"/>
      <c r="AY247" s="218">
        <f>$CA247&amp;CB247&amp;$CC247&amp;CD247&amp;CE247&amp;CF247&amp;CG247&amp;CH247&amp;CI247&amp;CJ247&amp;CK247&amp;CL247&amp;CM247&amp;CN247&amp;CO247&amp;CP247&amp;CQ247&amp;CR247&amp;CS247&amp;CT247&amp;CU247&amp;CV247&amp;CW247</f>
        <v/>
      </c>
      <c r="CA247" s="379">
        <f>IF(D247&gt;C247," * El Total de Exámenes Confirmados Positivos por ISP NO DEBE SUPERAR los Exámenes Procesados. ","")</f>
        <v/>
      </c>
      <c r="CB247" s="219">
        <f>IF(AL247&gt;AK247," * El número de Exámenes por Sexo Hombres Confirmados positivos por ISP NO PUEDE Superar al número de Procesados. ","")</f>
        <v/>
      </c>
      <c r="CC247" s="219">
        <f>IF(AN247&gt;AM247," * El número de Exámenes por Sexo Mujeres Confirmados positivos por ISP NO PUEDE Superar al número de Procesados. ","")</f>
        <v/>
      </c>
      <c r="CD247" s="226" t="n"/>
      <c r="CE247" s="226" t="n"/>
      <c r="CF247" s="226" t="n"/>
      <c r="CG247" s="226" t="n"/>
      <c r="CH247" s="226" t="n"/>
      <c r="CI247" s="219">
        <f>IF(AND(C247&gt;0,AND(AO247="",AQ247=""))," * No olvide digitar los exámenes procesados Trans (Masculino y femenino) Digite Cero si no tiene.",IF((AO247+AQ247)&gt;C247," * Los exámenes procesados en Trans (Masculino y femenino) no pueden ser mayor que el Total de exámenes procesados.",""))</f>
        <v/>
      </c>
      <c r="CJ247" s="227" t="n"/>
      <c r="CK247" s="219">
        <f>IF((AM247+AK247)&lt;&gt;C247," * El N° de exámenes Procesados por SEXO (Hombres + Mujeres)no puede ser distinto al Total de exámenes procesados","")</f>
        <v/>
      </c>
      <c r="CL247" s="219">
        <f>IF((AN247+AL247)&lt;&gt;D247," * El N° de exámenes Confirmados positivos por ISP por Sexo (Hombres+Mujeres) no puede ser distinto al N° Total de exámenes Confirmados positivos por ISP ","")</f>
        <v/>
      </c>
      <c r="CM247" s="219">
        <f>IF(AND(C247&gt;0,AS247="")," * No olvide digitar los examanes de Pueblos Originarios Procesados. Digite Cero si no tiene.",IF(AS247&gt;C247," * Los exámenes de Pueblos originarios Procesados no pueden ser mayor que el Total de exámenes procesados.",""))</f>
        <v/>
      </c>
      <c r="CN247" s="219">
        <f>IF(AND(C247&gt;0,AU247="")," * No olvide digitar los exámenes Procesados de Migrantes. Digite Cero si no tiene.",IF(AU247&gt;C247," * Los exámenes procesados de Migrantes no pueden ser mayor que el Total de exámenes procesados.",""))</f>
        <v/>
      </c>
      <c r="CO247" s="219">
        <f>IF(AND(D247&gt;0,AND(AP247="",AR247=""))," * No olvide digitar los exámenes Confirmados positivos por ISP de Trans (Masculino y Femenino). Digite Cero si no tiene.",IF((AP247+AR247)&gt;D247," * Los exámenes confirmados positivos por ISP de Trans (Masculino y Femenino) no pueden ser mayor que el Total de exámenes Confirmados positivos por ISP.",""))</f>
        <v/>
      </c>
      <c r="CP247" s="219">
        <f>IF(AND(D247&gt;0,AT247="")," * No olvide digitar los exámenes Confirmados positivos por ISP de Pueblos Originarios. Digite Cero si no tiene.",IF(AT247&gt;D247," * Los exámenes Confirmados positivos por ISP de Pueblos originarios no pueden ser mayor que el Total de exámenes Procesados por ISP.",""))</f>
        <v/>
      </c>
      <c r="CQ247" s="219">
        <f>IF(AND(D247&gt;0,AV247="")," * No olvide digitar los exámenes Confirmados positivos por ISP de Migrantes. Digite Cero si no tiene.",IF(AV247&gt;D247," * Los exámenes Confirmados positivos por ISP de Migrantes no pueden ser mayor que el Total de exámenes Procesados por ISP.",""))</f>
        <v/>
      </c>
      <c r="CR247" s="226" t="n"/>
      <c r="CS247" s="226" t="n"/>
      <c r="CT247" s="260">
        <f>IF(AND((M247+O247)&gt;0,AW247=""),"*No olvide digitar los Exámenes Procesados de 14-18 años. Digite cero si no tiene.",IF(AW247&gt;(M247+O247),"* El Total de Procesados de 14-18 años NO DEBE ser mayor al Total de Procesados registrados en los grupos de edad 10 a 14 + 15 a 19 años. ",""))</f>
        <v/>
      </c>
      <c r="CU247" s="260">
        <f>IF(AND((N247+P247)&gt;0,AX247=""),"*No olvide digitar los Exámenes Confirmados Positivos por ISP de 14-18 años. Digite cero si no tiene.",IF(AX247&gt;(N247+P247),"* El Total de Confirmados de 14-18 años NO DEBE ser mayor al Total de Confirmados Positivos por ISP registrados en los grupos de edad 10 a 14 + 15 a 19 años. ",""))</f>
        <v/>
      </c>
      <c r="DF247" s="381">
        <f>IF(D247&gt;C247,1,0)</f>
        <v/>
      </c>
      <c r="DG247" s="378">
        <f>IF(AL247&gt;AK247,1,0)</f>
        <v/>
      </c>
      <c r="DH247" s="378">
        <f>IF(AN247&gt;AM247,1,0)</f>
        <v/>
      </c>
      <c r="DI247" s="226" t="n"/>
      <c r="DJ247" s="226" t="n"/>
      <c r="DK247" s="226" t="n"/>
      <c r="DL247" s="226" t="n"/>
      <c r="DM247" s="226" t="n"/>
      <c r="DN247" s="378">
        <f>IF(AND(C247&gt;0,AND(AO247="",AQ247="")),1,IF((AO247+AQ247)&gt;C247,1,0))</f>
        <v/>
      </c>
      <c r="DO247" s="227" t="n"/>
      <c r="DP247" s="378">
        <f>IF((AM247+AK247)&lt;&gt;C247,1,0)</f>
        <v/>
      </c>
      <c r="DQ247" s="378">
        <f>IF((AN247+AL247)&lt;&gt;D247,1,0)</f>
        <v/>
      </c>
      <c r="DR247" s="378">
        <f>IF(AND(C247&gt;0,AS247=""),1,IF(AS247&gt;C247,1,0))</f>
        <v/>
      </c>
      <c r="DS247" s="378">
        <f>IF(AND(C247&gt;0,AU247=""),1,IF(AU247&gt;C247,1,0))</f>
        <v/>
      </c>
      <c r="DT247" s="378">
        <f>IF(AND(D247&gt;0,OR(AP247="",AR247="")),1,IF((AP247+AR247)&gt;D247,1,0))</f>
        <v/>
      </c>
      <c r="DU247" s="378">
        <f>IF(AND(D247&gt;0,AT247=""),1,IF(AT247&gt;D247,1,0))</f>
        <v/>
      </c>
      <c r="DV247" s="378">
        <f>IF(AND(D247&gt;0,AV247=""),1,IF(AV247&gt;D247,1,0))</f>
        <v/>
      </c>
      <c r="DW247" s="226" t="n"/>
      <c r="DX247" s="226" t="n"/>
      <c r="DY247" s="378">
        <f>IF(AND((M247+O247)&gt;0,AW247=""),1,IF(AW247&gt;(M247+O247),1,0))</f>
        <v/>
      </c>
      <c r="DZ247" s="378">
        <f>IF(AND((N247+P247)&gt;0,AX247=""),1,IF(AX247&gt;(N247+P247),1,0))</f>
        <v/>
      </c>
      <c r="EA247" s="261">
        <f>IF(AND((M247+O247)&gt;0,AW247=""),1,0)</f>
        <v/>
      </c>
      <c r="EB247" s="261">
        <f>IF(AND((N247+P247)&gt;0,AX247=""),1,0)</f>
        <v/>
      </c>
    </row>
    <row r="248" ht="15" customHeight="1" s="8286">
      <c r="A248" s="9588" t="n"/>
      <c r="B248" s="3178" t="inlineStr">
        <is>
          <t>Pareja serodiscordante</t>
        </is>
      </c>
      <c r="C248" s="3179">
        <f>+O248+Q248+S248+U248+W248+Y248+AA248+AC248+AE248+AG248+AI248</f>
        <v/>
      </c>
      <c r="D248" s="1171">
        <f>+P248+R248+T248+V248+X248+Z248+AB248+AD248+AF248+AH248+AJ248</f>
        <v/>
      </c>
      <c r="E248" s="386" t="n"/>
      <c r="F248" s="387" t="n"/>
      <c r="G248" s="388" t="n"/>
      <c r="H248" s="387" t="n"/>
      <c r="I248" s="388" t="n"/>
      <c r="J248" s="387" t="n"/>
      <c r="K248" s="388" t="n"/>
      <c r="L248" s="387" t="n"/>
      <c r="M248" s="388" t="n"/>
      <c r="N248" s="387" t="n"/>
      <c r="O248" s="3100" t="n"/>
      <c r="P248" s="1125" t="n"/>
      <c r="Q248" s="3108" t="n"/>
      <c r="R248" s="1125" t="n"/>
      <c r="S248" s="3108" t="n"/>
      <c r="T248" s="1125" t="n"/>
      <c r="U248" s="3108" t="n"/>
      <c r="V248" s="1125" t="n"/>
      <c r="W248" s="3100" t="n"/>
      <c r="X248" s="1125" t="n"/>
      <c r="Y248" s="3100" t="n"/>
      <c r="Z248" s="1125" t="n"/>
      <c r="AA248" s="3100" t="n"/>
      <c r="AB248" s="1125" t="n"/>
      <c r="AC248" s="3108" t="n"/>
      <c r="AD248" s="1125" t="n"/>
      <c r="AE248" s="3100" t="n"/>
      <c r="AF248" s="1125" t="n"/>
      <c r="AG248" s="3100" t="n"/>
      <c r="AH248" s="1125" t="n"/>
      <c r="AI248" s="3100" t="n"/>
      <c r="AJ248" s="3149" t="n"/>
      <c r="AK248" s="3099" t="n"/>
      <c r="AL248" s="1125" t="n"/>
      <c r="AM248" s="3100" t="n"/>
      <c r="AN248" s="3149" t="n"/>
      <c r="AO248" s="3099" t="n"/>
      <c r="AP248" s="1125" t="n"/>
      <c r="AQ248" s="3100" t="n"/>
      <c r="AR248" s="3149" t="n"/>
      <c r="AS248" s="3099" t="n"/>
      <c r="AT248" s="3149" t="n"/>
      <c r="AU248" s="3099" t="n"/>
      <c r="AV248" s="3149" t="n"/>
      <c r="AW248" s="3100" t="n"/>
      <c r="AX248" s="1125" t="n"/>
      <c r="AY248" s="218">
        <f>$CA248&amp;CB248&amp;$CC248&amp;CD248&amp;CE248&amp;CF248&amp;CG248&amp;CH248&amp;CI248&amp;CJ248&amp;CK248&amp;CL248&amp;CM248&amp;CN248&amp;CO248&amp;CP248&amp;CQ248&amp;CR248&amp;CS248&amp;CT248&amp;CU248&amp;CV248&amp;CW248</f>
        <v/>
      </c>
      <c r="CA248" s="379">
        <f>IF(D248&gt;C248," * El Total de Exámenes Confirmados Positivos por ISP NO DEBE SUPERAR los Exámenes Procesados. ","")</f>
        <v/>
      </c>
      <c r="CB248" s="219">
        <f>IF(AL248&gt;AK248," * El número de Exámenes por Sexo Hombres Confirmados positivos por ISP NO PUEDE Superar al número de Procesados. ","")</f>
        <v/>
      </c>
      <c r="CC248" s="219">
        <f>IF(AN248&gt;AM248," * El número de Exámenes por Sexo Mujeres Confirmados positivos por ISP NO PUEDE Superar al número de Procesados. ","")</f>
        <v/>
      </c>
      <c r="CD248" s="226" t="n"/>
      <c r="CE248" s="226" t="n"/>
      <c r="CF248" s="226" t="n"/>
      <c r="CG248" s="226" t="n"/>
      <c r="CH248" s="226" t="n"/>
      <c r="CI248" s="219">
        <f>IF(AND(C248&gt;0,AND(AO248="",AQ248=""))," * No olvide digitar los exámenes procesados Trans (Masculino y femenino) Digite Cero si no tiene.",IF((AO248+AQ248)&gt;C248," * Los exámenes procesados en Trans (Masculino y femenino) no pueden ser mayor que el Total de exámenes procesados.",""))</f>
        <v/>
      </c>
      <c r="CJ248" s="227" t="n"/>
      <c r="CK248" s="219">
        <f>IF((AM248+AK248)&lt;&gt;C248," * El N° de exámenes Procesados por SEXO (Hombres + Mujeres)no puede ser distinto al Total de exámenes procesados","")</f>
        <v/>
      </c>
      <c r="CL248" s="219">
        <f>IF((AN248+AL248)&lt;&gt;D248," * El N° de exámenes Confirmados positivos por ISP por Sexo (Hombres+Mujeres) no puede ser distinto al N° Total de exámenes Confirmados positivos por ISP ","")</f>
        <v/>
      </c>
      <c r="CM248" s="219">
        <f>IF(AND(C248&gt;0,AS248="")," * No olvide digitar los examanes de Pueblos Originarios Procesados. Digite Cero si no tiene.",IF(AS248&gt;C248," * Los exámenes de Pueblos originarios Procesados no pueden ser mayor que el Total de exámenes procesados.",""))</f>
        <v/>
      </c>
      <c r="CN248" s="219">
        <f>IF(AND(C248&gt;0,AU248="")," * No olvide digitar los exámenes Procesados de Migrantes. Digite Cero si no tiene.",IF(AU248&gt;C248," * Los exámenes procesados de Migrantes no pueden ser mayor que el Total de exámenes procesados.",""))</f>
        <v/>
      </c>
      <c r="CO248" s="219">
        <f>IF(AND(D248&gt;0,AND(AP248="",AR248=""))," * No olvide digitar los exámenes Confirmados positivos por ISP de Trans (Masculino y Femenino). Digite Cero si no tiene.",IF((AP248+AR248)&gt;D248," * Los exámenes confirmados positivos por ISP de Trans (Masculino y Femenino) no pueden ser mayor que el Total de exámenes Confirmados positivos por ISP.",""))</f>
        <v/>
      </c>
      <c r="CP248" s="219">
        <f>IF(AND(D248&gt;0,AT248="")," * No olvide digitar los exámenes Confirmados positivos por ISP de Pueblos Originarios. Digite Cero si no tiene.",IF(AT248&gt;D248," * Los exámenes Confirmados positivos por ISP de Pueblos originarios no pueden ser mayor que el Total de exámenes Procesados por ISP.",""))</f>
        <v/>
      </c>
      <c r="CQ248" s="219">
        <f>IF(AND(D248&gt;0,AV248="")," * No olvide digitar los exámenes Confirmados positivos por ISP de Migrantes. Digite Cero si no tiene.",IF(AV248&gt;D248," * Los exámenes Confirmados positivos por ISP de Migrantes no pueden ser mayor que el Total de exámenes Procesados por ISP.",""))</f>
        <v/>
      </c>
      <c r="CR248" s="226" t="n"/>
      <c r="CS248" s="226" t="n"/>
      <c r="CT248" s="260">
        <f>IF(AND((M248+O248)&gt;0,AW248=""),"*No olvide digitar los Exámenes Procesados de 14-18 años. Digite cero si no tiene.",IF(AW248&gt;(M248+O248),"* El Total de Procesados de 14-18 años NO DEBE ser mayor al Total de Procesados registrados en los grupos de edad 10 a 14 + 15 a 19 años. ",""))</f>
        <v/>
      </c>
      <c r="CU248" s="260">
        <f>IF(AND((N248+P248)&gt;0,AX248=""),"*No olvide digitar los Exámenes Confirmados Positivos por ISP de 14-18 años. Digite cero si no tiene.",IF(AX248&gt;(N248+P248),"* El Total de Confirmados de 14-18 años NO DEBE ser mayor al Total de Confirmados Positivos por ISP registrados en los grupos de edad 10 a 14 + 15 a 19 años. ",""))</f>
        <v/>
      </c>
      <c r="DF248" s="381">
        <f>IF(D248&gt;C248,1,0)</f>
        <v/>
      </c>
      <c r="DG248" s="378">
        <f>IF(AL248&gt;AK248,1,0)</f>
        <v/>
      </c>
      <c r="DH248" s="378">
        <f>IF(AN248&gt;AM248,1,0)</f>
        <v/>
      </c>
      <c r="DI248" s="226" t="n"/>
      <c r="DJ248" s="226" t="n"/>
      <c r="DK248" s="226" t="n"/>
      <c r="DL248" s="226" t="n"/>
      <c r="DM248" s="226" t="n"/>
      <c r="DN248" s="378">
        <f>IF(AND(C248&gt;0,AND(AO248="",AQ248="")),1,IF((AO248+AQ248)&gt;C248,1,0))</f>
        <v/>
      </c>
      <c r="DO248" s="227" t="n"/>
      <c r="DP248" s="378">
        <f>IF((AM248+AK248)&lt;&gt;C248,1,0)</f>
        <v/>
      </c>
      <c r="DQ248" s="378">
        <f>IF((AN248+AL248)&lt;&gt;D248,1,0)</f>
        <v/>
      </c>
      <c r="DR248" s="378">
        <f>IF(AND(C248&gt;0,AS248=""),1,IF(AS248&gt;C248,1,0))</f>
        <v/>
      </c>
      <c r="DS248" s="378">
        <f>IF(AND(C248&gt;0,AU248=""),1,IF(AU248&gt;C248,1,0))</f>
        <v/>
      </c>
      <c r="DT248" s="378">
        <f>IF(AND(D248&gt;0,OR(AP248="",AR248="")),1,IF((AP248+AR248)&gt;D248,1,0))</f>
        <v/>
      </c>
      <c r="DU248" s="378">
        <f>IF(AND(D248&gt;0,AT248=""),1,IF(AT248&gt;D248,1,0))</f>
        <v/>
      </c>
      <c r="DV248" s="378">
        <f>IF(AND(D248&gt;0,AV248=""),1,IF(AV248&gt;D248,1,0))</f>
        <v/>
      </c>
      <c r="DW248" s="226" t="n"/>
      <c r="DX248" s="226" t="n"/>
      <c r="DY248" s="378">
        <f>IF(AND((M248+O248)&gt;0,AW248=""),1,IF(AW248&gt;(M248+O248),1,0))</f>
        <v/>
      </c>
      <c r="DZ248" s="378">
        <f>IF(AND((N248+P248)&gt;0,AX248=""),1,IF(AX248&gt;(N248+P248),1,0))</f>
        <v/>
      </c>
      <c r="EA248" s="261">
        <f>IF(AND((M248+O248)&gt;0,AW248=""),1,0)</f>
        <v/>
      </c>
      <c r="EB248" s="261">
        <f>IF(AND((N248+P248)&gt;0,AX248=""),1,0)</f>
        <v/>
      </c>
    </row>
    <row r="249" ht="15" customHeight="1" s="8286">
      <c r="A249" s="9588" t="n"/>
      <c r="B249" s="3180" t="inlineStr">
        <is>
          <t>Pareja de gestante VIH positivo</t>
        </is>
      </c>
      <c r="C249" s="3179">
        <f>+M249+O249+Q249+S249+U249+W249+Y249+AA249+AC249+AE249+AG249+AI249</f>
        <v/>
      </c>
      <c r="D249" s="1171">
        <f>+N249+P249+R249+T249+V249+X249+Z249+AB249+AD249+AF249+AH249+AJ249</f>
        <v/>
      </c>
      <c r="E249" s="386" t="n"/>
      <c r="F249" s="394" t="n"/>
      <c r="G249" s="388" t="n"/>
      <c r="H249" s="387" t="n"/>
      <c r="I249" s="388" t="n"/>
      <c r="J249" s="387" t="n"/>
      <c r="K249" s="388" t="n"/>
      <c r="L249" s="387" t="n"/>
      <c r="M249" s="3108" t="n"/>
      <c r="N249" s="1125" t="n"/>
      <c r="O249" s="3100" t="n"/>
      <c r="P249" s="1125" t="n"/>
      <c r="Q249" s="3108" t="n"/>
      <c r="R249" s="1125" t="n"/>
      <c r="S249" s="3108" t="n"/>
      <c r="T249" s="1125" t="n"/>
      <c r="U249" s="3108" t="n"/>
      <c r="V249" s="1125" t="n"/>
      <c r="W249" s="3100" t="n"/>
      <c r="X249" s="1125" t="n"/>
      <c r="Y249" s="3100" t="n"/>
      <c r="Z249" s="1125" t="n"/>
      <c r="AA249" s="3100" t="n"/>
      <c r="AB249" s="1125" t="n"/>
      <c r="AC249" s="3108" t="n"/>
      <c r="AD249" s="1125" t="n"/>
      <c r="AE249" s="3100" t="n"/>
      <c r="AF249" s="1125" t="n"/>
      <c r="AG249" s="3100" t="n"/>
      <c r="AH249" s="1125" t="n"/>
      <c r="AI249" s="3100" t="n"/>
      <c r="AJ249" s="3149" t="n"/>
      <c r="AK249" s="3099" t="n"/>
      <c r="AL249" s="1125" t="n"/>
      <c r="AM249" s="3100" t="n"/>
      <c r="AN249" s="3149" t="n"/>
      <c r="AO249" s="3099" t="n"/>
      <c r="AP249" s="1125" t="n"/>
      <c r="AQ249" s="3100" t="n"/>
      <c r="AR249" s="3149" t="n"/>
      <c r="AS249" s="3099" t="n"/>
      <c r="AT249" s="3149" t="n"/>
      <c r="AU249" s="3099" t="n"/>
      <c r="AV249" s="3149" t="n"/>
      <c r="AW249" s="3100" t="n"/>
      <c r="AX249" s="1125" t="n"/>
      <c r="AY249" s="218">
        <f>$CA249&amp;CB249&amp;$CC249&amp;CD249&amp;CE249&amp;CF249&amp;CG249&amp;CH249&amp;CI249&amp;CJ249&amp;CK249&amp;CL249&amp;CM249&amp;CN249&amp;CO249&amp;CP249&amp;CQ249&amp;CR249&amp;CS249&amp;CT249&amp;CU249&amp;CV249&amp;CW249</f>
        <v/>
      </c>
      <c r="CA249" s="379">
        <f>IF(D249&gt;C249," * El Total de Exámenes Confirmados Positivos por ISP NO DEBE SUPERAR los Exámenes Procesados. ","")</f>
        <v/>
      </c>
      <c r="CB249" s="219">
        <f>IF(AL249&gt;AK249," * El número de Exámenes por Sexo Hombres Confirmados positivos por ISP NO PUEDE Superar al número de Procesados. ","")</f>
        <v/>
      </c>
      <c r="CC249" s="219">
        <f>IF(AN249&gt;AM249," * El número de Exámenes por Sexo Mujeres Confirmados positivos por ISP NO PUEDE Superar al número de Procesados. ","")</f>
        <v/>
      </c>
      <c r="CD249" s="226" t="n"/>
      <c r="CE249" s="226" t="n"/>
      <c r="CF249" s="226" t="n"/>
      <c r="CG249" s="226" t="n"/>
      <c r="CH249" s="226" t="n"/>
      <c r="CI249" s="219">
        <f>IF(AND(C249&gt;0,AND(AO249="",AQ249=""))," * No olvide digitar los exámenes procesados Trans (Masculino y femenino) Digite Cero si no tiene.",IF((AO249+AQ249)&gt;C249," * Los exámenes procesados en Trans (Masculino y femenino) no pueden ser mayor que el Total de exámenes procesados.",""))</f>
        <v/>
      </c>
      <c r="CJ249" s="227" t="n"/>
      <c r="CK249" s="219">
        <f>IF((AM249+AK249)&lt;&gt;C249," * El N° de exámenes Procesados por SEXO (Hombres + Mujeres)no puede ser distinto al Total de exámenes procesados","")</f>
        <v/>
      </c>
      <c r="CL249" s="219">
        <f>IF((AN249+AL249)&lt;&gt;D249," * El N° de exámenes Confirmados positivos por ISP por Sexo (Hombres+Mujeres) no puede ser distinto al N° Total de exámenes Confirmados positivos por ISP ","")</f>
        <v/>
      </c>
      <c r="CM249" s="219">
        <f>IF(AND(C249&gt;0,AS249="")," * No olvide digitar los examanes de Pueblos Originarios Procesados. Digite Cero si no tiene.",IF(AS249&gt;C249," * Los exámenes de Pueblos originarios Procesados no pueden ser mayor que el Total de exámenes procesados.",""))</f>
        <v/>
      </c>
      <c r="CN249" s="219">
        <f>IF(AND(C249&gt;0,AU249="")," * No olvide digitar los exámenes Procesados de Migrantes. Digite Cero si no tiene.",IF(AU249&gt;C249," * Los exámenes procesados de Migrantes no pueden ser mayor que el Total de exámenes procesados.",""))</f>
        <v/>
      </c>
      <c r="CO249" s="219">
        <f>IF(AND(D249&gt;0,AND(AP249="",AR249=""))," * No olvide digitar los exámenes Confirmados positivos por ISP de Trans (Masculino y Femenino). Digite Cero si no tiene.",IF((AP249+AR249)&gt;D249," * Los exámenes confirmados positivos por ISP de Trans (Masculino y Femenino) no pueden ser mayor que el Total de exámenes Confirmados positivos por ISP.",""))</f>
        <v/>
      </c>
      <c r="CP249" s="219">
        <f>IF(AND(D249&gt;0,AT249="")," * No olvide digitar los exámenes Confirmados positivos por ISP de Pueblos Originarios. Digite Cero si no tiene.",IF(AT249&gt;D249," * Los exámenes Confirmados positivos por ISP de Pueblos originarios no pueden ser mayor que el Total de exámenes Procesados por ISP.",""))</f>
        <v/>
      </c>
      <c r="CQ249" s="219">
        <f>IF(AND(D249&gt;0,AV249="")," * No olvide digitar los exámenes Confirmados positivos por ISP de Migrantes. Digite Cero si no tiene.",IF(AV249&gt;D249," * Los exámenes Confirmados positivos por ISP de Migrantes no pueden ser mayor que el Total de exámenes Procesados por ISP.",""))</f>
        <v/>
      </c>
      <c r="CR249" s="226" t="n"/>
      <c r="CS249" s="226" t="n"/>
      <c r="CT249" s="260">
        <f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>
        <f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>IF(D249&gt;C249,1,0)</f>
        <v/>
      </c>
      <c r="DG249" s="378">
        <f>IF(AL249&gt;AK249,1,0)</f>
        <v/>
      </c>
      <c r="DH249" s="378">
        <f>IF(AN249&gt;AM249,1,0)</f>
        <v/>
      </c>
      <c r="DI249" s="226" t="n"/>
      <c r="DJ249" s="226" t="n"/>
      <c r="DK249" s="226" t="n"/>
      <c r="DL249" s="226" t="n"/>
      <c r="DM249" s="226" t="n"/>
      <c r="DN249" s="378">
        <f>IF(AND(C249&gt;0,AND(AO249="",AQ249="")),1,IF((AO249+AQ249)&gt;C249,1,0))</f>
        <v/>
      </c>
      <c r="DO249" s="227" t="n"/>
      <c r="DP249" s="378">
        <f>IF((AM249+AK249)&lt;&gt;C249,1,0)</f>
        <v/>
      </c>
      <c r="DQ249" s="378">
        <f>IF((AN249+AL249)&lt;&gt;D249,1,0)</f>
        <v/>
      </c>
      <c r="DR249" s="378">
        <f>IF(AND(C249&gt;0,AS249=""),1,IF(AS249&gt;C249,1,0))</f>
        <v/>
      </c>
      <c r="DS249" s="378">
        <f>IF(AND(C249&gt;0,AU249=""),1,IF(AU249&gt;C249,1,0))</f>
        <v/>
      </c>
      <c r="DT249" s="378">
        <f>IF(AND(D249&gt;0,OR(AP249="",AR249="")),1,IF((AP249+AR249)&gt;D249,1,0))</f>
        <v/>
      </c>
      <c r="DU249" s="378">
        <f>IF(AND(D249&gt;0,AT249=""),1,IF(AT249&gt;D249,1,0))</f>
        <v/>
      </c>
      <c r="DV249" s="378">
        <f>IF(AND(D249&gt;0,AV249=""),1,IF(AV249&gt;D249,1,0))</f>
        <v/>
      </c>
      <c r="DW249" s="226" t="n"/>
      <c r="DX249" s="226" t="n"/>
      <c r="DY249" s="378">
        <f>IF(AND((M249+O249)&gt;0,AW249=""),1,IF(AW249&gt;(M249+O249),1,0))</f>
        <v/>
      </c>
      <c r="DZ249" s="378">
        <f>IF(AND((N249+P249)&gt;0,AX249=""),1,IF(AX249&gt;(N249+P249),1,0))</f>
        <v/>
      </c>
      <c r="EA249" s="261">
        <f>IF(AND((M249+O249)&gt;0,AW249=""),1,0)</f>
        <v/>
      </c>
      <c r="EB249" s="261">
        <f>IF(AND((N249+P249)&gt;0,AX249=""),1,0)</f>
        <v/>
      </c>
    </row>
    <row r="250" ht="23.25" customHeight="1" s="8286">
      <c r="A250" s="9588" t="n"/>
      <c r="B250" s="3180" t="inlineStr">
        <is>
          <t>Personal de salud expuesto a accidente cortopunzante</t>
        </is>
      </c>
      <c r="C250" s="3179">
        <f>+O250+Q250+S250+U250+W250+Y250+AA250+AC250+AE250+AG250+AI250</f>
        <v/>
      </c>
      <c r="D250" s="1171">
        <f>+P250+R250+T250+V250+X250+Z250+AB250+AD250+AF250+AH250+AJ250</f>
        <v/>
      </c>
      <c r="E250" s="386" t="n"/>
      <c r="F250" s="387" t="n"/>
      <c r="G250" s="388" t="n"/>
      <c r="H250" s="394" t="n"/>
      <c r="I250" s="388" t="n"/>
      <c r="J250" s="387" t="n"/>
      <c r="K250" s="388" t="n"/>
      <c r="L250" s="387" t="n"/>
      <c r="M250" s="3184" t="n"/>
      <c r="N250" s="393" t="n"/>
      <c r="O250" s="3100" t="n"/>
      <c r="P250" s="1125" t="n"/>
      <c r="Q250" s="3108" t="n"/>
      <c r="R250" s="1125" t="n"/>
      <c r="S250" s="3108" t="n"/>
      <c r="T250" s="1125" t="n"/>
      <c r="U250" s="3108" t="n"/>
      <c r="V250" s="1125" t="n"/>
      <c r="W250" s="3100" t="n"/>
      <c r="X250" s="1125" t="n"/>
      <c r="Y250" s="3100" t="n"/>
      <c r="Z250" s="1125" t="n"/>
      <c r="AA250" s="3100" t="n"/>
      <c r="AB250" s="1125" t="n"/>
      <c r="AC250" s="3108" t="n"/>
      <c r="AD250" s="1125" t="n"/>
      <c r="AE250" s="3100" t="n"/>
      <c r="AF250" s="1125" t="n"/>
      <c r="AG250" s="3100" t="n"/>
      <c r="AH250" s="1125" t="n"/>
      <c r="AI250" s="3100" t="n"/>
      <c r="AJ250" s="3149" t="n"/>
      <c r="AK250" s="3099" t="n"/>
      <c r="AL250" s="1125" t="n"/>
      <c r="AM250" s="3100" t="n"/>
      <c r="AN250" s="3149" t="n"/>
      <c r="AO250" s="3099" t="n"/>
      <c r="AP250" s="1125" t="n"/>
      <c r="AQ250" s="3100" t="n"/>
      <c r="AR250" s="3149" t="n"/>
      <c r="AS250" s="3099" t="n"/>
      <c r="AT250" s="3149" t="n"/>
      <c r="AU250" s="3099" t="n"/>
      <c r="AV250" s="3149" t="n"/>
      <c r="AW250" s="3100" t="n"/>
      <c r="AX250" s="1125" t="n"/>
      <c r="AY250" s="218">
        <f>$CA250&amp;CB250&amp;$CC250&amp;CD250&amp;CE250&amp;CF250&amp;CG250&amp;CH250&amp;CI250&amp;CJ250&amp;CK250&amp;CL250&amp;CM250&amp;CN250&amp;CO250&amp;CP250&amp;CQ250&amp;CR250&amp;CS250&amp;CT250&amp;CU250&amp;CV250&amp;CW250</f>
        <v/>
      </c>
      <c r="CA250" s="379">
        <f>IF(D250&gt;C250," * El Total de Exámenes Confirmados Positivos por ISP NO DEBE SUPERAR los Exámenes Procesados. ","")</f>
        <v/>
      </c>
      <c r="CB250" s="219">
        <f>IF(AL250&gt;AK250," * El número de Exámenes por Sexo Hombres Confirmados positivos por ISP NO PUEDE Superar al número de Procesados. ","")</f>
        <v/>
      </c>
      <c r="CC250" s="219">
        <f>IF(AN250&gt;AM250," * El número de Exámenes por Sexo Mujeres Confirmados positivos por ISP NO PUEDE Superar al número de Procesados. ","")</f>
        <v/>
      </c>
      <c r="CD250" s="226" t="n"/>
      <c r="CE250" s="226" t="n"/>
      <c r="CF250" s="226" t="n"/>
      <c r="CG250" s="226" t="n"/>
      <c r="CH250" s="226" t="n"/>
      <c r="CI250" s="219">
        <f>IF(AND(C250&gt;0,AND(AO250="",AQ250=""))," * No olvide digitar los exámenes procesados Trans (Masculino y femenino) Digite Cero si no tiene.",IF((AO250+AQ250)&gt;C250," * Los exámenes procesados en Trans (Masculino y femenino) no pueden ser mayor que el Total de exámenes procesados.",""))</f>
        <v/>
      </c>
      <c r="CJ250" s="227" t="n"/>
      <c r="CK250" s="219">
        <f>IF((AM250+AK250)&lt;&gt;C250," * El N° de exámenes Procesados por SEXO (Hombres + Mujeres)no puede ser distinto al Total de exámenes procesados","")</f>
        <v/>
      </c>
      <c r="CL250" s="219">
        <f>IF((AN250+AL250)&lt;&gt;D250," * El N° de exámenes Confirmados positivos por ISP por Sexo (Hombres+Mujeres) no puede ser distinto al N° Total de exámenes Confirmados positivos por ISP ","")</f>
        <v/>
      </c>
      <c r="CM250" s="219">
        <f>IF(AND(C250&gt;0,AS250="")," * No olvide digitar los examanes de Pueblos Originarios Procesados. Digite Cero si no tiene.",IF(AS250&gt;C250," * Los exámenes de Pueblos originarios Procesados no pueden ser mayor que el Total de exámenes procesados.",""))</f>
        <v/>
      </c>
      <c r="CN250" s="219">
        <f>IF(AND(C250&gt;0,AU250="")," * No olvide digitar los exámenes Procesados de Migrantes. Digite Cero si no tiene.",IF(AU250&gt;C250," * Los exámenes procesados de Migrantes no pueden ser mayor que el Total de exámenes procesados.",""))</f>
        <v/>
      </c>
      <c r="CO250" s="219">
        <f>IF(AND(D250&gt;0,AND(AP250="",AR250=""))," * No olvide digitar los exámenes Confirmados positivos por ISP de Trans (Masculino y Femenino). Digite Cero si no tiene.",IF((AP250+AR250)&gt;D250," * Los exámenes confirmados positivos por ISP de Trans (Masculino y Femenino) no pueden ser mayor que el Total de exámenes Confirmados positivos por ISP.",""))</f>
        <v/>
      </c>
      <c r="CP250" s="219">
        <f>IF(AND(D250&gt;0,AT250="")," * No olvide digitar los exámenes Confirmados positivos por ISP de Pueblos Originarios. Digite Cero si no tiene.",IF(AT250&gt;D250," * Los exámenes Confirmados positivos por ISP de Pueblos originarios no pueden ser mayor que el Total de exámenes Procesados por ISP.",""))</f>
        <v/>
      </c>
      <c r="CQ250" s="219">
        <f>IF(AND(D250&gt;0,AV250="")," * No olvide digitar los exámenes Confirmados positivos por ISP de Migrantes. Digite Cero si no tiene.",IF(AV250&gt;D250," * Los exámenes Confirmados positivos por ISP de Migrantes no pueden ser mayor que el Total de exámenes Procesados por ISP.",""))</f>
        <v/>
      </c>
      <c r="CR250" s="226" t="n"/>
      <c r="CS250" s="226" t="n"/>
      <c r="CT250" s="260">
        <f>IF(AND((M250+O250)&gt;0,AW250=""),"*No olvide digitar los Exámenes Procesados de 14-18 años. Digite cero si no tiene.",IF(AW250&gt;(M250+O250),"* El Total de Procesados de 14-18 años NO DEBE ser mayor al Total de Procesados registrados en los grupos de edad 10 a 14 + 15 a 19 años. ",""))</f>
        <v/>
      </c>
      <c r="CU250" s="260">
        <f>IF(AND((N250+P250)&gt;0,AX250=""),"*No olvide digitar los Exámenes Confirmados Positivos por ISP de 14-18 años. Digite cero si no tiene.",IF(AX250&gt;(N250+P250),"* El Total de Confirmados de 14-18 años NO DEBE ser mayor al Total de Confirmados Positivos por ISP registrados en los grupos de edad 10 a 14 + 15 a 19 años. ",""))</f>
        <v/>
      </c>
      <c r="DF250" s="381">
        <f>IF(D250&gt;C250,1,0)</f>
        <v/>
      </c>
      <c r="DG250" s="378">
        <f>IF(AL250&gt;AK250,1,0)</f>
        <v/>
      </c>
      <c r="DH250" s="378">
        <f>IF(AN250&gt;AM250,1,0)</f>
        <v/>
      </c>
      <c r="DI250" s="226" t="n"/>
      <c r="DJ250" s="226" t="n"/>
      <c r="DK250" s="226" t="n"/>
      <c r="DL250" s="226" t="n"/>
      <c r="DM250" s="226" t="n"/>
      <c r="DN250" s="378">
        <f>IF(AND(C250&gt;0,AND(AO250="",AQ250="")),1,IF((AO250+AQ250)&gt;C250,1,0))</f>
        <v/>
      </c>
      <c r="DO250" s="227" t="n"/>
      <c r="DP250" s="378">
        <f>IF((AM250+AK250)&lt;&gt;C250,1,0)</f>
        <v/>
      </c>
      <c r="DQ250" s="378">
        <f>IF((AN250+AL250)&lt;&gt;D250,1,0)</f>
        <v/>
      </c>
      <c r="DR250" s="378">
        <f>IF(AND(C250&gt;0,AS250=""),1,IF(AS250&gt;C250,1,0))</f>
        <v/>
      </c>
      <c r="DS250" s="378">
        <f>IF(AND(C250&gt;0,AU250=""),1,IF(AU250&gt;C250,1,0))</f>
        <v/>
      </c>
      <c r="DT250" s="378">
        <f>IF(AND(D250&gt;0,OR(AP250="",AR250="")),1,IF((AP250+AR250)&gt;D250,1,0))</f>
        <v/>
      </c>
      <c r="DU250" s="378">
        <f>IF(AND(D250&gt;0,AT250=""),1,IF(AT250&gt;D250,1,0))</f>
        <v/>
      </c>
      <c r="DV250" s="378">
        <f>IF(AND(D250&gt;0,AV250=""),1,IF(AV250&gt;D250,1,0))</f>
        <v/>
      </c>
      <c r="DW250" s="226" t="n"/>
      <c r="DX250" s="226" t="n"/>
      <c r="DY250" s="378">
        <f>IF(AND((M250+O250)&gt;0,AW250=""),1,IF(AW250&gt;(M250+O250),1,0))</f>
        <v/>
      </c>
      <c r="DZ250" s="378">
        <f>IF(AND((N250+P250)&gt;0,AX250=""),1,IF(AX250&gt;(N250+P250),1,0))</f>
        <v/>
      </c>
      <c r="EA250" s="261">
        <f>IF(AND((M250+O250)&gt;0,AW250=""),1,0)</f>
        <v/>
      </c>
      <c r="EB250" s="261">
        <f>IF(AND((N250+P250)&gt;0,AX250=""),1,0)</f>
        <v/>
      </c>
    </row>
    <row r="251" ht="23.25" customHeight="1" s="8286">
      <c r="A251" s="9588" t="n"/>
      <c r="B251" s="3180" t="inlineStr">
        <is>
          <t>Pacientes fuente de accidente cortopunzante</t>
        </is>
      </c>
      <c r="C251" s="3179">
        <f>+M251+O251+Q251+S251+U251+W251+Y251+AA251+AC251+AE251+AG251+AI251</f>
        <v/>
      </c>
      <c r="D251" s="3181">
        <f>+N251+P251+R251+T251+V251+X251+Z251+AB251+AD251+AF251+AH251+AJ251</f>
        <v/>
      </c>
      <c r="E251" s="386" t="n"/>
      <c r="F251" s="387" t="n"/>
      <c r="G251" s="388" t="n"/>
      <c r="H251" s="387" t="n"/>
      <c r="I251" s="388" t="n"/>
      <c r="J251" s="394" t="n"/>
      <c r="K251" s="388" t="n"/>
      <c r="L251" s="387" t="n"/>
      <c r="M251" s="1452" t="n"/>
      <c r="N251" s="750" t="n"/>
      <c r="O251" s="3100" t="n"/>
      <c r="P251" s="3101" t="n"/>
      <c r="Q251" s="3108" t="n"/>
      <c r="R251" s="3101" t="n"/>
      <c r="S251" s="3108" t="n"/>
      <c r="T251" s="3101" t="n"/>
      <c r="U251" s="3108" t="n"/>
      <c r="V251" s="3101" t="n"/>
      <c r="W251" s="3100" t="n"/>
      <c r="X251" s="3101" t="n"/>
      <c r="Y251" s="3100" t="n"/>
      <c r="Z251" s="3101" t="n"/>
      <c r="AA251" s="3100" t="n"/>
      <c r="AB251" s="3101" t="n"/>
      <c r="AC251" s="3108" t="n"/>
      <c r="AD251" s="3101" t="n"/>
      <c r="AE251" s="3100" t="n"/>
      <c r="AF251" s="3101" t="n"/>
      <c r="AG251" s="3100" t="n"/>
      <c r="AH251" s="3101" t="n"/>
      <c r="AI251" s="3100" t="n"/>
      <c r="AJ251" s="3098" t="n"/>
      <c r="AK251" s="3099" t="n"/>
      <c r="AL251" s="3101" t="n"/>
      <c r="AM251" s="3100" t="n"/>
      <c r="AN251" s="3098" t="n"/>
      <c r="AO251" s="3099" t="n"/>
      <c r="AP251" s="3101" t="n"/>
      <c r="AQ251" s="3100" t="n"/>
      <c r="AR251" s="3098" t="n"/>
      <c r="AS251" s="3099" t="n"/>
      <c r="AT251" s="3149" t="n"/>
      <c r="AU251" s="3099" t="n"/>
      <c r="AV251" s="3149" t="n"/>
      <c r="AW251" s="3100" t="n"/>
      <c r="AX251" s="3101" t="n"/>
      <c r="AY251" s="218">
        <f>$CA251&amp;CB251&amp;$CC251&amp;CD251&amp;CE251&amp;CF251&amp;CG251&amp;CH251&amp;CI251&amp;CJ251&amp;CK251&amp;CL251&amp;CM251&amp;CN251&amp;CO251&amp;CP251&amp;CQ251&amp;CR251&amp;CS251&amp;CT251&amp;CU251&amp;CV251&amp;CW251</f>
        <v/>
      </c>
      <c r="CA251" s="379">
        <f>IF(D251&gt;C251," * El Total de Exámenes Confirmados Positivos por ISP NO DEBE SUPERAR los Exámenes Procesados. ","")</f>
        <v/>
      </c>
      <c r="CB251" s="219">
        <f>IF(AL251&gt;AK251," * El número de Exámenes por Sexo Hombres Confirmados positivos por ISP NO PUEDE Superar al número de Procesados. ","")</f>
        <v/>
      </c>
      <c r="CC251" s="219">
        <f>IF(AN251&gt;AM251," * El número de Exámenes por Sexo Mujeres Confirmados positivos por ISP NO PUEDE Superar al número de Procesados. ","")</f>
        <v/>
      </c>
      <c r="CD251" s="226" t="n"/>
      <c r="CE251" s="226" t="n"/>
      <c r="CF251" s="226" t="n"/>
      <c r="CG251" s="226" t="n"/>
      <c r="CH251" s="226" t="n"/>
      <c r="CI251" s="219">
        <f>IF(AND(C251&gt;0,AND(AO251="",AQ251=""))," * No olvide digitar los exámenes procesados Trans (Masculino y femenino) Digite Cero si no tiene.",IF((AO251+AQ251)&gt;C251," * Los exámenes procesados en Trans (Masculino y femenino) no pueden ser mayor que el Total de exámenes procesados.",""))</f>
        <v/>
      </c>
      <c r="CJ251" s="227" t="n"/>
      <c r="CK251" s="219">
        <f>IF((AM251+AK251)&lt;&gt;C251," * El N° de exámenes Procesados por SEXO (Hombres + Mujeres)no puede ser distinto al Total de exámenes procesados","")</f>
        <v/>
      </c>
      <c r="CL251" s="219">
        <f>IF((AN251+AL251)&lt;&gt;D251," * El N° de exámenes Confirmados positivos por ISP por Sexo (Hombres+Mujeres) no puede ser distinto al N° Total de exámenes Confirmados positivos por ISP ","")</f>
        <v/>
      </c>
      <c r="CM251" s="219">
        <f>IF(AND(C251&gt;0,AS251="")," * No olvide digitar los examanes de Pueblos Originarios Procesados. Digite Cero si no tiene.",IF(AS251&gt;C251," * Los exámenes de Pueblos originarios Procesados no pueden ser mayor que el Total de exámenes procesados.",""))</f>
        <v/>
      </c>
      <c r="CN251" s="219">
        <f>IF(AND(C251&gt;0,AU251="")," * No olvide digitar los exámenes Procesados de Migrantes. Digite Cero si no tiene.",IF(AU251&gt;C251," * Los exámenes procesados de Migrantes no pueden ser mayor que el Total de exámenes procesados.",""))</f>
        <v/>
      </c>
      <c r="CO251" s="219">
        <f>IF(AND(D251&gt;0,AND(AP251="",AR251=""))," * No olvide digitar los exámenes Confirmados positivos por ISP de Trans (Masculino y Femenino). Digite Cero si no tiene.",IF((AP251+AR251)&gt;D251," * Los exámenes confirmados positivos por ISP de Trans (Masculino y Femenino) no pueden ser mayor que el Total de exámenes Confirmados positivos por ISP.",""))</f>
        <v/>
      </c>
      <c r="CP251" s="219">
        <f>IF(AND(D251&gt;0,AT251="")," * No olvide digitar los exámenes Confirmados positivos por ISP de Pueblos Originarios. Digite Cero si no tiene.",IF(AT251&gt;D251," * Los exámenes Confirmados positivos por ISP de Pueblos originarios no pueden ser mayor que el Total de exámenes Procesados por ISP.",""))</f>
        <v/>
      </c>
      <c r="CQ251" s="219">
        <f>IF(AND(D251&gt;0,AV251="")," * No olvide digitar los exámenes Confirmados positivos por ISP de Migrantes. Digite Cero si no tiene.",IF(AV251&gt;D251," * Los exámenes Confirmados positivos por ISP de Migrantes no pueden ser mayor que el Total de exámenes Procesados por ISP.",""))</f>
        <v/>
      </c>
      <c r="CR251" s="226" t="n"/>
      <c r="CS251" s="226" t="n"/>
      <c r="CT251" s="260">
        <f>IF(AND((M251+O251)&gt;0,AW251=""),"*No olvide digitar los Exámenes Procesados de 14-18 años. Digite cero si no tiene.",IF(AW251&gt;(M251+O251),"* El Total de Procesados de 14-18 años NO DEBE ser mayor al Total de Procesados registrados en los grupos de edad 10 a 14 + 15 a 19 años. ",""))</f>
        <v/>
      </c>
      <c r="CU251" s="260">
        <f>IF(AND((N251+P251)&gt;0,AX251=""),"*No olvide digitar los Exámenes Confirmados Positivos por ISP de 14-18 años. Digite cero si no tiene.",IF(AX251&gt;(N251+P251),"* El Total de Confirmados de 14-18 años NO DEBE ser mayor al Total de Confirmados Positivos por ISP registrados en los grupos de edad 10 a 14 + 15 a 19 años. ",""))</f>
        <v/>
      </c>
      <c r="DF251" s="381">
        <f>IF(D251&gt;C251,1,0)</f>
        <v/>
      </c>
      <c r="DG251" s="378">
        <f>IF(AL251&gt;AK251,1,0)</f>
        <v/>
      </c>
      <c r="DH251" s="378">
        <f>IF(AN251&gt;AM251,1,0)</f>
        <v/>
      </c>
      <c r="DI251" s="226" t="n"/>
      <c r="DJ251" s="226" t="n"/>
      <c r="DK251" s="226" t="n"/>
      <c r="DL251" s="226" t="n"/>
      <c r="DM251" s="226" t="n"/>
      <c r="DN251" s="378">
        <f>IF(AND(C251&gt;0,AND(AO251="",AQ251="")),1,IF((AO251+AQ251)&gt;C251,1,0))</f>
        <v/>
      </c>
      <c r="DO251" s="227" t="n"/>
      <c r="DP251" s="378">
        <f>IF((AM251+AK251)&lt;&gt;C251,1,0)</f>
        <v/>
      </c>
      <c r="DQ251" s="378">
        <f>IF((AN251+AL251)&lt;&gt;D251,1,0)</f>
        <v/>
      </c>
      <c r="DR251" s="378">
        <f>IF(AND(C251&gt;0,AS251=""),1,IF(AS251&gt;C251,1,0))</f>
        <v/>
      </c>
      <c r="DS251" s="378">
        <f>IF(AND(C251&gt;0,AU251=""),1,IF(AU251&gt;C251,1,0))</f>
        <v/>
      </c>
      <c r="DT251" s="378">
        <f>IF(AND(D251&gt;0,OR(AP251="",AR251="")),1,IF((AP251+AR251)&gt;D251,1,0))</f>
        <v/>
      </c>
      <c r="DU251" s="378">
        <f>IF(AND(D251&gt;0,AT251=""),1,IF(AT251&gt;D251,1,0))</f>
        <v/>
      </c>
      <c r="DV251" s="378">
        <f>IF(AND(D251&gt;0,AV251=""),1,IF(AV251&gt;D251,1,0))</f>
        <v/>
      </c>
      <c r="DW251" s="226" t="n"/>
      <c r="DX251" s="226" t="n"/>
      <c r="DY251" s="378">
        <f>IF(AND((M251+O251)&gt;0,AW251=""),1,IF(AW251&gt;(M251+O251),1,0))</f>
        <v/>
      </c>
      <c r="DZ251" s="378">
        <f>IF(AND((N251+P251)&gt;0,AX251=""),1,IF(AX251&gt;(N251+P251),1,0))</f>
        <v/>
      </c>
      <c r="EA251" s="261">
        <f>IF(AND((M251+O251)&gt;0,AW251=""),1,0)</f>
        <v/>
      </c>
      <c r="EB251" s="261">
        <f>IF(AND((N251+P251)&gt;0,AX251=""),1,0)</f>
        <v/>
      </c>
    </row>
    <row r="252" ht="15" customHeight="1" s="8286">
      <c r="A252" s="9588" t="n"/>
      <c r="B252" s="3180" t="inlineStr">
        <is>
          <t>Persona en control por hepatitis B</t>
        </is>
      </c>
      <c r="C252" s="3179">
        <f>+M252+O252+Q252+S252+U252+W252+Y252+AA252+AC252+AE252+AG252+AI252</f>
        <v/>
      </c>
      <c r="D252" s="3181">
        <f>+N252+P252+R252+T252+V252+X252+Z252+AB252+AD252+AF252+AH252+AJ252</f>
        <v/>
      </c>
      <c r="E252" s="386" t="n"/>
      <c r="F252" s="387" t="n"/>
      <c r="G252" s="388" t="n"/>
      <c r="H252" s="387" t="n"/>
      <c r="I252" s="388" t="n"/>
      <c r="J252" s="387" t="n"/>
      <c r="K252" s="388" t="n"/>
      <c r="L252" s="387" t="n"/>
      <c r="M252" s="3100" t="n"/>
      <c r="N252" s="3101" t="n"/>
      <c r="O252" s="3100" t="n"/>
      <c r="P252" s="3101" t="n"/>
      <c r="Q252" s="3108" t="n"/>
      <c r="R252" s="3101" t="n"/>
      <c r="S252" s="3108" t="n"/>
      <c r="T252" s="3101" t="n"/>
      <c r="U252" s="3108" t="n"/>
      <c r="V252" s="3101" t="n"/>
      <c r="W252" s="3100" t="n"/>
      <c r="X252" s="3101" t="n"/>
      <c r="Y252" s="3100" t="n"/>
      <c r="Z252" s="3101" t="n"/>
      <c r="AA252" s="3100" t="n"/>
      <c r="AB252" s="3101" t="n"/>
      <c r="AC252" s="3108" t="n"/>
      <c r="AD252" s="3101" t="n"/>
      <c r="AE252" s="3100" t="n"/>
      <c r="AF252" s="3101" t="n"/>
      <c r="AG252" s="3100" t="n"/>
      <c r="AH252" s="3101" t="n"/>
      <c r="AI252" s="3100" t="n"/>
      <c r="AJ252" s="3098" t="n"/>
      <c r="AK252" s="3099" t="n"/>
      <c r="AL252" s="3101" t="n"/>
      <c r="AM252" s="3100" t="n"/>
      <c r="AN252" s="3098" t="n"/>
      <c r="AO252" s="3099" t="n"/>
      <c r="AP252" s="3101" t="n"/>
      <c r="AQ252" s="3100" t="n"/>
      <c r="AR252" s="3098" t="n"/>
      <c r="AS252" s="3099" t="n"/>
      <c r="AT252" s="3149" t="n"/>
      <c r="AU252" s="3099" t="n"/>
      <c r="AV252" s="3149" t="n"/>
      <c r="AW252" s="3100" t="n"/>
      <c r="AX252" s="3101" t="n"/>
      <c r="AY252" s="218">
        <f>$CA252&amp;CB252&amp;$CC252&amp;CD252&amp;CE252&amp;CF252&amp;CG252&amp;CH252&amp;CI252&amp;CJ252&amp;CK252&amp;CL252&amp;CM252&amp;CN252&amp;CO252&amp;CP252&amp;CQ252&amp;CR252&amp;CS252&amp;CT252&amp;CU252&amp;CV252&amp;CW252</f>
        <v/>
      </c>
      <c r="CA252" s="379">
        <f>IF(D252&gt;C252," * El Total de Exámenes Confirmados Positivos por ISP NO DEBE SUPERAR los Exámenes Procesados. ","")</f>
        <v/>
      </c>
      <c r="CB252" s="219">
        <f>IF(AL252&gt;AK252," * El número de Exámenes por Sexo Hombres Confirmados positivos por ISP NO PUEDE Superar al número de Procesados. ","")</f>
        <v/>
      </c>
      <c r="CC252" s="219">
        <f>IF(AN252&gt;AM252," * El número de Exámenes por Sexo Mujeres Confirmados positivos por ISP NO PUEDE Superar al número de Procesados. ","")</f>
        <v/>
      </c>
      <c r="CD252" s="226" t="n"/>
      <c r="CE252" s="226" t="n"/>
      <c r="CF252" s="226" t="n"/>
      <c r="CG252" s="226" t="n"/>
      <c r="CH252" s="226" t="n"/>
      <c r="CI252" s="219">
        <f>IF(AND(C252&gt;0,AND(AO252="",AQ252=""))," * No olvide digitar los exámenes procesados Trans (Masculino y femenino) Digite Cero si no tiene.",IF((AO252+AQ252)&gt;C252," * Los exámenes procesados en Trans (Masculino y femenino) no pueden ser mayor que el Total de exámenes procesados.",""))</f>
        <v/>
      </c>
      <c r="CJ252" s="227" t="n"/>
      <c r="CK252" s="219">
        <f>IF((AM252+AK252)&lt;&gt;C252," * El N° de exámenes Procesados por SEXO (Hombres + Mujeres)no puede ser distinto al Total de exámenes procesados","")</f>
        <v/>
      </c>
      <c r="CL252" s="219">
        <f>IF((AN252+AL252)&lt;&gt;D252," * El N° de exámenes Confirmados positivos por ISP por Sexo (Hombres+Mujeres) no puede ser distinto al N° Total de exámenes Confirmados positivos por ISP ","")</f>
        <v/>
      </c>
      <c r="CM252" s="219">
        <f>IF(AND(C252&gt;0,AS252="")," * No olvide digitar los examanes de Pueblos Originarios Procesados. Digite Cero si no tiene.",IF(AS252&gt;C252," * Los exámenes de Pueblos originarios Procesados no pueden ser mayor que el Total de exámenes procesados.",""))</f>
        <v/>
      </c>
      <c r="CN252" s="219">
        <f>IF(AND(C252&gt;0,AU252="")," * No olvide digitar los exámenes Procesados de Migrantes. Digite Cero si no tiene.",IF(AU252&gt;C252," * Los exámenes procesados de Migrantes no pueden ser mayor que el Total de exámenes procesados.",""))</f>
        <v/>
      </c>
      <c r="CO252" s="219">
        <f>IF(AND(D252&gt;0,AND(AP252="",AR252=""))," * No olvide digitar los exámenes Confirmados positivos por ISP de Trans (Masculino y Femenino). Digite Cero si no tiene.",IF((AP252+AR252)&gt;D252," * Los exámenes confirmados positivos por ISP de Trans (Masculino y Femenino) no pueden ser mayor que el Total de exámenes Confirmados positivos por ISP.",""))</f>
        <v/>
      </c>
      <c r="CP252" s="219">
        <f>IF(AND(D252&gt;0,AT252="")," * No olvide digitar los exámenes Confirmados positivos por ISP de Pueblos Originarios. Digite Cero si no tiene.",IF(AT252&gt;D252," * Los exámenes Confirmados positivos por ISP de Pueblos originarios no pueden ser mayor que el Total de exámenes Procesados por ISP.",""))</f>
        <v/>
      </c>
      <c r="CQ252" s="219">
        <f>IF(AND(D252&gt;0,AV252="")," * No olvide digitar los exámenes Confirmados positivos por ISP de Migrantes. Digite Cero si no tiene.",IF(AV252&gt;D252," * Los exámenes Confirmados positivos por ISP de Migrantes no pueden ser mayor que el Total de exámenes Procesados por ISP.",""))</f>
        <v/>
      </c>
      <c r="CR252" s="226" t="n"/>
      <c r="CS252" s="226" t="n"/>
      <c r="CT252" s="260">
        <f>IF(AND((M252+O252)&gt;0,AW252=""),"*No olvide digitar los Exámenes Procesados de 14-18 años. Digite cero si no tiene.",IF(AW252&gt;(M252+O252),"* El Total de Procesados de 14-18 años NO DEBE ser mayor al Total de Procesados registrados en los grupos de edad 10 a 14 + 15 a 19 años. ",""))</f>
        <v/>
      </c>
      <c r="CU252" s="260">
        <f>IF(AND((N252+P252)&gt;0,AX252=""),"*No olvide digitar los Exámenes Confirmados Positivos por ISP de 14-18 años. Digite cero si no tiene.",IF(AX252&gt;(N252+P252),"* El Total de Confirmados de 14-18 años NO DEBE ser mayor al Total de Confirmados Positivos por ISP registrados en los grupos de edad 10 a 14 + 15 a 19 años. ",""))</f>
        <v/>
      </c>
      <c r="DF252" s="381">
        <f>IF(D252&gt;C252,1,0)</f>
        <v/>
      </c>
      <c r="DG252" s="378">
        <f>IF(AL252&gt;AK252,1,0)</f>
        <v/>
      </c>
      <c r="DH252" s="378">
        <f>IF(AN252&gt;AM252,1,0)</f>
        <v/>
      </c>
      <c r="DI252" s="226" t="n"/>
      <c r="DJ252" s="226" t="n"/>
      <c r="DK252" s="226" t="n"/>
      <c r="DL252" s="226" t="n"/>
      <c r="DM252" s="226" t="n"/>
      <c r="DN252" s="378">
        <f>IF(AND(C252&gt;0,AND(AO252="",AQ252="")),1,IF((AO252+AQ252)&gt;C252,1,0))</f>
        <v/>
      </c>
      <c r="DO252" s="227" t="n"/>
      <c r="DP252" s="378">
        <f>IF((AM252+AK252)&lt;&gt;C252,1,0)</f>
        <v/>
      </c>
      <c r="DQ252" s="378">
        <f>IF((AN252+AL252)&lt;&gt;D252,1,0)</f>
        <v/>
      </c>
      <c r="DR252" s="378">
        <f>IF(AND(C252&gt;0,AS252=""),1,IF(AS252&gt;C252,1,0))</f>
        <v/>
      </c>
      <c r="DS252" s="378">
        <f>IF(AND(C252&gt;0,AU252=""),1,IF(AU252&gt;C252,1,0))</f>
        <v/>
      </c>
      <c r="DT252" s="378">
        <f>IF(AND(D252&gt;0,OR(AP252="",AR252="")),1,IF((AP252+AR252)&gt;D252,1,0))</f>
        <v/>
      </c>
      <c r="DU252" s="378">
        <f>IF(AND(D252&gt;0,AT252=""),1,IF(AT252&gt;D252,1,0))</f>
        <v/>
      </c>
      <c r="DV252" s="378">
        <f>IF(AND(D252&gt;0,AV252=""),1,IF(AV252&gt;D252,1,0))</f>
        <v/>
      </c>
      <c r="DW252" s="226" t="n"/>
      <c r="DX252" s="226" t="n"/>
      <c r="DY252" s="378">
        <f>IF(AND((M252+O252)&gt;0,AW252=""),1,IF(AW252&gt;(M252+O252),1,0))</f>
        <v/>
      </c>
      <c r="DZ252" s="378">
        <f>IF(AND((N252+P252)&gt;0,AX252=""),1,IF(AX252&gt;(N252+P252),1,0))</f>
        <v/>
      </c>
      <c r="EA252" s="261">
        <f>IF(AND((M252+O252)&gt;0,AW252=""),1,0)</f>
        <v/>
      </c>
      <c r="EB252" s="261">
        <f>IF(AND((N252+P252)&gt;0,AX252=""),1,0)</f>
        <v/>
      </c>
    </row>
    <row r="253" ht="15" customHeight="1" s="8286">
      <c r="A253" s="9588" t="n"/>
      <c r="B253" s="3180" t="inlineStr">
        <is>
          <t>Persona en control por hepatitis C</t>
        </is>
      </c>
      <c r="C253" s="3185">
        <f>+M253+O253+Q253+S253+U253+W253+Y253+AA253+AC253+AE253+AG253+AI253</f>
        <v/>
      </c>
      <c r="D253" s="3181">
        <f>+N253+P253+R253+T253+V253+X253+Z253+AB253+AD253+AF253+AH253+AJ253</f>
        <v/>
      </c>
      <c r="E253" s="386" t="n"/>
      <c r="F253" s="387" t="n"/>
      <c r="G253" s="388" t="n"/>
      <c r="H253" s="387" t="n"/>
      <c r="I253" s="388" t="n"/>
      <c r="J253" s="387" t="n"/>
      <c r="K253" s="388" t="n"/>
      <c r="L253" s="387" t="n"/>
      <c r="M253" s="3100" t="n"/>
      <c r="N253" s="3101" t="n"/>
      <c r="O253" s="3100" t="n"/>
      <c r="P253" s="3101" t="n"/>
      <c r="Q253" s="3108" t="n"/>
      <c r="R253" s="3101" t="n"/>
      <c r="S253" s="3108" t="n"/>
      <c r="T253" s="3101" t="n"/>
      <c r="U253" s="3108" t="n"/>
      <c r="V253" s="3101" t="n"/>
      <c r="W253" s="3100" t="n"/>
      <c r="X253" s="3101" t="n"/>
      <c r="Y253" s="3100" t="n"/>
      <c r="Z253" s="3101" t="n"/>
      <c r="AA253" s="3100" t="n"/>
      <c r="AB253" s="3101" t="n"/>
      <c r="AC253" s="3108" t="n"/>
      <c r="AD253" s="3101" t="n"/>
      <c r="AE253" s="3100" t="n"/>
      <c r="AF253" s="3101" t="n"/>
      <c r="AG253" s="3100" t="n"/>
      <c r="AH253" s="3101" t="n"/>
      <c r="AI253" s="3100" t="n"/>
      <c r="AJ253" s="3098" t="n"/>
      <c r="AK253" s="3099" t="n"/>
      <c r="AL253" s="3101" t="n"/>
      <c r="AM253" s="3100" t="n"/>
      <c r="AN253" s="3098" t="n"/>
      <c r="AO253" s="3099" t="n"/>
      <c r="AP253" s="3101" t="n"/>
      <c r="AQ253" s="3100" t="n"/>
      <c r="AR253" s="3098" t="n"/>
      <c r="AS253" s="3099" t="n"/>
      <c r="AT253" s="3149" t="n"/>
      <c r="AU253" s="3099" t="n"/>
      <c r="AV253" s="3149" t="n"/>
      <c r="AW253" s="3100" t="n"/>
      <c r="AX253" s="3101" t="n"/>
      <c r="AY253" s="218">
        <f>$CA253&amp;CB253&amp;$CC253&amp;CD253&amp;CE253&amp;CF253&amp;CG253&amp;CH253&amp;CI253&amp;CJ253&amp;CK253&amp;CL253&amp;CM253&amp;CN253&amp;CO253&amp;CP253&amp;CQ253&amp;CR253&amp;CS253&amp;CT253&amp;CU253&amp;CV253&amp;CW253</f>
        <v/>
      </c>
      <c r="CA253" s="379">
        <f>IF(D253&gt;C253," * El Total de Exámenes Confirmados Positivos por ISP NO DEBE SUPERAR los Exámenes Procesados. ","")</f>
        <v/>
      </c>
      <c r="CB253" s="219">
        <f>IF(AL253&gt;AK253," * El número de Exámenes por Sexo Hombres Confirmados positivos por ISP NO PUEDE Superar al número de Procesados. ","")</f>
        <v/>
      </c>
      <c r="CC253" s="219">
        <f>IF(AN253&gt;AM253," * El número de Exámenes por Sexo Mujeres Confirmados positivos por ISP NO PUEDE Superar al número de Procesados. ","")</f>
        <v/>
      </c>
      <c r="CD253" s="226" t="n"/>
      <c r="CE253" s="226" t="n"/>
      <c r="CF253" s="226" t="n"/>
      <c r="CG253" s="226" t="n"/>
      <c r="CH253" s="226" t="n"/>
      <c r="CI253" s="219">
        <f>IF(AND(C253&gt;0,AND(AO253="",AQ253=""))," * No olvide digitar los exámenes procesados Trans (Masculino y femenino) Digite Cero si no tiene.",IF((AO253+AQ253)&gt;C253," * Los exámenes procesados en Trans (Masculino y femenino) no pueden ser mayor que el Total de exámenes procesados.",""))</f>
        <v/>
      </c>
      <c r="CJ253" s="227" t="n"/>
      <c r="CK253" s="219">
        <f>IF((AM253+AK253)&lt;&gt;C253," * El N° de exámenes Procesados por SEXO (Hombres + Mujeres)no puede ser distinto al Total de exámenes procesados","")</f>
        <v/>
      </c>
      <c r="CL253" s="219">
        <f>IF((AN253+AL253)&lt;&gt;D253," * El N° de exámenes Confirmados positivos por ISP por Sexo (Hombres+Mujeres) no puede ser distinto al N° Total de exámenes Confirmados positivos por ISP ","")</f>
        <v/>
      </c>
      <c r="CM253" s="219">
        <f>IF(AND(C253&gt;0,AS253="")," * No olvide digitar los examanes de Pueblos Originarios Procesados. Digite Cero si no tiene.",IF(AS253&gt;C253," * Los exámenes de Pueblos originarios Procesados no pueden ser mayor que el Total de exámenes procesados.",""))</f>
        <v/>
      </c>
      <c r="CN253" s="219">
        <f>IF(AND(C253&gt;0,AU253="")," * No olvide digitar los exámenes Procesados de Migrantes. Digite Cero si no tiene.",IF(AU253&gt;C253," * Los exámenes procesados de Migrantes no pueden ser mayor que el Total de exámenes procesados.",""))</f>
        <v/>
      </c>
      <c r="CO253" s="219">
        <f>IF(AND(D253&gt;0,AND(AP253="",AR253=""))," * No olvide digitar los exámenes Confirmados positivos por ISP de Trans (Masculino y Femenino). Digite Cero si no tiene.",IF((AP253+AR253)&gt;D253," * Los exámenes confirmados positivos por ISP de Trans (Masculino y Femenino) no pueden ser mayor que el Total de exámenes Confirmados positivos por ISP.",""))</f>
        <v/>
      </c>
      <c r="CP253" s="219">
        <f>IF(AND(D253&gt;0,AT253="")," * No olvide digitar los exámenes Confirmados positivos por ISP de Pueblos Originarios. Digite Cero si no tiene.",IF(AT253&gt;D253," * Los exámenes Confirmados positivos por ISP de Pueblos originarios no pueden ser mayor que el Total de exámenes Procesados por ISP.",""))</f>
        <v/>
      </c>
      <c r="CQ253" s="219">
        <f>IF(AND(D253&gt;0,AV253="")," * No olvide digitar los exámenes Confirmados positivos por ISP de Migrantes. Digite Cero si no tiene.",IF(AV253&gt;D253," * Los exámenes Confirmados positivos por ISP de Migrantes no pueden ser mayor que el Total de exámenes Procesados por ISP.",""))</f>
        <v/>
      </c>
      <c r="CR253" s="226" t="n"/>
      <c r="CS253" s="226" t="n"/>
      <c r="CT253" s="260">
        <f>IF(AND((M253+O253)&gt;0,AW253=""),"*No olvide digitar los Exámenes Procesados de 14-18 años. Digite cero si no tiene.",IF(AW253&gt;(M253+O253),"* El Total de Procesados de 14-18 años NO DEBE ser mayor al Total de Procesados registrados en los grupos de edad 10 a 14 + 15 a 19 años. ",""))</f>
        <v/>
      </c>
      <c r="CU253" s="260">
        <f>IF(AND((N253+P253)&gt;0,AX253=""),"*No olvide digitar los Exámenes Confirmados Positivos por ISP de 14-18 años. Digite cero si no tiene.",IF(AX253&gt;(N253+P253),"* El Total de Confirmados de 14-18 años NO DEBE ser mayor al Total de Confirmados Positivos por ISP registrados en los grupos de edad 10 a 14 + 15 a 19 años. ",""))</f>
        <v/>
      </c>
      <c r="DF253" s="381">
        <f>IF(D253&gt;C253,1,0)</f>
        <v/>
      </c>
      <c r="DG253" s="378">
        <f>IF(AL253&gt;AK253,1,0)</f>
        <v/>
      </c>
      <c r="DH253" s="378">
        <f>IF(AN253&gt;AM253,1,0)</f>
        <v/>
      </c>
      <c r="DI253" s="226" t="n"/>
      <c r="DJ253" s="226" t="n"/>
      <c r="DK253" s="226" t="n"/>
      <c r="DL253" s="226" t="n"/>
      <c r="DM253" s="226" t="n"/>
      <c r="DN253" s="378">
        <f>IF(AND(C253&gt;0,AND(AO253="",AQ253="")),1,IF((AO253+AQ253)&gt;C253,1,0))</f>
        <v/>
      </c>
      <c r="DO253" s="227" t="n"/>
      <c r="DP253" s="378">
        <f>IF((AM253+AK253)&lt;&gt;C253,1,0)</f>
        <v/>
      </c>
      <c r="DQ253" s="378">
        <f>IF((AN253+AL253)&lt;&gt;D253,1,0)</f>
        <v/>
      </c>
      <c r="DR253" s="378">
        <f>IF(AND(C253&gt;0,AS253=""),1,IF(AS253&gt;C253,1,0))</f>
        <v/>
      </c>
      <c r="DS253" s="378">
        <f>IF(AND(C253&gt;0,AU253=""),1,IF(AU253&gt;C253,1,0))</f>
        <v/>
      </c>
      <c r="DT253" s="378">
        <f>IF(AND(D253&gt;0,OR(AP253="",AR253="")),1,IF((AP253+AR253)&gt;D253,1,0))</f>
        <v/>
      </c>
      <c r="DU253" s="378">
        <f>IF(AND(D253&gt;0,AT253=""),1,IF(AT253&gt;D253,1,0))</f>
        <v/>
      </c>
      <c r="DV253" s="378">
        <f>IF(AND(D253&gt;0,AV253=""),1,IF(AV253&gt;D253,1,0))</f>
        <v/>
      </c>
      <c r="DW253" s="226" t="n"/>
      <c r="DX253" s="226" t="n"/>
      <c r="DY253" s="378">
        <f>IF(AND((M253+O253)&gt;0,AW253=""),1,IF(AW253&gt;(M253+O253),1,0))</f>
        <v/>
      </c>
      <c r="DZ253" s="378">
        <f>IF(AND((N253+P253)&gt;0,AX253=""),1,IF(AX253&gt;(N253+P253),1,0))</f>
        <v/>
      </c>
      <c r="EA253" s="261">
        <f>IF(AND((M253+O253)&gt;0,AW253=""),1,0)</f>
        <v/>
      </c>
      <c r="EB253" s="261">
        <f>IF(AND((N253+P253)&gt;0,AX253=""),1,0)</f>
        <v/>
      </c>
    </row>
    <row r="254" ht="15" customHeight="1" s="8286">
      <c r="A254" s="9588" t="n"/>
      <c r="B254" s="3178" t="inlineStr">
        <is>
          <t>Consultantes por morbilidad</t>
        </is>
      </c>
      <c r="C254" s="3179">
        <f>+M254+O254+Q254+S254+U254+W254+Y254+AA254+AC254+AE254+AG254+AI254</f>
        <v/>
      </c>
      <c r="D254" s="3181">
        <f>+N254+P254+R254+T254+V254+X254+Z254+AB254+AD254+AF254+AH254+AJ254</f>
        <v/>
      </c>
      <c r="E254" s="386" t="n"/>
      <c r="F254" s="387" t="n"/>
      <c r="G254" s="388" t="n"/>
      <c r="H254" s="387" t="n"/>
      <c r="I254" s="388" t="n"/>
      <c r="J254" s="387" t="n"/>
      <c r="K254" s="388" t="n"/>
      <c r="L254" s="394" t="n"/>
      <c r="M254" s="3100" t="n"/>
      <c r="N254" s="3101" t="n"/>
      <c r="O254" s="3100" t="n"/>
      <c r="P254" s="3101" t="n"/>
      <c r="Q254" s="3108" t="n"/>
      <c r="R254" s="3101" t="n"/>
      <c r="S254" s="3108" t="n"/>
      <c r="T254" s="3101" t="n"/>
      <c r="U254" s="3108" t="n"/>
      <c r="V254" s="3101" t="n"/>
      <c r="W254" s="3100" t="n"/>
      <c r="X254" s="3101" t="n"/>
      <c r="Y254" s="3100" t="n"/>
      <c r="Z254" s="3101" t="n"/>
      <c r="AA254" s="3100" t="n"/>
      <c r="AB254" s="3101" t="n"/>
      <c r="AC254" s="3108" t="n"/>
      <c r="AD254" s="3101" t="n"/>
      <c r="AE254" s="3100" t="n"/>
      <c r="AF254" s="3101" t="n"/>
      <c r="AG254" s="3100" t="n"/>
      <c r="AH254" s="3101" t="n"/>
      <c r="AI254" s="3100" t="n"/>
      <c r="AJ254" s="3098" t="n"/>
      <c r="AK254" s="3099" t="n"/>
      <c r="AL254" s="3101" t="n"/>
      <c r="AM254" s="3100" t="n"/>
      <c r="AN254" s="3098" t="n"/>
      <c r="AO254" s="3099" t="n"/>
      <c r="AP254" s="3101" t="n"/>
      <c r="AQ254" s="3100" t="n"/>
      <c r="AR254" s="3098" t="n"/>
      <c r="AS254" s="3099" t="n"/>
      <c r="AT254" s="3149" t="n"/>
      <c r="AU254" s="3099" t="n"/>
      <c r="AV254" s="3149" t="n"/>
      <c r="AW254" s="3100" t="n"/>
      <c r="AX254" s="3101" t="n"/>
      <c r="AY254" s="218">
        <f>$CA254&amp;CB254&amp;$CC254&amp;CD254&amp;CE254&amp;CF254&amp;CG254&amp;CH254&amp;CI254&amp;CJ254&amp;CK254&amp;CL254&amp;CM254&amp;CN254&amp;CO254&amp;CP254&amp;CQ254&amp;CR254&amp;CS254&amp;CT254&amp;CU254&amp;CV254&amp;CW254</f>
        <v/>
      </c>
      <c r="CA254" s="379">
        <f>IF(D254&gt;C254," * El Total de Exámenes Confirmados Positivos por ISP NO DEBE SUPERAR los Exámenes Procesados. ","")</f>
        <v/>
      </c>
      <c r="CB254" s="219">
        <f>IF(AL254&gt;AK254," * El número de Exámenes por Sexo Hombres Confirmados positivos por ISP NO PUEDE Superar al número de Procesados. ","")</f>
        <v/>
      </c>
      <c r="CC254" s="219">
        <f>IF(AN254&gt;AM254," * El número de Exámenes por Sexo Mujeres Confirmados positivos por ISP NO PUEDE Superar al número de Procesados. ","")</f>
        <v/>
      </c>
      <c r="CD254" s="226" t="n"/>
      <c r="CE254" s="226" t="n"/>
      <c r="CF254" s="226" t="n"/>
      <c r="CG254" s="226" t="n"/>
      <c r="CH254" s="226" t="n"/>
      <c r="CI254" s="219">
        <f>IF(AND(C254&gt;0,AND(AO254="",AQ254=""))," * No olvide digitar los exámenes procesados Trans (Masculino y femenino) Digite Cero si no tiene.",IF((AO254+AQ254)&gt;C254," * Los exámenes procesados en Trans (Masculino y femenino) no pueden ser mayor que el Total de exámenes procesados.",""))</f>
        <v/>
      </c>
      <c r="CJ254" s="227" t="n"/>
      <c r="CK254" s="219">
        <f>IF((AM254+AK254)&lt;&gt;C254," * El N° de exámenes Procesados por SEXO (Hombres + Mujeres)no puede ser distinto al Total de exámenes procesados","")</f>
        <v/>
      </c>
      <c r="CL254" s="219">
        <f>IF((AN254+AL254)&lt;&gt;D254," * El N° de exámenes Confirmados positivos por ISP por Sexo (Hombres+Mujeres) no puede ser distinto al N° Total de exámenes Confirmados positivos por ISP ","")</f>
        <v/>
      </c>
      <c r="CM254" s="219">
        <f>IF(AND(C254&gt;0,AS254="")," * No olvide digitar los examanes de Pueblos Originarios Procesados. Digite Cero si no tiene.",IF(AS254&gt;C254," * Los exámenes de Pueblos originarios Procesados no pueden ser mayor que el Total de exámenes procesados.",""))</f>
        <v/>
      </c>
      <c r="CN254" s="219">
        <f>IF(AND(C254&gt;0,AU254="")," * No olvide digitar los exámenes Procesados de Migrantes. Digite Cero si no tiene.",IF(AU254&gt;C254," * Los exámenes procesados de Migrantes no pueden ser mayor que el Total de exámenes procesados.",""))</f>
        <v/>
      </c>
      <c r="CO254" s="219">
        <f>IF(AND(D254&gt;0,AND(AP254="",AR254=""))," * No olvide digitar los exámenes Confirmados positivos por ISP de Trans (Masculino y Femenino). Digite Cero si no tiene.",IF((AP254+AR254)&gt;D254," * Los exámenes confirmados positivos por ISP de Trans (Masculino y Femenino) no pueden ser mayor que el Total de exámenes Confirmados positivos por ISP.",""))</f>
        <v/>
      </c>
      <c r="CP254" s="219">
        <f>IF(AND(D254&gt;0,AT254="")," * No olvide digitar los exámenes Confirmados positivos por ISP de Pueblos Originarios. Digite Cero si no tiene.",IF(AT254&gt;D254," * Los exámenes Confirmados positivos por ISP de Pueblos originarios no pueden ser mayor que el Total de exámenes Procesados por ISP.",""))</f>
        <v/>
      </c>
      <c r="CQ254" s="219">
        <f>IF(AND(D254&gt;0,AV254="")," * No olvide digitar los exámenes Confirmados positivos por ISP de Migrantes. Digite Cero si no tiene.",IF(AV254&gt;D254," * Los exámenes Confirmados positivos por ISP de Migrantes no pueden ser mayor que el Total de exámenes Procesados por ISP.",""))</f>
        <v/>
      </c>
      <c r="CR254" s="226" t="n"/>
      <c r="CS254" s="226" t="n"/>
      <c r="CT254" s="260">
        <f>IF(AND((M254+O254)&gt;0,AW254=""),"*No olvide digitar los Exámenes Procesados de 14-18 años. Digite cero si no tiene.",IF(AW254&gt;(M254+O254),"* El Total de Procesados de 14-18 años NO DEBE ser mayor al Total de Procesados registrados en los grupos de edad 10 a 14 + 15 a 19 años. ",""))</f>
        <v/>
      </c>
      <c r="CU254" s="260">
        <f>IF(AND((N254+P254)&gt;0,AX254=""),"*No olvide digitar los Exámenes Confirmados Positivos por ISP de 14-18 años. Digite cero si no tiene.",IF(AX254&gt;(N254+P254),"* El Total de Confirmados de 14-18 años NO DEBE ser mayor al Total de Confirmados Positivos por ISP registrados en los grupos de edad 10 a 14 + 15 a 19 años. ",""))</f>
        <v/>
      </c>
      <c r="DF254" s="381">
        <f>IF(D254&gt;C254,1,0)</f>
        <v/>
      </c>
      <c r="DG254" s="378">
        <f>IF(AL254&gt;AK254,1,0)</f>
        <v/>
      </c>
      <c r="DH254" s="378">
        <f>IF(AN254&gt;AM254,1,0)</f>
        <v/>
      </c>
      <c r="DI254" s="226" t="n"/>
      <c r="DJ254" s="226" t="n"/>
      <c r="DK254" s="226" t="n"/>
      <c r="DL254" s="226" t="n"/>
      <c r="DM254" s="226" t="n"/>
      <c r="DN254" s="378">
        <f>IF(AND(C254&gt;0,AND(AO254="",AQ254="")),1,IF((AO254+AQ254)&gt;C254,1,0))</f>
        <v/>
      </c>
      <c r="DO254" s="227" t="n"/>
      <c r="DP254" s="378">
        <f>IF((AM254+AK254)&lt;&gt;C254,1,0)</f>
        <v/>
      </c>
      <c r="DQ254" s="378">
        <f>IF((AN254+AL254)&lt;&gt;D254,1,0)</f>
        <v/>
      </c>
      <c r="DR254" s="378">
        <f>IF(AND(C254&gt;0,AS254=""),1,IF(AS254&gt;C254,1,0))</f>
        <v/>
      </c>
      <c r="DS254" s="378">
        <f>IF(AND(C254&gt;0,AU254=""),1,IF(AU254&gt;C254,1,0))</f>
        <v/>
      </c>
      <c r="DT254" s="378">
        <f>IF(AND(D254&gt;0,OR(AP254="",AR254="")),1,IF((AP254+AR254)&gt;D254,1,0))</f>
        <v/>
      </c>
      <c r="DU254" s="378">
        <f>IF(AND(D254&gt;0,AT254=""),1,IF(AT254&gt;D254,1,0))</f>
        <v/>
      </c>
      <c r="DV254" s="378">
        <f>IF(AND(D254&gt;0,AV254=""),1,IF(AV254&gt;D254,1,0))</f>
        <v/>
      </c>
      <c r="DW254" s="226" t="n"/>
      <c r="DX254" s="226" t="n"/>
      <c r="DY254" s="378">
        <f>IF(AND((M254+O254)&gt;0,AW254=""),1,IF(AW254&gt;(M254+O254),1,0))</f>
        <v/>
      </c>
      <c r="DZ254" s="378">
        <f>IF(AND((N254+P254)&gt;0,AX254=""),1,IF(AX254&gt;(N254+P254),1,0))</f>
        <v/>
      </c>
      <c r="EA254" s="261">
        <f>IF(AND((M254+O254)&gt;0,AW254=""),1,0)</f>
        <v/>
      </c>
      <c r="EB254" s="261">
        <f>IF(AND((N254+P254)&gt;0,AX254=""),1,0)</f>
        <v/>
      </c>
    </row>
    <row r="255" ht="15" customHeight="1" s="8286">
      <c r="A255" s="9589" t="n"/>
      <c r="B255" s="1117" t="inlineStr">
        <is>
          <t>Por consulta espontánea</t>
        </is>
      </c>
      <c r="C255" s="1177">
        <f>+M255+O255+Q255+S255+U255+W255+Y255+AA255+AC255+AE255+AG255+AI255</f>
        <v/>
      </c>
      <c r="D255" s="1178">
        <f>+N255+P255+R255+T255+V255+X255+Z255+AB255+AD255+AF255+AH255+AJ255</f>
        <v/>
      </c>
      <c r="E255" s="3186" t="n"/>
      <c r="F255" s="395" t="n"/>
      <c r="G255" s="3187" t="n"/>
      <c r="H255" s="395" t="n"/>
      <c r="I255" s="3187" t="n"/>
      <c r="J255" s="395" t="n"/>
      <c r="K255" s="3187" t="n"/>
      <c r="L255" s="395" t="n"/>
      <c r="M255" s="1140" t="n"/>
      <c r="N255" s="1139" t="n"/>
      <c r="O255" s="1140" t="n"/>
      <c r="P255" s="1139" t="n"/>
      <c r="Q255" s="1137" t="n">
        <v>3</v>
      </c>
      <c r="R255" s="1139" t="n">
        <v>0</v>
      </c>
      <c r="S255" s="1137" t="n">
        <v>1</v>
      </c>
      <c r="T255" s="1139" t="n">
        <v>0</v>
      </c>
      <c r="U255" s="1137" t="n"/>
      <c r="V255" s="1139" t="n"/>
      <c r="W255" s="1140" t="n">
        <v>1</v>
      </c>
      <c r="X255" s="1139" t="n">
        <v>0</v>
      </c>
      <c r="Y255" s="1140" t="n"/>
      <c r="Z255" s="1139" t="n"/>
      <c r="AA255" s="1140" t="n">
        <v>1</v>
      </c>
      <c r="AB255" s="1139" t="n">
        <v>0</v>
      </c>
      <c r="AC255" s="1137" t="n"/>
      <c r="AD255" s="1139" t="n"/>
      <c r="AE255" s="1140" t="n"/>
      <c r="AF255" s="1139" t="n"/>
      <c r="AG255" s="1140" t="n"/>
      <c r="AH255" s="1139" t="n"/>
      <c r="AI255" s="1140" t="n"/>
      <c r="AJ255" s="1143" t="n"/>
      <c r="AK255" s="1152" t="n">
        <v>4</v>
      </c>
      <c r="AL255" s="1139" t="n">
        <v>0</v>
      </c>
      <c r="AM255" s="1140" t="n">
        <v>2</v>
      </c>
      <c r="AN255" s="1143" t="n">
        <v>0</v>
      </c>
      <c r="AO255" s="1152" t="n">
        <v>0</v>
      </c>
      <c r="AP255" s="1139" t="n">
        <v>0</v>
      </c>
      <c r="AQ255" s="1140" t="n">
        <v>0</v>
      </c>
      <c r="AR255" s="1143" t="n">
        <v>0</v>
      </c>
      <c r="AS255" s="1152" t="n">
        <v>0</v>
      </c>
      <c r="AT255" s="1416" t="n">
        <v>0</v>
      </c>
      <c r="AU255" s="1152" t="n">
        <v>1</v>
      </c>
      <c r="AV255" s="1416" t="n">
        <v>0</v>
      </c>
      <c r="AW255" s="1140" t="n">
        <v>0</v>
      </c>
      <c r="AX255" s="1139" t="n">
        <v>0</v>
      </c>
      <c r="AY255" s="218">
        <f>$CA255&amp;CB255&amp;$CC255&amp;CD255&amp;CE255&amp;CF255&amp;CG255&amp;CH255&amp;CI255&amp;CJ255&amp;CK255&amp;CL255&amp;CM255&amp;CN255&amp;CO255&amp;CP255&amp;CQ255&amp;CR255&amp;CS255&amp;CT255&amp;CU255&amp;CV255&amp;CW255</f>
        <v/>
      </c>
      <c r="CA255" s="379">
        <f>IF(D255&gt;C255," * El Total de Exámenes Confirmados Positivos por ISP NO DEBE SUPERAR los Exámenes Procesados. ","")</f>
        <v/>
      </c>
      <c r="CB255" s="219">
        <f>IF(AL255&gt;AK255," * El número de Exámenes por Sexo Hombres Confirmados positivos por ISP NO PUEDE Superar al número de Procesados. ","")</f>
        <v/>
      </c>
      <c r="CC255" s="219">
        <f>IF(AN255&gt;AM255," * El número de Exámenes por Sexo Mujeres Confirmados positivos por ISP NO PUEDE Superar al número de Procesados. ","")</f>
        <v/>
      </c>
      <c r="CD255" s="226" t="n"/>
      <c r="CE255" s="226" t="n"/>
      <c r="CF255" s="226" t="n"/>
      <c r="CG255" s="226" t="n"/>
      <c r="CH255" s="226" t="n"/>
      <c r="CI255" s="219">
        <f>IF(AND(C255&gt;0,AND(AO255="",AQ255=""))," * No olvide digitar los exámenes procesados Trans (Masculino y femenino) Digite Cero si no tiene.",IF((AO255+AQ255)&gt;C255," * Los exámenes procesados en Trans (Masculino y femenino) no pueden ser mayor que el Total de exámenes procesados.",""))</f>
        <v/>
      </c>
      <c r="CJ255" s="227" t="n"/>
      <c r="CK255" s="219">
        <f>IF((AM255+AK255)&lt;&gt;C255," * El N° de exámenes Procesados por SEXO (Hombres + Mujeres)no puede ser distinto al Total de exámenes procesados","")</f>
        <v/>
      </c>
      <c r="CL255" s="219">
        <f>IF((AN255+AL255)&lt;&gt;D255," * El N° de exámenes Confirmados positivos por ISP por Sexo (Hombres+Mujeres) no puede ser distinto al N° Total de exámenes Confirmados positivos por ISP ","")</f>
        <v/>
      </c>
      <c r="CM255" s="219">
        <f>IF(AND(C255&gt;0,AS255="")," * No olvide digitar los examanes de Pueblos Originarios Procesados. Digite Cero si no tiene.",IF(AS255&gt;C255," * Los exámenes de Pueblos originarios Procesados no pueden ser mayor que el Total de exámenes procesados.",""))</f>
        <v/>
      </c>
      <c r="CN255" s="219">
        <f>IF(AND(C255&gt;0,AU255="")," * No olvide digitar los exámenes Procesados de Migrantes. Digite Cero si no tiene.",IF(AU255&gt;C255," * Los exámenes procesados de Migrantes no pueden ser mayor que el Total de exámenes procesados.",""))</f>
        <v/>
      </c>
      <c r="CO255" s="219">
        <f>IF(AND(D255&gt;0,AND(AP255="",AR255=""))," * No olvide digitar los exámenes Confirmados positivos por ISP de Trans (Masculino y Femenino). Digite Cero si no tiene.",IF((AP255+AR255)&gt;D255," * Los exámenes confirmados positivos por ISP de Trans (Masculino y Femenino) no pueden ser mayor que el Total de exámenes Confirmados positivos por ISP.",""))</f>
        <v/>
      </c>
      <c r="CP255" s="219">
        <f>IF(AND(D255&gt;0,AT255="")," * No olvide digitar los exámenes Confirmados positivos por ISP de Pueblos Originarios. Digite Cero si no tiene.",IF(AT255&gt;D255," * Los exámenes Confirmados positivos por ISP de Pueblos originarios no pueden ser mayor que el Total de exámenes Procesados por ISP.",""))</f>
        <v/>
      </c>
      <c r="CQ255" s="219">
        <f>IF(AND(D255&gt;0,AV255="")," * No olvide digitar los exámenes Confirmados positivos por ISP de Migrantes. Digite Cero si no tiene.",IF(AV255&gt;D255," * Los exámenes Confirmados positivos por ISP de Migrantes no pueden ser mayor que el Total de exámenes Procesados por ISP.",""))</f>
        <v/>
      </c>
      <c r="CR255" s="226" t="n"/>
      <c r="CS255" s="226" t="n"/>
      <c r="CT255" s="260">
        <f>IF(AND((M255+O255)&gt;0,AW255=""),"*No olvide digitar los Exámenes Procesados de 14-18 años. Digite cero si no tiene.",IF(AW255&gt;(M255+O255),"* El Total de Procesados de 14-18 años NO DEBE ser mayor al Total de Procesados registrados en los grupos de edad 10 a 14 + 15 a 19 años. ",""))</f>
        <v/>
      </c>
      <c r="CU255" s="260">
        <f>IF(AND((N255+P255)&gt;0,AX255=""),"*No olvide digitar los Exámenes Confirmados Positivos por ISP de 14-18 años. Digite cero si no tiene.",IF(AX255&gt;(N255+P255),"* El Total de Confirmados de 14-18 años NO DEBE ser mayor al Total de Confirmados Positivos por ISP registrados en los grupos de edad 10 a 14 + 15 a 19 años. ",""))</f>
        <v/>
      </c>
      <c r="DF255" s="381">
        <f>IF(D255&gt;C255,1,0)</f>
        <v/>
      </c>
      <c r="DG255" s="378">
        <f>IF(AL255&gt;AK255,1,0)</f>
        <v/>
      </c>
      <c r="DH255" s="378">
        <f>IF(AN255&gt;AM255,1,0)</f>
        <v/>
      </c>
      <c r="DI255" s="226" t="n"/>
      <c r="DJ255" s="226" t="n"/>
      <c r="DK255" s="226" t="n"/>
      <c r="DL255" s="226" t="n"/>
      <c r="DM255" s="226" t="n"/>
      <c r="DN255" s="378">
        <f>IF(AND(C255&gt;0,AND(AO255="",AQ255="")),1,IF((AO255+AQ255)&gt;C255,1,0))</f>
        <v/>
      </c>
      <c r="DO255" s="227" t="n"/>
      <c r="DP255" s="378">
        <f>IF((AM255+AK255)&lt;&gt;C255,1,0)</f>
        <v/>
      </c>
      <c r="DQ255" s="378">
        <f>IF((AN255+AL255)&lt;&gt;D255,1,0)</f>
        <v/>
      </c>
      <c r="DR255" s="378">
        <f>IF(AND(C255&gt;0,AS255=""),1,IF(AS255&gt;C255,1,0))</f>
        <v/>
      </c>
      <c r="DS255" s="378">
        <f>IF(AND(C255&gt;0,AU255=""),1,IF(AU255&gt;C255,1,0))</f>
        <v/>
      </c>
      <c r="DT255" s="378">
        <f>IF(AND(D255&gt;0,OR(AP255="",AR255="")),1,IF((AP255+AR255)&gt;D255,1,0))</f>
        <v/>
      </c>
      <c r="DU255" s="378">
        <f>IF(AND(D255&gt;0,AT255=""),1,IF(AT255&gt;D255,1,0))</f>
        <v/>
      </c>
      <c r="DV255" s="378">
        <f>IF(AND(D255&gt;0,AV255=""),1,IF(AV255&gt;D255,1,0))</f>
        <v/>
      </c>
      <c r="DW255" s="226" t="n"/>
      <c r="DX255" s="226" t="n"/>
      <c r="DY255" s="378">
        <f>IF(AND((M255+O255)&gt;0,AW255=""),1,IF(AW255&gt;(M255+O255),1,0))</f>
        <v/>
      </c>
      <c r="DZ255" s="378">
        <f>IF(AND((N255+P255)&gt;0,AX255=""),1,IF(AX255&gt;(N255+P255),1,0))</f>
        <v/>
      </c>
      <c r="EA255" s="261">
        <f>IF(AND((M255+O255)&gt;0,AW255=""),1,0)</f>
        <v/>
      </c>
      <c r="EB255" s="261">
        <f>IF(AND((N255+P255)&gt;0,AX255=""),1,0)</f>
        <v/>
      </c>
    </row>
    <row r="256" ht="15" customHeight="1" s="8286">
      <c r="A256" s="10236" t="inlineStr">
        <is>
          <t>Exterior establecimiento de salud (extramuro)</t>
        </is>
      </c>
      <c r="B256" s="1946" t="inlineStr">
        <is>
          <t>Centros penitenciarios</t>
        </is>
      </c>
      <c r="C256" s="3188">
        <f>+E256+G256+I256+K256+M256+O256+Q256+S256+U256+W256+Y256+AA256+AC256+AE256+AG256+AI256</f>
        <v/>
      </c>
      <c r="D256" s="1422">
        <f>+F256+H256+J256+L256+N256+P256+R256+T256+V256+X256+Z256+AB256+AD256+AF256+AH256+AJ256</f>
        <v/>
      </c>
      <c r="E256" s="1452" t="n"/>
      <c r="F256" s="750" t="n"/>
      <c r="G256" s="1452" t="n"/>
      <c r="H256" s="750" t="n"/>
      <c r="I256" s="1452" t="n"/>
      <c r="J256" s="750" t="n"/>
      <c r="K256" s="1452" t="n"/>
      <c r="L256" s="750" t="n"/>
      <c r="M256" s="1452" t="n"/>
      <c r="N256" s="750" t="n"/>
      <c r="O256" s="1452" t="n"/>
      <c r="P256" s="750" t="n"/>
      <c r="Q256" s="1971" t="n"/>
      <c r="R256" s="750" t="n"/>
      <c r="S256" s="1971" t="n"/>
      <c r="T256" s="750" t="n"/>
      <c r="U256" s="1971" t="n"/>
      <c r="V256" s="750" t="n"/>
      <c r="W256" s="1452" t="n"/>
      <c r="X256" s="750" t="n"/>
      <c r="Y256" s="1452" t="n"/>
      <c r="Z256" s="750" t="n"/>
      <c r="AA256" s="1452" t="n"/>
      <c r="AB256" s="750" t="n"/>
      <c r="AC256" s="1971" t="n"/>
      <c r="AD256" s="750" t="n"/>
      <c r="AE256" s="1452" t="n"/>
      <c r="AF256" s="750" t="n"/>
      <c r="AG256" s="1452" t="n"/>
      <c r="AH256" s="750" t="n"/>
      <c r="AI256" s="1452" t="n"/>
      <c r="AJ256" s="778" t="n"/>
      <c r="AK256" s="1972" t="n"/>
      <c r="AL256" s="750" t="n"/>
      <c r="AM256" s="1452" t="n"/>
      <c r="AN256" s="778" t="n"/>
      <c r="AO256" s="1972" t="n"/>
      <c r="AP256" s="750" t="n"/>
      <c r="AQ256" s="1452" t="n"/>
      <c r="AR256" s="778" t="n"/>
      <c r="AS256" s="1972" t="n"/>
      <c r="AT256" s="1458" t="n"/>
      <c r="AU256" s="1972" t="n"/>
      <c r="AV256" s="1458" t="n"/>
      <c r="AW256" s="1452" t="n"/>
      <c r="AX256" s="750" t="n"/>
      <c r="AY256" s="218">
        <f>$CA256&amp;CB256&amp;$CC256&amp;CD256&amp;CE256&amp;CF256&amp;CG256&amp;CH256&amp;CI256&amp;CJ256&amp;CK256&amp;CL256&amp;CM256&amp;CN256&amp;CO256&amp;CP256&amp;CQ256&amp;CR256&amp;CS256&amp;CT256&amp;CU256&amp;CV256&amp;CW256</f>
        <v/>
      </c>
      <c r="CA256" s="379">
        <f>IF(D256&gt;C256," * El Total de Exámenes Confirmados Positivos por ISP NO DEBE SUPERAR los Exámenes Procesados. ","")</f>
        <v/>
      </c>
      <c r="CB256" s="219">
        <f>IF(AL256&gt;AK256," * El número de Exámenes por Sexo Hombres Confirmados positivos por ISP NO PUEDE Superar al número de Procesados. ","")</f>
        <v/>
      </c>
      <c r="CC256" s="219">
        <f>IF(AN256&gt;AM256," * El número de Exámenes por Sexo Mujeres Confirmados positivos por ISP NO PUEDE Superar al número de Procesados. ","")</f>
        <v/>
      </c>
      <c r="CD256" s="226" t="n"/>
      <c r="CE256" s="226" t="n"/>
      <c r="CF256" s="226" t="n"/>
      <c r="CG256" s="226" t="n"/>
      <c r="CH256" s="226" t="n"/>
      <c r="CI256" s="219">
        <f>IF(AND(C256&gt;0,AND(AO256="",AQ256=""))," * No olvide digitar los exámenes procesados Trans (Masculino y femenino) Digite Cero si no tiene.",IF((AO256+AQ256)&gt;C256," * Los exámenes procesados en Trans (Masculino y femenino) no pueden ser mayor que el Total de exámenes procesados.",""))</f>
        <v/>
      </c>
      <c r="CJ256" s="227" t="n"/>
      <c r="CK256" s="219">
        <f>IF((AM256+AK256)&lt;&gt;C256," * El N° de exámenes Procesados por SEXO (Hombres + Mujeres)no puede ser distinto al Total de exámenes procesados","")</f>
        <v/>
      </c>
      <c r="CL256" s="219">
        <f>IF((AN256+AL256)&lt;&gt;D256," * El N° de exámenes Confirmados positivos por ISP por Sexo (Hombres+Mujeres) no puede ser distinto al N° Total de exámenes Confirmados positivos por ISP ","")</f>
        <v/>
      </c>
      <c r="CM256" s="219">
        <f>IF(AND(C256&gt;0,AS256="")," * No olvide digitar los examanes de Pueblos Originarios Procesados. Digite Cero si no tiene.",IF(AS256&gt;C256," * Los exámenes de Pueblos originarios Procesados no pueden ser mayor que el Total de exámenes procesados.",""))</f>
        <v/>
      </c>
      <c r="CN256" s="219">
        <f>IF(AND(C256&gt;0,AU256="")," * No olvide digitar los exámenes Procesados de Migrantes. Digite Cero si no tiene.",IF(AU256&gt;C256," * Los exámenes procesados de Migrantes no pueden ser mayor que el Total de exámenes procesados.",""))</f>
        <v/>
      </c>
      <c r="CO256" s="219">
        <f>IF(AND(D256&gt;0,AND(AP256="",AR256=""))," * No olvide digitar los exámenes Confirmados positivos por ISP de Trans (Masculino y Femenino). Digite Cero si no tiene.",IF((AP256+AR256)&gt;D256," * Los exámenes confirmados positivos por ISP de Trans (Masculino y Femenino) no pueden ser mayor que el Total de exámenes Confirmados positivos por ISP.",""))</f>
        <v/>
      </c>
      <c r="CP256" s="219">
        <f>IF(AND(D256&gt;0,AT256="")," * No olvide digitar los exámenes Confirmados positivos por ISP de Pueblos Originarios. Digite Cero si no tiene.",IF(AT256&gt;D256," * Los exámenes Confirmados positivos por ISP de Pueblos originarios no pueden ser mayor que el Total de exámenes Procesados por ISP.",""))</f>
        <v/>
      </c>
      <c r="CQ256" s="219">
        <f>IF(AND(D256&gt;0,AV256="")," * No olvide digitar los exámenes Confirmados positivos por ISP de Migrantes. Digite Cero si no tiene.",IF(AV256&gt;D256," * Los exámenes Confirmados positivos por ISP de Migrantes no pueden ser mayor que el Total de exámenes Procesados por ISP.",""))</f>
        <v/>
      </c>
      <c r="CR256" s="226" t="n"/>
      <c r="CS256" s="226" t="n"/>
      <c r="CT256" s="260">
        <f>IF(AND((M256+O256)&gt;0,AW256=""),"*No olvide digitar los Exámenes Procesados de 14-18 años. Digite cero si no tiene.",IF(AW256&gt;(M256+O256),"* El Total de Procesados de 14-18 años NO DEBE ser mayor al Total de Procesados registrados en los grupos de edad 10 a 14 + 15 a 19 años. ",""))</f>
        <v/>
      </c>
      <c r="CU256" s="260">
        <f>IF(AND((N256+P256)&gt;0,AX256=""),"*No olvide digitar los Exámenes Confirmados Positivos por ISP de 14-18 años. Digite cero si no tiene.",IF(AX256&gt;(N256+P256),"* El Total de Confirmados de 14-18 años NO DEBE ser mayor al Total de Confirmados Positivos por ISP registrados en los grupos de edad 10 a 14 + 15 a 19 años. ",""))</f>
        <v/>
      </c>
      <c r="DF256" s="381">
        <f>IF(D256&gt;C256,1,0)</f>
        <v/>
      </c>
      <c r="DG256" s="378">
        <f>IF(AL256&gt;AK256,1,0)</f>
        <v/>
      </c>
      <c r="DH256" s="378">
        <f>IF(AN256&gt;AM256,1,0)</f>
        <v/>
      </c>
      <c r="DI256" s="226" t="n"/>
      <c r="DJ256" s="226" t="n"/>
      <c r="DK256" s="226" t="n"/>
      <c r="DL256" s="226" t="n"/>
      <c r="DM256" s="226" t="n"/>
      <c r="DN256" s="378">
        <f>IF(AND(C256&gt;0,AND(AO256="",AQ256="")),1,IF((AO256+AQ256)&gt;C256,1,0))</f>
        <v/>
      </c>
      <c r="DO256" s="227" t="n"/>
      <c r="DP256" s="378">
        <f>IF((AM256+AK256)&lt;&gt;C256,1,0)</f>
        <v/>
      </c>
      <c r="DQ256" s="378">
        <f>IF((AN256+AL256)&lt;&gt;D256,1,0)</f>
        <v/>
      </c>
      <c r="DR256" s="378">
        <f>IF(AND(C256&gt;0,AS256=""),1,IF(AS256&gt;C256,1,0))</f>
        <v/>
      </c>
      <c r="DS256" s="378">
        <f>IF(AND(C256&gt;0,AU256=""),1,IF(AU256&gt;C256,1,0))</f>
        <v/>
      </c>
      <c r="DT256" s="378">
        <f>IF(AND(D256&gt;0,OR(AP256="",AR256="")),1,IF((AP256+AR256)&gt;D256,1,0))</f>
        <v/>
      </c>
      <c r="DU256" s="378">
        <f>IF(AND(D256&gt;0,AT256=""),1,IF(AT256&gt;D256,1,0))</f>
        <v/>
      </c>
      <c r="DV256" s="378">
        <f>IF(AND(D256&gt;0,AV256=""),1,IF(AV256&gt;D256,1,0))</f>
        <v/>
      </c>
      <c r="DW256" s="226" t="n"/>
      <c r="DX256" s="226" t="n"/>
      <c r="DY256" s="378">
        <f>IF(AND((M256+O256)&gt;0,AW256=""),1,IF(AW256&gt;(M256+O256),1,0))</f>
        <v/>
      </c>
      <c r="DZ256" s="378">
        <f>IF(AND((N256+P256)&gt;0,AX256=""),1,IF(AX256&gt;(N256+P256),1,0))</f>
        <v/>
      </c>
      <c r="EA256" s="261">
        <f>IF(AND((M256+O256)&gt;0,AW256=""),1,0)</f>
        <v/>
      </c>
      <c r="EB256" s="261">
        <f>IF(AND((N256+P256)&gt;0,AX256=""),1,0)</f>
        <v/>
      </c>
    </row>
    <row r="257" ht="15" customHeight="1" s="8286">
      <c r="A257" s="9588" t="n"/>
      <c r="B257" s="3178" t="inlineStr">
        <is>
          <t>Centros SENAME</t>
        </is>
      </c>
      <c r="C257" s="3185">
        <f>+E257+G257+I257+K257+M257+O257+Q257+S257+U257+W257+Y257+AA257+AC257+AE257+AG257+AI257</f>
        <v/>
      </c>
      <c r="D257" s="3181">
        <f>+F257+H257+J257+L257+N257+P257+R257+T257+V257+X257+Z257+AB257+AD257+AF257+AH257+AJ257</f>
        <v/>
      </c>
      <c r="E257" s="3100" t="n"/>
      <c r="F257" s="3101" t="n"/>
      <c r="G257" s="3100" t="n"/>
      <c r="H257" s="3101" t="n"/>
      <c r="I257" s="3100" t="n"/>
      <c r="J257" s="3101" t="n"/>
      <c r="K257" s="3100" t="n"/>
      <c r="L257" s="3101" t="n"/>
      <c r="M257" s="3100" t="n"/>
      <c r="N257" s="3101" t="n"/>
      <c r="O257" s="3100" t="n"/>
      <c r="P257" s="3101" t="n"/>
      <c r="Q257" s="3108" t="n"/>
      <c r="R257" s="3101" t="n"/>
      <c r="S257" s="3108" t="n"/>
      <c r="T257" s="3101" t="n"/>
      <c r="U257" s="3108" t="n"/>
      <c r="V257" s="3101" t="n"/>
      <c r="W257" s="3100" t="n"/>
      <c r="X257" s="3101" t="n"/>
      <c r="Y257" s="3100" t="n"/>
      <c r="Z257" s="3101" t="n"/>
      <c r="AA257" s="3100" t="n"/>
      <c r="AB257" s="3101" t="n"/>
      <c r="AC257" s="3108" t="n"/>
      <c r="AD257" s="3101" t="n"/>
      <c r="AE257" s="3100" t="n"/>
      <c r="AF257" s="3101" t="n"/>
      <c r="AG257" s="3100" t="n"/>
      <c r="AH257" s="3101" t="n"/>
      <c r="AI257" s="3100" t="n"/>
      <c r="AJ257" s="3098" t="n"/>
      <c r="AK257" s="3099" t="n"/>
      <c r="AL257" s="3101" t="n"/>
      <c r="AM257" s="3100" t="n"/>
      <c r="AN257" s="3098" t="n"/>
      <c r="AO257" s="3099" t="n"/>
      <c r="AP257" s="3101" t="n"/>
      <c r="AQ257" s="3100" t="n"/>
      <c r="AR257" s="3098" t="n"/>
      <c r="AS257" s="3099" t="n"/>
      <c r="AT257" s="3149" t="n"/>
      <c r="AU257" s="3099" t="n"/>
      <c r="AV257" s="3149" t="n"/>
      <c r="AW257" s="3100" t="n"/>
      <c r="AX257" s="3101" t="n"/>
      <c r="AY257" s="218">
        <f>$CA257&amp;CB257&amp;$CC257&amp;CD257&amp;CE257&amp;CF257&amp;CG257&amp;CH257&amp;CI257&amp;CJ257&amp;CK257&amp;CL257&amp;CM257&amp;CN257&amp;CO257&amp;CP257&amp;CQ257&amp;CR257&amp;CS257&amp;CT257&amp;CU257&amp;CV257&amp;CW257</f>
        <v/>
      </c>
      <c r="CA257" s="379">
        <f>IF(D257&gt;C257," * El Total de Exámenes Confirmados Positivos por ISP NO DEBE SUPERAR los Exámenes Procesados. ","")</f>
        <v/>
      </c>
      <c r="CB257" s="219">
        <f>IF(AL257&gt;AK257," * El número de Exámenes por Sexo Hombres Confirmados positivos por ISP NO PUEDE Superar al número de Procesados. ","")</f>
        <v/>
      </c>
      <c r="CC257" s="219">
        <f>IF(AN257&gt;AM257," * El número de Exámenes por Sexo Mujeres Confirmados positivos por ISP NO PUEDE Superar al número de Procesados. ","")</f>
        <v/>
      </c>
      <c r="CD257" s="226" t="n"/>
      <c r="CE257" s="226" t="n"/>
      <c r="CF257" s="226" t="n"/>
      <c r="CG257" s="226" t="n"/>
      <c r="CH257" s="226" t="n"/>
      <c r="CI257" s="219">
        <f>IF(AND(C257&gt;0,AND(AO257="",AQ257=""))," * No olvide digitar los exámenes procesados Trans (Masculino y femenino) Digite Cero si no tiene.",IF((AO257+AQ257)&gt;C257," * Los exámenes procesados en Trans (Masculino y femenino) no pueden ser mayor que el Total de exámenes procesados.",""))</f>
        <v/>
      </c>
      <c r="CJ257" s="227" t="n"/>
      <c r="CK257" s="219">
        <f>IF((AM257+AK257)&lt;&gt;C257," * El N° de exámenes Procesados por SEXO (Hombres + Mujeres)no puede ser distinto al Total de exámenes procesados","")</f>
        <v/>
      </c>
      <c r="CL257" s="219">
        <f>IF((AN257+AL257)&lt;&gt;D257," * El N° de exámenes Confirmados positivos por ISP por Sexo (Hombres+Mujeres) no puede ser distinto al N° Total de exámenes Confirmados positivos por ISP ","")</f>
        <v/>
      </c>
      <c r="CM257" s="219">
        <f>IF(AND(C257&gt;0,AS257="")," * No olvide digitar los examanes de Pueblos Originarios Procesados. Digite Cero si no tiene.",IF(AS257&gt;C257," * Los exámenes de Pueblos originarios Procesados no pueden ser mayor que el Total de exámenes procesados.",""))</f>
        <v/>
      </c>
      <c r="CN257" s="219">
        <f>IF(AND(C257&gt;0,AU257="")," * No olvide digitar los exámenes Procesados de Migrantes. Digite Cero si no tiene.",IF(AU257&gt;C257," * Los exámenes procesados de Migrantes no pueden ser mayor que el Total de exámenes procesados.",""))</f>
        <v/>
      </c>
      <c r="CO257" s="219">
        <f>IF(AND(D257&gt;0,AND(AP257="",AR257=""))," * No olvide digitar los exámenes Confirmados positivos por ISP de Trans (Masculino y Femenino). Digite Cero si no tiene.",IF((AP257+AR257)&gt;D257," * Los exámenes confirmados positivos por ISP de Trans (Masculino y Femenino) no pueden ser mayor que el Total de exámenes Confirmados positivos por ISP.",""))</f>
        <v/>
      </c>
      <c r="CP257" s="219">
        <f>IF(AND(D257&gt;0,AT257="")," * No olvide digitar los exámenes Confirmados positivos por ISP de Pueblos Originarios. Digite Cero si no tiene.",IF(AT257&gt;D257," * Los exámenes Confirmados positivos por ISP de Pueblos originarios no pueden ser mayor que el Total de exámenes Procesados por ISP.",""))</f>
        <v/>
      </c>
      <c r="CQ257" s="219">
        <f>IF(AND(D257&gt;0,AV257="")," * No olvide digitar los exámenes Confirmados positivos por ISP de Migrantes. Digite Cero si no tiene.",IF(AV257&gt;D257," * Los exámenes Confirmados positivos por ISP de Migrantes no pueden ser mayor que el Total de exámenes Procesados por ISP.",""))</f>
        <v/>
      </c>
      <c r="CR257" s="226" t="n"/>
      <c r="CS257" s="226" t="n"/>
      <c r="CT257" s="260">
        <f>IF(AND((M257+O257)&gt;0,AW257=""),"*No olvide digitar los Exámenes Procesados de 14-18 años. Digite cero si no tiene.",IF(AW257&gt;(M257+O257),"* El Total de Procesados de 14-18 años NO DEBE ser mayor al Total de Procesados registrados en los grupos de edad 10 a 14 + 15 a 19 años. ",""))</f>
        <v/>
      </c>
      <c r="CU257" s="260">
        <f>IF(AND((N257+P257)&gt;0,AX257=""),"*No olvide digitar los Exámenes Confirmados Positivos por ISP de 14-18 años. Digite cero si no tiene.",IF(AX257&gt;(N257+P257),"* El Total de Confirmados de 14-18 años NO DEBE ser mayor al Total de Confirmados Positivos por ISP registrados en los grupos de edad 10 a 14 + 15 a 19 años. ",""))</f>
        <v/>
      </c>
      <c r="DF257" s="381">
        <f>IF(D257&gt;C257,1,0)</f>
        <v/>
      </c>
      <c r="DG257" s="378">
        <f>IF(AL257&gt;AK257,1,0)</f>
        <v/>
      </c>
      <c r="DH257" s="378">
        <f>IF(AN257&gt;AM257,1,0)</f>
        <v/>
      </c>
      <c r="DI257" s="226" t="n"/>
      <c r="DJ257" s="226" t="n"/>
      <c r="DK257" s="226" t="n"/>
      <c r="DL257" s="226" t="n"/>
      <c r="DM257" s="226" t="n"/>
      <c r="DN257" s="378">
        <f>IF(AND(C257&gt;0,AND(AO257="",AQ257="")),1,IF((AO257+AQ257)&gt;C257,1,0))</f>
        <v/>
      </c>
      <c r="DO257" s="227" t="n"/>
      <c r="DP257" s="378">
        <f>IF((AM257+AK257)&lt;&gt;C257,1,0)</f>
        <v/>
      </c>
      <c r="DQ257" s="378">
        <f>IF((AN257+AL257)&lt;&gt;D257,1,0)</f>
        <v/>
      </c>
      <c r="DR257" s="378">
        <f>IF(AND(C257&gt;0,AS257=""),1,IF(AS257&gt;C257,1,0))</f>
        <v/>
      </c>
      <c r="DS257" s="378">
        <f>IF(AND(C257&gt;0,AU257=""),1,IF(AU257&gt;C257,1,0))</f>
        <v/>
      </c>
      <c r="DT257" s="378">
        <f>IF(AND(D257&gt;0,OR(AP257="",AR257="")),1,IF((AP257+AR257)&gt;D257,1,0))</f>
        <v/>
      </c>
      <c r="DU257" s="378">
        <f>IF(AND(D257&gt;0,AT257=""),1,IF(AT257&gt;D257,1,0))</f>
        <v/>
      </c>
      <c r="DV257" s="378">
        <f>IF(AND(D257&gt;0,AV257=""),1,IF(AV257&gt;D257,1,0))</f>
        <v/>
      </c>
      <c r="DW257" s="226" t="n"/>
      <c r="DX257" s="226" t="n"/>
      <c r="DY257" s="378">
        <f>IF(AND((M257+O257)&gt;0,AW257=""),1,IF(AW257&gt;(M257+O257),1,0))</f>
        <v/>
      </c>
      <c r="DZ257" s="378">
        <f>IF(AND((N257+P257)&gt;0,AX257=""),1,IF(AX257&gt;(N257+P257),1,0))</f>
        <v/>
      </c>
      <c r="EA257" s="261">
        <f>IF(AND((M257+O257)&gt;0,AW257=""),1,0)</f>
        <v/>
      </c>
      <c r="EB257" s="261">
        <f>IF(AND((N257+P257)&gt;0,AX257=""),1,0)</f>
        <v/>
      </c>
    </row>
    <row r="258" ht="15" customHeight="1" s="8286">
      <c r="A258" s="9588" t="n"/>
      <c r="B258" s="3178" t="inlineStr">
        <is>
          <t>Centros educacionales</t>
        </is>
      </c>
      <c r="C258" s="3185">
        <f>+E258+G258+I258+K258+M258+O258+Q258+S258+U258+W258+Y258+AA258+AC258+AE258+AG258+AI258</f>
        <v/>
      </c>
      <c r="D258" s="3181">
        <f>+F258+H258+J258+L258+N258+P258+R258+T258+V258+X258+Z258+AB258+AD258+AF258+AH258+AJ258</f>
        <v/>
      </c>
      <c r="E258" s="3100" t="n"/>
      <c r="F258" s="3101" t="n"/>
      <c r="G258" s="3100" t="n"/>
      <c r="H258" s="3101" t="n"/>
      <c r="I258" s="3100" t="n"/>
      <c r="J258" s="3101" t="n"/>
      <c r="K258" s="3100" t="n"/>
      <c r="L258" s="3101" t="n"/>
      <c r="M258" s="3100" t="n"/>
      <c r="N258" s="3101" t="n"/>
      <c r="O258" s="3100" t="n"/>
      <c r="P258" s="3101" t="n"/>
      <c r="Q258" s="3108" t="n"/>
      <c r="R258" s="3101" t="n"/>
      <c r="S258" s="3108" t="n"/>
      <c r="T258" s="3101" t="n"/>
      <c r="U258" s="3108" t="n"/>
      <c r="V258" s="3101" t="n"/>
      <c r="W258" s="3100" t="n"/>
      <c r="X258" s="3101" t="n"/>
      <c r="Y258" s="3100" t="n"/>
      <c r="Z258" s="3101" t="n"/>
      <c r="AA258" s="3100" t="n"/>
      <c r="AB258" s="3101" t="n"/>
      <c r="AC258" s="3108" t="n"/>
      <c r="AD258" s="3101" t="n"/>
      <c r="AE258" s="3100" t="n"/>
      <c r="AF258" s="3101" t="n"/>
      <c r="AG258" s="3100" t="n"/>
      <c r="AH258" s="3101" t="n"/>
      <c r="AI258" s="3100" t="n"/>
      <c r="AJ258" s="3098" t="n"/>
      <c r="AK258" s="3099" t="n"/>
      <c r="AL258" s="3101" t="n"/>
      <c r="AM258" s="3100" t="n"/>
      <c r="AN258" s="3098" t="n"/>
      <c r="AO258" s="3099" t="n"/>
      <c r="AP258" s="3101" t="n"/>
      <c r="AQ258" s="3100" t="n"/>
      <c r="AR258" s="3098" t="n"/>
      <c r="AS258" s="3099" t="n"/>
      <c r="AT258" s="3149" t="n"/>
      <c r="AU258" s="3099" t="n"/>
      <c r="AV258" s="3149" t="n"/>
      <c r="AW258" s="3100" t="n"/>
      <c r="AX258" s="3101" t="n"/>
      <c r="AY258" s="218">
        <f>$CA258&amp;CB258&amp;$CC258&amp;CD258&amp;CE258&amp;CF258&amp;CG258&amp;CH258&amp;CI258&amp;CJ258&amp;CK258&amp;CL258&amp;CM258&amp;CN258&amp;CO258&amp;CP258&amp;CQ258&amp;CR258&amp;CS258&amp;CT258&amp;CU258&amp;CV258&amp;CW258</f>
        <v/>
      </c>
      <c r="CA258" s="379">
        <f>IF(D258&gt;C258," * El Total de Exámenes Confirmados Positivos por ISP NO DEBE SUPERAR los Exámenes Procesados. ","")</f>
        <v/>
      </c>
      <c r="CB258" s="219">
        <f>IF(AL258&gt;AK258," * El número de Exámenes por Sexo Hombres Confirmados positivos por ISP NO PUEDE Superar al número de Procesados. ","")</f>
        <v/>
      </c>
      <c r="CC258" s="219">
        <f>IF(AN258&gt;AM258," * El número de Exámenes por Sexo Mujeres Confirmados positivos por ISP NO PUEDE Superar al número de Procesados. ","")</f>
        <v/>
      </c>
      <c r="CD258" s="226" t="n"/>
      <c r="CE258" s="226" t="n"/>
      <c r="CF258" s="226" t="n"/>
      <c r="CG258" s="226" t="n"/>
      <c r="CH258" s="226" t="n"/>
      <c r="CI258" s="219">
        <f>IF(AND(C258&gt;0,AND(AO258="",AQ258=""))," * No olvide digitar los exámenes procesados Trans (Masculino y femenino) Digite Cero si no tiene.",IF((AO258+AQ258)&gt;C258," * Los exámenes procesados en Trans (Masculino y femenino) no pueden ser mayor que el Total de exámenes procesados.",""))</f>
        <v/>
      </c>
      <c r="CJ258" s="227" t="n"/>
      <c r="CK258" s="219">
        <f>IF((AM258+AK258)&lt;&gt;C258," * El N° de exámenes Procesados por SEXO (Hombres + Mujeres)no puede ser distinto al Total de exámenes procesados","")</f>
        <v/>
      </c>
      <c r="CL258" s="219">
        <f>IF((AN258+AL258)&lt;&gt;D258," * El N° de exámenes Confirmados positivos por ISP por Sexo (Hombres+Mujeres) no puede ser distinto al N° Total de exámenes Confirmados positivos por ISP ","")</f>
        <v/>
      </c>
      <c r="CM258" s="219">
        <f>IF(AND(C258&gt;0,AS258="")," * No olvide digitar los examanes de Pueblos Originarios Procesados. Digite Cero si no tiene.",IF(AS258&gt;C258," * Los exámenes de Pueblos originarios Procesados no pueden ser mayor que el Total de exámenes procesados.",""))</f>
        <v/>
      </c>
      <c r="CN258" s="219">
        <f>IF(AND(C258&gt;0,AU258="")," * No olvide digitar los exámenes Procesados de Migrantes. Digite Cero si no tiene.",IF(AU258&gt;C258," * Los exámenes procesados de Migrantes no pueden ser mayor que el Total de exámenes procesados.",""))</f>
        <v/>
      </c>
      <c r="CO258" s="219">
        <f>IF(AND(D258&gt;0,AND(AP258="",AR258=""))," * No olvide digitar los exámenes Confirmados positivos por ISP de Trans (Masculino y Femenino). Digite Cero si no tiene.",IF((AP258+AR258)&gt;D258," * Los exámenes confirmados positivos por ISP de Trans (Masculino y Femenino) no pueden ser mayor que el Total de exámenes Confirmados positivos por ISP.",""))</f>
        <v/>
      </c>
      <c r="CP258" s="219">
        <f>IF(AND(D258&gt;0,AT258="")," * No olvide digitar los exámenes Confirmados positivos por ISP de Pueblos Originarios. Digite Cero si no tiene.",IF(AT258&gt;D258," * Los exámenes Confirmados positivos por ISP de Pueblos originarios no pueden ser mayor que el Total de exámenes Procesados por ISP.",""))</f>
        <v/>
      </c>
      <c r="CQ258" s="219">
        <f>IF(AND(D258&gt;0,AV258="")," * No olvide digitar los exámenes Confirmados positivos por ISP de Migrantes. Digite Cero si no tiene.",IF(AV258&gt;D258," * Los exámenes Confirmados positivos por ISP de Migrantes no pueden ser mayor que el Total de exámenes Procesados por ISP.",""))</f>
        <v/>
      </c>
      <c r="CR258" s="226" t="n"/>
      <c r="CS258" s="226" t="n"/>
      <c r="CT258" s="260">
        <f>IF(AND((M258+O258)&gt;0,AW258=""),"*No olvide digitar los Exámenes Procesados de 14-18 años. Digite cero si no tiene.",IF(AW258&gt;(M258+O258),"* El Total de Procesados de 14-18 años NO DEBE ser mayor al Total de Procesados registrados en los grupos de edad 10 a 14 + 15 a 19 años. ",""))</f>
        <v/>
      </c>
      <c r="CU258" s="260">
        <f>IF(AND((N258+P258)&gt;0,AX258=""),"*No olvide digitar los Exámenes Confirmados Positivos por ISP de 14-18 años. Digite cero si no tiene.",IF(AX258&gt;(N258+P258),"* El Total de Confirmados de 14-18 años NO DEBE ser mayor al Total de Confirmados Positivos por ISP registrados en los grupos de edad 10 a 14 + 15 a 19 años. ",""))</f>
        <v/>
      </c>
      <c r="DF258" s="381">
        <f>IF(D258&gt;C258,1,0)</f>
        <v/>
      </c>
      <c r="DG258" s="378">
        <f>IF(AL258&gt;AK258,1,0)</f>
        <v/>
      </c>
      <c r="DH258" s="378">
        <f>IF(AN258&gt;AM258,1,0)</f>
        <v/>
      </c>
      <c r="DI258" s="226" t="n"/>
      <c r="DJ258" s="226" t="n"/>
      <c r="DK258" s="226" t="n"/>
      <c r="DL258" s="226" t="n"/>
      <c r="DM258" s="226" t="n"/>
      <c r="DN258" s="378">
        <f>IF(AND(C258&gt;0,AND(AO258="",AQ258="")),1,IF((AO258+AQ258)&gt;C258,1,0))</f>
        <v/>
      </c>
      <c r="DO258" s="227" t="n"/>
      <c r="DP258" s="378">
        <f>IF((AM258+AK258)&lt;&gt;C258,1,0)</f>
        <v/>
      </c>
      <c r="DQ258" s="378">
        <f>IF((AN258+AL258)&lt;&gt;D258,1,0)</f>
        <v/>
      </c>
      <c r="DR258" s="378">
        <f>IF(AND(C258&gt;0,AS258=""),1,IF(AS258&gt;C258,1,0))</f>
        <v/>
      </c>
      <c r="DS258" s="378">
        <f>IF(AND(C258&gt;0,AU258=""),1,IF(AU258&gt;C258,1,0))</f>
        <v/>
      </c>
      <c r="DT258" s="378">
        <f>IF(AND(D258&gt;0,OR(AP258="",AR258="")),1,IF((AP258+AR258)&gt;D258,1,0))</f>
        <v/>
      </c>
      <c r="DU258" s="378">
        <f>IF(AND(D258&gt;0,AT258=""),1,IF(AT258&gt;D258,1,0))</f>
        <v/>
      </c>
      <c r="DV258" s="378">
        <f>IF(AND(D258&gt;0,AV258=""),1,IF(AV258&gt;D258,1,0))</f>
        <v/>
      </c>
      <c r="DW258" s="226" t="n"/>
      <c r="DX258" s="226" t="n"/>
      <c r="DY258" s="378">
        <f>IF(AND((M258+O258)&gt;0,AW258=""),1,IF(AW258&gt;(M258+O258),1,0))</f>
        <v/>
      </c>
      <c r="DZ258" s="378">
        <f>IF(AND((N258+P258)&gt;0,AX258=""),1,IF(AX258&gt;(N258+P258),1,0))</f>
        <v/>
      </c>
      <c r="EA258" s="261">
        <f>IF(AND((M258+O258)&gt;0,AW258=""),1,0)</f>
        <v/>
      </c>
      <c r="EB258" s="261">
        <f>IF(AND((N258+P258)&gt;0,AX258=""),1,0)</f>
        <v/>
      </c>
    </row>
    <row r="259" ht="15" customHeight="1" s="8286">
      <c r="A259" s="9589" t="n"/>
      <c r="B259" s="1120" t="inlineStr">
        <is>
          <t xml:space="preserve">Otros </t>
        </is>
      </c>
      <c r="C259" s="3189">
        <f>+E259+G259+I259+K259+M259+O259+Q259+S259+U259+W259+Y259+AA259+AC259+AE259+AG259+AI259</f>
        <v/>
      </c>
      <c r="D259" s="3190">
        <f>+F259+H259+J259+L259+N259+P259+R259+T259+V259+X259+Z259+AB259+AD259+AF259+AH259+AJ259</f>
        <v/>
      </c>
      <c r="E259" s="1140" t="n"/>
      <c r="F259" s="1139" t="n"/>
      <c r="G259" s="1140" t="n"/>
      <c r="H259" s="1139" t="n"/>
      <c r="I259" s="1140" t="n"/>
      <c r="J259" s="1139" t="n"/>
      <c r="K259" s="1140" t="n"/>
      <c r="L259" s="1139" t="n"/>
      <c r="M259" s="1140" t="n"/>
      <c r="N259" s="1139" t="n"/>
      <c r="O259" s="1140" t="n"/>
      <c r="P259" s="1139" t="n"/>
      <c r="Q259" s="1137" t="n"/>
      <c r="R259" s="1139" t="n"/>
      <c r="S259" s="1137" t="n"/>
      <c r="T259" s="1139" t="n"/>
      <c r="U259" s="1137" t="n"/>
      <c r="V259" s="1139" t="n"/>
      <c r="W259" s="1140" t="n"/>
      <c r="X259" s="1139" t="n"/>
      <c r="Y259" s="1140" t="n"/>
      <c r="Z259" s="1139" t="n"/>
      <c r="AA259" s="1140" t="n"/>
      <c r="AB259" s="1139" t="n"/>
      <c r="AC259" s="1137" t="n"/>
      <c r="AD259" s="1139" t="n"/>
      <c r="AE259" s="1140" t="n"/>
      <c r="AF259" s="1139" t="n"/>
      <c r="AG259" s="1140" t="n"/>
      <c r="AH259" s="1139" t="n"/>
      <c r="AI259" s="1140" t="n"/>
      <c r="AJ259" s="1143" t="n"/>
      <c r="AK259" s="1152" t="n"/>
      <c r="AL259" s="1139" t="n"/>
      <c r="AM259" s="1140" t="n"/>
      <c r="AN259" s="1143" t="n"/>
      <c r="AO259" s="1152" t="n"/>
      <c r="AP259" s="1139" t="n"/>
      <c r="AQ259" s="1140" t="n"/>
      <c r="AR259" s="1143" t="n"/>
      <c r="AS259" s="1152" t="n"/>
      <c r="AT259" s="1416" t="n"/>
      <c r="AU259" s="1152" t="n"/>
      <c r="AV259" s="1416" t="n"/>
      <c r="AW259" s="1140" t="n"/>
      <c r="AX259" s="1139" t="n"/>
      <c r="AY259" s="218">
        <f>$CA259&amp;CB259&amp;$CC259&amp;CD259&amp;CE259&amp;CF259&amp;CG259&amp;CH259&amp;CI259&amp;CJ259&amp;CK259&amp;CL259&amp;CM259&amp;CN259&amp;CO259&amp;CP259&amp;CQ259&amp;CR259&amp;CS259&amp;CT259&amp;CU259&amp;CV259&amp;CW259</f>
        <v/>
      </c>
      <c r="CA259" s="379">
        <f>IF(D259&gt;C259," * El Total de Exámenes Confirmados Positivos por ISP NO DEBE SUPERAR los Exámenes Procesados. ","")</f>
        <v/>
      </c>
      <c r="CB259" s="219">
        <f>IF(AL259&gt;AK259," * El número de Exámenes por Sexo Hombres Confirmados positivos por ISP NO PUEDE Superar al número de Procesados. ","")</f>
        <v/>
      </c>
      <c r="CC259" s="219">
        <f>IF(AN259&gt;AM259," * El número de Exámenes por Sexo Mujeres Confirmados positivos por ISP NO PUEDE Superar al número de Procesados. ","")</f>
        <v/>
      </c>
      <c r="CD259" s="226" t="n"/>
      <c r="CE259" s="226" t="n"/>
      <c r="CF259" s="226" t="n"/>
      <c r="CG259" s="226" t="n"/>
      <c r="CH259" s="226" t="n"/>
      <c r="CI259" s="219">
        <f>IF(AND(C259&gt;0,AND(AO259="",AQ259=""))," * No olvide digitar los exámenes procesados Trans (Masculino y femenino) Digite Cero si no tiene.",IF((AO259+AQ259)&gt;C259," * Los exámenes procesados en Trans (Masculino y femenino) no pueden ser mayor que el Total de exámenes procesados.",""))</f>
        <v/>
      </c>
      <c r="CJ259" s="227" t="n"/>
      <c r="CK259" s="219">
        <f>IF((AM259+AK259)&lt;&gt;C259," * El N° de exámenes Procesados por SEXO (Hombres + Mujeres)no puede ser distinto al Total de exámenes procesados","")</f>
        <v/>
      </c>
      <c r="CL259" s="219">
        <f>IF((AN259+AL259)&lt;&gt;D259," * El N° de exámenes Confirmados positivos por ISP por Sexo (Hombres+Mujeres) no puede ser distinto al N° Total de exámenes Confirmados positivos por ISP ","")</f>
        <v/>
      </c>
      <c r="CM259" s="219">
        <f>IF(AND(C259&gt;0,AS259="")," * No olvide digitar los examanes de Pueblos Originarios Procesados. Digite Cero si no tiene.",IF(AS259&gt;C259," * Los exámenes de Pueblos originarios Procesados no pueden ser mayor que el Total de exámenes procesados.",""))</f>
        <v/>
      </c>
      <c r="CN259" s="219">
        <f>IF(AND(C259&gt;0,AU259="")," * No olvide digitar los exámenes Procesados de Migrantes. Digite Cero si no tiene.",IF(AU259&gt;C259," * Los exámenes procesados de Migrantes no pueden ser mayor que el Total de exámenes procesados.",""))</f>
        <v/>
      </c>
      <c r="CO259" s="219">
        <f>IF(AND(D259&gt;0,AND(AP259="",AR259=""))," * No olvide digitar los exámenes Confirmados positivos por ISP de Trans (Masculino y Femenino). Digite Cero si no tiene.",IF((AP259+AR259)&gt;D259," * Los exámenes confirmados positivos por ISP de Trans (Masculino y Femenino) no pueden ser mayor que el Total de exámenes Confirmados positivos por ISP.",""))</f>
        <v/>
      </c>
      <c r="CP259" s="219">
        <f>IF(AND(D259&gt;0,AT259="")," * No olvide digitar los exámenes Confirmados positivos por ISP de Pueblos Originarios. Digite Cero si no tiene.",IF(AT259&gt;D259," * Los exámenes Confirmados positivos por ISP de Pueblos originarios no pueden ser mayor que el Total de exámenes Procesados por ISP.",""))</f>
        <v/>
      </c>
      <c r="CQ259" s="219">
        <f>IF(AND(D259&gt;0,AV259="")," * No olvide digitar los exámenes Confirmados positivos por ISP de Migrantes. Digite Cero si no tiene.",IF(AV259&gt;D259," * Los exámenes Confirmados positivos por ISP de Migrantes no pueden ser mayor que el Total de exámenes Procesados por ISP.",""))</f>
        <v/>
      </c>
      <c r="CR259" s="226" t="n"/>
      <c r="CS259" s="226" t="n"/>
      <c r="CT259" s="260">
        <f>IF(AND((M259+O259)&gt;0,AW259=""),"*No olvide digitar los Exámenes Procesados de 14-18 años. Digite cero si no tiene.",IF(AW259&gt;(M259+O259),"* El Total de Procesados de 14-18 años NO DEBE ser mayor al Total de Procesados registrados en los grupos de edad 10 a 14 + 15 a 19 años. ",""))</f>
        <v/>
      </c>
      <c r="CU259" s="260">
        <f>IF(AND((N259+P259)&gt;0,AX259=""),"*No olvide digitar los Exámenes Confirmados Positivos por ISP de 14-18 años. Digite cero si no tiene.",IF(AX259&gt;(N259+P259),"* El Total de Confirmados de 14-18 años NO DEBE ser mayor al Total de Confirmados Positivos por ISP registrados en los grupos de edad 10 a 14 + 15 a 19 años. ",""))</f>
        <v/>
      </c>
      <c r="DF259" s="381">
        <f>IF(D259&gt;C259,1,0)</f>
        <v/>
      </c>
      <c r="DG259" s="378">
        <f>IF(AL259&gt;AK259,1,0)</f>
        <v/>
      </c>
      <c r="DH259" s="378">
        <f>IF(AN259&gt;AM259,1,0)</f>
        <v/>
      </c>
      <c r="DI259" s="226" t="n"/>
      <c r="DJ259" s="226" t="n"/>
      <c r="DK259" s="226" t="n"/>
      <c r="DL259" s="226" t="n"/>
      <c r="DM259" s="226" t="n"/>
      <c r="DN259" s="378">
        <f>IF(AND(C259&gt;0,AND(AO259="",AQ259="")),1,IF((AO259+AQ259)&gt;C259,1,0))</f>
        <v/>
      </c>
      <c r="DO259" s="227" t="n"/>
      <c r="DP259" s="378">
        <f>IF((AM259+AK259)&lt;&gt;C259,1,0)</f>
        <v/>
      </c>
      <c r="DQ259" s="378">
        <f>IF((AN259+AL259)&lt;&gt;D259,1,0)</f>
        <v/>
      </c>
      <c r="DR259" s="378">
        <f>IF(AND(C259&gt;0,AS259=""),1,IF(AS259&gt;C259,1,0))</f>
        <v/>
      </c>
      <c r="DS259" s="378">
        <f>IF(AND(C259&gt;0,AU259=""),1,IF(AU259&gt;C259,1,0))</f>
        <v/>
      </c>
      <c r="DT259" s="378">
        <f>IF(AND(D259&gt;0,OR(AP259="",AR259="")),1,IF((AP259+AR259)&gt;D259,1,0))</f>
        <v/>
      </c>
      <c r="DU259" s="378">
        <f>IF(AND(D259&gt;0,AT259=""),1,IF(AT259&gt;D259,1,0))</f>
        <v/>
      </c>
      <c r="DV259" s="378">
        <f>IF(AND(D259&gt;0,AV259=""),1,IF(AV259&gt;D259,1,0))</f>
        <v/>
      </c>
      <c r="DW259" s="226" t="n"/>
      <c r="DX259" s="226" t="n"/>
      <c r="DY259" s="378">
        <f>IF(AND((M259+O259)&gt;0,AW259=""),1,IF(AW259&gt;(M259+O259),1,0))</f>
        <v/>
      </c>
      <c r="DZ259" s="378">
        <f>IF(AND((N259+P259)&gt;0,AX259=""),1,IF(AX259&gt;(N259+P259),1,0))</f>
        <v/>
      </c>
      <c r="EA259" s="261">
        <f>IF(AND((M259+O259)&gt;0,AW259=""),1,0)</f>
        <v/>
      </c>
      <c r="EB259" s="261">
        <f>IF(AND((N259+P259)&gt;0,AX259=""),1,0)</f>
        <v/>
      </c>
    </row>
    <row r="260" ht="18" customHeight="1" s="8286">
      <c r="A260" s="10323" t="inlineStr">
        <is>
          <t>SECCION G: DONANTES CONFIRMADOS ENFERMERDAD DE CHAGAS</t>
        </is>
      </c>
      <c r="B260" s="10190" t="n"/>
      <c r="C260" s="10190" t="n"/>
      <c r="D260" s="10190" t="n"/>
      <c r="E260" s="10190" t="n"/>
      <c r="F260" s="10190" t="n"/>
      <c r="G260" s="10190" t="n"/>
      <c r="H260" s="10190" t="n"/>
      <c r="I260" s="10190" t="n"/>
      <c r="J260" s="10190" t="n"/>
      <c r="K260" s="10190" t="n"/>
      <c r="L260" s="10190" t="n"/>
      <c r="M260" s="10190" t="n"/>
      <c r="N260" s="10190" t="n"/>
      <c r="O260" s="10190" t="n"/>
      <c r="P260" s="10190" t="n"/>
      <c r="Q260" s="10190" t="n"/>
      <c r="R260" s="10190" t="n"/>
      <c r="S260" s="10190" t="n"/>
      <c r="T260" s="10190" t="n"/>
      <c r="U260" s="10190" t="n"/>
      <c r="V260" s="10190" t="n"/>
      <c r="W260" s="10190" t="n"/>
      <c r="X260" s="10190" t="n"/>
      <c r="Y260" s="10190" t="n"/>
      <c r="Z260" s="10190" t="n"/>
      <c r="AA260" s="10190" t="n"/>
      <c r="AB260" s="10190" t="n"/>
      <c r="AC260" s="227" t="n"/>
      <c r="AD260" s="227" t="n"/>
    </row>
    <row r="261">
      <c r="A261" s="10310" t="inlineStr">
        <is>
          <t>CONDICIÓN</t>
        </is>
      </c>
      <c r="B261" s="10324" t="inlineStr">
        <is>
          <t>TOTAL</t>
        </is>
      </c>
      <c r="C261" s="9602" t="n"/>
      <c r="D261" s="9630" t="n"/>
      <c r="E261" s="10317" t="inlineStr">
        <is>
          <t>RANGO ETARIO Y SEXO</t>
        </is>
      </c>
      <c r="F261" s="9584" t="n"/>
      <c r="G261" s="9584" t="n"/>
      <c r="H261" s="9584" t="n"/>
      <c r="I261" s="9584" t="n"/>
      <c r="J261" s="9584" t="n"/>
      <c r="K261" s="9584" t="n"/>
      <c r="L261" s="9584" t="n"/>
      <c r="M261" s="9584" t="n"/>
      <c r="N261" s="9584" t="n"/>
      <c r="O261" s="9584" t="n"/>
      <c r="P261" s="9584" t="n"/>
      <c r="Q261" s="9584" t="n"/>
      <c r="R261" s="9584" t="n"/>
      <c r="S261" s="9584" t="n"/>
      <c r="T261" s="9584" t="n"/>
      <c r="U261" s="9584" t="n"/>
      <c r="V261" s="9584" t="n"/>
      <c r="W261" s="9584" t="n"/>
      <c r="X261" s="9584" t="n"/>
      <c r="Y261" s="9584" t="n"/>
      <c r="Z261" s="9584" t="n"/>
      <c r="AA261" s="9584" t="n"/>
      <c r="AB261" s="9595" t="n"/>
      <c r="AC261" s="10325" t="inlineStr">
        <is>
          <t>Pueblos Originarios</t>
        </is>
      </c>
      <c r="AD261" s="10311" t="inlineStr">
        <is>
          <t>Migrantes</t>
        </is>
      </c>
    </row>
    <row r="262" ht="15" customHeight="1" s="8286">
      <c r="A262" s="9588" t="n"/>
      <c r="B262" s="642" t="n"/>
      <c r="D262" s="9718" t="n"/>
      <c r="E262" s="10326" t="inlineStr">
        <is>
          <t>18 - 19 años</t>
        </is>
      </c>
      <c r="F262" s="9582" t="n"/>
      <c r="G262" s="10326" t="inlineStr">
        <is>
          <t>20 - 24 años</t>
        </is>
      </c>
      <c r="H262" s="9582" t="n"/>
      <c r="I262" s="10326" t="inlineStr">
        <is>
          <t>25 - 29 años</t>
        </is>
      </c>
      <c r="J262" s="9582" t="n"/>
      <c r="K262" s="10326" t="inlineStr">
        <is>
          <t>30 - 34 años</t>
        </is>
      </c>
      <c r="L262" s="9582" t="n"/>
      <c r="M262" s="10326" t="inlineStr">
        <is>
          <t>35 - 39 años</t>
        </is>
      </c>
      <c r="N262" s="9582" t="n"/>
      <c r="O262" s="10326" t="inlineStr">
        <is>
          <t>40 - 44 años</t>
        </is>
      </c>
      <c r="P262" s="9582" t="n"/>
      <c r="Q262" s="10326" t="inlineStr">
        <is>
          <t>45 - 49 años</t>
        </is>
      </c>
      <c r="R262" s="9582" t="n"/>
      <c r="S262" s="10326" t="inlineStr">
        <is>
          <t>50 - 54 años</t>
        </is>
      </c>
      <c r="T262" s="9582" t="n"/>
      <c r="U262" s="10326" t="inlineStr">
        <is>
          <t>55-59 años</t>
        </is>
      </c>
      <c r="V262" s="9582" t="n"/>
      <c r="W262" s="10326" t="inlineStr">
        <is>
          <t>60-64 años</t>
        </is>
      </c>
      <c r="X262" s="9582" t="n"/>
      <c r="Y262" s="10326" t="inlineStr">
        <is>
          <t>65-69 años</t>
        </is>
      </c>
      <c r="Z262" s="9582" t="n"/>
      <c r="AA262" s="10303" t="inlineStr">
        <is>
          <t>70 y más años</t>
        </is>
      </c>
      <c r="AB262" s="9595" t="n"/>
      <c r="AC262" s="10169" t="n"/>
      <c r="AD262" s="9625" t="n"/>
    </row>
    <row r="263">
      <c r="A263" s="9589" t="n"/>
      <c r="B263" s="3191" t="inlineStr">
        <is>
          <t>Ambos sexos</t>
        </is>
      </c>
      <c r="C263" s="3091" t="inlineStr">
        <is>
          <t>Hombres</t>
        </is>
      </c>
      <c r="D263" s="8525" t="inlineStr">
        <is>
          <t>Mujeres</t>
        </is>
      </c>
      <c r="E263" s="3088" t="inlineStr">
        <is>
          <t>Hombres</t>
        </is>
      </c>
      <c r="F263" s="8525" t="inlineStr">
        <is>
          <t>Mujeres</t>
        </is>
      </c>
      <c r="G263" s="3088" t="inlineStr">
        <is>
          <t>Hombres</t>
        </is>
      </c>
      <c r="H263" s="8525" t="inlineStr">
        <is>
          <t>Mujeres</t>
        </is>
      </c>
      <c r="I263" s="3088" t="inlineStr">
        <is>
          <t>Hombres</t>
        </is>
      </c>
      <c r="J263" s="8525" t="inlineStr">
        <is>
          <t>Mujeres</t>
        </is>
      </c>
      <c r="K263" s="3088" t="inlineStr">
        <is>
          <t>Hombres</t>
        </is>
      </c>
      <c r="L263" s="8525" t="inlineStr">
        <is>
          <t>Mujeres</t>
        </is>
      </c>
      <c r="M263" s="3088" t="inlineStr">
        <is>
          <t>Hombres</t>
        </is>
      </c>
      <c r="N263" s="8525" t="inlineStr">
        <is>
          <t>Mujeres</t>
        </is>
      </c>
      <c r="O263" s="3088" t="inlineStr">
        <is>
          <t>Hombres</t>
        </is>
      </c>
      <c r="P263" s="8525" t="inlineStr">
        <is>
          <t>Mujeres</t>
        </is>
      </c>
      <c r="Q263" s="3088" t="inlineStr">
        <is>
          <t>Hombres</t>
        </is>
      </c>
      <c r="R263" s="8525" t="inlineStr">
        <is>
          <t>Mujeres</t>
        </is>
      </c>
      <c r="S263" s="3088" t="inlineStr">
        <is>
          <t>Hombres</t>
        </is>
      </c>
      <c r="T263" s="8525" t="inlineStr">
        <is>
          <t>Mujeres</t>
        </is>
      </c>
      <c r="U263" s="3088" t="inlineStr">
        <is>
          <t>Hombres</t>
        </is>
      </c>
      <c r="V263" s="8525" t="inlineStr">
        <is>
          <t>Mujeres</t>
        </is>
      </c>
      <c r="W263" s="3088" t="inlineStr">
        <is>
          <t>Hombres</t>
        </is>
      </c>
      <c r="X263" s="8525" t="inlineStr">
        <is>
          <t>Mujeres</t>
        </is>
      </c>
      <c r="Y263" s="3088" t="inlineStr">
        <is>
          <t>Hombres</t>
        </is>
      </c>
      <c r="Z263" s="8525" t="inlineStr">
        <is>
          <t>Mujeres</t>
        </is>
      </c>
      <c r="AA263" s="3088" t="inlineStr">
        <is>
          <t>Hombres</t>
        </is>
      </c>
      <c r="AB263" s="3092" t="inlineStr">
        <is>
          <t>Mujeres</t>
        </is>
      </c>
      <c r="AC263" s="10170" t="n"/>
      <c r="AD263" s="9611" t="n"/>
    </row>
    <row r="264" ht="22.5" customHeight="1" s="8286">
      <c r="A264" s="3192" t="inlineStr">
        <is>
          <t>Donantes confirmados con enfermedad de Chagas en el periodo</t>
        </is>
      </c>
      <c r="B264" s="3193">
        <f>SUM(C264:D264)</f>
        <v/>
      </c>
      <c r="C264" s="3194">
        <f>+E264+G264+I264+K264+M264+O264+Q264+S264+U264+W264+Y264+AA264</f>
        <v/>
      </c>
      <c r="D264" s="3195">
        <f>+F264+H264+J264+L264+N264+P264+R264+T264+V264+X264+Z264+AB264</f>
        <v/>
      </c>
      <c r="E264" s="3196" t="n"/>
      <c r="F264" s="3078" t="n"/>
      <c r="G264" s="3196" t="n"/>
      <c r="H264" s="3078" t="n"/>
      <c r="I264" s="3196" t="n"/>
      <c r="J264" s="3078" t="n"/>
      <c r="K264" s="3196" t="n"/>
      <c r="L264" s="3078" t="n"/>
      <c r="M264" s="3196" t="n"/>
      <c r="N264" s="3078" t="n"/>
      <c r="O264" s="3196" t="n"/>
      <c r="P264" s="3078" t="n"/>
      <c r="Q264" s="3196" t="n"/>
      <c r="R264" s="3078" t="n"/>
      <c r="S264" s="3196" t="n"/>
      <c r="T264" s="3078" t="n"/>
      <c r="U264" s="3196" t="n"/>
      <c r="V264" s="3078" t="n"/>
      <c r="W264" s="3196" t="n"/>
      <c r="X264" s="3078" t="n"/>
      <c r="Y264" s="3196" t="n"/>
      <c r="Z264" s="3078" t="n"/>
      <c r="AA264" s="3196" t="n"/>
      <c r="AB264" s="1929" t="n"/>
      <c r="AC264" s="4073" t="n"/>
      <c r="AD264" s="1186" t="n"/>
      <c r="AE264" s="226">
        <f>$CA264&amp;CB264</f>
        <v/>
      </c>
      <c r="CA264" s="379">
        <f>IF(AND(B264&gt;0,AC264="")," * No olvide digitar la variable Pueblos originarios. Digite Cero si no tiene.",IF(AC264&gt;B264," * La variable Pueblos originarios No puede ser mayor al Total Ambos Sexos.",""))</f>
        <v/>
      </c>
      <c r="CB264" s="379">
        <f>IF(AND(B264&gt;0,AD264="")," * No olvide digitar la variable Migrantes. Digite Cero si no tiene.",IF(AD264&gt;B264," * La variable Migrantes No puede ser mayor al Total Ambos Sexos.",""))</f>
        <v/>
      </c>
      <c r="CC264" s="226" t="n"/>
      <c r="CD264" s="226" t="n"/>
      <c r="DF264" s="221">
        <f>IF(AND(B264&gt;0,AC264=""),1,IF(AC264&gt;B264,1,0))</f>
        <v/>
      </c>
      <c r="DG264" s="221">
        <f>IF(AND(B264&gt;0,AD264=""),1,IF(AD264&gt;B264,1,0))</f>
        <v/>
      </c>
    </row>
    <row r="265" ht="22.5" customHeight="1" s="8286">
      <c r="A265" s="3197" t="inlineStr">
        <is>
          <t>Donantes confirmados e  informados de su condición serologica para enfermedad de Chagas</t>
        </is>
      </c>
      <c r="B265" s="3198">
        <f>SUM(C265:D265)</f>
        <v/>
      </c>
      <c r="C265" s="3199">
        <f>+E265+G265+I265+K265+M265+O265+Q265+S265+U265+W265+Y265+AA265</f>
        <v/>
      </c>
      <c r="D265" s="3200">
        <f>+F265+H265+J265+L265+N265+P265+R265+T265+V265+X265+Z265+AB265</f>
        <v/>
      </c>
      <c r="E265" s="1188" t="n"/>
      <c r="F265" s="1192" t="n"/>
      <c r="G265" s="1188" t="n"/>
      <c r="H265" s="1192" t="n"/>
      <c r="I265" s="1188" t="n"/>
      <c r="J265" s="1192" t="n"/>
      <c r="K265" s="1188" t="n"/>
      <c r="L265" s="1192" t="n"/>
      <c r="M265" s="1188" t="n"/>
      <c r="N265" s="1192" t="n"/>
      <c r="O265" s="1188" t="n"/>
      <c r="P265" s="1192" t="n"/>
      <c r="Q265" s="1188" t="n"/>
      <c r="R265" s="1192" t="n"/>
      <c r="S265" s="1188" t="n"/>
      <c r="T265" s="1192" t="n"/>
      <c r="U265" s="1188" t="n"/>
      <c r="V265" s="1192" t="n"/>
      <c r="W265" s="1188" t="n"/>
      <c r="X265" s="1192" t="n"/>
      <c r="Y265" s="1188" t="n"/>
      <c r="Z265" s="1192" t="n"/>
      <c r="AA265" s="1188" t="n"/>
      <c r="AB265" s="1224" t="n"/>
      <c r="AC265" s="4076" t="n"/>
      <c r="AD265" s="1192" t="n"/>
      <c r="AE265" s="226">
        <f>$CA265&amp;CB265</f>
        <v/>
      </c>
      <c r="CA265" s="379">
        <f>IF(AND(B265&gt;0,AC265="")," * No olvide digitar la variable Pueblos originarios. Digite Cero si no tiene.",IF(AC265&gt;B265," * La variable Pueblos originarios No puede ser mayor al Total Ambos Sexos.",""))</f>
        <v/>
      </c>
      <c r="CB265" s="379">
        <f>IF(AND(B265&gt;0,AD265="")," * No olvide digitar la variable Migrantes. Digite Cero si no tiene.",IF(AD265&gt;B265," * La variable Migrantes No puede ser mayor al Total Ambos Sexos.",""))</f>
        <v/>
      </c>
      <c r="CC265" s="226" t="n"/>
      <c r="CD265" s="226" t="n"/>
      <c r="DF265" s="221">
        <f>IF(AND(B265&gt;0,AC265=""),1,IF(AC265&gt;B265,1,0))</f>
        <v/>
      </c>
      <c r="DG265" s="221">
        <f>IF(AND(B265&gt;0,AD265=""),1,IF(AD265&gt;B265,1,0))</f>
        <v/>
      </c>
    </row>
    <row r="266" ht="18" customHeight="1" s="8286">
      <c r="A266" s="9689" t="inlineStr">
        <is>
          <t>SECCIÓN H: SEGUIMIENTO DE CASOS</t>
        </is>
      </c>
      <c r="B266" s="9591" t="n"/>
      <c r="C266" s="9591" t="n"/>
      <c r="D266" s="9591" t="n"/>
      <c r="E266" s="9591" t="n"/>
      <c r="F266" s="9591" t="n"/>
      <c r="G266" s="9591" t="n"/>
      <c r="H266" s="9591" t="n"/>
      <c r="I266" s="9591" t="n"/>
      <c r="J266" s="9591" t="n"/>
      <c r="K266" s="9591" t="n"/>
      <c r="L266" s="9591" t="n"/>
      <c r="M266" s="9591" t="n"/>
      <c r="N266" s="9591" t="n"/>
      <c r="O266" s="9591" t="n"/>
      <c r="P266" s="9591" t="n"/>
      <c r="Q266" s="9591" t="n"/>
      <c r="R266" s="9591" t="n"/>
      <c r="S266" s="9591" t="n"/>
      <c r="T266" s="9591" t="n"/>
      <c r="U266" s="9591" t="n"/>
      <c r="V266" s="9591" t="n"/>
      <c r="W266" s="9591" t="n"/>
      <c r="X266" s="9591" t="n"/>
      <c r="Y266" s="9591" t="n"/>
      <c r="Z266" s="9591" t="n"/>
      <c r="AA266" s="9591" t="n"/>
      <c r="AB266" s="9591" t="n"/>
      <c r="AC266" s="9591" t="n"/>
      <c r="AD266" s="9591" t="n"/>
      <c r="AE266" s="9591" t="n"/>
      <c r="AF266" s="9591" t="n"/>
      <c r="AG266" s="9591" t="n"/>
      <c r="AH266" s="9591" t="n"/>
      <c r="AI266" s="9591" t="n"/>
      <c r="AJ266" s="9591" t="n"/>
      <c r="AK266" s="227" t="n"/>
      <c r="AL266" s="227" t="n"/>
    </row>
    <row r="267">
      <c r="A267" s="10310" t="inlineStr">
        <is>
          <t>CONDICIÓN</t>
        </is>
      </c>
      <c r="B267" s="10324" t="inlineStr">
        <is>
          <t>TOTAL</t>
        </is>
      </c>
      <c r="C267" s="9602" t="n"/>
      <c r="D267" s="9630" t="n"/>
      <c r="E267" s="10164" t="inlineStr">
        <is>
          <t>RANGO ETARIO Y SEXO</t>
        </is>
      </c>
      <c r="F267" s="9584" t="n"/>
      <c r="G267" s="9584" t="n"/>
      <c r="H267" s="9584" t="n"/>
      <c r="I267" s="9584" t="n"/>
      <c r="J267" s="9584" t="n"/>
      <c r="K267" s="9584" t="n"/>
      <c r="L267" s="9584" t="n"/>
      <c r="M267" s="9584" t="n"/>
      <c r="N267" s="9584" t="n"/>
      <c r="O267" s="9584" t="n"/>
      <c r="P267" s="9584" t="n"/>
      <c r="Q267" s="9584" t="n"/>
      <c r="R267" s="9584" t="n"/>
      <c r="S267" s="9584" t="n"/>
      <c r="T267" s="9584" t="n"/>
      <c r="U267" s="9584" t="n"/>
      <c r="V267" s="9584" t="n"/>
      <c r="W267" s="9584" t="n"/>
      <c r="X267" s="9584" t="n"/>
      <c r="Y267" s="9584" t="n"/>
      <c r="Z267" s="9584" t="n"/>
      <c r="AA267" s="9584" t="n"/>
      <c r="AB267" s="9584" t="n"/>
      <c r="AC267" s="9584" t="n"/>
      <c r="AD267" s="9584" t="n"/>
      <c r="AE267" s="9584" t="n"/>
      <c r="AF267" s="9584" t="n"/>
      <c r="AG267" s="9584" t="n"/>
      <c r="AH267" s="9584" t="n"/>
      <c r="AI267" s="9584" t="n"/>
      <c r="AJ267" s="9647" t="n"/>
      <c r="AK267" s="10325" t="inlineStr">
        <is>
          <t>Pueblos Originarios</t>
        </is>
      </c>
      <c r="AL267" s="10311" t="inlineStr">
        <is>
          <t>Migrantes</t>
        </is>
      </c>
    </row>
    <row r="268" ht="15" customHeight="1" s="8286">
      <c r="A268" s="9588" t="n"/>
      <c r="B268" s="642" t="n"/>
      <c r="D268" s="9718" t="n"/>
      <c r="E268" s="10326" t="inlineStr">
        <is>
          <t>Menos de 1 año</t>
        </is>
      </c>
      <c r="F268" s="9582" t="n"/>
      <c r="G268" s="10327" t="inlineStr">
        <is>
          <t>1-4 años</t>
        </is>
      </c>
      <c r="H268" s="9582" t="n"/>
      <c r="I268" s="10327" t="inlineStr">
        <is>
          <t>5-9 años</t>
        </is>
      </c>
      <c r="J268" s="9582" t="n"/>
      <c r="K268" s="10327" t="inlineStr">
        <is>
          <t>10-14 años</t>
        </is>
      </c>
      <c r="L268" s="9582" t="n"/>
      <c r="M268" s="10326" t="inlineStr">
        <is>
          <t>15 - 19 años</t>
        </is>
      </c>
      <c r="N268" s="9582" t="n"/>
      <c r="O268" s="10326" t="inlineStr">
        <is>
          <t>20 - 24 años</t>
        </is>
      </c>
      <c r="P268" s="9582" t="n"/>
      <c r="Q268" s="10326" t="inlineStr">
        <is>
          <t>25 - 29 años</t>
        </is>
      </c>
      <c r="R268" s="9582" t="n"/>
      <c r="S268" s="10326" t="inlineStr">
        <is>
          <t>30 - 34 años</t>
        </is>
      </c>
      <c r="T268" s="9582" t="n"/>
      <c r="U268" s="10326" t="inlineStr">
        <is>
          <t>35 - 39 años</t>
        </is>
      </c>
      <c r="V268" s="9582" t="n"/>
      <c r="W268" s="10326" t="inlineStr">
        <is>
          <t>40 - 44 años</t>
        </is>
      </c>
      <c r="X268" s="9582" t="n"/>
      <c r="Y268" s="10326" t="inlineStr">
        <is>
          <t>45 - 49 años</t>
        </is>
      </c>
      <c r="Z268" s="9582" t="n"/>
      <c r="AA268" s="10326" t="inlineStr">
        <is>
          <t>50 - 54 años</t>
        </is>
      </c>
      <c r="AB268" s="9582" t="n"/>
      <c r="AC268" s="10326" t="inlineStr">
        <is>
          <t>55-59 años</t>
        </is>
      </c>
      <c r="AD268" s="9582" t="n"/>
      <c r="AE268" s="10326" t="inlineStr">
        <is>
          <t>60-64 años</t>
        </is>
      </c>
      <c r="AF268" s="9582" t="n"/>
      <c r="AG268" s="10326" t="inlineStr">
        <is>
          <t>65-69 años</t>
        </is>
      </c>
      <c r="AH268" s="9582" t="n"/>
      <c r="AI268" s="10303" t="inlineStr">
        <is>
          <t>70 y más años</t>
        </is>
      </c>
      <c r="AJ268" s="9595" t="n"/>
      <c r="AK268" s="10169" t="n"/>
      <c r="AL268" s="9625" t="n"/>
    </row>
    <row r="269">
      <c r="A269" s="9589" t="n"/>
      <c r="B269" s="3191" t="inlineStr">
        <is>
          <t>Ambos sexos</t>
        </is>
      </c>
      <c r="C269" s="3091" t="inlineStr">
        <is>
          <t>Hombres</t>
        </is>
      </c>
      <c r="D269" s="8525" t="inlineStr">
        <is>
          <t>Mujeres</t>
        </is>
      </c>
      <c r="E269" s="3088" t="inlineStr">
        <is>
          <t>Hombres</t>
        </is>
      </c>
      <c r="F269" s="8525" t="inlineStr">
        <is>
          <t>Mujeres</t>
        </is>
      </c>
      <c r="G269" s="3088" t="inlineStr">
        <is>
          <t>Hombres</t>
        </is>
      </c>
      <c r="H269" s="8525" t="inlineStr">
        <is>
          <t>Mujeres</t>
        </is>
      </c>
      <c r="I269" s="3088" t="inlineStr">
        <is>
          <t>Hombres</t>
        </is>
      </c>
      <c r="J269" s="8525" t="inlineStr">
        <is>
          <t>Mujeres</t>
        </is>
      </c>
      <c r="K269" s="3088" t="inlineStr">
        <is>
          <t>Hombres</t>
        </is>
      </c>
      <c r="L269" s="8525" t="inlineStr">
        <is>
          <t>Mujeres</t>
        </is>
      </c>
      <c r="M269" s="3088" t="inlineStr">
        <is>
          <t>Hombres</t>
        </is>
      </c>
      <c r="N269" s="8525" t="inlineStr">
        <is>
          <t>Mujeres</t>
        </is>
      </c>
      <c r="O269" s="3088" t="inlineStr">
        <is>
          <t>Hombres</t>
        </is>
      </c>
      <c r="P269" s="8525" t="inlineStr">
        <is>
          <t>Mujeres</t>
        </is>
      </c>
      <c r="Q269" s="3088" t="inlineStr">
        <is>
          <t>Hombres</t>
        </is>
      </c>
      <c r="R269" s="8525" t="inlineStr">
        <is>
          <t>Mujeres</t>
        </is>
      </c>
      <c r="S269" s="3088" t="inlineStr">
        <is>
          <t>Hombres</t>
        </is>
      </c>
      <c r="T269" s="8525" t="inlineStr">
        <is>
          <t>Mujeres</t>
        </is>
      </c>
      <c r="U269" s="3088" t="inlineStr">
        <is>
          <t>Hombres</t>
        </is>
      </c>
      <c r="V269" s="8525" t="inlineStr">
        <is>
          <t>Mujeres</t>
        </is>
      </c>
      <c r="W269" s="3088" t="inlineStr">
        <is>
          <t>Hombres</t>
        </is>
      </c>
      <c r="X269" s="8525" t="inlineStr">
        <is>
          <t>Mujeres</t>
        </is>
      </c>
      <c r="Y269" s="3088" t="inlineStr">
        <is>
          <t>Hombres</t>
        </is>
      </c>
      <c r="Z269" s="8525" t="inlineStr">
        <is>
          <t>Mujeres</t>
        </is>
      </c>
      <c r="AA269" s="3088" t="inlineStr">
        <is>
          <t>Hombres</t>
        </is>
      </c>
      <c r="AB269" s="8525" t="inlineStr">
        <is>
          <t>Mujeres</t>
        </is>
      </c>
      <c r="AC269" s="3088" t="inlineStr">
        <is>
          <t>Hombres</t>
        </is>
      </c>
      <c r="AD269" s="8525" t="inlineStr">
        <is>
          <t>Mujeres</t>
        </is>
      </c>
      <c r="AE269" s="3088" t="inlineStr">
        <is>
          <t>Hombres</t>
        </is>
      </c>
      <c r="AF269" s="8525" t="inlineStr">
        <is>
          <t>Mujeres</t>
        </is>
      </c>
      <c r="AG269" s="3088" t="inlineStr">
        <is>
          <t>Hombres</t>
        </is>
      </c>
      <c r="AH269" s="8525" t="inlineStr">
        <is>
          <t>Mujeres</t>
        </is>
      </c>
      <c r="AI269" s="3088" t="inlineStr">
        <is>
          <t>Hombres</t>
        </is>
      </c>
      <c r="AJ269" s="8519" t="inlineStr">
        <is>
          <t>Mujeres</t>
        </is>
      </c>
      <c r="AK269" s="10170" t="n"/>
      <c r="AL269" s="9611" t="n"/>
    </row>
    <row r="270" ht="22.5" customHeight="1" s="8286">
      <c r="A270" s="3192" t="inlineStr">
        <is>
          <t>Control de las personas con Chagas crónico en Atencion Primaria de Salud</t>
        </is>
      </c>
      <c r="B270" s="3201">
        <f>SUM(C270:D270)</f>
        <v/>
      </c>
      <c r="C270" s="3202">
        <f>+E270+G270+I270+K270+M270+O270+Q270+S270+U270+W270+Y270+AA270+AC270+AE270+AG270+AI270</f>
        <v/>
      </c>
      <c r="D270" s="3195">
        <f>+F270+H270+J270+L270+N270+P270+R270+T270+V270+X270+Z270+AB270+AD270+AF270+AH270+AJ270</f>
        <v/>
      </c>
      <c r="E270" s="3196" t="n"/>
      <c r="F270" s="3079" t="n"/>
      <c r="G270" s="3196" t="n"/>
      <c r="H270" s="3079" t="n"/>
      <c r="I270" s="3196" t="n"/>
      <c r="J270" s="3079" t="n"/>
      <c r="K270" s="3196" t="n"/>
      <c r="L270" s="3079" t="n"/>
      <c r="M270" s="3196" t="n"/>
      <c r="N270" s="3079" t="n"/>
      <c r="O270" s="3196" t="n"/>
      <c r="P270" s="3079" t="n"/>
      <c r="Q270" s="3196" t="n"/>
      <c r="R270" s="3079" t="n"/>
      <c r="S270" s="3196" t="n"/>
      <c r="T270" s="3079" t="n"/>
      <c r="U270" s="3196" t="n"/>
      <c r="V270" s="3079" t="n"/>
      <c r="W270" s="3196" t="n"/>
      <c r="X270" s="3079" t="n"/>
      <c r="Y270" s="3196" t="n"/>
      <c r="Z270" s="3079" t="n"/>
      <c r="AA270" s="3196" t="n"/>
      <c r="AB270" s="3079" t="n"/>
      <c r="AC270" s="3196" t="n"/>
      <c r="AD270" s="3079" t="n"/>
      <c r="AE270" s="3196" t="n"/>
      <c r="AF270" s="3079" t="n"/>
      <c r="AG270" s="3196" t="n"/>
      <c r="AH270" s="3079" t="n"/>
      <c r="AI270" s="3196" t="n"/>
      <c r="AJ270" s="1929" t="n"/>
      <c r="AK270" s="4073" t="n"/>
      <c r="AL270" s="3788" t="n"/>
      <c r="CA270" s="377" t="n"/>
      <c r="DF270" s="222" t="n"/>
      <c r="DG270" s="222" t="n"/>
    </row>
    <row r="271" ht="22.5" customHeight="1" s="8286">
      <c r="A271" s="3203" t="inlineStr">
        <is>
          <t>Estudio de  contactos familiares de un caso por Infección por T Cruzi</t>
        </is>
      </c>
      <c r="B271" s="3204">
        <f>SUM(C271:D271)</f>
        <v/>
      </c>
      <c r="C271" s="3205">
        <f>+E271+G271+I271+K271+M271+O271+Q271+S271+U271+W271+Y271+AA271+AC271+AE271+AG271+AI271</f>
        <v/>
      </c>
      <c r="D271" s="1171">
        <f>+F271+H271+J271+L271+N271+P271+R271+T271+V271+X271+Z271+AB271+AD271+AF271+AH271+AJ271</f>
        <v/>
      </c>
      <c r="E271" s="3196" t="n"/>
      <c r="F271" s="3079" t="n"/>
      <c r="G271" s="3196" t="n"/>
      <c r="H271" s="3079" t="n"/>
      <c r="I271" s="3196" t="n"/>
      <c r="J271" s="3079" t="n"/>
      <c r="K271" s="3196" t="n"/>
      <c r="L271" s="3079" t="n"/>
      <c r="M271" s="3196" t="n"/>
      <c r="N271" s="3079" t="n"/>
      <c r="O271" s="3196" t="n"/>
      <c r="P271" s="3079" t="n"/>
      <c r="Q271" s="3196" t="n"/>
      <c r="R271" s="3079" t="n"/>
      <c r="S271" s="3196" t="n"/>
      <c r="T271" s="3079" t="n"/>
      <c r="U271" s="3196" t="n"/>
      <c r="V271" s="3079" t="n"/>
      <c r="W271" s="3196" t="n"/>
      <c r="X271" s="3079" t="n"/>
      <c r="Y271" s="3196" t="n"/>
      <c r="Z271" s="3079" t="n"/>
      <c r="AA271" s="3196" t="n"/>
      <c r="AB271" s="3079" t="n"/>
      <c r="AC271" s="3196" t="n"/>
      <c r="AD271" s="3079" t="n"/>
      <c r="AE271" s="3196" t="n"/>
      <c r="AF271" s="3079" t="n"/>
      <c r="AG271" s="3196" t="n"/>
      <c r="AH271" s="3079" t="n"/>
      <c r="AI271" s="3196" t="n"/>
      <c r="AJ271" s="1929" t="n"/>
      <c r="AK271" s="4074" t="n"/>
      <c r="AL271" s="3788" t="n"/>
      <c r="AM271" s="226">
        <f>$CA271&amp;$CB271</f>
        <v/>
      </c>
      <c r="CA271" s="379">
        <f>IF(AND(B271&gt;0,AK271="")," * No olvide digitar la variable pueblos originarios. Digite Cero si no tiene.",IF(AK271&gt;B271," * La variable Pueblos originarios No puede ser mayor al Total Ambos Sexos.",""))</f>
        <v/>
      </c>
      <c r="CB271" s="379">
        <f>IF(AND(B271&gt;0,AL271="")," * No olvide digitar la variable Migrantes. Digite Cero si no tiene.",IF(AL271&gt;B271," * La variable Migrantes No puede ser mayor al Total Ambos Sexos.",""))</f>
        <v/>
      </c>
      <c r="CI271" s="226" t="n"/>
      <c r="CJ271" s="226" t="n"/>
      <c r="CK271" s="226" t="n"/>
      <c r="DF271" s="221">
        <f>IF(AND(B271&gt;0,AK271=""),1,IF(AK271&gt;B271,1,0))</f>
        <v/>
      </c>
      <c r="DG271" s="221">
        <f>IF(AND(B271&gt;0,AL271=""),1,IF(AL271&gt;B271,1,0))</f>
        <v/>
      </c>
    </row>
    <row r="272" ht="22.5" customHeight="1" s="8286">
      <c r="A272" s="1423" t="inlineStr">
        <is>
          <t>Casos contactos familiares confirmados por Infección por T cruzi</t>
        </is>
      </c>
      <c r="B272" s="3206">
        <f>SUM(C272:D272)</f>
        <v/>
      </c>
      <c r="C272" s="3207">
        <f>+E272+G272+I272+K272+M272+O272+Q272+S272+U272+W272+Y272+AA272+AC272+AE272+AG272+AI272</f>
        <v/>
      </c>
      <c r="D272" s="2464">
        <f>+F272+H272+J272+L272+N272+P272+R272+T272+V272+X272+Z272+AB272+AD272+AF272+AH272+AJ272</f>
        <v/>
      </c>
      <c r="E272" s="2644" t="n"/>
      <c r="F272" s="183" t="n"/>
      <c r="G272" s="2644" t="n"/>
      <c r="H272" s="183" t="n"/>
      <c r="I272" s="2644" t="n"/>
      <c r="J272" s="183" t="n"/>
      <c r="K272" s="2644" t="n"/>
      <c r="L272" s="183" t="n"/>
      <c r="M272" s="2644" t="n"/>
      <c r="N272" s="183" t="n"/>
      <c r="O272" s="2644" t="n"/>
      <c r="P272" s="183" t="n"/>
      <c r="Q272" s="2644" t="n"/>
      <c r="R272" s="183" t="n"/>
      <c r="S272" s="2644" t="n"/>
      <c r="T272" s="183" t="n"/>
      <c r="U272" s="2644" t="n"/>
      <c r="V272" s="183" t="n"/>
      <c r="W272" s="2644" t="n"/>
      <c r="X272" s="183" t="n"/>
      <c r="Y272" s="2644" t="n"/>
      <c r="Z272" s="183" t="n"/>
      <c r="AA272" s="2644" t="n"/>
      <c r="AB272" s="183" t="n"/>
      <c r="AC272" s="2644" t="n"/>
      <c r="AD272" s="183" t="n"/>
      <c r="AE272" s="2644" t="n"/>
      <c r="AF272" s="183" t="n"/>
      <c r="AG272" s="2644" t="n"/>
      <c r="AH272" s="183" t="n"/>
      <c r="AI272" s="2644" t="n"/>
      <c r="AJ272" s="176" t="n"/>
      <c r="AK272" s="457" t="n"/>
      <c r="AL272" s="5420" t="n"/>
      <c r="AM272" s="226">
        <f>$CA272&amp;$CB272</f>
        <v/>
      </c>
      <c r="CA272" s="379">
        <f>IF(AND(B272&gt;0,AK272="")," * No olvide digitar la variable pueblos originarios. Digite Cero si no tiene.",IF(AK272&gt;B272," * La variable Pueblos originarios No puede ser mayor al Total Ambos Sexos.",""))</f>
        <v/>
      </c>
      <c r="CB272" s="379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/>
      </c>
      <c r="DG272" s="221">
        <f>IF(AND(B272&gt;0,AL272=""),1,IF(AL272&gt;B272,1,0))</f>
        <v/>
      </c>
    </row>
    <row r="311" hidden="1" s="8286">
      <c r="A311" s="68">
        <f>SUM(B13:C30,B35:C52,B57:C74,B79:C96,B101:C118,B123:C140,C144:P148,C152:P156,C161:D183,C188:D210,B215:C221,B226:C232,C237:D259,B264:D265,B270:D272)</f>
        <v/>
      </c>
      <c r="B311" s="68">
        <f>SUM(DF13:EC272)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/FkAxzojoh3HoPbnKZ4O5w==" formatRows="1" sort="1" spinCount="100000" hashValue="Y7l/w4nDD3TgDuwFATynYzDzQ75PSQkMYnZoDdZCL0YKdUmiQ75Dd/7c63Wnq2WOXfX0jHZydCBMrLfHXYfyQQ=="/>
  <mergeCells count="421">
    <mergeCell ref="A191:B191"/>
    <mergeCell ref="AP121:AQ121"/>
    <mergeCell ref="Q235:R235"/>
    <mergeCell ref="AJ121:AK121"/>
    <mergeCell ref="A178:B178"/>
    <mergeCell ref="AH213:AI213"/>
    <mergeCell ref="AJ213:AK213"/>
    <mergeCell ref="AL77:AM77"/>
    <mergeCell ref="E185:AJ185"/>
    <mergeCell ref="N77:O77"/>
    <mergeCell ref="AM186:AN186"/>
    <mergeCell ref="AO186:AP186"/>
    <mergeCell ref="M268:N268"/>
    <mergeCell ref="A204:B204"/>
    <mergeCell ref="F121:G121"/>
    <mergeCell ref="A234:B236"/>
    <mergeCell ref="A206:B206"/>
    <mergeCell ref="AT32:AU33"/>
    <mergeCell ref="A223:A225"/>
    <mergeCell ref="P224:Q224"/>
    <mergeCell ref="O150:P150"/>
    <mergeCell ref="B98:C99"/>
    <mergeCell ref="T33:U33"/>
    <mergeCell ref="V33:W33"/>
    <mergeCell ref="L121:M121"/>
    <mergeCell ref="N121:O121"/>
    <mergeCell ref="AB99:AC99"/>
    <mergeCell ref="L213:M213"/>
    <mergeCell ref="AD99:AE99"/>
    <mergeCell ref="A170:A172"/>
    <mergeCell ref="V99:W99"/>
    <mergeCell ref="A192:B192"/>
    <mergeCell ref="P77:Q77"/>
    <mergeCell ref="AG268:AH268"/>
    <mergeCell ref="AC235:AD235"/>
    <mergeCell ref="H11:I11"/>
    <mergeCell ref="AI268:AJ268"/>
    <mergeCell ref="J11:K11"/>
    <mergeCell ref="Q186:R186"/>
    <mergeCell ref="AL213:AL214"/>
    <mergeCell ref="A194:B194"/>
    <mergeCell ref="A181:B181"/>
    <mergeCell ref="Z224:AA224"/>
    <mergeCell ref="R224:S224"/>
    <mergeCell ref="T224:U224"/>
    <mergeCell ref="AO185:AR185"/>
    <mergeCell ref="AS33:AS34"/>
    <mergeCell ref="E267:AJ267"/>
    <mergeCell ref="A207:B207"/>
    <mergeCell ref="V121:W121"/>
    <mergeCell ref="A205:B205"/>
    <mergeCell ref="D223:AK223"/>
    <mergeCell ref="S262:T262"/>
    <mergeCell ref="K262:L262"/>
    <mergeCell ref="U262:V262"/>
    <mergeCell ref="M262:N262"/>
    <mergeCell ref="C150:E150"/>
    <mergeCell ref="AH224:AI224"/>
    <mergeCell ref="AV54:AV56"/>
    <mergeCell ref="AR10:AS10"/>
    <mergeCell ref="S186:T186"/>
    <mergeCell ref="AK234:AN234"/>
    <mergeCell ref="U186:V186"/>
    <mergeCell ref="AO224:AO225"/>
    <mergeCell ref="AJ77:AK77"/>
    <mergeCell ref="AJ33:AK33"/>
    <mergeCell ref="AB11:AC11"/>
    <mergeCell ref="AL33:AM33"/>
    <mergeCell ref="AD11:AE11"/>
    <mergeCell ref="AI159:AJ159"/>
    <mergeCell ref="AW185:AX186"/>
    <mergeCell ref="AK159:AL159"/>
    <mergeCell ref="K268:L268"/>
    <mergeCell ref="A200:B200"/>
    <mergeCell ref="AV120:AV122"/>
    <mergeCell ref="D55:E55"/>
    <mergeCell ref="A120:A122"/>
    <mergeCell ref="A156:B156"/>
    <mergeCell ref="AA235:AB235"/>
    <mergeCell ref="A149:P149"/>
    <mergeCell ref="A202:B202"/>
    <mergeCell ref="AS158:AT159"/>
    <mergeCell ref="AU158:AV159"/>
    <mergeCell ref="V55:W55"/>
    <mergeCell ref="X77:Y77"/>
    <mergeCell ref="Z77:AA77"/>
    <mergeCell ref="R11:S11"/>
    <mergeCell ref="AW10:AW12"/>
    <mergeCell ref="AK267:AK269"/>
    <mergeCell ref="AJ224:AK224"/>
    <mergeCell ref="AB224:AC224"/>
    <mergeCell ref="A10:A12"/>
    <mergeCell ref="AS99:AS100"/>
    <mergeCell ref="AU234:AV235"/>
    <mergeCell ref="B54:C55"/>
    <mergeCell ref="J55:K55"/>
    <mergeCell ref="L55:M55"/>
    <mergeCell ref="AQ212:AQ214"/>
    <mergeCell ref="AF121:AG121"/>
    <mergeCell ref="G235:H235"/>
    <mergeCell ref="I235:J235"/>
    <mergeCell ref="D224:E224"/>
    <mergeCell ref="AR33:AR34"/>
    <mergeCell ref="A144:B144"/>
    <mergeCell ref="A184:H184"/>
    <mergeCell ref="A152:B152"/>
    <mergeCell ref="M159:N159"/>
    <mergeCell ref="H33:I33"/>
    <mergeCell ref="AR76:AS76"/>
    <mergeCell ref="E159:F159"/>
    <mergeCell ref="O159:P159"/>
    <mergeCell ref="J33:K33"/>
    <mergeCell ref="AL267:AL269"/>
    <mergeCell ref="G159:H159"/>
    <mergeCell ref="T213:U213"/>
    <mergeCell ref="V213:W213"/>
    <mergeCell ref="AK158:AN158"/>
    <mergeCell ref="AP223:AP225"/>
    <mergeCell ref="AN99:AO99"/>
    <mergeCell ref="O235:P235"/>
    <mergeCell ref="D77:E77"/>
    <mergeCell ref="AA186:AB186"/>
    <mergeCell ref="AW120:AW122"/>
    <mergeCell ref="A163:B163"/>
    <mergeCell ref="F224:G224"/>
    <mergeCell ref="AF55:AG55"/>
    <mergeCell ref="B120:C121"/>
    <mergeCell ref="T99:U99"/>
    <mergeCell ref="AA262:AB262"/>
    <mergeCell ref="AW54:AW56"/>
    <mergeCell ref="I150:K150"/>
    <mergeCell ref="W235:X235"/>
    <mergeCell ref="AC186:AD186"/>
    <mergeCell ref="J99:K99"/>
    <mergeCell ref="V77:W77"/>
    <mergeCell ref="P11:Q11"/>
    <mergeCell ref="U159:V159"/>
    <mergeCell ref="U268:V268"/>
    <mergeCell ref="W159:X159"/>
    <mergeCell ref="W268:X268"/>
    <mergeCell ref="Y159:Z159"/>
    <mergeCell ref="AH55:AI55"/>
    <mergeCell ref="E186:F186"/>
    <mergeCell ref="AW32:AW34"/>
    <mergeCell ref="AL121:AM121"/>
    <mergeCell ref="AN121:AO121"/>
    <mergeCell ref="AD213:AE213"/>
    <mergeCell ref="AF213:AG213"/>
    <mergeCell ref="AS234:AT235"/>
    <mergeCell ref="A197:A199"/>
    <mergeCell ref="B223:C224"/>
    <mergeCell ref="AS121:AS122"/>
    <mergeCell ref="A165:B165"/>
    <mergeCell ref="C234:D235"/>
    <mergeCell ref="AI186:AJ186"/>
    <mergeCell ref="AK186:AL186"/>
    <mergeCell ref="A173:B173"/>
    <mergeCell ref="AR32:AS32"/>
    <mergeCell ref="A166:B166"/>
    <mergeCell ref="AD33:AE33"/>
    <mergeCell ref="A168:B168"/>
    <mergeCell ref="AR98:AS98"/>
    <mergeCell ref="T121:U121"/>
    <mergeCell ref="A237:A255"/>
    <mergeCell ref="N224:O224"/>
    <mergeCell ref="AT98:AU99"/>
    <mergeCell ref="G186:H186"/>
    <mergeCell ref="A158:B160"/>
    <mergeCell ref="AQ159:AR159"/>
    <mergeCell ref="AL223:AM223"/>
    <mergeCell ref="AN223:AO223"/>
    <mergeCell ref="J121:K121"/>
    <mergeCell ref="H213:I213"/>
    <mergeCell ref="J213:K213"/>
    <mergeCell ref="L77:M77"/>
    <mergeCell ref="A145:A147"/>
    <mergeCell ref="AV10:AV12"/>
    <mergeCell ref="Y235:Z235"/>
    <mergeCell ref="AC268:AD268"/>
    <mergeCell ref="F11:G11"/>
    <mergeCell ref="M186:N186"/>
    <mergeCell ref="O186:P186"/>
    <mergeCell ref="A76:A78"/>
    <mergeCell ref="AN55:AO55"/>
    <mergeCell ref="AP55:AQ55"/>
    <mergeCell ref="A174:B174"/>
    <mergeCell ref="A189:B189"/>
    <mergeCell ref="AN224:AN225"/>
    <mergeCell ref="H99:I99"/>
    <mergeCell ref="R121:S121"/>
    <mergeCell ref="O262:P262"/>
    <mergeCell ref="Q262:R262"/>
    <mergeCell ref="I262:J262"/>
    <mergeCell ref="AG235:AH235"/>
    <mergeCell ref="AI235:AJ235"/>
    <mergeCell ref="AS55:AS56"/>
    <mergeCell ref="AP212:AP214"/>
    <mergeCell ref="AF77:AG77"/>
    <mergeCell ref="AM224:AM225"/>
    <mergeCell ref="AH77:AI77"/>
    <mergeCell ref="X11:Y11"/>
    <mergeCell ref="AF33:AG33"/>
    <mergeCell ref="AH33:AI33"/>
    <mergeCell ref="Z11:AA11"/>
    <mergeCell ref="AE159:AF159"/>
    <mergeCell ref="AE268:AF268"/>
    <mergeCell ref="AG159:AH159"/>
    <mergeCell ref="AU185:AV186"/>
    <mergeCell ref="G268:H268"/>
    <mergeCell ref="A162:B162"/>
    <mergeCell ref="AJ99:AK99"/>
    <mergeCell ref="A164:B164"/>
    <mergeCell ref="AK185:AN185"/>
    <mergeCell ref="R55:S55"/>
    <mergeCell ref="AO235:AP235"/>
    <mergeCell ref="A195:B195"/>
    <mergeCell ref="A212:A214"/>
    <mergeCell ref="A188:B188"/>
    <mergeCell ref="AF224:AG224"/>
    <mergeCell ref="A190:B190"/>
    <mergeCell ref="AR54:AS54"/>
    <mergeCell ref="P33:Q33"/>
    <mergeCell ref="R33:S33"/>
    <mergeCell ref="AB121:AC121"/>
    <mergeCell ref="K235:L235"/>
    <mergeCell ref="AD121:AE121"/>
    <mergeCell ref="E235:F235"/>
    <mergeCell ref="AL99:AM99"/>
    <mergeCell ref="AR120:AS120"/>
    <mergeCell ref="A32:A34"/>
    <mergeCell ref="J77:K77"/>
    <mergeCell ref="I142:K142"/>
    <mergeCell ref="D11:E11"/>
    <mergeCell ref="I268:J268"/>
    <mergeCell ref="A208:B208"/>
    <mergeCell ref="B76:C77"/>
    <mergeCell ref="T55:U55"/>
    <mergeCell ref="F33:G33"/>
    <mergeCell ref="AQ235:AR235"/>
    <mergeCell ref="A98:A100"/>
    <mergeCell ref="AR99:AR100"/>
    <mergeCell ref="A210:B210"/>
    <mergeCell ref="A260:AB260"/>
    <mergeCell ref="L224:M224"/>
    <mergeCell ref="P213:Q213"/>
    <mergeCell ref="R213:S213"/>
    <mergeCell ref="AR55:AR56"/>
    <mergeCell ref="AN77:AO77"/>
    <mergeCell ref="AN11:AO11"/>
    <mergeCell ref="E158:AJ158"/>
    <mergeCell ref="A203:B203"/>
    <mergeCell ref="AF11:AG11"/>
    <mergeCell ref="AP11:AQ11"/>
    <mergeCell ref="AH11:AI11"/>
    <mergeCell ref="W186:X186"/>
    <mergeCell ref="Y186:Z186"/>
    <mergeCell ref="AL224:AL225"/>
    <mergeCell ref="Z55:AA55"/>
    <mergeCell ref="AB55:AC55"/>
    <mergeCell ref="D212:AK212"/>
    <mergeCell ref="AC261:AC263"/>
    <mergeCell ref="AW76:AW78"/>
    <mergeCell ref="A150:B151"/>
    <mergeCell ref="AS77:AS78"/>
    <mergeCell ref="H121:I121"/>
    <mergeCell ref="B261:D262"/>
    <mergeCell ref="A183:B183"/>
    <mergeCell ref="E261:AB261"/>
    <mergeCell ref="P99:Q99"/>
    <mergeCell ref="R99:S99"/>
    <mergeCell ref="AO213:AO214"/>
    <mergeCell ref="A193:B193"/>
    <mergeCell ref="C158:D159"/>
    <mergeCell ref="AV32:AV34"/>
    <mergeCell ref="AS185:AT186"/>
    <mergeCell ref="D10:AQ10"/>
    <mergeCell ref="C185:D186"/>
    <mergeCell ref="U235:V235"/>
    <mergeCell ref="A6:P6"/>
    <mergeCell ref="M235:N235"/>
    <mergeCell ref="AV76:AV78"/>
    <mergeCell ref="A209:B209"/>
    <mergeCell ref="AP77:AQ77"/>
    <mergeCell ref="R77:S77"/>
    <mergeCell ref="AQ186:AR186"/>
    <mergeCell ref="D76:AQ76"/>
    <mergeCell ref="O268:P268"/>
    <mergeCell ref="L11:M11"/>
    <mergeCell ref="Q268:R268"/>
    <mergeCell ref="S159:T159"/>
    <mergeCell ref="S268:T268"/>
    <mergeCell ref="AD55:AE55"/>
    <mergeCell ref="X99:Y99"/>
    <mergeCell ref="F142:H142"/>
    <mergeCell ref="A148:B148"/>
    <mergeCell ref="A141:P141"/>
    <mergeCell ref="AB213:AC213"/>
    <mergeCell ref="E262:F262"/>
    <mergeCell ref="F55:G55"/>
    <mergeCell ref="G262:H262"/>
    <mergeCell ref="A261:A263"/>
    <mergeCell ref="B32:C33"/>
    <mergeCell ref="X33:Y33"/>
    <mergeCell ref="Z33:AA33"/>
    <mergeCell ref="A185:B187"/>
    <mergeCell ref="B267:D268"/>
    <mergeCell ref="P121:Q121"/>
    <mergeCell ref="AF99:AG99"/>
    <mergeCell ref="A161:B161"/>
    <mergeCell ref="AD261:AD263"/>
    <mergeCell ref="AH99:AI99"/>
    <mergeCell ref="D120:AQ120"/>
    <mergeCell ref="Z99:AA99"/>
    <mergeCell ref="AT54:AU55"/>
    <mergeCell ref="AR77:AR78"/>
    <mergeCell ref="T77:U77"/>
    <mergeCell ref="N11:O11"/>
    <mergeCell ref="C142:E142"/>
    <mergeCell ref="A157:H157"/>
    <mergeCell ref="H55:I55"/>
    <mergeCell ref="V224:W224"/>
    <mergeCell ref="X224:Y224"/>
    <mergeCell ref="F150:H150"/>
    <mergeCell ref="D213:E213"/>
    <mergeCell ref="F213:G213"/>
    <mergeCell ref="E234:AJ234"/>
    <mergeCell ref="D54:AQ54"/>
    <mergeCell ref="AW98:AW100"/>
    <mergeCell ref="I186:J186"/>
    <mergeCell ref="K186:L186"/>
    <mergeCell ref="AW234:AX235"/>
    <mergeCell ref="AJ55:AK55"/>
    <mergeCell ref="AL55:AM55"/>
    <mergeCell ref="A267:A269"/>
    <mergeCell ref="D33:E33"/>
    <mergeCell ref="AQ223:AQ225"/>
    <mergeCell ref="D32:AQ32"/>
    <mergeCell ref="AD224:AE224"/>
    <mergeCell ref="AR121:AR122"/>
    <mergeCell ref="A167:B167"/>
    <mergeCell ref="AO234:AR234"/>
    <mergeCell ref="L142:N142"/>
    <mergeCell ref="A182:B182"/>
    <mergeCell ref="D99:E99"/>
    <mergeCell ref="AN33:AO33"/>
    <mergeCell ref="A256:A259"/>
    <mergeCell ref="A169:B169"/>
    <mergeCell ref="F99:G99"/>
    <mergeCell ref="AP33:AQ33"/>
    <mergeCell ref="AM159:AN159"/>
    <mergeCell ref="AO159:AP159"/>
    <mergeCell ref="AE235:AF235"/>
    <mergeCell ref="A177:B177"/>
    <mergeCell ref="AC159:AD159"/>
    <mergeCell ref="X213:Y213"/>
    <mergeCell ref="AW158:AX159"/>
    <mergeCell ref="A179:B179"/>
    <mergeCell ref="AB77:AC77"/>
    <mergeCell ref="AD77:AE77"/>
    <mergeCell ref="T11:U11"/>
    <mergeCell ref="A153:A155"/>
    <mergeCell ref="V11:W11"/>
    <mergeCell ref="AA268:AB268"/>
    <mergeCell ref="A54:A56"/>
    <mergeCell ref="A180:B180"/>
    <mergeCell ref="AR11:AR12"/>
    <mergeCell ref="L150:N150"/>
    <mergeCell ref="N55:O55"/>
    <mergeCell ref="P55:Q55"/>
    <mergeCell ref="AK235:AL235"/>
    <mergeCell ref="AM235:AN235"/>
    <mergeCell ref="B10:C11"/>
    <mergeCell ref="AN213:AN214"/>
    <mergeCell ref="AV98:AV100"/>
    <mergeCell ref="AL212:AM212"/>
    <mergeCell ref="Q159:R159"/>
    <mergeCell ref="D98:AQ98"/>
    <mergeCell ref="AN212:AO212"/>
    <mergeCell ref="B212:C213"/>
    <mergeCell ref="I159:J159"/>
    <mergeCell ref="L33:M33"/>
    <mergeCell ref="K159:L159"/>
    <mergeCell ref="N33:O33"/>
    <mergeCell ref="A142:B143"/>
    <mergeCell ref="AH121:AI121"/>
    <mergeCell ref="X121:Y121"/>
    <mergeCell ref="Z121:AA121"/>
    <mergeCell ref="A175:B175"/>
    <mergeCell ref="AP99:AQ99"/>
    <mergeCell ref="Z213:AA213"/>
    <mergeCell ref="AO158:AR158"/>
    <mergeCell ref="AT76:AU77"/>
    <mergeCell ref="F77:G77"/>
    <mergeCell ref="S235:T235"/>
    <mergeCell ref="H77:I77"/>
    <mergeCell ref="AE186:AF186"/>
    <mergeCell ref="E268:F268"/>
    <mergeCell ref="H224:I224"/>
    <mergeCell ref="A201:B201"/>
    <mergeCell ref="N213:O213"/>
    <mergeCell ref="J224:K224"/>
    <mergeCell ref="AJ11:AK11"/>
    <mergeCell ref="AL11:AM11"/>
    <mergeCell ref="AS11:AS12"/>
    <mergeCell ref="A196:B196"/>
    <mergeCell ref="W262:X262"/>
    <mergeCell ref="X55:Y55"/>
    <mergeCell ref="Y262:Z262"/>
    <mergeCell ref="O142:P142"/>
    <mergeCell ref="AG186:AH186"/>
    <mergeCell ref="AT120:AU121"/>
    <mergeCell ref="D121:E121"/>
    <mergeCell ref="AA159:AB159"/>
    <mergeCell ref="L99:M99"/>
    <mergeCell ref="N99:O99"/>
    <mergeCell ref="AM213:AM214"/>
    <mergeCell ref="A266:AJ266"/>
    <mergeCell ref="AB33:AC33"/>
    <mergeCell ref="Y268:Z268"/>
    <mergeCell ref="A176:B176"/>
    <mergeCell ref="AT10:AU11"/>
  </mergeCells>
  <dataValidations count="8">
    <dataValidation sqref="C144:P148 C152:P156 E264:AD265" showDropDown="0" showInputMessage="1" showErrorMessage="1" allowBlank="0" type="whole" operator="greaterThanOrEqual">
      <formula1>0</formula1>
    </dataValidation>
    <dataValidation sqref="D13:AW30 D215:AQ221 E188:AX210" showDropDown="0" showInputMessage="1" showErrorMessage="1" allowBlank="0" type="whole">
      <formula1>0</formula1>
      <formula2>9.99999999999999E+38</formula2>
    </dataValidation>
    <dataValidation sqref="D35:AW52 D123:AW140" showDropDown="0" showInputMessage="1" showErrorMessage="1" allowBlank="0" type="whole">
      <formula1>0</formula1>
      <formula2>9.99999999999999E+40</formula2>
    </dataValidation>
    <dataValidation sqref="D57:AW74" showDropDown="0" showInputMessage="1" showErrorMessage="1" allowBlank="0" type="whole">
      <formula1>0</formula1>
      <formula2>9.99999999999999E+39</formula2>
    </dataValidation>
    <dataValidation sqref="D101:AW118 D226:AQ232 E161:AX183" showDropDown="0" showInputMessage="1" showErrorMessage="1" allowBlank="0" type="whole">
      <formula1>0</formula1>
      <formula2>9.99999999999999E+36</formula2>
    </dataValidation>
    <dataValidation sqref="D79:AW96" showDropDown="0" showInputMessage="1" showErrorMessage="1" allowBlank="0" type="whole">
      <formula1>0</formula1>
      <formula2>9.99999999999999E+44</formula2>
    </dataValidation>
    <dataValidation sqref="E237:AX259" showDropDown="0" showInputMessage="1" showErrorMessage="1" allowBlank="0" type="whole">
      <formula1>0</formula1>
      <formula2>9.99999999999999E+35</formula2>
    </dataValidation>
    <dataValidation sqref="E270:AL272" showDropDown="0" showInputMessage="1" showErrorMessage="1" allowBlank="0" type="whole">
      <formula1>0</formula1>
      <formula2>9.99999999999999E+41</formula2>
    </dataValidation>
  </dataValidations>
  <pageMargins left="0.7" right="0.7" top="0.75" bottom="0.75" header="0.3" footer="0.3"/>
  <pageSetup orientation="portrait" paperSize="9"/>
</worksheet>
</file>

<file path=xl/worksheets/sheet12.xml><?xml version="1.0" encoding="utf-8"?>
<worksheet xmlns="http://schemas.openxmlformats.org/spreadsheetml/2006/main">
  <sheetPr codeName="Hoja12">
    <outlinePr summaryBelow="1" summaryRight="1"/>
    <pageSetUpPr/>
  </sheetPr>
  <dimension ref="A1:CH150"/>
  <sheetViews>
    <sheetView showGridLines="0" zoomScaleNormal="100" workbookViewId="0">
      <selection activeCell="I18" sqref="I18"/>
    </sheetView>
  </sheetViews>
  <sheetFormatPr baseColWidth="10" defaultColWidth="11.42578125" defaultRowHeight="15"/>
  <cols>
    <col width="60.140625" customWidth="1" style="8286" min="1" max="1"/>
    <col width="12" customWidth="1" style="8286" min="2" max="2"/>
    <col width="12.7109375" customWidth="1" style="8286" min="3" max="3"/>
    <col width="11.42578125" customWidth="1" style="8286" min="78" max="78"/>
    <col hidden="1" width="11.42578125" customWidth="1" style="8286" min="79" max="86"/>
    <col width="11.42578125" customWidth="1" style="8286" min="87" max="95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25">
        <f>CONCATENATE("AÑO: ",NOMBRE!B7)</f>
        <v/>
      </c>
    </row>
    <row r="6" ht="18" customHeight="1" s="8286">
      <c r="A6" s="7256" t="inlineStr">
        <is>
          <t>REM-A11a. TRANSMISIÓN VERTICAL MATERNO INFANTIL</t>
        </is>
      </c>
    </row>
    <row r="8" ht="18" customHeight="1" s="8286">
      <c r="A8" s="10328" t="inlineStr">
        <is>
          <t>SECCION A: TRATAMIENTO DE SÍFILIS EN GESTANTES</t>
        </is>
      </c>
      <c r="B8" s="9591" t="n"/>
      <c r="C8" s="9591" t="n"/>
      <c r="D8" s="9591" t="n"/>
      <c r="E8" s="9591" t="n"/>
      <c r="F8" s="9591" t="n"/>
      <c r="G8" s="9591" t="n"/>
      <c r="H8" s="9591" t="n"/>
      <c r="I8" s="9591" t="n"/>
      <c r="J8" s="9591" t="n"/>
      <c r="K8" s="9591" t="n"/>
      <c r="L8" s="3208" t="n"/>
      <c r="M8" s="3208" t="n"/>
    </row>
    <row r="9">
      <c r="A9" s="10329" t="n"/>
      <c r="B9" s="10310" t="inlineStr">
        <is>
          <t>TOTAL</t>
        </is>
      </c>
      <c r="C9" s="10317" t="inlineStr">
        <is>
          <t xml:space="preserve">RANGO ETARIO </t>
        </is>
      </c>
      <c r="D9" s="9584" t="n"/>
      <c r="E9" s="9584" t="n"/>
      <c r="F9" s="9584" t="n"/>
      <c r="G9" s="9584" t="n"/>
      <c r="H9" s="9584" t="n"/>
      <c r="I9" s="9584" t="n"/>
      <c r="J9" s="9584" t="n"/>
      <c r="K9" s="9595" t="n"/>
      <c r="L9" s="10330" t="inlineStr">
        <is>
          <t>Pueblos Originarios</t>
        </is>
      </c>
      <c r="M9" s="10326" t="inlineStr">
        <is>
          <t>Migrantes</t>
        </is>
      </c>
    </row>
    <row r="10">
      <c r="A10" s="9589" t="n"/>
      <c r="B10" s="9589" t="n"/>
      <c r="C10" s="3210" t="inlineStr">
        <is>
          <t>10 - 14 años</t>
        </is>
      </c>
      <c r="D10" s="3211" t="inlineStr">
        <is>
          <t>15 - 19 años</t>
        </is>
      </c>
      <c r="E10" s="3211" t="inlineStr">
        <is>
          <t>20 - 24 años</t>
        </is>
      </c>
      <c r="F10" s="3211" t="inlineStr">
        <is>
          <t>25 - 29 años</t>
        </is>
      </c>
      <c r="G10" s="3211" t="inlineStr">
        <is>
          <t>30 - 34 años</t>
        </is>
      </c>
      <c r="H10" s="3211" t="inlineStr">
        <is>
          <t>35 - 39 años</t>
        </is>
      </c>
      <c r="I10" s="3211" t="inlineStr">
        <is>
          <t>40 - 44 años</t>
        </is>
      </c>
      <c r="J10" s="3211" t="inlineStr">
        <is>
          <t>45 - 49 años</t>
        </is>
      </c>
      <c r="K10" s="8582" t="inlineStr">
        <is>
          <t>50 - 54 años</t>
        </is>
      </c>
      <c r="L10" s="9890" t="n"/>
      <c r="M10" s="9610" t="n"/>
    </row>
    <row r="11" ht="18" customHeight="1" s="8286">
      <c r="A11" s="3212" t="inlineStr">
        <is>
          <t>TRATAMIENTO DE SÍFILIS EN GESTANTES EN ATENCIÓN PRIMARIA</t>
        </is>
      </c>
      <c r="B11" s="3213" t="n"/>
      <c r="C11" s="3214" t="n"/>
      <c r="D11" s="3214" t="n"/>
      <c r="E11" s="3214" t="n"/>
      <c r="F11" s="3214" t="n"/>
      <c r="G11" s="3214" t="n"/>
      <c r="H11" s="3214" t="n"/>
      <c r="I11" s="3214" t="n"/>
      <c r="J11" s="3214" t="n"/>
      <c r="K11" s="3215" t="n"/>
      <c r="L11" s="5423" t="n"/>
      <c r="M11" s="5426" t="n"/>
    </row>
    <row r="12" ht="22.5" customHeight="1" s="8286">
      <c r="A12" s="3216" t="inlineStr">
        <is>
          <t>Gestantes con 1° test no treponémico reactivo en este embarazo con  penicilina administrada en Atención Primaria</t>
        </is>
      </c>
      <c r="B12" s="3217">
        <f>SUM(C12:K12)</f>
        <v/>
      </c>
      <c r="C12" s="3128" t="n"/>
      <c r="D12" s="841" t="n"/>
      <c r="E12" s="841" t="n"/>
      <c r="F12" s="841" t="n"/>
      <c r="G12" s="841" t="n"/>
      <c r="H12" s="841" t="n"/>
      <c r="I12" s="841" t="n"/>
      <c r="J12" s="841" t="n"/>
      <c r="K12" s="3157" t="n"/>
      <c r="L12" s="5284" t="n"/>
      <c r="M12" s="5286" t="n"/>
      <c r="N12" s="226">
        <f>$CA12&amp;CB12</f>
        <v/>
      </c>
      <c r="CA12" s="379">
        <f>IF(AND(B12&gt;0,L12="")," * No olvide digitar la variable Pueblos Originarios. Digite cero si no tiene.",IF(L12&gt;B12, " * La variable Pueblos Originarios no puede ser mayor al Total.",""))</f>
        <v/>
      </c>
      <c r="CB12" s="379">
        <f>IF(AND(B12&gt;0,M12="")," * No olvide digitar la variable Migrantes. Digite cero si no tiene.",IF(M12&gt;B12, " * La variable Migrantes no puede ser mayor al Total.",""))</f>
        <v/>
      </c>
      <c r="CC12" s="226" t="n"/>
      <c r="CD12" s="226" t="n"/>
      <c r="CG12" s="221">
        <f>IF(AND(B12&gt;0,L12=""),1,IF(L12&gt;B12,1,0))</f>
        <v/>
      </c>
      <c r="CH12" s="221">
        <f>IF(AND(B12&gt;0,M12=""),1,IF(M12&gt;B12,1,0))</f>
        <v/>
      </c>
    </row>
    <row r="13">
      <c r="A13" s="3218" t="inlineStr">
        <is>
          <t>Gestantes con 1° test no treponémico reactivo en este embarazo, APS</t>
        </is>
      </c>
      <c r="B13" s="2464">
        <f>SUM(C13:K13)</f>
        <v/>
      </c>
      <c r="C13" s="2465" t="n"/>
      <c r="D13" s="224" t="n"/>
      <c r="E13" s="224" t="n"/>
      <c r="F13" s="224" t="n">
        <v>1</v>
      </c>
      <c r="G13" s="224" t="n"/>
      <c r="H13" s="224" t="n"/>
      <c r="I13" s="224" t="n"/>
      <c r="J13" s="224" t="n"/>
      <c r="K13" s="2662" t="n"/>
      <c r="L13" s="5424" t="n">
        <v>0</v>
      </c>
      <c r="M13" s="5417" t="n">
        <v>0</v>
      </c>
      <c r="N13" s="226">
        <f>$CA13&amp;CB13</f>
        <v/>
      </c>
      <c r="CA13" s="379">
        <f>IF(AND(B13&gt;0,L13="")," * No olvide digitar la variable Pueblos Originarios. Digite cero si no tiene.",IF(L13&gt;B13, " * La variable Pueblos Originarios no puede ser mayor al Total.",""))</f>
        <v/>
      </c>
      <c r="CB13" s="379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/>
      </c>
      <c r="CH13" s="221">
        <f>IF(AND(B13&gt;0,M13=""),1,IF(M13&gt;B13,1,0))</f>
        <v/>
      </c>
    </row>
    <row r="14" ht="18" customHeight="1" s="8286">
      <c r="A14" s="701" t="inlineStr">
        <is>
          <t>TRATAMIENTO DE SÍFILIS EN GESTANTES EN ESPECIALIDADES</t>
        </is>
      </c>
      <c r="B14" s="3219" t="n"/>
      <c r="C14" s="3220" t="n"/>
      <c r="D14" s="3220" t="n"/>
      <c r="E14" s="3220" t="n"/>
      <c r="F14" s="3220" t="n"/>
      <c r="G14" s="3220" t="n"/>
      <c r="H14" s="3220" t="n"/>
      <c r="I14" s="3220" t="n"/>
      <c r="J14" s="3220" t="n"/>
      <c r="K14" s="3221" t="n"/>
      <c r="L14" s="5425" t="n"/>
      <c r="M14" s="5415" t="n"/>
      <c r="N14" s="226">
        <f>$CA14&amp;CB14</f>
        <v/>
      </c>
      <c r="CA14" s="227" t="n"/>
    </row>
    <row r="15" ht="22.5" customHeight="1" s="8286">
      <c r="A15" s="3216" t="inlineStr">
        <is>
          <t>Gestantes con 1° test no treponémico reactivo en este embarazo  con penicilina administrada en especialidades</t>
        </is>
      </c>
      <c r="B15" s="3095">
        <f>SUM(C15:K15)</f>
        <v/>
      </c>
      <c r="C15" s="3128" t="n"/>
      <c r="D15" s="841" t="n"/>
      <c r="E15" s="841" t="n"/>
      <c r="F15" s="841" t="n"/>
      <c r="G15" s="841" t="n"/>
      <c r="H15" s="841" t="n"/>
      <c r="I15" s="841" t="n"/>
      <c r="J15" s="841" t="n"/>
      <c r="K15" s="3157" t="n"/>
      <c r="L15" s="5284" t="n"/>
      <c r="M15" s="5286" t="n"/>
      <c r="N15" s="226">
        <f>$CA15&amp;CB15</f>
        <v/>
      </c>
      <c r="CA15" s="379">
        <f>IF(AND(B15&gt;0,L15="")," * No olvide digitar la variable Pueblos Originarios. Digite cero si no tiene.",IF(L15&gt;B15, " * La variable Pueblos Originarios no puede ser mayor al Total.",""))</f>
        <v/>
      </c>
      <c r="CB15" s="379">
        <f>IF(AND(B15&gt;0,M15="")," * No olvide digitar la variable Migrantes. Digite cero si no tiene.",IF(M15&gt;B15, " * La variable Migrantes no puede ser mayor al Total.",""))</f>
        <v/>
      </c>
      <c r="CG15" s="221">
        <f>IF(AND(B15&gt;0,L15=""),1,IF(L15&gt;B15,1,0))</f>
        <v/>
      </c>
      <c r="CH15" s="221">
        <f>IF(AND(B15&gt;0,M15=""),1,IF(M15&gt;B15,1,0))</f>
        <v/>
      </c>
    </row>
    <row r="16" ht="22.5" customHeight="1" s="8286">
      <c r="A16" s="3218" t="inlineStr">
        <is>
          <t>Gestantes con 1° test no treponémico reactivo en este embarazo, Especialidad</t>
        </is>
      </c>
      <c r="B16" s="2464">
        <f>SUM(C16:K16)</f>
        <v/>
      </c>
      <c r="C16" s="2465" t="n"/>
      <c r="D16" s="224" t="n"/>
      <c r="E16" s="224" t="n"/>
      <c r="F16" s="224" t="n"/>
      <c r="G16" s="224" t="n"/>
      <c r="H16" s="224" t="n"/>
      <c r="I16" s="224" t="n"/>
      <c r="J16" s="224" t="n"/>
      <c r="K16" s="2662" t="n"/>
      <c r="L16" s="5424" t="n"/>
      <c r="M16" s="5417" t="n"/>
      <c r="N16" s="226">
        <f>$CA16&amp;CB16</f>
        <v/>
      </c>
      <c r="CA16" s="379">
        <f>IF(AND(B16&gt;0,L16="")," * No olvide digitar la variable Pueblos Originarios. Digite cero si no tiene.",IF(L16&gt;B16, " * La variable Pueblos Originarios no puede ser mayor al Total.",""))</f>
        <v/>
      </c>
      <c r="CB16" s="379">
        <f>IF(AND(B16&gt;0,M16="")," * No olvide digitar la variable Migrantes. Digite cero si no tiene.",IF(M16&gt;B16, " * La variable Migrantes no puede ser mayor al Total.",""))</f>
        <v/>
      </c>
      <c r="CG16" s="221">
        <f>IF(AND(B16&gt;0,L16=""),1,IF(L16&gt;B16,1,0))</f>
        <v/>
      </c>
      <c r="CH16" s="221">
        <f>IF(AND(B16&gt;0,M16=""),1,IF(M16&gt;B16,1,0))</f>
        <v/>
      </c>
    </row>
    <row r="17" ht="18" customHeight="1" s="8286">
      <c r="A17" s="3222" t="inlineStr">
        <is>
          <t>TRATAMIENTO SÍFILIS EN GESTANTES AL MOMENTO DEL PARTO</t>
        </is>
      </c>
      <c r="B17" s="3219" t="n"/>
      <c r="C17" s="3220" t="n"/>
      <c r="D17" s="3220" t="n"/>
      <c r="E17" s="3220" t="n"/>
      <c r="F17" s="3220" t="n"/>
      <c r="G17" s="3220" t="n"/>
      <c r="H17" s="3220" t="n"/>
      <c r="I17" s="3220" t="n"/>
      <c r="J17" s="3220" t="n"/>
      <c r="K17" s="3221" t="n"/>
      <c r="L17" s="5425" t="n"/>
      <c r="M17" s="5415" t="n"/>
      <c r="N17" s="226">
        <f>$CA17&amp;CB17</f>
        <v/>
      </c>
      <c r="CA17" s="227" t="n"/>
    </row>
    <row r="18" ht="22.5" customHeight="1" s="8286">
      <c r="A18" s="2620" t="inlineStr">
        <is>
          <t>Gestantes con 1° test no treponemico reactivo en este embarazo con  penicilina administrada al parto</t>
        </is>
      </c>
      <c r="B18" s="1161">
        <f>SUM(C18:K18)</f>
        <v/>
      </c>
      <c r="C18" s="1971" t="n"/>
      <c r="D18" s="747" t="n"/>
      <c r="E18" s="747" t="n"/>
      <c r="F18" s="747" t="n"/>
      <c r="G18" s="747" t="n"/>
      <c r="H18" s="747" t="n"/>
      <c r="I18" s="747" t="n"/>
      <c r="J18" s="747" t="n"/>
      <c r="K18" s="1458" t="n"/>
      <c r="L18" s="5283" t="n"/>
      <c r="M18" s="3227" t="n"/>
      <c r="N18" s="226">
        <f>$CA18&amp;CB18</f>
        <v/>
      </c>
      <c r="CA18" s="379">
        <f>IF(AND(B18&gt;0,L18="")," * No olvide digitar la variable Pueblos Originarios. Digite cero si no tiene.",IF(L18&gt;B18, " * La variable Pueblos Originarios no puede ser mayor al Total.",""))</f>
        <v/>
      </c>
      <c r="CB18" s="379">
        <f>IF(AND(B18&gt;0,M18="")," * No olvide digitar la variable Migrantes. Digite cero si no tiene.",IF(M18&gt;B18, " * La variable Migrantes no puede ser mayor al Total.",""))</f>
        <v/>
      </c>
      <c r="CG18" s="221">
        <f>IF(AND(B18&gt;0,L18=""),1,IF(L18&gt;B18,1,0))</f>
        <v/>
      </c>
      <c r="CH18" s="221">
        <f>IF(AND(B18&gt;0,M18=""),1,IF(M18&gt;B18,1,0))</f>
        <v/>
      </c>
    </row>
    <row r="19">
      <c r="A19" s="3218" t="inlineStr">
        <is>
          <t>Gestantes con 1° test no treponémico reactivo en este embarazo</t>
        </is>
      </c>
      <c r="B19" s="2464">
        <f>SUM(C19:K19)</f>
        <v/>
      </c>
      <c r="C19" s="2465" t="n"/>
      <c r="D19" s="224" t="n"/>
      <c r="E19" s="224" t="n"/>
      <c r="F19" s="224" t="n"/>
      <c r="G19" s="224" t="n"/>
      <c r="H19" s="224" t="n"/>
      <c r="I19" s="224" t="n"/>
      <c r="J19" s="224" t="n"/>
      <c r="K19" s="2662" t="n"/>
      <c r="L19" s="5424" t="n"/>
      <c r="M19" s="5417" t="n"/>
      <c r="N19" s="226">
        <f>$CA19&amp;CB19</f>
        <v/>
      </c>
      <c r="CA19" s="379">
        <f>IF(AND(B19&gt;0,L19="")," * No olvide digitar la variable Pueblos Originarios. Digite cero si no tiene.",IF(L19&gt;B19, " * La variable Pueblos Originarios no puede ser mayor al Total.",""))</f>
        <v/>
      </c>
      <c r="CB19" s="379">
        <f>IF(AND(B19&gt;0,M19="")," * No olvide digitar la variable Migrantes. Digite cero si no tiene.",IF(M19&gt;B19, " * La variable Migrantes no puede ser mayor al Total.",""))</f>
        <v/>
      </c>
      <c r="CG19" s="221">
        <f>IF(AND(B19&gt;0,L19=""),1,IF(L19&gt;B19,1,0))</f>
        <v/>
      </c>
      <c r="CH19" s="221">
        <f>IF(AND(B19&gt;0,M19=""),1,IF(M19&gt;B19,1,0))</f>
        <v/>
      </c>
    </row>
    <row r="20" ht="18" customHeight="1" s="8286">
      <c r="A20" s="10331" t="inlineStr">
        <is>
          <t>SECCIÓN B: NIÑOS Y NIÑAS EXPUESTOS A LA SÍFILIS TRATADOS AL NACER</t>
        </is>
      </c>
      <c r="B20" s="10190" t="n"/>
      <c r="C20" s="10190" t="n"/>
      <c r="D20" s="10190" t="n"/>
      <c r="CA20" s="227" t="n"/>
    </row>
    <row r="21" ht="21" customHeight="1" s="8286">
      <c r="A21" s="3223" t="n"/>
      <c r="B21" s="8568" t="inlineStr">
        <is>
          <t>TOTAL</t>
        </is>
      </c>
      <c r="C21" s="5427" t="inlineStr">
        <is>
          <t>Pueblos Originarios</t>
        </is>
      </c>
      <c r="D21" s="9386" t="inlineStr">
        <is>
          <t>Migrantes</t>
        </is>
      </c>
      <c r="CA21" s="227" t="n"/>
    </row>
    <row r="22" ht="33" customHeight="1" s="8286">
      <c r="A22" s="2620" t="inlineStr">
        <is>
          <t>Recién nacidos/as expuestos a sífilis (hijos de mujer con serología reactiva para sífilis al parto no tratada o inadecuadamente tratada), que reciben tratamiento para sífilis congénita al nacer</t>
        </is>
      </c>
      <c r="B22" s="3225" t="n"/>
      <c r="C22" s="5284" t="n"/>
      <c r="D22" s="5286" t="n"/>
      <c r="E22" s="218">
        <f>CA22&amp;CB22</f>
        <v/>
      </c>
      <c r="CA22" s="379">
        <f>IF(AND(B22&gt;0,C22="")," * No olvide digitar la variable Pueblos Originarios. Digite cero si no tiene.",IF(C22&gt;B22, " * La variable Pueblos Originarios no puede ser mayor al Total.",""))</f>
        <v/>
      </c>
      <c r="CB22" s="379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/>
      </c>
      <c r="CH22" s="376">
        <f>IF(AND(B22&gt;0,D22=""),1,IF(D22&gt;B22,1,0))</f>
        <v/>
      </c>
    </row>
    <row r="23" ht="22.5" customHeight="1" s="8286">
      <c r="A23" s="1958" t="inlineStr">
        <is>
          <t>Recién nacidos/as expuestos a sífilis (hijos de mujer con serología reactiva para sífilis al parto  no tratada o inadecuadamente tratada)</t>
        </is>
      </c>
      <c r="B23" s="2663" t="n"/>
      <c r="C23" s="5424" t="n"/>
      <c r="D23" s="5417" t="n"/>
      <c r="E23" s="218">
        <f>CA23&amp;CB23</f>
        <v/>
      </c>
      <c r="CA23" s="379">
        <f>IF(AND(B23&gt;0,C23="")," * No olvide digitar la variable Pueblos Originarios. Digite cero si no tiene.",IF(C23&gt;B23, " * La variable Pueblos Originarios no puede ser mayor al Total.",""))</f>
        <v/>
      </c>
      <c r="CB23" s="379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/>
      </c>
      <c r="CH23" s="376">
        <f>IF(AND(B23&gt;0,D23=""),1,IF(D23&gt;B23,1,0))</f>
        <v/>
      </c>
    </row>
    <row r="24" ht="18" customHeight="1" s="8286">
      <c r="A24" s="10332" t="inlineStr">
        <is>
          <t>SECCIÓN C: ABORTOS Y DEFUNCIONES FETALES ATRIBUIDAS A SÍFILIS SEGÚN EDAD GESTACIONAL</t>
        </is>
      </c>
      <c r="B24" s="9591" t="n"/>
      <c r="C24" s="9591" t="n"/>
      <c r="D24" s="9591" t="n"/>
      <c r="E24" s="9591" t="n"/>
      <c r="F24" s="9591" t="n"/>
      <c r="G24" s="9591" t="n"/>
      <c r="H24" s="9591" t="n"/>
      <c r="I24" s="9591" t="n"/>
      <c r="J24" s="9591" t="n"/>
      <c r="K24" s="9591" t="n"/>
      <c r="CA24" s="227" t="n"/>
    </row>
    <row r="25">
      <c r="A25" s="10333" t="n"/>
      <c r="B25" s="10329" t="inlineStr">
        <is>
          <t>TOTAL</t>
        </is>
      </c>
      <c r="C25" s="10334" t="inlineStr">
        <is>
          <t xml:space="preserve">RANGO ETARIO </t>
        </is>
      </c>
      <c r="D25" s="10190" t="n"/>
      <c r="E25" s="10190" t="n"/>
      <c r="F25" s="10190" t="n"/>
      <c r="G25" s="10190" t="n"/>
      <c r="H25" s="10190" t="n"/>
      <c r="I25" s="10190" t="n"/>
      <c r="J25" s="10190" t="n"/>
      <c r="K25" s="10211" t="n"/>
      <c r="L25" s="10335" t="inlineStr">
        <is>
          <t>Pueblos Originarios</t>
        </is>
      </c>
      <c r="M25" s="10329" t="inlineStr">
        <is>
          <t>Migrantes</t>
        </is>
      </c>
      <c r="CA25" s="227" t="n"/>
    </row>
    <row r="26">
      <c r="A26" s="9589" t="n"/>
      <c r="B26" s="9589" t="n"/>
      <c r="C26" s="3226" t="inlineStr">
        <is>
          <t>10 - 14 años</t>
        </is>
      </c>
      <c r="D26" s="3211" t="inlineStr">
        <is>
          <t>15 - 19 años</t>
        </is>
      </c>
      <c r="E26" s="3211" t="inlineStr">
        <is>
          <t>20 - 24 años</t>
        </is>
      </c>
      <c r="F26" s="3211" t="inlineStr">
        <is>
          <t>25 - 29 años</t>
        </is>
      </c>
      <c r="G26" s="3211" t="inlineStr">
        <is>
          <t>30 - 34 años</t>
        </is>
      </c>
      <c r="H26" s="3211" t="inlineStr">
        <is>
          <t>35 - 39 años</t>
        </is>
      </c>
      <c r="I26" s="3211" t="inlineStr">
        <is>
          <t>40 - 44 años</t>
        </is>
      </c>
      <c r="J26" s="3211" t="inlineStr">
        <is>
          <t>45 - 49 años</t>
        </is>
      </c>
      <c r="K26" s="8582" t="inlineStr">
        <is>
          <t>50 - 54 años</t>
        </is>
      </c>
      <c r="L26" s="9641" t="n"/>
      <c r="M26" s="9589" t="n"/>
      <c r="CA26" s="227" t="n"/>
    </row>
    <row r="27" ht="22.5" customHeight="1" s="8286">
      <c r="A27" s="2620" t="inlineStr">
        <is>
          <t xml:space="preserve">Mujeres con serología reactiva para sífilis con aborto menor o igual a 19+6 semanas o menor a 500 grs </t>
        </is>
      </c>
      <c r="B27" s="3095">
        <f>SUM(C27:K27)</f>
        <v/>
      </c>
      <c r="C27" s="1971" t="n"/>
      <c r="D27" s="747" t="n"/>
      <c r="E27" s="747" t="n"/>
      <c r="F27" s="747" t="n"/>
      <c r="G27" s="747" t="n"/>
      <c r="H27" s="747" t="n"/>
      <c r="I27" s="747" t="n"/>
      <c r="J27" s="747" t="n"/>
      <c r="K27" s="1458" t="n"/>
      <c r="L27" s="1452" t="n"/>
      <c r="M27" s="3227" t="n"/>
      <c r="N27" s="218">
        <f>$CA27&amp;CB27</f>
        <v/>
      </c>
      <c r="CA27" s="379">
        <f>IF(AND(B27&gt;0,L27="")," No olvide digitar la variable Pueblos Originarios. Digite cero si no tiene.",IF(L27&gt;B27," * La variable Pueblos Originarios no puede ser mayor al Total.",""))</f>
        <v/>
      </c>
      <c r="CB27" s="379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/>
      </c>
      <c r="CH27" s="376">
        <f>IF(AND(B27&gt;0,M27=""),1,IF(M27&gt;B27,1,0))</f>
        <v/>
      </c>
    </row>
    <row r="28">
      <c r="A28" s="2620" t="inlineStr">
        <is>
          <t xml:space="preserve">Mujeres con aborto menor o igual a 19+6 semanas o menor a 500 grs </t>
        </is>
      </c>
      <c r="B28" s="1171">
        <f>SUM(C28:K28)</f>
        <v/>
      </c>
      <c r="C28" s="1971" t="n"/>
      <c r="D28" s="747" t="n"/>
      <c r="E28" s="747" t="n"/>
      <c r="F28" s="747" t="n"/>
      <c r="G28" s="747" t="n"/>
      <c r="H28" s="747" t="n"/>
      <c r="I28" s="747" t="n"/>
      <c r="J28" s="747" t="n"/>
      <c r="K28" s="1458" t="n"/>
      <c r="L28" s="1452" t="n"/>
      <c r="M28" s="3227" t="n"/>
      <c r="N28" s="218">
        <f>$CA28&amp;CB28</f>
        <v/>
      </c>
      <c r="CA28" s="379">
        <f>IF(AND(B28&gt;0,L28="")," No olvide digitar la variable Pueblos Originarios. Digite cero si no tiene.",IF(L28&gt;B28," * La variable Pueblos Originarios no puede ser mayor al Total.",""))</f>
        <v/>
      </c>
      <c r="CB28" s="379">
        <f>IF(AND(B28&gt;0,M28="")," No olvide digitar la variable Migrantes. Digite cero si no tiene.",IF(M28&gt;B28," * La variable Migrantes no puede ser mayor al Total.",""))</f>
        <v/>
      </c>
      <c r="CG28" s="376">
        <f>IF(AND(B28&gt;0,L28=""),1,IF(L28&gt;B28,1,0))</f>
        <v/>
      </c>
      <c r="CH28" s="376">
        <f>IF(AND(B28&gt;0,M28=""),1,IF(M28&gt;B28,1,0))</f>
        <v/>
      </c>
    </row>
    <row r="29" ht="22.5" customHeight="1" s="8286">
      <c r="A29" s="2620" t="inlineStr">
        <is>
          <t xml:space="preserve">Mujeres con serología reactiva para sífilis con aborto entre las 20 y las 21+6 semanas o mayor a 500 grs </t>
        </is>
      </c>
      <c r="B29" s="1171">
        <f>SUM(C29:K29)</f>
        <v/>
      </c>
      <c r="C29" s="1971" t="n"/>
      <c r="D29" s="747" t="n"/>
      <c r="E29" s="747" t="n"/>
      <c r="F29" s="747" t="n"/>
      <c r="G29" s="747" t="n"/>
      <c r="H29" s="747" t="n"/>
      <c r="I29" s="747" t="n"/>
      <c r="J29" s="747" t="n"/>
      <c r="K29" s="1458" t="n"/>
      <c r="L29" s="1452" t="n"/>
      <c r="M29" s="3227" t="n"/>
      <c r="N29" s="218">
        <f>$CA29&amp;CB29</f>
        <v/>
      </c>
      <c r="CA29" s="379">
        <f>IF(AND(B29&gt;0,L29="")," No olvide digitar la variable Pueblos Originarios. Digite cero si no tiene.",IF(L29&gt;B29," * La variable Pueblos Originarios no puede ser mayor al Total.",""))</f>
        <v/>
      </c>
      <c r="CB29" s="379">
        <f>IF(AND(B29&gt;0,M29="")," No olvide digitar la variable Migrantes. Digite cero si no tiene.",IF(M29&gt;B29," * La variable Migrantes no puede ser mayor al Total.",""))</f>
        <v/>
      </c>
      <c r="CG29" s="376">
        <f>IF(AND(B29&gt;0,L29=""),1,IF(L29&gt;B29,1,0))</f>
        <v/>
      </c>
      <c r="CH29" s="376">
        <f>IF(AND(B29&gt;0,M29=""),1,IF(M29&gt;B29,1,0))</f>
        <v/>
      </c>
    </row>
    <row r="30" ht="22.5" customHeight="1" s="8286">
      <c r="A30" s="2620" t="inlineStr">
        <is>
          <t xml:space="preserve">Mujeres con aborto entre las 20 y las 21+6 semanas o mayor a 500 grs </t>
        </is>
      </c>
      <c r="B30" s="1171">
        <f>SUM(C30:K30)</f>
        <v/>
      </c>
      <c r="C30" s="1971" t="n"/>
      <c r="D30" s="747" t="n"/>
      <c r="E30" s="747" t="n"/>
      <c r="F30" s="747" t="n"/>
      <c r="G30" s="747" t="n"/>
      <c r="H30" s="747" t="n"/>
      <c r="I30" s="747" t="n"/>
      <c r="J30" s="747" t="n"/>
      <c r="K30" s="1458" t="n"/>
      <c r="L30" s="1452" t="n"/>
      <c r="M30" s="3227" t="n"/>
      <c r="N30" s="218">
        <f>$CA30&amp;CB30</f>
        <v/>
      </c>
      <c r="CA30" s="379">
        <f>IF(AND(B30&gt;0,L30="")," No olvide digitar la variable Pueblos Originarios. Digite cero si no tiene.",IF(L30&gt;B30," * La variable Pueblos Originarios no puede ser mayor al Total.",""))</f>
        <v/>
      </c>
      <c r="CB30" s="379">
        <f>IF(AND(B30&gt;0,M30="")," No olvide digitar la variable Migrantes. Digite cero si no tiene.",IF(M30&gt;B30," * La variable Migrantes no puede ser mayor al Total.",""))</f>
        <v/>
      </c>
      <c r="CG30" s="376">
        <f>IF(AND(B30&gt;0,L30=""),1,IF(L30&gt;B30,1,0))</f>
        <v/>
      </c>
      <c r="CH30" s="376">
        <f>IF(AND(B30&gt;0,M30=""),1,IF(M30&gt;B30,1,0))</f>
        <v/>
      </c>
    </row>
    <row r="31" ht="22.5" customHeight="1" s="8286">
      <c r="A31" s="2620" t="inlineStr">
        <is>
          <t xml:space="preserve">Mujeres con serología reactiva para sífilis con mortinato mayor o igual a 22 semanas </t>
        </is>
      </c>
      <c r="B31" s="1171">
        <f>SUM(C31:K31)</f>
        <v/>
      </c>
      <c r="C31" s="1971" t="n"/>
      <c r="D31" s="747" t="n"/>
      <c r="E31" s="747" t="n"/>
      <c r="F31" s="747" t="n"/>
      <c r="G31" s="747" t="n"/>
      <c r="H31" s="747" t="n"/>
      <c r="I31" s="747" t="n"/>
      <c r="J31" s="747" t="n"/>
      <c r="K31" s="1458" t="n"/>
      <c r="L31" s="1452" t="n"/>
      <c r="M31" s="3227" t="n"/>
      <c r="N31" s="218">
        <f>$CA31&amp;CB31</f>
        <v/>
      </c>
      <c r="CA31" s="379">
        <f>IF(AND(B31&gt;0,L31="")," No olvide digitar la variable Pueblos Originarios. Digite cero si no tiene.",IF(L31&gt;B31," * La variable Pueblos Originarios no puede ser mayor al Total.",""))</f>
        <v/>
      </c>
      <c r="CB31" s="379">
        <f>IF(AND(B31&gt;0,M31="")," No olvide digitar la variable Migrantes. Digite cero si no tiene.",IF(M31&gt;B31," * La variable Migrantes no puede ser mayor al Total.",""))</f>
        <v/>
      </c>
      <c r="CG31" s="376">
        <f>IF(AND(B31&gt;0,L31=""),1,IF(L31&gt;B31,1,0))</f>
        <v/>
      </c>
      <c r="CH31" s="376">
        <f>IF(AND(B31&gt;0,M31=""),1,IF(M31&gt;B31,1,0))</f>
        <v/>
      </c>
    </row>
    <row r="32">
      <c r="A32" s="3218" t="inlineStr">
        <is>
          <t xml:space="preserve">Mujeres con mortinato mayor o igual a 22 semanas </t>
        </is>
      </c>
      <c r="B32" s="2464">
        <f>SUM(C32:K32)</f>
        <v/>
      </c>
      <c r="C32" s="1137" t="n"/>
      <c r="D32" s="1153" t="n"/>
      <c r="E32" s="1153" t="n"/>
      <c r="F32" s="1153" t="n"/>
      <c r="G32" s="1153" t="n"/>
      <c r="H32" s="1153" t="n"/>
      <c r="I32" s="1153" t="n"/>
      <c r="J32" s="1153" t="n"/>
      <c r="K32" s="1416" t="n"/>
      <c r="L32" s="1140" t="n"/>
      <c r="M32" s="1299" t="n"/>
      <c r="N32" s="218">
        <f>$CA32&amp;CB32</f>
        <v/>
      </c>
      <c r="CA32" s="379">
        <f>IF(AND(B32&gt;0,L32="")," No olvide digitar la variable Pueblos Originarios. Digite cero si no tiene.",IF(L32&gt;B32," * La variable Pueblos Originarios no puede ser mayor al Total.",""))</f>
        <v/>
      </c>
      <c r="CB32" s="379">
        <f>IF(AND(B32&gt;0,M32="")," No olvide digitar la variable Migrantes. Digite cero si no tiene.",IF(M32&gt;B32," * La variable Migrantes no puede ser mayor al Total.",""))</f>
        <v/>
      </c>
      <c r="CG32" s="376">
        <f>IF(AND(B32&gt;0,L32=""),1,IF(L32&gt;B32,1,0))</f>
        <v/>
      </c>
      <c r="CH32" s="376">
        <f>IF(AND(B32&gt;0,M32=""),1,IF(M32&gt;B32,1,0))</f>
        <v/>
      </c>
    </row>
    <row r="33" ht="18" customHeight="1" s="8286">
      <c r="A33" s="10331" t="inlineStr">
        <is>
          <t>SECCION D: APLICACIÓN DE PROFILAXIS OCULAR PARA GONORREA EN RECIÉN NACIDOS</t>
        </is>
      </c>
      <c r="B33" s="10190" t="n"/>
      <c r="C33" s="10190" t="n"/>
      <c r="D33" s="10190" t="n"/>
      <c r="CA33" s="227" t="n"/>
    </row>
    <row r="34" ht="21" customHeight="1" s="8286">
      <c r="A34" s="3228" t="n"/>
      <c r="B34" s="8568" t="inlineStr">
        <is>
          <t>TOTAL</t>
        </is>
      </c>
      <c r="C34" s="3224" t="inlineStr">
        <is>
          <t>Pueblos Originarios</t>
        </is>
      </c>
      <c r="D34" s="8551" t="inlineStr">
        <is>
          <t>Migrantes</t>
        </is>
      </c>
      <c r="CA34" s="227" t="n"/>
    </row>
    <row r="35" ht="22.5" customHeight="1" s="8286">
      <c r="A35" s="2620" t="inlineStr">
        <is>
          <t>Recién Nacidos  vivos que reciben profilaxis ocular para gonorrea al nacer</t>
        </is>
      </c>
      <c r="B35" s="2661" t="n"/>
      <c r="C35" s="1452" t="n"/>
      <c r="D35" s="750" t="n"/>
      <c r="E35" s="218">
        <f>CA35&amp;CB35</f>
        <v/>
      </c>
      <c r="CA35" s="379">
        <f>IF(AND(B35&gt;0,C35="")," No olvide digitar la variable Pueblos Originarios. Digite cero si no tiene.",IF(C35&gt;B35," * La variable Pueblos Originarios no puede ser mayor al Total.",""))</f>
        <v/>
      </c>
      <c r="CB35" s="379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/>
      </c>
      <c r="CH35" s="376">
        <f>IF(AND(B35&gt;0,D35=""),1,IF(D35&gt;B35,1,0))</f>
        <v/>
      </c>
    </row>
    <row r="36">
      <c r="A36" s="1958" t="inlineStr">
        <is>
          <t xml:space="preserve">Recién nacidos vivos </t>
        </is>
      </c>
      <c r="B36" s="1420" t="n"/>
      <c r="C36" s="1140" t="n"/>
      <c r="D36" s="1139" t="n"/>
      <c r="E36" s="218">
        <f>CA36&amp;CB36</f>
        <v/>
      </c>
      <c r="CA36" s="379">
        <f>IF(AND(B36&gt;0,C36="")," No olvide digitar la variable Pueblos Originarios. Digite cero si no tiene.",IF(C36&gt;B36," * La variable Pueblos Originarios no puede ser mayor al Total.",""))</f>
        <v/>
      </c>
      <c r="CB36" s="379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/>
      </c>
      <c r="CH36" s="376">
        <f>IF(AND(B36&gt;0,D36=""),1,IF(D36&gt;B36,1,0))</f>
        <v/>
      </c>
    </row>
    <row r="37" ht="18" customHeight="1" s="8286">
      <c r="A37" s="10332" t="inlineStr">
        <is>
          <t>SECCIÓN E: MUJERES VIH QUE RECIBE PROTOCOLO PREVENCIÓN TRANSMISIÓN VERTICAL AL PARTO (PTV)</t>
        </is>
      </c>
      <c r="B37" s="9591" t="n"/>
      <c r="C37" s="9591" t="n"/>
      <c r="D37" s="9591" t="n"/>
      <c r="E37" s="9591" t="n"/>
      <c r="F37" s="9591" t="n"/>
      <c r="G37" s="9591" t="n"/>
      <c r="H37" s="9591" t="n"/>
      <c r="I37" s="9591" t="n"/>
      <c r="J37" s="9591" t="n"/>
      <c r="K37" s="9591" t="n"/>
      <c r="CA37" s="227" t="n"/>
      <c r="CB37" s="227" t="n"/>
    </row>
    <row r="38">
      <c r="A38" s="10336" t="n"/>
      <c r="B38" s="10337" t="inlineStr">
        <is>
          <t>TOTAL</t>
        </is>
      </c>
      <c r="C38" s="10317" t="inlineStr">
        <is>
          <t xml:space="preserve">RANGO ETARIO </t>
        </is>
      </c>
      <c r="D38" s="9584" t="n"/>
      <c r="E38" s="9584" t="n"/>
      <c r="F38" s="9584" t="n"/>
      <c r="G38" s="9584" t="n"/>
      <c r="H38" s="9584" t="n"/>
      <c r="I38" s="9584" t="n"/>
      <c r="J38" s="9584" t="n"/>
      <c r="K38" s="9595" t="n"/>
      <c r="L38" s="10330" t="inlineStr">
        <is>
          <t>Pueblos Originarios</t>
        </is>
      </c>
      <c r="M38" s="10326" t="inlineStr">
        <is>
          <t>Migrantes</t>
        </is>
      </c>
      <c r="CA38" s="227" t="n"/>
    </row>
    <row r="39">
      <c r="A39" s="9589" t="n"/>
      <c r="B39" s="9641" t="n"/>
      <c r="C39" s="3210" t="inlineStr">
        <is>
          <t>10 - 14 años</t>
        </is>
      </c>
      <c r="D39" s="3211" t="inlineStr">
        <is>
          <t>15 - 19 años</t>
        </is>
      </c>
      <c r="E39" s="3211" t="inlineStr">
        <is>
          <t>20 - 24 años</t>
        </is>
      </c>
      <c r="F39" s="3211" t="inlineStr">
        <is>
          <t>25 - 29 años</t>
        </is>
      </c>
      <c r="G39" s="3211" t="inlineStr">
        <is>
          <t>30 - 34 años</t>
        </is>
      </c>
      <c r="H39" s="3211" t="inlineStr">
        <is>
          <t>35 - 39 años</t>
        </is>
      </c>
      <c r="I39" s="3211" t="inlineStr">
        <is>
          <t>40 - 44 años</t>
        </is>
      </c>
      <c r="J39" s="3211" t="inlineStr">
        <is>
          <t>45 - 49 años</t>
        </is>
      </c>
      <c r="K39" s="8582" t="inlineStr">
        <is>
          <t>50 - 54 años</t>
        </is>
      </c>
      <c r="L39" s="9890" t="n"/>
      <c r="M39" s="9610" t="n"/>
      <c r="CA39" s="227" t="n"/>
    </row>
    <row r="40" ht="22.5" customHeight="1" s="8286">
      <c r="A40" s="2620" t="inlineStr">
        <is>
          <t>Mujeres VIH (+) confirmada por ISP que recibieron protocolo PTV completo al parto</t>
        </is>
      </c>
      <c r="B40" s="3229">
        <f>SUM(C40:K40)</f>
        <v/>
      </c>
      <c r="C40" s="3100" t="n"/>
      <c r="D40" s="1452" t="n"/>
      <c r="E40" s="1452" t="n"/>
      <c r="F40" s="1452" t="n"/>
      <c r="G40" s="1452" t="n"/>
      <c r="H40" s="1452" t="n"/>
      <c r="I40" s="1452" t="n"/>
      <c r="J40" s="1452" t="n"/>
      <c r="K40" s="1458" t="n"/>
      <c r="L40" s="5283" t="n"/>
      <c r="M40" s="3227" t="n"/>
      <c r="N40" s="218">
        <f>$CA40&amp;CB40</f>
        <v/>
      </c>
      <c r="CA40" s="379">
        <f>IF(AND(B40&gt;0,L40="")," No olvide digitar la variable Pueblos Originarios. Digite cero si no tiene.",IF(L40&gt;B40," * La variable Pueblos Originarios no puede ser mayor al Total.",""))</f>
        <v/>
      </c>
      <c r="CB40" s="379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/>
      </c>
      <c r="CH40" s="376">
        <f>IF(AND(B40&gt;0,M40=""),1,IF(M40&gt;B40,1,0))</f>
        <v/>
      </c>
    </row>
    <row r="41" ht="22.5" customHeight="1" s="8286">
      <c r="A41" s="2620" t="inlineStr">
        <is>
          <t>Mujeres VIH (+) confirmada por ISP que recibieron protocolo PTV incompleto al parto</t>
        </is>
      </c>
      <c r="B41" s="3229">
        <f>SUM(C41:K41)</f>
        <v/>
      </c>
      <c r="C41" s="3100" t="n"/>
      <c r="D41" s="1452" t="n"/>
      <c r="E41" s="1452" t="n"/>
      <c r="F41" s="1452" t="n"/>
      <c r="G41" s="1452" t="n"/>
      <c r="H41" s="1452" t="n"/>
      <c r="I41" s="1452" t="n"/>
      <c r="J41" s="1452" t="n"/>
      <c r="K41" s="1458" t="n"/>
      <c r="L41" s="5283" t="n"/>
      <c r="M41" s="3227" t="n"/>
      <c r="N41" s="218">
        <f>$CA41&amp;CB41</f>
        <v/>
      </c>
      <c r="CA41" s="379">
        <f>IF(AND(B41&gt;0,L41="")," No olvide digitar la variable Pueblos Originarios. Digite cero si no tiene.",IF(L41&gt;B41," * La variable Pueblos Originarios no puede ser mayor al Total.",""))</f>
        <v/>
      </c>
      <c r="CB41" s="379">
        <f>IF(AND(B41&gt;0,M41="")," No olvide digitar la variable Migrantes. Digite cero si no tiene.",IF(M41&gt;B41," * La variable Migrantes no puede ser mayor al Total.",""))</f>
        <v/>
      </c>
      <c r="CG41" s="376">
        <f>IF(AND(B41&gt;0,L41=""),1,IF(L41&gt;B41,1,0))</f>
        <v/>
      </c>
      <c r="CH41" s="376">
        <f>IF(AND(B41&gt;0,M41=""),1,IF(M41&gt;B41,1,0))</f>
        <v/>
      </c>
    </row>
    <row r="42" ht="22.5" customHeight="1" s="8286">
      <c r="A42" s="2620" t="inlineStr">
        <is>
          <t>Mujeres VIH (+) confirmada por ISP que no recibieron protocolo PTV al parto</t>
        </is>
      </c>
      <c r="B42" s="3229">
        <f>SUM(C42:K42)</f>
        <v/>
      </c>
      <c r="C42" s="3100" t="n"/>
      <c r="D42" s="1452" t="n"/>
      <c r="E42" s="1452" t="n"/>
      <c r="F42" s="1452" t="n"/>
      <c r="G42" s="1452" t="n"/>
      <c r="H42" s="1452" t="n"/>
      <c r="I42" s="1452" t="n"/>
      <c r="J42" s="1452" t="n"/>
      <c r="K42" s="1458" t="n"/>
      <c r="L42" s="5283" t="n"/>
      <c r="M42" s="3227" t="n"/>
      <c r="N42" s="218">
        <f>$CA42&amp;CB42</f>
        <v/>
      </c>
      <c r="CA42" s="379">
        <f>IF(AND(B42&gt;0,L42="")," No olvide digitar la variable Pueblos Originarios. Digite cero si no tiene.",IF(L42&gt;B42," * La variable Pueblos Originarios no puede ser mayor al Total.",""))</f>
        <v/>
      </c>
      <c r="CB42" s="379">
        <f>IF(AND(B42&gt;0,M42="")," No olvide digitar la variable Migrantes. Digite cero si no tiene.",IF(M42&gt;B42," * La variable Migrantes no puede ser mayor al Total.",""))</f>
        <v/>
      </c>
      <c r="CG42" s="376">
        <f>IF(AND(B42&gt;0,L42=""),1,IF(L42&gt;B42,1,0))</f>
        <v/>
      </c>
      <c r="CH42" s="376">
        <f>IF(AND(B42&gt;0,M42=""),1,IF(M42&gt;B42,1,0))</f>
        <v/>
      </c>
    </row>
    <row r="43">
      <c r="A43" s="3218" t="inlineStr">
        <is>
          <t xml:space="preserve">Mujeres VIH (+) confirmada por ISP atendidas por parto </t>
        </is>
      </c>
      <c r="B43" s="3230">
        <f>SUM(C43:K43)</f>
        <v/>
      </c>
      <c r="C43" s="1140" t="n"/>
      <c r="D43" s="2664" t="n"/>
      <c r="E43" s="2664" t="n"/>
      <c r="F43" s="2664" t="n"/>
      <c r="G43" s="2664" t="n"/>
      <c r="H43" s="2664" t="n"/>
      <c r="I43" s="2664" t="n"/>
      <c r="J43" s="2664" t="n"/>
      <c r="K43" s="2662" t="n"/>
      <c r="L43" s="5424" t="n"/>
      <c r="M43" s="5417" t="n"/>
      <c r="N43" s="218">
        <f>$CA43&amp;CB43</f>
        <v/>
      </c>
      <c r="CA43" s="379">
        <f>IF(AND(B43&gt;0,L43="")," No olvide digitar la variable Pueblos Originarios. Digite cero si no tiene.",IF(L43&gt;B43," * La variable Pueblos Originarios no puede ser mayor al Total.",""))</f>
        <v/>
      </c>
      <c r="CB43" s="379">
        <f>IF(AND(B43&gt;0,M43="")," No olvide digitar la variable Migrantes. Digite cero si no tiene.",IF(M43&gt;B43," * La variable Migrantes no puede ser mayor al Total.",""))</f>
        <v/>
      </c>
      <c r="CG43" s="376">
        <f>IF(AND(B43&gt;0,L43=""),1,IF(L43&gt;B43,1,0))</f>
        <v/>
      </c>
      <c r="CH43" s="376">
        <f>IF(AND(B43&gt;0,M43=""),1,IF(M43&gt;B43,1,0))</f>
        <v/>
      </c>
    </row>
    <row r="44" ht="22.5" customHeight="1" s="8286">
      <c r="A44" s="2620" t="inlineStr">
        <is>
          <t>Mujeres con serología VIH (+) no confirmada por ISP que recibieron protocolo PTV completo al parto</t>
        </is>
      </c>
      <c r="B44" s="3231">
        <f>SUM(C44:K44)</f>
        <v/>
      </c>
      <c r="C44" s="1452" t="n"/>
      <c r="D44" s="1452" t="n"/>
      <c r="E44" s="1452" t="n"/>
      <c r="F44" s="1452" t="n"/>
      <c r="G44" s="1452" t="n"/>
      <c r="H44" s="1452" t="n"/>
      <c r="I44" s="1452" t="n"/>
      <c r="J44" s="1452" t="n"/>
      <c r="K44" s="1458" t="n"/>
      <c r="L44" s="5283" t="n"/>
      <c r="M44" s="3227" t="n"/>
      <c r="N44" s="218">
        <f>$CA44&amp;CB44</f>
        <v/>
      </c>
      <c r="CA44" s="379">
        <f>IF(AND(B44&gt;0,L44="")," No olvide digitar la variable Pueblos Originarios. Digite cero si no tiene.",IF(L44&gt;B44," * La variable Pueblos Originarios no puede ser mayor al Total.",""))</f>
        <v/>
      </c>
      <c r="CB44" s="379">
        <f>IF(AND(B44&gt;0,M44="")," No olvide digitar la variable Migrantes. Digite cero si no tiene.",IF(M44&gt;B44," * La variable Migrantes no puede ser mayor al Total.",""))</f>
        <v/>
      </c>
      <c r="CG44" s="376">
        <f>IF(AND(B44&gt;0,L44=""),1,IF(L44&gt;B44,1,0))</f>
        <v/>
      </c>
      <c r="CH44" s="376">
        <f>IF(AND(B44&gt;0,M44=""),1,IF(M44&gt;B44,1,0))</f>
        <v/>
      </c>
    </row>
    <row r="45" ht="22.5" customHeight="1" s="8286">
      <c r="A45" s="2620" t="inlineStr">
        <is>
          <t>Mujeres con serología VIH (+) no confirmada por ISP que recibieron protocolo PTV incompleto al parto</t>
        </is>
      </c>
      <c r="B45" s="3229">
        <f>SUM(C45:K45)</f>
        <v/>
      </c>
      <c r="C45" s="3100" t="n"/>
      <c r="D45" s="1452" t="n"/>
      <c r="E45" s="1452" t="n"/>
      <c r="F45" s="1452" t="n"/>
      <c r="G45" s="1452" t="n"/>
      <c r="H45" s="1452" t="n"/>
      <c r="I45" s="1452" t="n"/>
      <c r="J45" s="1452" t="n"/>
      <c r="K45" s="1458" t="n"/>
      <c r="L45" s="5283" t="n"/>
      <c r="M45" s="3227" t="n"/>
      <c r="N45" s="218">
        <f>$CA45&amp;CB45</f>
        <v/>
      </c>
      <c r="CA45" s="379">
        <f>IF(AND(B45&gt;0,L45="")," No olvide digitar la variable Pueblos Originarios. Digite cero si no tiene.",IF(L45&gt;B45," * La variable Pueblos Originarios no puede ser mayor al Total.",""))</f>
        <v/>
      </c>
      <c r="CB45" s="379">
        <f>IF(AND(B45&gt;0,M45="")," No olvide digitar la variable Migrantes. Digite cero si no tiene.",IF(M45&gt;B45," * La variable Migrantes no puede ser mayor al Total.",""))</f>
        <v/>
      </c>
      <c r="CG45" s="376">
        <f>IF(AND(B45&gt;0,L45=""),1,IF(L45&gt;B45,1,0))</f>
        <v/>
      </c>
      <c r="CH45" s="376">
        <f>IF(AND(B45&gt;0,M45=""),1,IF(M45&gt;B45,1,0))</f>
        <v/>
      </c>
    </row>
    <row r="46" ht="22.5" customHeight="1" s="8286">
      <c r="A46" s="2620" t="inlineStr">
        <is>
          <t>Mujeres con serología VIH (+) no confirmada por ISP que No recibieron protocolo PTV al parto</t>
        </is>
      </c>
      <c r="B46" s="3229">
        <f>SUM(C46:K46)</f>
        <v/>
      </c>
      <c r="C46" s="3100" t="n"/>
      <c r="D46" s="1452" t="n"/>
      <c r="E46" s="1452" t="n"/>
      <c r="F46" s="1452" t="n"/>
      <c r="G46" s="1452" t="n"/>
      <c r="H46" s="1452" t="n"/>
      <c r="I46" s="1452" t="n"/>
      <c r="J46" s="1452" t="n"/>
      <c r="K46" s="1458" t="n"/>
      <c r="L46" s="5283" t="n"/>
      <c r="M46" s="3227" t="n"/>
      <c r="N46" s="218">
        <f>$CA46&amp;CB46</f>
        <v/>
      </c>
      <c r="CA46" s="379">
        <f>IF(AND(B46&gt;0,L46="")," No olvide digitar la variable Pueblos Originarios. Digite cero si no tiene.",IF(L46&gt;B46," * La variable Pueblos Originarios no puede ser mayor al Total.",""))</f>
        <v/>
      </c>
      <c r="CB46" s="379">
        <f>IF(AND(B46&gt;0,M46="")," No olvide digitar la variable Migrantes. Digite cero si no tiene.",IF(M46&gt;B46," * La variable Migrantes no puede ser mayor al Total.",""))</f>
        <v/>
      </c>
      <c r="CG46" s="376">
        <f>IF(AND(B46&gt;0,L46=""),1,IF(L46&gt;B46,1,0))</f>
        <v/>
      </c>
      <c r="CH46" s="376">
        <f>IF(AND(B46&gt;0,M46=""),1,IF(M46&gt;B46,1,0))</f>
        <v/>
      </c>
    </row>
    <row r="47" ht="22.5" customHeight="1" s="8286">
      <c r="A47" s="1958" t="inlineStr">
        <is>
          <t xml:space="preserve">Mujeres con serología VIH (+) no confirmada por ISP atendidas por parto  </t>
        </is>
      </c>
      <c r="B47" s="3230">
        <f>SUM(C47:K47)</f>
        <v/>
      </c>
      <c r="C47" s="1140" t="n"/>
      <c r="D47" s="1140" t="n"/>
      <c r="E47" s="1140" t="n"/>
      <c r="F47" s="1140" t="n"/>
      <c r="G47" s="1140" t="n"/>
      <c r="H47" s="1140" t="n"/>
      <c r="I47" s="1140" t="n"/>
      <c r="J47" s="1140" t="n"/>
      <c r="K47" s="1416" t="n"/>
      <c r="L47" s="3963" t="n"/>
      <c r="M47" s="1299" t="n"/>
      <c r="N47" s="218">
        <f>$CA47&amp;CB47</f>
        <v/>
      </c>
      <c r="CA47" s="379">
        <f>IF(AND(B47&gt;0,L47="")," No olvide digitar la variable Pueblos Originarios. Digite cero si no tiene.",IF(L47&gt;B47," * La variable Pueblos Originarios no puede ser mayor al Total.",""))</f>
        <v/>
      </c>
      <c r="CB47" s="379">
        <f>IF(AND(B47&gt;0,M47="")," No olvide digitar la variable Migrantes. Digite cero si no tiene.",IF(M47&gt;B47," * La variable Migrantes no puede ser mayor al Total.",""))</f>
        <v/>
      </c>
      <c r="CG47" s="376">
        <f>IF(AND(B47&gt;0,L47=""),1,IF(L47&gt;B47,1,0))</f>
        <v/>
      </c>
      <c r="CH47" s="376">
        <f>IF(AND(B47&gt;0,M47=""),1,IF(M47&gt;B47,1,0))</f>
        <v/>
      </c>
    </row>
    <row r="48" ht="18" customHeight="1" s="8286">
      <c r="A48" s="8595" t="inlineStr">
        <is>
          <t>SECCIÓN F: RECIÉN NACIDOS EXPUESTOS AL VIH QUE RECIBE PROTOCOLO DE TRANSMISIÓN VERTICAL</t>
        </is>
      </c>
      <c r="CA48" s="227" t="n"/>
    </row>
    <row r="49" ht="21" customHeight="1" s="8286">
      <c r="A49" s="8570" t="n"/>
      <c r="B49" s="8568" t="inlineStr">
        <is>
          <t>TOTAL</t>
        </is>
      </c>
      <c r="C49" s="5427" t="inlineStr">
        <is>
          <t>Pueblos Originarios</t>
        </is>
      </c>
      <c r="D49" s="9386" t="inlineStr">
        <is>
          <t>Migrantes</t>
        </is>
      </c>
      <c r="CA49" s="227" t="n"/>
    </row>
    <row r="50" ht="22.5" customHeight="1" s="8286">
      <c r="A50" s="2620" t="inlineStr">
        <is>
          <t xml:space="preserve">Recién nacidos vivos hijos de mujer VIH (+) confirmada por ISP que iniciaron profilaxis para VIH durante las primeras 12 hrs. de vida </t>
        </is>
      </c>
      <c r="B50" s="3149" t="n"/>
      <c r="C50" s="3660" t="n"/>
      <c r="D50" s="4008" t="n"/>
      <c r="E50" s="218">
        <f>CA50&amp;CB50</f>
        <v/>
      </c>
      <c r="CA50" s="379">
        <f>IF(AND(B50&gt;0,C50="")," No olvide digitar la variable Pueblos Originarios. Digite cero si no tiene.",IF(C50&gt;B50," * La variable Pueblos Originarios no puede ser mayor al Total.",""))</f>
        <v/>
      </c>
      <c r="CB50" s="379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/>
      </c>
      <c r="CH50" s="376">
        <f>IF(AND(B50&gt;0,D50=""),1,IF(D50&gt;B50,1,0))</f>
        <v/>
      </c>
    </row>
    <row r="51">
      <c r="A51" s="2620" t="inlineStr">
        <is>
          <t>Recién nacidos vivos hijos de mujer VIH (+) confirmada por ISP</t>
        </is>
      </c>
      <c r="B51" s="3149" t="n"/>
      <c r="C51" s="3660" t="n"/>
      <c r="D51" s="4008" t="n"/>
      <c r="E51" s="218">
        <f>CA51&amp;CB51</f>
        <v/>
      </c>
      <c r="CA51" s="379">
        <f>IF(AND(B51&gt;0,C51="")," No olvide digitar la variable Pueblos Originarios. Digite cero si no tiene.",IF(C51&gt;B51," * La variable Pueblos Originarios no puede ser mayor al Total.",""))</f>
        <v/>
      </c>
      <c r="CB51" s="379">
        <f>IF(AND(B51&gt;0,D51="")," No olvide digitar la variable Migrantes. Digite cero si no tiene.",IF(D51&gt;B51," * La variable Migrantes no puede ser mayor al Total.",""))</f>
        <v/>
      </c>
      <c r="CG51" s="376">
        <f>IF(AND(B51&gt;0,C51=""),1,IF(C51&gt;B51,1,0))</f>
        <v/>
      </c>
      <c r="CH51" s="376">
        <f>IF(AND(B51&gt;0,D51=""),1,IF(D51&gt;B51,1,0))</f>
        <v/>
      </c>
    </row>
    <row r="52" ht="33" customHeight="1" s="8286">
      <c r="A52" s="2620" t="inlineStr">
        <is>
          <t xml:space="preserve">Recién nacidos vivos hijos de mujer con serología VIH (+) no confirmada por ISP que iniciaron profilaxis para VIH durante las primeras 12 hrs. de vida </t>
        </is>
      </c>
      <c r="B52" s="3149" t="n"/>
      <c r="C52" s="3660" t="n"/>
      <c r="D52" s="4008" t="n"/>
      <c r="E52" s="218">
        <f>CA52&amp;CB52</f>
        <v/>
      </c>
      <c r="CA52" s="379">
        <f>IF(AND(B52&gt;0,C52="")," No olvide digitar la variable Pueblos Originarios. Digite cero si no tiene.",IF(C52&gt;B52," * La variable Pueblos Originarios no puede ser mayor al Total.",""))</f>
        <v/>
      </c>
      <c r="CB52" s="379">
        <f>IF(AND(B52&gt;0,D52="")," No olvide digitar la variable Migrantes. Digite cero si no tiene.",IF(D52&gt;B52," * La variable Migrantes no puede ser mayor al Total.",""))</f>
        <v/>
      </c>
      <c r="CG52" s="376">
        <f>IF(AND(B52&gt;0,C52=""),1,IF(C52&gt;B52,1,0))</f>
        <v/>
      </c>
      <c r="CH52" s="376">
        <f>IF(AND(B52&gt;0,D52=""),1,IF(D52&gt;B52,1,0))</f>
        <v/>
      </c>
    </row>
    <row r="53" ht="22.5" customHeight="1" s="8286">
      <c r="A53" s="1958" t="inlineStr">
        <is>
          <t>Recién nacidos vivos hijos de mujer con serología VIH (+) no confirmada por ISP</t>
        </is>
      </c>
      <c r="B53" s="1416" t="n"/>
      <c r="C53" s="1142" t="n"/>
      <c r="D53" s="1299" t="n"/>
      <c r="E53" s="218">
        <f>CA53&amp;CB53</f>
        <v/>
      </c>
      <c r="CA53" s="379">
        <f>IF(AND(B53&gt;0,C53="")," No olvide digitar la variable Pueblos Originarios. Digite cero si no tiene.",IF(C53&gt;B53," * La variable Pueblos Originarios no puede ser mayor al Total.",""))</f>
        <v/>
      </c>
      <c r="CB53" s="379">
        <f>IF(AND(B53&gt;0,D53="")," No olvide digitar la variable Migrantes. Digite cero si no tiene.",IF(D53&gt;B53," * La variable Migrantes no puede ser mayor al Total.",""))</f>
        <v/>
      </c>
      <c r="CG53" s="376">
        <f>IF(AND(B53&gt;0,C53=""),1,IF(C53&gt;B53,1,0))</f>
        <v/>
      </c>
      <c r="CH53" s="376">
        <f>IF(AND(B53&gt;0,D53=""),1,IF(D53&gt;B53,1,0))</f>
        <v/>
      </c>
    </row>
    <row r="54" ht="18" customHeight="1" s="8286">
      <c r="A54" s="10331" t="inlineStr">
        <is>
          <t>SECCIÓN G: RECIÉN NACIDOS EXPUESTOS AL VIH QUE RECIBEN LECHE MATERNIZADA AL ALTA</t>
        </is>
      </c>
      <c r="B54" s="10190" t="n"/>
      <c r="C54" s="10190" t="n"/>
      <c r="D54" s="10190" t="n"/>
      <c r="CA54" s="227" t="n"/>
    </row>
    <row r="55" ht="21" customHeight="1" s="8286">
      <c r="A55" s="3232" t="n"/>
      <c r="B55" s="8568" t="inlineStr">
        <is>
          <t>TOTAL</t>
        </is>
      </c>
      <c r="C55" s="5427" t="inlineStr">
        <is>
          <t>Pueblos Originarios</t>
        </is>
      </c>
      <c r="D55" s="9386" t="inlineStr">
        <is>
          <t>Migrantes</t>
        </is>
      </c>
      <c r="CA55" s="227" t="n"/>
    </row>
    <row r="56" ht="22.5" customHeight="1" s="8286">
      <c r="A56" s="2620" t="inlineStr">
        <is>
          <t>Recién nacidos vivos hijos de mujer VIH (+) confirmada por ISP que recibieron leche maternizada al alta (para ser consumida en su casa)</t>
        </is>
      </c>
      <c r="B56" s="3149" t="n"/>
      <c r="C56" s="3660" t="n"/>
      <c r="D56" s="4008" t="n"/>
      <c r="E56" s="218">
        <f>CA56&amp;CB56</f>
        <v/>
      </c>
      <c r="CA56" s="379">
        <f>IF(AND(B56&gt;0,C56="")," No olvide digitar la variable Pueblos Originarios. Digite cero si no tiene.",IF(C56&gt;B56," * La variable Pueblos Originarios no puede ser mayor al Total.",""))</f>
        <v/>
      </c>
      <c r="CB56" s="379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/>
      </c>
      <c r="CH56" s="376">
        <f>IF(AND(B56&gt;0,D56=""),1,IF(D56&gt;B56,1,0))</f>
        <v/>
      </c>
    </row>
    <row r="57">
      <c r="A57" s="2620" t="inlineStr">
        <is>
          <t>Recién nacidos vivos hijos de mujer VIH (+) confirmada por ISP</t>
        </is>
      </c>
      <c r="B57" s="3149" t="n"/>
      <c r="C57" s="3660" t="n"/>
      <c r="D57" s="4008" t="n"/>
      <c r="E57" s="218">
        <f>CA57&amp;CB57</f>
        <v/>
      </c>
      <c r="CA57" s="379">
        <f>IF(AND(B57&gt;0,C57="")," No olvide digitar la variable Pueblos Originarios. Digite cero si no tiene.",IF(C57&gt;B57," * La variable Pueblos Originarios no puede ser mayor al Total.",""))</f>
        <v/>
      </c>
      <c r="CB57" s="379">
        <f>IF(AND(B57&gt;0,D57="")," No olvide digitar la variable Migrantes. Digite cero si no tiene.",IF(D57&gt;B57," * La variable Migrantes no puede ser mayor al Total.",""))</f>
        <v/>
      </c>
      <c r="CG57" s="376">
        <f>IF(AND(B57&gt;0,C57=""),1,IF(C57&gt;B57,1,0))</f>
        <v/>
      </c>
      <c r="CH57" s="376">
        <f>IF(AND(B57&gt;0,D57=""),1,IF(D57&gt;B57,1,0))</f>
        <v/>
      </c>
    </row>
    <row r="58" ht="33" customHeight="1" s="8286">
      <c r="A58" s="2620" t="inlineStr">
        <is>
          <t>Recien nacidos vivos hijos de mujer con serología VIH (+) no confirmada por el ISP  que recibieron leche maternizada al alta (para ser consumida en su casa)</t>
        </is>
      </c>
      <c r="B58" s="3149" t="n"/>
      <c r="C58" s="3660" t="n"/>
      <c r="D58" s="4008" t="n"/>
      <c r="E58" s="218">
        <f>CA58&amp;CB58</f>
        <v/>
      </c>
      <c r="CA58" s="379">
        <f>IF(AND(B58&gt;0,C58="")," No olvide digitar la variable Pueblos Originarios. Digite cero si no tiene.",IF(C58&gt;B58," * La variable Pueblos Originarios no puede ser mayor al Total.",""))</f>
        <v/>
      </c>
      <c r="CB58" s="379">
        <f>IF(AND(B58&gt;0,D58="")," No olvide digitar la variable Migrantes. Digite cero si no tiene.",IF(D58&gt;B58," * La variable Migrantes no puede ser mayor al Total.",""))</f>
        <v/>
      </c>
      <c r="CG58" s="376">
        <f>IF(AND(B58&gt;0,C58=""),1,IF(C58&gt;B58,1,0))</f>
        <v/>
      </c>
      <c r="CH58" s="376">
        <f>IF(AND(B58&gt;0,D58=""),1,IF(D58&gt;B58,1,0))</f>
        <v/>
      </c>
    </row>
    <row r="59" ht="22.5" customHeight="1" s="8286">
      <c r="A59" s="3218" t="inlineStr">
        <is>
          <t>Recien nacidos vivos hijos de mujer con serología VIH (+) no confirmada por el ISP</t>
        </is>
      </c>
      <c r="B59" s="1420" t="n"/>
      <c r="C59" s="3963" t="n"/>
      <c r="D59" s="1299" t="n"/>
      <c r="E59" s="218">
        <f>CA59&amp;CB59</f>
        <v/>
      </c>
      <c r="CA59" s="379">
        <f>IF(AND(B59&gt;0,C59="")," No olvide digitar la variable Pueblos Originarios. Digite cero si no tiene.",IF(C59&gt;B59," * La variable Pueblos Originarios no puede ser mayor al Total.",""))</f>
        <v/>
      </c>
      <c r="CB59" s="379">
        <f>IF(AND(B59&gt;0,D59="")," No olvide digitar la variable Migrantes. Digite cero si no tiene.",IF(D59&gt;B59," * La variable Migrantes no puede ser mayor al Total.",""))</f>
        <v/>
      </c>
      <c r="CG59" s="376">
        <f>IF(AND(B59&gt;0,C59=""),1,IF(C59&gt;B59,1,0))</f>
        <v/>
      </c>
      <c r="CH59" s="376">
        <f>IF(AND(B59&gt;0,D59=""),1,IF(D59&gt;B59,1,0))</f>
        <v/>
      </c>
    </row>
    <row r="60" ht="18" customHeight="1" s="8286">
      <c r="A60" s="10332" t="inlineStr">
        <is>
          <t xml:space="preserve">SECCIÓN H: GESTANTES ESTUDIADAS PARA ESTREPTOCOCCUS GRUPO B (EGB) </t>
        </is>
      </c>
      <c r="B60" s="9591" t="n"/>
      <c r="C60" s="9591" t="n"/>
      <c r="D60" s="9591" t="n"/>
      <c r="E60" s="9591" t="n"/>
      <c r="F60" s="9591" t="n"/>
      <c r="G60" s="9591" t="n"/>
      <c r="H60" s="9591" t="n"/>
      <c r="I60" s="9591" t="n"/>
      <c r="J60" s="9591" t="n"/>
      <c r="K60" s="9591" t="n"/>
      <c r="L60" s="5" t="n"/>
      <c r="M60" s="5" t="n"/>
      <c r="CA60" s="227" t="n"/>
    </row>
    <row r="61">
      <c r="A61" s="10329" t="n"/>
      <c r="B61" s="10310" t="inlineStr">
        <is>
          <t>TOTAL</t>
        </is>
      </c>
      <c r="C61" s="10334" t="inlineStr">
        <is>
          <t xml:space="preserve">RANGO ETARIO </t>
        </is>
      </c>
      <c r="D61" s="10190" t="n"/>
      <c r="E61" s="10190" t="n"/>
      <c r="F61" s="10190" t="n"/>
      <c r="G61" s="10190" t="n"/>
      <c r="H61" s="10190" t="n"/>
      <c r="I61" s="10190" t="n"/>
      <c r="J61" s="10190" t="n"/>
      <c r="K61" s="10211" t="n"/>
      <c r="L61" s="10338" t="inlineStr">
        <is>
          <t>Pueblos Originarios</t>
        </is>
      </c>
      <c r="M61" s="10326" t="inlineStr">
        <is>
          <t>Migrantes</t>
        </is>
      </c>
      <c r="CA61" s="227" t="n"/>
    </row>
    <row r="62">
      <c r="A62" s="9589" t="n"/>
      <c r="B62" s="9589" t="n"/>
      <c r="C62" s="3226" t="inlineStr">
        <is>
          <t>10 - 14 años</t>
        </is>
      </c>
      <c r="D62" s="3211" t="inlineStr">
        <is>
          <t>15 - 19 años</t>
        </is>
      </c>
      <c r="E62" s="3211" t="inlineStr">
        <is>
          <t>20 - 24 años</t>
        </is>
      </c>
      <c r="F62" s="3211" t="inlineStr">
        <is>
          <t>25 - 29 años</t>
        </is>
      </c>
      <c r="G62" s="3211" t="inlineStr">
        <is>
          <t>30 - 34 años</t>
        </is>
      </c>
      <c r="H62" s="3211" t="inlineStr">
        <is>
          <t>35 - 39 años</t>
        </is>
      </c>
      <c r="I62" s="3211" t="inlineStr">
        <is>
          <t>40 - 44 años</t>
        </is>
      </c>
      <c r="J62" s="3211" t="inlineStr">
        <is>
          <t>45 - 49 años</t>
        </is>
      </c>
      <c r="K62" s="3233" t="inlineStr">
        <is>
          <t>50 - 54 años</t>
        </is>
      </c>
      <c r="L62" s="9591" t="n"/>
      <c r="M62" s="9610" t="n"/>
      <c r="CA62" s="227" t="n"/>
    </row>
    <row r="63" ht="21" customHeight="1" s="8286">
      <c r="A63" s="3234" t="inlineStr">
        <is>
          <t>GESTANTES ESTUDIADAS PARA ESTREPTOCOCCUS GRUPO B (EGB) EN APS</t>
        </is>
      </c>
      <c r="B63" s="3235" t="n"/>
      <c r="C63" s="3236" t="n"/>
      <c r="D63" s="3236" t="n"/>
      <c r="E63" s="3236" t="n"/>
      <c r="F63" s="3236" t="n"/>
      <c r="G63" s="3236" t="n"/>
      <c r="H63" s="3236" t="n"/>
      <c r="I63" s="3236" t="n"/>
      <c r="J63" s="3236" t="n"/>
      <c r="K63" s="3237" t="n"/>
      <c r="L63" s="5429" t="n"/>
      <c r="M63" s="5426" t="n"/>
      <c r="CA63" s="227" t="n"/>
    </row>
    <row r="64">
      <c r="A64" s="3216" t="inlineStr">
        <is>
          <t>Gestantes estudiadas para EGB en APS</t>
        </is>
      </c>
      <c r="B64" s="3238">
        <f>SUM(C64:K64)</f>
        <v/>
      </c>
      <c r="C64" s="3158" t="n"/>
      <c r="D64" s="3158" t="n"/>
      <c r="E64" s="3158" t="n">
        <v>3</v>
      </c>
      <c r="F64" s="3158" t="n">
        <v>10</v>
      </c>
      <c r="G64" s="3158" t="n">
        <v>6</v>
      </c>
      <c r="H64" s="3158" t="n">
        <v>1</v>
      </c>
      <c r="I64" s="3158" t="n">
        <v>2</v>
      </c>
      <c r="J64" s="3158" t="n"/>
      <c r="K64" s="1465" t="n"/>
      <c r="L64" s="5418" t="n">
        <v>0</v>
      </c>
      <c r="M64" s="5286" t="n">
        <v>5</v>
      </c>
      <c r="N64" s="218">
        <f>$CA64&amp;$CB64</f>
        <v/>
      </c>
      <c r="CA64" s="379">
        <f>IF(AND(B64&gt;0,L64="")," No olvide digitar la variable Pueblos Originarios. Digite cero si no tiene.",IF(L64&gt;B64," * La variable Pueblos Originarios no puede ser mayor al Total.",""))</f>
        <v/>
      </c>
      <c r="CB64" s="379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/>
      </c>
      <c r="CH64" s="376">
        <f>IF(AND(B64&gt;0,M64=""),1,IF(M64&gt;B64,1,0))</f>
        <v/>
      </c>
    </row>
    <row r="65">
      <c r="A65" s="1958" t="inlineStr">
        <is>
          <t xml:space="preserve">Gestantes estudiadas en APS con examen EGB (+) </t>
        </is>
      </c>
      <c r="B65" s="1217">
        <f>SUM(C65:K65)</f>
        <v/>
      </c>
      <c r="C65" s="1140" t="n">
        <v>0</v>
      </c>
      <c r="D65" s="1140" t="n">
        <v>0</v>
      </c>
      <c r="E65" s="1140" t="n">
        <v>0</v>
      </c>
      <c r="F65" s="1140" t="n">
        <v>0</v>
      </c>
      <c r="G65" s="1140" t="n">
        <v>0</v>
      </c>
      <c r="H65" s="1140" t="n">
        <v>0</v>
      </c>
      <c r="I65" s="1140" t="n">
        <v>0</v>
      </c>
      <c r="J65" s="1140" t="n">
        <v>0</v>
      </c>
      <c r="K65" s="1143" t="n">
        <v>0</v>
      </c>
      <c r="L65" s="1142" t="n">
        <v>0</v>
      </c>
      <c r="M65" s="1299" t="n">
        <v>0</v>
      </c>
      <c r="N65" s="218">
        <f>$CA65&amp;$CB65</f>
        <v/>
      </c>
      <c r="CA65" s="379">
        <f>IF(AND(B65&gt;0,L65="")," No olvide digitar la variable Pueblos Originarios. Digite cero si no tiene.",IF(L65&gt;B65," * La variable Pueblos Originarios no puede ser mayor al Total.",""))</f>
        <v/>
      </c>
      <c r="CB65" s="379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/>
      </c>
      <c r="CH65" s="376">
        <f>IF(AND(B65&gt;0,M65=""),1,IF(M65&gt;B65,1,0))</f>
        <v/>
      </c>
    </row>
    <row r="66" ht="21" customHeight="1" s="8286">
      <c r="A66" s="3239" t="inlineStr">
        <is>
          <t>GESTANTES ESTUDIADAS PARA ESTREPTOCOCCUS GRUPO B (EGB) EN ESPECIALIDADES</t>
        </is>
      </c>
      <c r="B66" s="3240" t="n"/>
      <c r="C66" s="3241" t="n"/>
      <c r="D66" s="396" t="n"/>
      <c r="E66" s="3241" t="n"/>
      <c r="F66" s="396" t="n"/>
      <c r="G66" s="3241" t="n"/>
      <c r="H66" s="396" t="n"/>
      <c r="I66" s="3241" t="n"/>
      <c r="J66" s="396" t="n"/>
      <c r="K66" s="3242" t="n"/>
      <c r="L66" s="5430" t="n"/>
      <c r="M66" s="5432" t="n"/>
      <c r="CA66" s="227" t="n"/>
    </row>
    <row r="67">
      <c r="A67" s="3216" t="inlineStr">
        <is>
          <t>Gestantes estudiadas para EGB en Especialidades</t>
        </is>
      </c>
      <c r="B67" s="3238">
        <f>SUM(C67:K67)</f>
        <v/>
      </c>
      <c r="C67" s="3158" t="n"/>
      <c r="D67" s="3158" t="n"/>
      <c r="E67" s="3158" t="n"/>
      <c r="F67" s="3158" t="n"/>
      <c r="G67" s="3158" t="n"/>
      <c r="H67" s="3158" t="n"/>
      <c r="I67" s="3158" t="n"/>
      <c r="J67" s="3158" t="n"/>
      <c r="K67" s="1465" t="n"/>
      <c r="L67" s="5418" t="n"/>
      <c r="M67" s="5286" t="n"/>
      <c r="N67" s="218">
        <f>$CA67&amp;$CB67</f>
        <v/>
      </c>
      <c r="CA67" s="379">
        <f>IF(AND(B67&gt;0,L67="")," No olvide digitar la variable Pueblos Originarios. Digite cero si no tiene.",IF(L67&gt;B67," * La variable Pueblos Originarios no puede ser mayor al Total.",""))</f>
        <v/>
      </c>
      <c r="CB67" s="379">
        <f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/>
      </c>
      <c r="CH67" s="376">
        <f>IF(AND(B67&gt;0,M67=""),1,IF(M67&gt;B67,1,0))</f>
        <v/>
      </c>
    </row>
    <row r="68">
      <c r="A68" s="1958" t="inlineStr">
        <is>
          <t xml:space="preserve">Gestantes estudiadas en Especialidades con examen EGB (+) </t>
        </is>
      </c>
      <c r="B68" s="1217">
        <f>SUM(C68:K68)</f>
        <v/>
      </c>
      <c r="C68" s="1140" t="n"/>
      <c r="D68" s="1140" t="n"/>
      <c r="E68" s="1140" t="n"/>
      <c r="F68" s="1140" t="n"/>
      <c r="G68" s="1140" t="n"/>
      <c r="H68" s="1140" t="n"/>
      <c r="I68" s="1140" t="n"/>
      <c r="J68" s="1140" t="n"/>
      <c r="K68" s="1143" t="n"/>
      <c r="L68" s="5350" t="n"/>
      <c r="M68" s="5417" t="n"/>
      <c r="N68" s="218">
        <f>$CA68&amp;$CB68</f>
        <v/>
      </c>
      <c r="CA68" s="379">
        <f>IF(AND(B68&gt;0,L68="")," No olvide digitar la variable Pueblos Originarios. Digite cero si no tiene.",IF(L68&gt;B68," * La variable Pueblos Originarios no puede ser mayor al Total.",""))</f>
        <v/>
      </c>
      <c r="CB68" s="379">
        <f>IF(AND(B68&gt;0,M68="")," No olvide digitar la variable Migrantes. Digite cero si no tiene.",IF(M68&gt;B68," * La variable Migrantes no puede ser mayor al Total.",""))</f>
        <v/>
      </c>
      <c r="CG68" s="376">
        <f>IF(AND(B68&gt;0,L68=""),1,IF(L68&gt;B68,1,0))</f>
        <v/>
      </c>
      <c r="CH68" s="376">
        <f>IF(AND(B68&gt;0,M68=""),1,IF(M68&gt;B68,1,0))</f>
        <v/>
      </c>
    </row>
    <row r="69" ht="21" customHeight="1" s="8286">
      <c r="A69" s="3239" t="inlineStr">
        <is>
          <t>GESTANTES ESTUDIADAS PARA ESTREPTOCOCCUS GRUPO B (EGB) EN NIVEL HOSPITALARIO</t>
        </is>
      </c>
      <c r="B69" s="3240" t="n"/>
      <c r="C69" s="3241" t="n"/>
      <c r="D69" s="396" t="n"/>
      <c r="E69" s="3241" t="n"/>
      <c r="F69" s="396" t="n"/>
      <c r="G69" s="3241" t="n"/>
      <c r="H69" s="396" t="n"/>
      <c r="I69" s="3241" t="n"/>
      <c r="J69" s="396" t="n"/>
      <c r="K69" s="3242" t="n"/>
      <c r="L69" s="5431" t="n"/>
      <c r="M69" s="5432" t="n"/>
      <c r="CA69" s="227" t="n"/>
    </row>
    <row r="70">
      <c r="A70" s="3216" t="inlineStr">
        <is>
          <t>Gestantes estudiadas para EGB en nivel hospitalario</t>
        </is>
      </c>
      <c r="B70" s="3238">
        <f>SUM(C70:K70)</f>
        <v/>
      </c>
      <c r="C70" s="3158" t="n"/>
      <c r="D70" s="3158" t="n"/>
      <c r="E70" s="3158" t="n"/>
      <c r="F70" s="3158" t="n"/>
      <c r="G70" s="3158" t="n"/>
      <c r="H70" s="3158" t="n"/>
      <c r="I70" s="3158" t="n"/>
      <c r="J70" s="3158" t="n"/>
      <c r="K70" s="1465" t="n"/>
      <c r="L70" s="5418" t="n"/>
      <c r="M70" s="5286" t="n"/>
      <c r="N70" s="218">
        <f>$CA70&amp;$CB70</f>
        <v/>
      </c>
      <c r="CA70" s="379">
        <f>IF(AND(B70&gt;0,L70="")," No olvide digitar la variable Pueblos Originarios. Digite cero si no tiene.",IF(L70&gt;B70," * La variable Pueblos Originarios no puede ser mayor al Total.",""))</f>
        <v/>
      </c>
      <c r="CB70" s="379">
        <f>IF(AND(B70&gt;0,M70="")," No olvide digitar la variable Migrantes. Digite cero si no tiene.",IF(M70&gt;B70," * La variable Migrantes no puede ser mayor al Total.",""))</f>
        <v/>
      </c>
      <c r="CG70" s="376">
        <f>IF(AND(B70&gt;0,L70=""),1,IF(L70&gt;B70,1,0))</f>
        <v/>
      </c>
      <c r="CH70" s="376">
        <f>IF(AND(B70&gt;0,M70=""),1,IF(M70&gt;B70,1,0))</f>
        <v/>
      </c>
    </row>
    <row r="71">
      <c r="A71" s="1958" t="inlineStr">
        <is>
          <t xml:space="preserve">Gestantes estudiadas en nivel hospitalario con examen EGB (+) </t>
        </is>
      </c>
      <c r="B71" s="1217">
        <f>SUM(C71:K71)</f>
        <v/>
      </c>
      <c r="C71" s="1140" t="n"/>
      <c r="D71" s="1140" t="n"/>
      <c r="E71" s="1140" t="n"/>
      <c r="F71" s="1140" t="n"/>
      <c r="G71" s="1140" t="n"/>
      <c r="H71" s="1140" t="n"/>
      <c r="I71" s="1140" t="n"/>
      <c r="J71" s="1140" t="n"/>
      <c r="K71" s="1143" t="n"/>
      <c r="L71" s="1142" t="n"/>
      <c r="M71" s="1299" t="n"/>
      <c r="N71" s="218">
        <f>$CA71&amp;$CB71</f>
        <v/>
      </c>
      <c r="CA71" s="379">
        <f>IF(AND(B71&gt;0,L71="")," No olvide digitar la variable Pueblos Originarios. Digite cero si no tiene.",IF(L71&gt;B71," * La variable Pueblos Originarios no puede ser mayor al Total.",""))</f>
        <v/>
      </c>
      <c r="CB71" s="379">
        <f>IF(AND(B71&gt;0,M71="")," No olvide digitar la variable Migrantes. Digite cero si no tiene.",IF(M71&gt;B71," * La variable Migrantes no puede ser mayor al Total.",""))</f>
        <v/>
      </c>
      <c r="CG71" s="376">
        <f>IF(AND(B71&gt;0,L71=""),1,IF(L71&gt;B71,1,0))</f>
        <v/>
      </c>
      <c r="CH71" s="376">
        <f>IF(AND(B71&gt;0,M71=""),1,IF(M71&gt;B71,1,0))</f>
        <v/>
      </c>
    </row>
    <row r="72" ht="21" customHeight="1" s="8286">
      <c r="A72" s="3239" t="inlineStr">
        <is>
          <t>GESTANTES CON PROFILAXIS PARA ESTREPTOCOCCUS GRUPO B (EGB) AL PARTO</t>
        </is>
      </c>
      <c r="B72" s="3240" t="n"/>
      <c r="C72" s="3241" t="n"/>
      <c r="D72" s="3243" t="n"/>
      <c r="E72" s="3241" t="n"/>
      <c r="F72" s="3243" t="n"/>
      <c r="G72" s="3241" t="n"/>
      <c r="H72" s="3243" t="n"/>
      <c r="I72" s="3241" t="n"/>
      <c r="J72" s="3243" t="n"/>
      <c r="K72" s="3242" t="n"/>
      <c r="L72" s="5430" t="n"/>
      <c r="M72" s="5432" t="n"/>
      <c r="CA72" s="227" t="n"/>
    </row>
    <row r="73">
      <c r="A73" s="3218" t="inlineStr">
        <is>
          <t>Gestantes con profilaxis para  EGB (+) al parto</t>
        </is>
      </c>
      <c r="B73" s="3244">
        <f>SUM(C73:K73)</f>
        <v/>
      </c>
      <c r="C73" s="2664" t="n"/>
      <c r="D73" s="2664" t="n"/>
      <c r="E73" s="2664" t="n"/>
      <c r="F73" s="2664" t="n"/>
      <c r="G73" s="2664" t="n"/>
      <c r="H73" s="2664" t="n"/>
      <c r="I73" s="2664" t="n"/>
      <c r="J73" s="2664" t="n"/>
      <c r="K73" s="190" t="n"/>
      <c r="L73" s="5350" t="n"/>
      <c r="M73" s="5417" t="n"/>
      <c r="N73" s="218">
        <f>$CA73&amp;$CB73</f>
        <v/>
      </c>
      <c r="CA73" s="379">
        <f>IF(AND(B73&gt;0,L73="")," No olvide digitar la variable Pueblos Originarios. Digite cero si no tiene.",IF(L73&gt;B73," * La variable Pueblos Originarios no puede ser mayor al Total.",""))</f>
        <v/>
      </c>
      <c r="CB73" s="379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/>
      </c>
      <c r="CH73" s="376">
        <f>IF(AND(B73&gt;0,M73=""),1,IF(M73&gt;B73,1,0))</f>
        <v/>
      </c>
    </row>
    <row r="74" ht="18" customHeight="1" s="8286">
      <c r="A74" s="10331" t="inlineStr">
        <is>
          <t>SECCIÓN I: GESTANTES EVALUADAS PARA HEPATITIS B</t>
        </is>
      </c>
      <c r="B74" s="10190" t="n"/>
      <c r="C74" s="10190" t="n"/>
      <c r="D74" s="10190" t="n"/>
      <c r="E74" s="10190" t="n"/>
      <c r="F74" s="10190" t="n"/>
      <c r="G74" s="10190" t="n"/>
      <c r="H74" s="10190" t="n"/>
      <c r="I74" s="10190" t="n"/>
      <c r="J74" s="10190" t="n"/>
      <c r="K74" s="10190" t="n"/>
      <c r="CA74" s="227" t="n"/>
    </row>
    <row r="75">
      <c r="A75" s="10329" t="n"/>
      <c r="B75" s="10310" t="inlineStr">
        <is>
          <t>TOTAL</t>
        </is>
      </c>
      <c r="C75" s="10334" t="inlineStr">
        <is>
          <t>RANGO ETARIO</t>
        </is>
      </c>
      <c r="D75" s="10190" t="n"/>
      <c r="E75" s="10190" t="n"/>
      <c r="F75" s="10190" t="n"/>
      <c r="G75" s="10190" t="n"/>
      <c r="H75" s="10190" t="n"/>
      <c r="I75" s="10190" t="n"/>
      <c r="J75" s="10190" t="n"/>
      <c r="K75" s="10211" t="n"/>
      <c r="L75" s="10338" t="inlineStr">
        <is>
          <t>Pueblos Originarios</t>
        </is>
      </c>
      <c r="M75" s="10326" t="inlineStr">
        <is>
          <t>Migrantes</t>
        </is>
      </c>
      <c r="CA75" s="227" t="n"/>
    </row>
    <row r="76">
      <c r="A76" s="9589" t="n"/>
      <c r="B76" s="9589" t="n"/>
      <c r="C76" s="3226" t="inlineStr">
        <is>
          <t>10 - 14 años</t>
        </is>
      </c>
      <c r="D76" s="3211" t="inlineStr">
        <is>
          <t>15 - 19 años</t>
        </is>
      </c>
      <c r="E76" s="3211" t="inlineStr">
        <is>
          <t>20 - 24 años</t>
        </is>
      </c>
      <c r="F76" s="3211" t="inlineStr">
        <is>
          <t>25 - 29 años</t>
        </is>
      </c>
      <c r="G76" s="3211" t="inlineStr">
        <is>
          <t>30 - 34 años</t>
        </is>
      </c>
      <c r="H76" s="3211" t="inlineStr">
        <is>
          <t>35 - 39 años</t>
        </is>
      </c>
      <c r="I76" s="3211" t="inlineStr">
        <is>
          <t>40 - 44 años</t>
        </is>
      </c>
      <c r="J76" s="3211" t="inlineStr">
        <is>
          <t>45 - 49 años</t>
        </is>
      </c>
      <c r="K76" s="3233" t="inlineStr">
        <is>
          <t>50 - 54 años</t>
        </is>
      </c>
      <c r="L76" s="9591" t="n"/>
      <c r="M76" s="9610" t="n"/>
      <c r="CA76" s="227" t="n"/>
    </row>
    <row r="77" ht="22.5" customHeight="1" s="8286">
      <c r="A77" s="3245" t="inlineStr">
        <is>
          <t>GESTANTES EVALUADAS PARA HEPATITIS B EN ATENCIÓN PRIMARIA</t>
        </is>
      </c>
      <c r="B77" s="3246" t="n"/>
      <c r="C77" s="3236" t="n"/>
      <c r="D77" s="3236" t="n"/>
      <c r="E77" s="3236" t="n"/>
      <c r="F77" s="3236" t="n"/>
      <c r="G77" s="3236" t="n"/>
      <c r="H77" s="3236" t="n"/>
      <c r="I77" s="3236" t="n"/>
      <c r="J77" s="3236" t="n"/>
      <c r="K77" s="3247" t="n"/>
      <c r="L77" s="5429" t="n"/>
      <c r="M77" s="5426" t="n"/>
      <c r="CA77" s="227" t="n"/>
    </row>
    <row r="78">
      <c r="A78" s="2620" t="inlineStr">
        <is>
          <t xml:space="preserve">Gestantes con solicitud de estudio serológico para Hepatitis B </t>
        </is>
      </c>
      <c r="B78" s="3248">
        <f>SUM(C78:K78)</f>
        <v/>
      </c>
      <c r="C78" s="1452" t="n"/>
      <c r="D78" s="1452" t="n">
        <v>2</v>
      </c>
      <c r="E78" s="1452" t="n">
        <v>2</v>
      </c>
      <c r="F78" s="1452" t="n">
        <v>6</v>
      </c>
      <c r="G78" s="1452" t="n">
        <v>8</v>
      </c>
      <c r="H78" s="1452" t="n">
        <v>2</v>
      </c>
      <c r="I78" s="1452" t="n">
        <v>1</v>
      </c>
      <c r="J78" s="1452" t="n"/>
      <c r="K78" s="778" t="n"/>
      <c r="L78" s="22" t="n">
        <v>0</v>
      </c>
      <c r="M78" s="3227" t="n">
        <v>4</v>
      </c>
      <c r="N78" s="218">
        <f>$CA78&amp;$CB78</f>
        <v/>
      </c>
      <c r="CA78" s="379">
        <f>IF(AND(B78&gt;0,L78="")," No olvide digitar la variable Pueblos Originarios. Digite cero si no tiene.",IF(L78&gt;B78," * La variable Pueblos Originarios no puede ser mayor al Total.",""))</f>
        <v/>
      </c>
      <c r="CB78" s="379">
        <f>IF(AND(B78&gt;0,M78="")," No olvide digitar la variable Migrantes. Digite cero si no tiene.",IF(M78&gt;B78," * La variable Migrantes no puede ser mayor al Total.",""))</f>
        <v/>
      </c>
      <c r="CG78" s="376">
        <f>IF(AND(B78&gt;0,L78=""),1,IF(L78&gt;B78,1,0))</f>
        <v/>
      </c>
      <c r="CH78" s="376">
        <f>IF(AND(B78&gt;0,M78=""),1,IF(M78&gt;B78,1,0))</f>
        <v/>
      </c>
    </row>
    <row r="79">
      <c r="A79" s="2620" t="inlineStr">
        <is>
          <t xml:space="preserve">Gestantes con estudio serológico positivo confirmado para Hepatitis B </t>
        </is>
      </c>
      <c r="B79" s="3248">
        <f>SUM(C79:K79)</f>
        <v/>
      </c>
      <c r="C79" s="1452" t="n">
        <v>0</v>
      </c>
      <c r="D79" s="1452" t="n">
        <v>0</v>
      </c>
      <c r="E79" s="1452" t="n">
        <v>0</v>
      </c>
      <c r="F79" s="1452" t="n">
        <v>0</v>
      </c>
      <c r="G79" s="1452" t="n">
        <v>0</v>
      </c>
      <c r="H79" s="1452" t="n">
        <v>0</v>
      </c>
      <c r="I79" s="1452" t="n">
        <v>0</v>
      </c>
      <c r="J79" s="1452" t="n">
        <v>0</v>
      </c>
      <c r="K79" s="778" t="n">
        <v>0</v>
      </c>
      <c r="L79" s="22" t="n">
        <v>0</v>
      </c>
      <c r="M79" s="3227" t="n">
        <v>0</v>
      </c>
      <c r="N79" s="218">
        <f>$CA79&amp;$CB79</f>
        <v/>
      </c>
      <c r="CA79" s="379">
        <f>IF(AND(B79&gt;0,L79="")," No olvide digitar la variable Pueblos Originarios. Digite cero si no tiene.",IF(L79&gt;B79," * La variable Pueblos Originarios no puede ser mayor al Total.",""))</f>
        <v/>
      </c>
      <c r="CB79" s="379">
        <f>IF(AND(B79&gt;0,M79="")," No olvide digitar la variable Migrantes. Digite cero si no tiene.",IF(M79&gt;B79," * La variable Migrantes no puede ser mayor al Total.",""))</f>
        <v/>
      </c>
      <c r="CG79" s="376">
        <f>IF(AND(B79&gt;0,L79=""),1,IF(L79&gt;B79,1,0))</f>
        <v/>
      </c>
      <c r="CH79" s="376">
        <f>IF(AND(B79&gt;0,M79=""),1,IF(M79&gt;B79,1,0))</f>
        <v/>
      </c>
    </row>
    <row r="80" ht="21" customHeight="1" s="8286">
      <c r="A80" s="3249" t="inlineStr">
        <is>
          <t xml:space="preserve">Gestantes con Hepatitis B positivo derivada con especialista (Gastroenterólogo, hepatólogo u otro) </t>
        </is>
      </c>
      <c r="B80" s="1214">
        <f>SUM(C80:K80)</f>
        <v/>
      </c>
      <c r="C80" s="1140" t="n"/>
      <c r="D80" s="1140" t="n"/>
      <c r="E80" s="1140" t="n"/>
      <c r="F80" s="1140" t="n"/>
      <c r="G80" s="1140" t="n"/>
      <c r="H80" s="1140" t="n"/>
      <c r="I80" s="1140" t="n"/>
      <c r="J80" s="1140" t="n"/>
      <c r="K80" s="1143" t="n"/>
      <c r="L80" s="1142" t="n"/>
      <c r="M80" s="1299" t="n"/>
      <c r="N80" s="218">
        <f>$CA80&amp;$CB80</f>
        <v/>
      </c>
      <c r="CA80" s="379">
        <f>IF(AND(B80&gt;0,L80="")," No olvide digitar la variable Pueblos Originarios. Digite cero si no tiene.",IF(L80&gt;B80," * La variable Pueblos Originarios no puede ser mayor al Total.",""))</f>
        <v/>
      </c>
      <c r="CB80" s="379">
        <f>IF(AND(B80&gt;0,M80="")," No olvide digitar la variable Migrantes. Digite cero si no tiene.",IF(M80&gt;B80," * La variable Migrantes no puede ser mayor al Total.",""))</f>
        <v/>
      </c>
      <c r="CG80" s="376">
        <f>IF(AND(B80&gt;0,L80=""),1,IF(L80&gt;B80,1,0))</f>
        <v/>
      </c>
      <c r="CH80" s="376">
        <f>IF(AND(B80&gt;0,M80=""),1,IF(M80&gt;B80,1,0))</f>
        <v/>
      </c>
    </row>
    <row r="81" ht="21" customHeight="1" s="8286">
      <c r="A81" s="3239" t="inlineStr">
        <is>
          <t>GESTANTES EVALUADAS PARA HEPATITIS B EN ESPECIALIDADES</t>
        </is>
      </c>
      <c r="B81" s="3250" t="n"/>
      <c r="C81" s="3243" t="n"/>
      <c r="D81" s="3243" t="n"/>
      <c r="E81" s="3243" t="n"/>
      <c r="F81" s="3243" t="n"/>
      <c r="G81" s="3243" t="n"/>
      <c r="H81" s="3243" t="n"/>
      <c r="I81" s="3243" t="n"/>
      <c r="J81" s="3243" t="n"/>
      <c r="K81" s="397" t="n"/>
      <c r="L81" s="5430" t="n"/>
      <c r="M81" s="5432" t="n"/>
      <c r="CA81" s="227" t="n"/>
    </row>
    <row r="82">
      <c r="A82" s="2620" t="inlineStr">
        <is>
          <t xml:space="preserve">Gestantes con solicitud de estudio serológico para Hepatitis B </t>
        </is>
      </c>
      <c r="B82" s="3248">
        <f>SUM(C82:K82)</f>
        <v/>
      </c>
      <c r="C82" s="1452" t="n"/>
      <c r="D82" s="1452" t="n"/>
      <c r="E82" s="1452" t="n"/>
      <c r="F82" s="1452" t="n"/>
      <c r="G82" s="1452" t="n"/>
      <c r="H82" s="1452" t="n"/>
      <c r="I82" s="1452" t="n"/>
      <c r="J82" s="1452" t="n"/>
      <c r="K82" s="778" t="n"/>
      <c r="L82" s="22" t="n"/>
      <c r="M82" s="3227" t="n"/>
      <c r="N82" s="218">
        <f>$CA82&amp;$CB82</f>
        <v/>
      </c>
      <c r="CA82" s="379">
        <f>IF(AND(B82&gt;0,L82="")," No olvide digitar la variable Pueblos Originarios. Digite cero si no tiene.",IF(L82&gt;B82," * La variable Pueblos Originarios no puede ser mayor al Total.",""))</f>
        <v/>
      </c>
      <c r="CB82" s="379">
        <f>IF(AND(B82&gt;0,M82="")," No olvide digitar la variable Migrantes. Digite cero si no tiene.",IF(M82&gt;B82," * La variable Migrantes no puede ser mayor al Total.",""))</f>
        <v/>
      </c>
      <c r="CG82" s="376">
        <f>IF(AND(B82&gt;0,L82=""),1,IF(L82&gt;B82,1,0))</f>
        <v/>
      </c>
      <c r="CH82" s="376">
        <f>IF(AND(B82&gt;0,M82=""),1,IF(M82&gt;B82,1,0))</f>
        <v/>
      </c>
    </row>
    <row r="83">
      <c r="A83" s="2620" t="inlineStr">
        <is>
          <t xml:space="preserve">Gestantes con estudio serológico positivo confirmado para Hepatitis B </t>
        </is>
      </c>
      <c r="B83" s="3248">
        <f>SUM(C83:K83)</f>
        <v/>
      </c>
      <c r="C83" s="1452" t="n"/>
      <c r="D83" s="1452" t="n"/>
      <c r="E83" s="1452" t="n"/>
      <c r="F83" s="1452" t="n"/>
      <c r="G83" s="1452" t="n"/>
      <c r="H83" s="1452" t="n"/>
      <c r="I83" s="1452" t="n"/>
      <c r="J83" s="1452" t="n"/>
      <c r="K83" s="778" t="n"/>
      <c r="L83" s="22" t="n"/>
      <c r="M83" s="3227" t="n"/>
      <c r="N83" s="218">
        <f>$CA83&amp;$CB83</f>
        <v/>
      </c>
      <c r="CA83" s="379">
        <f>IF(AND(B83&gt;0,L83="")," No olvide digitar la variable Pueblos Originarios. Digite cero si no tiene.",IF(L83&gt;B83," * La variable Pueblos Originarios no puede ser mayor al Total.",""))</f>
        <v/>
      </c>
      <c r="CB83" s="379">
        <f>IF(AND(B83&gt;0,M83="")," No olvide digitar la variable Migrantes. Digite cero si no tiene.",IF(M83&gt;B83," * La variable Migrantes no puede ser mayor al Total.",""))</f>
        <v/>
      </c>
      <c r="CG83" s="376">
        <f>IF(AND(B83&gt;0,L83=""),1,IF(L83&gt;B83,1,0))</f>
        <v/>
      </c>
      <c r="CH83" s="376">
        <f>IF(AND(B83&gt;0,M83=""),1,IF(M83&gt;B83,1,0))</f>
        <v/>
      </c>
    </row>
    <row r="84" ht="21" customHeight="1" s="8286">
      <c r="A84" s="3249" t="inlineStr">
        <is>
          <t xml:space="preserve">Gestantes con Hepatitis B positivo derivada con especialista (Gastroenterólogo, hepatólogo u otro) </t>
        </is>
      </c>
      <c r="B84" s="1214">
        <f>SUM(C84:K84)</f>
        <v/>
      </c>
      <c r="C84" s="1140" t="n"/>
      <c r="D84" s="1140" t="n"/>
      <c r="E84" s="1140" t="n"/>
      <c r="F84" s="1140" t="n"/>
      <c r="G84" s="1140" t="n"/>
      <c r="H84" s="1140" t="n"/>
      <c r="I84" s="1140" t="n"/>
      <c r="J84" s="1140" t="n"/>
      <c r="K84" s="1143" t="n"/>
      <c r="L84" s="1142" t="n"/>
      <c r="M84" s="1299" t="n"/>
      <c r="N84" s="218">
        <f>$CA84&amp;$CB84</f>
        <v/>
      </c>
      <c r="CA84" s="379">
        <f>IF(AND(B84&gt;0,L84="")," No olvide digitar la variable Pueblos Originarios. Digite cero si no tiene.",IF(L84&gt;B84," * La variable Pueblos Originarios no puede ser mayor al Total.",""))</f>
        <v/>
      </c>
      <c r="CB84" s="379">
        <f>IF(AND(B84&gt;0,M84="")," No olvide digitar la variable Migrantes. Digite cero si no tiene.",IF(M84&gt;B84," * La variable Migrantes no puede ser mayor al Total.",""))</f>
        <v/>
      </c>
      <c r="CG84" s="376">
        <f>IF(AND(B84&gt;0,L84=""),1,IF(L84&gt;B84,1,0))</f>
        <v/>
      </c>
      <c r="CH84" s="376">
        <f>IF(AND(B84&gt;0,M84=""),1,IF(M84&gt;B84,1,0))</f>
        <v/>
      </c>
    </row>
    <row r="85" ht="21" customHeight="1" s="8286">
      <c r="A85" s="3239" t="inlineStr">
        <is>
          <t>GESTANTES EVALUADAS PARA HEPATITIS B EN PARTOS</t>
        </is>
      </c>
      <c r="B85" s="3250" t="n"/>
      <c r="C85" s="3243" t="n"/>
      <c r="D85" s="3243" t="n"/>
      <c r="E85" s="3243" t="n"/>
      <c r="F85" s="3243" t="n"/>
      <c r="G85" s="3243" t="n"/>
      <c r="H85" s="3243" t="n"/>
      <c r="I85" s="3243" t="n"/>
      <c r="J85" s="3243" t="n"/>
      <c r="K85" s="397" t="n"/>
      <c r="L85" s="5430" t="n"/>
      <c r="M85" s="5432" t="n"/>
      <c r="CA85" s="227" t="n"/>
    </row>
    <row r="86">
      <c r="A86" s="2620" t="inlineStr">
        <is>
          <t xml:space="preserve">Gestantes con solicitud de estudio serológico para Hepatitis B </t>
        </is>
      </c>
      <c r="B86" s="3248">
        <f>SUM(C86:K86)</f>
        <v/>
      </c>
      <c r="C86" s="1452" t="n"/>
      <c r="D86" s="1452" t="n"/>
      <c r="E86" s="1452" t="n"/>
      <c r="F86" s="1452" t="n"/>
      <c r="G86" s="1452" t="n"/>
      <c r="H86" s="1452" t="n"/>
      <c r="I86" s="1452" t="n"/>
      <c r="J86" s="1452" t="n"/>
      <c r="K86" s="778" t="n"/>
      <c r="L86" s="22" t="n"/>
      <c r="M86" s="3227" t="n"/>
      <c r="N86" s="218">
        <f>$CA86&amp;$CB86</f>
        <v/>
      </c>
      <c r="CA86" s="379">
        <f>IF(AND(B86&gt;0,L86="")," No olvide digitar la variable Pueblos Originarios. Digite cero si no tiene.",IF(L86&gt;B86," * La variable Pueblos Originarios no puede ser mayor al Total.",""))</f>
        <v/>
      </c>
      <c r="CB86" s="379">
        <f>IF(AND(B86&gt;0,M86="")," No olvide digitar la variable Migrantes. Digite cero si no tiene.",IF(M86&gt;B86," * La variable Migrantes no puede ser mayor al Total.",""))</f>
        <v/>
      </c>
      <c r="CG86" s="376">
        <f>IF(AND(B86&gt;0,L86=""),1,IF(L86&gt;B86,1,0))</f>
        <v/>
      </c>
      <c r="CH86" s="376">
        <f>IF(AND(B86&gt;0,M86=""),1,IF(M86&gt;B86,1,0))</f>
        <v/>
      </c>
    </row>
    <row r="87">
      <c r="A87" s="2620" t="inlineStr">
        <is>
          <t xml:space="preserve">Gestantes con estudio serológico positivo confirmado para Hepatitis B </t>
        </is>
      </c>
      <c r="B87" s="3248">
        <f>SUM(C87:K87)</f>
        <v/>
      </c>
      <c r="C87" s="1452" t="n"/>
      <c r="D87" s="1452" t="n"/>
      <c r="E87" s="1452" t="n"/>
      <c r="F87" s="1452" t="n"/>
      <c r="G87" s="1452" t="n"/>
      <c r="H87" s="1452" t="n"/>
      <c r="I87" s="1452" t="n"/>
      <c r="J87" s="1452" t="n"/>
      <c r="K87" s="778" t="n"/>
      <c r="L87" s="22" t="n"/>
      <c r="M87" s="3227" t="n"/>
      <c r="N87" s="218">
        <f>$CA87&amp;$CB87</f>
        <v/>
      </c>
      <c r="CA87" s="379">
        <f>IF(AND(B87&gt;0,L87="")," No olvide digitar la variable Pueblos Originarios. Digite cero si no tiene.",IF(L87&gt;B87," * La variable Pueblos Originarios no puede ser mayor al Total.",""))</f>
        <v/>
      </c>
      <c r="CB87" s="379">
        <f>IF(AND(B87&gt;0,M87="")," No olvide digitar la variable Migrantes. Digite cero si no tiene.",IF(M87&gt;B87," * La variable Migrantes no puede ser mayor al Total.",""))</f>
        <v/>
      </c>
      <c r="CG87" s="376">
        <f>IF(AND(B87&gt;0,L87=""),1,IF(L87&gt;B87,1,0))</f>
        <v/>
      </c>
      <c r="CH87" s="376">
        <f>IF(AND(B87&gt;0,M87=""),1,IF(M87&gt;B87,1,0))</f>
        <v/>
      </c>
    </row>
    <row r="88" ht="21" customHeight="1" s="8286">
      <c r="A88" s="3249" t="inlineStr">
        <is>
          <t>Gestantes con Hepatitis B positivo derivada con especialista (Gastroenterólogo, hepatólogo u otro)</t>
        </is>
      </c>
      <c r="B88" s="1214">
        <f>SUM(C88:K88)</f>
        <v/>
      </c>
      <c r="C88" s="1140" t="n"/>
      <c r="D88" s="1140" t="n"/>
      <c r="E88" s="1140" t="n"/>
      <c r="F88" s="1140" t="n"/>
      <c r="G88" s="1140" t="n"/>
      <c r="H88" s="1140" t="n"/>
      <c r="I88" s="1140" t="n"/>
      <c r="J88" s="1140" t="n"/>
      <c r="K88" s="1143" t="n"/>
      <c r="L88" s="5350" t="n"/>
      <c r="M88" s="5417" t="n"/>
      <c r="N88" s="218">
        <f>$CA88&amp;$CB88</f>
        <v/>
      </c>
      <c r="CA88" s="379">
        <f>IF(AND(B88&gt;0,L88="")," No olvide digitar la variable Pueblos Originarios. Digite cero si no tiene.",IF(L88&gt;B88," * La variable Pueblos Originarios no puede ser mayor al Total.",""))</f>
        <v/>
      </c>
      <c r="CB88" s="379">
        <f>IF(AND(B88&gt;0,M88="")," No olvide digitar la variable Migrantes. Digite cero si no tiene.",IF(M88&gt;B88," * La variable Migrantes no puede ser mayor al Total.",""))</f>
        <v/>
      </c>
      <c r="CG88" s="376">
        <f>IF(AND(B88&gt;0,L88=""),1,IF(L88&gt;B88,1,0))</f>
        <v/>
      </c>
      <c r="CH88" s="376">
        <f>IF(AND(B88&gt;0,M88=""),1,IF(M88&gt;B88,1,0))</f>
        <v/>
      </c>
    </row>
    <row r="89" ht="18" customHeight="1" s="8286">
      <c r="A89" s="8595" t="inlineStr">
        <is>
          <t>SECCION J: PROFILAXIS DE TRANSMISIÓN VERTICAL APLICADA AL RECIEN NACIDO, HIJO DE MADRE HEPATITIS B POSITIVA</t>
        </is>
      </c>
      <c r="CA89" s="227" t="n"/>
    </row>
    <row r="90" ht="21" customHeight="1" s="8286">
      <c r="A90" s="8570" t="n"/>
      <c r="B90" s="8568" t="inlineStr">
        <is>
          <t>TOTAL</t>
        </is>
      </c>
      <c r="C90" s="5433" t="inlineStr">
        <is>
          <t>Pueblos Originarios</t>
        </is>
      </c>
      <c r="D90" s="9386" t="inlineStr">
        <is>
          <t>Migrantes</t>
        </is>
      </c>
      <c r="CA90" s="227" t="n"/>
    </row>
    <row r="91" ht="22.5" customHeight="1" s="8286">
      <c r="A91" s="3216" t="inlineStr">
        <is>
          <t>Recién nacidos hijos de madre Hepatitis B positiva, nacidos en el periodo</t>
        </is>
      </c>
      <c r="B91" s="2661" t="n"/>
      <c r="C91" s="22" t="n"/>
      <c r="D91" s="3227" t="n"/>
      <c r="E91" s="218">
        <f>CA91&amp;CB91</f>
        <v/>
      </c>
      <c r="CA91" s="379">
        <f>IF(AND(B91&gt;0,C91="")," No olvide digitar la variable Pueblos Originarios. Digite cero si no tiene.",IF(C91&gt;B91," * La variable Pueblos Originarios no puede ser mayor al Total.",""))</f>
        <v/>
      </c>
      <c r="CB91" s="379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/>
      </c>
      <c r="CH91" s="376">
        <f>IF(AND(B91&gt;0,D91=""),1,IF(D91&gt;B91,1,0))</f>
        <v/>
      </c>
    </row>
    <row r="92" ht="21" customHeight="1" s="8286">
      <c r="A92" s="3249" t="inlineStr">
        <is>
          <t>Recién nacidos hijos de madre Hepatitis B positiva que recibieron profilaxis completa, según la normativa vigente</t>
        </is>
      </c>
      <c r="B92" s="1420" t="n"/>
      <c r="C92" s="1142" t="n"/>
      <c r="D92" s="1299" t="n"/>
      <c r="E92" s="218">
        <f>CA92&amp;CB92</f>
        <v/>
      </c>
      <c r="CA92" s="379">
        <f>IF(AND(B92&gt;0,C92="")," No olvide digitar la variable Pueblos Originarios. Digite cero si no tiene.",IF(C92&gt;B92," * La variable Pueblos Originarios no puede ser mayor al Total.",""))</f>
        <v/>
      </c>
      <c r="CB92" s="379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/>
      </c>
      <c r="CH92" s="376">
        <f>IF(AND(B92&gt;0,D92=""),1,IF(D92&gt;B92,1,0))</f>
        <v/>
      </c>
    </row>
    <row r="93" ht="18" customHeight="1" s="8286">
      <c r="A93" s="10331" t="inlineStr">
        <is>
          <t>SECCION K: SEGUIMIENTO DE NIÑOS Y NIÑAS AL AÑO DE VIDA</t>
        </is>
      </c>
      <c r="B93" s="10190" t="n"/>
      <c r="C93" s="10190" t="n"/>
      <c r="D93" s="10190" t="n"/>
      <c r="CA93" s="227" t="n"/>
    </row>
    <row r="94" ht="21" customHeight="1" s="8286">
      <c r="A94" s="8570" t="n"/>
      <c r="B94" s="8568" t="inlineStr">
        <is>
          <t>TOTAL</t>
        </is>
      </c>
      <c r="C94" s="5433" t="inlineStr">
        <is>
          <t>Pueblos Originarios</t>
        </is>
      </c>
      <c r="D94" s="9386" t="inlineStr">
        <is>
          <t>Migrantes</t>
        </is>
      </c>
      <c r="CA94" s="227" t="n"/>
    </row>
    <row r="95" ht="17.25" customHeight="1" s="8286">
      <c r="A95" s="2620" t="inlineStr">
        <is>
          <t>Niños/as hijos de madre Hepatitis B positiva evaluados al año de vida</t>
        </is>
      </c>
      <c r="B95" s="2661" t="n"/>
      <c r="C95" s="22" t="n"/>
      <c r="D95" s="3227" t="n"/>
      <c r="E95" s="218">
        <f>CA95&amp;CB95</f>
        <v/>
      </c>
      <c r="CA95" s="379">
        <f>IF(AND(B95&gt;0,C95="")," No olvide digitar la variable Pueblos Originarios. Digite cero si no tiene.",IF(C95&gt;B95," * La variable Pueblos Originarios no puede ser mayor al Total.",""))</f>
        <v/>
      </c>
      <c r="CB95" s="379">
        <f>IF(AND(B95&gt;0,D95="")," No olvide digitar la variable Migrantes. Digite cero si no tiene.",IF(D95&gt;B95," * La variable Migrantes no puede ser mayor al Total.",""))</f>
        <v/>
      </c>
      <c r="CG95" s="376">
        <f>IF(AND(B95&gt;0,C95=""),1,IF(C95&gt;B95,1,0))</f>
        <v/>
      </c>
      <c r="CH95" s="376">
        <f>IF(AND(B95&gt;0,D95=""),1,IF(D95&gt;B95,1,0))</f>
        <v/>
      </c>
    </row>
    <row r="96" ht="22.5" customHeight="1" s="8286">
      <c r="A96" s="1958" t="inlineStr">
        <is>
          <t>Niños/as hijos de madre Hepatitis B positiva, evaluados al año de vida, confirmado positivo de transmisión vertical para Hepatitis B</t>
        </is>
      </c>
      <c r="B96" s="1420" t="n"/>
      <c r="C96" s="1142" t="n"/>
      <c r="D96" s="1299" t="n"/>
      <c r="E96" s="218">
        <f>CA96&amp;CB96</f>
        <v/>
      </c>
      <c r="CA96" s="379">
        <f>IF(AND(B96&gt;0,C96="")," No olvide digitar la variable Pueblos Originarios. Digite cero si no tiene.",IF(C96&gt;B96," * La variable Pueblos Originarios no puede ser mayor al Total.",""))</f>
        <v/>
      </c>
      <c r="CB96" s="379">
        <f>IF(AND(B96&gt;0,D96="")," No olvide digitar la variable Migrantes. Digite cero si no tiene.",IF(D96&gt;B96," * La variable Migrantes no puede ser mayor al Total.",""))</f>
        <v/>
      </c>
      <c r="CG96" s="376">
        <f>IF(AND(B96&gt;0,C96=""),1,IF(C96&gt;B96,1,0))</f>
        <v/>
      </c>
      <c r="CH96" s="376">
        <f>IF(AND(B96&gt;0,D96=""),1,IF(D96&gt;B96,1,0))</f>
        <v/>
      </c>
    </row>
    <row r="97">
      <c r="A97" s="8614" t="inlineStr">
        <is>
          <t>SECCIÓN L: SCREENING ENFERMEDAD DE CHAGAS PARA EMBARAZADAS, PUERPERAS Y MUJERES EN EDAD FÉRTIL</t>
        </is>
      </c>
      <c r="S97" s="227" t="n"/>
      <c r="T97" s="227" t="n"/>
    </row>
    <row r="98">
      <c r="A98" s="10329" t="inlineStr">
        <is>
          <t>CONDICIÓN</t>
        </is>
      </c>
      <c r="B98" s="10329" t="inlineStr">
        <is>
          <t>TOTAL</t>
        </is>
      </c>
      <c r="C98" s="4568" t="inlineStr">
        <is>
          <t xml:space="preserve">GRUPO DE EDAD </t>
        </is>
      </c>
      <c r="D98" s="9584" t="n"/>
      <c r="E98" s="9584" t="n"/>
      <c r="F98" s="9584" t="n"/>
      <c r="G98" s="9584" t="n"/>
      <c r="H98" s="9584" t="n"/>
      <c r="I98" s="9584" t="n"/>
      <c r="J98" s="9584" t="n"/>
      <c r="K98" s="9584" t="n"/>
      <c r="L98" s="9647" t="n"/>
      <c r="M98" s="10330" t="inlineStr">
        <is>
          <t>Pueblos Originarios</t>
        </is>
      </c>
      <c r="N98" s="10326" t="inlineStr">
        <is>
          <t>Migrantes</t>
        </is>
      </c>
    </row>
    <row r="99" ht="21" customHeight="1" s="8286">
      <c r="A99" s="9589" t="n"/>
      <c r="B99" s="9589" t="n"/>
      <c r="C99" s="3170" t="inlineStr">
        <is>
          <t>10 - 14 años</t>
        </is>
      </c>
      <c r="D99" s="3251" t="inlineStr">
        <is>
          <t>15 - 19 años</t>
        </is>
      </c>
      <c r="E99" s="3251" t="inlineStr">
        <is>
          <t>20 - 24 años</t>
        </is>
      </c>
      <c r="F99" s="3251" t="inlineStr">
        <is>
          <t>25 - 29 años</t>
        </is>
      </c>
      <c r="G99" s="3251" t="inlineStr">
        <is>
          <t>30 - 34 años</t>
        </is>
      </c>
      <c r="H99" s="3251" t="inlineStr">
        <is>
          <t>35 - 39 años</t>
        </is>
      </c>
      <c r="I99" s="3251" t="inlineStr">
        <is>
          <t>40 - 44 años</t>
        </is>
      </c>
      <c r="J99" s="3251" t="inlineStr">
        <is>
          <t>45 - 49 años</t>
        </is>
      </c>
      <c r="K99" s="3251" t="inlineStr">
        <is>
          <t>50 - 54 años</t>
        </is>
      </c>
      <c r="L99" s="8549" t="inlineStr">
        <is>
          <t>55 y más años</t>
        </is>
      </c>
      <c r="M99" s="9890" t="n"/>
      <c r="N99" s="9610" t="n"/>
    </row>
    <row r="100">
      <c r="A100" s="3252" t="inlineStr">
        <is>
          <t>Gestantes con examen de Chagas solicitado</t>
        </is>
      </c>
      <c r="B100" s="3253">
        <f>SUM(C100:L100)</f>
        <v/>
      </c>
      <c r="C100" s="1935" t="n"/>
      <c r="D100" s="793" t="n">
        <v>1</v>
      </c>
      <c r="E100" s="793" t="n">
        <v>1</v>
      </c>
      <c r="F100" s="793" t="n">
        <v>8</v>
      </c>
      <c r="G100" s="793" t="n">
        <v>7</v>
      </c>
      <c r="H100" s="793" t="n">
        <v>2</v>
      </c>
      <c r="I100" s="793" t="n">
        <v>1</v>
      </c>
      <c r="J100" s="793" t="n"/>
      <c r="K100" s="793" t="n"/>
      <c r="L100" s="1297" t="n"/>
      <c r="M100" s="5215" t="n">
        <v>0</v>
      </c>
      <c r="N100" s="1964" t="n">
        <v>3</v>
      </c>
      <c r="O100" s="226" t="inlineStr"/>
      <c r="CA100" s="379">
        <f>IF(AND($B100&gt;0,M100="")," No olvide digitar la variable Pueblos Originarios. Digite cero si no tiene.",IF(M100&gt;$B100," * La variable Pueblos Originarios no puede ser mayor al Total.",""))</f>
        <v/>
      </c>
      <c r="CB100" s="379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/>
      </c>
      <c r="CH100" s="376">
        <f>IF(AND(B100&gt;0,N100=""),1,IF(N100&gt;B100,1,0))</f>
        <v/>
      </c>
    </row>
    <row r="101">
      <c r="A101" s="3254" t="inlineStr">
        <is>
          <t>Gestantes con examen de Chagas informado</t>
        </is>
      </c>
      <c r="B101" s="3255">
        <f>SUM(C101:L101)</f>
        <v/>
      </c>
      <c r="C101" s="3196" t="n"/>
      <c r="D101" s="2001" t="n">
        <v>1</v>
      </c>
      <c r="E101" s="2001" t="n">
        <v>1</v>
      </c>
      <c r="F101" s="2001" t="n">
        <v>3</v>
      </c>
      <c r="G101" s="2001" t="n">
        <v>2</v>
      </c>
      <c r="H101" s="2001" t="n">
        <v>3</v>
      </c>
      <c r="I101" s="2001" t="n"/>
      <c r="J101" s="2001" t="n"/>
      <c r="K101" s="2001" t="n"/>
      <c r="L101" s="3256" t="n"/>
      <c r="M101" s="5215" t="n">
        <v>0</v>
      </c>
      <c r="N101" s="3892" t="n">
        <v>0</v>
      </c>
      <c r="O101" s="226" t="inlineStr"/>
      <c r="CA101" s="379">
        <f>IF(AND($B101&gt;0,M101="")," No olvide digitar la variable Pueblos Originarios. Digite cero si no tiene.",IF(M101&gt;$B101," * La variable Pueblos Originarios no puede ser mayor al Total.",""))</f>
        <v/>
      </c>
      <c r="CB101" s="379">
        <f>IF(AND($B101&gt;0,N101="")," No olvide digitar la variable Migrantes. Digite cero si no tiene.",IF(N101&gt;$B101," * La variable Migrantes no puede ser mayor al Total.",""))</f>
        <v/>
      </c>
      <c r="CG101" s="376">
        <f>IF(AND(B101&gt;0,M101=""),1,IF(M101&gt;B101,1,0))</f>
        <v/>
      </c>
      <c r="CH101" s="376">
        <f>IF(AND(B101&gt;0,N101=""),1,IF(N101&gt;B101,1,0))</f>
        <v/>
      </c>
    </row>
    <row r="102">
      <c r="A102" s="3254" t="inlineStr">
        <is>
          <t>Gestantes con examen de Chagas confirmado</t>
        </is>
      </c>
      <c r="B102" s="3257">
        <f>SUM(C102:L102)</f>
        <v/>
      </c>
      <c r="C102" s="3196" t="n"/>
      <c r="D102" s="2001" t="n"/>
      <c r="E102" s="2001" t="n"/>
      <c r="F102" s="2001" t="n"/>
      <c r="G102" s="2001" t="n"/>
      <c r="H102" s="2001" t="n"/>
      <c r="I102" s="2001" t="n"/>
      <c r="J102" s="2001" t="n"/>
      <c r="K102" s="2001" t="n"/>
      <c r="L102" s="3256" t="n"/>
      <c r="M102" s="5215" t="n"/>
      <c r="N102" s="3892" t="n"/>
      <c r="O102" s="226" t="inlineStr"/>
      <c r="CA102" s="379">
        <f>IF(AND($B102&gt;0,M102="")," No olvide digitar la variable Pueblos Originarios. Digite cero si no tiene.",IF(M102&gt;$B102," * La variable Pueblos Originarios no puede ser mayor al Total.",""))</f>
        <v/>
      </c>
      <c r="CB102" s="379">
        <f>IF(AND($B102&gt;0,N102="")," No olvide digitar la variable Migrantes. Digite cero si no tiene.",IF(N102&gt;$B102," * La variable Migrantes no puede ser mayor al Total.",""))</f>
        <v/>
      </c>
      <c r="CG102" s="376">
        <f>IF(AND(B102&gt;0,M102=""),1,IF(M102&gt;B102,1,0))</f>
        <v/>
      </c>
      <c r="CH102" s="376">
        <f>IF(AND(B102&gt;0,N102=""),1,IF(N102&gt;B102,1,0))</f>
        <v/>
      </c>
    </row>
    <row r="103" ht="21" customHeight="1" s="8286">
      <c r="A103" s="3254" t="inlineStr">
        <is>
          <t>Gestantes que ingresan a maternidad sin examen de enfermedad de Chagas</t>
        </is>
      </c>
      <c r="B103" s="3257">
        <f>SUM(C103:L103)</f>
        <v/>
      </c>
      <c r="C103" s="3196" t="n"/>
      <c r="D103" s="2001" t="n"/>
      <c r="E103" s="2001" t="n"/>
      <c r="F103" s="2001" t="n"/>
      <c r="G103" s="2001" t="n"/>
      <c r="H103" s="2001" t="n"/>
      <c r="I103" s="2001" t="n"/>
      <c r="J103" s="2001" t="n"/>
      <c r="K103" s="2001" t="n"/>
      <c r="L103" s="3256" t="n"/>
      <c r="M103" s="5215" t="n"/>
      <c r="N103" s="3892" t="n"/>
      <c r="O103" s="226" t="inlineStr"/>
      <c r="CA103" s="379">
        <f>IF(AND($B103&gt;0,M103="")," No olvide digitar la variable Pueblos Originarios. Digite cero si no tiene.",IF(M103&gt;$B103," * La variable Pueblos Originarios no puede ser mayor al Total.",""))</f>
        <v/>
      </c>
      <c r="CB103" s="379">
        <f>IF(AND($B103&gt;0,N103="")," No olvide digitar la variable Migrantes. Digite cero si no tiene.",IF(N103&gt;$B103," * La variable Migrantes no puede ser mayor al Total.",""))</f>
        <v/>
      </c>
      <c r="CG103" s="376">
        <f>IF(AND(B103&gt;0,M103=""),1,IF(M103&gt;B103,1,0))</f>
        <v/>
      </c>
      <c r="CH103" s="376">
        <f>IF(AND(B103&gt;0,N103=""),1,IF(N103&gt;B103,1,0))</f>
        <v/>
      </c>
    </row>
    <row r="104">
      <c r="A104" s="3254" t="inlineStr">
        <is>
          <t>Mujeres en Control Preconcepcional</t>
        </is>
      </c>
      <c r="B104" s="3257">
        <f>SUM(C104:L104)</f>
        <v/>
      </c>
      <c r="C104" s="1179" t="n"/>
      <c r="D104" s="1228" t="n"/>
      <c r="E104" s="1228" t="n"/>
      <c r="F104" s="1228" t="n"/>
      <c r="G104" s="1228" t="n"/>
      <c r="H104" s="1228" t="n"/>
      <c r="I104" s="1228" t="n"/>
      <c r="J104" s="1228" t="n"/>
      <c r="K104" s="1228" t="n"/>
      <c r="L104" s="1231" t="n"/>
      <c r="M104" s="5248" t="n"/>
      <c r="N104" s="1229" t="n"/>
      <c r="O104" s="226" t="n"/>
      <c r="CA104" s="379">
        <f>IF(AND($B104&gt;0,M104="")," No olvide digitar la variable Pueblos Originarios. Digite cero si no tiene.",IF(M104&gt;$B104," * La variable Pueblos Originarios no puede ser mayor al Total.",""))</f>
        <v/>
      </c>
      <c r="CB104" s="379">
        <f>IF(AND($B104&gt;0,N104="")," No olvide digitar la variable Migrantes. Digite cero si no tiene.",IF(N104&gt;$B104," * La variable Migrantes no puede ser mayor al Total.",""))</f>
        <v/>
      </c>
      <c r="CG104" s="376">
        <f>IF(AND(B104&gt;0,M104=""),1,IF(M104&gt;B104,1,0))</f>
        <v/>
      </c>
      <c r="CH104" s="376">
        <f>IF(AND(B104&gt;0,N104=""),1,IF(N104&gt;B104,1,0))</f>
        <v/>
      </c>
    </row>
    <row r="105">
      <c r="A105" s="3258" t="inlineStr">
        <is>
          <t>Mujeres en Control de Regulación de Fecundidad</t>
        </is>
      </c>
      <c r="B105" s="1424">
        <f>SUM(C105:L105)</f>
        <v/>
      </c>
      <c r="C105" s="1188" t="n"/>
      <c r="D105" s="1118" t="n"/>
      <c r="E105" s="1118" t="n"/>
      <c r="F105" s="1118" t="n"/>
      <c r="G105" s="1118" t="n"/>
      <c r="H105" s="1118" t="n"/>
      <c r="I105" s="1118" t="n"/>
      <c r="J105" s="1118" t="n"/>
      <c r="K105" s="1118" t="n"/>
      <c r="L105" s="1226" t="n"/>
      <c r="M105" s="5249" t="n"/>
      <c r="N105" s="1223" t="n"/>
      <c r="O105" s="226" t="inlineStr"/>
      <c r="CA105" s="379">
        <f>IF(AND($B105&gt;0,M105="")," No olvide digitar la variable Pueblos Originarios. Digite cero si no tiene.",IF(M105&gt;$B105," * La variable Pueblos Originarios no puede ser mayor al Total.",""))</f>
        <v/>
      </c>
      <c r="CB105" s="379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/>
      </c>
      <c r="CH105" s="376">
        <f>IF(AND(B105&gt;0,N105=""),1,IF(N105&gt;B105,1,0))</f>
        <v/>
      </c>
    </row>
    <row r="106">
      <c r="A106" s="10323" t="inlineStr">
        <is>
          <t xml:space="preserve">SECCIÓN M: DIAGNÓSTICO TRANSMISIÓN VERTICAL MADRE HIJO/A CON ENFERMEDAD DE CHAGAS </t>
        </is>
      </c>
      <c r="B106" s="10190" t="n"/>
      <c r="C106" s="10190" t="n"/>
      <c r="D106" s="10190" t="n"/>
      <c r="E106" s="10190" t="n"/>
      <c r="F106" s="10190" t="n"/>
      <c r="G106" s="10190" t="n"/>
      <c r="H106" s="10190" t="n"/>
      <c r="I106" s="10190" t="n"/>
      <c r="J106" s="10190" t="n"/>
      <c r="K106" s="10190" t="n"/>
      <c r="L106" s="10190" t="n"/>
      <c r="M106" s="10190" t="n"/>
      <c r="N106" s="10190" t="n"/>
      <c r="O106" s="10190" t="n"/>
      <c r="P106" s="10190" t="n"/>
      <c r="Q106" s="10190" t="n"/>
      <c r="R106" s="10190" t="n"/>
      <c r="S106" s="64" t="n"/>
      <c r="T106" s="64" t="n"/>
      <c r="U106" s="5" t="n"/>
      <c r="V106" s="5" t="n"/>
      <c r="W106" s="5" t="n"/>
      <c r="X106" s="5" t="n"/>
      <c r="Y106" s="5" t="n"/>
      <c r="Z106" s="5" t="n"/>
      <c r="AA106" s="5" t="n"/>
      <c r="AB106" s="5" t="n"/>
      <c r="AC106" s="5" t="n"/>
      <c r="AD106" s="5" t="n"/>
      <c r="AE106" s="5" t="n"/>
      <c r="AF106" s="5" t="n"/>
      <c r="AG106" s="5" t="n"/>
      <c r="AH106" s="5" t="n"/>
      <c r="AI106" s="5" t="n"/>
      <c r="AJ106" s="5" t="n"/>
    </row>
    <row r="107">
      <c r="A107" s="10329" t="inlineStr">
        <is>
          <t xml:space="preserve"> CONDICIÓN</t>
        </is>
      </c>
      <c r="B107" s="10329" t="inlineStr">
        <is>
          <t>TOTAL</t>
        </is>
      </c>
      <c r="C107" s="10317" t="inlineStr">
        <is>
          <t>RANGO ETARIO</t>
        </is>
      </c>
      <c r="D107" s="9584" t="n"/>
      <c r="E107" s="9584" t="n"/>
      <c r="F107" s="9584" t="n"/>
      <c r="G107" s="9584" t="n"/>
      <c r="H107" s="9584" t="n"/>
      <c r="I107" s="9584" t="n"/>
      <c r="J107" s="9584" t="n"/>
      <c r="K107" s="9584" t="n"/>
      <c r="L107" s="9584" t="n"/>
      <c r="M107" s="9584" t="n"/>
      <c r="N107" s="9584" t="n"/>
      <c r="O107" s="9584" t="n"/>
      <c r="P107" s="9584" t="n"/>
      <c r="Q107" s="9584" t="n"/>
      <c r="R107" s="9595" t="n"/>
      <c r="S107" s="10330" t="inlineStr">
        <is>
          <t>Pueblos Originarios</t>
        </is>
      </c>
      <c r="T107" s="10326" t="inlineStr">
        <is>
          <t>Migrantes</t>
        </is>
      </c>
    </row>
    <row r="108" ht="21" customHeight="1" s="8286">
      <c r="A108" s="9589" t="n"/>
      <c r="B108" s="9589" t="n"/>
      <c r="C108" s="3170" t="inlineStr">
        <is>
          <t>Menos de 1 mes</t>
        </is>
      </c>
      <c r="D108" s="3251" t="inlineStr">
        <is>
          <t>1 mes</t>
        </is>
      </c>
      <c r="E108" s="3251" t="inlineStr">
        <is>
          <t>2 meses</t>
        </is>
      </c>
      <c r="F108" s="3251" t="inlineStr">
        <is>
          <t>3 meses</t>
        </is>
      </c>
      <c r="G108" s="3251" t="inlineStr">
        <is>
          <t>4 meses</t>
        </is>
      </c>
      <c r="H108" s="3251" t="inlineStr">
        <is>
          <t>5 meses</t>
        </is>
      </c>
      <c r="I108" s="3251" t="inlineStr">
        <is>
          <t>6 meses</t>
        </is>
      </c>
      <c r="J108" s="3251" t="inlineStr">
        <is>
          <t>7 meses</t>
        </is>
      </c>
      <c r="K108" s="3251" t="inlineStr">
        <is>
          <t>8 meses</t>
        </is>
      </c>
      <c r="L108" s="3251" t="inlineStr">
        <is>
          <t>9 meses</t>
        </is>
      </c>
      <c r="M108" s="3251" t="inlineStr">
        <is>
          <t>10 meses</t>
        </is>
      </c>
      <c r="N108" s="3251" t="inlineStr">
        <is>
          <t>11 meses</t>
        </is>
      </c>
      <c r="O108" s="3251" t="inlineStr">
        <is>
          <t>12 meses</t>
        </is>
      </c>
      <c r="P108" s="3259" t="inlineStr">
        <is>
          <t>13 meses</t>
        </is>
      </c>
      <c r="Q108" s="3259" t="inlineStr">
        <is>
          <t>14 meses</t>
        </is>
      </c>
      <c r="R108" s="3260" t="inlineStr">
        <is>
          <t>15 meses</t>
        </is>
      </c>
      <c r="S108" s="9890" t="n"/>
      <c r="T108" s="9610" t="n"/>
    </row>
    <row r="109">
      <c r="A109" s="3252" t="inlineStr">
        <is>
          <t xml:space="preserve">Hijos/as de Madre con Enfermedad de Chagas nacidos en el periodo </t>
        </is>
      </c>
      <c r="B109" s="3253">
        <f>SUM(C109:R109)</f>
        <v/>
      </c>
      <c r="C109" s="3261" t="n"/>
      <c r="D109" s="835" t="n"/>
      <c r="E109" s="835" t="n"/>
      <c r="F109" s="835" t="n"/>
      <c r="G109" s="835" t="n"/>
      <c r="H109" s="835" t="n"/>
      <c r="I109" s="835" t="n"/>
      <c r="J109" s="835" t="n"/>
      <c r="K109" s="835" t="n"/>
      <c r="L109" s="835" t="n"/>
      <c r="M109" s="835" t="n"/>
      <c r="N109" s="835" t="n"/>
      <c r="O109" s="835" t="n"/>
      <c r="P109" s="835" t="n"/>
      <c r="Q109" s="835" t="n"/>
      <c r="R109" s="3262" t="n"/>
      <c r="S109" s="5213" t="n"/>
      <c r="T109" s="5189" t="n"/>
      <c r="U109" s="226" t="inlineStr"/>
      <c r="CA109" s="379">
        <f>IF(AND($B109&gt;0,S109="")," No olvide digitar la variable Pueblos Originarios. Digite cero si no tiene.",IF(S109&gt;$B109," * La variable Pueblos Originarios no puede ser mayor al Total.",""))</f>
        <v/>
      </c>
      <c r="CB109" s="379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/>
      </c>
      <c r="CH109" s="376">
        <f>IF(AND(B109&gt;0,T109=""),1,IF(T109&gt;B109,1,0))</f>
        <v/>
      </c>
    </row>
    <row r="110" ht="21" customHeight="1" s="8286">
      <c r="A110" s="3254" t="inlineStr">
        <is>
          <t>Hijos/as de Madre con Enfermedad de Chagas con diagnóstico directo realizado</t>
        </is>
      </c>
      <c r="B110" s="3264">
        <f>SUM(C110:R110)</f>
        <v/>
      </c>
      <c r="C110" s="3196" t="n"/>
      <c r="D110" s="2001" t="n"/>
      <c r="E110" s="2001" t="n"/>
      <c r="F110" s="2001" t="n"/>
      <c r="G110" s="2001" t="n"/>
      <c r="H110" s="2001" t="n"/>
      <c r="I110" s="2001" t="n"/>
      <c r="J110" s="2001" t="n"/>
      <c r="K110" s="2001" t="n"/>
      <c r="L110" s="2001" t="n"/>
      <c r="M110" s="2001" t="n"/>
      <c r="N110" s="2001" t="n"/>
      <c r="O110" s="2001" t="n"/>
      <c r="P110" s="2001" t="n"/>
      <c r="Q110" s="2001" t="n"/>
      <c r="R110" s="3256" t="n"/>
      <c r="S110" s="5215" t="n"/>
      <c r="T110" s="3892" t="n"/>
      <c r="U110" s="226" t="inlineStr"/>
      <c r="CA110" s="379">
        <f>IF(AND($B110&gt;0,S110="")," No olvide digitar la variable Pueblos Originarios. Digite cero si no tiene.",IF(S110&gt;$B110," * La variable Pueblos Originarios no puede ser mayor al Total.",""))</f>
        <v/>
      </c>
      <c r="CB110" s="379">
        <f>IF(AND($B110&gt;0,T110="")," No olvide digitar la variable Migrantes. Digite cero si no tiene.",IF(T110&gt;$B110," * La variable Migrantes no puede ser mayor al Total.",""))</f>
        <v/>
      </c>
      <c r="CG110" s="376">
        <f>IF(AND(B110&gt;0,S110=""),1,IF(S110&gt;B110,1,0))</f>
        <v/>
      </c>
      <c r="CH110" s="376">
        <f>IF(AND(B110&gt;0,T110=""),1,IF(T110&gt;B110,1,0))</f>
        <v/>
      </c>
    </row>
    <row r="111" ht="22.5" customHeight="1" s="8286">
      <c r="A111" s="3203" t="inlineStr">
        <is>
          <t xml:space="preserve">Hijos/as de Madre con Enfermedad de Chagas con diagnóstico finalizado e informado (1° muestra) </t>
        </is>
      </c>
      <c r="B111" s="3255">
        <f>SUM(C111:R111)</f>
        <v/>
      </c>
      <c r="C111" s="3196" t="n"/>
      <c r="D111" s="2001" t="n"/>
      <c r="E111" s="2001" t="n"/>
      <c r="F111" s="2001" t="n"/>
      <c r="G111" s="2001" t="n"/>
      <c r="H111" s="2001" t="n"/>
      <c r="I111" s="2001" t="n"/>
      <c r="J111" s="2001" t="n"/>
      <c r="K111" s="2001" t="n"/>
      <c r="L111" s="2001" t="n"/>
      <c r="M111" s="2001" t="n"/>
      <c r="N111" s="2001" t="n"/>
      <c r="O111" s="2001" t="n"/>
      <c r="P111" s="2001" t="n"/>
      <c r="Q111" s="2001" t="n"/>
      <c r="R111" s="3256" t="n"/>
      <c r="S111" s="5215" t="n"/>
      <c r="T111" s="3892" t="n"/>
      <c r="U111" s="226" t="inlineStr"/>
      <c r="CA111" s="379">
        <f>IF(AND($B111&gt;0,S111="")," No olvide digitar la variable Pueblos Originarios. Digite cero si no tiene.",IF(S111&gt;$B111," * La variable Pueblos Originarios no puede ser mayor al Total.",""))</f>
        <v/>
      </c>
      <c r="CB111" s="379">
        <f>IF(AND($B111&gt;0,T111="")," No olvide digitar la variable Migrantes. Digite cero si no tiene.",IF(T111&gt;$B111," * La variable Migrantes no puede ser mayor al Total.",""))</f>
        <v/>
      </c>
      <c r="CG111" s="376">
        <f>IF(AND(B111&gt;0,S111=""),1,IF(S111&gt;B111,1,0))</f>
        <v/>
      </c>
      <c r="CH111" s="376">
        <f>IF(AND(B111&gt;0,T111=""),1,IF(T111&gt;B111,1,0))</f>
        <v/>
      </c>
    </row>
    <row r="112" ht="22.5" customHeight="1" s="8286">
      <c r="A112" s="3265" t="inlineStr">
        <is>
          <t xml:space="preserve">Hijos/as de Madre con Enfermedad de Chagas con diagnóstico finalizado e informado (2° muestra) </t>
        </is>
      </c>
      <c r="B112" s="3257">
        <f>SUM(C112:R112)</f>
        <v/>
      </c>
      <c r="C112" s="3196" t="n"/>
      <c r="D112" s="2001" t="n"/>
      <c r="E112" s="2001" t="n"/>
      <c r="F112" s="2001" t="n"/>
      <c r="G112" s="2001" t="n"/>
      <c r="H112" s="2001" t="n"/>
      <c r="I112" s="2001" t="n"/>
      <c r="J112" s="2001" t="n"/>
      <c r="K112" s="2001" t="n"/>
      <c r="L112" s="2001" t="n"/>
      <c r="M112" s="2001" t="n"/>
      <c r="N112" s="2001" t="n"/>
      <c r="O112" s="2001" t="n"/>
      <c r="P112" s="2001" t="n"/>
      <c r="Q112" s="2001" t="n"/>
      <c r="R112" s="3256" t="n"/>
      <c r="S112" s="5215" t="n"/>
      <c r="T112" s="3892" t="n"/>
      <c r="U112" s="226" t="inlineStr"/>
      <c r="CA112" s="379">
        <f>IF(AND($B112&gt;0,S112="")," No olvide digitar la variable Pueblos Originarios. Digite cero si no tiene.",IF(S112&gt;$B112," * La variable Pueblos Originarios no puede ser mayor al Total.",""))</f>
        <v/>
      </c>
      <c r="CB112" s="379">
        <f>IF(AND($B112&gt;0,T112="")," No olvide digitar la variable Migrantes. Digite cero si no tiene.",IF(T112&gt;$B112," * La variable Migrantes no puede ser mayor al Total.",""))</f>
        <v/>
      </c>
      <c r="CG112" s="376">
        <f>IF(AND(B112&gt;0,S112=""),1,IF(S112&gt;B112,1,0))</f>
        <v/>
      </c>
      <c r="CH112" s="376">
        <f>IF(AND(B112&gt;0,T112=""),1,IF(T112&gt;B112,1,0))</f>
        <v/>
      </c>
    </row>
    <row r="113" ht="22.5" customHeight="1" s="8286">
      <c r="A113" s="3218" t="inlineStr">
        <is>
          <t xml:space="preserve">Hijos/as de Madre con enfermedad de Chagas con diagnóstico finalizado e informado (3° muestra) </t>
        </is>
      </c>
      <c r="B113" s="3266">
        <f>SUM(C113:R113)</f>
        <v/>
      </c>
      <c r="C113" s="2644" t="n"/>
      <c r="D113" s="155" t="n"/>
      <c r="E113" s="155" t="n"/>
      <c r="F113" s="155" t="n"/>
      <c r="G113" s="155" t="n"/>
      <c r="H113" s="155" t="n"/>
      <c r="I113" s="155" t="n"/>
      <c r="J113" s="155" t="n"/>
      <c r="K113" s="155" t="n"/>
      <c r="L113" s="155" t="n"/>
      <c r="M113" s="155" t="n"/>
      <c r="N113" s="155" t="n"/>
      <c r="O113" s="155" t="n"/>
      <c r="P113" s="155" t="n"/>
      <c r="Q113" s="155" t="n"/>
      <c r="R113" s="2647" t="n"/>
      <c r="S113" s="5360" t="n"/>
      <c r="T113" s="5362" t="n"/>
      <c r="U113" s="226" t="inlineStr"/>
      <c r="CA113" s="379">
        <f>IF(AND($B113&gt;0,S113="")," No olvide digitar la variable Pueblos Originarios. Digite cero si no tiene.",IF(S113&gt;$B113," * La variable Pueblos Originarios no puede ser mayor al Total.",""))</f>
        <v/>
      </c>
      <c r="CB113" s="379">
        <f>IF(AND($B113&gt;0,T113="")," No olvide digitar la variable Migrantes. Digite cero si no tiene.",IF(T113&gt;$B113," * La variable Migrantes no puede ser mayor al Total.",""))</f>
        <v/>
      </c>
      <c r="CG113" s="376">
        <f>IF(AND(B113&gt;0,S113=""),1,IF(S113&gt;B113,1,0))</f>
        <v/>
      </c>
      <c r="CH113" s="376">
        <f>IF(AND(B113&gt;0,T113=""),1,IF(T113&gt;B113,1,0))</f>
        <v/>
      </c>
    </row>
    <row r="114">
      <c r="A114" s="9689" t="inlineStr">
        <is>
          <t>SECCION N: TRATAMIENTOS FAMACOLÓGICOS</t>
        </is>
      </c>
      <c r="B114" s="9591" t="n"/>
      <c r="C114" s="9591" t="n"/>
      <c r="D114" s="9591" t="n"/>
      <c r="E114" s="9591" t="n"/>
      <c r="F114" s="9591" t="n"/>
      <c r="G114" s="9591" t="n"/>
      <c r="H114" s="9591" t="n"/>
      <c r="I114" s="9591" t="n"/>
      <c r="J114" s="9591" t="n"/>
      <c r="K114" s="9591" t="n"/>
      <c r="L114" s="9591" t="n"/>
      <c r="M114" s="9591" t="n"/>
      <c r="N114" s="9591" t="n"/>
      <c r="O114" s="9591" t="n"/>
      <c r="P114" s="9591" t="n"/>
      <c r="Q114" s="9591" t="n"/>
      <c r="R114" s="9591" t="n"/>
      <c r="S114" s="9591" t="n"/>
      <c r="T114" s="9591" t="n"/>
      <c r="U114" s="9591" t="n"/>
      <c r="V114" s="9591" t="n"/>
      <c r="W114" s="9591" t="n"/>
      <c r="X114" s="9591" t="n"/>
      <c r="Y114" s="9591" t="n"/>
      <c r="Z114" s="9591" t="n"/>
      <c r="AA114" s="9591" t="n"/>
      <c r="AB114" s="9591" t="n"/>
      <c r="AC114" s="9591" t="n"/>
      <c r="AD114" s="9591" t="n"/>
      <c r="AE114" s="9591" t="n"/>
      <c r="AF114" s="9591" t="n"/>
      <c r="AG114" s="9591" t="n"/>
      <c r="AH114" s="9591" t="n"/>
      <c r="AI114" s="9591" t="n"/>
      <c r="AJ114" s="9591" t="n"/>
    </row>
    <row r="115">
      <c r="A115" s="10310" t="inlineStr">
        <is>
          <t>CONDICIÓN</t>
        </is>
      </c>
      <c r="B115" s="9309" t="inlineStr">
        <is>
          <t>TOTAL</t>
        </is>
      </c>
      <c r="C115" s="9602" t="n"/>
      <c r="D115" s="9603" t="n"/>
      <c r="E115" s="10339" t="inlineStr">
        <is>
          <t>RANGO ETARIO Y SEXO</t>
        </is>
      </c>
      <c r="F115" s="9584" t="n"/>
      <c r="G115" s="9584" t="n"/>
      <c r="H115" s="9584" t="n"/>
      <c r="I115" s="9584" t="n"/>
      <c r="J115" s="9584" t="n"/>
      <c r="K115" s="9584" t="n"/>
      <c r="L115" s="9584" t="n"/>
      <c r="M115" s="9584" t="n"/>
      <c r="N115" s="9584" t="n"/>
      <c r="O115" s="9584" t="n"/>
      <c r="P115" s="9584" t="n"/>
      <c r="Q115" s="9584" t="n"/>
      <c r="R115" s="9584" t="n"/>
      <c r="S115" s="9584" t="n"/>
      <c r="T115" s="9584" t="n"/>
      <c r="U115" s="9584" t="n"/>
      <c r="V115" s="9584" t="n"/>
      <c r="W115" s="9584" t="n"/>
      <c r="X115" s="9584" t="n"/>
      <c r="Y115" s="9584" t="n"/>
      <c r="Z115" s="9584" t="n"/>
      <c r="AA115" s="9584" t="n"/>
      <c r="AB115" s="9584" t="n"/>
      <c r="AC115" s="9584" t="n"/>
      <c r="AD115" s="9584" t="n"/>
      <c r="AE115" s="9584" t="n"/>
      <c r="AF115" s="9584" t="n"/>
      <c r="AG115" s="9584" t="n"/>
      <c r="AH115" s="9584" t="n"/>
      <c r="AI115" s="9584" t="n"/>
      <c r="AJ115" s="9582" t="n"/>
    </row>
    <row r="116">
      <c r="A116" s="9588" t="n"/>
      <c r="B116" s="10248" t="inlineStr">
        <is>
          <t>Ambos sexos</t>
        </is>
      </c>
      <c r="C116" s="10002" t="inlineStr">
        <is>
          <t>Hombres</t>
        </is>
      </c>
      <c r="D116" s="9920" t="inlineStr">
        <is>
          <t>Mujeres</t>
        </is>
      </c>
      <c r="E116" s="10326" t="inlineStr">
        <is>
          <t>Menos de 1 año</t>
        </is>
      </c>
      <c r="F116" s="9582" t="n"/>
      <c r="G116" s="10327" t="inlineStr">
        <is>
          <t>1-4 años</t>
        </is>
      </c>
      <c r="H116" s="9582" t="n"/>
      <c r="I116" s="10327" t="inlineStr">
        <is>
          <t>5-9 años</t>
        </is>
      </c>
      <c r="J116" s="9582" t="n"/>
      <c r="K116" s="10327" t="inlineStr">
        <is>
          <t>10-14 años</t>
        </is>
      </c>
      <c r="L116" s="9582" t="n"/>
      <c r="M116" s="10326" t="inlineStr">
        <is>
          <t>15 - 19 años</t>
        </is>
      </c>
      <c r="N116" s="9582" t="n"/>
      <c r="O116" s="10326" t="inlineStr">
        <is>
          <t>20 - 24 años</t>
        </is>
      </c>
      <c r="P116" s="9582" t="n"/>
      <c r="Q116" s="10326" t="inlineStr">
        <is>
          <t>25 - 29 años</t>
        </is>
      </c>
      <c r="R116" s="9582" t="n"/>
      <c r="S116" s="10326" t="inlineStr">
        <is>
          <t>30 - 34 años</t>
        </is>
      </c>
      <c r="T116" s="9582" t="n"/>
      <c r="U116" s="10326" t="inlineStr">
        <is>
          <t>35 - 39 años</t>
        </is>
      </c>
      <c r="V116" s="9582" t="n"/>
      <c r="W116" s="10326" t="inlineStr">
        <is>
          <t>40 - 44 años</t>
        </is>
      </c>
      <c r="X116" s="9582" t="n"/>
      <c r="Y116" s="10326" t="inlineStr">
        <is>
          <t>45 - 49 años</t>
        </is>
      </c>
      <c r="Z116" s="9582" t="n"/>
      <c r="AA116" s="10326" t="inlineStr">
        <is>
          <t>50 - 54 años</t>
        </is>
      </c>
      <c r="AB116" s="9582" t="n"/>
      <c r="AC116" s="10326" t="inlineStr">
        <is>
          <t>55-59 años</t>
        </is>
      </c>
      <c r="AD116" s="9582" t="n"/>
      <c r="AE116" s="10326" t="inlineStr">
        <is>
          <t>60-64 años</t>
        </is>
      </c>
      <c r="AF116" s="9582" t="n"/>
      <c r="AG116" s="10326" t="inlineStr">
        <is>
          <t>65-69 años</t>
        </is>
      </c>
      <c r="AH116" s="9582" t="n"/>
      <c r="AI116" s="10326" t="inlineStr">
        <is>
          <t>70 y más años</t>
        </is>
      </c>
      <c r="AJ116" s="9582" t="n"/>
    </row>
    <row r="117">
      <c r="A117" s="9589" t="n"/>
      <c r="B117" s="9800" t="n"/>
      <c r="C117" s="9688" t="n"/>
      <c r="D117" s="9641" t="n"/>
      <c r="E117" s="3088" t="inlineStr">
        <is>
          <t>Hombres</t>
        </is>
      </c>
      <c r="F117" s="8525" t="inlineStr">
        <is>
          <t>Mujeres</t>
        </is>
      </c>
      <c r="G117" s="3088" t="inlineStr">
        <is>
          <t>Hombres</t>
        </is>
      </c>
      <c r="H117" s="8289" t="inlineStr">
        <is>
          <t>Mujeres</t>
        </is>
      </c>
      <c r="I117" s="3088" t="inlineStr">
        <is>
          <t>Hombres</t>
        </is>
      </c>
      <c r="J117" s="8525" t="inlineStr">
        <is>
          <t>Mujeres</t>
        </is>
      </c>
      <c r="K117" s="3088" t="inlineStr">
        <is>
          <t>Hombres</t>
        </is>
      </c>
      <c r="L117" s="8525" t="inlineStr">
        <is>
          <t>Mujeres</t>
        </is>
      </c>
      <c r="M117" s="8524" t="inlineStr">
        <is>
          <t>Hombres</t>
        </is>
      </c>
      <c r="N117" s="8525" t="inlineStr">
        <is>
          <t>Mujeres</t>
        </is>
      </c>
      <c r="O117" s="3088" t="inlineStr">
        <is>
          <t>Hombres</t>
        </is>
      </c>
      <c r="P117" s="8525" t="inlineStr">
        <is>
          <t>Mujeres</t>
        </is>
      </c>
      <c r="Q117" s="3088" t="inlineStr">
        <is>
          <t>Hombres</t>
        </is>
      </c>
      <c r="R117" s="8525" t="inlineStr">
        <is>
          <t>Mujeres</t>
        </is>
      </c>
      <c r="S117" s="3088" t="inlineStr">
        <is>
          <t>Hombres</t>
        </is>
      </c>
      <c r="T117" s="8525" t="inlineStr">
        <is>
          <t>Mujeres</t>
        </is>
      </c>
      <c r="U117" s="3088" t="inlineStr">
        <is>
          <t>Hombres</t>
        </is>
      </c>
      <c r="V117" s="8525" t="inlineStr">
        <is>
          <t>Mujeres</t>
        </is>
      </c>
      <c r="W117" s="3088" t="inlineStr">
        <is>
          <t>Hombres</t>
        </is>
      </c>
      <c r="X117" s="8525" t="inlineStr">
        <is>
          <t>Mujeres</t>
        </is>
      </c>
      <c r="Y117" s="3088" t="inlineStr">
        <is>
          <t>Hombres</t>
        </is>
      </c>
      <c r="Z117" s="8525" t="inlineStr">
        <is>
          <t>Mujeres</t>
        </is>
      </c>
      <c r="AA117" s="3088" t="inlineStr">
        <is>
          <t>Hombres</t>
        </is>
      </c>
      <c r="AB117" s="8525" t="inlineStr">
        <is>
          <t>Mujeres</t>
        </is>
      </c>
      <c r="AC117" s="3088" t="inlineStr">
        <is>
          <t>Hombres</t>
        </is>
      </c>
      <c r="AD117" s="8525" t="inlineStr">
        <is>
          <t>Mujeres</t>
        </is>
      </c>
      <c r="AE117" s="3088" t="inlineStr">
        <is>
          <t>Hombres</t>
        </is>
      </c>
      <c r="AF117" s="8525" t="inlineStr">
        <is>
          <t>Mujeres</t>
        </is>
      </c>
      <c r="AG117" s="3088" t="inlineStr">
        <is>
          <t>Hombres</t>
        </is>
      </c>
      <c r="AH117" s="8525" t="inlineStr">
        <is>
          <t>Mujeres</t>
        </is>
      </c>
      <c r="AI117" s="3088" t="inlineStr">
        <is>
          <t>Hombres</t>
        </is>
      </c>
      <c r="AJ117" s="8525" t="inlineStr">
        <is>
          <t>Mujeres</t>
        </is>
      </c>
    </row>
    <row r="118" ht="22.5" customHeight="1" s="8286">
      <c r="A118" s="3216" t="inlineStr">
        <is>
          <t>Personas con enfermedad de Chagas que ingresan a tratamiento farmacológico en el periodo (nifurtimox)</t>
        </is>
      </c>
      <c r="B118" s="3193">
        <f>SUM(C118:D118)</f>
        <v/>
      </c>
      <c r="C118" s="3194">
        <f>+E118+G118+I118+K118+M118+O118+Q118+S118+U118+W118+Y118+AA118+AC118+AE118+AG118+AI118</f>
        <v/>
      </c>
      <c r="D118" s="3095">
        <f>+F118+H118+J118+L118+N118+P118+R118+T118+V118+X118+Z118+AB118+AD118+AF118+AH118+AJ118</f>
        <v/>
      </c>
      <c r="E118" s="3128" t="n"/>
      <c r="F118" s="1125" t="n"/>
      <c r="G118" s="3128" t="n"/>
      <c r="H118" s="1125" t="n"/>
      <c r="I118" s="3128" t="n"/>
      <c r="J118" s="1125" t="n"/>
      <c r="K118" s="3128" t="n"/>
      <c r="L118" s="1125" t="n"/>
      <c r="M118" s="3128" t="n"/>
      <c r="N118" s="1125" t="n"/>
      <c r="O118" s="3128" t="n"/>
      <c r="P118" s="1125" t="n"/>
      <c r="Q118" s="3128" t="n"/>
      <c r="R118" s="1125" t="n"/>
      <c r="S118" s="3128" t="n"/>
      <c r="T118" s="1125" t="n"/>
      <c r="U118" s="3128" t="n"/>
      <c r="V118" s="1125" t="n"/>
      <c r="W118" s="3128" t="n"/>
      <c r="X118" s="1125" t="n"/>
      <c r="Y118" s="3128" t="n"/>
      <c r="Z118" s="1125" t="n"/>
      <c r="AA118" s="3128" t="n"/>
      <c r="AB118" s="1125" t="n"/>
      <c r="AC118" s="3108" t="n"/>
      <c r="AD118" s="1125" t="n"/>
      <c r="AE118" s="3108" t="n"/>
      <c r="AF118" s="1125" t="n"/>
      <c r="AG118" s="3108" t="n"/>
      <c r="AH118" s="1125" t="n"/>
      <c r="AI118" s="3108" t="n"/>
      <c r="AJ118" s="1125" t="n"/>
    </row>
    <row r="119" ht="22.5" customHeight="1" s="8286">
      <c r="A119" s="3203" t="inlineStr">
        <is>
          <t>Personas con enfermedad de Chagas que suspenden o rechazan tratamiento farmacológico en el periodo (nifurtimox)</t>
        </is>
      </c>
      <c r="B119" s="3204">
        <f>SUM(C119:D119)</f>
        <v/>
      </c>
      <c r="C119" s="3205">
        <f>+E119+G119+I119+K119+M119+O119+Q119+S119+U119+W119+Y119+AA119+AC119+AE119+AG119+AI119</f>
        <v/>
      </c>
      <c r="D119" s="3181">
        <f>+F119+H119+J119+L119+N119+P119+R119+T119+V119+X119+Z119+AB119+AD119+AF119+AH119+AJ119</f>
        <v/>
      </c>
      <c r="E119" s="3108" t="n"/>
      <c r="F119" s="1125" t="n"/>
      <c r="G119" s="3108" t="n"/>
      <c r="H119" s="1125" t="n"/>
      <c r="I119" s="3108" t="n"/>
      <c r="J119" s="1125" t="n"/>
      <c r="K119" s="3108" t="n"/>
      <c r="L119" s="1125" t="n"/>
      <c r="M119" s="3108" t="n"/>
      <c r="N119" s="1125" t="n"/>
      <c r="O119" s="3108" t="n"/>
      <c r="P119" s="1125" t="n"/>
      <c r="Q119" s="3108" t="n"/>
      <c r="R119" s="1125" t="n"/>
      <c r="S119" s="3108" t="n"/>
      <c r="T119" s="1125" t="n"/>
      <c r="U119" s="3108" t="n"/>
      <c r="V119" s="1125" t="n"/>
      <c r="W119" s="3108" t="n"/>
      <c r="X119" s="1125" t="n"/>
      <c r="Y119" s="3108" t="n"/>
      <c r="Z119" s="1125" t="n"/>
      <c r="AA119" s="3108" t="n"/>
      <c r="AB119" s="1125" t="n"/>
      <c r="AC119" s="3108" t="n"/>
      <c r="AD119" s="1125" t="n"/>
      <c r="AE119" s="3108" t="n"/>
      <c r="AF119" s="1125" t="n"/>
      <c r="AG119" s="3108" t="n"/>
      <c r="AH119" s="1125" t="n"/>
      <c r="AI119" s="3108" t="n"/>
      <c r="AJ119" s="1125" t="n"/>
    </row>
    <row r="120" ht="22.5" customHeight="1" s="8286">
      <c r="A120" s="3203" t="inlineStr">
        <is>
          <t>Personas con enfermedad de Chagas que finalizan tratamiento farmacológico en el periodo (nifurtimox)</t>
        </is>
      </c>
      <c r="B120" s="3204">
        <f>SUM(C120:D120)</f>
        <v/>
      </c>
      <c r="C120" s="3205">
        <f>+E120+G120+I120+K120+M120+O120+Q120+S120+U120+W120+Y120+AA120+AC120+AE120+AG120+AI120</f>
        <v/>
      </c>
      <c r="D120" s="1171">
        <f>+F120+H120+J120+L120+N120+P120+R120+T120+V120+X120+Z120+AB120+AD120+AF120+AH120+AJ120</f>
        <v/>
      </c>
      <c r="E120" s="3108" t="n"/>
      <c r="F120" s="1125" t="n"/>
      <c r="G120" s="3108" t="n"/>
      <c r="H120" s="1125" t="n"/>
      <c r="I120" s="3108" t="n"/>
      <c r="J120" s="1125" t="n"/>
      <c r="K120" s="3108" t="n"/>
      <c r="L120" s="1125" t="n"/>
      <c r="M120" s="3108" t="n"/>
      <c r="N120" s="1125" t="n"/>
      <c r="O120" s="3108" t="n"/>
      <c r="P120" s="1125" t="n"/>
      <c r="Q120" s="3108" t="n"/>
      <c r="R120" s="1125" t="n"/>
      <c r="S120" s="3108" t="n"/>
      <c r="T120" s="1125" t="n"/>
      <c r="U120" s="3108" t="n"/>
      <c r="V120" s="1125" t="n"/>
      <c r="W120" s="3108" t="n"/>
      <c r="X120" s="1125" t="n"/>
      <c r="Y120" s="3108" t="n"/>
      <c r="Z120" s="1125" t="n"/>
      <c r="AA120" s="3108" t="n"/>
      <c r="AB120" s="1125" t="n"/>
      <c r="AC120" s="3108" t="n"/>
      <c r="AD120" s="1125" t="n"/>
      <c r="AE120" s="3108" t="n"/>
      <c r="AF120" s="1125" t="n"/>
      <c r="AG120" s="3108" t="n"/>
      <c r="AH120" s="1125" t="n"/>
      <c r="AI120" s="3108" t="n"/>
      <c r="AJ120" s="1125" t="n"/>
    </row>
    <row r="121" ht="22.5" customHeight="1" s="8286">
      <c r="A121" s="3203" t="inlineStr">
        <is>
          <t>Personas con enfermedad de Chagas que ingresan a tratamiento farmacológico en el periodo (benznidazol)</t>
        </is>
      </c>
      <c r="B121" s="3267">
        <f>SUM(C121:D121)</f>
        <v/>
      </c>
      <c r="C121" s="3268">
        <f>+E121+G121+I121+K121+M121+O121+Q121+S121+U121+W121+Y121+AA121+AC121+AE121+AG121+AI121</f>
        <v/>
      </c>
      <c r="D121" s="1422">
        <f>+F121+H121+J121+L121+N121+P121+R121+T121+V121+X121+Z121+AB121+AD121+AF121+AH121+AJ121</f>
        <v/>
      </c>
      <c r="E121" s="1971" t="n"/>
      <c r="F121" s="1122" t="n"/>
      <c r="G121" s="1971" t="n"/>
      <c r="H121" s="1122" t="n"/>
      <c r="I121" s="1971" t="n"/>
      <c r="J121" s="1122" t="n"/>
      <c r="K121" s="1971" t="n"/>
      <c r="L121" s="1122" t="n"/>
      <c r="M121" s="1971" t="n"/>
      <c r="N121" s="1122" t="n"/>
      <c r="O121" s="1971" t="n"/>
      <c r="P121" s="1122" t="n"/>
      <c r="Q121" s="1971" t="n"/>
      <c r="R121" s="1122" t="n"/>
      <c r="S121" s="1971" t="n"/>
      <c r="T121" s="1122" t="n"/>
      <c r="U121" s="1971" t="n"/>
      <c r="V121" s="1122" t="n"/>
      <c r="W121" s="1971" t="n"/>
      <c r="X121" s="1122" t="n"/>
      <c r="Y121" s="1971" t="n"/>
      <c r="Z121" s="1122" t="n"/>
      <c r="AA121" s="1971" t="n"/>
      <c r="AB121" s="1122" t="n"/>
      <c r="AC121" s="1971" t="n"/>
      <c r="AD121" s="1122" t="n"/>
      <c r="AE121" s="1971" t="n"/>
      <c r="AF121" s="1122" t="n"/>
      <c r="AG121" s="1971" t="n"/>
      <c r="AH121" s="1122" t="n"/>
      <c r="AI121" s="1971" t="n"/>
      <c r="AJ121" s="1122" t="n"/>
    </row>
    <row r="122" ht="22.5" customHeight="1" s="8286">
      <c r="A122" s="3203" t="inlineStr">
        <is>
          <t>Personas con enfermedad de Chagas que suspenden o rechazan tratamiento farmacológico en el periodo (benznidazol)</t>
        </is>
      </c>
      <c r="B122" s="3204">
        <f>SUM(C122:D122)</f>
        <v/>
      </c>
      <c r="C122" s="3205">
        <f>+E122+G122+I122+K122+M122+O122+Q122+S122+U122+W122+Y122+AA122+AC122+AE122+AG122+AI122</f>
        <v/>
      </c>
      <c r="D122" s="3181">
        <f>+F122+H122+J122+L122+N122+P122+R122+T122+V122+X122+Z122+AB122+AD122+AF122+AH122+AJ122</f>
        <v/>
      </c>
      <c r="E122" s="3108" t="n"/>
      <c r="F122" s="1125" t="n"/>
      <c r="G122" s="3108" t="n"/>
      <c r="H122" s="1125" t="n"/>
      <c r="I122" s="3108" t="n"/>
      <c r="J122" s="1125" t="n"/>
      <c r="K122" s="3108" t="n"/>
      <c r="L122" s="1125" t="n"/>
      <c r="M122" s="3108" t="n"/>
      <c r="N122" s="1125" t="n"/>
      <c r="O122" s="3108" t="n"/>
      <c r="P122" s="1125" t="n"/>
      <c r="Q122" s="3108" t="n"/>
      <c r="R122" s="1125" t="n"/>
      <c r="S122" s="3108" t="n"/>
      <c r="T122" s="1125" t="n"/>
      <c r="U122" s="3108" t="n"/>
      <c r="V122" s="1125" t="n"/>
      <c r="W122" s="3108" t="n"/>
      <c r="X122" s="1125" t="n"/>
      <c r="Y122" s="3108" t="n"/>
      <c r="Z122" s="1125" t="n"/>
      <c r="AA122" s="3108" t="n"/>
      <c r="AB122" s="1125" t="n"/>
      <c r="AC122" s="3108" t="n"/>
      <c r="AD122" s="1125" t="n"/>
      <c r="AE122" s="3108" t="n"/>
      <c r="AF122" s="1125" t="n"/>
      <c r="AG122" s="3108" t="n"/>
      <c r="AH122" s="1125" t="n"/>
      <c r="AI122" s="3108" t="n"/>
      <c r="AJ122" s="1125" t="n"/>
    </row>
    <row r="123" ht="22.5" customHeight="1" s="8286">
      <c r="A123" s="3197" t="inlineStr">
        <is>
          <t>Personas con enfermedad de Chagas que finalizan tratamiento farmacológico en el periodo (benznidazol)</t>
        </is>
      </c>
      <c r="B123" s="3198">
        <f>SUM(C123:D123)</f>
        <v/>
      </c>
      <c r="C123" s="3199">
        <f>+E123+G123+I123+K123+M123+O123+Q123+S123+U123+W123+Y123+AA123+AC123+AE123+AG123+AI123</f>
        <v/>
      </c>
      <c r="D123" s="3190">
        <f>+F123+H123+J123+L123+N123+P123+R123+T123+V123+X123+Z123+AB123+AD123+AF123+AH123+AJ123</f>
        <v/>
      </c>
      <c r="E123" s="1137" t="n"/>
      <c r="F123" s="1138" t="n"/>
      <c r="G123" s="1137" t="n"/>
      <c r="H123" s="1138" t="n"/>
      <c r="I123" s="1137" t="n"/>
      <c r="J123" s="1138" t="n"/>
      <c r="K123" s="1137" t="n"/>
      <c r="L123" s="1138" t="n"/>
      <c r="M123" s="1137" t="n"/>
      <c r="N123" s="1138" t="n"/>
      <c r="O123" s="1137" t="n"/>
      <c r="P123" s="1138" t="n"/>
      <c r="Q123" s="1137" t="n"/>
      <c r="R123" s="1138" t="n"/>
      <c r="S123" s="1137" t="n"/>
      <c r="T123" s="1138" t="n"/>
      <c r="U123" s="1137" t="n"/>
      <c r="V123" s="1138" t="n"/>
      <c r="W123" s="1137" t="n"/>
      <c r="X123" s="1138" t="n"/>
      <c r="Y123" s="1137" t="n"/>
      <c r="Z123" s="1138" t="n"/>
      <c r="AA123" s="1137" t="n"/>
      <c r="AB123" s="1138" t="n"/>
      <c r="AC123" s="1137" t="n"/>
      <c r="AD123" s="1138" t="n"/>
      <c r="AE123" s="1137" t="n"/>
      <c r="AF123" s="1138" t="n"/>
      <c r="AG123" s="1137" t="n"/>
      <c r="AH123" s="1138" t="n"/>
      <c r="AI123" s="1137" t="n"/>
      <c r="AJ123" s="1138" t="n"/>
    </row>
    <row r="150" hidden="1" s="8286">
      <c r="A150" s="398">
        <f>SUM(B12:B13,B15:B16,B18:B19,B22:B23,B27:B32,B35:B36,B40:B47,B50:B53,B56:B59,B64:B65,B67:B68,B70:B71,B73,B78:B80,B82:B84,B86:B88,B91:B92,B95:B96,B100:B105,B109:B113,B118:B123)</f>
        <v/>
      </c>
      <c r="B150" s="399">
        <f>SUM(CG12:CH113)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lvN+ErJrywjelH6F7lNGjA==" formatRows="1" sort="1" spinCount="100000" hashValue="6QQ6byfrBHWlwrimo6oAeGxAOgfqFZfj6PdJ0CtSeP3Xd69YVuq8aA8TRvX+vgSQ40i2aRsV3aVcusjUufeZLQ=="/>
  <mergeCells count="72">
    <mergeCell ref="L75:L76"/>
    <mergeCell ref="C25:K25"/>
    <mergeCell ref="Q116:R116"/>
    <mergeCell ref="E115:AJ115"/>
    <mergeCell ref="W116:X116"/>
    <mergeCell ref="AI116:AJ116"/>
    <mergeCell ref="A115:A117"/>
    <mergeCell ref="A48:K48"/>
    <mergeCell ref="A61:A62"/>
    <mergeCell ref="A20:D20"/>
    <mergeCell ref="C75:K75"/>
    <mergeCell ref="A24:K24"/>
    <mergeCell ref="B61:B62"/>
    <mergeCell ref="C9:K9"/>
    <mergeCell ref="M98:M99"/>
    <mergeCell ref="I116:J116"/>
    <mergeCell ref="O116:P116"/>
    <mergeCell ref="A60:K60"/>
    <mergeCell ref="S107:S108"/>
    <mergeCell ref="B38:B39"/>
    <mergeCell ref="A93:D93"/>
    <mergeCell ref="A75:A76"/>
    <mergeCell ref="G116:H116"/>
    <mergeCell ref="A25:A26"/>
    <mergeCell ref="M25:M26"/>
    <mergeCell ref="B98:B99"/>
    <mergeCell ref="B116:B117"/>
    <mergeCell ref="D116:D117"/>
    <mergeCell ref="B107:B108"/>
    <mergeCell ref="AC116:AD116"/>
    <mergeCell ref="C61:K61"/>
    <mergeCell ref="N98:N99"/>
    <mergeCell ref="A106:R106"/>
    <mergeCell ref="M75:M76"/>
    <mergeCell ref="A97:R97"/>
    <mergeCell ref="A37:K37"/>
    <mergeCell ref="L25:L26"/>
    <mergeCell ref="C98:L98"/>
    <mergeCell ref="C38:K38"/>
    <mergeCell ref="A89:K89"/>
    <mergeCell ref="AA116:AB116"/>
    <mergeCell ref="B9:B10"/>
    <mergeCell ref="C107:R107"/>
    <mergeCell ref="S116:T116"/>
    <mergeCell ref="A74:K74"/>
    <mergeCell ref="AE116:AF116"/>
    <mergeCell ref="U116:V116"/>
    <mergeCell ref="L9:L10"/>
    <mergeCell ref="AG116:AH116"/>
    <mergeCell ref="L38:L39"/>
    <mergeCell ref="A6:M6"/>
    <mergeCell ref="M61:M62"/>
    <mergeCell ref="A54:D54"/>
    <mergeCell ref="M116:N116"/>
    <mergeCell ref="E116:F116"/>
    <mergeCell ref="A8:K8"/>
    <mergeCell ref="A38:A39"/>
    <mergeCell ref="B75:B76"/>
    <mergeCell ref="A9:A10"/>
    <mergeCell ref="A98:A99"/>
    <mergeCell ref="B115:D115"/>
    <mergeCell ref="K116:L116"/>
    <mergeCell ref="A114:AJ114"/>
    <mergeCell ref="M9:M10"/>
    <mergeCell ref="M38:M39"/>
    <mergeCell ref="L61:L62"/>
    <mergeCell ref="Y116:Z116"/>
    <mergeCell ref="B25:B26"/>
    <mergeCell ref="A107:A108"/>
    <mergeCell ref="A33:D33"/>
    <mergeCell ref="T107:T108"/>
    <mergeCell ref="C116:C117"/>
  </mergeCells>
  <dataValidations count="7">
    <dataValidation sqref="B12:M13 B15:M16 B18:M19 B22:D23 B35:D36 B50:D53 B56:D59 B91:D92 B95:D96 C27:M32 C40:M47 C64:M65 C67:M68 C70:M71 C73:M73" showDropDown="0" showInputMessage="1" showErrorMessage="1" allowBlank="0" type="whole" operator="greaterThanOrEqual">
      <formula1>0</formula1>
    </dataValidation>
    <dataValidation sqref="B11:M11 B14:M14 B17:M17 B63:M63 B66:M66 B69:M69 B72:M72 B77:M77 B81:M81 B85:M85" showDropDown="0" showInputMessage="1" showErrorMessage="1" allowBlank="0" type="whole" operator="equal">
      <formula1>0</formula1>
    </dataValidation>
    <dataValidation sqref="C78:M80 C109:T113" showDropDown="0" showInputMessage="1" showErrorMessage="1" allowBlank="0" type="whole">
      <formula1>0</formula1>
      <formula2>9.99999999999999E+36</formula2>
    </dataValidation>
    <dataValidation sqref="C82:M84" showDropDown="0" showInputMessage="1" showErrorMessage="1" allowBlank="0" type="whole">
      <formula1>0</formula1>
      <formula2>9.99999999999999E+35</formula2>
    </dataValidation>
    <dataValidation sqref="C86:M88" showDropDown="0" showInputMessage="1" showErrorMessage="1" allowBlank="0" type="whole">
      <formula1>0</formula1>
      <formula2>9.99999999999999E+39</formula2>
    </dataValidation>
    <dataValidation sqref="C100:N105" showDropDown="0" showInputMessage="1" showErrorMessage="1" allowBlank="0" type="whole">
      <formula1>0</formula1>
      <formula2>9.99999999999999E+37</formula2>
    </dataValidation>
    <dataValidation sqref="E118:AJ123" showDropDown="0" showInputMessage="1" showErrorMessage="1" allowBlank="0" type="whole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Hoja13">
    <outlinePr summaryBelow="1" summaryRight="1"/>
    <pageSetUpPr/>
  </sheetPr>
  <dimension ref="A1:DG203"/>
  <sheetViews>
    <sheetView showGridLines="0" zoomScaleNormal="100" workbookViewId="0">
      <selection activeCell="B1" sqref="B1"/>
    </sheetView>
  </sheetViews>
  <sheetFormatPr baseColWidth="10" defaultColWidth="11.42578125" defaultRowHeight="15"/>
  <cols>
    <col width="43.140625" customWidth="1" style="8286" min="1" max="1"/>
    <col width="31.7109375" customWidth="1" style="8286" min="2" max="2"/>
    <col width="18.85546875" bestFit="1" customWidth="1" style="8286" min="3" max="3"/>
    <col width="17.140625" bestFit="1" customWidth="1" style="8286" min="4" max="4"/>
    <col width="14" bestFit="1" customWidth="1" style="8286" min="5" max="5"/>
    <col width="14.5703125" bestFit="1" customWidth="1" style="8286" min="6" max="6"/>
    <col width="11.5703125" bestFit="1" customWidth="1" style="8286" min="7" max="7"/>
    <col width="14" bestFit="1" customWidth="1" style="8286" min="8" max="8"/>
    <col width="13.28515625" customWidth="1" style="8286" min="9" max="9"/>
    <col width="15.42578125" customWidth="1" style="8286" min="10" max="10"/>
    <col width="17" customWidth="1" style="8286" min="11" max="11"/>
    <col width="14.85546875" customWidth="1" style="8286" min="12" max="12"/>
    <col width="13.5703125" customWidth="1" style="8286" min="14" max="14"/>
    <col width="13.7109375" customWidth="1" style="8286" min="38" max="38"/>
    <col width="12.7109375" customWidth="1" style="8286" min="40" max="40"/>
    <col width="13" customWidth="1" style="8286" min="41" max="41"/>
    <col width="13.140625" customWidth="1" style="8286" min="42" max="42"/>
    <col width="12.42578125" customWidth="1" style="8286" min="44" max="44"/>
    <col width="11.7109375" customWidth="1" style="8286" min="75" max="76"/>
    <col width="11.42578125" customWidth="1" style="8286" min="77" max="78"/>
    <col hidden="1" width="11.42578125" customWidth="1" style="8286" min="79" max="99"/>
    <col width="11.42578125" customWidth="1" style="8286" min="100" max="105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25">
        <f>CONCATENATE("AÑO: ",NOMBRE!B7)</f>
        <v/>
      </c>
    </row>
    <row r="6" ht="18" customFormat="1" customHeight="1" s="235">
      <c r="A6" s="7256" t="inlineStr">
        <is>
          <t>REM-19a.   ACTIVIDADES DE PROMOCIÓN Y PREVENCIÓN DE LA SALUD</t>
        </is>
      </c>
      <c r="BX6" s="909" t="n"/>
      <c r="BY6" s="909" t="n"/>
      <c r="BZ6" s="909" t="n"/>
      <c r="CA6" s="374" t="n"/>
      <c r="CB6" s="374" t="n"/>
      <c r="CC6" s="374" t="n"/>
      <c r="CD6" s="374" t="n"/>
      <c r="CE6" s="374" t="n"/>
      <c r="CF6" s="374" t="n"/>
      <c r="CG6" s="374" t="n"/>
      <c r="CH6" s="374" t="n"/>
      <c r="CI6" s="374" t="n"/>
      <c r="CJ6" s="374" t="n"/>
      <c r="CK6" s="374" t="n"/>
      <c r="CL6" s="374" t="n"/>
      <c r="CM6" s="374" t="n"/>
      <c r="CN6" s="374" t="n"/>
      <c r="CO6" s="374" t="n"/>
      <c r="CP6" s="374" t="n"/>
      <c r="CQ6" s="374" t="n"/>
      <c r="CR6" s="374" t="n"/>
      <c r="CS6" s="374" t="n"/>
      <c r="CT6" s="374" t="n"/>
      <c r="CU6" s="374" t="n"/>
      <c r="CV6" s="374" t="n"/>
      <c r="CW6" s="374" t="n"/>
      <c r="CX6" s="374" t="n"/>
      <c r="CY6" s="374" t="n"/>
      <c r="CZ6" s="374" t="n"/>
    </row>
    <row r="8" ht="18" customHeight="1" s="8286">
      <c r="A8" s="8623" t="inlineStr">
        <is>
          <t>SECCIÓN A: CONSEJERÍAS</t>
        </is>
      </c>
    </row>
    <row r="9" ht="18" customHeight="1" s="8286">
      <c r="A9" s="9689" t="inlineStr">
        <is>
          <t>SECCIÓN A.1: CONSEJERÍAS INDIVIDUALES</t>
        </is>
      </c>
      <c r="B9" s="9591" t="n"/>
      <c r="C9" s="9591" t="n"/>
      <c r="D9" s="9591" t="n"/>
      <c r="E9" s="9591" t="n"/>
      <c r="F9" s="9591" t="n"/>
      <c r="G9" s="9591" t="n"/>
      <c r="H9" s="9591" t="n"/>
      <c r="I9" s="9591" t="n"/>
      <c r="J9" s="9591" t="n"/>
      <c r="K9" s="9591" t="n"/>
      <c r="L9" s="9591" t="n"/>
      <c r="M9" s="9591" t="n"/>
      <c r="N9" s="9591" t="n"/>
      <c r="O9" s="9591" t="n"/>
      <c r="P9" s="9591" t="n"/>
      <c r="Q9" s="9591" t="n"/>
      <c r="R9" s="9591" t="n"/>
      <c r="S9" s="9591" t="n"/>
      <c r="T9" s="9591" t="n"/>
      <c r="U9" s="9591" t="n"/>
      <c r="V9" s="9591" t="n"/>
      <c r="W9" s="9591" t="n"/>
      <c r="X9" s="9591" t="n"/>
      <c r="Y9" s="9591" t="n"/>
      <c r="Z9" s="9591" t="n"/>
      <c r="AA9" s="9591" t="n"/>
      <c r="AB9" s="9591" t="n"/>
      <c r="AC9" s="9591" t="n"/>
      <c r="AD9" s="9591" t="n"/>
      <c r="AE9" s="9591" t="n"/>
      <c r="AF9" s="9591" t="n"/>
      <c r="AG9" s="9591" t="n"/>
      <c r="AH9" s="9591" t="n"/>
      <c r="AI9" s="9591" t="n"/>
      <c r="AJ9" s="9591" t="n"/>
      <c r="AK9" s="9591" t="n"/>
      <c r="AL9" s="9591" t="n"/>
      <c r="AM9" s="9591" t="n"/>
    </row>
    <row r="10" ht="18" customHeight="1" s="8286">
      <c r="A10" s="8287" t="inlineStr">
        <is>
          <t>ÁREAS TEMÁTICAS</t>
        </is>
      </c>
      <c r="B10" s="10247" t="inlineStr">
        <is>
          <t>PROFESIONAL</t>
        </is>
      </c>
      <c r="C10" s="9939" t="inlineStr">
        <is>
          <t xml:space="preserve">TOTAL              </t>
        </is>
      </c>
      <c r="D10" s="9602" t="n"/>
      <c r="E10" s="9630" t="n"/>
      <c r="F10" s="10340" t="inlineStr">
        <is>
          <t>RANGO ETARIO Y SEXO</t>
        </is>
      </c>
      <c r="G10" s="9602" t="n"/>
      <c r="H10" s="9602" t="n"/>
      <c r="I10" s="9602" t="n"/>
      <c r="J10" s="9602" t="n"/>
      <c r="K10" s="9602" t="n"/>
      <c r="L10" s="9602" t="n"/>
      <c r="M10" s="9602" t="n"/>
      <c r="N10" s="9602" t="n"/>
      <c r="O10" s="9602" t="n"/>
      <c r="P10" s="9602" t="n"/>
      <c r="Q10" s="9602" t="n"/>
      <c r="R10" s="9602" t="n"/>
      <c r="S10" s="9602" t="n"/>
      <c r="T10" s="9602" t="n"/>
      <c r="U10" s="9602" t="n"/>
      <c r="V10" s="9602" t="n"/>
      <c r="W10" s="9602" t="n"/>
      <c r="X10" s="9602" t="n"/>
      <c r="Y10" s="9602" t="n"/>
      <c r="Z10" s="9602" t="n"/>
      <c r="AA10" s="9602" t="n"/>
      <c r="AB10" s="9602" t="n"/>
      <c r="AC10" s="9602" t="n"/>
      <c r="AD10" s="9602" t="n"/>
      <c r="AE10" s="9602" t="n"/>
      <c r="AF10" s="9602" t="n"/>
      <c r="AG10" s="9602" t="n"/>
      <c r="AH10" s="9602" t="n"/>
      <c r="AI10" s="9602" t="n"/>
      <c r="AJ10" s="9602" t="n"/>
      <c r="AK10" s="9602" t="n"/>
      <c r="AL10" s="9602" t="n"/>
      <c r="AM10" s="9886" t="n"/>
      <c r="AN10" s="10341" t="inlineStr">
        <is>
          <t>Espacios Amigables/ adolescentes</t>
        </is>
      </c>
      <c r="AO10" s="10005" t="inlineStr">
        <is>
          <t>TRANS</t>
        </is>
      </c>
      <c r="AP10" s="9630" t="n"/>
      <c r="AQ10" s="10006" t="inlineStr">
        <is>
          <t>Pueblos Originarios</t>
        </is>
      </c>
      <c r="AR10" s="8400" t="inlineStr">
        <is>
          <t>Migrantes</t>
        </is>
      </c>
      <c r="AS10" s="10006" t="inlineStr">
        <is>
          <t>14-18 años</t>
        </is>
      </c>
      <c r="AT10" s="10006" t="inlineStr">
        <is>
          <t>SENAME/ Servicio Nacional de Reinserción social Juvenil</t>
        </is>
      </c>
      <c r="AU10" s="8400" t="inlineStr">
        <is>
          <t>Servicio Nacional Protección Especializada a la Niñez y Adolescencia</t>
        </is>
      </c>
    </row>
    <row r="11" ht="18" customHeight="1" s="8286">
      <c r="B11" s="9588" t="n"/>
      <c r="C11" s="9638" t="n"/>
      <c r="D11" s="9697" t="n"/>
      <c r="E11" s="9639" t="n"/>
      <c r="F11" s="9240" t="inlineStr">
        <is>
          <t>0 - 4 años</t>
        </is>
      </c>
      <c r="G11" s="9647" t="n"/>
      <c r="H11" s="8400" t="inlineStr">
        <is>
          <t>5 - 9 años</t>
        </is>
      </c>
      <c r="I11" s="9582" t="n"/>
      <c r="J11" s="8400" t="inlineStr">
        <is>
          <t>10 - 14 años</t>
        </is>
      </c>
      <c r="K11" s="9582" t="n"/>
      <c r="L11" s="8400" t="inlineStr">
        <is>
          <t xml:space="preserve">15-19 años </t>
        </is>
      </c>
      <c r="M11" s="9582" t="n"/>
      <c r="N11" s="8400" t="inlineStr">
        <is>
          <t>20-24 años</t>
        </is>
      </c>
      <c r="O11" s="9582" t="n"/>
      <c r="P11" s="8400" t="inlineStr">
        <is>
          <t>25-29 años</t>
        </is>
      </c>
      <c r="Q11" s="9582" t="n"/>
      <c r="R11" s="8400" t="inlineStr">
        <is>
          <t>30-34 años</t>
        </is>
      </c>
      <c r="S11" s="9582" t="n"/>
      <c r="T11" s="8400" t="inlineStr">
        <is>
          <t>35-39 años</t>
        </is>
      </c>
      <c r="U11" s="9582" t="n"/>
      <c r="V11" s="8400" t="inlineStr">
        <is>
          <t>40-44 años</t>
        </is>
      </c>
      <c r="W11" s="9582" t="n"/>
      <c r="X11" s="8400" t="inlineStr">
        <is>
          <t>45-49 años</t>
        </is>
      </c>
      <c r="Y11" s="9582" t="n"/>
      <c r="Z11" s="8400" t="inlineStr">
        <is>
          <t>50-54 años</t>
        </is>
      </c>
      <c r="AA11" s="9582" t="n"/>
      <c r="AB11" s="8400" t="inlineStr">
        <is>
          <t>55-59 años</t>
        </is>
      </c>
      <c r="AC11" s="9582" t="n"/>
      <c r="AD11" s="8400" t="inlineStr">
        <is>
          <t>60-64 años</t>
        </is>
      </c>
      <c r="AE11" s="9582" t="n"/>
      <c r="AF11" s="8400" t="inlineStr">
        <is>
          <t>65-69 años</t>
        </is>
      </c>
      <c r="AG11" s="9582" t="n"/>
      <c r="AH11" s="8400" t="inlineStr">
        <is>
          <t>70-74 años</t>
        </is>
      </c>
      <c r="AI11" s="9582" t="n"/>
      <c r="AJ11" s="8400" t="inlineStr">
        <is>
          <t>75- 79 años</t>
        </is>
      </c>
      <c r="AK11" s="9582" t="n"/>
      <c r="AL11" s="9915" t="inlineStr">
        <is>
          <t>80 y más años</t>
        </is>
      </c>
      <c r="AM11" s="9595" t="n"/>
      <c r="AN11" s="10342" t="n"/>
      <c r="AO11" s="9697" t="n"/>
      <c r="AP11" s="9639" t="n"/>
      <c r="AQ11" s="642" t="n"/>
      <c r="AR11" s="9614" t="n"/>
      <c r="AS11" s="642" t="n"/>
      <c r="AT11" s="642" t="n"/>
      <c r="AU11" s="9614" t="n"/>
    </row>
    <row r="12" ht="35.25" customHeight="1" s="8286">
      <c r="B12" s="9589" t="n"/>
      <c r="C12" s="3088" t="inlineStr">
        <is>
          <t>Ambos Sexos</t>
        </is>
      </c>
      <c r="D12" s="3091" t="inlineStr">
        <is>
          <t>Hombres</t>
        </is>
      </c>
      <c r="E12" s="8525" t="inlineStr">
        <is>
          <t>Mujeres</t>
        </is>
      </c>
      <c r="F12" s="3088" t="inlineStr">
        <is>
          <t>Hombres</t>
        </is>
      </c>
      <c r="G12" s="8525" t="inlineStr">
        <is>
          <t>Mujeres</t>
        </is>
      </c>
      <c r="H12" s="3088" t="inlineStr">
        <is>
          <t>Hombres</t>
        </is>
      </c>
      <c r="I12" s="8525" t="inlineStr">
        <is>
          <t>Mujeres</t>
        </is>
      </c>
      <c r="J12" s="3088" t="inlineStr">
        <is>
          <t>Hombres</t>
        </is>
      </c>
      <c r="K12" s="8525" t="inlineStr">
        <is>
          <t>Mujeres</t>
        </is>
      </c>
      <c r="L12" s="3088" t="inlineStr">
        <is>
          <t>Hombres</t>
        </is>
      </c>
      <c r="M12" s="8525" t="inlineStr">
        <is>
          <t>Mujeres</t>
        </is>
      </c>
      <c r="N12" s="3088" t="inlineStr">
        <is>
          <t>Hombres</t>
        </is>
      </c>
      <c r="O12" s="8525" t="inlineStr">
        <is>
          <t>Mujeres</t>
        </is>
      </c>
      <c r="P12" s="3088" t="inlineStr">
        <is>
          <t>Hombres</t>
        </is>
      </c>
      <c r="Q12" s="8525" t="inlineStr">
        <is>
          <t>Mujeres</t>
        </is>
      </c>
      <c r="R12" s="3088" t="inlineStr">
        <is>
          <t>Hombres</t>
        </is>
      </c>
      <c r="S12" s="8525" t="inlineStr">
        <is>
          <t>Mujeres</t>
        </is>
      </c>
      <c r="T12" s="3088" t="inlineStr">
        <is>
          <t>Hombres</t>
        </is>
      </c>
      <c r="U12" s="8525" t="inlineStr">
        <is>
          <t>Mujeres</t>
        </is>
      </c>
      <c r="V12" s="3088" t="inlineStr">
        <is>
          <t>Hombres</t>
        </is>
      </c>
      <c r="W12" s="8525" t="inlineStr">
        <is>
          <t>Mujeres</t>
        </is>
      </c>
      <c r="X12" s="3088" t="inlineStr">
        <is>
          <t>Hombres</t>
        </is>
      </c>
      <c r="Y12" s="8525" t="inlineStr">
        <is>
          <t>Mujeres</t>
        </is>
      </c>
      <c r="Z12" s="3088" t="inlineStr">
        <is>
          <t>Hombres</t>
        </is>
      </c>
      <c r="AA12" s="8525" t="inlineStr">
        <is>
          <t>Mujeres</t>
        </is>
      </c>
      <c r="AB12" s="3088" t="inlineStr">
        <is>
          <t>Hombres</t>
        </is>
      </c>
      <c r="AC12" s="8525" t="inlineStr">
        <is>
          <t>Mujeres</t>
        </is>
      </c>
      <c r="AD12" s="3088" t="inlineStr">
        <is>
          <t>Hombres</t>
        </is>
      </c>
      <c r="AE12" s="8525" t="inlineStr">
        <is>
          <t>Mujeres</t>
        </is>
      </c>
      <c r="AF12" s="3088" t="inlineStr">
        <is>
          <t>Hombres</t>
        </is>
      </c>
      <c r="AG12" s="8525" t="inlineStr">
        <is>
          <t>Mujeres</t>
        </is>
      </c>
      <c r="AH12" s="3088" t="inlineStr">
        <is>
          <t>Hombres</t>
        </is>
      </c>
      <c r="AI12" s="8525" t="inlineStr">
        <is>
          <t>Mujeres</t>
        </is>
      </c>
      <c r="AJ12" s="3088" t="inlineStr">
        <is>
          <t>Hombres</t>
        </is>
      </c>
      <c r="AK12" s="8525" t="inlineStr">
        <is>
          <t>Mujeres</t>
        </is>
      </c>
      <c r="AL12" s="3088" t="inlineStr">
        <is>
          <t>Hombres</t>
        </is>
      </c>
      <c r="AM12" s="8525" t="inlineStr">
        <is>
          <t>Mujeres</t>
        </is>
      </c>
      <c r="AN12" s="10088" t="n"/>
      <c r="AO12" s="8467" t="inlineStr">
        <is>
          <t>Masculino</t>
        </is>
      </c>
      <c r="AP12" s="8532" t="inlineStr">
        <is>
          <t>Femenina</t>
        </is>
      </c>
      <c r="AQ12" s="9698" t="n"/>
      <c r="AR12" s="9610" t="n"/>
      <c r="AS12" s="9698" t="n"/>
      <c r="AT12" s="9698" t="n"/>
      <c r="AU12" s="9610" t="n"/>
    </row>
    <row r="13">
      <c r="A13" s="10236" t="inlineStr">
        <is>
          <t>Actividad física</t>
        </is>
      </c>
      <c r="B13" s="3271" t="inlineStr">
        <is>
          <t>Médico/a</t>
        </is>
      </c>
      <c r="C13" s="3094">
        <f>SUM(D13+E13)</f>
        <v/>
      </c>
      <c r="D13" s="3176">
        <f>+F13+H13+J13+L13+N13+P13+R13+T13+V13+X13+Z13+AB13+AD13+AF13+AH13+AJ13+AL13</f>
        <v/>
      </c>
      <c r="E13" s="3272">
        <f>+G13+I13+K13+M13+O13+Q13+S13+U13+W13+Y13+AA13+AC13+AE13+AG13+AI13+AK13+AM13</f>
        <v/>
      </c>
      <c r="F13" s="3123" t="n"/>
      <c r="G13" s="3273" t="n"/>
      <c r="H13" s="3123" t="n"/>
      <c r="I13" s="3273" t="n"/>
      <c r="J13" s="3123" t="n"/>
      <c r="K13" s="3126" t="n"/>
      <c r="L13" s="3123" t="n"/>
      <c r="M13" s="3126" t="n"/>
      <c r="N13" s="3123" t="n"/>
      <c r="O13" s="3126" t="n"/>
      <c r="P13" s="3123" t="n"/>
      <c r="Q13" s="3126" t="n"/>
      <c r="R13" s="3123" t="n"/>
      <c r="S13" s="3126" t="n">
        <v>1</v>
      </c>
      <c r="T13" s="3123" t="n">
        <v>1</v>
      </c>
      <c r="U13" s="3126" t="n"/>
      <c r="V13" s="3123" t="n">
        <v>1</v>
      </c>
      <c r="W13" s="3126" t="n"/>
      <c r="X13" s="3123" t="n">
        <v>1</v>
      </c>
      <c r="Y13" s="3126" t="n">
        <v>3</v>
      </c>
      <c r="Z13" s="3123" t="n">
        <v>4</v>
      </c>
      <c r="AA13" s="3126" t="n">
        <v>1</v>
      </c>
      <c r="AB13" s="3123" t="n">
        <v>9</v>
      </c>
      <c r="AC13" s="3126" t="n">
        <v>15</v>
      </c>
      <c r="AD13" s="3123" t="n">
        <v>6</v>
      </c>
      <c r="AE13" s="3126" t="n">
        <v>22</v>
      </c>
      <c r="AF13" s="3123" t="n">
        <v>14</v>
      </c>
      <c r="AG13" s="3126" t="n">
        <v>10</v>
      </c>
      <c r="AH13" s="3123" t="n">
        <v>8</v>
      </c>
      <c r="AI13" s="3126" t="n">
        <v>15</v>
      </c>
      <c r="AJ13" s="3123" t="n">
        <v>7</v>
      </c>
      <c r="AK13" s="3126" t="n">
        <v>3</v>
      </c>
      <c r="AL13" s="3274" t="n">
        <v>3</v>
      </c>
      <c r="AM13" s="3275" t="n">
        <v>10</v>
      </c>
      <c r="AN13" s="3276" t="n">
        <v>0</v>
      </c>
      <c r="AO13" s="3277" t="n">
        <v>0</v>
      </c>
      <c r="AP13" s="3130" t="n">
        <v>0</v>
      </c>
      <c r="AQ13" s="3705" t="n">
        <v>4</v>
      </c>
      <c r="AR13" s="5286" t="n">
        <v>3</v>
      </c>
      <c r="AS13" s="3278" t="n"/>
      <c r="AT13" s="3720" t="n">
        <v>0</v>
      </c>
      <c r="AU13" s="4008" t="n">
        <v>0</v>
      </c>
      <c r="AV13" s="218">
        <f>$CA13&amp;$CB13&amp;CC13&amp;CD13&amp;CE13&amp;CG13&amp;CH13</f>
        <v/>
      </c>
      <c r="CA13" s="219">
        <f>IF(AND($C13&lt;&gt;0,AN13=""),"* No olvide ingresar la columna Espacios Amigables /adolescentes (Digite CERO si no tiene). ",IF(AN13&gt;$C13,"* El Número de Espacios Amigables no puede superar el Total. ",""))</f>
        <v/>
      </c>
      <c r="CB13" s="219">
        <f>IF(AND(E13&gt;0,OR(AO13="")),"No olvide digitar los campos *TRANS Masculino (Digite CERO si no tiene).",IF(AO13&gt;E13,"* El Número de TRANS Masculino no puede superar el Total Mujeres. ",""))</f>
        <v/>
      </c>
      <c r="CC13" s="219">
        <f>IF(AND(D13&gt;0,OR(AP13="")),"No olvide digitar los campos *TRANS Femenino (Digite CERO si no tiene).",IF(AP13&gt;$D13,"* El Número de TRANS Femenino no puede superar el Total Hombres. ",""))</f>
        <v/>
      </c>
      <c r="CD13" s="219">
        <f>IF(AND($C13&lt;&gt;0,AQ13=""),"* No olvide ingresar la columna Pueblos Originarios (Digite CERO si no tiene).  ",IF(AQ13&gt;$C13,"* El Número de Pueblos Originarios no puede superar el Total. ",""))</f>
        <v/>
      </c>
      <c r="CE13" s="219">
        <f>IF(AND($C13&lt;&gt;0,AR13=""),"* No olvide ingresar la columna Migrantes (Digite CERO si no tiene).  ",IF(AR13&gt;$C13,"* El Número de Migrantes no puede superar el Total. ",""))</f>
        <v/>
      </c>
      <c r="CF13" s="220" t="n"/>
      <c r="CG13" s="219">
        <f>IF(AND($C13&lt;&gt;0,AT13=""),"* No olvide ingresar la variable "&amp;AT$10&amp;". Digite Cero si no tiene.",IF(AT13&gt;$C13,"* La variable "&amp;AT$10&amp;"no puede superar el Total Ambos Sexos. ",""))</f>
        <v/>
      </c>
      <c r="CH13" s="219">
        <f>IF(AND($C13&lt;&gt;0,AU13=""),"* No olvide ingresar la variable "&amp;AU$10&amp;". Digite Cero si no tiene. ",IF(AU13&gt;$C13,"* La variable "&amp;AU$10&amp;" no puede superar el Total Ambos Sexos. ",""))</f>
        <v/>
      </c>
      <c r="CI13" s="226" t="n"/>
      <c r="CJ13" s="221">
        <f>IF(AND($C13&lt;&gt;0,AN13=""),1,IF(AN13&gt;$C13,1,0))</f>
        <v/>
      </c>
      <c r="CK13" s="221">
        <f>IF(AND(E13&gt;0,OR(AO13="")),1,IF(AO13&gt;E13,1,0))</f>
        <v/>
      </c>
      <c r="CL13" s="221">
        <f>IF(AND(D13&gt;0,OR(AP13="")),1,IF(AP13&gt;D13,1,0))</f>
        <v/>
      </c>
      <c r="CM13" s="221">
        <f>IF(AND($C13&lt;&gt;0,AQ13=""),1,IF(AQ13&gt;$C13,1,0))</f>
        <v/>
      </c>
      <c r="CN13" s="221">
        <f>IF(AND($C13&lt;&gt;0,AR13=""),1,IF(AR13&gt;$C13,1,0))</f>
        <v/>
      </c>
      <c r="CO13" s="222" t="n"/>
      <c r="CP13" s="221">
        <f>IF(AND($C13&lt;&gt;0,AT13=""),1,IF(AT13&gt;$C13,1,0))</f>
        <v/>
      </c>
      <c r="CQ13" s="221">
        <f>IF(AND($C13&lt;&gt;0,AU13=""),1,IF(AU13&gt;$C13,1,0))</f>
        <v/>
      </c>
      <c r="CR13" s="226" t="n"/>
      <c r="CS13" s="226" t="n"/>
      <c r="CT13" s="226" t="n"/>
      <c r="CU13" s="226" t="n"/>
    </row>
    <row r="14">
      <c r="A14" s="9588" t="n"/>
      <c r="B14" s="3279" t="inlineStr">
        <is>
          <t>Enfermera/o</t>
        </is>
      </c>
      <c r="C14" s="3103">
        <f>SUM(D14+E14)</f>
        <v/>
      </c>
      <c r="D14" s="3179">
        <f>+F14+H14+J14+L14+N14+P14+R14+T14+V14+X14+Z14+AB14+AD14+AF14+AH14+AJ14+AL14</f>
        <v/>
      </c>
      <c r="E14" s="3280">
        <f>+G14+I14+K14+M14+O14+Q14+S14+U14+W14+Y14+AA14+AC14+AE14+AG14+AI14+AK14+AM14</f>
        <v/>
      </c>
      <c r="F14" s="3108" t="n">
        <v>17</v>
      </c>
      <c r="G14" s="1125" t="n">
        <v>16</v>
      </c>
      <c r="H14" s="3108" t="n">
        <v>10</v>
      </c>
      <c r="I14" s="1125" t="n">
        <v>13</v>
      </c>
      <c r="J14" s="3108" t="n">
        <v>5</v>
      </c>
      <c r="K14" s="3101" t="n">
        <v>6</v>
      </c>
      <c r="L14" s="3108" t="n">
        <v>3</v>
      </c>
      <c r="M14" s="3101" t="n">
        <v>2</v>
      </c>
      <c r="N14" s="3108" t="n">
        <v>1</v>
      </c>
      <c r="O14" s="3101" t="n">
        <v>1</v>
      </c>
      <c r="P14" s="3108" t="n">
        <v>2</v>
      </c>
      <c r="Q14" s="3101" t="n">
        <v>2</v>
      </c>
      <c r="R14" s="3108" t="n"/>
      <c r="S14" s="3101" t="n">
        <v>1</v>
      </c>
      <c r="T14" s="3108" t="n">
        <v>1</v>
      </c>
      <c r="U14" s="3101" t="n">
        <v>3</v>
      </c>
      <c r="V14" s="3108" t="n">
        <v>2</v>
      </c>
      <c r="W14" s="3101" t="n">
        <v>3</v>
      </c>
      <c r="X14" s="3108" t="n">
        <v>4</v>
      </c>
      <c r="Y14" s="3101" t="n">
        <v>3</v>
      </c>
      <c r="Z14" s="3108" t="n">
        <v>4</v>
      </c>
      <c r="AA14" s="3101" t="n">
        <v>6</v>
      </c>
      <c r="AB14" s="3108" t="n">
        <v>2</v>
      </c>
      <c r="AC14" s="3101" t="n">
        <v>8</v>
      </c>
      <c r="AD14" s="3108" t="n">
        <v>16</v>
      </c>
      <c r="AE14" s="3101" t="n">
        <v>21</v>
      </c>
      <c r="AF14" s="3108" t="n">
        <v>15</v>
      </c>
      <c r="AG14" s="3101" t="n">
        <v>38</v>
      </c>
      <c r="AH14" s="3108" t="n">
        <v>16</v>
      </c>
      <c r="AI14" s="3101" t="n">
        <v>33</v>
      </c>
      <c r="AJ14" s="3108" t="n">
        <v>13</v>
      </c>
      <c r="AK14" s="3101" t="n">
        <v>27</v>
      </c>
      <c r="AL14" s="3281" t="n">
        <v>10</v>
      </c>
      <c r="AM14" s="880" t="n">
        <v>20</v>
      </c>
      <c r="AN14" s="3282" t="n">
        <v>0</v>
      </c>
      <c r="AO14" s="3100" t="n">
        <v>0</v>
      </c>
      <c r="AP14" s="1125" t="n">
        <v>0</v>
      </c>
      <c r="AQ14" s="3720" t="n">
        <v>6</v>
      </c>
      <c r="AR14" s="4008" t="n">
        <v>10</v>
      </c>
      <c r="AS14" s="3283" t="n"/>
      <c r="AT14" s="3720" t="n">
        <v>1</v>
      </c>
      <c r="AU14" s="4008" t="n">
        <v>1</v>
      </c>
      <c r="AV14" s="218">
        <f>$CA14&amp;$CB14&amp;CC14&amp;CD14&amp;CE14&amp;CG14&amp;CH14</f>
        <v/>
      </c>
      <c r="CA14" s="219">
        <f>IF(AND($C14&lt;&gt;0,AN14=""),"* No olvide ingresar la columna Espacios Amigables /adolescentes (Digite CERO si no tiene). ",IF(AN14&gt;$C14,"* El Número de Espacios Amigables no puede superar el Total. ",""))</f>
        <v/>
      </c>
      <c r="CB14" s="219">
        <f>IF(AND(E14&gt;0,OR(AO14="")),"No olvide digitar los campos *TRANS Masculino (Digite CERO si no tiene).",IF(AO14&gt;E14,"* El Número de TRANS Masculino no puede superar el Total Mujeres. ",""))</f>
        <v/>
      </c>
      <c r="CC14" s="219">
        <f>IF(AND(D14&gt;0,OR(AP14="")),"No olvide digitar los campos *TRANS Femenino (Digite CERO si no tiene).",IF(AP14&gt;$D14,"* El Número de TRANS Femenino no puede superar el Total Hombres. ",""))</f>
        <v/>
      </c>
      <c r="CD14" s="219">
        <f>IF(AND($C14&lt;&gt;0,AQ14=""),"* No olvide ingresar la columna Pueblos Originarios (Digite CERO si no tiene).  ",IF(AQ14&gt;$C14,"* El Número de Pueblos Originarios no puede superar el Total. ",""))</f>
        <v/>
      </c>
      <c r="CE14" s="219">
        <f>IF(AND($C14&lt;&gt;0,AR14=""),"* No olvide ingresar la columna Migrantes (Digite CERO si no tiene).  ",IF(AR14&gt;$C14,"* El Número de Migrantes no puede superar el Total. ",""))</f>
        <v/>
      </c>
      <c r="CF14" s="220" t="n"/>
      <c r="CG14" s="219">
        <f>IF(AND($C14&lt;&gt;0,AT14=""),"* No olvide ingresar la variable "&amp;AT$10&amp;". Digite Cero si no tiene.",IF(AT14&gt;$C14,"* La variable "&amp;AT$10&amp;"no puede superar el Total Ambos Sexos. ",""))</f>
        <v/>
      </c>
      <c r="CH14" s="219">
        <f>IF(AND($C14&lt;&gt;0,AU14=""),"* No olvide ingresar la variable "&amp;AU$10&amp;". Digite Cero si no tiene. ",IF(AU14&gt;$C14,"* La variable "&amp;AU$10&amp;" no puede superar el Total Ambos Sexos. ",""))</f>
        <v/>
      </c>
      <c r="CI14" s="226" t="n"/>
      <c r="CJ14" s="221">
        <f>IF(AND($C14&lt;&gt;0,AN14=""),1,IF(AN14&gt;$C14,1,0))</f>
        <v/>
      </c>
      <c r="CK14" s="221">
        <f>IF(AND(E14&gt;0,OR(AO14="")),1,IF(AO14&gt;E14,1,0))</f>
        <v/>
      </c>
      <c r="CL14" s="221">
        <f>IF(AND(D14&gt;0,OR(AP14="")),1,IF(AP14&gt;D14,1,0))</f>
        <v/>
      </c>
      <c r="CM14" s="221">
        <f>IF(AND($C14&lt;&gt;0,AQ14=""),1,IF(AQ14&gt;$C14,1,0))</f>
        <v/>
      </c>
      <c r="CN14" s="221">
        <f>IF(AND($C14&lt;&gt;0,AR14=""),1,IF(AR14&gt;$C14,1,0))</f>
        <v/>
      </c>
      <c r="CO14" s="222" t="n"/>
      <c r="CP14" s="221">
        <f>IF(AND($C14&lt;&gt;0,AT14=""),1,IF(AT14&gt;$C14,1,0))</f>
        <v/>
      </c>
      <c r="CQ14" s="221">
        <f>IF(AND($C14&lt;&gt;0,AU14=""),1,IF(AU14&gt;$C14,1,0))</f>
        <v/>
      </c>
    </row>
    <row r="15">
      <c r="A15" s="9588" t="n"/>
      <c r="B15" s="3279" t="inlineStr">
        <is>
          <t>Matrona/ón</t>
        </is>
      </c>
      <c r="C15" s="3103">
        <f>SUM(D15+E15)</f>
        <v/>
      </c>
      <c r="D15" s="3179">
        <f>+F15+H15+J15+L15+N15+P15+R15+T15+V15+X15+Z15+AB15+AD15+AF15+AH15+AJ15+AL15</f>
        <v/>
      </c>
      <c r="E15" s="3280">
        <f>+G15+I15+K15+M15+O15+Q15+S15+U15+W15+Y15+AA15+AC15+AE15+AG15+AI15+AK15+AM15</f>
        <v/>
      </c>
      <c r="F15" s="3108" t="n"/>
      <c r="G15" s="1125" t="n"/>
      <c r="H15" s="3108" t="n"/>
      <c r="I15" s="1125" t="n"/>
      <c r="J15" s="3108" t="n">
        <v>1</v>
      </c>
      <c r="K15" s="3101" t="n">
        <v>6</v>
      </c>
      <c r="L15" s="3108" t="n">
        <v>10</v>
      </c>
      <c r="M15" s="3101" t="n">
        <v>12</v>
      </c>
      <c r="N15" s="3108" t="n"/>
      <c r="O15" s="3101" t="n">
        <v>2</v>
      </c>
      <c r="P15" s="3108" t="n"/>
      <c r="Q15" s="3101" t="n">
        <v>11</v>
      </c>
      <c r="R15" s="3108" t="n"/>
      <c r="S15" s="3101" t="n">
        <v>12</v>
      </c>
      <c r="T15" s="3108" t="n"/>
      <c r="U15" s="3101" t="n">
        <v>3</v>
      </c>
      <c r="V15" s="3108" t="n"/>
      <c r="W15" s="3101" t="n"/>
      <c r="X15" s="3108" t="n"/>
      <c r="Y15" s="3101" t="n"/>
      <c r="Z15" s="3108" t="n"/>
      <c r="AA15" s="3101" t="n">
        <v>2</v>
      </c>
      <c r="AB15" s="3108" t="n"/>
      <c r="AC15" s="3101" t="n"/>
      <c r="AD15" s="3108" t="n"/>
      <c r="AE15" s="3101" t="n"/>
      <c r="AF15" s="3108" t="n"/>
      <c r="AG15" s="3101" t="n"/>
      <c r="AH15" s="3108" t="n"/>
      <c r="AI15" s="3101" t="n"/>
      <c r="AJ15" s="3108" t="n"/>
      <c r="AK15" s="3101" t="n"/>
      <c r="AL15" s="3281" t="n"/>
      <c r="AM15" s="880" t="n"/>
      <c r="AN15" s="3282" t="n">
        <v>0</v>
      </c>
      <c r="AO15" s="3100" t="n">
        <v>0</v>
      </c>
      <c r="AP15" s="1125" t="n">
        <v>0</v>
      </c>
      <c r="AQ15" s="3720" t="n">
        <v>0</v>
      </c>
      <c r="AR15" s="4008" t="n">
        <v>1</v>
      </c>
      <c r="AS15" s="3283" t="n"/>
      <c r="AT15" s="3720" t="n">
        <v>2</v>
      </c>
      <c r="AU15" s="4008" t="n">
        <v>5</v>
      </c>
      <c r="AV15" s="218">
        <f>$CA15&amp;$CB15&amp;CC15&amp;CD15&amp;CE15&amp;CG15&amp;CH15</f>
        <v/>
      </c>
      <c r="CA15" s="219">
        <f>IF(AND($C15&lt;&gt;0,AN15=""),"* No olvide ingresar la columna Espacios Amigables /adolescentes (Digite CERO si no tiene). ",IF(AN15&gt;$C15,"* El Número de Espacios Amigables no puede superar el Total. ",""))</f>
        <v/>
      </c>
      <c r="CB15" s="219">
        <f>IF(AND(E15&gt;0,OR(AO15="")),"No olvide digitar los campos *TRANS Masculino (Digite CERO si no tiene).",IF(AO15&gt;E15,"* El Número de TRANS Masculino no puede superar el Total Mujeres. ",""))</f>
        <v/>
      </c>
      <c r="CC15" s="219">
        <f>IF(AND(D15&gt;0,OR(AP15="")),"No olvide digitar los campos *TRANS Femenino (Digite CERO si no tiene).",IF(AP15&gt;$D15,"* El Número de TRANS Femenino no puede superar el Total Hombres. ",""))</f>
        <v/>
      </c>
      <c r="CD15" s="219">
        <f>IF(AND($C15&lt;&gt;0,AQ15=""),"* No olvide ingresar la columna Pueblos Originarios (Digite CERO si no tiene).  ",IF(AQ15&gt;$C15,"* El Número de Pueblos Originarios no puede superar el Total. ",""))</f>
        <v/>
      </c>
      <c r="CE15" s="219">
        <f>IF(AND($C15&lt;&gt;0,AR15=""),"* No olvide ingresar la columna Migrantes (Digite CERO si no tiene).  ",IF(AR15&gt;$C15,"* El Número de Migrantes no puede superar el Total. ",""))</f>
        <v/>
      </c>
      <c r="CF15" s="220" t="n"/>
      <c r="CG15" s="219">
        <f>IF(AND($C15&lt;&gt;0,AT15=""),"* No olvide ingresar la variable "&amp;AT$10&amp;". Digite Cero si no tiene.",IF(AT15&gt;$C15,"* La variable "&amp;AT$10&amp;"no puede superar el Total Ambos Sexos. ",""))</f>
        <v/>
      </c>
      <c r="CH15" s="219">
        <f>IF(AND($C15&lt;&gt;0,AU15=""),"* No olvide ingresar la variable "&amp;AU$10&amp;". Digite Cero si no tiene. ",IF(AU15&gt;$C15,"* La variable "&amp;AU$10&amp;" no puede superar el Total Ambos Sexos. ",""))</f>
        <v/>
      </c>
      <c r="CI15" s="226" t="n"/>
      <c r="CJ15" s="221">
        <f>IF(AND($C15&lt;&gt;0,AN15=""),1,IF(AN15&gt;$C15,1,0))</f>
        <v/>
      </c>
      <c r="CK15" s="221">
        <f>IF(AND(E15&gt;0,OR(AO15="")),1,IF(AO15&gt;E15,1,0))</f>
        <v/>
      </c>
      <c r="CL15" s="221">
        <f>IF(AND(D15&gt;0,OR(AP15="")),1,IF(AP15&gt;D15,1,0))</f>
        <v/>
      </c>
      <c r="CM15" s="221">
        <f>IF(AND($C15&lt;&gt;0,AQ15=""),1,IF(AQ15&gt;$C15,1,0))</f>
        <v/>
      </c>
      <c r="CN15" s="221">
        <f>IF(AND($C15&lt;&gt;0,AR15=""),1,IF(AR15&gt;$C15,1,0))</f>
        <v/>
      </c>
      <c r="CO15" s="222" t="n"/>
      <c r="CP15" s="221">
        <f>IF(AND($C15&lt;&gt;0,AT15=""),1,IF(AT15&gt;$C15,1,0))</f>
        <v/>
      </c>
      <c r="CQ15" s="221">
        <f>IF(AND($C15&lt;&gt;0,AU15=""),1,IF(AU15&gt;$C15,1,0))</f>
        <v/>
      </c>
    </row>
    <row r="16">
      <c r="A16" s="9588" t="n"/>
      <c r="B16" s="3279" t="inlineStr">
        <is>
          <t>Nutricionista</t>
        </is>
      </c>
      <c r="C16" s="3103">
        <f>SUM(D16+E16)</f>
        <v/>
      </c>
      <c r="D16" s="3179">
        <f>+F16+H16+J16+L16+N16+P16+R16+T16+V16+X16+Z16+AB16+AD16+AF16+AH16+AJ16+AL16</f>
        <v/>
      </c>
      <c r="E16" s="3280">
        <f>+G16+I16+K16+M16+O16+Q16+S16+U16+W16+Y16+AA16+AC16+AE16+AG16+AI16+AK16+AM16</f>
        <v/>
      </c>
      <c r="F16" s="3108" t="n">
        <v>27</v>
      </c>
      <c r="G16" s="1125" t="n">
        <v>23</v>
      </c>
      <c r="H16" s="3108" t="n">
        <v>9</v>
      </c>
      <c r="I16" s="1125" t="n">
        <v>5</v>
      </c>
      <c r="J16" s="3108" t="n">
        <v>11</v>
      </c>
      <c r="K16" s="3101" t="n">
        <v>13</v>
      </c>
      <c r="L16" s="3108" t="n">
        <v>2</v>
      </c>
      <c r="M16" s="3101" t="n">
        <v>6</v>
      </c>
      <c r="N16" s="3108" t="n">
        <v>2</v>
      </c>
      <c r="O16" s="3101" t="n">
        <v>8</v>
      </c>
      <c r="P16" s="3108" t="n">
        <v>2</v>
      </c>
      <c r="Q16" s="3101" t="n">
        <v>11</v>
      </c>
      <c r="R16" s="3108" t="n">
        <v>2</v>
      </c>
      <c r="S16" s="3101" t="n">
        <v>7</v>
      </c>
      <c r="T16" s="3108" t="n">
        <v>1</v>
      </c>
      <c r="U16" s="3101" t="n">
        <v>11</v>
      </c>
      <c r="V16" s="3108" t="n">
        <v>4</v>
      </c>
      <c r="W16" s="3101" t="n">
        <v>5</v>
      </c>
      <c r="X16" s="3108" t="n">
        <v>7</v>
      </c>
      <c r="Y16" s="3101" t="n">
        <v>8</v>
      </c>
      <c r="Z16" s="3108" t="n">
        <v>3</v>
      </c>
      <c r="AA16" s="3101" t="n">
        <v>20</v>
      </c>
      <c r="AB16" s="3108" t="n">
        <v>5</v>
      </c>
      <c r="AC16" s="3101" t="n">
        <v>20</v>
      </c>
      <c r="AD16" s="3108" t="n">
        <v>14</v>
      </c>
      <c r="AE16" s="3101" t="n">
        <v>39</v>
      </c>
      <c r="AF16" s="3108" t="n">
        <v>26</v>
      </c>
      <c r="AG16" s="3101" t="n">
        <v>27</v>
      </c>
      <c r="AH16" s="3108" t="n">
        <v>13</v>
      </c>
      <c r="AI16" s="3101" t="n">
        <v>20</v>
      </c>
      <c r="AJ16" s="3108" t="n">
        <v>10</v>
      </c>
      <c r="AK16" s="3101" t="n">
        <v>12</v>
      </c>
      <c r="AL16" s="3281" t="n">
        <v>4</v>
      </c>
      <c r="AM16" s="880" t="n">
        <v>19</v>
      </c>
      <c r="AN16" s="3282" t="n">
        <v>1</v>
      </c>
      <c r="AO16" s="3100" t="n">
        <v>0</v>
      </c>
      <c r="AP16" s="1125" t="n">
        <v>0</v>
      </c>
      <c r="AQ16" s="3720" t="n">
        <v>8</v>
      </c>
      <c r="AR16" s="4008" t="n">
        <v>6</v>
      </c>
      <c r="AS16" s="3283" t="n"/>
      <c r="AT16" s="3720" t="n">
        <v>0</v>
      </c>
      <c r="AU16" s="4008" t="n">
        <v>0</v>
      </c>
      <c r="AV16" s="218">
        <f>$CA16&amp;$CB16&amp;CC16&amp;CD16&amp;CE16&amp;CG16&amp;CH16</f>
        <v/>
      </c>
      <c r="CA16" s="219">
        <f>IF(AND($C16&lt;&gt;0,AN16=""),"* No olvide ingresar la columna Espacios Amigables /adolescentes (Digite CERO si no tiene). ",IF(AN16&gt;$C16,"* El Número de Espacios Amigables no puede superar el Total. ",""))</f>
        <v/>
      </c>
      <c r="CB16" s="219">
        <f>IF(AND(E16&gt;0,OR(AO16="")),"No olvide digitar los campos *TRANS Masculino (Digite CERO si no tiene).",IF(AO16&gt;E16,"* El Número de TRANS Masculino no puede superar el Total Mujeres. ",""))</f>
        <v/>
      </c>
      <c r="CC16" s="219">
        <f>IF(AND(D16&gt;0,OR(AP16="")),"No olvide digitar los campos *TRANS Femenino (Digite CERO si no tiene).",IF(AP16&gt;$D16,"* El Número de TRANS Femenino no puede superar el Total Hombres. ",""))</f>
        <v/>
      </c>
      <c r="CD16" s="219">
        <f>IF(AND($C16&lt;&gt;0,AQ16=""),"* No olvide ingresar la columna Pueblos Originarios (Digite CERO si no tiene).  ",IF(AQ16&gt;$C16,"* El Número de Pueblos Originarios no puede superar el Total. ",""))</f>
        <v/>
      </c>
      <c r="CE16" s="219">
        <f>IF(AND($C16&lt;&gt;0,AR16=""),"* No olvide ingresar la columna Migrantes (Digite CERO si no tiene).  ",IF(AR16&gt;$C16,"* El Número de Migrantes no puede superar el Total. ",""))</f>
        <v/>
      </c>
      <c r="CF16" s="220" t="n"/>
      <c r="CG16" s="219">
        <f>IF(AND($C16&lt;&gt;0,AT16=""),"* No olvide ingresar la variable "&amp;AT$10&amp;". Digite Cero si no tiene.",IF(AT16&gt;$C16,"* La variable "&amp;AT$10&amp;"no puede superar el Total Ambos Sexos. ",""))</f>
        <v/>
      </c>
      <c r="CH16" s="219">
        <f>IF(AND($C16&lt;&gt;0,AU16=""),"* No olvide ingresar la variable "&amp;AU$10&amp;". Digite Cero si no tiene. ",IF(AU16&gt;$C16,"* La variable "&amp;AU$10&amp;" no puede superar el Total Ambos Sexos. ",""))</f>
        <v/>
      </c>
      <c r="CI16" s="226" t="n"/>
      <c r="CJ16" s="221">
        <f>IF(AND($C16&lt;&gt;0,AN16=""),1,IF(AN16&gt;$C16,1,0))</f>
        <v/>
      </c>
      <c r="CK16" s="221">
        <f>IF(AND(E16&gt;0,OR(AO16="")),1,IF(AO16&gt;E16,1,0))</f>
        <v/>
      </c>
      <c r="CL16" s="221">
        <f>IF(AND(D16&gt;0,OR(AP16="")),1,IF(AP16&gt;D16,1,0))</f>
        <v/>
      </c>
      <c r="CM16" s="221">
        <f>IF(AND($C16&lt;&gt;0,AQ16=""),1,IF(AQ16&gt;$C16,1,0))</f>
        <v/>
      </c>
      <c r="CN16" s="221">
        <f>IF(AND($C16&lt;&gt;0,AR16=""),1,IF(AR16&gt;$C16,1,0))</f>
        <v/>
      </c>
      <c r="CO16" s="222" t="n"/>
      <c r="CP16" s="221">
        <f>IF(AND($C16&lt;&gt;0,AT16=""),1,IF(AT16&gt;$C16,1,0))</f>
        <v/>
      </c>
      <c r="CQ16" s="221">
        <f>IF(AND($C16&lt;&gt;0,AU16=""),1,IF(AU16&gt;$C16,1,0))</f>
        <v/>
      </c>
    </row>
    <row r="17">
      <c r="A17" s="9588" t="n"/>
      <c r="B17" s="3279" t="inlineStr">
        <is>
          <t>Trabajador/a Social</t>
        </is>
      </c>
      <c r="C17" s="3103">
        <f>SUM(D17+E17)</f>
        <v/>
      </c>
      <c r="D17" s="3179">
        <f>+F17+H17+J17+L17+N17+P17+R17+T17+V17+X17+Z17+AB17+AD17+AF17+AH17+AJ17+AL17</f>
        <v/>
      </c>
      <c r="E17" s="3280">
        <f>+G17+I17+K17+M17+O17+Q17+S17+U17+W17+Y17+AA17+AC17+AE17+AG17+AI17+AK17+AM17</f>
        <v/>
      </c>
      <c r="F17" s="3108" t="n"/>
      <c r="G17" s="1125" t="n"/>
      <c r="H17" s="3108" t="n"/>
      <c r="I17" s="1125" t="n"/>
      <c r="J17" s="3108" t="n"/>
      <c r="K17" s="3101" t="n"/>
      <c r="L17" s="3108" t="n"/>
      <c r="M17" s="3101" t="n"/>
      <c r="N17" s="3108" t="n"/>
      <c r="O17" s="3101" t="n"/>
      <c r="P17" s="3108" t="n"/>
      <c r="Q17" s="3101" t="n"/>
      <c r="R17" s="3108" t="n"/>
      <c r="S17" s="3101" t="n"/>
      <c r="T17" s="3108" t="n"/>
      <c r="U17" s="3101" t="n"/>
      <c r="V17" s="3108" t="n"/>
      <c r="W17" s="3101" t="n"/>
      <c r="X17" s="3108" t="n"/>
      <c r="Y17" s="3101" t="n"/>
      <c r="Z17" s="3108" t="n"/>
      <c r="AA17" s="3101" t="n"/>
      <c r="AB17" s="3108" t="n"/>
      <c r="AC17" s="3101" t="n"/>
      <c r="AD17" s="3108" t="n"/>
      <c r="AE17" s="3101" t="n"/>
      <c r="AF17" s="3108" t="n"/>
      <c r="AG17" s="3101" t="n"/>
      <c r="AH17" s="3108" t="n"/>
      <c r="AI17" s="3101" t="n"/>
      <c r="AJ17" s="3108" t="n"/>
      <c r="AK17" s="3101" t="n"/>
      <c r="AL17" s="3281" t="n"/>
      <c r="AM17" s="880" t="n"/>
      <c r="AN17" s="3282" t="n"/>
      <c r="AO17" s="3100" t="n"/>
      <c r="AP17" s="1125" t="n"/>
      <c r="AQ17" s="3720" t="n"/>
      <c r="AR17" s="4008" t="n"/>
      <c r="AS17" s="3283" t="n"/>
      <c r="AT17" s="3720" t="n"/>
      <c r="AU17" s="4008" t="n"/>
      <c r="AV17" s="218">
        <f>$CA17&amp;$CB17&amp;CC17&amp;CD17&amp;CE17&amp;CG17&amp;CH17</f>
        <v/>
      </c>
      <c r="CA17" s="219">
        <f>IF(AND($C17&lt;&gt;0,AN17=""),"* No olvide ingresar la columna Espacios Amigables /adolescentes (Digite CERO si no tiene). ",IF(AN17&gt;$C17,"* El Número de Espacios Amigables no puede superar el Total. ",""))</f>
        <v/>
      </c>
      <c r="CB17" s="219">
        <f>IF(AND(E17&gt;0,OR(AO17="")),"No olvide digitar los campos *TRANS Masculino (Digite CERO si no tiene).",IF(AO17&gt;E17,"* El Número de TRANS Masculino no puede superar el Total Mujeres. ",""))</f>
        <v/>
      </c>
      <c r="CC17" s="219">
        <f>IF(AND(D17&gt;0,OR(AP17="")),"No olvide digitar los campos *TRANS Femenino (Digite CERO si no tiene).",IF(AP17&gt;$D17,"* El Número de TRANS Femenino no puede superar el Total Hombres. ",""))</f>
        <v/>
      </c>
      <c r="CD17" s="219">
        <f>IF(AND($C17&lt;&gt;0,AQ17=""),"* No olvide ingresar la columna Pueblos Originarios (Digite CERO si no tiene).  ",IF(AQ17&gt;$C17,"* El Número de Pueblos Originarios no puede superar el Total. ",""))</f>
        <v/>
      </c>
      <c r="CE17" s="219">
        <f>IF(AND($C17&lt;&gt;0,AR17=""),"* No olvide ingresar la columna Migrantes (Digite CERO si no tiene).  ",IF(AR17&gt;$C17,"* El Número de Migrantes no puede superar el Total. ",""))</f>
        <v/>
      </c>
      <c r="CF17" s="220" t="n"/>
      <c r="CG17" s="219">
        <f>IF(AND($C17&lt;&gt;0,AT17=""),"* No olvide ingresar la variable "&amp;AT$10&amp;". Digite Cero si no tiene.",IF(AT17&gt;$C17,"* La variable "&amp;AT$10&amp;"no puede superar el Total Ambos Sexos. ",""))</f>
        <v/>
      </c>
      <c r="CH17" s="219">
        <f>IF(AND($C17&lt;&gt;0,AU17=""),"* No olvide ingresar la variable "&amp;AU$10&amp;". Digite Cero si no tiene. ",IF(AU17&gt;$C17,"* La variable "&amp;AU$10&amp;" no puede superar el Total Ambos Sexos. ",""))</f>
        <v/>
      </c>
      <c r="CI17" s="226" t="n"/>
      <c r="CJ17" s="221">
        <f>IF(AND($C17&lt;&gt;0,AN17=""),1,IF(AN17&gt;$C17,1,0))</f>
        <v/>
      </c>
      <c r="CK17" s="221">
        <f>IF(AND(E17&gt;0,OR(AO17="")),1,IF(AO17&gt;E17,1,0))</f>
        <v/>
      </c>
      <c r="CL17" s="221">
        <f>IF(AND(D17&gt;0,OR(AP17="")),1,IF(AP17&gt;D17,1,0))</f>
        <v/>
      </c>
      <c r="CM17" s="221">
        <f>IF(AND($C17&lt;&gt;0,AQ17=""),1,IF(AQ17&gt;$C17,1,0))</f>
        <v/>
      </c>
      <c r="CN17" s="221">
        <f>IF(AND($C17&lt;&gt;0,AR17=""),1,IF(AR17&gt;$C17,1,0))</f>
        <v/>
      </c>
      <c r="CO17" s="222" t="n"/>
      <c r="CP17" s="221">
        <f>IF(AND($C17&lt;&gt;0,AT17=""),1,IF(AT17&gt;$C17,1,0))</f>
        <v/>
      </c>
      <c r="CQ17" s="221">
        <f>IF(AND($C17&lt;&gt;0,AU17=""),1,IF(AU17&gt;$C17,1,0))</f>
        <v/>
      </c>
    </row>
    <row r="18">
      <c r="A18" s="9588" t="n"/>
      <c r="B18" s="3279" t="inlineStr">
        <is>
          <t>Psicólogo/a</t>
        </is>
      </c>
      <c r="C18" s="3103">
        <f>SUM(D18+E18)</f>
        <v/>
      </c>
      <c r="D18" s="3179">
        <f>+F18+H18+J18+L18+N18+P18+R18+T18+V18+X18+Z18+AB18+AD18+AF18+AH18+AJ18+AL18</f>
        <v/>
      </c>
      <c r="E18" s="3280">
        <f>+G18+I18+K18+M18+O18+Q18+S18+U18+W18+Y18+AA18+AC18+AE18+AG18+AI18+AK18+AM18</f>
        <v/>
      </c>
      <c r="F18" s="3108" t="n"/>
      <c r="G18" s="1125" t="n"/>
      <c r="H18" s="3108" t="n"/>
      <c r="I18" s="1125" t="n"/>
      <c r="J18" s="3108" t="n"/>
      <c r="K18" s="3101" t="n"/>
      <c r="L18" s="3108" t="n"/>
      <c r="M18" s="3101" t="n"/>
      <c r="N18" s="3108" t="n"/>
      <c r="O18" s="3101" t="n"/>
      <c r="P18" s="3108" t="n"/>
      <c r="Q18" s="3101" t="n"/>
      <c r="R18" s="3108" t="n"/>
      <c r="S18" s="3101" t="n"/>
      <c r="T18" s="3108" t="n"/>
      <c r="U18" s="3101" t="n"/>
      <c r="V18" s="3108" t="n"/>
      <c r="W18" s="3101" t="n"/>
      <c r="X18" s="3108" t="n"/>
      <c r="Y18" s="3101" t="n"/>
      <c r="Z18" s="3108" t="n"/>
      <c r="AA18" s="3101" t="n"/>
      <c r="AB18" s="3108" t="n"/>
      <c r="AC18" s="3101" t="n"/>
      <c r="AD18" s="3108" t="n"/>
      <c r="AE18" s="3101" t="n"/>
      <c r="AF18" s="3108" t="n"/>
      <c r="AG18" s="3101" t="n"/>
      <c r="AH18" s="3108" t="n"/>
      <c r="AI18" s="3101" t="n"/>
      <c r="AJ18" s="3108" t="n"/>
      <c r="AK18" s="3101" t="n"/>
      <c r="AL18" s="3281" t="n"/>
      <c r="AM18" s="880" t="n"/>
      <c r="AN18" s="3282" t="n"/>
      <c r="AO18" s="3100" t="n"/>
      <c r="AP18" s="1125" t="n"/>
      <c r="AQ18" s="3720" t="n"/>
      <c r="AR18" s="4008" t="n"/>
      <c r="AS18" s="3283" t="n"/>
      <c r="AT18" s="3720" t="n"/>
      <c r="AU18" s="4008" t="n"/>
      <c r="AV18" s="218">
        <f>$CA18&amp;$CB18&amp;CC18&amp;CD18&amp;CE18&amp;CG18&amp;CH18</f>
        <v/>
      </c>
      <c r="CA18" s="219">
        <f>IF(AND($C18&lt;&gt;0,AN18=""),"* No olvide ingresar la columna Espacios Amigables /adolescentes (Digite CERO si no tiene). ",IF(AN18&gt;$C18,"* El Número de Espacios Amigables no puede superar el Total. ",""))</f>
        <v/>
      </c>
      <c r="CB18" s="219">
        <f>IF(AND(E18&gt;0,OR(AO18="")),"No olvide digitar los campos *TRANS Masculino (Digite CERO si no tiene).",IF(AO18&gt;E18,"* El Número de TRANS Masculino no puede superar el Total Mujeres. ",""))</f>
        <v/>
      </c>
      <c r="CC18" s="219">
        <f>IF(AND(D18&gt;0,OR(AP18="")),"No olvide digitar los campos *TRANS Femenino (Digite CERO si no tiene).",IF(AP18&gt;$D18,"* El Número de TRANS Femenino no puede superar el Total Hombres. ",""))</f>
        <v/>
      </c>
      <c r="CD18" s="219">
        <f>IF(AND($C18&lt;&gt;0,AQ18=""),"* No olvide ingresar la columna Pueblos Originarios (Digite CERO si no tiene).  ",IF(AQ18&gt;$C18,"* El Número de Pueblos Originarios no puede superar el Total. ",""))</f>
        <v/>
      </c>
      <c r="CE18" s="219">
        <f>IF(AND($C18&lt;&gt;0,AR18=""),"* No olvide ingresar la columna Migrantes (Digite CERO si no tiene).  ",IF(AR18&gt;$C18,"* El Número de Migrantes no puede superar el Total. ",""))</f>
        <v/>
      </c>
      <c r="CF18" s="220" t="n"/>
      <c r="CG18" s="219">
        <f>IF(AND($C18&lt;&gt;0,AT18=""),"* No olvide ingresar la variable "&amp;AT$10&amp;". Digite Cero si no tiene.",IF(AT18&gt;$C18,"* La variable "&amp;AT$10&amp;"no puede superar el Total Ambos Sexos. ",""))</f>
        <v/>
      </c>
      <c r="CH18" s="219">
        <f>IF(AND($C18&lt;&gt;0,AU18=""),"* No olvide ingresar la variable "&amp;AU$10&amp;". Digite Cero si no tiene. ",IF(AU18&gt;$C18,"* La variable "&amp;AU$10&amp;" no puede superar el Total Ambos Sexos. ",""))</f>
        <v/>
      </c>
      <c r="CI18" s="226" t="n"/>
      <c r="CJ18" s="221">
        <f>IF(AND($C18&lt;&gt;0,AN18=""),1,IF(AN18&gt;$C18,1,0))</f>
        <v/>
      </c>
      <c r="CK18" s="221">
        <f>IF(AND(E18&gt;0,OR(AO18="")),1,IF(AO18&gt;E18,1,0))</f>
        <v/>
      </c>
      <c r="CL18" s="221">
        <f>IF(AND(D18&gt;0,OR(AP18="")),1,IF(AP18&gt;D18,1,0))</f>
        <v/>
      </c>
      <c r="CM18" s="221">
        <f>IF(AND($C18&lt;&gt;0,AQ18=""),1,IF(AQ18&gt;$C18,1,0))</f>
        <v/>
      </c>
      <c r="CN18" s="221">
        <f>IF(AND($C18&lt;&gt;0,AR18=""),1,IF(AR18&gt;$C18,1,0))</f>
        <v/>
      </c>
      <c r="CO18" s="222" t="n"/>
      <c r="CP18" s="221">
        <f>IF(AND($C18&lt;&gt;0,AT18=""),1,IF(AT18&gt;$C18,1,0))</f>
        <v/>
      </c>
      <c r="CQ18" s="221">
        <f>IF(AND($C18&lt;&gt;0,AU18=""),1,IF(AU18&gt;$C18,1,0))</f>
        <v/>
      </c>
    </row>
    <row r="19">
      <c r="A19" s="9588" t="n"/>
      <c r="B19" s="3279" t="inlineStr">
        <is>
          <t>Kinesiólogo/a</t>
        </is>
      </c>
      <c r="C19" s="3103">
        <f>SUM(D19+E19)</f>
        <v/>
      </c>
      <c r="D19" s="3179">
        <f>+F19+H19+J19+L19+N19+P19+R19+T19+V19+X19+Z19+AB19+AD19+AF19+AH19+AJ19+AL19</f>
        <v/>
      </c>
      <c r="E19" s="3280">
        <f>+G19+I19+K19+M19+O19+Q19+S19+U19+W19+Y19+AA19+AC19+AE19+AG19+AI19+AK19+AM19</f>
        <v/>
      </c>
      <c r="F19" s="3108" t="n"/>
      <c r="G19" s="1125" t="n"/>
      <c r="H19" s="3108" t="n"/>
      <c r="I19" s="1125" t="n"/>
      <c r="J19" s="3108" t="n"/>
      <c r="K19" s="3101" t="n"/>
      <c r="L19" s="3108" t="n"/>
      <c r="M19" s="3101" t="n"/>
      <c r="N19" s="3108" t="n"/>
      <c r="O19" s="3101" t="n"/>
      <c r="P19" s="3108" t="n"/>
      <c r="Q19" s="3101" t="n"/>
      <c r="R19" s="3108" t="n"/>
      <c r="S19" s="3101" t="n"/>
      <c r="T19" s="3108" t="n"/>
      <c r="U19" s="3101" t="n"/>
      <c r="V19" s="3108" t="n"/>
      <c r="W19" s="3101" t="n"/>
      <c r="X19" s="3108" t="n"/>
      <c r="Y19" s="3101" t="n"/>
      <c r="Z19" s="3108" t="n"/>
      <c r="AA19" s="3101" t="n"/>
      <c r="AB19" s="3108" t="n"/>
      <c r="AC19" s="3101" t="n"/>
      <c r="AD19" s="3108" t="n"/>
      <c r="AE19" s="3101" t="n"/>
      <c r="AF19" s="3108" t="n">
        <v>8</v>
      </c>
      <c r="AG19" s="3101" t="n">
        <v>7</v>
      </c>
      <c r="AH19" s="3108" t="n">
        <v>10</v>
      </c>
      <c r="AI19" s="3101" t="n">
        <v>7</v>
      </c>
      <c r="AJ19" s="3108" t="n">
        <v>3</v>
      </c>
      <c r="AK19" s="3101" t="n">
        <v>2</v>
      </c>
      <c r="AL19" s="3281" t="n">
        <v>5</v>
      </c>
      <c r="AM19" s="880" t="n">
        <v>4</v>
      </c>
      <c r="AN19" s="3282" t="n">
        <v>0</v>
      </c>
      <c r="AO19" s="3100" t="n">
        <v>0</v>
      </c>
      <c r="AP19" s="1125" t="n">
        <v>0</v>
      </c>
      <c r="AQ19" s="3720" t="n">
        <v>1</v>
      </c>
      <c r="AR19" s="4008" t="n">
        <v>1</v>
      </c>
      <c r="AS19" s="3283" t="n"/>
      <c r="AT19" s="3720" t="n">
        <v>0</v>
      </c>
      <c r="AU19" s="4008" t="n">
        <v>0</v>
      </c>
      <c r="AV19" s="218">
        <f>$CA19&amp;$CB19&amp;CC19&amp;CD19&amp;CE19&amp;CG19&amp;CH19</f>
        <v/>
      </c>
      <c r="CA19" s="219">
        <f>IF(AND($C19&lt;&gt;0,AN19=""),"* No olvide ingresar la columna Espacios Amigables /adolescentes (Digite CERO si no tiene). ",IF(AN19&gt;$C19,"* El Número de Espacios Amigables no puede superar el Total. ",""))</f>
        <v/>
      </c>
      <c r="CB19" s="219">
        <f>IF(AND(E19&gt;0,OR(AO19="")),"No olvide digitar los campos *TRANS Masculino (Digite CERO si no tiene).",IF(AO19&gt;E19,"* El Número de TRANS Masculino no puede superar el Total Mujeres. ",""))</f>
        <v/>
      </c>
      <c r="CC19" s="219">
        <f>IF(AND(D19&gt;0,OR(AP19="")),"No olvide digitar los campos *TRANS Femenino (Digite CERO si no tiene).",IF(AP19&gt;$D19,"* El Número de TRANS Femenino no puede superar el Total Hombres. ",""))</f>
        <v/>
      </c>
      <c r="CD19" s="219">
        <f>IF(AND($C19&lt;&gt;0,AQ19=""),"* No olvide ingresar la columna Pueblos Originarios (Digite CERO si no tiene).  ",IF(AQ19&gt;$C19,"* El Número de Pueblos Originarios no puede superar el Total. ",""))</f>
        <v/>
      </c>
      <c r="CE19" s="219">
        <f>IF(AND($C19&lt;&gt;0,AR19=""),"* No olvide ingresar la columna Migrantes (Digite CERO si no tiene).  ",IF(AR19&gt;$C19,"* El Número de Migrantes no puede superar el Total. ",""))</f>
        <v/>
      </c>
      <c r="CF19" s="220" t="n"/>
      <c r="CG19" s="219">
        <f>IF(AND($C19&lt;&gt;0,AT19=""),"* No olvide ingresar la variable "&amp;AT$10&amp;". Digite Cero si no tiene.",IF(AT19&gt;$C19,"* La variable "&amp;AT$10&amp;"no puede superar el Total Ambos Sexos. ",""))</f>
        <v/>
      </c>
      <c r="CH19" s="219">
        <f>IF(AND($C19&lt;&gt;0,AU19=""),"* No olvide ingresar la variable "&amp;AU$10&amp;". Digite Cero si no tiene. ",IF(AU19&gt;$C19,"* La variable "&amp;AU$10&amp;" no puede superar el Total Ambos Sexos. ",""))</f>
        <v/>
      </c>
      <c r="CI19" s="226" t="n"/>
      <c r="CJ19" s="221">
        <f>IF(AND($C19&lt;&gt;0,AN19=""),1,IF(AN19&gt;$C19,1,0))</f>
        <v/>
      </c>
      <c r="CK19" s="221">
        <f>IF(AND(E19&gt;0,OR(AO19="")),1,IF(AO19&gt;E19,1,0))</f>
        <v/>
      </c>
      <c r="CL19" s="221">
        <f>IF(AND(D19&gt;0,OR(AP19="")),1,IF(AP19&gt;D19,1,0))</f>
        <v/>
      </c>
      <c r="CM19" s="221">
        <f>IF(AND($C19&lt;&gt;0,AQ19=""),1,IF(AQ19&gt;$C19,1,0))</f>
        <v/>
      </c>
      <c r="CN19" s="221">
        <f>IF(AND($C19&lt;&gt;0,AR19=""),1,IF(AR19&gt;$C19,1,0))</f>
        <v/>
      </c>
      <c r="CO19" s="222" t="n"/>
      <c r="CP19" s="221">
        <f>IF(AND($C19&lt;&gt;0,AT19=""),1,IF(AT19&gt;$C19,1,0))</f>
        <v/>
      </c>
      <c r="CQ19" s="221">
        <f>IF(AND($C19&lt;&gt;0,AU19=""),1,IF(AU19&gt;$C19,1,0))</f>
        <v/>
      </c>
    </row>
    <row r="20">
      <c r="A20" s="9588" t="n"/>
      <c r="B20" s="3284" t="inlineStr">
        <is>
          <t>Terapeuta ocupacional</t>
        </is>
      </c>
      <c r="C20" s="3048">
        <f>SUM(D20+E20)</f>
        <v/>
      </c>
      <c r="D20" s="3183">
        <f>+F20+H20+J20+L20+N20+P20+R20+T20+V20+X20+Z20+AB20+AD20+AF20+AH20+AJ20+AL20</f>
        <v/>
      </c>
      <c r="E20" s="2654">
        <f>+G20+I20+K20+M20+O20+Q20+S20+U20+W20+Y20+AA20+AC20+AE20+AG20+AI20+AK20+AM20</f>
        <v/>
      </c>
      <c r="F20" s="1198" t="n"/>
      <c r="G20" s="1148" t="n"/>
      <c r="H20" s="1198" t="n"/>
      <c r="I20" s="1148" t="n"/>
      <c r="J20" s="1198" t="n"/>
      <c r="K20" s="1199" t="n"/>
      <c r="L20" s="1198" t="n"/>
      <c r="M20" s="1199" t="n"/>
      <c r="N20" s="1198" t="n"/>
      <c r="O20" s="1199" t="n"/>
      <c r="P20" s="1198" t="n"/>
      <c r="Q20" s="1199" t="n"/>
      <c r="R20" s="1198" t="n"/>
      <c r="S20" s="1199" t="n"/>
      <c r="T20" s="1198" t="n"/>
      <c r="U20" s="1199" t="n"/>
      <c r="V20" s="1198" t="n"/>
      <c r="W20" s="1199" t="n"/>
      <c r="X20" s="1198" t="n"/>
      <c r="Y20" s="1199" t="n"/>
      <c r="Z20" s="1198" t="n"/>
      <c r="AA20" s="1199" t="n"/>
      <c r="AB20" s="1198" t="n"/>
      <c r="AC20" s="1199" t="n"/>
      <c r="AD20" s="1198" t="n"/>
      <c r="AE20" s="1199" t="n"/>
      <c r="AF20" s="1198" t="n"/>
      <c r="AG20" s="1199" t="n"/>
      <c r="AH20" s="1198" t="n"/>
      <c r="AI20" s="1199" t="n"/>
      <c r="AJ20" s="1198" t="n"/>
      <c r="AK20" s="1199" t="n"/>
      <c r="AL20" s="1301" t="n"/>
      <c r="AM20" s="1414" t="n"/>
      <c r="AN20" s="3282" t="n"/>
      <c r="AO20" s="1200" t="n"/>
      <c r="AP20" s="1125" t="n"/>
      <c r="AQ20" s="3720" t="n"/>
      <c r="AR20" s="4008" t="n"/>
      <c r="AS20" s="3283" t="n"/>
      <c r="AT20" s="3720" t="n"/>
      <c r="AU20" s="4008" t="n"/>
      <c r="AV20" s="218">
        <f>$CA20&amp;$CB20&amp;CC20&amp;CD20&amp;CE20&amp;CG20&amp;CH20</f>
        <v/>
      </c>
      <c r="CA20" s="219">
        <f>IF(AND($C20&lt;&gt;0,AN20=""),"* No olvide ingresar la columna Espacios Amigables /adolescentes (Digite CERO si no tiene). ",IF(AN20&gt;$C20,"* El Número de Espacios Amigables no puede superar el Total. ",""))</f>
        <v/>
      </c>
      <c r="CB20" s="219">
        <f>IF(AND(E20&gt;0,OR(AO20="")),"No olvide digitar los campos *TRANS Masculino (Digite CERO si no tiene).",IF(AO20&gt;E20,"* El Número de TRANS Masculino no puede superar el Total Mujeres. ",""))</f>
        <v/>
      </c>
      <c r="CC20" s="219">
        <f>IF(AND(D20&gt;0,OR(AP20="")),"No olvide digitar los campos *TRANS Femenino (Digite CERO si no tiene).",IF(AP20&gt;$D20,"* El Número de TRANS Femenino no puede superar el Total Hombres. ",""))</f>
        <v/>
      </c>
      <c r="CD20" s="219">
        <f>IF(AND($C20&lt;&gt;0,AQ20=""),"* No olvide ingresar la columna Pueblos Originarios (Digite CERO si no tiene).  ",IF(AQ20&gt;$C20,"* El Número de Pueblos Originarios no puede superar el Total. ",""))</f>
        <v/>
      </c>
      <c r="CE20" s="219">
        <f>IF(AND($C20&lt;&gt;0,AR20=""),"* No olvide ingresar la columna Migrantes (Digite CERO si no tiene).  ",IF(AR20&gt;$C20,"* El Número de Migrantes no puede superar el Total. ",""))</f>
        <v/>
      </c>
      <c r="CF20" s="220" t="n"/>
      <c r="CG20" s="219">
        <f>IF(AND($C20&lt;&gt;0,AT20=""),"* No olvide ingresar la variable "&amp;AT$10&amp;". Digite Cero si no tiene.",IF(AT20&gt;$C20,"* La variable "&amp;AT$10&amp;"no puede superar el Total Ambos Sexos. ",""))</f>
        <v/>
      </c>
      <c r="CH20" s="219">
        <f>IF(AND($C20&lt;&gt;0,AU20=""),"* No olvide ingresar la variable "&amp;AU$10&amp;". Digite Cero si no tiene. ",IF(AU20&gt;$C20,"* La variable "&amp;AU$10&amp;" no puede superar el Total Ambos Sexos. ",""))</f>
        <v/>
      </c>
      <c r="CI20" s="226" t="n"/>
      <c r="CJ20" s="221">
        <f>IF(AND($C20&lt;&gt;0,AN20=""),1,IF(AN20&gt;$C20,1,0))</f>
        <v/>
      </c>
      <c r="CK20" s="221">
        <f>IF(AND(E20&gt;0,OR(AO20="")),1,IF(AO20&gt;E20,1,0))</f>
        <v/>
      </c>
      <c r="CL20" s="221">
        <f>IF(AND(D20&gt;0,OR(AP20="")),1,IF(AP20&gt;D20,1,0))</f>
        <v/>
      </c>
      <c r="CM20" s="221">
        <f>IF(AND($C20&lt;&gt;0,AQ20=""),1,IF(AQ20&gt;$C20,1,0))</f>
        <v/>
      </c>
      <c r="CN20" s="221">
        <f>IF(AND($C20&lt;&gt;0,AR20=""),1,IF(AR20&gt;$C20,1,0))</f>
        <v/>
      </c>
      <c r="CO20" s="222" t="n"/>
      <c r="CP20" s="221">
        <f>IF(AND($C20&lt;&gt;0,AT20=""),1,IF(AT20&gt;$C20,1,0))</f>
        <v/>
      </c>
      <c r="CQ20" s="221">
        <f>IF(AND($C20&lt;&gt;0,AU20=""),1,IF(AU20&gt;$C20,1,0))</f>
        <v/>
      </c>
    </row>
    <row r="21">
      <c r="A21" s="9588" t="n"/>
      <c r="B21" s="3279" t="inlineStr">
        <is>
          <t>Otro profesional</t>
        </is>
      </c>
      <c r="C21" s="3103">
        <f>SUM(D21+E21)</f>
        <v/>
      </c>
      <c r="D21" s="3179">
        <f>+F21+H21+J21+L21+N21+P21+R21+T21+V21+X21+Z21+AB21+AD21+AF21+AH21+AJ21+AL21</f>
        <v/>
      </c>
      <c r="E21" s="3280">
        <f>+G21+I21+K21+M21+O21+Q21+S21+U21+W21+Y21+AA21+AC21+AE21+AG21+AI21+AK21+AM21</f>
        <v/>
      </c>
      <c r="F21" s="3108" t="n"/>
      <c r="G21" s="1125" t="n"/>
      <c r="H21" s="3108" t="n"/>
      <c r="I21" s="1125" t="n"/>
      <c r="J21" s="3108" t="n"/>
      <c r="K21" s="3101" t="n"/>
      <c r="L21" s="3108" t="n"/>
      <c r="M21" s="3101" t="n"/>
      <c r="N21" s="3108" t="n"/>
      <c r="O21" s="3101" t="n"/>
      <c r="P21" s="3108" t="n"/>
      <c r="Q21" s="3101" t="n"/>
      <c r="R21" s="3108" t="n"/>
      <c r="S21" s="3101" t="n"/>
      <c r="T21" s="3108" t="n"/>
      <c r="U21" s="3101" t="n"/>
      <c r="V21" s="3108" t="n"/>
      <c r="W21" s="3101" t="n"/>
      <c r="X21" s="3108" t="n"/>
      <c r="Y21" s="3101" t="n"/>
      <c r="Z21" s="3108" t="n"/>
      <c r="AA21" s="3101" t="n"/>
      <c r="AB21" s="3108" t="n"/>
      <c r="AC21" s="3101" t="n"/>
      <c r="AD21" s="3108" t="n"/>
      <c r="AE21" s="3101" t="n"/>
      <c r="AF21" s="3108" t="n"/>
      <c r="AG21" s="3101" t="n"/>
      <c r="AH21" s="3108" t="n"/>
      <c r="AI21" s="3101" t="n"/>
      <c r="AJ21" s="3108" t="n"/>
      <c r="AK21" s="3101" t="n"/>
      <c r="AL21" s="3281" t="n"/>
      <c r="AM21" s="880" t="n"/>
      <c r="AN21" s="3282" t="n"/>
      <c r="AO21" s="3100" t="n"/>
      <c r="AP21" s="1125" t="n"/>
      <c r="AQ21" s="3720" t="n"/>
      <c r="AR21" s="4008" t="n"/>
      <c r="AS21" s="3283" t="n"/>
      <c r="AT21" s="3720" t="n"/>
      <c r="AU21" s="4008" t="n"/>
      <c r="AV21" s="218">
        <f>$CA21&amp;$CB21&amp;CC21&amp;CD21&amp;CE21&amp;CG21&amp;CH21</f>
        <v/>
      </c>
      <c r="CA21" s="219">
        <f>IF(AND($C21&lt;&gt;0,AN21=""),"* No olvide ingresar la columna Espacios Amigables /adolescentes (Digite CERO si no tiene). ",IF(AN21&gt;$C21,"* El Número de Espacios Amigables no puede superar el Total. ",""))</f>
        <v/>
      </c>
      <c r="CB21" s="219">
        <f>IF(AND(E21&gt;0,OR(AO21="")),"No olvide digitar los campos *TRANS Masculino (Digite CERO si no tiene).",IF(AO21&gt;E21,"* El Número de TRANS Masculino no puede superar el Total Mujeres. ",""))</f>
        <v/>
      </c>
      <c r="CC21" s="219">
        <f>IF(AND(D21&gt;0,OR(AP21="")),"No olvide digitar los campos *TRANS Femenino (Digite CERO si no tiene).",IF(AP21&gt;$D21,"* El Número de TRANS Femenino no puede superar el Total Hombres. ",""))</f>
        <v/>
      </c>
      <c r="CD21" s="219">
        <f>IF(AND($C21&lt;&gt;0,AQ21=""),"* No olvide ingresar la columna Pueblos Originarios (Digite CERO si no tiene).  ",IF(AQ21&gt;$C21,"* El Número de Pueblos Originarios no puede superar el Total. ",""))</f>
        <v/>
      </c>
      <c r="CE21" s="219">
        <f>IF(AND($C21&lt;&gt;0,AR21=""),"* No olvide ingresar la columna Migrantes (Digite CERO si no tiene).  ",IF(AR21&gt;$C21,"* El Número de Migrantes no puede superar el Total. ",""))</f>
        <v/>
      </c>
      <c r="CF21" s="220" t="n"/>
      <c r="CG21" s="219">
        <f>IF(AND($C21&lt;&gt;0,AT21=""),"* No olvide ingresar la variable "&amp;AT$10&amp;". Digite Cero si no tiene.",IF(AT21&gt;$C21,"* La variable "&amp;AT$10&amp;"no puede superar el Total Ambos Sexos. ",""))</f>
        <v/>
      </c>
      <c r="CH21" s="219">
        <f>IF(AND($C21&lt;&gt;0,AU21=""),"* No olvide ingresar la variable "&amp;AU$10&amp;". Digite Cero si no tiene. ",IF(AU21&gt;$C21,"* La variable "&amp;AU$10&amp;" no puede superar el Total Ambos Sexos. ",""))</f>
        <v/>
      </c>
      <c r="CI21" s="226" t="n"/>
      <c r="CJ21" s="221">
        <f>IF(AND($C21&lt;&gt;0,AN21=""),1,IF(AN21&gt;$C21,1,0))</f>
        <v/>
      </c>
      <c r="CK21" s="221">
        <f>IF(AND(E21&gt;0,OR(AO21="")),1,IF(AO21&gt;E21,1,0))</f>
        <v/>
      </c>
      <c r="CL21" s="221">
        <f>IF(AND(D21&gt;0,OR(AP21="")),1,IF(AP21&gt;D21,1,0))</f>
        <v/>
      </c>
      <c r="CM21" s="221">
        <f>IF(AND($C21&lt;&gt;0,AQ21=""),1,IF(AQ21&gt;$C21,1,0))</f>
        <v/>
      </c>
      <c r="CN21" s="221">
        <f>IF(AND($C21&lt;&gt;0,AR21=""),1,IF(AR21&gt;$C21,1,0))</f>
        <v/>
      </c>
      <c r="CO21" s="222" t="n"/>
      <c r="CP21" s="221">
        <f>IF(AND($C21&lt;&gt;0,AT21=""),1,IF(AT21&gt;$C21,1,0))</f>
        <v/>
      </c>
      <c r="CQ21" s="221">
        <f>IF(AND($C21&lt;&gt;0,AU21=""),1,IF(AU21&gt;$C21,1,0))</f>
        <v/>
      </c>
    </row>
    <row r="22">
      <c r="A22" s="9588" t="n"/>
      <c r="B22" s="8347" t="inlineStr">
        <is>
          <t>Facilitador/a intercultural</t>
        </is>
      </c>
      <c r="C22" s="3103">
        <f>SUM(D22+E22)</f>
        <v/>
      </c>
      <c r="D22" s="708">
        <f>+F22+H22+J22+L22+N22+P22+R22+T22+V22+X22+Z22+AB22+AD22+AF22+AH22+AJ22+AL22</f>
        <v/>
      </c>
      <c r="E22" s="400">
        <f>+G22+I22+K22+M22+O22+Q22+S22+U22+W22+Y22+AA22+AC22+AE22+AG22+AI22+AK22+AM22</f>
        <v/>
      </c>
      <c r="F22" s="3108" t="n"/>
      <c r="G22" s="1125" t="n"/>
      <c r="H22" s="3108" t="n"/>
      <c r="I22" s="1125" t="n"/>
      <c r="J22" s="3108" t="n"/>
      <c r="K22" s="3101" t="n"/>
      <c r="L22" s="3108" t="n"/>
      <c r="M22" s="3101" t="n"/>
      <c r="N22" s="3108" t="n"/>
      <c r="O22" s="3101" t="n"/>
      <c r="P22" s="3108" t="n"/>
      <c r="Q22" s="3101" t="n"/>
      <c r="R22" s="3108" t="n"/>
      <c r="S22" s="3101" t="n"/>
      <c r="T22" s="3108" t="n"/>
      <c r="U22" s="3101" t="n"/>
      <c r="V22" s="3108" t="n"/>
      <c r="W22" s="3101" t="n"/>
      <c r="X22" s="3108" t="n"/>
      <c r="Y22" s="3101" t="n"/>
      <c r="Z22" s="3108" t="n"/>
      <c r="AA22" s="3101" t="n"/>
      <c r="AB22" s="3108" t="n"/>
      <c r="AC22" s="3101" t="n"/>
      <c r="AD22" s="3108" t="n"/>
      <c r="AE22" s="3101" t="n"/>
      <c r="AF22" s="3108" t="n"/>
      <c r="AG22" s="3101" t="n"/>
      <c r="AH22" s="3108" t="n"/>
      <c r="AI22" s="3101" t="n"/>
      <c r="AJ22" s="3108" t="n"/>
      <c r="AK22" s="3101" t="n"/>
      <c r="AL22" s="401" t="n"/>
      <c r="AM22" s="880" t="n"/>
      <c r="AN22" s="3282" t="n"/>
      <c r="AO22" s="3100" t="n"/>
      <c r="AP22" s="1125" t="n"/>
      <c r="AQ22" s="3720" t="n"/>
      <c r="AR22" s="4008" t="n"/>
      <c r="AS22" s="3283" t="n"/>
      <c r="AT22" s="3720" t="n"/>
      <c r="AU22" s="4008" t="n"/>
      <c r="AV22" s="218">
        <f>$CA22&amp;$CB22&amp;CC22&amp;CD22&amp;CE22&amp;CG22&amp;CH22</f>
        <v/>
      </c>
      <c r="CA22" s="219">
        <f>IF(AND($C22&lt;&gt;0,AN22=""),"* No olvide ingresar la columna Espacios Amigables /adolescentes (Digite CERO si no tiene). ",IF(AN22&gt;$C22,"* El Número de Espacios Amigables no puede superar el Total. ",""))</f>
        <v/>
      </c>
      <c r="CB22" s="219">
        <f>IF(AND(E22&gt;0,OR(AO22="")),"No olvide digitar los campos *TRANS Masculino (Digite CERO si no tiene).",IF(AO22&gt;E22,"* El Número de TRANS Masculino no puede superar el Total Mujeres. ",""))</f>
        <v/>
      </c>
      <c r="CC22" s="219">
        <f>IF(AND(D22&gt;0,OR(AP22="")),"No olvide digitar los campos *TRANS Femenino (Digite CERO si no tiene).",IF(AP22&gt;$D22,"* El Número de TRANS Femenino no puede superar el Total Hombres. ",""))</f>
        <v/>
      </c>
      <c r="CD22" s="219">
        <f>IF(AND($C22&lt;&gt;0,AQ22=""),"* No olvide ingresar la columna Pueblos Originarios (Digite CERO si no tiene).  ",IF(AQ22&gt;$C22,"* El Número de Pueblos Originarios no puede superar el Total. ",""))</f>
        <v/>
      </c>
      <c r="CE22" s="219">
        <f>IF(AND($C22&lt;&gt;0,AR22=""),"* No olvide ingresar la columna Migrantes (Digite CERO si no tiene).  ",IF(AR22&gt;$C22,"* El Número de Migrantes no puede superar el Total. ",""))</f>
        <v/>
      </c>
      <c r="CF22" s="220" t="n"/>
      <c r="CG22" s="219">
        <f>IF(AND($C22&lt;&gt;0,AT22=""),"* No olvide ingresar la variable "&amp;AT$10&amp;". Digite Cero si no tiene.",IF(AT22&gt;$C22,"* La variable "&amp;AT$10&amp;"no puede superar el Total Ambos Sexos. ",""))</f>
        <v/>
      </c>
      <c r="CH22" s="219">
        <f>IF(AND($C22&lt;&gt;0,AU22=""),"* No olvide ingresar la variable "&amp;AU$10&amp;". Digite Cero si no tiene. ",IF(AU22&gt;$C22,"* La variable "&amp;AU$10&amp;" no puede superar el Total Ambos Sexos. ",""))</f>
        <v/>
      </c>
      <c r="CI22" s="226" t="n"/>
      <c r="CJ22" s="221">
        <f>IF(AND($C22&lt;&gt;0,AN22=""),1,IF(AN22&gt;$C22,1,0))</f>
        <v/>
      </c>
      <c r="CK22" s="221">
        <f>IF(AND(E22&gt;0,OR(AO22="")),1,IF(AO22&gt;E22,1,0))</f>
        <v/>
      </c>
      <c r="CL22" s="221">
        <f>IF(AND(D22&gt;0,OR(AP22="")),1,IF(AP22&gt;D22,1,0))</f>
        <v/>
      </c>
      <c r="CM22" s="221">
        <f>IF(AND($C22&lt;&gt;0,AQ22=""),1,IF(AQ22&gt;$C22,1,0))</f>
        <v/>
      </c>
      <c r="CN22" s="221">
        <f>IF(AND($C22&lt;&gt;0,AR22=""),1,IF(AR22&gt;$C22,1,0))</f>
        <v/>
      </c>
      <c r="CO22" s="222" t="n"/>
      <c r="CP22" s="221">
        <f>IF(AND($C22&lt;&gt;0,AT22=""),1,IF(AT22&gt;$C22,1,0))</f>
        <v/>
      </c>
      <c r="CQ22" s="221">
        <f>IF(AND($C22&lt;&gt;0,AU22=""),1,IF(AU22&gt;$C22,1,0))</f>
        <v/>
      </c>
    </row>
    <row r="23">
      <c r="A23" s="9589" t="n"/>
      <c r="B23" s="7763" t="inlineStr">
        <is>
          <t>Técnico en Enfermería</t>
        </is>
      </c>
      <c r="C23" s="1176">
        <f>SUM(D23+E23)</f>
        <v/>
      </c>
      <c r="D23" s="1177">
        <f>+F23+H23+J23+L23+N23+P23+R23+T23+V23+X23+Z23+AB23+AD23+AF23+AH23+AJ23+AL23</f>
        <v/>
      </c>
      <c r="E23" s="3285">
        <f>+G23+I23+K23+M23+O23+Q23+S23+U23+W23+Y23+AA23+AC23+AE23+AG23+AI23+AK23+AM23</f>
        <v/>
      </c>
      <c r="F23" s="2465" t="n"/>
      <c r="G23" s="2466" t="n"/>
      <c r="H23" s="2465" t="n"/>
      <c r="I23" s="2466" t="n"/>
      <c r="J23" s="2465" t="n"/>
      <c r="K23" s="189" t="n"/>
      <c r="L23" s="2465" t="n">
        <v>1</v>
      </c>
      <c r="M23" s="189" t="n"/>
      <c r="N23" s="2465" t="n">
        <v>4</v>
      </c>
      <c r="O23" s="189" t="n">
        <v>14</v>
      </c>
      <c r="P23" s="2465" t="n">
        <v>6</v>
      </c>
      <c r="Q23" s="189" t="n">
        <v>16</v>
      </c>
      <c r="R23" s="2465" t="n">
        <v>3</v>
      </c>
      <c r="S23" s="189" t="n">
        <v>15</v>
      </c>
      <c r="T23" s="2465" t="n">
        <v>5</v>
      </c>
      <c r="U23" s="189" t="n">
        <v>19</v>
      </c>
      <c r="V23" s="2465" t="n">
        <v>6</v>
      </c>
      <c r="W23" s="189" t="n">
        <v>18</v>
      </c>
      <c r="X23" s="2465" t="n">
        <v>6</v>
      </c>
      <c r="Y23" s="189" t="n">
        <v>19</v>
      </c>
      <c r="Z23" s="2465" t="n">
        <v>8</v>
      </c>
      <c r="AA23" s="189" t="n">
        <v>18</v>
      </c>
      <c r="AB23" s="2465" t="n">
        <v>9</v>
      </c>
      <c r="AC23" s="189" t="n">
        <v>23</v>
      </c>
      <c r="AD23" s="2465" t="n">
        <v>15</v>
      </c>
      <c r="AE23" s="189" t="n">
        <v>26</v>
      </c>
      <c r="AF23" s="2465" t="n"/>
      <c r="AG23" s="189" t="n"/>
      <c r="AH23" s="2465" t="n"/>
      <c r="AI23" s="189" t="n"/>
      <c r="AJ23" s="2465" t="n"/>
      <c r="AK23" s="189" t="n"/>
      <c r="AL23" s="1137" t="n"/>
      <c r="AM23" s="190" t="n"/>
      <c r="AN23" s="1208" t="n">
        <v>15</v>
      </c>
      <c r="AO23" s="2664" t="n">
        <v>0</v>
      </c>
      <c r="AP23" s="1138" t="n">
        <v>0</v>
      </c>
      <c r="AQ23" s="1151" t="n">
        <v>7</v>
      </c>
      <c r="AR23" s="1299" t="n">
        <v>11</v>
      </c>
      <c r="AS23" s="3286" t="n"/>
      <c r="AT23" s="1151" t="n">
        <v>0</v>
      </c>
      <c r="AU23" s="1299" t="n">
        <v>0</v>
      </c>
      <c r="AV23" s="218">
        <f>$CA23&amp;$CB23&amp;CC23&amp;CD23&amp;CE23&amp;CG23&amp;CH23</f>
        <v/>
      </c>
      <c r="CA23" s="219">
        <f>IF(AND($C23&lt;&gt;0,AN23=""),"* No olvide ingresar la columna Espacios Amigables /adolescentes (Digite CERO si no tiene). ",IF(AN23&gt;$C23,"* El Número de Espacios Amigables no puede superar el Total. ",""))</f>
        <v/>
      </c>
      <c r="CB23" s="219">
        <f>IF(AND(E23&gt;0,OR(AO23="")),"No olvide digitar los campos *TRANS Masculino (Digite CERO si no tiene).",IF(AO23&gt;E23,"* El Número de TRANS Masculino no puede superar el Total Mujeres. ",""))</f>
        <v/>
      </c>
      <c r="CC23" s="219">
        <f>IF(AND(D23&gt;0,OR(AP23="")),"No olvide digitar los campos *TRANS Femenino (Digite CERO si no tiene).",IF(AP23&gt;$D23,"* El Número de TRANS Femenino no puede superar el Total Hombres. ",""))</f>
        <v/>
      </c>
      <c r="CD23" s="219">
        <f>IF(AND($C23&lt;&gt;0,AQ23=""),"* No olvide ingresar la columna Pueblos Originarios (Digite CERO si no tiene).  ",IF(AQ23&gt;$C23,"* El Número de Pueblos Originarios no puede superar el Total. ",""))</f>
        <v/>
      </c>
      <c r="CE23" s="219">
        <f>IF(AND($C23&lt;&gt;0,AR23=""),"* No olvide ingresar la columna Migrantes (Digite CERO si no tiene).  ",IF(AR23&gt;$C23,"* El Número de Migrantes no puede superar el Total. ",""))</f>
        <v/>
      </c>
      <c r="CF23" s="220" t="n"/>
      <c r="CG23" s="219">
        <f>IF(AND($C23&lt;&gt;0,AT23=""),"* No olvide ingresar la variable "&amp;AT$10&amp;". Digite Cero si no tiene.",IF(AT23&gt;$C23,"* La variable "&amp;AT$10&amp;"no puede superar el Total Ambos Sexos. ",""))</f>
        <v/>
      </c>
      <c r="CH23" s="219">
        <f>IF(AND($C23&lt;&gt;0,AU23=""),"* No olvide ingresar la variable "&amp;AU$10&amp;". Digite Cero si no tiene. ",IF(AU23&gt;$C23,"* La variable "&amp;AU$10&amp;" no puede superar el Total Ambos Sexos. ",""))</f>
        <v/>
      </c>
      <c r="CI23" s="226" t="n"/>
      <c r="CJ23" s="221">
        <f>IF(AND($C23&lt;&gt;0,AN23=""),1,IF(AN23&gt;$C23,1,0))</f>
        <v/>
      </c>
      <c r="CK23" s="221">
        <f>IF(AND(E23&gt;0,OR(AO23="")),1,IF(AO23&gt;E23,1,0))</f>
        <v/>
      </c>
      <c r="CL23" s="221">
        <f>IF(AND(D23&gt;0,OR(AP23="")),1,IF(AP23&gt;D23,1,0))</f>
        <v/>
      </c>
      <c r="CM23" s="221">
        <f>IF(AND($C23&lt;&gt;0,AQ23=""),1,IF(AQ23&gt;$C23,1,0))</f>
        <v/>
      </c>
      <c r="CN23" s="221">
        <f>IF(AND($C23&lt;&gt;0,AR23=""),1,IF(AR23&gt;$C23,1,0))</f>
        <v/>
      </c>
      <c r="CO23" s="222" t="n"/>
      <c r="CP23" s="221">
        <f>IF(AND($C23&lt;&gt;0,AT23=""),1,IF(AT23&gt;$C23,1,0))</f>
        <v/>
      </c>
      <c r="CQ23" s="221">
        <f>IF(AND($C23&lt;&gt;0,AU23=""),1,IF(AU23&gt;$C23,1,0))</f>
        <v/>
      </c>
    </row>
    <row r="24">
      <c r="A24" s="10236" t="inlineStr">
        <is>
          <t>Alimentación saludable</t>
        </is>
      </c>
      <c r="B24" s="3271" t="inlineStr">
        <is>
          <t>Médico/a</t>
        </is>
      </c>
      <c r="C24" s="3094">
        <f>SUM(D24+E24)</f>
        <v/>
      </c>
      <c r="D24" s="3176">
        <f>+F24+H24+J24+L24+N24+P24+R24+T24+V24+X24+Z24+AB24+AD24+AF24+AH24+AJ24+AL24</f>
        <v/>
      </c>
      <c r="E24" s="3272">
        <f>+G24+I24+K24+M24+O24+Q24+S24+U24+W24+Y24+AA24+AC24+AE24+AG24+AI24+AK24+AM24</f>
        <v/>
      </c>
      <c r="F24" s="3123" t="n"/>
      <c r="G24" s="3273" t="n"/>
      <c r="H24" s="3123" t="n"/>
      <c r="I24" s="3273" t="n"/>
      <c r="J24" s="3123" t="n"/>
      <c r="K24" s="3126" t="n"/>
      <c r="L24" s="3123" t="n"/>
      <c r="M24" s="3126" t="n"/>
      <c r="N24" s="3123" t="n"/>
      <c r="O24" s="3126" t="n"/>
      <c r="P24" s="3123" t="n"/>
      <c r="Q24" s="3126" t="n"/>
      <c r="R24" s="3123" t="n"/>
      <c r="S24" s="3126" t="n">
        <v>1</v>
      </c>
      <c r="T24" s="3123" t="n">
        <v>1</v>
      </c>
      <c r="U24" s="3126" t="n"/>
      <c r="V24" s="3123" t="n">
        <v>1</v>
      </c>
      <c r="W24" s="3126" t="n"/>
      <c r="X24" s="3123" t="n">
        <v>1</v>
      </c>
      <c r="Y24" s="3126" t="n">
        <v>3</v>
      </c>
      <c r="Z24" s="3123" t="n">
        <v>4</v>
      </c>
      <c r="AA24" s="3126" t="n">
        <v>1</v>
      </c>
      <c r="AB24" s="3123" t="n">
        <v>9</v>
      </c>
      <c r="AC24" s="3126" t="n">
        <v>15</v>
      </c>
      <c r="AD24" s="3123" t="n">
        <v>6</v>
      </c>
      <c r="AE24" s="3126" t="n">
        <v>22</v>
      </c>
      <c r="AF24" s="3123" t="n">
        <v>14</v>
      </c>
      <c r="AG24" s="3126" t="n">
        <v>10</v>
      </c>
      <c r="AH24" s="3123" t="n">
        <v>8</v>
      </c>
      <c r="AI24" s="3126" t="n">
        <v>15</v>
      </c>
      <c r="AJ24" s="3123" t="n">
        <v>7</v>
      </c>
      <c r="AK24" s="3126" t="n">
        <v>3</v>
      </c>
      <c r="AL24" s="3274" t="n">
        <v>3</v>
      </c>
      <c r="AM24" s="3275" t="n">
        <v>10</v>
      </c>
      <c r="AN24" s="3276" t="n">
        <v>0</v>
      </c>
      <c r="AO24" s="3277" t="n">
        <v>0</v>
      </c>
      <c r="AP24" s="3130" t="n">
        <v>0</v>
      </c>
      <c r="AQ24" s="3705" t="n">
        <v>4</v>
      </c>
      <c r="AR24" s="5286" t="n">
        <v>3</v>
      </c>
      <c r="AS24" s="3278" t="n"/>
      <c r="AT24" s="3720" t="n">
        <v>0</v>
      </c>
      <c r="AU24" s="4008" t="n">
        <v>0</v>
      </c>
      <c r="AV24" s="218">
        <f>$CA24&amp;$CB24&amp;CC24&amp;CD24&amp;CE24&amp;CG24&amp;CH24</f>
        <v/>
      </c>
      <c r="CA24" s="219">
        <f>IF(AND($C24&lt;&gt;0,AN24=""),"* No olvide ingresar la columna Espacios Amigables /adolescentes (Digite CERO si no tiene). ",IF(AN24&gt;$C24,"* El Número de Espacios Amigables no puede superar el Total. ",""))</f>
        <v/>
      </c>
      <c r="CB24" s="219">
        <f>IF(AND(E24&gt;0,OR(AO24="")),"No olvide digitar los campos *TRANS Masculino (Digite CERO si no tiene).",IF(AO24&gt;E24,"* El Número de TRANS Masculino no puede superar el Total Mujeres. ",""))</f>
        <v/>
      </c>
      <c r="CC24" s="219">
        <f>IF(AND(D24&gt;0,OR(AP24="")),"No olvide digitar los campos *TRANS Femenino (Digite CERO si no tiene).",IF(AP24&gt;$D24,"* El Número de TRANS Femenino no puede superar el Total Hombres. ",""))</f>
        <v/>
      </c>
      <c r="CD24" s="219">
        <f>IF(AND($C24&lt;&gt;0,AQ24=""),"* No olvide ingresar la columna Pueblos Originarios (Digite CERO si no tiene).  ",IF(AQ24&gt;$C24,"* El Número de Pueblos Originarios no puede superar el Total. ",""))</f>
        <v/>
      </c>
      <c r="CE24" s="219">
        <f>IF(AND($C24&lt;&gt;0,AR24=""),"* No olvide ingresar la columna Migrantes (Digite CERO si no tiene).  ",IF(AR24&gt;$C24,"* El Número de Migrantes no puede superar el Total. ",""))</f>
        <v/>
      </c>
      <c r="CF24" s="220" t="n"/>
      <c r="CG24" s="219">
        <f>IF(AND($C24&lt;&gt;0,AT24=""),"* No olvide ingresar la variable "&amp;AT$10&amp;". Digite Cero si no tiene.",IF(AT24&gt;$C24,"* La variable "&amp;AT$10&amp;"no puede superar el Total Ambos Sexos. ",""))</f>
        <v/>
      </c>
      <c r="CH24" s="219">
        <f>IF(AND($C24&lt;&gt;0,AU24=""),"* No olvide ingresar la variable "&amp;AU$10&amp;". Digite Cero si no tiene. ",IF(AU24&gt;$C24,"* La variable "&amp;AU$10&amp;" no puede superar el Total Ambos Sexos. ",""))</f>
        <v/>
      </c>
      <c r="CI24" s="226" t="n"/>
      <c r="CJ24" s="221">
        <f>IF(AND($C24&lt;&gt;0,AN24=""),1,IF(AN24&gt;$C24,1,0))</f>
        <v/>
      </c>
      <c r="CK24" s="221">
        <f>IF(AND(E24&gt;0,OR(AO24="")),1,IF(AO24&gt;E24,1,0))</f>
        <v/>
      </c>
      <c r="CL24" s="221">
        <f>IF(AND(D24&gt;0,OR(AP24="")),1,IF(AP24&gt;D24,1,0))</f>
        <v/>
      </c>
      <c r="CM24" s="221">
        <f>IF(AND($C24&lt;&gt;0,AQ24=""),1,IF(AQ24&gt;$C24,1,0))</f>
        <v/>
      </c>
      <c r="CN24" s="221">
        <f>IF(AND($C24&lt;&gt;0,AR24=""),1,IF(AR24&gt;$C24,1,0))</f>
        <v/>
      </c>
      <c r="CO24" s="222" t="n"/>
      <c r="CP24" s="221">
        <f>IF(AND($C24&lt;&gt;0,AT24=""),1,IF(AT24&gt;$C24,1,0))</f>
        <v/>
      </c>
      <c r="CQ24" s="221">
        <f>IF(AND($C24&lt;&gt;0,AU24=""),1,IF(AU24&gt;$C24,1,0))</f>
        <v/>
      </c>
      <c r="CR24" s="226" t="n"/>
      <c r="CS24" s="226" t="n"/>
      <c r="CT24" s="226" t="n"/>
      <c r="CU24" s="226" t="n"/>
    </row>
    <row r="25">
      <c r="A25" s="9588" t="n"/>
      <c r="B25" s="3279" t="inlineStr">
        <is>
          <t>Enfermera/o</t>
        </is>
      </c>
      <c r="C25" s="3103">
        <f>SUM(D25+E25)</f>
        <v/>
      </c>
      <c r="D25" s="3179">
        <f>+F25+H25+J25+L25+N25+P25+R25+T25+V25+X25+Z25+AB25+AD25+AF25+AH25+AJ25+AL25</f>
        <v/>
      </c>
      <c r="E25" s="3280">
        <f>+G25+I25+K25+M25+O25+Q25+S25+U25+W25+Y25+AA25+AC25+AE25+AG25+AI25+AK25+AM25</f>
        <v/>
      </c>
      <c r="F25" s="3108" t="n">
        <v>60</v>
      </c>
      <c r="G25" s="1125" t="n">
        <v>66</v>
      </c>
      <c r="H25" s="3108" t="n">
        <v>15</v>
      </c>
      <c r="I25" s="1125" t="n">
        <v>20</v>
      </c>
      <c r="J25" s="3108" t="n">
        <v>5</v>
      </c>
      <c r="K25" s="3101" t="n">
        <v>8</v>
      </c>
      <c r="L25" s="3108" t="n">
        <v>4</v>
      </c>
      <c r="M25" s="3101" t="n">
        <v>4</v>
      </c>
      <c r="N25" s="3108" t="n">
        <v>1</v>
      </c>
      <c r="O25" s="3101" t="n">
        <v>1</v>
      </c>
      <c r="P25" s="3108" t="n">
        <v>2</v>
      </c>
      <c r="Q25" s="3101" t="n">
        <v>2</v>
      </c>
      <c r="R25" s="3108" t="n">
        <v>1</v>
      </c>
      <c r="S25" s="3101" t="n">
        <v>1</v>
      </c>
      <c r="T25" s="3108" t="n">
        <v>1</v>
      </c>
      <c r="U25" s="3101" t="n">
        <v>2</v>
      </c>
      <c r="V25" s="3108" t="n">
        <v>2</v>
      </c>
      <c r="W25" s="3101" t="n">
        <v>5</v>
      </c>
      <c r="X25" s="3108" t="n">
        <v>6</v>
      </c>
      <c r="Y25" s="3101" t="n">
        <v>6</v>
      </c>
      <c r="Z25" s="3108" t="n">
        <v>8</v>
      </c>
      <c r="AA25" s="3101" t="n">
        <v>8</v>
      </c>
      <c r="AB25" s="3108" t="n">
        <v>2</v>
      </c>
      <c r="AC25" s="3101" t="n">
        <v>14</v>
      </c>
      <c r="AD25" s="3108" t="n">
        <v>22</v>
      </c>
      <c r="AE25" s="3101" t="n">
        <v>29</v>
      </c>
      <c r="AF25" s="3108" t="n">
        <v>19</v>
      </c>
      <c r="AG25" s="3101" t="n">
        <v>43</v>
      </c>
      <c r="AH25" s="3108" t="n">
        <v>19</v>
      </c>
      <c r="AI25" s="3101" t="n">
        <v>35</v>
      </c>
      <c r="AJ25" s="3108" t="n">
        <v>17</v>
      </c>
      <c r="AK25" s="3101" t="n">
        <v>30</v>
      </c>
      <c r="AL25" s="3281" t="n">
        <v>14</v>
      </c>
      <c r="AM25" s="880" t="n">
        <v>22</v>
      </c>
      <c r="AN25" s="3282" t="n">
        <v>0</v>
      </c>
      <c r="AO25" s="3100" t="n">
        <v>0</v>
      </c>
      <c r="AP25" s="1125" t="n">
        <v>0</v>
      </c>
      <c r="AQ25" s="3720" t="n">
        <v>12</v>
      </c>
      <c r="AR25" s="4008" t="n">
        <v>15</v>
      </c>
      <c r="AS25" s="3283" t="n"/>
      <c r="AT25" s="3720" t="n">
        <v>1</v>
      </c>
      <c r="AU25" s="4008" t="n">
        <v>4</v>
      </c>
      <c r="AV25" s="218">
        <f>$CA25&amp;$CB25&amp;CC25&amp;CD25&amp;CE25&amp;CG25&amp;CH25</f>
        <v/>
      </c>
      <c r="CA25" s="219">
        <f>IF(AND($C25&lt;&gt;0,AN25=""),"* No olvide ingresar la columna Espacios Amigables /adolescentes (Digite CERO si no tiene). ",IF(AN25&gt;$C25,"* El Número de Espacios Amigables no puede superar el Total. ",""))</f>
        <v/>
      </c>
      <c r="CB25" s="219">
        <f>IF(AND(E25&gt;0,OR(AO25="")),"No olvide digitar los campos *TRANS Masculino (Digite CERO si no tiene).",IF(AO25&gt;E25,"* El Número de TRANS Masculino no puede superar el Total Mujeres. ",""))</f>
        <v/>
      </c>
      <c r="CC25" s="219">
        <f>IF(AND(D25&gt;0,OR(AP25="")),"No olvide digitar los campos *TRANS Femenino (Digite CERO si no tiene).",IF(AP25&gt;$D25,"* El Número de TRANS Femenino no puede superar el Total Hombres. ",""))</f>
        <v/>
      </c>
      <c r="CD25" s="219">
        <f>IF(AND($C25&lt;&gt;0,AQ25=""),"* No olvide ingresar la columna Pueblos Originarios (Digite CERO si no tiene).  ",IF(AQ25&gt;$C25,"* El Número de Pueblos Originarios no puede superar el Total. ",""))</f>
        <v/>
      </c>
      <c r="CE25" s="219">
        <f>IF(AND($C25&lt;&gt;0,AR25=""),"* No olvide ingresar la columna Migrantes (Digite CERO si no tiene).  ",IF(AR25&gt;$C25,"* El Número de Migrantes no puede superar el Total. ",""))</f>
        <v/>
      </c>
      <c r="CF25" s="220" t="n"/>
      <c r="CG25" s="219">
        <f>IF(AND($C25&lt;&gt;0,AT25=""),"* No olvide ingresar la variable "&amp;AT$10&amp;". Digite Cero si no tiene.",IF(AT25&gt;$C25,"* La variable "&amp;AT$10&amp;"no puede superar el Total Ambos Sexos. ",""))</f>
        <v/>
      </c>
      <c r="CH25" s="219">
        <f>IF(AND($C25&lt;&gt;0,AU25=""),"* No olvide ingresar la variable "&amp;AU$10&amp;". Digite Cero si no tiene. ",IF(AU25&gt;$C25,"* La variable "&amp;AU$10&amp;" no puede superar el Total Ambos Sexos. ",""))</f>
        <v/>
      </c>
      <c r="CI25" s="226" t="n"/>
      <c r="CJ25" s="221">
        <f>IF(AND($C25&lt;&gt;0,AN25=""),1,IF(AN25&gt;$C25,1,0))</f>
        <v/>
      </c>
      <c r="CK25" s="221">
        <f>IF(AND(E25&gt;0,OR(AO25="")),1,IF(AO25&gt;E25,1,0))</f>
        <v/>
      </c>
      <c r="CL25" s="221">
        <f>IF(AND(D25&gt;0,OR(AP25="")),1,IF(AP25&gt;D25,1,0))</f>
        <v/>
      </c>
      <c r="CM25" s="221">
        <f>IF(AND($C25&lt;&gt;0,AQ25=""),1,IF(AQ25&gt;$C25,1,0))</f>
        <v/>
      </c>
      <c r="CN25" s="221">
        <f>IF(AND($C25&lt;&gt;0,AR25=""),1,IF(AR25&gt;$C25,1,0))</f>
        <v/>
      </c>
      <c r="CO25" s="222" t="n"/>
      <c r="CP25" s="221">
        <f>IF(AND($C25&lt;&gt;0,AT25=""),1,IF(AT25&gt;$C25,1,0))</f>
        <v/>
      </c>
      <c r="CQ25" s="221">
        <f>IF(AND($C25&lt;&gt;0,AU25=""),1,IF(AU25&gt;$C25,1,0))</f>
        <v/>
      </c>
    </row>
    <row r="26">
      <c r="A26" s="9588" t="n"/>
      <c r="B26" s="3279" t="inlineStr">
        <is>
          <t>Matrona/ón</t>
        </is>
      </c>
      <c r="C26" s="3103">
        <f>SUM(D26+E26)</f>
        <v/>
      </c>
      <c r="D26" s="3179">
        <f>+F26+H26+J26+L26+N26+P26+R26+T26+V26+X26+Z26+AB26+AD26+AF26+AH26+AJ26+AL26</f>
        <v/>
      </c>
      <c r="E26" s="3280">
        <f>+G26+I26+K26+M26+O26+Q26+S26+U26+W26+Y26+AA26+AC26+AE26+AG26+AI26+AK26+AM26</f>
        <v/>
      </c>
      <c r="F26" s="3108" t="n"/>
      <c r="G26" s="1125" t="n"/>
      <c r="H26" s="3108" t="n"/>
      <c r="I26" s="1125" t="n"/>
      <c r="J26" s="3108" t="n"/>
      <c r="K26" s="3101" t="n">
        <v>5</v>
      </c>
      <c r="L26" s="3108" t="n">
        <v>10</v>
      </c>
      <c r="M26" s="3101" t="n">
        <v>15</v>
      </c>
      <c r="N26" s="3108" t="n"/>
      <c r="O26" s="3101" t="n">
        <v>7</v>
      </c>
      <c r="P26" s="3108" t="n"/>
      <c r="Q26" s="3101" t="n">
        <v>22</v>
      </c>
      <c r="R26" s="3108" t="n"/>
      <c r="S26" s="3101" t="n">
        <v>24</v>
      </c>
      <c r="T26" s="3108" t="n"/>
      <c r="U26" s="3101" t="n">
        <v>7</v>
      </c>
      <c r="V26" s="3108" t="n"/>
      <c r="W26" s="3101" t="n">
        <v>3</v>
      </c>
      <c r="X26" s="3108" t="n"/>
      <c r="Y26" s="3101" t="n">
        <v>1</v>
      </c>
      <c r="Z26" s="3108" t="n"/>
      <c r="AA26" s="3101" t="n">
        <v>3</v>
      </c>
      <c r="AB26" s="3108" t="n"/>
      <c r="AC26" s="3101" t="n">
        <v>2</v>
      </c>
      <c r="AD26" s="3108" t="n"/>
      <c r="AE26" s="3101" t="n"/>
      <c r="AF26" s="3108" t="n"/>
      <c r="AG26" s="3101" t="n"/>
      <c r="AH26" s="3108" t="n"/>
      <c r="AI26" s="3101" t="n"/>
      <c r="AJ26" s="3108" t="n"/>
      <c r="AK26" s="3101" t="n"/>
      <c r="AL26" s="3281" t="n"/>
      <c r="AM26" s="880" t="n"/>
      <c r="AN26" s="3282" t="n">
        <v>0</v>
      </c>
      <c r="AO26" s="3100" t="n">
        <v>0</v>
      </c>
      <c r="AP26" s="1125" t="n">
        <v>0</v>
      </c>
      <c r="AQ26" s="3720" t="n">
        <v>0</v>
      </c>
      <c r="AR26" s="4008" t="n">
        <v>6</v>
      </c>
      <c r="AS26" s="3283" t="n"/>
      <c r="AT26" s="3720" t="n">
        <v>2</v>
      </c>
      <c r="AU26" s="4008" t="n">
        <v>5</v>
      </c>
      <c r="AV26" s="218">
        <f>$CA26&amp;$CB26&amp;CC26&amp;CD26&amp;CE26&amp;CG26&amp;CH26</f>
        <v/>
      </c>
      <c r="CA26" s="219">
        <f>IF(AND($C26&lt;&gt;0,AN26=""),"* No olvide ingresar la columna Espacios Amigables /adolescentes (Digite CERO si no tiene). ",IF(AN26&gt;$C26,"* El Número de Espacios Amigables no puede superar el Total. ",""))</f>
        <v/>
      </c>
      <c r="CB26" s="219">
        <f>IF(AND(E26&gt;0,OR(AO26="")),"No olvide digitar los campos *TRANS Masculino (Digite CERO si no tiene).",IF(AO26&gt;E26,"* El Número de TRANS Masculino no puede superar el Total Mujeres. ",""))</f>
        <v/>
      </c>
      <c r="CC26" s="219">
        <f>IF(AND(D26&gt;0,OR(AP26="")),"No olvide digitar los campos *TRANS Femenino (Digite CERO si no tiene).",IF(AP26&gt;$D26,"* El Número de TRANS Femenino no puede superar el Total Hombres. ",""))</f>
        <v/>
      </c>
      <c r="CD26" s="219">
        <f>IF(AND($C26&lt;&gt;0,AQ26=""),"* No olvide ingresar la columna Pueblos Originarios (Digite CERO si no tiene).  ",IF(AQ26&gt;$C26,"* El Número de Pueblos Originarios no puede superar el Total. ",""))</f>
        <v/>
      </c>
      <c r="CE26" s="219">
        <f>IF(AND($C26&lt;&gt;0,AR26=""),"* No olvide ingresar la columna Migrantes (Digite CERO si no tiene).  ",IF(AR26&gt;$C26,"* El Número de Migrantes no puede superar el Total. ",""))</f>
        <v/>
      </c>
      <c r="CF26" s="220" t="n"/>
      <c r="CG26" s="219">
        <f>IF(AND($C26&lt;&gt;0,AT26=""),"* No olvide ingresar la variable "&amp;AT$10&amp;". Digite Cero si no tiene.",IF(AT26&gt;$C26,"* La variable "&amp;AT$10&amp;"no puede superar el Total Ambos Sexos. ",""))</f>
        <v/>
      </c>
      <c r="CH26" s="219">
        <f>IF(AND($C26&lt;&gt;0,AU26=""),"* No olvide ingresar la variable "&amp;AU$10&amp;". Digite Cero si no tiene. ",IF(AU26&gt;$C26,"* La variable "&amp;AU$10&amp;" no puede superar el Total Ambos Sexos. ",""))</f>
        <v/>
      </c>
      <c r="CI26" s="226" t="n"/>
      <c r="CJ26" s="221">
        <f>IF(AND($C26&lt;&gt;0,AN26=""),1,IF(AN26&gt;$C26,1,0))</f>
        <v/>
      </c>
      <c r="CK26" s="221">
        <f>IF(AND(E26&gt;0,OR(AO26="")),1,IF(AO26&gt;E26,1,0))</f>
        <v/>
      </c>
      <c r="CL26" s="221">
        <f>IF(AND(D26&gt;0,OR(AP26="")),1,IF(AP26&gt;D26,1,0))</f>
        <v/>
      </c>
      <c r="CM26" s="221">
        <f>IF(AND($C26&lt;&gt;0,AQ26=""),1,IF(AQ26&gt;$C26,1,0))</f>
        <v/>
      </c>
      <c r="CN26" s="221">
        <f>IF(AND($C26&lt;&gt;0,AR26=""),1,IF(AR26&gt;$C26,1,0))</f>
        <v/>
      </c>
      <c r="CO26" s="222" t="n"/>
      <c r="CP26" s="221">
        <f>IF(AND($C26&lt;&gt;0,AT26=""),1,IF(AT26&gt;$C26,1,0))</f>
        <v/>
      </c>
      <c r="CQ26" s="221">
        <f>IF(AND($C26&lt;&gt;0,AU26=""),1,IF(AU26&gt;$C26,1,0))</f>
        <v/>
      </c>
    </row>
    <row r="27">
      <c r="A27" s="9588" t="n"/>
      <c r="B27" s="3279" t="inlineStr">
        <is>
          <t>Nutricionista</t>
        </is>
      </c>
      <c r="C27" s="3103">
        <f>SUM(D27+E27)</f>
        <v/>
      </c>
      <c r="D27" s="3179">
        <f>+F27+H27+J27+L27+N27+P27+R27+T27+V27+X27+Z27+AB27+AD27+AF27+AH27+AJ27+AL27</f>
        <v/>
      </c>
      <c r="E27" s="3280">
        <f>+G27+I27+K27+M27+O27+Q27+S27+U27+W27+Y27+AA27+AC27+AE27+AG27+AI27+AK27+AM27</f>
        <v/>
      </c>
      <c r="F27" s="3108" t="n">
        <v>40</v>
      </c>
      <c r="G27" s="1125" t="n">
        <v>36</v>
      </c>
      <c r="H27" s="3108" t="n">
        <v>11</v>
      </c>
      <c r="I27" s="1125" t="n">
        <v>6</v>
      </c>
      <c r="J27" s="3108" t="n">
        <v>12</v>
      </c>
      <c r="K27" s="3101" t="n">
        <v>14</v>
      </c>
      <c r="L27" s="3108" t="n">
        <v>3</v>
      </c>
      <c r="M27" s="3101" t="n">
        <v>8</v>
      </c>
      <c r="N27" s="3108" t="n">
        <v>2</v>
      </c>
      <c r="O27" s="3101" t="n">
        <v>8</v>
      </c>
      <c r="P27" s="3108" t="n">
        <v>2</v>
      </c>
      <c r="Q27" s="3101" t="n">
        <v>11</v>
      </c>
      <c r="R27" s="3108" t="n">
        <v>2</v>
      </c>
      <c r="S27" s="3101" t="n">
        <v>6</v>
      </c>
      <c r="T27" s="3108" t="n">
        <v>1</v>
      </c>
      <c r="U27" s="3101" t="n">
        <v>12</v>
      </c>
      <c r="V27" s="3108" t="n">
        <v>4</v>
      </c>
      <c r="W27" s="3101" t="n">
        <v>4</v>
      </c>
      <c r="X27" s="3108" t="n">
        <v>6</v>
      </c>
      <c r="Y27" s="3101" t="n">
        <v>7</v>
      </c>
      <c r="Z27" s="3108" t="n">
        <v>4</v>
      </c>
      <c r="AA27" s="3101" t="n">
        <v>14</v>
      </c>
      <c r="AB27" s="3108" t="n">
        <v>5</v>
      </c>
      <c r="AC27" s="3101" t="n">
        <v>21</v>
      </c>
      <c r="AD27" s="3108" t="n">
        <v>13</v>
      </c>
      <c r="AE27" s="3101" t="n">
        <v>35</v>
      </c>
      <c r="AF27" s="3108" t="n">
        <v>26</v>
      </c>
      <c r="AG27" s="3101" t="n">
        <v>25</v>
      </c>
      <c r="AH27" s="3108" t="n">
        <v>10</v>
      </c>
      <c r="AI27" s="3101" t="n">
        <v>20</v>
      </c>
      <c r="AJ27" s="3108" t="n">
        <v>12</v>
      </c>
      <c r="AK27" s="3101" t="n">
        <v>12</v>
      </c>
      <c r="AL27" s="3281" t="n">
        <v>4</v>
      </c>
      <c r="AM27" s="880" t="n">
        <v>15</v>
      </c>
      <c r="AN27" s="3282" t="n">
        <v>0</v>
      </c>
      <c r="AO27" s="3100" t="n">
        <v>0</v>
      </c>
      <c r="AP27" s="1125" t="n">
        <v>0</v>
      </c>
      <c r="AQ27" s="3720" t="n">
        <v>8</v>
      </c>
      <c r="AR27" s="4008" t="n">
        <v>4</v>
      </c>
      <c r="AS27" s="3283" t="n"/>
      <c r="AT27" s="3720" t="n">
        <v>0</v>
      </c>
      <c r="AU27" s="4008" t="n">
        <v>1</v>
      </c>
      <c r="AV27" s="218">
        <f>$CA27&amp;$CB27&amp;CC27&amp;CD27&amp;CE27&amp;CG27&amp;CH27</f>
        <v/>
      </c>
      <c r="CA27" s="219">
        <f>IF(AND($C27&lt;&gt;0,AN27=""),"* No olvide ingresar la columna Espacios Amigables /adolescentes (Digite CERO si no tiene). ",IF(AN27&gt;$C27,"* El Número de Espacios Amigables no puede superar el Total. ",""))</f>
        <v/>
      </c>
      <c r="CB27" s="219">
        <f>IF(AND(E27&gt;0,OR(AO27="")),"No olvide digitar los campos *TRANS Masculino (Digite CERO si no tiene).",IF(AO27&gt;E27,"* El Número de TRANS Masculino no puede superar el Total Mujeres. ",""))</f>
        <v/>
      </c>
      <c r="CC27" s="219">
        <f>IF(AND(D27&gt;0,OR(AP27="")),"No olvide digitar los campos *TRANS Femenino (Digite CERO si no tiene).",IF(AP27&gt;$D27,"* El Número de TRANS Femenino no puede superar el Total Hombres. ",""))</f>
        <v/>
      </c>
      <c r="CD27" s="219">
        <f>IF(AND($C27&lt;&gt;0,AQ27=""),"* No olvide ingresar la columna Pueblos Originarios (Digite CERO si no tiene).  ",IF(AQ27&gt;$C27,"* El Número de Pueblos Originarios no puede superar el Total. ",""))</f>
        <v/>
      </c>
      <c r="CE27" s="219">
        <f>IF(AND($C27&lt;&gt;0,AR27=""),"* No olvide ingresar la columna Migrantes (Digite CERO si no tiene).  ",IF(AR27&gt;$C27,"* El Número de Migrantes no puede superar el Total. ",""))</f>
        <v/>
      </c>
      <c r="CF27" s="220" t="n"/>
      <c r="CG27" s="219">
        <f>IF(AND($C27&lt;&gt;0,AT27=""),"* No olvide ingresar la variable "&amp;AT$10&amp;". Digite Cero si no tiene.",IF(AT27&gt;$C27,"* La variable "&amp;AT$10&amp;"no puede superar el Total Ambos Sexos. ",""))</f>
        <v/>
      </c>
      <c r="CH27" s="219">
        <f>IF(AND($C27&lt;&gt;0,AU27=""),"* No olvide ingresar la variable "&amp;AU$10&amp;". Digite Cero si no tiene. ",IF(AU27&gt;$C27,"* La variable "&amp;AU$10&amp;" no puede superar el Total Ambos Sexos. ",""))</f>
        <v/>
      </c>
      <c r="CI27" s="226" t="n"/>
      <c r="CJ27" s="221">
        <f>IF(AND($C27&lt;&gt;0,AN27=""),1,IF(AN27&gt;$C27,1,0))</f>
        <v/>
      </c>
      <c r="CK27" s="221">
        <f>IF(AND(E27&gt;0,OR(AO27="")),1,IF(AO27&gt;E27,1,0))</f>
        <v/>
      </c>
      <c r="CL27" s="221">
        <f>IF(AND(D27&gt;0,OR(AP27="")),1,IF(AP27&gt;D27,1,0))</f>
        <v/>
      </c>
      <c r="CM27" s="221">
        <f>IF(AND($C27&lt;&gt;0,AQ27=""),1,IF(AQ27&gt;$C27,1,0))</f>
        <v/>
      </c>
      <c r="CN27" s="221">
        <f>IF(AND($C27&lt;&gt;0,AR27=""),1,IF(AR27&gt;$C27,1,0))</f>
        <v/>
      </c>
      <c r="CO27" s="222" t="n"/>
      <c r="CP27" s="221">
        <f>IF(AND($C27&lt;&gt;0,AT27=""),1,IF(AT27&gt;$C27,1,0))</f>
        <v/>
      </c>
      <c r="CQ27" s="221">
        <f>IF(AND($C27&lt;&gt;0,AU27=""),1,IF(AU27&gt;$C27,1,0))</f>
        <v/>
      </c>
    </row>
    <row r="28">
      <c r="A28" s="9588" t="n"/>
      <c r="B28" s="3279" t="inlineStr">
        <is>
          <t>Trabajador/a Social</t>
        </is>
      </c>
      <c r="C28" s="3103">
        <f>SUM(D28+E28)</f>
        <v/>
      </c>
      <c r="D28" s="3179">
        <f>+F28+H28+J28+L28+N28+P28+R28+T28+V28+X28+Z28+AB28+AD28+AF28+AH28+AJ28+AL28</f>
        <v/>
      </c>
      <c r="E28" s="3280">
        <f>+G28+I28+K28+M28+O28+Q28+S28+U28+W28+Y28+AA28+AC28+AE28+AG28+AI28+AK28+AM28</f>
        <v/>
      </c>
      <c r="F28" s="3108" t="n"/>
      <c r="G28" s="1125" t="n"/>
      <c r="H28" s="3108" t="n"/>
      <c r="I28" s="1125" t="n"/>
      <c r="J28" s="3108" t="n"/>
      <c r="K28" s="3101" t="n"/>
      <c r="L28" s="3108" t="n"/>
      <c r="M28" s="3101" t="n"/>
      <c r="N28" s="3108" t="n"/>
      <c r="O28" s="3101" t="n"/>
      <c r="P28" s="3108" t="n"/>
      <c r="Q28" s="3101" t="n"/>
      <c r="R28" s="3108" t="n"/>
      <c r="S28" s="3101" t="n"/>
      <c r="T28" s="3108" t="n"/>
      <c r="U28" s="3101" t="n"/>
      <c r="V28" s="3108" t="n"/>
      <c r="W28" s="3101" t="n"/>
      <c r="X28" s="3108" t="n"/>
      <c r="Y28" s="3101" t="n"/>
      <c r="Z28" s="3108" t="n"/>
      <c r="AA28" s="3101" t="n"/>
      <c r="AB28" s="3108" t="n"/>
      <c r="AC28" s="3101" t="n"/>
      <c r="AD28" s="3108" t="n"/>
      <c r="AE28" s="3101" t="n"/>
      <c r="AF28" s="3108" t="n"/>
      <c r="AG28" s="3101" t="n"/>
      <c r="AH28" s="3108" t="n"/>
      <c r="AI28" s="3101" t="n"/>
      <c r="AJ28" s="3108" t="n"/>
      <c r="AK28" s="3101" t="n"/>
      <c r="AL28" s="3281" t="n"/>
      <c r="AM28" s="880" t="n"/>
      <c r="AN28" s="3282" t="n"/>
      <c r="AO28" s="3100" t="n"/>
      <c r="AP28" s="1125" t="n"/>
      <c r="AQ28" s="3720" t="n"/>
      <c r="AR28" s="4008" t="n"/>
      <c r="AS28" s="3283" t="n"/>
      <c r="AT28" s="3720" t="n"/>
      <c r="AU28" s="4008" t="n"/>
      <c r="AV28" s="218">
        <f>$CA28&amp;$CB28&amp;CC28&amp;CD28&amp;CE28&amp;CG28&amp;CH28</f>
        <v/>
      </c>
      <c r="CA28" s="219">
        <f>IF(AND($C28&lt;&gt;0,AN28=""),"* No olvide ingresar la columna Espacios Amigables /adolescentes (Digite CERO si no tiene). ",IF(AN28&gt;$C28,"* El Número de Espacios Amigables no puede superar el Total. ",""))</f>
        <v/>
      </c>
      <c r="CB28" s="219">
        <f>IF(AND(E28&gt;0,OR(AO28="")),"No olvide digitar los campos *TRANS Masculino (Digite CERO si no tiene).",IF(AO28&gt;E28,"* El Número de TRANS Masculino no puede superar el Total Mujeres. ",""))</f>
        <v/>
      </c>
      <c r="CC28" s="219">
        <f>IF(AND(D28&gt;0,OR(AP28="")),"No olvide digitar los campos *TRANS Femenino (Digite CERO si no tiene).",IF(AP28&gt;$D28,"* El Número de TRANS Femenino no puede superar el Total Hombres. ",""))</f>
        <v/>
      </c>
      <c r="CD28" s="219">
        <f>IF(AND($C28&lt;&gt;0,AQ28=""),"* No olvide ingresar la columna Pueblos Originarios (Digite CERO si no tiene).  ",IF(AQ28&gt;$C28,"* El Número de Pueblos Originarios no puede superar el Total. ",""))</f>
        <v/>
      </c>
      <c r="CE28" s="219">
        <f>IF(AND($C28&lt;&gt;0,AR28=""),"* No olvide ingresar la columna Migrantes (Digite CERO si no tiene).  ",IF(AR28&gt;$C28,"* El Número de Migrantes no puede superar el Total. ",""))</f>
        <v/>
      </c>
      <c r="CF28" s="220" t="n"/>
      <c r="CG28" s="219">
        <f>IF(AND($C28&lt;&gt;0,AT28=""),"* No olvide ingresar la variable "&amp;AT$10&amp;". Digite Cero si no tiene.",IF(AT28&gt;$C28,"* La variable "&amp;AT$10&amp;"no puede superar el Total Ambos Sexos. ",""))</f>
        <v/>
      </c>
      <c r="CH28" s="219">
        <f>IF(AND($C28&lt;&gt;0,AU28=""),"* No olvide ingresar la variable "&amp;AU$10&amp;". Digite Cero si no tiene. ",IF(AU28&gt;$C28,"* La variable "&amp;AU$10&amp;" no puede superar el Total Ambos Sexos. ",""))</f>
        <v/>
      </c>
      <c r="CI28" s="226" t="n"/>
      <c r="CJ28" s="221">
        <f>IF(AND($C28&lt;&gt;0,AN28=""),1,IF(AN28&gt;$C28,1,0))</f>
        <v/>
      </c>
      <c r="CK28" s="221">
        <f>IF(AND(E28&gt;0,OR(AO28="")),1,IF(AO28&gt;E28,1,0))</f>
        <v/>
      </c>
      <c r="CL28" s="221">
        <f>IF(AND(D28&gt;0,OR(AP28="")),1,IF(AP28&gt;D28,1,0))</f>
        <v/>
      </c>
      <c r="CM28" s="221">
        <f>IF(AND($C28&lt;&gt;0,AQ28=""),1,IF(AQ28&gt;$C28,1,0))</f>
        <v/>
      </c>
      <c r="CN28" s="221">
        <f>IF(AND($C28&lt;&gt;0,AR28=""),1,IF(AR28&gt;$C28,1,0))</f>
        <v/>
      </c>
      <c r="CO28" s="222" t="n"/>
      <c r="CP28" s="221">
        <f>IF(AND($C28&lt;&gt;0,AT28=""),1,IF(AT28&gt;$C28,1,0))</f>
        <v/>
      </c>
      <c r="CQ28" s="221">
        <f>IF(AND($C28&lt;&gt;0,AU28=""),1,IF(AU28&gt;$C28,1,0))</f>
        <v/>
      </c>
    </row>
    <row r="29">
      <c r="A29" s="9588" t="n"/>
      <c r="B29" s="3279" t="inlineStr">
        <is>
          <t>Psicólogo/a</t>
        </is>
      </c>
      <c r="C29" s="3103">
        <f>SUM(D29+E29)</f>
        <v/>
      </c>
      <c r="D29" s="3179">
        <f>+F29+H29+J29+L29+N29+P29+R29+T29+V29+X29+Z29+AB29+AD29+AF29+AH29+AJ29+AL29</f>
        <v/>
      </c>
      <c r="E29" s="3280">
        <f>+G29+I29+K29+M29+O29+Q29+S29+U29+W29+Y29+AA29+AC29+AE29+AG29+AI29+AK29+AM29</f>
        <v/>
      </c>
      <c r="F29" s="3108" t="n"/>
      <c r="G29" s="1125" t="n"/>
      <c r="H29" s="3108" t="n"/>
      <c r="I29" s="1125" t="n"/>
      <c r="J29" s="3108" t="n"/>
      <c r="K29" s="3101" t="n"/>
      <c r="L29" s="3108" t="n"/>
      <c r="M29" s="3101" t="n"/>
      <c r="N29" s="3108" t="n">
        <v>1</v>
      </c>
      <c r="O29" s="3101" t="n"/>
      <c r="P29" s="3108" t="n"/>
      <c r="Q29" s="3101" t="n"/>
      <c r="R29" s="3108" t="n"/>
      <c r="S29" s="3101" t="n"/>
      <c r="T29" s="3108" t="n"/>
      <c r="U29" s="3101" t="n"/>
      <c r="V29" s="3108" t="n"/>
      <c r="W29" s="3101" t="n"/>
      <c r="X29" s="3108" t="n"/>
      <c r="Y29" s="3101" t="n"/>
      <c r="Z29" s="3108" t="n"/>
      <c r="AA29" s="3101" t="n"/>
      <c r="AB29" s="3108" t="n"/>
      <c r="AC29" s="3101" t="n"/>
      <c r="AD29" s="3108" t="n"/>
      <c r="AE29" s="3101" t="n"/>
      <c r="AF29" s="3108" t="n"/>
      <c r="AG29" s="3101" t="n"/>
      <c r="AH29" s="3108" t="n"/>
      <c r="AI29" s="3101" t="n"/>
      <c r="AJ29" s="3108" t="n"/>
      <c r="AK29" s="3101" t="n"/>
      <c r="AL29" s="3281" t="n"/>
      <c r="AM29" s="880" t="n"/>
      <c r="AN29" s="3282" t="n">
        <v>0</v>
      </c>
      <c r="AO29" s="3100" t="n">
        <v>0</v>
      </c>
      <c r="AP29" s="1125" t="n">
        <v>0</v>
      </c>
      <c r="AQ29" s="3720" t="n">
        <v>0</v>
      </c>
      <c r="AR29" s="4008" t="n">
        <v>1</v>
      </c>
      <c r="AS29" s="3283" t="n"/>
      <c r="AT29" s="3720" t="n">
        <v>0</v>
      </c>
      <c r="AU29" s="4008" t="n">
        <v>0</v>
      </c>
      <c r="AV29" s="218">
        <f>$CA29&amp;$CB29&amp;CC29&amp;CD29&amp;CE29&amp;CG29&amp;CH29</f>
        <v/>
      </c>
      <c r="CA29" s="219">
        <f>IF(AND($C29&lt;&gt;0,AN29=""),"* No olvide ingresar la columna Espacios Amigables /adolescentes (Digite CERO si no tiene). ",IF(AN29&gt;$C29,"* El Número de Espacios Amigables no puede superar el Total. ",""))</f>
        <v/>
      </c>
      <c r="CB29" s="219">
        <f>IF(AND(E29&gt;0,OR(AO29="")),"No olvide digitar los campos *TRANS Masculino (Digite CERO si no tiene).",IF(AO29&gt;E29,"* El Número de TRANS Masculino no puede superar el Total Mujeres. ",""))</f>
        <v/>
      </c>
      <c r="CC29" s="219">
        <f>IF(AND(D29&gt;0,OR(AP29="")),"No olvide digitar los campos *TRANS Femenino (Digite CERO si no tiene).",IF(AP29&gt;$D29,"* El Número de TRANS Femenino no puede superar el Total Hombres. ",""))</f>
        <v/>
      </c>
      <c r="CD29" s="219">
        <f>IF(AND($C29&lt;&gt;0,AQ29=""),"* No olvide ingresar la columna Pueblos Originarios (Digite CERO si no tiene).  ",IF(AQ29&gt;$C29,"* El Número de Pueblos Originarios no puede superar el Total. ",""))</f>
        <v/>
      </c>
      <c r="CE29" s="219">
        <f>IF(AND($C29&lt;&gt;0,AR29=""),"* No olvide ingresar la columna Migrantes (Digite CERO si no tiene).  ",IF(AR29&gt;$C29,"* El Número de Migrantes no puede superar el Total. ",""))</f>
        <v/>
      </c>
      <c r="CF29" s="220" t="n"/>
      <c r="CG29" s="219">
        <f>IF(AND($C29&lt;&gt;0,AT29=""),"* No olvide ingresar la variable "&amp;AT$10&amp;". Digite Cero si no tiene.",IF(AT29&gt;$C29,"* La variable "&amp;AT$10&amp;"no puede superar el Total Ambos Sexos. ",""))</f>
        <v/>
      </c>
      <c r="CH29" s="219">
        <f>IF(AND($C29&lt;&gt;0,AU29=""),"* No olvide ingresar la variable "&amp;AU$10&amp;". Digite Cero si no tiene. ",IF(AU29&gt;$C29,"* La variable "&amp;AU$10&amp;" no puede superar el Total Ambos Sexos. ",""))</f>
        <v/>
      </c>
      <c r="CI29" s="226" t="n"/>
      <c r="CJ29" s="221">
        <f>IF(AND($C29&lt;&gt;0,AN29=""),1,IF(AN29&gt;$C29,1,0))</f>
        <v/>
      </c>
      <c r="CK29" s="221">
        <f>IF(AND(E29&gt;0,OR(AO29="")),1,IF(AO29&gt;E29,1,0))</f>
        <v/>
      </c>
      <c r="CL29" s="221">
        <f>IF(AND(D29&gt;0,OR(AP29="")),1,IF(AP29&gt;D29,1,0))</f>
        <v/>
      </c>
      <c r="CM29" s="221">
        <f>IF(AND($C29&lt;&gt;0,AQ29=""),1,IF(AQ29&gt;$C29,1,0))</f>
        <v/>
      </c>
      <c r="CN29" s="221">
        <f>IF(AND($C29&lt;&gt;0,AR29=""),1,IF(AR29&gt;$C29,1,0))</f>
        <v/>
      </c>
      <c r="CO29" s="222" t="n"/>
      <c r="CP29" s="221">
        <f>IF(AND($C29&lt;&gt;0,AT29=""),1,IF(AT29&gt;$C29,1,0))</f>
        <v/>
      </c>
      <c r="CQ29" s="221">
        <f>IF(AND($C29&lt;&gt;0,AU29=""),1,IF(AU29&gt;$C29,1,0))</f>
        <v/>
      </c>
    </row>
    <row r="30">
      <c r="A30" s="9588" t="n"/>
      <c r="B30" s="3279" t="inlineStr">
        <is>
          <t>Kinesiólogo/a</t>
        </is>
      </c>
      <c r="C30" s="3103">
        <f>SUM(D30+E30)</f>
        <v/>
      </c>
      <c r="D30" s="3179">
        <f>+F30+H30+J30+L30+N30+P30+R30+T30+V30+X30+Z30+AB30+AD30+AF30+AH30+AJ30+AL30</f>
        <v/>
      </c>
      <c r="E30" s="3280">
        <f>+G30+I30+K30+M30+O30+Q30+S30+U30+W30+Y30+AA30+AC30+AE30+AG30+AI30+AK30+AM30</f>
        <v/>
      </c>
      <c r="F30" s="3108" t="n"/>
      <c r="G30" s="1125" t="n"/>
      <c r="H30" s="3108" t="n"/>
      <c r="I30" s="1125" t="n"/>
      <c r="J30" s="3108" t="n"/>
      <c r="K30" s="3101" t="n"/>
      <c r="L30" s="3108" t="n"/>
      <c r="M30" s="3101" t="n"/>
      <c r="N30" s="3108" t="n"/>
      <c r="O30" s="3101" t="n"/>
      <c r="P30" s="3108" t="n"/>
      <c r="Q30" s="3101" t="n"/>
      <c r="R30" s="3108" t="n"/>
      <c r="S30" s="3101" t="n"/>
      <c r="T30" s="3108" t="n"/>
      <c r="U30" s="3101" t="n"/>
      <c r="V30" s="3108" t="n"/>
      <c r="W30" s="3101" t="n"/>
      <c r="X30" s="3108" t="n"/>
      <c r="Y30" s="3101" t="n"/>
      <c r="Z30" s="3108" t="n"/>
      <c r="AA30" s="3101" t="n"/>
      <c r="AB30" s="3108" t="n"/>
      <c r="AC30" s="3101" t="n"/>
      <c r="AD30" s="3108" t="n"/>
      <c r="AE30" s="3101" t="n"/>
      <c r="AF30" s="3108" t="n">
        <v>8</v>
      </c>
      <c r="AG30" s="3101" t="n">
        <v>7</v>
      </c>
      <c r="AH30" s="3108" t="n">
        <v>10</v>
      </c>
      <c r="AI30" s="3101" t="n">
        <v>7</v>
      </c>
      <c r="AJ30" s="3108" t="n">
        <v>3</v>
      </c>
      <c r="AK30" s="3101" t="n">
        <v>2</v>
      </c>
      <c r="AL30" s="3281" t="n">
        <v>5</v>
      </c>
      <c r="AM30" s="880" t="n">
        <v>4</v>
      </c>
      <c r="AN30" s="3282" t="n">
        <v>0</v>
      </c>
      <c r="AO30" s="3100" t="n">
        <v>0</v>
      </c>
      <c r="AP30" s="1125" t="n">
        <v>0</v>
      </c>
      <c r="AQ30" s="3720" t="n">
        <v>1</v>
      </c>
      <c r="AR30" s="4008" t="n">
        <v>1</v>
      </c>
      <c r="AS30" s="3283" t="n"/>
      <c r="AT30" s="3720" t="n">
        <v>0</v>
      </c>
      <c r="AU30" s="4008" t="n">
        <v>0</v>
      </c>
      <c r="AV30" s="218">
        <f>$CA30&amp;$CB30&amp;CC30&amp;CD30&amp;CE30&amp;CG30&amp;CH30</f>
        <v/>
      </c>
      <c r="CA30" s="219">
        <f>IF(AND($C30&lt;&gt;0,AN30=""),"* No olvide ingresar la columna Espacios Amigables /adolescentes (Digite CERO si no tiene). ",IF(AN30&gt;$C30,"* El Número de Espacios Amigables no puede superar el Total. ",""))</f>
        <v/>
      </c>
      <c r="CB30" s="219">
        <f>IF(AND(E30&gt;0,OR(AO30="")),"No olvide digitar los campos *TRANS Masculino (Digite CERO si no tiene).",IF(AO30&gt;E30,"* El Número de TRANS Masculino no puede superar el Total Mujeres. ",""))</f>
        <v/>
      </c>
      <c r="CC30" s="219">
        <f>IF(AND(D30&gt;0,OR(AP30="")),"No olvide digitar los campos *TRANS Femenino (Digite CERO si no tiene).",IF(AP30&gt;$D30,"* El Número de TRANS Femenino no puede superar el Total Hombres. ",""))</f>
        <v/>
      </c>
      <c r="CD30" s="219">
        <f>IF(AND($C30&lt;&gt;0,AQ30=""),"* No olvide ingresar la columna Pueblos Originarios (Digite CERO si no tiene).  ",IF(AQ30&gt;$C30,"* El Número de Pueblos Originarios no puede superar el Total. ",""))</f>
        <v/>
      </c>
      <c r="CE30" s="219">
        <f>IF(AND($C30&lt;&gt;0,AR30=""),"* No olvide ingresar la columna Migrantes (Digite CERO si no tiene).  ",IF(AR30&gt;$C30,"* El Número de Migrantes no puede superar el Total. ",""))</f>
        <v/>
      </c>
      <c r="CF30" s="220" t="n"/>
      <c r="CG30" s="219">
        <f>IF(AND($C30&lt;&gt;0,AT30=""),"* No olvide ingresar la variable "&amp;AT$10&amp;". Digite Cero si no tiene.",IF(AT30&gt;$C30,"* La variable "&amp;AT$10&amp;"no puede superar el Total Ambos Sexos. ",""))</f>
        <v/>
      </c>
      <c r="CH30" s="219">
        <f>IF(AND($C30&lt;&gt;0,AU30=""),"* No olvide ingresar la variable "&amp;AU$10&amp;". Digite Cero si no tiene. ",IF(AU30&gt;$C30,"* La variable "&amp;AU$10&amp;" no puede superar el Total Ambos Sexos. ",""))</f>
        <v/>
      </c>
      <c r="CI30" s="226" t="n"/>
      <c r="CJ30" s="221">
        <f>IF(AND($C30&lt;&gt;0,AN30=""),1,IF(AN30&gt;$C30,1,0))</f>
        <v/>
      </c>
      <c r="CK30" s="221">
        <f>IF(AND(E30&gt;0,OR(AO30="")),1,IF(AO30&gt;E30,1,0))</f>
        <v/>
      </c>
      <c r="CL30" s="221">
        <f>IF(AND(D30&gt;0,OR(AP30="")),1,IF(AP30&gt;D30,1,0))</f>
        <v/>
      </c>
      <c r="CM30" s="221">
        <f>IF(AND($C30&lt;&gt;0,AQ30=""),1,IF(AQ30&gt;$C30,1,0))</f>
        <v/>
      </c>
      <c r="CN30" s="221">
        <f>IF(AND($C30&lt;&gt;0,AR30=""),1,IF(AR30&gt;$C30,1,0))</f>
        <v/>
      </c>
      <c r="CO30" s="222" t="n"/>
      <c r="CP30" s="221">
        <f>IF(AND($C30&lt;&gt;0,AT30=""),1,IF(AT30&gt;$C30,1,0))</f>
        <v/>
      </c>
      <c r="CQ30" s="221">
        <f>IF(AND($C30&lt;&gt;0,AU30=""),1,IF(AU30&gt;$C30,1,0))</f>
        <v/>
      </c>
    </row>
    <row r="31">
      <c r="A31" s="9588" t="n"/>
      <c r="B31" s="3284" t="inlineStr">
        <is>
          <t>Terapeuta ocupacional</t>
        </is>
      </c>
      <c r="C31" s="3048">
        <f>SUM(D31+E31)</f>
        <v/>
      </c>
      <c r="D31" s="3183">
        <f>+F31+H31+J31+L31+N31+P31+R31+T31+V31+X31+Z31+AB31+AD31+AF31+AH31+AJ31+AL31</f>
        <v/>
      </c>
      <c r="E31" s="2654">
        <f>+G31+I31+K31+M31+O31+Q31+S31+U31+W31+Y31+AA31+AC31+AE31+AG31+AI31+AK31+AM31</f>
        <v/>
      </c>
      <c r="F31" s="1198" t="n"/>
      <c r="G31" s="1148" t="n"/>
      <c r="H31" s="1198" t="n"/>
      <c r="I31" s="1148" t="n"/>
      <c r="J31" s="1198" t="n"/>
      <c r="K31" s="1199" t="n"/>
      <c r="L31" s="1198" t="n"/>
      <c r="M31" s="1199" t="n"/>
      <c r="N31" s="1198" t="n"/>
      <c r="O31" s="1199" t="n"/>
      <c r="P31" s="1198" t="n"/>
      <c r="Q31" s="1199" t="n"/>
      <c r="R31" s="1198" t="n"/>
      <c r="S31" s="1199" t="n"/>
      <c r="T31" s="1198" t="n"/>
      <c r="U31" s="1199" t="n"/>
      <c r="V31" s="1198" t="n"/>
      <c r="W31" s="1199" t="n"/>
      <c r="X31" s="1198" t="n"/>
      <c r="Y31" s="1199" t="n"/>
      <c r="Z31" s="1198" t="n"/>
      <c r="AA31" s="1199" t="n"/>
      <c r="AB31" s="1198" t="n"/>
      <c r="AC31" s="1199" t="n"/>
      <c r="AD31" s="1198" t="n"/>
      <c r="AE31" s="1199" t="n"/>
      <c r="AF31" s="1198" t="n"/>
      <c r="AG31" s="1199" t="n"/>
      <c r="AH31" s="1198" t="n"/>
      <c r="AI31" s="1199" t="n"/>
      <c r="AJ31" s="1198" t="n"/>
      <c r="AK31" s="1199" t="n"/>
      <c r="AL31" s="1301" t="n"/>
      <c r="AM31" s="1414" t="n"/>
      <c r="AN31" s="3282" t="n"/>
      <c r="AO31" s="1200" t="n"/>
      <c r="AP31" s="1125" t="n"/>
      <c r="AQ31" s="3720" t="n"/>
      <c r="AR31" s="4008" t="n"/>
      <c r="AS31" s="3283" t="n"/>
      <c r="AT31" s="3720" t="n"/>
      <c r="AU31" s="4008" t="n"/>
      <c r="AV31" s="218">
        <f>$CA31&amp;$CB31&amp;CC31&amp;CD31&amp;CE31&amp;CG31&amp;CH31</f>
        <v/>
      </c>
      <c r="CA31" s="219">
        <f>IF(AND($C31&lt;&gt;0,AN31=""),"* No olvide ingresar la columna Espacios Amigables /adolescentes (Digite CERO si no tiene). ",IF(AN31&gt;$C31,"* El Número de Espacios Amigables no puede superar el Total. ",""))</f>
        <v/>
      </c>
      <c r="CB31" s="219">
        <f>IF(AND(E31&gt;0,OR(AO31="")),"No olvide digitar los campos *TRANS Masculino (Digite CERO si no tiene).",IF(AO31&gt;E31,"* El Número de TRANS Masculino no puede superar el Total Mujeres. ",""))</f>
        <v/>
      </c>
      <c r="CC31" s="219">
        <f>IF(AND(D31&gt;0,OR(AP31="")),"No olvide digitar los campos *TRANS Femenino (Digite CERO si no tiene).",IF(AP31&gt;$D31,"* El Número de TRANS Femenino no puede superar el Total Hombres. ",""))</f>
        <v/>
      </c>
      <c r="CD31" s="219">
        <f>IF(AND($C31&lt;&gt;0,AQ31=""),"* No olvide ingresar la columna Pueblos Originarios (Digite CERO si no tiene).  ",IF(AQ31&gt;$C31,"* El Número de Pueblos Originarios no puede superar el Total. ",""))</f>
        <v/>
      </c>
      <c r="CE31" s="219">
        <f>IF(AND($C31&lt;&gt;0,AR31=""),"* No olvide ingresar la columna Migrantes (Digite CERO si no tiene).  ",IF(AR31&gt;$C31,"* El Número de Migrantes no puede superar el Total. ",""))</f>
        <v/>
      </c>
      <c r="CF31" s="220" t="n"/>
      <c r="CG31" s="219">
        <f>IF(AND($C31&lt;&gt;0,AT31=""),"* No olvide ingresar la variable "&amp;AT$10&amp;". Digite Cero si no tiene.",IF(AT31&gt;$C31,"* La variable "&amp;AT$10&amp;"no puede superar el Total Ambos Sexos. ",""))</f>
        <v/>
      </c>
      <c r="CH31" s="219">
        <f>IF(AND($C31&lt;&gt;0,AU31=""),"* No olvide ingresar la variable "&amp;AU$10&amp;". Digite Cero si no tiene. ",IF(AU31&gt;$C31,"* La variable "&amp;AU$10&amp;" no puede superar el Total Ambos Sexos. ",""))</f>
        <v/>
      </c>
      <c r="CI31" s="226" t="n"/>
      <c r="CJ31" s="221">
        <f>IF(AND($C31&lt;&gt;0,AN31=""),1,IF(AN31&gt;$C31,1,0))</f>
        <v/>
      </c>
      <c r="CK31" s="221">
        <f>IF(AND(E31&gt;0,OR(AO31="")),1,IF(AO31&gt;E31,1,0))</f>
        <v/>
      </c>
      <c r="CL31" s="221">
        <f>IF(AND(D31&gt;0,OR(AP31="")),1,IF(AP31&gt;D31,1,0))</f>
        <v/>
      </c>
      <c r="CM31" s="221">
        <f>IF(AND($C31&lt;&gt;0,AQ31=""),1,IF(AQ31&gt;$C31,1,0))</f>
        <v/>
      </c>
      <c r="CN31" s="221">
        <f>IF(AND($C31&lt;&gt;0,AR31=""),1,IF(AR31&gt;$C31,1,0))</f>
        <v/>
      </c>
      <c r="CO31" s="222" t="n"/>
      <c r="CP31" s="221">
        <f>IF(AND($C31&lt;&gt;0,AT31=""),1,IF(AT31&gt;$C31,1,0))</f>
        <v/>
      </c>
      <c r="CQ31" s="221">
        <f>IF(AND($C31&lt;&gt;0,AU31=""),1,IF(AU31&gt;$C31,1,0))</f>
        <v/>
      </c>
    </row>
    <row r="32">
      <c r="A32" s="9588" t="n"/>
      <c r="B32" s="3279" t="inlineStr">
        <is>
          <t>Otro profesional</t>
        </is>
      </c>
      <c r="C32" s="3103">
        <f>SUM(D32+E32)</f>
        <v/>
      </c>
      <c r="D32" s="3179">
        <f>+F32+H32+J32+L32+N32+P32+R32+T32+V32+X32+Z32+AB32+AD32+AF32+AH32+AJ32+AL32</f>
        <v/>
      </c>
      <c r="E32" s="3280">
        <f>+G32+I32+K32+M32+O32+Q32+S32+U32+W32+Y32+AA32+AC32+AE32+AG32+AI32+AK32+AM32</f>
        <v/>
      </c>
      <c r="F32" s="3108" t="n"/>
      <c r="G32" s="1125" t="n"/>
      <c r="H32" s="3108" t="n"/>
      <c r="I32" s="1125" t="n"/>
      <c r="J32" s="3108" t="n"/>
      <c r="K32" s="3101" t="n"/>
      <c r="L32" s="3108" t="n"/>
      <c r="M32" s="3101" t="n"/>
      <c r="N32" s="3108" t="n"/>
      <c r="O32" s="3101" t="n"/>
      <c r="P32" s="3108" t="n"/>
      <c r="Q32" s="3101" t="n"/>
      <c r="R32" s="3108" t="n"/>
      <c r="S32" s="3101" t="n"/>
      <c r="T32" s="3108" t="n"/>
      <c r="U32" s="3101" t="n"/>
      <c r="V32" s="3108" t="n"/>
      <c r="W32" s="3101" t="n"/>
      <c r="X32" s="3108" t="n"/>
      <c r="Y32" s="3101" t="n"/>
      <c r="Z32" s="3108" t="n"/>
      <c r="AA32" s="3101" t="n"/>
      <c r="AB32" s="3108" t="n"/>
      <c r="AC32" s="3101" t="n"/>
      <c r="AD32" s="3108" t="n"/>
      <c r="AE32" s="3101" t="n"/>
      <c r="AF32" s="3108" t="n"/>
      <c r="AG32" s="3101" t="n"/>
      <c r="AH32" s="3108" t="n"/>
      <c r="AI32" s="3101" t="n"/>
      <c r="AJ32" s="3108" t="n"/>
      <c r="AK32" s="3101" t="n"/>
      <c r="AL32" s="3281" t="n"/>
      <c r="AM32" s="880" t="n"/>
      <c r="AN32" s="3282" t="n"/>
      <c r="AO32" s="3100" t="n"/>
      <c r="AP32" s="1125" t="n"/>
      <c r="AQ32" s="3720" t="n"/>
      <c r="AR32" s="4008" t="n"/>
      <c r="AS32" s="3283" t="n"/>
      <c r="AT32" s="3720" t="n"/>
      <c r="AU32" s="4008" t="n"/>
      <c r="AV32" s="218">
        <f>$CA32&amp;$CB32&amp;CC32&amp;CD32&amp;CE32&amp;CG32&amp;CH32</f>
        <v/>
      </c>
      <c r="CA32" s="219">
        <f>IF(AND($C32&lt;&gt;0,AN32=""),"* No olvide ingresar la columna Espacios Amigables /adolescentes (Digite CERO si no tiene). ",IF(AN32&gt;$C32,"* El Número de Espacios Amigables no puede superar el Total. ",""))</f>
        <v/>
      </c>
      <c r="CB32" s="219">
        <f>IF(AND(E32&gt;0,OR(AO32="")),"No olvide digitar los campos *TRANS Masculino (Digite CERO si no tiene).",IF(AO32&gt;E32,"* El Número de TRANS Masculino no puede superar el Total Mujeres. ",""))</f>
        <v/>
      </c>
      <c r="CC32" s="219">
        <f>IF(AND(D32&gt;0,OR(AP32="")),"No olvide digitar los campos *TRANS Femenino (Digite CERO si no tiene).",IF(AP32&gt;$D32,"* El Número de TRANS Femenino no puede superar el Total Hombres. ",""))</f>
        <v/>
      </c>
      <c r="CD32" s="219">
        <f>IF(AND($C32&lt;&gt;0,AQ32=""),"* No olvide ingresar la columna Pueblos Originarios (Digite CERO si no tiene).  ",IF(AQ32&gt;$C32,"* El Número de Pueblos Originarios no puede superar el Total. ",""))</f>
        <v/>
      </c>
      <c r="CE32" s="219">
        <f>IF(AND($C32&lt;&gt;0,AR32=""),"* No olvide ingresar la columna Migrantes (Digite CERO si no tiene).  ",IF(AR32&gt;$C32,"* El Número de Migrantes no puede superar el Total. ",""))</f>
        <v/>
      </c>
      <c r="CF32" s="220" t="n"/>
      <c r="CG32" s="219">
        <f>IF(AND($C32&lt;&gt;0,AT32=""),"* No olvide ingresar la variable "&amp;AT$10&amp;". Digite Cero si no tiene.",IF(AT32&gt;$C32,"* La variable "&amp;AT$10&amp;"no puede superar el Total Ambos Sexos. ",""))</f>
        <v/>
      </c>
      <c r="CH32" s="219">
        <f>IF(AND($C32&lt;&gt;0,AU32=""),"* No olvide ingresar la variable "&amp;AU$10&amp;". Digite Cero si no tiene. ",IF(AU32&gt;$C32,"* La variable "&amp;AU$10&amp;" no puede superar el Total Ambos Sexos. ",""))</f>
        <v/>
      </c>
      <c r="CI32" s="226" t="n"/>
      <c r="CJ32" s="221">
        <f>IF(AND($C32&lt;&gt;0,AN32=""),1,IF(AN32&gt;$C32,1,0))</f>
        <v/>
      </c>
      <c r="CK32" s="221">
        <f>IF(AND(E32&gt;0,OR(AO32="")),1,IF(AO32&gt;E32,1,0))</f>
        <v/>
      </c>
      <c r="CL32" s="221">
        <f>IF(AND(D32&gt;0,OR(AP32="")),1,IF(AP32&gt;D32,1,0))</f>
        <v/>
      </c>
      <c r="CM32" s="221">
        <f>IF(AND($C32&lt;&gt;0,AQ32=""),1,IF(AQ32&gt;$C32,1,0))</f>
        <v/>
      </c>
      <c r="CN32" s="221">
        <f>IF(AND($C32&lt;&gt;0,AR32=""),1,IF(AR32&gt;$C32,1,0))</f>
        <v/>
      </c>
      <c r="CO32" s="222" t="n"/>
      <c r="CP32" s="221">
        <f>IF(AND($C32&lt;&gt;0,AT32=""),1,IF(AT32&gt;$C32,1,0))</f>
        <v/>
      </c>
      <c r="CQ32" s="221">
        <f>IF(AND($C32&lt;&gt;0,AU32=""),1,IF(AU32&gt;$C32,1,0))</f>
        <v/>
      </c>
    </row>
    <row r="33">
      <c r="A33" s="9588" t="n"/>
      <c r="B33" s="8347" t="inlineStr">
        <is>
          <t>Facilitador/a intercultural</t>
        </is>
      </c>
      <c r="C33" s="3103">
        <f>SUM(D33+E33)</f>
        <v/>
      </c>
      <c r="D33" s="708">
        <f>+F33+H33+J33+L33+N33+P33+R33+T33+V33+X33+Z33+AB33+AD33+AF33+AH33+AJ33+AL33</f>
        <v/>
      </c>
      <c r="E33" s="400">
        <f>+G33+I33+K33+M33+O33+Q33+S33+U33+W33+Y33+AA33+AC33+AE33+AG33+AI33+AK33+AM33</f>
        <v/>
      </c>
      <c r="F33" s="3108" t="n"/>
      <c r="G33" s="1125" t="n"/>
      <c r="H33" s="3108" t="n"/>
      <c r="I33" s="1125" t="n"/>
      <c r="J33" s="3108" t="n"/>
      <c r="K33" s="3101" t="n"/>
      <c r="L33" s="3108" t="n"/>
      <c r="M33" s="3101" t="n"/>
      <c r="N33" s="3108" t="n"/>
      <c r="O33" s="3101" t="n"/>
      <c r="P33" s="3108" t="n"/>
      <c r="Q33" s="3101" t="n"/>
      <c r="R33" s="3108" t="n"/>
      <c r="S33" s="3101" t="n"/>
      <c r="T33" s="3108" t="n"/>
      <c r="U33" s="3101" t="n"/>
      <c r="V33" s="3108" t="n"/>
      <c r="W33" s="3101" t="n"/>
      <c r="X33" s="3108" t="n"/>
      <c r="Y33" s="3101" t="n"/>
      <c r="Z33" s="3108" t="n"/>
      <c r="AA33" s="3101" t="n"/>
      <c r="AB33" s="3108" t="n"/>
      <c r="AC33" s="3101" t="n"/>
      <c r="AD33" s="3108" t="n"/>
      <c r="AE33" s="3101" t="n"/>
      <c r="AF33" s="3108" t="n"/>
      <c r="AG33" s="3101" t="n"/>
      <c r="AH33" s="3108" t="n"/>
      <c r="AI33" s="3101" t="n"/>
      <c r="AJ33" s="3108" t="n"/>
      <c r="AK33" s="3101" t="n"/>
      <c r="AL33" s="401" t="n"/>
      <c r="AM33" s="880" t="n"/>
      <c r="AN33" s="3282" t="n"/>
      <c r="AO33" s="3100" t="n"/>
      <c r="AP33" s="1125" t="n"/>
      <c r="AQ33" s="3720" t="n"/>
      <c r="AR33" s="4008" t="n"/>
      <c r="AS33" s="3283" t="n"/>
      <c r="AT33" s="3720" t="n"/>
      <c r="AU33" s="4008" t="n"/>
      <c r="AV33" s="218">
        <f>$CA33&amp;$CB33&amp;CC33&amp;CD33&amp;CE33&amp;CG33&amp;CH33</f>
        <v/>
      </c>
      <c r="CA33" s="219">
        <f>IF(AND($C33&lt;&gt;0,AN33=""),"* No olvide ingresar la columna Espacios Amigables /adolescentes (Digite CERO si no tiene). ",IF(AN33&gt;$C33,"* El Número de Espacios Amigables no puede superar el Total. ",""))</f>
        <v/>
      </c>
      <c r="CB33" s="219">
        <f>IF(AND(E33&gt;0,OR(AO33="")),"No olvide digitar los campos *TRANS Masculino (Digite CERO si no tiene).",IF(AO33&gt;E33,"* El Número de TRANS Masculino no puede superar el Total Mujeres. ",""))</f>
        <v/>
      </c>
      <c r="CC33" s="219">
        <f>IF(AND(D33&gt;0,OR(AP33="")),"No olvide digitar los campos *TRANS Femenino (Digite CERO si no tiene).",IF(AP33&gt;$D33,"* El Número de TRANS Femenino no puede superar el Total Hombres. ",""))</f>
        <v/>
      </c>
      <c r="CD33" s="219">
        <f>IF(AND($C33&lt;&gt;0,AQ33=""),"* No olvide ingresar la columna Pueblos Originarios (Digite CERO si no tiene).  ",IF(AQ33&gt;$C33,"* El Número de Pueblos Originarios no puede superar el Total. ",""))</f>
        <v/>
      </c>
      <c r="CE33" s="219">
        <f>IF(AND($C33&lt;&gt;0,AR33=""),"* No olvide ingresar la columna Migrantes (Digite CERO si no tiene).  ",IF(AR33&gt;$C33,"* El Número de Migrantes no puede superar el Total. ",""))</f>
        <v/>
      </c>
      <c r="CF33" s="220" t="n"/>
      <c r="CG33" s="219">
        <f>IF(AND($C33&lt;&gt;0,AT33=""),"* No olvide ingresar la variable "&amp;AT$10&amp;". Digite Cero si no tiene.",IF(AT33&gt;$C33,"* La variable "&amp;AT$10&amp;"no puede superar el Total Ambos Sexos. ",""))</f>
        <v/>
      </c>
      <c r="CH33" s="219">
        <f>IF(AND($C33&lt;&gt;0,AU33=""),"* No olvide ingresar la variable "&amp;AU$10&amp;". Digite Cero si no tiene. ",IF(AU33&gt;$C33,"* La variable "&amp;AU$10&amp;" no puede superar el Total Ambos Sexos. ",""))</f>
        <v/>
      </c>
      <c r="CI33" s="226" t="n"/>
      <c r="CJ33" s="221">
        <f>IF(AND($C33&lt;&gt;0,AN33=""),1,IF(AN33&gt;$C33,1,0))</f>
        <v/>
      </c>
      <c r="CK33" s="221">
        <f>IF(AND(E33&gt;0,OR(AO33="")),1,IF(AO33&gt;E33,1,0))</f>
        <v/>
      </c>
      <c r="CL33" s="221">
        <f>IF(AND(D33&gt;0,OR(AP33="")),1,IF(AP33&gt;D33,1,0))</f>
        <v/>
      </c>
      <c r="CM33" s="221">
        <f>IF(AND($C33&lt;&gt;0,AQ33=""),1,IF(AQ33&gt;$C33,1,0))</f>
        <v/>
      </c>
      <c r="CN33" s="221">
        <f>IF(AND($C33&lt;&gt;0,AR33=""),1,IF(AR33&gt;$C33,1,0))</f>
        <v/>
      </c>
      <c r="CO33" s="222" t="n"/>
      <c r="CP33" s="221">
        <f>IF(AND($C33&lt;&gt;0,AT33=""),1,IF(AT33&gt;$C33,1,0))</f>
        <v/>
      </c>
      <c r="CQ33" s="221">
        <f>IF(AND($C33&lt;&gt;0,AU33=""),1,IF(AU33&gt;$C33,1,0))</f>
        <v/>
      </c>
    </row>
    <row r="34">
      <c r="A34" s="9589" t="n"/>
      <c r="B34" s="7763" t="inlineStr">
        <is>
          <t>Técnico en Enfermería</t>
        </is>
      </c>
      <c r="C34" s="1176">
        <f>SUM(D34+E34)</f>
        <v/>
      </c>
      <c r="D34" s="1177">
        <f>+F34+H34+J34+L34+N34+P34+R34+T34+V34+X34+Z34+AB34+AD34+AF34+AH34+AJ34+AL34</f>
        <v/>
      </c>
      <c r="E34" s="3285">
        <f>+G34+I34+K34+M34+O34+Q34+S34+U34+W34+Y34+AA34+AC34+AE34+AG34+AI34+AK34+AM34</f>
        <v/>
      </c>
      <c r="F34" s="2465" t="n"/>
      <c r="G34" s="2466" t="n"/>
      <c r="H34" s="2465" t="n"/>
      <c r="I34" s="2466" t="n"/>
      <c r="J34" s="2465" t="n"/>
      <c r="K34" s="189" t="n"/>
      <c r="L34" s="2465" t="n">
        <v>1</v>
      </c>
      <c r="M34" s="189" t="n"/>
      <c r="N34" s="2465" t="n">
        <v>4</v>
      </c>
      <c r="O34" s="189" t="n">
        <v>14</v>
      </c>
      <c r="P34" s="2465" t="n">
        <v>6</v>
      </c>
      <c r="Q34" s="189" t="n">
        <v>17</v>
      </c>
      <c r="R34" s="2465" t="n">
        <v>3</v>
      </c>
      <c r="S34" s="189" t="n">
        <v>15</v>
      </c>
      <c r="T34" s="2465" t="n">
        <v>5</v>
      </c>
      <c r="U34" s="189" t="n">
        <v>19</v>
      </c>
      <c r="V34" s="2465" t="n">
        <v>7</v>
      </c>
      <c r="W34" s="189" t="n">
        <v>18</v>
      </c>
      <c r="X34" s="2465" t="n">
        <v>7</v>
      </c>
      <c r="Y34" s="189" t="n">
        <v>19</v>
      </c>
      <c r="Z34" s="2465" t="n">
        <v>9</v>
      </c>
      <c r="AA34" s="189" t="n">
        <v>18</v>
      </c>
      <c r="AB34" s="2465" t="n">
        <v>9</v>
      </c>
      <c r="AC34" s="189" t="n">
        <v>24</v>
      </c>
      <c r="AD34" s="2465" t="n">
        <v>17</v>
      </c>
      <c r="AE34" s="189" t="n">
        <v>27</v>
      </c>
      <c r="AF34" s="2465" t="n"/>
      <c r="AG34" s="189" t="n"/>
      <c r="AH34" s="2465" t="n"/>
      <c r="AI34" s="189" t="n"/>
      <c r="AJ34" s="2465" t="n"/>
      <c r="AK34" s="189" t="n"/>
      <c r="AL34" s="1137" t="n"/>
      <c r="AM34" s="190" t="n"/>
      <c r="AN34" s="1208" t="n">
        <v>14</v>
      </c>
      <c r="AO34" s="2664" t="n">
        <v>0</v>
      </c>
      <c r="AP34" s="1138" t="n">
        <v>0</v>
      </c>
      <c r="AQ34" s="1151" t="n">
        <v>7</v>
      </c>
      <c r="AR34" s="1299" t="n">
        <v>11</v>
      </c>
      <c r="AS34" s="3286" t="n"/>
      <c r="AT34" s="1151" t="n">
        <v>0</v>
      </c>
      <c r="AU34" s="1299" t="n">
        <v>0</v>
      </c>
      <c r="AV34" s="218">
        <f>$CA34&amp;$CB34&amp;CC34&amp;CD34&amp;CE34&amp;CG34&amp;CH34</f>
        <v/>
      </c>
      <c r="CA34" s="219">
        <f>IF(AND($C34&lt;&gt;0,AN34=""),"* No olvide ingresar la columna Espacios Amigables /adolescentes (Digite CERO si no tiene). ",IF(AN34&gt;$C34,"* El Número de Espacios Amigables no puede superar el Total. ",""))</f>
        <v/>
      </c>
      <c r="CB34" s="219">
        <f>IF(AND(E34&gt;0,OR(AO34="")),"No olvide digitar los campos *TRANS Masculino (Digite CERO si no tiene).",IF(AO34&gt;E34,"* El Número de TRANS Masculino no puede superar el Total Mujeres. ",""))</f>
        <v/>
      </c>
      <c r="CC34" s="219">
        <f>IF(AND(D34&gt;0,OR(AP34="")),"No olvide digitar los campos *TRANS Femenino (Digite CERO si no tiene).",IF(AP34&gt;$D34,"* El Número de TRANS Femenino no puede superar el Total Hombres. ",""))</f>
        <v/>
      </c>
      <c r="CD34" s="219">
        <f>IF(AND($C34&lt;&gt;0,AQ34=""),"* No olvide ingresar la columna Pueblos Originarios (Digite CERO si no tiene).  ",IF(AQ34&gt;$C34,"* El Número de Pueblos Originarios no puede superar el Total. ",""))</f>
        <v/>
      </c>
      <c r="CE34" s="219">
        <f>IF(AND($C34&lt;&gt;0,AR34=""),"* No olvide ingresar la columna Migrantes (Digite CERO si no tiene).  ",IF(AR34&gt;$C34,"* El Número de Migrantes no puede superar el Total. ",""))</f>
        <v/>
      </c>
      <c r="CF34" s="220" t="n"/>
      <c r="CG34" s="219">
        <f>IF(AND($C34&lt;&gt;0,AT34=""),"* No olvide ingresar la variable "&amp;AT$10&amp;". Digite Cero si no tiene.",IF(AT34&gt;$C34,"* La variable "&amp;AT$10&amp;"no puede superar el Total Ambos Sexos. ",""))</f>
        <v/>
      </c>
      <c r="CH34" s="219">
        <f>IF(AND($C34&lt;&gt;0,AU34=""),"* No olvide ingresar la variable "&amp;AU$10&amp;". Digite Cero si no tiene. ",IF(AU34&gt;$C34,"* La variable "&amp;AU$10&amp;" no puede superar el Total Ambos Sexos. ",""))</f>
        <v/>
      </c>
      <c r="CI34" s="226" t="n"/>
      <c r="CJ34" s="221">
        <f>IF(AND($C34&lt;&gt;0,AN34=""),1,IF(AN34&gt;$C34,1,0))</f>
        <v/>
      </c>
      <c r="CK34" s="221">
        <f>IF(AND(E34&gt;0,OR(AO34="")),1,IF(AO34&gt;E34,1,0))</f>
        <v/>
      </c>
      <c r="CL34" s="221">
        <f>IF(AND(D34&gt;0,OR(AP34="")),1,IF(AP34&gt;D34,1,0))</f>
        <v/>
      </c>
      <c r="CM34" s="221">
        <f>IF(AND($C34&lt;&gt;0,AQ34=""),1,IF(AQ34&gt;$C34,1,0))</f>
        <v/>
      </c>
      <c r="CN34" s="221">
        <f>IF(AND($C34&lt;&gt;0,AR34=""),1,IF(AR34&gt;$C34,1,0))</f>
        <v/>
      </c>
      <c r="CO34" s="222" t="n"/>
      <c r="CP34" s="221">
        <f>IF(AND($C34&lt;&gt;0,AT34=""),1,IF(AT34&gt;$C34,1,0))</f>
        <v/>
      </c>
      <c r="CQ34" s="221">
        <f>IF(AND($C34&lt;&gt;0,AU34=""),1,IF(AU34&gt;$C34,1,0))</f>
        <v/>
      </c>
    </row>
    <row r="35">
      <c r="A35" s="10236" t="inlineStr">
        <is>
          <t>Tabaquismo</t>
        </is>
      </c>
      <c r="B35" s="3271" t="inlineStr">
        <is>
          <t>Médico/a</t>
        </is>
      </c>
      <c r="C35" s="3094">
        <f>SUM(D35+E35)</f>
        <v/>
      </c>
      <c r="D35" s="3176">
        <f>SUM(H35+J35+L35+N35+P35+R35+T35+V35+X35+Z35+AB35+AD35+AF35+AH35+AJ35+AL35)</f>
        <v/>
      </c>
      <c r="E35" s="3272">
        <f>SUM(I35+K35+M35+O35+Q35+S35+U35+W35+Y35+AA35+AC35+AE35+AG35+AI35+AK35+AM35)</f>
        <v/>
      </c>
      <c r="F35" s="3154" t="n"/>
      <c r="G35" s="3287" t="n"/>
      <c r="H35" s="3123" t="n"/>
      <c r="I35" s="3273" t="n"/>
      <c r="J35" s="3123" t="n"/>
      <c r="K35" s="3126" t="n"/>
      <c r="L35" s="3123" t="n"/>
      <c r="M35" s="3126" t="n"/>
      <c r="N35" s="3123" t="n"/>
      <c r="O35" s="3126" t="n"/>
      <c r="P35" s="3123" t="n"/>
      <c r="Q35" s="3126" t="n"/>
      <c r="R35" s="3123" t="n"/>
      <c r="S35" s="3126" t="n">
        <v>2</v>
      </c>
      <c r="T35" s="3123" t="n"/>
      <c r="U35" s="3126" t="n"/>
      <c r="V35" s="3123" t="n">
        <v>1</v>
      </c>
      <c r="W35" s="3126" t="n"/>
      <c r="X35" s="3123" t="n">
        <v>1</v>
      </c>
      <c r="Y35" s="3126" t="n">
        <v>3</v>
      </c>
      <c r="Z35" s="3123" t="n">
        <v>3</v>
      </c>
      <c r="AA35" s="3126" t="n">
        <v>2</v>
      </c>
      <c r="AB35" s="3123" t="n">
        <v>3</v>
      </c>
      <c r="AC35" s="3126" t="n">
        <v>10</v>
      </c>
      <c r="AD35" s="3123" t="n">
        <v>4</v>
      </c>
      <c r="AE35" s="3126" t="n">
        <v>15</v>
      </c>
      <c r="AF35" s="3123" t="n">
        <v>5</v>
      </c>
      <c r="AG35" s="3126" t="n">
        <v>5</v>
      </c>
      <c r="AH35" s="3123" t="n">
        <v>3</v>
      </c>
      <c r="AI35" s="3126" t="n">
        <v>10</v>
      </c>
      <c r="AJ35" s="3123" t="n">
        <v>5</v>
      </c>
      <c r="AK35" s="3126" t="n">
        <v>1</v>
      </c>
      <c r="AL35" s="3274" t="n">
        <v>2</v>
      </c>
      <c r="AM35" s="3275" t="n">
        <v>9</v>
      </c>
      <c r="AN35" s="2687" t="n">
        <v>1</v>
      </c>
      <c r="AO35" s="3277" t="n">
        <v>0</v>
      </c>
      <c r="AP35" s="3130" t="n">
        <v>0</v>
      </c>
      <c r="AQ35" s="3705" t="n">
        <v>1</v>
      </c>
      <c r="AR35" s="5286" t="n">
        <v>2</v>
      </c>
      <c r="AS35" s="3278" t="n"/>
      <c r="AT35" s="3708" t="n">
        <v>0</v>
      </c>
      <c r="AU35" s="3227" t="n">
        <v>0</v>
      </c>
      <c r="AV35" s="218">
        <f>$CA35&amp;$CB35&amp;CC35&amp;CD35&amp;CE35&amp;CG35&amp;CH35</f>
        <v/>
      </c>
      <c r="CA35" s="219">
        <f>IF(AND($C35&lt;&gt;0,AN35=""),"* No olvide ingresar la columna Espacios Amigables /adolescentes (Digite CERO si no tiene). ",IF(AN35&gt;$C35,"* El Número de Espacios Amigables no puede superar el Total. ",""))</f>
        <v/>
      </c>
      <c r="CB35" s="219">
        <f>IF(AND(E35&gt;0,OR(AO35="")),"No olvide digitar los campos *TRANS Masculino (Digite CERO si no tiene).",IF(AO35&gt;E35,"* El Número de TRANS Masculino no puede superar el Total Mujeres. ",""))</f>
        <v/>
      </c>
      <c r="CC35" s="219">
        <f>IF(AND(D35&gt;0,OR(AP35="")),"No olvide digitar los campos *TRANS Femenino (Digite CERO si no tiene).",IF(AP35&gt;$D35,"* El Número de TRANS Femenino no puede superar el Total Hombres. ",""))</f>
        <v/>
      </c>
      <c r="CD35" s="219">
        <f>IF(AND($C35&lt;&gt;0,AQ35=""),"* No olvide ingresar la columna Pueblos Originarios (Digite CERO si no tiene).  ",IF(AQ35&gt;$C35,"* El Número de Pueblos Originarios no puede superar el Total. ",""))</f>
        <v/>
      </c>
      <c r="CE35" s="219">
        <f>IF(AND($C35&lt;&gt;0,AR35=""),"* No olvide ingresar la columna Migrantes (Digite CERO si no tiene).  ",IF(AR35&gt;$C35,"* El Número de Migrantes no puede superar el Total. ",""))</f>
        <v/>
      </c>
      <c r="CF35" s="220" t="n"/>
      <c r="CG35" s="219">
        <f>IF(AND($C35&lt;&gt;0,AT35=""),"* No olvide ingresar la variable "&amp;AT$10&amp;". Digite Cero si no tiene.",IF(AT35&gt;$C35,"* La variable "&amp;AT$10&amp;"no puede superar el Total Ambos Sexos. ",""))</f>
        <v/>
      </c>
      <c r="CH35" s="219">
        <f>IF(AND($C35&lt;&gt;0,AU35=""),"* No olvide ingresar la variable "&amp;AU$10&amp;". Digite Cero si no tiene. ",IF(AU35&gt;$C35,"* La variable "&amp;AU$10&amp;" no puede superar el Total Ambos Sexos. ",""))</f>
        <v/>
      </c>
      <c r="CI35" s="226" t="n"/>
      <c r="CJ35" s="221">
        <f>IF(AND($C35&lt;&gt;0,AN35=""),1,IF(AN35&gt;$C35,1,0))</f>
        <v/>
      </c>
      <c r="CK35" s="221">
        <f>IF(AND(E35&gt;0,OR(AO35="")),1,IF(AO35&gt;E35,1,0))</f>
        <v/>
      </c>
      <c r="CL35" s="221">
        <f>IF(AND(D35&gt;0,OR(AP35="")),1,IF(AP35&gt;D35,1,0))</f>
        <v/>
      </c>
      <c r="CM35" s="221">
        <f>IF(AND($C35&lt;&gt;0,AQ35=""),1,IF(AQ35&gt;$C35,1,0))</f>
        <v/>
      </c>
      <c r="CN35" s="221">
        <f>IF(AND($C35&lt;&gt;0,AR35=""),1,IF(AR35&gt;$C35,1,0))</f>
        <v/>
      </c>
      <c r="CO35" s="222" t="n"/>
      <c r="CP35" s="221">
        <f>IF(AND($C35&lt;&gt;0,AT35=""),1,IF(AT35&gt;$C35,1,0))</f>
        <v/>
      </c>
      <c r="CQ35" s="221">
        <f>IF(AND($C35&lt;&gt;0,AU35=""),1,IF(AU35&gt;$C35,1,0))</f>
        <v/>
      </c>
    </row>
    <row r="36">
      <c r="A36" s="9588" t="n"/>
      <c r="B36" s="3279" t="inlineStr">
        <is>
          <t>Enfermera /o</t>
        </is>
      </c>
      <c r="C36" s="3103">
        <f>SUM(D36+E36)</f>
        <v/>
      </c>
      <c r="D36" s="3179">
        <f>SUM(H36+J36+L36+N36+P36+R36+T36+V36+X36+Z36+AB36+AD36+AF36+AH36+AJ36+AL36)</f>
        <v/>
      </c>
      <c r="E36" s="3280">
        <f>SUM(I36+K36+M36+O36+Q36+S36+U36+W36+Y36+AA36+AC36+AE36+AG36+AI36+AK36+AM36)</f>
        <v/>
      </c>
      <c r="F36" s="1459" t="n"/>
      <c r="G36" s="3288" t="n"/>
      <c r="H36" s="3108" t="n"/>
      <c r="I36" s="1125" t="n"/>
      <c r="J36" s="3108" t="n">
        <v>6</v>
      </c>
      <c r="K36" s="3101" t="n">
        <v>6</v>
      </c>
      <c r="L36" s="3108" t="n">
        <v>5</v>
      </c>
      <c r="M36" s="3101" t="n">
        <v>5</v>
      </c>
      <c r="N36" s="3108" t="n"/>
      <c r="O36" s="3101" t="n"/>
      <c r="P36" s="3108" t="n"/>
      <c r="Q36" s="3101" t="n">
        <v>1</v>
      </c>
      <c r="R36" s="3108" t="n"/>
      <c r="S36" s="3101" t="n"/>
      <c r="T36" s="3108" t="n"/>
      <c r="U36" s="3101" t="n"/>
      <c r="V36" s="3108" t="n"/>
      <c r="W36" s="3101" t="n"/>
      <c r="X36" s="3108" t="n"/>
      <c r="Y36" s="3101" t="n"/>
      <c r="Z36" s="3108" t="n"/>
      <c r="AA36" s="3101" t="n"/>
      <c r="AB36" s="3108" t="n"/>
      <c r="AC36" s="3101" t="n">
        <v>3</v>
      </c>
      <c r="AD36" s="3108" t="n">
        <v>3</v>
      </c>
      <c r="AE36" s="3101" t="n"/>
      <c r="AF36" s="3108" t="n"/>
      <c r="AG36" s="3101" t="n"/>
      <c r="AH36" s="3108" t="n"/>
      <c r="AI36" s="3101" t="n">
        <v>1</v>
      </c>
      <c r="AJ36" s="3108" t="n">
        <v>1</v>
      </c>
      <c r="AK36" s="3101" t="n"/>
      <c r="AL36" s="3281" t="n">
        <v>1</v>
      </c>
      <c r="AM36" s="880" t="n"/>
      <c r="AN36" s="3282" t="n">
        <v>0</v>
      </c>
      <c r="AO36" s="3100" t="n">
        <v>0</v>
      </c>
      <c r="AP36" s="1125" t="n">
        <v>0</v>
      </c>
      <c r="AQ36" s="3720" t="n">
        <v>1</v>
      </c>
      <c r="AR36" s="4008" t="n">
        <v>0</v>
      </c>
      <c r="AS36" s="3283" t="n"/>
      <c r="AT36" s="3720" t="n">
        <v>2</v>
      </c>
      <c r="AU36" s="4008" t="n">
        <v>0</v>
      </c>
      <c r="AV36" s="218">
        <f>$CA36&amp;$CB36&amp;CC36&amp;CD36&amp;CE36&amp;CG36&amp;CH36</f>
        <v/>
      </c>
      <c r="CA36" s="219">
        <f>IF(AND($C36&lt;&gt;0,AN36=""),"* No olvide ingresar la columna Espacios Amigables /adolescentes (Digite CERO si no tiene). ",IF(AN36&gt;$C36,"* El Número de Espacios Amigables no puede superar el Total. ",""))</f>
        <v/>
      </c>
      <c r="CB36" s="219">
        <f>IF(AND(E36&gt;0,OR(AO36="")),"No olvide digitar los campos *TRANS Masculino (Digite CERO si no tiene).",IF(AO36&gt;E36,"* El Número de TRANS Masculino no puede superar el Total Mujeres. ",""))</f>
        <v/>
      </c>
      <c r="CC36" s="219">
        <f>IF(AND(D36&gt;0,OR(AP36="")),"No olvide digitar los campos *TRANS Femenino (Digite CERO si no tiene).",IF(AP36&gt;$D36,"* El Número de TRANS Femenino no puede superar el Total Hombres. ",""))</f>
        <v/>
      </c>
      <c r="CD36" s="219">
        <f>IF(AND($C36&lt;&gt;0,AQ36=""),"* No olvide ingresar la columna Pueblos Originarios (Digite CERO si no tiene).  ",IF(AQ36&gt;$C36,"* El Número de Pueblos Originarios no puede superar el Total. ",""))</f>
        <v/>
      </c>
      <c r="CE36" s="219">
        <f>IF(AND($C36&lt;&gt;0,AR36=""),"* No olvide ingresar la columna Migrantes (Digite CERO si no tiene).  ",IF(AR36&gt;$C36,"* El Número de Migrantes no puede superar el Total. ",""))</f>
        <v/>
      </c>
      <c r="CF36" s="220" t="n"/>
      <c r="CG36" s="219">
        <f>IF(AND($C36&lt;&gt;0,AT36=""),"* No olvide ingresar la variable "&amp;AT$10&amp;". Digite Cero si no tiene.",IF(AT36&gt;$C36,"* La variable "&amp;AT$10&amp;"no puede superar el Total Ambos Sexos. ",""))</f>
        <v/>
      </c>
      <c r="CH36" s="219">
        <f>IF(AND($C36&lt;&gt;0,AU36=""),"* No olvide ingresar la variable "&amp;AU$10&amp;". Digite Cero si no tiene. ",IF(AU36&gt;$C36,"* La variable "&amp;AU$10&amp;" no puede superar el Total Ambos Sexos. ",""))</f>
        <v/>
      </c>
      <c r="CI36" s="226" t="n"/>
      <c r="CJ36" s="221">
        <f>IF(AND($C36&lt;&gt;0,AN36=""),1,IF(AN36&gt;$C36,1,0))</f>
        <v/>
      </c>
      <c r="CK36" s="221">
        <f>IF(AND(E36&gt;0,OR(AO36="")),1,IF(AO36&gt;E36,1,0))</f>
        <v/>
      </c>
      <c r="CL36" s="221">
        <f>IF(AND(D36&gt;0,OR(AP36="")),1,IF(AP36&gt;D36,1,0))</f>
        <v/>
      </c>
      <c r="CM36" s="221">
        <f>IF(AND($C36&lt;&gt;0,AQ36=""),1,IF(AQ36&gt;$C36,1,0))</f>
        <v/>
      </c>
      <c r="CN36" s="221">
        <f>IF(AND($C36&lt;&gt;0,AR36=""),1,IF(AR36&gt;$C36,1,0))</f>
        <v/>
      </c>
      <c r="CO36" s="222" t="n"/>
      <c r="CP36" s="221">
        <f>IF(AND($C36&lt;&gt;0,AT36=""),1,IF(AT36&gt;$C36,1,0))</f>
        <v/>
      </c>
      <c r="CQ36" s="221">
        <f>IF(AND($C36&lt;&gt;0,AU36=""),1,IF(AU36&gt;$C36,1,0))</f>
        <v/>
      </c>
    </row>
    <row r="37">
      <c r="A37" s="9588" t="n"/>
      <c r="B37" s="3279" t="inlineStr">
        <is>
          <t>Matrona/ón</t>
        </is>
      </c>
      <c r="C37" s="3103">
        <f>SUM(D37+E37)</f>
        <v/>
      </c>
      <c r="D37" s="3179">
        <f>SUM(H37+J37+L37+N37+P37+R37+T37+V37+X37+Z37+AB37+AD37+AF37+AH37+AJ37+AL37)</f>
        <v/>
      </c>
      <c r="E37" s="3280">
        <f>SUM(I37+K37+M37+O37+Q37+S37+U37+W37+Y37+AA37+AC37+AE37+AG37+AI37+AK37+AM37)</f>
        <v/>
      </c>
      <c r="F37" s="1459" t="n"/>
      <c r="G37" s="3288" t="n"/>
      <c r="H37" s="3108" t="n">
        <v>1</v>
      </c>
      <c r="I37" s="1125" t="n">
        <v>6</v>
      </c>
      <c r="J37" s="3108" t="n">
        <v>8</v>
      </c>
      <c r="K37" s="3101" t="n">
        <v>6</v>
      </c>
      <c r="L37" s="3108" t="n"/>
      <c r="M37" s="3101" t="n"/>
      <c r="N37" s="3108" t="n"/>
      <c r="O37" s="3101" t="n"/>
      <c r="P37" s="3108" t="n"/>
      <c r="Q37" s="3101" t="n"/>
      <c r="R37" s="3108" t="n"/>
      <c r="S37" s="3101" t="n">
        <v>1</v>
      </c>
      <c r="T37" s="3108" t="n"/>
      <c r="U37" s="3101" t="n">
        <v>1</v>
      </c>
      <c r="V37" s="3108" t="n"/>
      <c r="W37" s="3101" t="n"/>
      <c r="X37" s="3108" t="n"/>
      <c r="Y37" s="3101" t="n"/>
      <c r="Z37" s="3108" t="n"/>
      <c r="AA37" s="3101" t="n"/>
      <c r="AB37" s="3108" t="n"/>
      <c r="AC37" s="3101" t="n"/>
      <c r="AD37" s="3108" t="n"/>
      <c r="AE37" s="3101" t="n"/>
      <c r="AF37" s="3108" t="n"/>
      <c r="AG37" s="3101" t="n"/>
      <c r="AH37" s="3108" t="n"/>
      <c r="AI37" s="3101" t="n"/>
      <c r="AJ37" s="3108" t="n"/>
      <c r="AK37" s="3101" t="n"/>
      <c r="AL37" s="3281" t="n"/>
      <c r="AM37" s="880" t="n"/>
      <c r="AN37" s="3282" t="n">
        <v>0</v>
      </c>
      <c r="AO37" s="3100" t="n">
        <v>0</v>
      </c>
      <c r="AP37" s="1125" t="n">
        <v>0</v>
      </c>
      <c r="AQ37" s="3720" t="n">
        <v>0</v>
      </c>
      <c r="AR37" s="4008" t="n">
        <v>0</v>
      </c>
      <c r="AS37" s="3283" t="n"/>
      <c r="AT37" s="3720" t="n">
        <v>2</v>
      </c>
      <c r="AU37" s="4008" t="n">
        <v>5</v>
      </c>
      <c r="AV37" s="218">
        <f>$CA37&amp;$CB37&amp;CC37&amp;CD37&amp;CE37&amp;CG37&amp;CH37</f>
        <v/>
      </c>
      <c r="CA37" s="219">
        <f>IF(AND($C37&lt;&gt;0,AN37=""),"* No olvide ingresar la columna Espacios Amigables /adolescentes (Digite CERO si no tiene). ",IF(AN37&gt;$C37,"* El Número de Espacios Amigables no puede superar el Total. ",""))</f>
        <v/>
      </c>
      <c r="CB37" s="219">
        <f>IF(AND(E37&gt;0,OR(AO37="")),"No olvide digitar los campos *TRANS Masculino (Digite CERO si no tiene).",IF(AO37&gt;E37,"* El Número de TRANS Masculino no puede superar el Total Mujeres. ",""))</f>
        <v/>
      </c>
      <c r="CC37" s="219">
        <f>IF(AND(D37&gt;0,OR(AP37="")),"No olvide digitar los campos *TRANS Femenino (Digite CERO si no tiene).",IF(AP37&gt;$D37,"* El Número de TRANS Femenino no puede superar el Total Hombres. ",""))</f>
        <v/>
      </c>
      <c r="CD37" s="219">
        <f>IF(AND($C37&lt;&gt;0,AQ37=""),"* No olvide ingresar la columna Pueblos Originarios (Digite CERO si no tiene).  ",IF(AQ37&gt;$C37,"* El Número de Pueblos Originarios no puede superar el Total. ",""))</f>
        <v/>
      </c>
      <c r="CE37" s="219">
        <f>IF(AND($C37&lt;&gt;0,AR37=""),"* No olvide ingresar la columna Migrantes (Digite CERO si no tiene).  ",IF(AR37&gt;$C37,"* El Número de Migrantes no puede superar el Total. ",""))</f>
        <v/>
      </c>
      <c r="CF37" s="220" t="n"/>
      <c r="CG37" s="219">
        <f>IF(AND($C37&lt;&gt;0,AT37=""),"* No olvide ingresar la variable "&amp;AT$10&amp;". Digite Cero si no tiene.",IF(AT37&gt;$C37,"* La variable "&amp;AT$10&amp;"no puede superar el Total Ambos Sexos. ",""))</f>
        <v/>
      </c>
      <c r="CH37" s="219">
        <f>IF(AND($C37&lt;&gt;0,AU37=""),"* No olvide ingresar la variable "&amp;AU$10&amp;". Digite Cero si no tiene. ",IF(AU37&gt;$C37,"* La variable "&amp;AU$10&amp;" no puede superar el Total Ambos Sexos. ",""))</f>
        <v/>
      </c>
      <c r="CI37" s="226" t="n"/>
      <c r="CJ37" s="221">
        <f>IF(AND($C37&lt;&gt;0,AN37=""),1,IF(AN37&gt;$C37,1,0))</f>
        <v/>
      </c>
      <c r="CK37" s="221">
        <f>IF(AND(E37&gt;0,OR(AO37="")),1,IF(AO37&gt;E37,1,0))</f>
        <v/>
      </c>
      <c r="CL37" s="221">
        <f>IF(AND(D37&gt;0,OR(AP37="")),1,IF(AP37&gt;D37,1,0))</f>
        <v/>
      </c>
      <c r="CM37" s="221">
        <f>IF(AND($C37&lt;&gt;0,AQ37=""),1,IF(AQ37&gt;$C37,1,0))</f>
        <v/>
      </c>
      <c r="CN37" s="221">
        <f>IF(AND($C37&lt;&gt;0,AR37=""),1,IF(AR37&gt;$C37,1,0))</f>
        <v/>
      </c>
      <c r="CO37" s="222" t="n"/>
      <c r="CP37" s="221">
        <f>IF(AND($C37&lt;&gt;0,AT37=""),1,IF(AT37&gt;$C37,1,0))</f>
        <v/>
      </c>
      <c r="CQ37" s="221">
        <f>IF(AND($C37&lt;&gt;0,AU37=""),1,IF(AU37&gt;$C37,1,0))</f>
        <v/>
      </c>
    </row>
    <row r="38">
      <c r="A38" s="9588" t="n"/>
      <c r="B38" s="3279" t="inlineStr">
        <is>
          <t>Nutricionista</t>
        </is>
      </c>
      <c r="C38" s="3103">
        <f>SUM(D38+E38)</f>
        <v/>
      </c>
      <c r="D38" s="3179">
        <f>SUM(H38+J38+L38+N38+P38+R38+T38+V38+X38+Z38+AB38+AD38+AF38+AH38+AJ38+AL38)</f>
        <v/>
      </c>
      <c r="E38" s="3280">
        <f>SUM(I38+K38+M38+O38+Q38+S38+U38+W38+Y38+AA38+AC38+AE38+AG38+AI38+AK38+AM38)</f>
        <v/>
      </c>
      <c r="F38" s="1459" t="n"/>
      <c r="G38" s="3288" t="n"/>
      <c r="H38" s="3108" t="n"/>
      <c r="I38" s="1125" t="n"/>
      <c r="J38" s="3108" t="n"/>
      <c r="K38" s="3101" t="n"/>
      <c r="L38" s="3108" t="n"/>
      <c r="M38" s="3101" t="n"/>
      <c r="N38" s="3108" t="n"/>
      <c r="O38" s="3101" t="n"/>
      <c r="P38" s="3108" t="n"/>
      <c r="Q38" s="3101" t="n"/>
      <c r="R38" s="3108" t="n"/>
      <c r="S38" s="3101" t="n"/>
      <c r="T38" s="3108" t="n"/>
      <c r="U38" s="3101" t="n"/>
      <c r="V38" s="3108" t="n"/>
      <c r="W38" s="3101" t="n"/>
      <c r="X38" s="3108" t="n"/>
      <c r="Y38" s="3101" t="n"/>
      <c r="Z38" s="3108" t="n"/>
      <c r="AA38" s="3101" t="n"/>
      <c r="AB38" s="3108" t="n"/>
      <c r="AC38" s="3101" t="n"/>
      <c r="AD38" s="3108" t="n"/>
      <c r="AE38" s="3101" t="n"/>
      <c r="AF38" s="3108" t="n"/>
      <c r="AG38" s="3101" t="n"/>
      <c r="AH38" s="3108" t="n"/>
      <c r="AI38" s="3101" t="n"/>
      <c r="AJ38" s="3108" t="n"/>
      <c r="AK38" s="3101" t="n"/>
      <c r="AL38" s="3281" t="n"/>
      <c r="AM38" s="880" t="n"/>
      <c r="AN38" s="3282" t="n"/>
      <c r="AO38" s="3100" t="n"/>
      <c r="AP38" s="1125" t="n"/>
      <c r="AQ38" s="3720" t="n"/>
      <c r="AR38" s="4008" t="n"/>
      <c r="AS38" s="3283" t="n"/>
      <c r="AT38" s="3720" t="n"/>
      <c r="AU38" s="4008" t="n"/>
      <c r="AV38" s="218">
        <f>$CA38&amp;$CB38&amp;CC38&amp;CD38&amp;CE38&amp;CG38&amp;CH38</f>
        <v/>
      </c>
      <c r="CA38" s="219">
        <f>IF(AND($C38&lt;&gt;0,AN38=""),"* No olvide ingresar la columna Espacios Amigables /adolescentes (Digite CERO si no tiene). ",IF(AN38&gt;$C38,"* El Número de Espacios Amigables no puede superar el Total. ",""))</f>
        <v/>
      </c>
      <c r="CB38" s="219">
        <f>IF(AND(E38&gt;0,OR(AO38="")),"No olvide digitar los campos *TRANS Masculino (Digite CERO si no tiene).",IF(AO38&gt;E38,"* El Número de TRANS Masculino no puede superar el Total Mujeres. ",""))</f>
        <v/>
      </c>
      <c r="CC38" s="219">
        <f>IF(AND(D38&gt;0,OR(AP38="")),"No olvide digitar los campos *TRANS Femenino (Digite CERO si no tiene).",IF(AP38&gt;$D38,"* El Número de TRANS Femenino no puede superar el Total Hombres. ",""))</f>
        <v/>
      </c>
      <c r="CD38" s="219">
        <f>IF(AND($C38&lt;&gt;0,AQ38=""),"* No olvide ingresar la columna Pueblos Originarios (Digite CERO si no tiene).  ",IF(AQ38&gt;$C38,"* El Número de Pueblos Originarios no puede superar el Total. ",""))</f>
        <v/>
      </c>
      <c r="CE38" s="219">
        <f>IF(AND($C38&lt;&gt;0,AR38=""),"* No olvide ingresar la columna Migrantes (Digite CERO si no tiene).  ",IF(AR38&gt;$C38,"* El Número de Migrantes no puede superar el Total. ",""))</f>
        <v/>
      </c>
      <c r="CF38" s="220" t="n"/>
      <c r="CG38" s="219">
        <f>IF(AND($C38&lt;&gt;0,AT38=""),"* No olvide ingresar la variable "&amp;AT$10&amp;". Digite Cero si no tiene.",IF(AT38&gt;$C38,"* La variable "&amp;AT$10&amp;"no puede superar el Total Ambos Sexos. ",""))</f>
        <v/>
      </c>
      <c r="CH38" s="219">
        <f>IF(AND($C38&lt;&gt;0,AU38=""),"* No olvide ingresar la variable "&amp;AU$10&amp;". Digite Cero si no tiene. ",IF(AU38&gt;$C38,"* La variable "&amp;AU$10&amp;" no puede superar el Total Ambos Sexos. ",""))</f>
        <v/>
      </c>
      <c r="CI38" s="226" t="n"/>
      <c r="CJ38" s="221">
        <f>IF(AND($C38&lt;&gt;0,AN38=""),1,IF(AN38&gt;$C38,1,0))</f>
        <v/>
      </c>
      <c r="CK38" s="221">
        <f>IF(AND(E38&gt;0,OR(AO38="")),1,IF(AO38&gt;E38,1,0))</f>
        <v/>
      </c>
      <c r="CL38" s="221">
        <f>IF(AND(D38&gt;0,OR(AP38="")),1,IF(AP38&gt;D38,1,0))</f>
        <v/>
      </c>
      <c r="CM38" s="221">
        <f>IF(AND($C38&lt;&gt;0,AQ38=""),1,IF(AQ38&gt;$C38,1,0))</f>
        <v/>
      </c>
      <c r="CN38" s="221">
        <f>IF(AND($C38&lt;&gt;0,AR38=""),1,IF(AR38&gt;$C38,1,0))</f>
        <v/>
      </c>
      <c r="CO38" s="222" t="n"/>
      <c r="CP38" s="221">
        <f>IF(AND($C38&lt;&gt;0,AT38=""),1,IF(AT38&gt;$C38,1,0))</f>
        <v/>
      </c>
      <c r="CQ38" s="221">
        <f>IF(AND($C38&lt;&gt;0,AU38=""),1,IF(AU38&gt;$C38,1,0))</f>
        <v/>
      </c>
    </row>
    <row r="39">
      <c r="A39" s="9588" t="n"/>
      <c r="B39" s="3279" t="inlineStr">
        <is>
          <t>Trabajador/a social</t>
        </is>
      </c>
      <c r="C39" s="3103">
        <f>SUM(D39+E39)</f>
        <v/>
      </c>
      <c r="D39" s="3179">
        <f>SUM(H39+J39+L39+N39+P39+R39+T39+V39+X39+Z39+AB39+AD39+AF39+AH39+AJ39+AL39)</f>
        <v/>
      </c>
      <c r="E39" s="3280">
        <f>SUM(I39+K39+M39+O39+Q39+S39+U39+W39+Y39+AA39+AC39+AE39+AG39+AI39+AK39+AM39)</f>
        <v/>
      </c>
      <c r="F39" s="1459" t="n"/>
      <c r="G39" s="3288" t="n"/>
      <c r="H39" s="3108" t="n"/>
      <c r="I39" s="1125" t="n"/>
      <c r="J39" s="3108" t="n"/>
      <c r="K39" s="3101" t="n"/>
      <c r="L39" s="3108" t="n"/>
      <c r="M39" s="3101" t="n"/>
      <c r="N39" s="3108" t="n"/>
      <c r="O39" s="3101" t="n"/>
      <c r="P39" s="3108" t="n"/>
      <c r="Q39" s="3101" t="n"/>
      <c r="R39" s="3108" t="n"/>
      <c r="S39" s="3101" t="n"/>
      <c r="T39" s="3108" t="n"/>
      <c r="U39" s="3101" t="n"/>
      <c r="V39" s="3108" t="n"/>
      <c r="W39" s="3101" t="n"/>
      <c r="X39" s="3108" t="n"/>
      <c r="Y39" s="3101" t="n"/>
      <c r="Z39" s="3108" t="n"/>
      <c r="AA39" s="3101" t="n"/>
      <c r="AB39" s="3108" t="n"/>
      <c r="AC39" s="3101" t="n"/>
      <c r="AD39" s="3108" t="n"/>
      <c r="AE39" s="3101" t="n"/>
      <c r="AF39" s="3108" t="n"/>
      <c r="AG39" s="3101" t="n"/>
      <c r="AH39" s="3108" t="n"/>
      <c r="AI39" s="3101" t="n"/>
      <c r="AJ39" s="3108" t="n"/>
      <c r="AK39" s="3101" t="n"/>
      <c r="AL39" s="3281" t="n"/>
      <c r="AM39" s="880" t="n"/>
      <c r="AN39" s="3282" t="n"/>
      <c r="AO39" s="3100" t="n"/>
      <c r="AP39" s="1125" t="n"/>
      <c r="AQ39" s="3720" t="n"/>
      <c r="AR39" s="4008" t="n"/>
      <c r="AS39" s="3283" t="n"/>
      <c r="AT39" s="3720" t="n"/>
      <c r="AU39" s="4008" t="n"/>
      <c r="AV39" s="218">
        <f>$CA39&amp;$CB39&amp;CC39&amp;CD39&amp;CE39&amp;CG39&amp;CH39</f>
        <v/>
      </c>
      <c r="CA39" s="219">
        <f>IF(AND($C39&lt;&gt;0,AN39=""),"* No olvide ingresar la columna Espacios Amigables /adolescentes (Digite CERO si no tiene). ",IF(AN39&gt;$C39,"* El Número de Espacios Amigables no puede superar el Total. ",""))</f>
        <v/>
      </c>
      <c r="CB39" s="219">
        <f>IF(AND(E39&gt;0,OR(AO39="")),"No olvide digitar los campos *TRANS Masculino (Digite CERO si no tiene).",IF(AO39&gt;E39,"* El Número de TRANS Masculino no puede superar el Total Mujeres. ",""))</f>
        <v/>
      </c>
      <c r="CC39" s="219">
        <f>IF(AND(D39&gt;0,OR(AP39="")),"No olvide digitar los campos *TRANS Femenino (Digite CERO si no tiene).",IF(AP39&gt;$D39,"* El Número de TRANS Femenino no puede superar el Total Hombres. ",""))</f>
        <v/>
      </c>
      <c r="CD39" s="219">
        <f>IF(AND($C39&lt;&gt;0,AQ39=""),"* No olvide ingresar la columna Pueblos Originarios (Digite CERO si no tiene).  ",IF(AQ39&gt;$C39,"* El Número de Pueblos Originarios no puede superar el Total. ",""))</f>
        <v/>
      </c>
      <c r="CE39" s="219">
        <f>IF(AND($C39&lt;&gt;0,AR39=""),"* No olvide ingresar la columna Migrantes (Digite CERO si no tiene).  ",IF(AR39&gt;$C39,"* El Número de Migrantes no puede superar el Total. ",""))</f>
        <v/>
      </c>
      <c r="CF39" s="220" t="n"/>
      <c r="CG39" s="219">
        <f>IF(AND($C39&lt;&gt;0,AT39=""),"* No olvide ingresar la variable "&amp;AT$10&amp;". Digite Cero si no tiene.",IF(AT39&gt;$C39,"* La variable "&amp;AT$10&amp;"no puede superar el Total Ambos Sexos. ",""))</f>
        <v/>
      </c>
      <c r="CH39" s="219">
        <f>IF(AND($C39&lt;&gt;0,AU39=""),"* No olvide ingresar la variable "&amp;AU$10&amp;". Digite Cero si no tiene. ",IF(AU39&gt;$C39,"* La variable "&amp;AU$10&amp;" no puede superar el Total Ambos Sexos. ",""))</f>
        <v/>
      </c>
      <c r="CI39" s="226" t="n"/>
      <c r="CJ39" s="221">
        <f>IF(AND($C39&lt;&gt;0,AN39=""),1,IF(AN39&gt;$C39,1,0))</f>
        <v/>
      </c>
      <c r="CK39" s="221">
        <f>IF(AND(E39&gt;0,OR(AO39="")),1,IF(AO39&gt;E39,1,0))</f>
        <v/>
      </c>
      <c r="CL39" s="221">
        <f>IF(AND(D39&gt;0,OR(AP39="")),1,IF(AP39&gt;D39,1,0))</f>
        <v/>
      </c>
      <c r="CM39" s="221">
        <f>IF(AND($C39&lt;&gt;0,AQ39=""),1,IF(AQ39&gt;$C39,1,0))</f>
        <v/>
      </c>
      <c r="CN39" s="221">
        <f>IF(AND($C39&lt;&gt;0,AR39=""),1,IF(AR39&gt;$C39,1,0))</f>
        <v/>
      </c>
      <c r="CO39" s="222" t="n"/>
      <c r="CP39" s="221">
        <f>IF(AND($C39&lt;&gt;0,AT39=""),1,IF(AT39&gt;$C39,1,0))</f>
        <v/>
      </c>
      <c r="CQ39" s="221">
        <f>IF(AND($C39&lt;&gt;0,AU39=""),1,IF(AU39&gt;$C39,1,0))</f>
        <v/>
      </c>
    </row>
    <row r="40">
      <c r="A40" s="9588" t="n"/>
      <c r="B40" s="3279" t="inlineStr">
        <is>
          <t>Psicólogo /a</t>
        </is>
      </c>
      <c r="C40" s="3103">
        <f>SUM(D40+E40)</f>
        <v/>
      </c>
      <c r="D40" s="3179">
        <f>SUM(H40+J40+L40+N40+P40+R40+T40+V40+X40+Z40+AB40+AD40+AF40+AH40+AJ40+AL40)</f>
        <v/>
      </c>
      <c r="E40" s="3280">
        <f>SUM(I40+K40+M40+O40+Q40+S40+U40+W40+Y40+AA40+AC40+AE40+AG40+AI40+AK40+AM40)</f>
        <v/>
      </c>
      <c r="F40" s="1459" t="n"/>
      <c r="G40" s="3288" t="n"/>
      <c r="H40" s="3108" t="n"/>
      <c r="I40" s="1125" t="n"/>
      <c r="J40" s="3108" t="n"/>
      <c r="K40" s="3101" t="n"/>
      <c r="L40" s="3108" t="n"/>
      <c r="M40" s="3101" t="n"/>
      <c r="N40" s="3108" t="n"/>
      <c r="O40" s="3101" t="n"/>
      <c r="P40" s="3108" t="n"/>
      <c r="Q40" s="3101" t="n"/>
      <c r="R40" s="3108" t="n"/>
      <c r="S40" s="3101" t="n"/>
      <c r="T40" s="3108" t="n"/>
      <c r="U40" s="3101" t="n"/>
      <c r="V40" s="3108" t="n"/>
      <c r="W40" s="3101" t="n"/>
      <c r="X40" s="3108" t="n"/>
      <c r="Y40" s="3101" t="n"/>
      <c r="Z40" s="3108" t="n"/>
      <c r="AA40" s="3101" t="n"/>
      <c r="AB40" s="3108" t="n"/>
      <c r="AC40" s="3101" t="n"/>
      <c r="AD40" s="3108" t="n"/>
      <c r="AE40" s="3101" t="n"/>
      <c r="AF40" s="3108" t="n"/>
      <c r="AG40" s="3101" t="n"/>
      <c r="AH40" s="3108" t="n"/>
      <c r="AI40" s="3101" t="n"/>
      <c r="AJ40" s="3108" t="n"/>
      <c r="AK40" s="3101" t="n"/>
      <c r="AL40" s="3281" t="n"/>
      <c r="AM40" s="880" t="n"/>
      <c r="AN40" s="3282" t="n"/>
      <c r="AO40" s="3100" t="n"/>
      <c r="AP40" s="1125" t="n"/>
      <c r="AQ40" s="3720" t="n"/>
      <c r="AR40" s="4008" t="n"/>
      <c r="AS40" s="3283" t="n"/>
      <c r="AT40" s="3720" t="n"/>
      <c r="AU40" s="4008" t="n"/>
      <c r="AV40" s="218">
        <f>$CA40&amp;$CB40&amp;CC40&amp;CD40&amp;CE40&amp;CG40&amp;CH40</f>
        <v/>
      </c>
      <c r="CA40" s="219">
        <f>IF(AND($C40&lt;&gt;0,AN40=""),"* No olvide ingresar la columna Espacios Amigables /adolescentes (Digite CERO si no tiene). ",IF(AN40&gt;$C40,"* El Número de Espacios Amigables no puede superar el Total. ",""))</f>
        <v/>
      </c>
      <c r="CB40" s="219">
        <f>IF(AND(E40&gt;0,OR(AO40="")),"No olvide digitar los campos *TRANS Masculino (Digite CERO si no tiene).",IF(AO40&gt;E40,"* El Número de TRANS Masculino no puede superar el Total Mujeres. ",""))</f>
        <v/>
      </c>
      <c r="CC40" s="219">
        <f>IF(AND(D40&gt;0,OR(AP40="")),"No olvide digitar los campos *TRANS Femenino (Digite CERO si no tiene).",IF(AP40&gt;$D40,"* El Número de TRANS Femenino no puede superar el Total Hombres. ",""))</f>
        <v/>
      </c>
      <c r="CD40" s="219">
        <f>IF(AND($C40&lt;&gt;0,AQ40=""),"* No olvide ingresar la columna Pueblos Originarios (Digite CERO si no tiene).  ",IF(AQ40&gt;$C40,"* El Número de Pueblos Originarios no puede superar el Total. ",""))</f>
        <v/>
      </c>
      <c r="CE40" s="219">
        <f>IF(AND($C40&lt;&gt;0,AR40=""),"* No olvide ingresar la columna Migrantes (Digite CERO si no tiene).  ",IF(AR40&gt;$C40,"* El Número de Migrantes no puede superar el Total. ",""))</f>
        <v/>
      </c>
      <c r="CF40" s="220" t="n"/>
      <c r="CG40" s="219">
        <f>IF(AND($C40&lt;&gt;0,AT40=""),"* No olvide ingresar la variable "&amp;AT$10&amp;". Digite Cero si no tiene.",IF(AT40&gt;$C40,"* La variable "&amp;AT$10&amp;"no puede superar el Total Ambos Sexos. ",""))</f>
        <v/>
      </c>
      <c r="CH40" s="219">
        <f>IF(AND($C40&lt;&gt;0,AU40=""),"* No olvide ingresar la variable "&amp;AU$10&amp;". Digite Cero si no tiene. ",IF(AU40&gt;$C40,"* La variable "&amp;AU$10&amp;" no puede superar el Total Ambos Sexos. ",""))</f>
        <v/>
      </c>
      <c r="CI40" s="226" t="n"/>
      <c r="CJ40" s="221">
        <f>IF(AND($C40&lt;&gt;0,AN40=""),1,IF(AN40&gt;$C40,1,0))</f>
        <v/>
      </c>
      <c r="CK40" s="221">
        <f>IF(AND(E40&gt;0,OR(AO40="")),1,IF(AO40&gt;E40,1,0))</f>
        <v/>
      </c>
      <c r="CL40" s="221">
        <f>IF(AND(D40&gt;0,OR(AP40="")),1,IF(AP40&gt;D40,1,0))</f>
        <v/>
      </c>
      <c r="CM40" s="221">
        <f>IF(AND($C40&lt;&gt;0,AQ40=""),1,IF(AQ40&gt;$C40,1,0))</f>
        <v/>
      </c>
      <c r="CN40" s="221">
        <f>IF(AND($C40&lt;&gt;0,AR40=""),1,IF(AR40&gt;$C40,1,0))</f>
        <v/>
      </c>
      <c r="CO40" s="222" t="n"/>
      <c r="CP40" s="221">
        <f>IF(AND($C40&lt;&gt;0,AT40=""),1,IF(AT40&gt;$C40,1,0))</f>
        <v/>
      </c>
      <c r="CQ40" s="221">
        <f>IF(AND($C40&lt;&gt;0,AU40=""),1,IF(AU40&gt;$C40,1,0))</f>
        <v/>
      </c>
    </row>
    <row r="41">
      <c r="A41" s="9588" t="n"/>
      <c r="B41" s="3279" t="inlineStr">
        <is>
          <t>Kinesiólogo/a</t>
        </is>
      </c>
      <c r="C41" s="3103">
        <f>SUM(D41+E41)</f>
        <v/>
      </c>
      <c r="D41" s="3179">
        <f>SUM(H41+J41+L41+N41+P41+R41+T41+V41+X41+Z41+AB41+AD41+AF41+AH41+AJ41+AL41)</f>
        <v/>
      </c>
      <c r="E41" s="3280">
        <f>SUM(I41+K41+M41+O41+Q41+S41+U41+W41+Y41+AA41+AC41+AE41+AG41+AI41+AK41+AM41)</f>
        <v/>
      </c>
      <c r="F41" s="1459" t="n"/>
      <c r="G41" s="3288" t="n"/>
      <c r="H41" s="3108" t="n"/>
      <c r="I41" s="1125" t="n"/>
      <c r="J41" s="3108" t="n"/>
      <c r="K41" s="3101" t="n"/>
      <c r="L41" s="3108" t="n"/>
      <c r="M41" s="3101" t="n"/>
      <c r="N41" s="3108" t="n"/>
      <c r="O41" s="3101" t="n"/>
      <c r="P41" s="3108" t="n"/>
      <c r="Q41" s="3101" t="n"/>
      <c r="R41" s="3108" t="n"/>
      <c r="S41" s="3101" t="n"/>
      <c r="T41" s="3108" t="n"/>
      <c r="U41" s="3101" t="n"/>
      <c r="V41" s="3108" t="n"/>
      <c r="W41" s="3101" t="n"/>
      <c r="X41" s="3108" t="n"/>
      <c r="Y41" s="3101" t="n"/>
      <c r="Z41" s="3108" t="n"/>
      <c r="AA41" s="3101" t="n"/>
      <c r="AB41" s="3108" t="n"/>
      <c r="AC41" s="3101" t="n"/>
      <c r="AD41" s="3108" t="n">
        <v>1</v>
      </c>
      <c r="AE41" s="3101" t="n"/>
      <c r="AF41" s="3108" t="n">
        <v>3</v>
      </c>
      <c r="AG41" s="3101" t="n">
        <v>4</v>
      </c>
      <c r="AH41" s="3108" t="n">
        <v>1</v>
      </c>
      <c r="AI41" s="3101" t="n">
        <v>2</v>
      </c>
      <c r="AJ41" s="3108" t="n"/>
      <c r="AK41" s="3101" t="n">
        <v>1</v>
      </c>
      <c r="AL41" s="3281" t="n"/>
      <c r="AM41" s="880" t="n"/>
      <c r="AN41" s="3282" t="n">
        <v>0</v>
      </c>
      <c r="AO41" s="3100" t="n">
        <v>0</v>
      </c>
      <c r="AP41" s="1125" t="n">
        <v>0</v>
      </c>
      <c r="AQ41" s="3720" t="n">
        <v>0</v>
      </c>
      <c r="AR41" s="4008" t="n">
        <v>1</v>
      </c>
      <c r="AS41" s="3283" t="n"/>
      <c r="AT41" s="3720" t="n">
        <v>0</v>
      </c>
      <c r="AU41" s="4008" t="n">
        <v>0</v>
      </c>
      <c r="AV41" s="218">
        <f>$CA41&amp;$CB41&amp;CC41&amp;CD41&amp;CE41&amp;CG41&amp;CH41</f>
        <v/>
      </c>
      <c r="CA41" s="219">
        <f>IF(AND($C41&lt;&gt;0,AN41=""),"* No olvide ingresar la columna Espacios Amigables /adolescentes (Digite CERO si no tiene). ",IF(AN41&gt;$C41,"* El Número de Espacios Amigables no puede superar el Total. ",""))</f>
        <v/>
      </c>
      <c r="CB41" s="219">
        <f>IF(AND(E41&gt;0,OR(AO41="")),"No olvide digitar los campos *TRANS Masculino (Digite CERO si no tiene).",IF(AO41&gt;E41,"* El Número de TRANS Masculino no puede superar el Total Mujeres. ",""))</f>
        <v/>
      </c>
      <c r="CC41" s="219">
        <f>IF(AND(D41&gt;0,OR(AP41="")),"No olvide digitar los campos *TRANS Femenino (Digite CERO si no tiene).",IF(AP41&gt;$D41,"* El Número de TRANS Femenino no puede superar el Total Hombres. ",""))</f>
        <v/>
      </c>
      <c r="CD41" s="219">
        <f>IF(AND($C41&lt;&gt;0,AQ41=""),"* No olvide ingresar la columna Pueblos Originarios (Digite CERO si no tiene).  ",IF(AQ41&gt;$C41,"* El Número de Pueblos Originarios no puede superar el Total. ",""))</f>
        <v/>
      </c>
      <c r="CE41" s="219">
        <f>IF(AND($C41&lt;&gt;0,AR41=""),"* No olvide ingresar la columna Migrantes (Digite CERO si no tiene).  ",IF(AR41&gt;$C41,"* El Número de Migrantes no puede superar el Total. ",""))</f>
        <v/>
      </c>
      <c r="CF41" s="220" t="n"/>
      <c r="CG41" s="219">
        <f>IF(AND($C41&lt;&gt;0,AT41=""),"* No olvide ingresar la variable "&amp;AT$10&amp;". Digite Cero si no tiene.",IF(AT41&gt;$C41,"* La variable "&amp;AT$10&amp;"no puede superar el Total Ambos Sexos. ",""))</f>
        <v/>
      </c>
      <c r="CH41" s="219">
        <f>IF(AND($C41&lt;&gt;0,AU41=""),"* No olvide ingresar la variable "&amp;AU$10&amp;". Digite Cero si no tiene. ",IF(AU41&gt;$C41,"* La variable "&amp;AU$10&amp;" no puede superar el Total Ambos Sexos. ",""))</f>
        <v/>
      </c>
      <c r="CI41" s="226" t="n"/>
      <c r="CJ41" s="221">
        <f>IF(AND($C41&lt;&gt;0,AN41=""),1,IF(AN41&gt;$C41,1,0))</f>
        <v/>
      </c>
      <c r="CK41" s="221">
        <f>IF(AND(E41&gt;0,OR(AO41="")),1,IF(AO41&gt;E41,1,0))</f>
        <v/>
      </c>
      <c r="CL41" s="221">
        <f>IF(AND(D41&gt;0,OR(AP41="")),1,IF(AP41&gt;D41,1,0))</f>
        <v/>
      </c>
      <c r="CM41" s="221">
        <f>IF(AND($C41&lt;&gt;0,AQ41=""),1,IF(AQ41&gt;$C41,1,0))</f>
        <v/>
      </c>
      <c r="CN41" s="221">
        <f>IF(AND($C41&lt;&gt;0,AR41=""),1,IF(AR41&gt;$C41,1,0))</f>
        <v/>
      </c>
      <c r="CO41" s="222" t="n"/>
      <c r="CP41" s="221">
        <f>IF(AND($C41&lt;&gt;0,AT41=""),1,IF(AT41&gt;$C41,1,0))</f>
        <v/>
      </c>
      <c r="CQ41" s="221">
        <f>IF(AND($C41&lt;&gt;0,AU41=""),1,IF(AU41&gt;$C41,1,0))</f>
        <v/>
      </c>
    </row>
    <row r="42">
      <c r="A42" s="9588" t="n"/>
      <c r="B42" s="3284" t="inlineStr">
        <is>
          <t>Terapeuta ocupacional</t>
        </is>
      </c>
      <c r="C42" s="3048">
        <f>SUM(D42+E42)</f>
        <v/>
      </c>
      <c r="D42" s="3183">
        <f>SUM(H42+J42+L42+N42+P42+R42+T42+V42+X42+Z42+AB42+AD42+AF42+AH42+AJ42+AL42)</f>
        <v/>
      </c>
      <c r="E42" s="2654">
        <f>SUM(I42+K42+M42+O42+Q42+S42+U42+W42+Y42+AA42+AC42+AE42+AG42+AI42+AK42+AM42)</f>
        <v/>
      </c>
      <c r="F42" s="1459" t="n"/>
      <c r="G42" s="3288" t="n"/>
      <c r="H42" s="1198" t="n"/>
      <c r="I42" s="1148" t="n"/>
      <c r="J42" s="1198" t="n"/>
      <c r="K42" s="1199" t="n"/>
      <c r="L42" s="1198" t="n"/>
      <c r="M42" s="1199" t="n"/>
      <c r="N42" s="1198" t="n"/>
      <c r="O42" s="1199" t="n"/>
      <c r="P42" s="1198" t="n"/>
      <c r="Q42" s="1199" t="n"/>
      <c r="R42" s="1198" t="n"/>
      <c r="S42" s="1199" t="n"/>
      <c r="T42" s="1198" t="n"/>
      <c r="U42" s="1199" t="n"/>
      <c r="V42" s="1198" t="n"/>
      <c r="W42" s="1199" t="n"/>
      <c r="X42" s="1198" t="n"/>
      <c r="Y42" s="1199" t="n"/>
      <c r="Z42" s="1198" t="n"/>
      <c r="AA42" s="1199" t="n"/>
      <c r="AB42" s="1198" t="n"/>
      <c r="AC42" s="1199" t="n"/>
      <c r="AD42" s="1198" t="n"/>
      <c r="AE42" s="1199" t="n"/>
      <c r="AF42" s="1198" t="n"/>
      <c r="AG42" s="1199" t="n"/>
      <c r="AH42" s="1198" t="n"/>
      <c r="AI42" s="1199" t="n"/>
      <c r="AJ42" s="1198" t="n"/>
      <c r="AK42" s="1199" t="n"/>
      <c r="AL42" s="1301" t="n"/>
      <c r="AM42" s="1414" t="n"/>
      <c r="AN42" s="3282" t="n"/>
      <c r="AO42" s="1200" t="n"/>
      <c r="AP42" s="1125" t="n"/>
      <c r="AQ42" s="3720" t="n"/>
      <c r="AR42" s="4008" t="n"/>
      <c r="AS42" s="3283" t="n"/>
      <c r="AT42" s="3720" t="n"/>
      <c r="AU42" s="4008" t="n"/>
      <c r="AV42" s="218">
        <f>$CA42&amp;$CB42&amp;CC42&amp;CD42&amp;CE42&amp;CG42&amp;CH42</f>
        <v/>
      </c>
      <c r="CA42" s="219">
        <f>IF(AND($C42&lt;&gt;0,AN42=""),"* No olvide ingresar la columna Espacios Amigables /adolescentes (Digite CERO si no tiene). ",IF(AN42&gt;$C42,"* El Número de Espacios Amigables no puede superar el Total. ",""))</f>
        <v/>
      </c>
      <c r="CB42" s="219">
        <f>IF(AND(E42&gt;0,OR(AO42="")),"No olvide digitar los campos *TRANS Masculino (Digite CERO si no tiene).",IF(AO42&gt;E42,"* El Número de TRANS Masculino no puede superar el Total Mujeres. ",""))</f>
        <v/>
      </c>
      <c r="CC42" s="219">
        <f>IF(AND(D42&gt;0,OR(AP42="")),"No olvide digitar los campos *TRANS Femenino (Digite CERO si no tiene).",IF(AP42&gt;$D42,"* El Número de TRANS Femenino no puede superar el Total Hombres. ",""))</f>
        <v/>
      </c>
      <c r="CD42" s="219">
        <f>IF(AND($C42&lt;&gt;0,AQ42=""),"* No olvide ingresar la columna Pueblos Originarios (Digite CERO si no tiene).  ",IF(AQ42&gt;$C42,"* El Número de Pueblos Originarios no puede superar el Total. ",""))</f>
        <v/>
      </c>
      <c r="CE42" s="219">
        <f>IF(AND($C42&lt;&gt;0,AR42=""),"* No olvide ingresar la columna Migrantes (Digite CERO si no tiene).  ",IF(AR42&gt;$C42,"* El Número de Migrantes no puede superar el Total. ",""))</f>
        <v/>
      </c>
      <c r="CF42" s="220" t="n"/>
      <c r="CG42" s="219">
        <f>IF(AND($C42&lt;&gt;0,AT42=""),"* No olvide ingresar la variable "&amp;AT$10&amp;". Digite Cero si no tiene.",IF(AT42&gt;$C42,"* La variable "&amp;AT$10&amp;"no puede superar el Total Ambos Sexos. ",""))</f>
        <v/>
      </c>
      <c r="CH42" s="219">
        <f>IF(AND($C42&lt;&gt;0,AU42=""),"* No olvide ingresar la variable "&amp;AU$10&amp;". Digite Cero si no tiene. ",IF(AU42&gt;$C42,"* La variable "&amp;AU$10&amp;" no puede superar el Total Ambos Sexos. ",""))</f>
        <v/>
      </c>
      <c r="CI42" s="226" t="n"/>
      <c r="CJ42" s="221">
        <f>IF(AND($C42&lt;&gt;0,AN42=""),1,IF(AN42&gt;$C42,1,0))</f>
        <v/>
      </c>
      <c r="CK42" s="221">
        <f>IF(AND(E42&gt;0,OR(AO42="")),1,IF(AO42&gt;E42,1,0))</f>
        <v/>
      </c>
      <c r="CL42" s="221">
        <f>IF(AND(D42&gt;0,OR(AP42="")),1,IF(AP42&gt;D42,1,0))</f>
        <v/>
      </c>
      <c r="CM42" s="221">
        <f>IF(AND($C42&lt;&gt;0,AQ42=""),1,IF(AQ42&gt;$C42,1,0))</f>
        <v/>
      </c>
      <c r="CN42" s="221">
        <f>IF(AND($C42&lt;&gt;0,AR42=""),1,IF(AR42&gt;$C42,1,0))</f>
        <v/>
      </c>
      <c r="CO42" s="222" t="n"/>
      <c r="CP42" s="221">
        <f>IF(AND($C42&lt;&gt;0,AT42=""),1,IF(AT42&gt;$C42,1,0))</f>
        <v/>
      </c>
      <c r="CQ42" s="221">
        <f>IF(AND($C42&lt;&gt;0,AU42=""),1,IF(AU42&gt;$C42,1,0))</f>
        <v/>
      </c>
    </row>
    <row r="43">
      <c r="A43" s="9588" t="n"/>
      <c r="B43" s="3279" t="inlineStr">
        <is>
          <t>Otro profesional</t>
        </is>
      </c>
      <c r="C43" s="3103">
        <f>SUM(D43+E43)</f>
        <v/>
      </c>
      <c r="D43" s="3179">
        <f>SUM(H43+J43+L43+N43+P43+R43+T43+V43+X43+Z43+AB43+AD43+AF43+AH43+AJ43+AL43)</f>
        <v/>
      </c>
      <c r="E43" s="3280">
        <f>SUM(I43+K43+M43+O43+Q43+S43+U43+W43+Y43+AA43+AC43+AE43+AG43+AI43+AK43+AM43)</f>
        <v/>
      </c>
      <c r="F43" s="1459" t="n"/>
      <c r="G43" s="3106" t="n"/>
      <c r="H43" s="3108" t="n"/>
      <c r="I43" s="1125" t="n"/>
      <c r="J43" s="3108" t="n"/>
      <c r="K43" s="3101" t="n"/>
      <c r="L43" s="3108" t="n"/>
      <c r="M43" s="3101" t="n"/>
      <c r="N43" s="3108" t="n"/>
      <c r="O43" s="3101" t="n"/>
      <c r="P43" s="3108" t="n"/>
      <c r="Q43" s="3101" t="n"/>
      <c r="R43" s="3108" t="n"/>
      <c r="S43" s="3101" t="n"/>
      <c r="T43" s="3108" t="n"/>
      <c r="U43" s="3101" t="n"/>
      <c r="V43" s="3108" t="n"/>
      <c r="W43" s="3101" t="n"/>
      <c r="X43" s="3108" t="n"/>
      <c r="Y43" s="3101" t="n"/>
      <c r="Z43" s="3108" t="n"/>
      <c r="AA43" s="3101" t="n"/>
      <c r="AB43" s="3108" t="n"/>
      <c r="AC43" s="3101" t="n"/>
      <c r="AD43" s="3108" t="n"/>
      <c r="AE43" s="3101" t="n"/>
      <c r="AF43" s="3108" t="n"/>
      <c r="AG43" s="3101" t="n"/>
      <c r="AH43" s="3108" t="n"/>
      <c r="AI43" s="3101" t="n"/>
      <c r="AJ43" s="3108" t="n"/>
      <c r="AK43" s="3101" t="n"/>
      <c r="AL43" s="3281" t="n"/>
      <c r="AM43" s="880" t="n"/>
      <c r="AN43" s="3282" t="n"/>
      <c r="AO43" s="3100" t="n"/>
      <c r="AP43" s="1125" t="n"/>
      <c r="AQ43" s="3720" t="n"/>
      <c r="AR43" s="4008" t="n"/>
      <c r="AS43" s="3283" t="n"/>
      <c r="AT43" s="3720" t="n"/>
      <c r="AU43" s="4008" t="n"/>
      <c r="AV43" s="218">
        <f>$CA43&amp;$CB43&amp;CC43&amp;CD43&amp;CE43&amp;CG43&amp;CH43</f>
        <v/>
      </c>
      <c r="CA43" s="219">
        <f>IF(AND($C43&lt;&gt;0,AN43=""),"* No olvide ingresar la columna Espacios Amigables /adolescentes (Digite CERO si no tiene). ",IF(AN43&gt;$C43,"* El Número de Espacios Amigables no puede superar el Total. ",""))</f>
        <v/>
      </c>
      <c r="CB43" s="219">
        <f>IF(AND(E43&gt;0,OR(AO43="")),"No olvide digitar los campos *TRANS Masculino (Digite CERO si no tiene).",IF(AO43&gt;E43,"* El Número de TRANS Masculino no puede superar el Total Mujeres. ",""))</f>
        <v/>
      </c>
      <c r="CC43" s="219">
        <f>IF(AND(D43&gt;0,OR(AP43="")),"No olvide digitar los campos *TRANS Femenino (Digite CERO si no tiene).",IF(AP43&gt;$D43,"* El Número de TRANS Femenino no puede superar el Total Hombres. ",""))</f>
        <v/>
      </c>
      <c r="CD43" s="219">
        <f>IF(AND($C43&lt;&gt;0,AQ43=""),"* No olvide ingresar la columna Pueblos Originarios (Digite CERO si no tiene).  ",IF(AQ43&gt;$C43,"* El Número de Pueblos Originarios no puede superar el Total. ",""))</f>
        <v/>
      </c>
      <c r="CE43" s="219">
        <f>IF(AND($C43&lt;&gt;0,AR43=""),"* No olvide ingresar la columna Migrantes (Digite CERO si no tiene).  ",IF(AR43&gt;$C43,"* El Número de Migrantes no puede superar el Total. ",""))</f>
        <v/>
      </c>
      <c r="CF43" s="220" t="n"/>
      <c r="CG43" s="219">
        <f>IF(AND($C43&lt;&gt;0,AT43=""),"* No olvide ingresar la variable "&amp;AT$10&amp;". Digite Cero si no tiene.",IF(AT43&gt;$C43,"* La variable "&amp;AT$10&amp;"no puede superar el Total Ambos Sexos. ",""))</f>
        <v/>
      </c>
      <c r="CH43" s="219">
        <f>IF(AND($C43&lt;&gt;0,AU43=""),"* No olvide ingresar la variable "&amp;AU$10&amp;". Digite Cero si no tiene. ",IF(AU43&gt;$C43,"* La variable "&amp;AU$10&amp;" no puede superar el Total Ambos Sexos. ",""))</f>
        <v/>
      </c>
      <c r="CI43" s="226" t="n"/>
      <c r="CJ43" s="221">
        <f>IF(AND($C43&lt;&gt;0,AN43=""),1,IF(AN43&gt;$C43,1,0))</f>
        <v/>
      </c>
      <c r="CK43" s="221">
        <f>IF(AND(E43&gt;0,OR(AO43="")),1,IF(AO43&gt;E43,1,0))</f>
        <v/>
      </c>
      <c r="CL43" s="221">
        <f>IF(AND(D43&gt;0,OR(AP43="")),1,IF(AP43&gt;D43,1,0))</f>
        <v/>
      </c>
      <c r="CM43" s="221">
        <f>IF(AND($C43&lt;&gt;0,AQ43=""),1,IF(AQ43&gt;$C43,1,0))</f>
        <v/>
      </c>
      <c r="CN43" s="221">
        <f>IF(AND($C43&lt;&gt;0,AR43=""),1,IF(AR43&gt;$C43,1,0))</f>
        <v/>
      </c>
      <c r="CO43" s="222" t="n"/>
      <c r="CP43" s="221">
        <f>IF(AND($C43&lt;&gt;0,AT43=""),1,IF(AT43&gt;$C43,1,0))</f>
        <v/>
      </c>
      <c r="CQ43" s="221">
        <f>IF(AND($C43&lt;&gt;0,AU43=""),1,IF(AU43&gt;$C43,1,0))</f>
        <v/>
      </c>
    </row>
    <row r="44">
      <c r="A44" s="9588" t="n"/>
      <c r="B44" s="8347" t="inlineStr">
        <is>
          <t>Facilitador/a intercultural</t>
        </is>
      </c>
      <c r="C44" s="3103">
        <f>SUM(D44+E44)</f>
        <v/>
      </c>
      <c r="D44" s="3179">
        <f>SUM(H44+J44+L44+N44+P44+R44+T44+V44+X44+Z44+AB44+AD44+AF44+AH44+AJ44+AL44)</f>
        <v/>
      </c>
      <c r="E44" s="400">
        <f>SUM(I44+K44+M44+O44+Q44+S44+U44+W44+Y44+AA44+AC44+AE44+AG44+AI44+AK44+AM44)</f>
        <v/>
      </c>
      <c r="F44" s="1459" t="n"/>
      <c r="G44" s="749" t="n"/>
      <c r="H44" s="1971" t="n"/>
      <c r="I44" s="1122" t="n"/>
      <c r="J44" s="1971" t="n"/>
      <c r="K44" s="750" t="n"/>
      <c r="L44" s="1971" t="n"/>
      <c r="M44" s="750" t="n"/>
      <c r="N44" s="1971" t="n"/>
      <c r="O44" s="750" t="n"/>
      <c r="P44" s="1971" t="n"/>
      <c r="Q44" s="750" t="n"/>
      <c r="R44" s="3108" t="n"/>
      <c r="S44" s="3101" t="n"/>
      <c r="T44" s="3108" t="n"/>
      <c r="U44" s="3101" t="n"/>
      <c r="V44" s="3108" t="n"/>
      <c r="W44" s="3101" t="n"/>
      <c r="X44" s="3108" t="n"/>
      <c r="Y44" s="3101" t="n"/>
      <c r="Z44" s="3108" t="n"/>
      <c r="AA44" s="3101" t="n"/>
      <c r="AB44" s="3108" t="n"/>
      <c r="AC44" s="3101" t="n"/>
      <c r="AD44" s="3108" t="n"/>
      <c r="AE44" s="3101" t="n"/>
      <c r="AF44" s="3108" t="n"/>
      <c r="AG44" s="3101" t="n"/>
      <c r="AH44" s="3108" t="n"/>
      <c r="AI44" s="3101" t="n"/>
      <c r="AJ44" s="3108" t="n"/>
      <c r="AK44" s="3101" t="n"/>
      <c r="AL44" s="3281" t="n"/>
      <c r="AM44" s="880" t="n"/>
      <c r="AN44" s="3282" t="n"/>
      <c r="AO44" s="3100" t="n"/>
      <c r="AP44" s="1125" t="n"/>
      <c r="AQ44" s="3720" t="n"/>
      <c r="AR44" s="4008" t="n"/>
      <c r="AS44" s="3283" t="n"/>
      <c r="AT44" s="3720" t="n"/>
      <c r="AU44" s="4008" t="n"/>
      <c r="AV44" s="218">
        <f>$CA44&amp;$CB44&amp;CC44&amp;CD44&amp;CE44&amp;CG44&amp;CH44</f>
        <v/>
      </c>
      <c r="CA44" s="219">
        <f>IF(AND($C44&lt;&gt;0,AN44=""),"* No olvide ingresar la columna Espacios Amigables /adolescentes (Digite CERO si no tiene). ",IF(AN44&gt;$C44,"* El Número de Espacios Amigables no puede superar el Total. ",""))</f>
        <v/>
      </c>
      <c r="CB44" s="219">
        <f>IF(AND(E44&gt;0,OR(AO44="")),"No olvide digitar los campos *TRANS Masculino (Digite CERO si no tiene).",IF(AO44&gt;E44,"* El Número de TRANS Masculino no puede superar el Total Mujeres. ",""))</f>
        <v/>
      </c>
      <c r="CC44" s="219">
        <f>IF(AND(D44&gt;0,OR(AP44="")),"No olvide digitar los campos *TRANS Femenino (Digite CERO si no tiene).",IF(AP44&gt;$D44,"* El Número de TRANS Femenino no puede superar el Total Hombres. ",""))</f>
        <v/>
      </c>
      <c r="CD44" s="219">
        <f>IF(AND($C44&lt;&gt;0,AQ44=""),"* No olvide ingresar la columna Pueblos Originarios (Digite CERO si no tiene).  ",IF(AQ44&gt;$C44,"* El Número de Pueblos Originarios no puede superar el Total. ",""))</f>
        <v/>
      </c>
      <c r="CE44" s="219">
        <f>IF(AND($C44&lt;&gt;0,AR44=""),"* No olvide ingresar la columna Migrantes (Digite CERO si no tiene).  ",IF(AR44&gt;$C44,"* El Número de Migrantes no puede superar el Total. ",""))</f>
        <v/>
      </c>
      <c r="CF44" s="220" t="n"/>
      <c r="CG44" s="219">
        <f>IF(AND($C44&lt;&gt;0,AT44=""),"* No olvide ingresar la variable "&amp;AT$10&amp;". Digite Cero si no tiene.",IF(AT44&gt;$C44,"* La variable "&amp;AT$10&amp;"no puede superar el Total Ambos Sexos. ",""))</f>
        <v/>
      </c>
      <c r="CH44" s="219">
        <f>IF(AND($C44&lt;&gt;0,AU44=""),"* No olvide ingresar la variable "&amp;AU$10&amp;". Digite Cero si no tiene. ",IF(AU44&gt;$C44,"* La variable "&amp;AU$10&amp;" no puede superar el Total Ambos Sexos. ",""))</f>
        <v/>
      </c>
      <c r="CI44" s="226" t="n"/>
      <c r="CJ44" s="221">
        <f>IF(AND($C44&lt;&gt;0,AN44=""),1,IF(AN44&gt;$C44,1,0))</f>
        <v/>
      </c>
      <c r="CK44" s="221">
        <f>IF(AND(E44&gt;0,OR(AO44="")),1,IF(AO44&gt;E44,1,0))</f>
        <v/>
      </c>
      <c r="CL44" s="221">
        <f>IF(AND(D44&gt;0,OR(AP44="")),1,IF(AP44&gt;D44,1,0))</f>
        <v/>
      </c>
      <c r="CM44" s="221">
        <f>IF(AND($C44&lt;&gt;0,AQ44=""),1,IF(AQ44&gt;$C44,1,0))</f>
        <v/>
      </c>
      <c r="CN44" s="221">
        <f>IF(AND($C44&lt;&gt;0,AR44=""),1,IF(AR44&gt;$C44,1,0))</f>
        <v/>
      </c>
      <c r="CO44" s="222" t="n"/>
      <c r="CP44" s="221">
        <f>IF(AND($C44&lt;&gt;0,AT44=""),1,IF(AT44&gt;$C44,1,0))</f>
        <v/>
      </c>
      <c r="CQ44" s="221">
        <f>IF(AND($C44&lt;&gt;0,AU44=""),1,IF(AU44&gt;$C44,1,0))</f>
        <v/>
      </c>
    </row>
    <row r="45">
      <c r="A45" s="9589" t="n"/>
      <c r="B45" s="7763" t="inlineStr">
        <is>
          <t>Técnico en Enfermería</t>
        </is>
      </c>
      <c r="C45" s="1176">
        <f>SUM(D45+E45)</f>
        <v/>
      </c>
      <c r="D45" s="1177">
        <f>SUM(H45+J45+L45+N45+P45+R45+T45+V45+X45+Z45+AB45+AD45+AF45+AH45+AJ45+AL45)</f>
        <v/>
      </c>
      <c r="E45" s="3285">
        <f>SUM(I45+K45+M45+O45+Q45+S45+U45+W45+Y45+AA45+AC45+AE45+AG45+AI45+AK45+AM45)</f>
        <v/>
      </c>
      <c r="F45" s="1154" t="n"/>
      <c r="G45" s="3289" t="n"/>
      <c r="H45" s="2465" t="n"/>
      <c r="I45" s="2466" t="n"/>
      <c r="J45" s="2465" t="n"/>
      <c r="K45" s="189" t="n"/>
      <c r="L45" s="2465" t="n"/>
      <c r="M45" s="189" t="n"/>
      <c r="N45" s="2465" t="n"/>
      <c r="O45" s="189" t="n">
        <v>5</v>
      </c>
      <c r="P45" s="2465" t="n">
        <v>3</v>
      </c>
      <c r="Q45" s="189" t="n">
        <v>3</v>
      </c>
      <c r="R45" s="2465" t="n">
        <v>1</v>
      </c>
      <c r="S45" s="189" t="n">
        <v>6</v>
      </c>
      <c r="T45" s="2465" t="n">
        <v>2</v>
      </c>
      <c r="U45" s="189" t="n">
        <v>4</v>
      </c>
      <c r="V45" s="2465" t="n">
        <v>1</v>
      </c>
      <c r="W45" s="189" t="n">
        <v>3</v>
      </c>
      <c r="X45" s="2465" t="n">
        <v>1</v>
      </c>
      <c r="Y45" s="189" t="n">
        <v>6</v>
      </c>
      <c r="Z45" s="2465" t="n">
        <v>2</v>
      </c>
      <c r="AA45" s="189" t="n">
        <v>5</v>
      </c>
      <c r="AB45" s="2465" t="n">
        <v>5</v>
      </c>
      <c r="AC45" s="189" t="n">
        <v>9</v>
      </c>
      <c r="AD45" s="2465" t="n">
        <v>1</v>
      </c>
      <c r="AE45" s="189" t="n">
        <v>6</v>
      </c>
      <c r="AF45" s="2465" t="n"/>
      <c r="AG45" s="189" t="n"/>
      <c r="AH45" s="2465" t="n"/>
      <c r="AI45" s="189" t="n"/>
      <c r="AJ45" s="2465" t="n"/>
      <c r="AK45" s="189" t="n"/>
      <c r="AL45" s="3290" t="n"/>
      <c r="AM45" s="190" t="n"/>
      <c r="AN45" s="1208" t="n">
        <v>0</v>
      </c>
      <c r="AO45" s="2664" t="n">
        <v>0</v>
      </c>
      <c r="AP45" s="1138" t="n">
        <v>0</v>
      </c>
      <c r="AQ45" s="1151" t="n">
        <v>1</v>
      </c>
      <c r="AR45" s="1299" t="n">
        <v>1</v>
      </c>
      <c r="AS45" s="3286" t="n"/>
      <c r="AT45" s="1151" t="n">
        <v>0</v>
      </c>
      <c r="AU45" s="1299" t="n">
        <v>0</v>
      </c>
      <c r="AV45" s="218">
        <f>$CA45&amp;$CB45&amp;CC45&amp;CD45&amp;CE45&amp;CG45&amp;CH45</f>
        <v/>
      </c>
      <c r="CA45" s="219">
        <f>IF(AND($C45&lt;&gt;0,AN45=""),"* No olvide ingresar la columna Espacios Amigables /adolescentes (Digite CERO si no tiene). ",IF(AN45&gt;$C45,"* El Número de Espacios Amigables no puede superar el Total. ",""))</f>
        <v/>
      </c>
      <c r="CB45" s="219">
        <f>IF(AND(E45&gt;0,OR(AO45="")),"No olvide digitar los campos *TRANS Masculino (Digite CERO si no tiene).",IF(AO45&gt;E45,"* El Número de TRANS Masculino no puede superar el Total Mujeres. ",""))</f>
        <v/>
      </c>
      <c r="CC45" s="219">
        <f>IF(AND(D45&gt;0,OR(AP45="")),"No olvide digitar los campos *TRANS Femenino (Digite CERO si no tiene).",IF(AP45&gt;$D45,"* El Número de TRANS Femenino no puede superar el Total Hombres. ",""))</f>
        <v/>
      </c>
      <c r="CD45" s="219">
        <f>IF(AND($C45&lt;&gt;0,AQ45=""),"* No olvide ingresar la columna Pueblos Originarios (Digite CERO si no tiene).  ",IF(AQ45&gt;$C45,"* El Número de Pueblos Originarios no puede superar el Total. ",""))</f>
        <v/>
      </c>
      <c r="CE45" s="219">
        <f>IF(AND($C45&lt;&gt;0,AR45=""),"* No olvide ingresar la columna Migrantes (Digite CERO si no tiene).  ",IF(AR45&gt;$C45,"* El Número de Migrantes no puede superar el Total. ",""))</f>
        <v/>
      </c>
      <c r="CF45" s="220" t="n"/>
      <c r="CG45" s="219">
        <f>IF(AND($C45&lt;&gt;0,AT45=""),"* No olvide ingresar la variable "&amp;AT$10&amp;". Digite Cero si no tiene.",IF(AT45&gt;$C45,"* La variable "&amp;AT$10&amp;"no puede superar el Total Ambos Sexos. ",""))</f>
        <v/>
      </c>
      <c r="CH45" s="219">
        <f>IF(AND($C45&lt;&gt;0,AU45=""),"* No olvide ingresar la variable "&amp;AU$10&amp;". Digite Cero si no tiene. ",IF(AU45&gt;$C45,"* La variable "&amp;AU$10&amp;" no puede superar el Total Ambos Sexos. ",""))</f>
        <v/>
      </c>
      <c r="CI45" s="226" t="n"/>
      <c r="CJ45" s="221">
        <f>IF(AND($C45&lt;&gt;0,AN45=""),1,IF(AN45&gt;$C45,1,0))</f>
        <v/>
      </c>
      <c r="CK45" s="221">
        <f>IF(AND(E45&gt;0,OR(AO45="")),1,IF(AO45&gt;E45,1,0))</f>
        <v/>
      </c>
      <c r="CL45" s="221">
        <f>IF(AND(D45&gt;0,OR(AP45="")),1,IF(AP45&gt;D45,1,0))</f>
        <v/>
      </c>
      <c r="CM45" s="221">
        <f>IF(AND($C45&lt;&gt;0,AQ45=""),1,IF(AQ45&gt;$C45,1,0))</f>
        <v/>
      </c>
      <c r="CN45" s="221">
        <f>IF(AND($C45&lt;&gt;0,AR45=""),1,IF(AR45&gt;$C45,1,0))</f>
        <v/>
      </c>
      <c r="CO45" s="222" t="n"/>
      <c r="CP45" s="221">
        <f>IF(AND($C45&lt;&gt;0,AT45=""),1,IF(AT45&gt;$C45,1,0))</f>
        <v/>
      </c>
      <c r="CQ45" s="221">
        <f>IF(AND($C45&lt;&gt;0,AU45=""),1,IF(AU45&gt;$C45,1,0))</f>
        <v/>
      </c>
    </row>
    <row r="46">
      <c r="A46" s="10236" t="inlineStr">
        <is>
          <t>Consumo de drogas</t>
        </is>
      </c>
      <c r="B46" s="3271" t="inlineStr">
        <is>
          <t>Médico/a</t>
        </is>
      </c>
      <c r="C46" s="3094">
        <f>SUM(D46+E46)</f>
        <v/>
      </c>
      <c r="D46" s="3176">
        <f>SUM(H46+J46+L46+N46+P46+R46+T46+V46+X46+Z46+AB46+AD46+AF46+AH46+AJ46+AL46)</f>
        <v/>
      </c>
      <c r="E46" s="3272">
        <f>SUM(I46+K46+M46+O46+Q46+S46+U46+W46+Y46+AA46+AC46+AE46+AG46+AI46+AK46+AM46)</f>
        <v/>
      </c>
      <c r="F46" s="3154" t="n"/>
      <c r="G46" s="3287" t="n"/>
      <c r="H46" s="3123" t="n"/>
      <c r="I46" s="3273" t="n"/>
      <c r="J46" s="3123" t="n"/>
      <c r="K46" s="3126" t="n"/>
      <c r="L46" s="3123" t="n"/>
      <c r="M46" s="3126" t="n"/>
      <c r="N46" s="3123" t="n"/>
      <c r="O46" s="3126" t="n"/>
      <c r="P46" s="3123" t="n"/>
      <c r="Q46" s="3126" t="n"/>
      <c r="R46" s="3123" t="n"/>
      <c r="S46" s="3126" t="n"/>
      <c r="T46" s="3123" t="n"/>
      <c r="U46" s="3126" t="n"/>
      <c r="V46" s="3123" t="n"/>
      <c r="W46" s="3126" t="n"/>
      <c r="X46" s="3123" t="n"/>
      <c r="Y46" s="3126" t="n"/>
      <c r="Z46" s="3123" t="n"/>
      <c r="AA46" s="3126" t="n"/>
      <c r="AB46" s="3123" t="n"/>
      <c r="AC46" s="3126" t="n"/>
      <c r="AD46" s="3123" t="n"/>
      <c r="AE46" s="3126" t="n"/>
      <c r="AF46" s="3123" t="n"/>
      <c r="AG46" s="3126" t="n"/>
      <c r="AH46" s="3123" t="n"/>
      <c r="AI46" s="3126" t="n"/>
      <c r="AJ46" s="3123" t="n"/>
      <c r="AK46" s="3126" t="n"/>
      <c r="AL46" s="3274" t="n"/>
      <c r="AM46" s="3275" t="n"/>
      <c r="AN46" s="2687" t="n"/>
      <c r="AO46" s="3277" t="n"/>
      <c r="AP46" s="3130" t="n"/>
      <c r="AQ46" s="3708" t="n"/>
      <c r="AR46" s="3227" t="n"/>
      <c r="AS46" s="3291" t="n"/>
      <c r="AT46" s="3708" t="n"/>
      <c r="AU46" s="3227" t="n"/>
      <c r="AV46" s="218">
        <f>$CA46&amp;$CB46&amp;CC46&amp;CD46&amp;CE46&amp;CG46&amp;CH46</f>
        <v/>
      </c>
      <c r="CA46" s="219">
        <f>IF(AND($C46&lt;&gt;0,AN46=""),"* No olvide ingresar la columna Espacios Amigables /adolescentes (Digite CERO si no tiene). ",IF(AN46&gt;$C46,"* El Número de Espacios Amigables no puede superar el Total. ",""))</f>
        <v/>
      </c>
      <c r="CB46" s="219">
        <f>IF(AND(E46&gt;0,OR(AO46="")),"No olvide digitar los campos *TRANS Masculino (Digite CERO si no tiene).",IF(AO46&gt;E46,"* El Número de TRANS Masculino no puede superar el Total Mujeres. ",""))</f>
        <v/>
      </c>
      <c r="CC46" s="219">
        <f>IF(AND(D46&gt;0,OR(AP46="")),"No olvide digitar los campos *TRANS Femenino (Digite CERO si no tiene).",IF(AP46&gt;$D46,"* El Número de TRANS Femenino no puede superar el Total Hombres. ",""))</f>
        <v/>
      </c>
      <c r="CD46" s="219">
        <f>IF(AND($C46&lt;&gt;0,AQ46=""),"* No olvide ingresar la columna Pueblos Originarios (Digite CERO si no tiene).  ",IF(AQ46&gt;$C46,"* El Número de Pueblos Originarios no puede superar el Total. ",""))</f>
        <v/>
      </c>
      <c r="CE46" s="219">
        <f>IF(AND($C46&lt;&gt;0,AR46=""),"* No olvide ingresar la columna Migrantes (Digite CERO si no tiene).  ",IF(AR46&gt;$C46,"* El Número de Migrantes no puede superar el Total. ",""))</f>
        <v/>
      </c>
      <c r="CF46" s="220" t="n"/>
      <c r="CG46" s="219">
        <f>IF(AND($C46&lt;&gt;0,AT46=""),"* No olvide ingresar la variable "&amp;AT$10&amp;". Digite Cero si no tiene.",IF(AT46&gt;$C46,"* La variable "&amp;AT$10&amp;"no puede superar el Total Ambos Sexos. ",""))</f>
        <v/>
      </c>
      <c r="CH46" s="219">
        <f>IF(AND($C46&lt;&gt;0,AU46=""),"* No olvide ingresar la variable "&amp;AU$10&amp;". Digite Cero si no tiene. ",IF(AU46&gt;$C46,"* La variable "&amp;AU$10&amp;" no puede superar el Total Ambos Sexos. ",""))</f>
        <v/>
      </c>
      <c r="CI46" s="226" t="n"/>
      <c r="CJ46" s="221">
        <f>IF(AND($C46&lt;&gt;0,AN46=""),1,IF(AN46&gt;$C46,1,0))</f>
        <v/>
      </c>
      <c r="CK46" s="221">
        <f>IF(AND(E46&gt;0,OR(AO46="")),1,IF(AO46&gt;E46,1,0))</f>
        <v/>
      </c>
      <c r="CL46" s="221">
        <f>IF(AND(D46&gt;0,OR(AP46="")),1,IF(AP46&gt;D46,1,0))</f>
        <v/>
      </c>
      <c r="CM46" s="221">
        <f>IF(AND($C46&lt;&gt;0,AQ46=""),1,IF(AQ46&gt;$C46,1,0))</f>
        <v/>
      </c>
      <c r="CN46" s="221">
        <f>IF(AND($C46&lt;&gt;0,AR46=""),1,IF(AR46&gt;$C46,1,0))</f>
        <v/>
      </c>
      <c r="CO46" s="222" t="n"/>
      <c r="CP46" s="221">
        <f>IF(AND($C46&lt;&gt;0,AT46=""),1,IF(AT46&gt;$C46,1,0))</f>
        <v/>
      </c>
      <c r="CQ46" s="221">
        <f>IF(AND($C46&lt;&gt;0,AU46=""),1,IF(AU46&gt;$C46,1,0))</f>
        <v/>
      </c>
    </row>
    <row r="47">
      <c r="A47" s="9588" t="n"/>
      <c r="B47" s="3279" t="inlineStr">
        <is>
          <t>Enfermera/o</t>
        </is>
      </c>
      <c r="C47" s="3103">
        <f>SUM(D47+E47)</f>
        <v/>
      </c>
      <c r="D47" s="3179">
        <f>SUM(H47+J47+L47+N47+P47+R47+T47+V47+X47+Z47+AB47+AD47+AF47+AH47+AJ47+AL47)</f>
        <v/>
      </c>
      <c r="E47" s="3280">
        <f>SUM(I47+K47+M47+O47+Q47+S47+U47+W47+Y47+AA47+AC47+AE47+AG47+AI47+AK47+AM47)</f>
        <v/>
      </c>
      <c r="F47" s="1459" t="n"/>
      <c r="G47" s="3288" t="n"/>
      <c r="H47" s="3108" t="n"/>
      <c r="I47" s="1125" t="n"/>
      <c r="J47" s="3108" t="n">
        <v>5</v>
      </c>
      <c r="K47" s="3101" t="n">
        <v>3</v>
      </c>
      <c r="L47" s="3108" t="n">
        <v>3</v>
      </c>
      <c r="M47" s="3101" t="n">
        <v>3</v>
      </c>
      <c r="N47" s="3108" t="n"/>
      <c r="O47" s="3101" t="n"/>
      <c r="P47" s="3108" t="n"/>
      <c r="Q47" s="3101" t="n"/>
      <c r="R47" s="3108" t="n"/>
      <c r="S47" s="3101" t="n"/>
      <c r="T47" s="3108" t="n"/>
      <c r="U47" s="3101" t="n"/>
      <c r="V47" s="3108" t="n"/>
      <c r="W47" s="3101" t="n"/>
      <c r="X47" s="3108" t="n"/>
      <c r="Y47" s="3101" t="n"/>
      <c r="Z47" s="3108" t="n"/>
      <c r="AA47" s="3101" t="n"/>
      <c r="AB47" s="3108" t="n"/>
      <c r="AC47" s="3101" t="n"/>
      <c r="AD47" s="3108" t="n"/>
      <c r="AE47" s="3101" t="n"/>
      <c r="AF47" s="3108" t="n"/>
      <c r="AG47" s="3101" t="n"/>
      <c r="AH47" s="3108" t="n"/>
      <c r="AI47" s="3101" t="n"/>
      <c r="AJ47" s="3108" t="n"/>
      <c r="AK47" s="3101" t="n"/>
      <c r="AL47" s="3281" t="n"/>
      <c r="AM47" s="880" t="n"/>
      <c r="AN47" s="3282" t="n">
        <v>0</v>
      </c>
      <c r="AO47" s="3100" t="n">
        <v>0</v>
      </c>
      <c r="AP47" s="1125" t="n">
        <v>0</v>
      </c>
      <c r="AQ47" s="3720" t="n">
        <v>1</v>
      </c>
      <c r="AR47" s="4008" t="n">
        <v>0</v>
      </c>
      <c r="AS47" s="3283" t="n"/>
      <c r="AT47" s="3720" t="n">
        <v>1</v>
      </c>
      <c r="AU47" s="4008" t="n">
        <v>0</v>
      </c>
      <c r="AV47" s="218">
        <f>$CA47&amp;$CB47&amp;CC47&amp;CD47&amp;CE47&amp;CG47&amp;CH47</f>
        <v/>
      </c>
      <c r="CA47" s="219">
        <f>IF(AND($C47&lt;&gt;0,AN47=""),"* No olvide ingresar la columna Espacios Amigables /adolescentes (Digite CERO si no tiene). ",IF(AN47&gt;$C47,"* El Número de Espacios Amigables no puede superar el Total. ",""))</f>
        <v/>
      </c>
      <c r="CB47" s="219">
        <f>IF(AND(E47&gt;0,OR(AO47="")),"No olvide digitar los campos *TRANS Masculino (Digite CERO si no tiene).",IF(AO47&gt;E47,"* El Número de TRANS Masculino no puede superar el Total Mujeres. ",""))</f>
        <v/>
      </c>
      <c r="CC47" s="219">
        <f>IF(AND(D47&gt;0,OR(AP47="")),"No olvide digitar los campos *TRANS Femenino (Digite CERO si no tiene).",IF(AP47&gt;$D47,"* El Número de TRANS Femenino no puede superar el Total Hombres. ",""))</f>
        <v/>
      </c>
      <c r="CD47" s="219">
        <f>IF(AND($C47&lt;&gt;0,AQ47=""),"* No olvide ingresar la columna Pueblos Originarios (Digite CERO si no tiene).  ",IF(AQ47&gt;$C47,"* El Número de Pueblos Originarios no puede superar el Total. ",""))</f>
        <v/>
      </c>
      <c r="CE47" s="219">
        <f>IF(AND($C47&lt;&gt;0,AR47=""),"* No olvide ingresar la columna Migrantes (Digite CERO si no tiene).  ",IF(AR47&gt;$C47,"* El Número de Migrantes no puede superar el Total. ",""))</f>
        <v/>
      </c>
      <c r="CF47" s="220" t="n"/>
      <c r="CG47" s="219">
        <f>IF(AND($C47&lt;&gt;0,AT47=""),"* No olvide ingresar la variable "&amp;AT$10&amp;". Digite Cero si no tiene.",IF(AT47&gt;$C47,"* La variable "&amp;AT$10&amp;"no puede superar el Total Ambos Sexos. ",""))</f>
        <v/>
      </c>
      <c r="CH47" s="219">
        <f>IF(AND($C47&lt;&gt;0,AU47=""),"* No olvide ingresar la variable "&amp;AU$10&amp;". Digite Cero si no tiene. ",IF(AU47&gt;$C47,"* La variable "&amp;AU$10&amp;" no puede superar el Total Ambos Sexos. ",""))</f>
        <v/>
      </c>
      <c r="CI47" s="226" t="n"/>
      <c r="CJ47" s="221">
        <f>IF(AND($C47&lt;&gt;0,AN47=""),1,IF(AN47&gt;$C47,1,0))</f>
        <v/>
      </c>
      <c r="CK47" s="221">
        <f>IF(AND(E47&gt;0,OR(AO47="")),1,IF(AO47&gt;E47,1,0))</f>
        <v/>
      </c>
      <c r="CL47" s="221">
        <f>IF(AND(D47&gt;0,OR(AP47="")),1,IF(AP47&gt;D47,1,0))</f>
        <v/>
      </c>
      <c r="CM47" s="221">
        <f>IF(AND($C47&lt;&gt;0,AQ47=""),1,IF(AQ47&gt;$C47,1,0))</f>
        <v/>
      </c>
      <c r="CN47" s="221">
        <f>IF(AND($C47&lt;&gt;0,AR47=""),1,IF(AR47&gt;$C47,1,0))</f>
        <v/>
      </c>
      <c r="CO47" s="222" t="n"/>
      <c r="CP47" s="221">
        <f>IF(AND($C47&lt;&gt;0,AT47=""),1,IF(AT47&gt;$C47,1,0))</f>
        <v/>
      </c>
      <c r="CQ47" s="221">
        <f>IF(AND($C47&lt;&gt;0,AU47=""),1,IF(AU47&gt;$C47,1,0))</f>
        <v/>
      </c>
    </row>
    <row r="48">
      <c r="A48" s="9588" t="n"/>
      <c r="B48" s="3279" t="inlineStr">
        <is>
          <t>Matrona/ón</t>
        </is>
      </c>
      <c r="C48" s="3103">
        <f>SUM(D48+E48)</f>
        <v/>
      </c>
      <c r="D48" s="3179">
        <f>SUM(H48+J48+L48+N48+P48+R48+T48+V48+X48+Z48+AB48+AD48+AF48+AH48+AJ48+AL48)</f>
        <v/>
      </c>
      <c r="E48" s="3280">
        <f>SUM(I48+K48+M48+O48+Q48+S48+U48+W48+Y48+AA48+AC48+AE48+AG48+AI48+AK48+AM48)</f>
        <v/>
      </c>
      <c r="F48" s="1459" t="n"/>
      <c r="G48" s="3288" t="n"/>
      <c r="H48" s="3108" t="n"/>
      <c r="I48" s="1125" t="n"/>
      <c r="J48" s="3108" t="n"/>
      <c r="K48" s="3101" t="n">
        <v>6</v>
      </c>
      <c r="L48" s="3108" t="n">
        <v>9</v>
      </c>
      <c r="M48" s="3101" t="n">
        <v>6</v>
      </c>
      <c r="N48" s="3108" t="n"/>
      <c r="O48" s="3101" t="n"/>
      <c r="P48" s="3108" t="n"/>
      <c r="Q48" s="3101" t="n"/>
      <c r="R48" s="3108" t="n"/>
      <c r="S48" s="3101" t="n"/>
      <c r="T48" s="3108" t="n"/>
      <c r="U48" s="3101" t="n"/>
      <c r="V48" s="3108" t="n"/>
      <c r="W48" s="3101" t="n"/>
      <c r="X48" s="3108" t="n"/>
      <c r="Y48" s="3101" t="n"/>
      <c r="Z48" s="3108" t="n"/>
      <c r="AA48" s="3101" t="n"/>
      <c r="AB48" s="3108" t="n"/>
      <c r="AC48" s="3101" t="n"/>
      <c r="AD48" s="3108" t="n"/>
      <c r="AE48" s="3101" t="n"/>
      <c r="AF48" s="3108" t="n"/>
      <c r="AG48" s="3101" t="n"/>
      <c r="AH48" s="3108" t="n"/>
      <c r="AI48" s="3101" t="n"/>
      <c r="AJ48" s="3108" t="n"/>
      <c r="AK48" s="3101" t="n"/>
      <c r="AL48" s="3281" t="n"/>
      <c r="AM48" s="880" t="n"/>
      <c r="AN48" s="3282" t="n">
        <v>0</v>
      </c>
      <c r="AO48" s="3100" t="n">
        <v>0</v>
      </c>
      <c r="AP48" s="1125" t="n">
        <v>0</v>
      </c>
      <c r="AQ48" s="3720" t="n">
        <v>0</v>
      </c>
      <c r="AR48" s="4008" t="n">
        <v>0</v>
      </c>
      <c r="AS48" s="3283" t="n"/>
      <c r="AT48" s="3720" t="n">
        <v>2</v>
      </c>
      <c r="AU48" s="4008" t="n">
        <v>5</v>
      </c>
      <c r="AV48" s="218">
        <f>$CA48&amp;$CB48&amp;CC48&amp;CD48&amp;CE48&amp;CG48&amp;CH48</f>
        <v/>
      </c>
      <c r="CA48" s="219">
        <f>IF(AND($C48&lt;&gt;0,AN48=""),"* No olvide ingresar la columna Espacios Amigables /adolescentes (Digite CERO si no tiene). ",IF(AN48&gt;$C48,"* El Número de Espacios Amigables no puede superar el Total. ",""))</f>
        <v/>
      </c>
      <c r="CB48" s="219">
        <f>IF(AND(E48&gt;0,OR(AO48="")),"No olvide digitar los campos *TRANS Masculino (Digite CERO si no tiene).",IF(AO48&gt;E48,"* El Número de TRANS Masculino no puede superar el Total Mujeres. ",""))</f>
        <v/>
      </c>
      <c r="CC48" s="219">
        <f>IF(AND(D48&gt;0,OR(AP48="")),"No olvide digitar los campos *TRANS Femenino (Digite CERO si no tiene).",IF(AP48&gt;$D48,"* El Número de TRANS Femenino no puede superar el Total Hombres. ",""))</f>
        <v/>
      </c>
      <c r="CD48" s="219">
        <f>IF(AND($C48&lt;&gt;0,AQ48=""),"* No olvide ingresar la columna Pueblos Originarios (Digite CERO si no tiene).  ",IF(AQ48&gt;$C48,"* El Número de Pueblos Originarios no puede superar el Total. ",""))</f>
        <v/>
      </c>
      <c r="CE48" s="219">
        <f>IF(AND($C48&lt;&gt;0,AR48=""),"* No olvide ingresar la columna Migrantes (Digite CERO si no tiene).  ",IF(AR48&gt;$C48,"* El Número de Migrantes no puede superar el Total. ",""))</f>
        <v/>
      </c>
      <c r="CF48" s="220" t="n"/>
      <c r="CG48" s="219">
        <f>IF(AND($C48&lt;&gt;0,AT48=""),"* No olvide ingresar la variable "&amp;AT$10&amp;". Digite Cero si no tiene.",IF(AT48&gt;$C48,"* La variable "&amp;AT$10&amp;"no puede superar el Total Ambos Sexos. ",""))</f>
        <v/>
      </c>
      <c r="CH48" s="219">
        <f>IF(AND($C48&lt;&gt;0,AU48=""),"* No olvide ingresar la variable "&amp;AU$10&amp;". Digite Cero si no tiene. ",IF(AU48&gt;$C48,"* La variable "&amp;AU$10&amp;" no puede superar el Total Ambos Sexos. ",""))</f>
        <v/>
      </c>
      <c r="CI48" s="226" t="n"/>
      <c r="CJ48" s="221">
        <f>IF(AND($C48&lt;&gt;0,AN48=""),1,IF(AN48&gt;$C48,1,0))</f>
        <v/>
      </c>
      <c r="CK48" s="221">
        <f>IF(AND(E48&gt;0,OR(AO48="")),1,IF(AO48&gt;E48,1,0))</f>
        <v/>
      </c>
      <c r="CL48" s="221">
        <f>IF(AND(D48&gt;0,OR(AP48="")),1,IF(AP48&gt;D48,1,0))</f>
        <v/>
      </c>
      <c r="CM48" s="221">
        <f>IF(AND($C48&lt;&gt;0,AQ48=""),1,IF(AQ48&gt;$C48,1,0))</f>
        <v/>
      </c>
      <c r="CN48" s="221">
        <f>IF(AND($C48&lt;&gt;0,AR48=""),1,IF(AR48&gt;$C48,1,0))</f>
        <v/>
      </c>
      <c r="CO48" s="222" t="n"/>
      <c r="CP48" s="221">
        <f>IF(AND($C48&lt;&gt;0,AT48=""),1,IF(AT48&gt;$C48,1,0))</f>
        <v/>
      </c>
      <c r="CQ48" s="221">
        <f>IF(AND($C48&lt;&gt;0,AU48=""),1,IF(AU48&gt;$C48,1,0))</f>
        <v/>
      </c>
    </row>
    <row r="49">
      <c r="A49" s="9588" t="n"/>
      <c r="B49" s="3279" t="inlineStr">
        <is>
          <t>Nutricionista</t>
        </is>
      </c>
      <c r="C49" s="3103">
        <f>SUM(D49+E49)</f>
        <v/>
      </c>
      <c r="D49" s="3179">
        <f>SUM(H49+J49+L49+N49+P49+R49+T49+V49+X49+Z49+AB49+AD49+AF49+AH49+AJ49+AL49)</f>
        <v/>
      </c>
      <c r="E49" s="3280">
        <f>SUM(I49+K49+M49+O49+Q49+S49+U49+W49+Y49+AA49+AC49+AE49+AG49+AI49+AK49+AM49)</f>
        <v/>
      </c>
      <c r="F49" s="1459" t="n"/>
      <c r="G49" s="3288" t="n"/>
      <c r="H49" s="3108" t="n"/>
      <c r="I49" s="1125" t="n"/>
      <c r="J49" s="3108" t="n"/>
      <c r="K49" s="3101" t="n"/>
      <c r="L49" s="3108" t="n"/>
      <c r="M49" s="3101" t="n"/>
      <c r="N49" s="3108" t="n"/>
      <c r="O49" s="3101" t="n"/>
      <c r="P49" s="3108" t="n"/>
      <c r="Q49" s="3101" t="n"/>
      <c r="R49" s="3108" t="n"/>
      <c r="S49" s="3101" t="n"/>
      <c r="T49" s="3108" t="n"/>
      <c r="U49" s="3101" t="n"/>
      <c r="V49" s="3108" t="n"/>
      <c r="W49" s="3101" t="n"/>
      <c r="X49" s="3108" t="n"/>
      <c r="Y49" s="3101" t="n"/>
      <c r="Z49" s="3108" t="n"/>
      <c r="AA49" s="3101" t="n"/>
      <c r="AB49" s="3108" t="n"/>
      <c r="AC49" s="3101" t="n"/>
      <c r="AD49" s="3108" t="n"/>
      <c r="AE49" s="3101" t="n"/>
      <c r="AF49" s="3108" t="n"/>
      <c r="AG49" s="3101" t="n"/>
      <c r="AH49" s="3108" t="n"/>
      <c r="AI49" s="3101" t="n"/>
      <c r="AJ49" s="3108" t="n"/>
      <c r="AK49" s="3101" t="n"/>
      <c r="AL49" s="3281" t="n"/>
      <c r="AM49" s="880" t="n"/>
      <c r="AN49" s="3282" t="n"/>
      <c r="AO49" s="3100" t="n"/>
      <c r="AP49" s="1125" t="n"/>
      <c r="AQ49" s="3720" t="n"/>
      <c r="AR49" s="4008" t="n"/>
      <c r="AS49" s="3283" t="n"/>
      <c r="AT49" s="3720" t="n"/>
      <c r="AU49" s="4008" t="n"/>
      <c r="AV49" s="218">
        <f>$CA49&amp;$CB49&amp;CC49&amp;CD49&amp;CE49&amp;CG49&amp;CH49</f>
        <v/>
      </c>
      <c r="CA49" s="219">
        <f>IF(AND($C49&lt;&gt;0,AN49=""),"* No olvide ingresar la columna Espacios Amigables /adolescentes (Digite CERO si no tiene). ",IF(AN49&gt;$C49,"* El Número de Espacios Amigables no puede superar el Total. ",""))</f>
        <v/>
      </c>
      <c r="CB49" s="219">
        <f>IF(AND(E49&gt;0,OR(AO49="")),"No olvide digitar los campos *TRANS Masculino (Digite CERO si no tiene).",IF(AO49&gt;E49,"* El Número de TRANS Masculino no puede superar el Total Mujeres. ",""))</f>
        <v/>
      </c>
      <c r="CC49" s="219">
        <f>IF(AND(D49&gt;0,OR(AP49="")),"No olvide digitar los campos *TRANS Femenino (Digite CERO si no tiene).",IF(AP49&gt;$D49,"* El Número de TRANS Femenino no puede superar el Total Hombres. ",""))</f>
        <v/>
      </c>
      <c r="CD49" s="219">
        <f>IF(AND($C49&lt;&gt;0,AQ49=""),"* No olvide ingresar la columna Pueblos Originarios (Digite CERO si no tiene).  ",IF(AQ49&gt;$C49,"* El Número de Pueblos Originarios no puede superar el Total. ",""))</f>
        <v/>
      </c>
      <c r="CE49" s="219">
        <f>IF(AND($C49&lt;&gt;0,AR49=""),"* No olvide ingresar la columna Migrantes (Digite CERO si no tiene).  ",IF(AR49&gt;$C49,"* El Número de Migrantes no puede superar el Total. ",""))</f>
        <v/>
      </c>
      <c r="CF49" s="220" t="n"/>
      <c r="CG49" s="219">
        <f>IF(AND($C49&lt;&gt;0,AT49=""),"* No olvide ingresar la variable "&amp;AT$10&amp;". Digite Cero si no tiene.",IF(AT49&gt;$C49,"* La variable "&amp;AT$10&amp;"no puede superar el Total Ambos Sexos. ",""))</f>
        <v/>
      </c>
      <c r="CH49" s="219">
        <f>IF(AND($C49&lt;&gt;0,AU49=""),"* No olvide ingresar la variable "&amp;AU$10&amp;". Digite Cero si no tiene. ",IF(AU49&gt;$C49,"* La variable "&amp;AU$10&amp;" no puede superar el Total Ambos Sexos. ",""))</f>
        <v/>
      </c>
      <c r="CI49" s="226" t="n"/>
      <c r="CJ49" s="221">
        <f>IF(AND($C49&lt;&gt;0,AN49=""),1,IF(AN49&gt;$C49,1,0))</f>
        <v/>
      </c>
      <c r="CK49" s="221">
        <f>IF(AND(E49&gt;0,OR(AO49="")),1,IF(AO49&gt;E49,1,0))</f>
        <v/>
      </c>
      <c r="CL49" s="221">
        <f>IF(AND(D49&gt;0,OR(AP49="")),1,IF(AP49&gt;D49,1,0))</f>
        <v/>
      </c>
      <c r="CM49" s="221">
        <f>IF(AND($C49&lt;&gt;0,AQ49=""),1,IF(AQ49&gt;$C49,1,0))</f>
        <v/>
      </c>
      <c r="CN49" s="221">
        <f>IF(AND($C49&lt;&gt;0,AR49=""),1,IF(AR49&gt;$C49,1,0))</f>
        <v/>
      </c>
      <c r="CO49" s="222" t="n"/>
      <c r="CP49" s="221">
        <f>IF(AND($C49&lt;&gt;0,AT49=""),1,IF(AT49&gt;$C49,1,0))</f>
        <v/>
      </c>
      <c r="CQ49" s="221">
        <f>IF(AND($C49&lt;&gt;0,AU49=""),1,IF(AU49&gt;$C49,1,0))</f>
        <v/>
      </c>
    </row>
    <row r="50">
      <c r="A50" s="9588" t="n"/>
      <c r="B50" s="3279" t="inlineStr">
        <is>
          <t>Trabajador/a social</t>
        </is>
      </c>
      <c r="C50" s="3103">
        <f>SUM(D50+E50)</f>
        <v/>
      </c>
      <c r="D50" s="3179">
        <f>SUM(H50+J50+L50+N50+P50+R50+T50+V50+X50+Z50+AB50+AD50+AF50+AH50+AJ50+AL50)</f>
        <v/>
      </c>
      <c r="E50" s="3280">
        <f>SUM(I50+K50+M50+O50+Q50+S50+U50+W50+Y50+AA50+AC50+AE50+AG50+AI50+AK50+AM50)</f>
        <v/>
      </c>
      <c r="F50" s="1459" t="n"/>
      <c r="G50" s="3288" t="n"/>
      <c r="H50" s="3108" t="n"/>
      <c r="I50" s="1125" t="n"/>
      <c r="J50" s="3108" t="n"/>
      <c r="K50" s="3101" t="n"/>
      <c r="L50" s="3108" t="n"/>
      <c r="M50" s="3101" t="n"/>
      <c r="N50" s="3108" t="n"/>
      <c r="O50" s="3101" t="n"/>
      <c r="P50" s="3108" t="n">
        <v>1</v>
      </c>
      <c r="Q50" s="3101" t="n"/>
      <c r="R50" s="3108" t="n"/>
      <c r="S50" s="3101" t="n"/>
      <c r="T50" s="3108" t="n"/>
      <c r="U50" s="3101" t="n"/>
      <c r="V50" s="3108" t="n"/>
      <c r="W50" s="3101" t="n"/>
      <c r="X50" s="3108" t="n"/>
      <c r="Y50" s="3101" t="n"/>
      <c r="Z50" s="3108" t="n"/>
      <c r="AA50" s="3101" t="n"/>
      <c r="AB50" s="3108" t="n"/>
      <c r="AC50" s="3101" t="n"/>
      <c r="AD50" s="3108" t="n"/>
      <c r="AE50" s="3101" t="n"/>
      <c r="AF50" s="3108" t="n"/>
      <c r="AG50" s="3101" t="n"/>
      <c r="AH50" s="3108" t="n"/>
      <c r="AI50" s="3101" t="n"/>
      <c r="AJ50" s="3108" t="n"/>
      <c r="AK50" s="3101" t="n"/>
      <c r="AL50" s="3281" t="n"/>
      <c r="AM50" s="880" t="n"/>
      <c r="AN50" s="3282" t="n">
        <v>0</v>
      </c>
      <c r="AO50" s="3100" t="n">
        <v>0</v>
      </c>
      <c r="AP50" s="1125" t="n">
        <v>0</v>
      </c>
      <c r="AQ50" s="3720" t="n">
        <v>0</v>
      </c>
      <c r="AR50" s="4008" t="n">
        <v>0</v>
      </c>
      <c r="AS50" s="3283" t="n"/>
      <c r="AT50" s="3720" t="n">
        <v>0</v>
      </c>
      <c r="AU50" s="4008" t="n">
        <v>0</v>
      </c>
      <c r="AV50" s="218">
        <f>$CA50&amp;$CB50&amp;CC50&amp;CD50&amp;CE50&amp;CG50&amp;CH50</f>
        <v/>
      </c>
      <c r="CA50" s="219">
        <f>IF(AND($C50&lt;&gt;0,AN50=""),"* No olvide ingresar la columna Espacios Amigables /adolescentes (Digite CERO si no tiene). ",IF(AN50&gt;$C50,"* El Número de Espacios Amigables no puede superar el Total. ",""))</f>
        <v/>
      </c>
      <c r="CB50" s="219">
        <f>IF(AND(E50&gt;0,OR(AO50="")),"No olvide digitar los campos *TRANS Masculino (Digite CERO si no tiene).",IF(AO50&gt;E50,"* El Número de TRANS Masculino no puede superar el Total Mujeres. ",""))</f>
        <v/>
      </c>
      <c r="CC50" s="219">
        <f>IF(AND(D50&gt;0,OR(AP50="")),"No olvide digitar los campos *TRANS Femenino (Digite CERO si no tiene).",IF(AP50&gt;$D50,"* El Número de TRANS Femenino no puede superar el Total Hombres. ",""))</f>
        <v/>
      </c>
      <c r="CD50" s="219">
        <f>IF(AND($C50&lt;&gt;0,AQ50=""),"* No olvide ingresar la columna Pueblos Originarios (Digite CERO si no tiene).  ",IF(AQ50&gt;$C50,"* El Número de Pueblos Originarios no puede superar el Total. ",""))</f>
        <v/>
      </c>
      <c r="CE50" s="219">
        <f>IF(AND($C50&lt;&gt;0,AR50=""),"* No olvide ingresar la columna Migrantes (Digite CERO si no tiene).  ",IF(AR50&gt;$C50,"* El Número de Migrantes no puede superar el Total. ",""))</f>
        <v/>
      </c>
      <c r="CF50" s="220" t="n"/>
      <c r="CG50" s="219">
        <f>IF(AND($C50&lt;&gt;0,AT50=""),"* No olvide ingresar la variable "&amp;AT$10&amp;". Digite Cero si no tiene.",IF(AT50&gt;$C50,"* La variable "&amp;AT$10&amp;"no puede superar el Total Ambos Sexos. ",""))</f>
        <v/>
      </c>
      <c r="CH50" s="219">
        <f>IF(AND($C50&lt;&gt;0,AU50=""),"* No olvide ingresar la variable "&amp;AU$10&amp;". Digite Cero si no tiene. ",IF(AU50&gt;$C50,"* La variable "&amp;AU$10&amp;" no puede superar el Total Ambos Sexos. ",""))</f>
        <v/>
      </c>
      <c r="CI50" s="226" t="n"/>
      <c r="CJ50" s="221">
        <f>IF(AND($C50&lt;&gt;0,AN50=""),1,IF(AN50&gt;$C50,1,0))</f>
        <v/>
      </c>
      <c r="CK50" s="221">
        <f>IF(AND(E50&gt;0,OR(AO50="")),1,IF(AO50&gt;E50,1,0))</f>
        <v/>
      </c>
      <c r="CL50" s="221">
        <f>IF(AND(D50&gt;0,OR(AP50="")),1,IF(AP50&gt;D50,1,0))</f>
        <v/>
      </c>
      <c r="CM50" s="221">
        <f>IF(AND($C50&lt;&gt;0,AQ50=""),1,IF(AQ50&gt;$C50,1,0))</f>
        <v/>
      </c>
      <c r="CN50" s="221">
        <f>IF(AND($C50&lt;&gt;0,AR50=""),1,IF(AR50&gt;$C50,1,0))</f>
        <v/>
      </c>
      <c r="CO50" s="222" t="n"/>
      <c r="CP50" s="221">
        <f>IF(AND($C50&lt;&gt;0,AT50=""),1,IF(AT50&gt;$C50,1,0))</f>
        <v/>
      </c>
      <c r="CQ50" s="221">
        <f>IF(AND($C50&lt;&gt;0,AU50=""),1,IF(AU50&gt;$C50,1,0))</f>
        <v/>
      </c>
    </row>
    <row r="51">
      <c r="A51" s="9588" t="n"/>
      <c r="B51" s="3279" t="inlineStr">
        <is>
          <t>Psicólogo/a</t>
        </is>
      </c>
      <c r="C51" s="3103">
        <f>SUM(D51+E51)</f>
        <v/>
      </c>
      <c r="D51" s="3179">
        <f>SUM(H51+J51+L51+N51+P51+R51+T51+V51+X51+Z51+AB51+AD51+AF51+AH51+AJ51+AL51)</f>
        <v/>
      </c>
      <c r="E51" s="3280">
        <f>SUM(I51+K51+M51+O51+Q51+S51+U51+W51+Y51+AA51+AC51+AE51+AG51+AI51+AK51+AM51)</f>
        <v/>
      </c>
      <c r="F51" s="1459" t="n"/>
      <c r="G51" s="3288" t="n"/>
      <c r="H51" s="3108" t="n"/>
      <c r="I51" s="1125" t="n"/>
      <c r="J51" s="3108" t="n"/>
      <c r="K51" s="3101" t="n"/>
      <c r="L51" s="3108" t="n"/>
      <c r="M51" s="3101" t="n"/>
      <c r="N51" s="3108" t="n"/>
      <c r="O51" s="3101" t="n"/>
      <c r="P51" s="3108" t="n"/>
      <c r="Q51" s="3101" t="n"/>
      <c r="R51" s="3108" t="n"/>
      <c r="S51" s="3101" t="n"/>
      <c r="T51" s="3108" t="n"/>
      <c r="U51" s="3101" t="n">
        <v>1</v>
      </c>
      <c r="V51" s="3108" t="n"/>
      <c r="W51" s="3101" t="n">
        <v>1</v>
      </c>
      <c r="X51" s="3108" t="n"/>
      <c r="Y51" s="3101" t="n"/>
      <c r="Z51" s="3108" t="n"/>
      <c r="AA51" s="3101" t="n"/>
      <c r="AB51" s="3108" t="n"/>
      <c r="AC51" s="3101" t="n"/>
      <c r="AD51" s="3108" t="n">
        <v>1</v>
      </c>
      <c r="AE51" s="3101" t="n"/>
      <c r="AF51" s="3108" t="n"/>
      <c r="AG51" s="3101" t="n"/>
      <c r="AH51" s="3108" t="n"/>
      <c r="AI51" s="3101" t="n"/>
      <c r="AJ51" s="3108" t="n"/>
      <c r="AK51" s="3101" t="n"/>
      <c r="AL51" s="3281" t="n"/>
      <c r="AM51" s="880" t="n"/>
      <c r="AN51" s="3282" t="n">
        <v>0</v>
      </c>
      <c r="AO51" s="3100" t="n">
        <v>0</v>
      </c>
      <c r="AP51" s="1125" t="n">
        <v>0</v>
      </c>
      <c r="AQ51" s="3720" t="n">
        <v>0</v>
      </c>
      <c r="AR51" s="4008" t="n">
        <v>0</v>
      </c>
      <c r="AS51" s="3283" t="n"/>
      <c r="AT51" s="3720" t="n">
        <v>0</v>
      </c>
      <c r="AU51" s="4008" t="n">
        <v>0</v>
      </c>
      <c r="AV51" s="218">
        <f>$CA51&amp;$CB51&amp;CC51&amp;CD51&amp;CE51&amp;CG51&amp;CH51</f>
        <v/>
      </c>
      <c r="CA51" s="219">
        <f>IF(AND($C51&lt;&gt;0,AN51=""),"* No olvide ingresar la columna Espacios Amigables /adolescentes (Digite CERO si no tiene). ",IF(AN51&gt;$C51,"* El Número de Espacios Amigables no puede superar el Total. ",""))</f>
        <v/>
      </c>
      <c r="CB51" s="219">
        <f>IF(AND(E51&gt;0,OR(AO51="")),"No olvide digitar los campos *TRANS Masculino (Digite CERO si no tiene).",IF(AO51&gt;E51,"* El Número de TRANS Masculino no puede superar el Total Mujeres. ",""))</f>
        <v/>
      </c>
      <c r="CC51" s="219">
        <f>IF(AND(D51&gt;0,OR(AP51="")),"No olvide digitar los campos *TRANS Femenino (Digite CERO si no tiene).",IF(AP51&gt;$D51,"* El Número de TRANS Femenino no puede superar el Total Hombres. ",""))</f>
        <v/>
      </c>
      <c r="CD51" s="219">
        <f>IF(AND($C51&lt;&gt;0,AQ51=""),"* No olvide ingresar la columna Pueblos Originarios (Digite CERO si no tiene).  ",IF(AQ51&gt;$C51,"* El Número de Pueblos Originarios no puede superar el Total. ",""))</f>
        <v/>
      </c>
      <c r="CE51" s="219">
        <f>IF(AND($C51&lt;&gt;0,AR51=""),"* No olvide ingresar la columna Migrantes (Digite CERO si no tiene).  ",IF(AR51&gt;$C51,"* El Número de Migrantes no puede superar el Total. ",""))</f>
        <v/>
      </c>
      <c r="CF51" s="220" t="n"/>
      <c r="CG51" s="219">
        <f>IF(AND($C51&lt;&gt;0,AT51=""),"* No olvide ingresar la variable "&amp;AT$10&amp;". Digite Cero si no tiene.",IF(AT51&gt;$C51,"* La variable "&amp;AT$10&amp;"no puede superar el Total Ambos Sexos. ",""))</f>
        <v/>
      </c>
      <c r="CH51" s="219">
        <f>IF(AND($C51&lt;&gt;0,AU51=""),"* No olvide ingresar la variable "&amp;AU$10&amp;". Digite Cero si no tiene. ",IF(AU51&gt;$C51,"* La variable "&amp;AU$10&amp;" no puede superar el Total Ambos Sexos. ",""))</f>
        <v/>
      </c>
      <c r="CI51" s="226" t="n"/>
      <c r="CJ51" s="221">
        <f>IF(AND($C51&lt;&gt;0,AN51=""),1,IF(AN51&gt;$C51,1,0))</f>
        <v/>
      </c>
      <c r="CK51" s="221">
        <f>IF(AND(E51&gt;0,OR(AO51="")),1,IF(AO51&gt;E51,1,0))</f>
        <v/>
      </c>
      <c r="CL51" s="221">
        <f>IF(AND(D51&gt;0,OR(AP51="")),1,IF(AP51&gt;D51,1,0))</f>
        <v/>
      </c>
      <c r="CM51" s="221">
        <f>IF(AND($C51&lt;&gt;0,AQ51=""),1,IF(AQ51&gt;$C51,1,0))</f>
        <v/>
      </c>
      <c r="CN51" s="221">
        <f>IF(AND($C51&lt;&gt;0,AR51=""),1,IF(AR51&gt;$C51,1,0))</f>
        <v/>
      </c>
      <c r="CO51" s="222" t="n"/>
      <c r="CP51" s="221">
        <f>IF(AND($C51&lt;&gt;0,AT51=""),1,IF(AT51&gt;$C51,1,0))</f>
        <v/>
      </c>
      <c r="CQ51" s="221">
        <f>IF(AND($C51&lt;&gt;0,AU51=""),1,IF(AU51&gt;$C51,1,0))</f>
        <v/>
      </c>
    </row>
    <row r="52">
      <c r="A52" s="9588" t="n"/>
      <c r="B52" s="3279" t="inlineStr">
        <is>
          <t>Kinesiólogo/a</t>
        </is>
      </c>
      <c r="C52" s="3103">
        <f>SUM(D52+E52)</f>
        <v/>
      </c>
      <c r="D52" s="3179">
        <f>SUM(H52+J52+L52+N52+P52+R52+T52+V52+X52+Z52+AB52+AD52+AF52+AH52+AJ52+AL52)</f>
        <v/>
      </c>
      <c r="E52" s="3280">
        <f>SUM(I52+K52+M52+O52+Q52+S52+U52+W52+Y52+AA52+AC52+AE52+AG52+AI52+AK52+AM52)</f>
        <v/>
      </c>
      <c r="F52" s="1459" t="n"/>
      <c r="G52" s="3288" t="n"/>
      <c r="H52" s="3108" t="n"/>
      <c r="I52" s="1125" t="n"/>
      <c r="J52" s="3108" t="n"/>
      <c r="K52" s="3101" t="n"/>
      <c r="L52" s="3108" t="n"/>
      <c r="M52" s="3101" t="n"/>
      <c r="N52" s="3108" t="n"/>
      <c r="O52" s="3101" t="n"/>
      <c r="P52" s="3108" t="n"/>
      <c r="Q52" s="3101" t="n"/>
      <c r="R52" s="3108" t="n"/>
      <c r="S52" s="3101" t="n"/>
      <c r="T52" s="3108" t="n"/>
      <c r="U52" s="3101" t="n"/>
      <c r="V52" s="3108" t="n"/>
      <c r="W52" s="3101" t="n"/>
      <c r="X52" s="3108" t="n"/>
      <c r="Y52" s="3101" t="n"/>
      <c r="Z52" s="3108" t="n"/>
      <c r="AA52" s="3101" t="n"/>
      <c r="AB52" s="3108" t="n"/>
      <c r="AC52" s="3101" t="n"/>
      <c r="AD52" s="3108" t="n"/>
      <c r="AE52" s="3101" t="n"/>
      <c r="AF52" s="3108" t="n"/>
      <c r="AG52" s="3101" t="n"/>
      <c r="AH52" s="3108" t="n"/>
      <c r="AI52" s="3101" t="n"/>
      <c r="AJ52" s="3108" t="n"/>
      <c r="AK52" s="3101" t="n"/>
      <c r="AL52" s="3281" t="n"/>
      <c r="AM52" s="880" t="n"/>
      <c r="AN52" s="3282" t="n"/>
      <c r="AO52" s="3100" t="n"/>
      <c r="AP52" s="1125" t="n"/>
      <c r="AQ52" s="3720" t="n"/>
      <c r="AR52" s="4008" t="n"/>
      <c r="AS52" s="3283" t="n"/>
      <c r="AT52" s="3720" t="n"/>
      <c r="AU52" s="4008" t="n"/>
      <c r="AV52" s="218">
        <f>$CA52&amp;$CB52&amp;CC52&amp;CD52&amp;CE52&amp;CG52&amp;CH52</f>
        <v/>
      </c>
      <c r="CA52" s="219">
        <f>IF(AND($C52&lt;&gt;0,AN52=""),"* No olvide ingresar la columna Espacios Amigables /adolescentes (Digite CERO si no tiene). ",IF(AN52&gt;$C52,"* El Número de Espacios Amigables no puede superar el Total. ",""))</f>
        <v/>
      </c>
      <c r="CB52" s="219">
        <f>IF(AND(E52&gt;0,OR(AO52="")),"No olvide digitar los campos *TRANS Masculino (Digite CERO si no tiene).",IF(AO52&gt;E52,"* El Número de TRANS Masculino no puede superar el Total Mujeres. ",""))</f>
        <v/>
      </c>
      <c r="CC52" s="219">
        <f>IF(AND(D52&gt;0,OR(AP52="")),"No olvide digitar los campos *TRANS Femenino (Digite CERO si no tiene).",IF(AP52&gt;$D52,"* El Número de TRANS Femenino no puede superar el Total Hombres. ",""))</f>
        <v/>
      </c>
      <c r="CD52" s="219">
        <f>IF(AND($C52&lt;&gt;0,AQ52=""),"* No olvide ingresar la columna Pueblos Originarios (Digite CERO si no tiene).  ",IF(AQ52&gt;$C52,"* El Número de Pueblos Originarios no puede superar el Total. ",""))</f>
        <v/>
      </c>
      <c r="CE52" s="219">
        <f>IF(AND($C52&lt;&gt;0,AR52=""),"* No olvide ingresar la columna Migrantes (Digite CERO si no tiene).  ",IF(AR52&gt;$C52,"* El Número de Migrantes no puede superar el Total. ",""))</f>
        <v/>
      </c>
      <c r="CF52" s="220" t="n"/>
      <c r="CG52" s="219">
        <f>IF(AND($C52&lt;&gt;0,AT52=""),"* No olvide ingresar la variable "&amp;AT$10&amp;". Digite Cero si no tiene.",IF(AT52&gt;$C52,"* La variable "&amp;AT$10&amp;"no puede superar el Total Ambos Sexos. ",""))</f>
        <v/>
      </c>
      <c r="CH52" s="219">
        <f>IF(AND($C52&lt;&gt;0,AU52=""),"* No olvide ingresar la variable "&amp;AU$10&amp;". Digite Cero si no tiene. ",IF(AU52&gt;$C52,"* La variable "&amp;AU$10&amp;" no puede superar el Total Ambos Sexos. ",""))</f>
        <v/>
      </c>
      <c r="CI52" s="226" t="n"/>
      <c r="CJ52" s="221">
        <f>IF(AND($C52&lt;&gt;0,AN52=""),1,IF(AN52&gt;$C52,1,0))</f>
        <v/>
      </c>
      <c r="CK52" s="221">
        <f>IF(AND(E52&gt;0,OR(AO52="")),1,IF(AO52&gt;E52,1,0))</f>
        <v/>
      </c>
      <c r="CL52" s="221">
        <f>IF(AND(D52&gt;0,OR(AP52="")),1,IF(AP52&gt;D52,1,0))</f>
        <v/>
      </c>
      <c r="CM52" s="221">
        <f>IF(AND($C52&lt;&gt;0,AQ52=""),1,IF(AQ52&gt;$C52,1,0))</f>
        <v/>
      </c>
      <c r="CN52" s="221">
        <f>IF(AND($C52&lt;&gt;0,AR52=""),1,IF(AR52&gt;$C52,1,0))</f>
        <v/>
      </c>
      <c r="CO52" s="222" t="n"/>
      <c r="CP52" s="221">
        <f>IF(AND($C52&lt;&gt;0,AT52=""),1,IF(AT52&gt;$C52,1,0))</f>
        <v/>
      </c>
      <c r="CQ52" s="221">
        <f>IF(AND($C52&lt;&gt;0,AU52=""),1,IF(AU52&gt;$C52,1,0))</f>
        <v/>
      </c>
    </row>
    <row r="53">
      <c r="A53" s="9588" t="n"/>
      <c r="B53" s="3284" t="inlineStr">
        <is>
          <t>Terapeuta ocupacional</t>
        </is>
      </c>
      <c r="C53" s="3048">
        <f>SUM(D53+E53)</f>
        <v/>
      </c>
      <c r="D53" s="3183">
        <f>SUM(H53+J53+L53+N53+P53+R53+T53+V53+X53+Z53+AB53+AD53+AF53+AH53+AJ53+AL53)</f>
        <v/>
      </c>
      <c r="E53" s="2654">
        <f>SUM(I53+K53+M53+O53+Q53+S53+U53+W53+Y53+AA53+AC53+AE53+AG53+AI53+AK53+AM53)</f>
        <v/>
      </c>
      <c r="F53" s="1459" t="n"/>
      <c r="G53" s="3288" t="n"/>
      <c r="H53" s="1198" t="n"/>
      <c r="I53" s="1148" t="n"/>
      <c r="J53" s="1198" t="n"/>
      <c r="K53" s="1199" t="n"/>
      <c r="L53" s="1198" t="n"/>
      <c r="M53" s="1199" t="n"/>
      <c r="N53" s="1198" t="n"/>
      <c r="O53" s="1199" t="n"/>
      <c r="P53" s="1198" t="n"/>
      <c r="Q53" s="1199" t="n"/>
      <c r="R53" s="1198" t="n"/>
      <c r="S53" s="1199" t="n"/>
      <c r="T53" s="1198" t="n"/>
      <c r="U53" s="1199" t="n"/>
      <c r="V53" s="1198" t="n"/>
      <c r="W53" s="1199" t="n"/>
      <c r="X53" s="1198" t="n"/>
      <c r="Y53" s="1199" t="n"/>
      <c r="Z53" s="1198" t="n"/>
      <c r="AA53" s="1199" t="n"/>
      <c r="AB53" s="1198" t="n"/>
      <c r="AC53" s="1199" t="n"/>
      <c r="AD53" s="1198" t="n"/>
      <c r="AE53" s="1199" t="n"/>
      <c r="AF53" s="1198" t="n"/>
      <c r="AG53" s="1199" t="n"/>
      <c r="AH53" s="1198" t="n"/>
      <c r="AI53" s="1199" t="n"/>
      <c r="AJ53" s="1198" t="n"/>
      <c r="AK53" s="1199" t="n"/>
      <c r="AL53" s="1301" t="n"/>
      <c r="AM53" s="1414" t="n"/>
      <c r="AN53" s="3282" t="n"/>
      <c r="AO53" s="1200" t="n"/>
      <c r="AP53" s="1125" t="n"/>
      <c r="AQ53" s="3720" t="n"/>
      <c r="AR53" s="4008" t="n"/>
      <c r="AS53" s="3283" t="n"/>
      <c r="AT53" s="3720" t="n"/>
      <c r="AU53" s="4008" t="n"/>
      <c r="AV53" s="218">
        <f>$CA53&amp;$CB53&amp;CC53&amp;CD53&amp;CE53&amp;CG53&amp;CH53</f>
        <v/>
      </c>
      <c r="CA53" s="219">
        <f>IF(AND($C53&lt;&gt;0,AN53=""),"* No olvide ingresar la columna Espacios Amigables /adolescentes (Digite CERO si no tiene). ",IF(AN53&gt;$C53,"* El Número de Espacios Amigables no puede superar el Total. ",""))</f>
        <v/>
      </c>
      <c r="CB53" s="219">
        <f>IF(AND(E53&gt;0,OR(AO53="")),"No olvide digitar los campos *TRANS Masculino (Digite CERO si no tiene).",IF(AO53&gt;E53,"* El Número de TRANS Masculino no puede superar el Total Mujeres. ",""))</f>
        <v/>
      </c>
      <c r="CC53" s="219">
        <f>IF(AND(D53&gt;0,OR(AP53="")),"No olvide digitar los campos *TRANS Femenino (Digite CERO si no tiene).",IF(AP53&gt;$D53,"* El Número de TRANS Femenino no puede superar el Total Hombres. ",""))</f>
        <v/>
      </c>
      <c r="CD53" s="219">
        <f>IF(AND($C53&lt;&gt;0,AQ53=""),"* No olvide ingresar la columna Pueblos Originarios (Digite CERO si no tiene).  ",IF(AQ53&gt;$C53,"* El Número de Pueblos Originarios no puede superar el Total. ",""))</f>
        <v/>
      </c>
      <c r="CE53" s="219">
        <f>IF(AND($C53&lt;&gt;0,AR53=""),"* No olvide ingresar la columna Migrantes (Digite CERO si no tiene).  ",IF(AR53&gt;$C53,"* El Número de Migrantes no puede superar el Total. ",""))</f>
        <v/>
      </c>
      <c r="CF53" s="220" t="n"/>
      <c r="CG53" s="219">
        <f>IF(AND($C53&lt;&gt;0,AT53=""),"* No olvide ingresar la variable "&amp;AT$10&amp;". Digite Cero si no tiene.",IF(AT53&gt;$C53,"* La variable "&amp;AT$10&amp;"no puede superar el Total Ambos Sexos. ",""))</f>
        <v/>
      </c>
      <c r="CH53" s="219">
        <f>IF(AND($C53&lt;&gt;0,AU53=""),"* No olvide ingresar la variable "&amp;AU$10&amp;". Digite Cero si no tiene. ",IF(AU53&gt;$C53,"* La variable "&amp;AU$10&amp;" no puede superar el Total Ambos Sexos. ",""))</f>
        <v/>
      </c>
      <c r="CI53" s="226" t="n"/>
      <c r="CJ53" s="221">
        <f>IF(AND($C53&lt;&gt;0,AN53=""),1,IF(AN53&gt;$C53,1,0))</f>
        <v/>
      </c>
      <c r="CK53" s="221">
        <f>IF(AND(E53&gt;0,OR(AO53="")),1,IF(AO53&gt;E53,1,0))</f>
        <v/>
      </c>
      <c r="CL53" s="221">
        <f>IF(AND(D53&gt;0,OR(AP53="")),1,IF(AP53&gt;D53,1,0))</f>
        <v/>
      </c>
      <c r="CM53" s="221">
        <f>IF(AND($C53&lt;&gt;0,AQ53=""),1,IF(AQ53&gt;$C53,1,0))</f>
        <v/>
      </c>
      <c r="CN53" s="221">
        <f>IF(AND($C53&lt;&gt;0,AR53=""),1,IF(AR53&gt;$C53,1,0))</f>
        <v/>
      </c>
      <c r="CO53" s="222" t="n"/>
      <c r="CP53" s="221">
        <f>IF(AND($C53&lt;&gt;0,AT53=""),1,IF(AT53&gt;$C53,1,0))</f>
        <v/>
      </c>
      <c r="CQ53" s="221">
        <f>IF(AND($C53&lt;&gt;0,AU53=""),1,IF(AU53&gt;$C53,1,0))</f>
        <v/>
      </c>
    </row>
    <row r="54">
      <c r="A54" s="9588" t="n"/>
      <c r="B54" s="3279" t="inlineStr">
        <is>
          <t>Otro profesional</t>
        </is>
      </c>
      <c r="C54" s="3103">
        <f>SUM(D54+E54)</f>
        <v/>
      </c>
      <c r="D54" s="3179">
        <f>SUM(H54+J54+L54+N54+P54+R54+T54+V54+X54+Z54+AB54+AD54+AF54+AH54+AJ54+AL54)</f>
        <v/>
      </c>
      <c r="E54" s="3280">
        <f>SUM(I54+K54+M54+O54+Q54+S54+U54+W54+Y54+AA54+AC54+AE54+AG54+AI54+AK54+AM54)</f>
        <v/>
      </c>
      <c r="F54" s="1459" t="n"/>
      <c r="G54" s="3106" t="n"/>
      <c r="H54" s="3108" t="n"/>
      <c r="I54" s="1125" t="n"/>
      <c r="J54" s="3108" t="n"/>
      <c r="K54" s="3101" t="n"/>
      <c r="L54" s="3108" t="n">
        <v>1</v>
      </c>
      <c r="M54" s="3101" t="n"/>
      <c r="N54" s="3108" t="n"/>
      <c r="O54" s="3101" t="n"/>
      <c r="P54" s="3108" t="n"/>
      <c r="Q54" s="3101" t="n"/>
      <c r="R54" s="3108" t="n"/>
      <c r="S54" s="3101" t="n"/>
      <c r="T54" s="3108" t="n"/>
      <c r="U54" s="3101" t="n"/>
      <c r="V54" s="3108" t="n"/>
      <c r="W54" s="3101" t="n"/>
      <c r="X54" s="3108" t="n"/>
      <c r="Y54" s="3101" t="n"/>
      <c r="Z54" s="3108" t="n"/>
      <c r="AA54" s="3101" t="n"/>
      <c r="AB54" s="3108" t="n"/>
      <c r="AC54" s="3101" t="n"/>
      <c r="AD54" s="3108" t="n"/>
      <c r="AE54" s="3101" t="n"/>
      <c r="AF54" s="3108" t="n"/>
      <c r="AG54" s="3101" t="n"/>
      <c r="AH54" s="3108" t="n"/>
      <c r="AI54" s="3101" t="n"/>
      <c r="AJ54" s="3108" t="n"/>
      <c r="AK54" s="3101" t="n"/>
      <c r="AL54" s="3281" t="n"/>
      <c r="AM54" s="880" t="n"/>
      <c r="AN54" s="3282" t="n">
        <v>0</v>
      </c>
      <c r="AO54" s="3100" t="n">
        <v>0</v>
      </c>
      <c r="AP54" s="1125" t="n">
        <v>0</v>
      </c>
      <c r="AQ54" s="3720" t="n">
        <v>0</v>
      </c>
      <c r="AR54" s="4008" t="n">
        <v>0</v>
      </c>
      <c r="AS54" s="3283" t="n"/>
      <c r="AT54" s="3720" t="n">
        <v>0</v>
      </c>
      <c r="AU54" s="4008" t="n">
        <v>0</v>
      </c>
      <c r="AV54" s="218">
        <f>$CA54&amp;$CB54&amp;CC54&amp;CD54&amp;CE54&amp;CG54&amp;CH54</f>
        <v/>
      </c>
      <c r="CA54" s="219">
        <f>IF(AND($C54&lt;&gt;0,AN54=""),"* No olvide ingresar la columna Espacios Amigables /adolescentes (Digite CERO si no tiene). ",IF(AN54&gt;$C54,"* El Número de Espacios Amigables no puede superar el Total. ",""))</f>
        <v/>
      </c>
      <c r="CB54" s="219">
        <f>IF(AND(E54&gt;0,OR(AO54="")),"No olvide digitar los campos *TRANS Masculino (Digite CERO si no tiene).",IF(AO54&gt;E54,"* El Número de TRANS Masculino no puede superar el Total Mujeres. ",""))</f>
        <v/>
      </c>
      <c r="CC54" s="219">
        <f>IF(AND(D54&gt;0,OR(AP54="")),"No olvide digitar los campos *TRANS Femenino (Digite CERO si no tiene).",IF(AP54&gt;$D54,"* El Número de TRANS Femenino no puede superar el Total Hombres. ",""))</f>
        <v/>
      </c>
      <c r="CD54" s="219">
        <f>IF(AND($C54&lt;&gt;0,AQ54=""),"* No olvide ingresar la columna Pueblos Originarios (Digite CERO si no tiene).  ",IF(AQ54&gt;$C54,"* El Número de Pueblos Originarios no puede superar el Total. ",""))</f>
        <v/>
      </c>
      <c r="CE54" s="219">
        <f>IF(AND($C54&lt;&gt;0,AR54=""),"* No olvide ingresar la columna Migrantes (Digite CERO si no tiene).  ",IF(AR54&gt;$C54,"* El Número de Migrantes no puede superar el Total. ",""))</f>
        <v/>
      </c>
      <c r="CF54" s="220" t="n"/>
      <c r="CG54" s="219">
        <f>IF(AND($C54&lt;&gt;0,AT54=""),"* No olvide ingresar la variable "&amp;AT$10&amp;". Digite Cero si no tiene.",IF(AT54&gt;$C54,"* La variable "&amp;AT$10&amp;"no puede superar el Total Ambos Sexos. ",""))</f>
        <v/>
      </c>
      <c r="CH54" s="219">
        <f>IF(AND($C54&lt;&gt;0,AU54=""),"* No olvide ingresar la variable "&amp;AU$10&amp;". Digite Cero si no tiene. ",IF(AU54&gt;$C54,"* La variable "&amp;AU$10&amp;" no puede superar el Total Ambos Sexos. ",""))</f>
        <v/>
      </c>
      <c r="CI54" s="226" t="n"/>
      <c r="CJ54" s="221">
        <f>IF(AND($C54&lt;&gt;0,AN54=""),1,IF(AN54&gt;$C54,1,0))</f>
        <v/>
      </c>
      <c r="CK54" s="221">
        <f>IF(AND(E54&gt;0,OR(AO54="")),1,IF(AO54&gt;E54,1,0))</f>
        <v/>
      </c>
      <c r="CL54" s="221">
        <f>IF(AND(D54&gt;0,OR(AP54="")),1,IF(AP54&gt;D54,1,0))</f>
        <v/>
      </c>
      <c r="CM54" s="221">
        <f>IF(AND($C54&lt;&gt;0,AQ54=""),1,IF(AQ54&gt;$C54,1,0))</f>
        <v/>
      </c>
      <c r="CN54" s="221">
        <f>IF(AND($C54&lt;&gt;0,AR54=""),1,IF(AR54&gt;$C54,1,0))</f>
        <v/>
      </c>
      <c r="CO54" s="222" t="n"/>
      <c r="CP54" s="221">
        <f>IF(AND($C54&lt;&gt;0,AT54=""),1,IF(AT54&gt;$C54,1,0))</f>
        <v/>
      </c>
      <c r="CQ54" s="221">
        <f>IF(AND($C54&lt;&gt;0,AU54=""),1,IF(AU54&gt;$C54,1,0))</f>
        <v/>
      </c>
    </row>
    <row r="55">
      <c r="A55" s="9588" t="n"/>
      <c r="B55" s="8347" t="inlineStr">
        <is>
          <t>Facilitador/a intercultural</t>
        </is>
      </c>
      <c r="C55" s="3103">
        <f>SUM(D55+E55)</f>
        <v/>
      </c>
      <c r="D55" s="3179">
        <f>SUM(H55+J55+L55+N55+P55+R55+T55+V55+X55+Z55+AB55+AD55+AF55+AH55+AJ55+AL55)</f>
        <v/>
      </c>
      <c r="E55" s="400">
        <f>SUM(I55+K55+M55+O55+Q55+S55+U55+W55+Y55+AA55+AC55+AE55+AG55+AI55+AK55+AM55)</f>
        <v/>
      </c>
      <c r="F55" s="1459" t="n"/>
      <c r="G55" s="749" t="n"/>
      <c r="H55" s="3108" t="n"/>
      <c r="I55" s="1125" t="n"/>
      <c r="J55" s="3108" t="n"/>
      <c r="K55" s="3101" t="n"/>
      <c r="L55" s="3108" t="n"/>
      <c r="M55" s="3101" t="n"/>
      <c r="N55" s="3108" t="n"/>
      <c r="O55" s="3101" t="n"/>
      <c r="P55" s="3108" t="n"/>
      <c r="Q55" s="3101" t="n"/>
      <c r="R55" s="3108" t="n"/>
      <c r="S55" s="3101" t="n"/>
      <c r="T55" s="3108" t="n"/>
      <c r="U55" s="3101" t="n"/>
      <c r="V55" s="3108" t="n"/>
      <c r="W55" s="3101" t="n"/>
      <c r="X55" s="3108" t="n"/>
      <c r="Y55" s="3101" t="n"/>
      <c r="Z55" s="3108" t="n"/>
      <c r="AA55" s="3101" t="n"/>
      <c r="AB55" s="3108" t="n"/>
      <c r="AC55" s="3101" t="n"/>
      <c r="AD55" s="3108" t="n"/>
      <c r="AE55" s="3101" t="n"/>
      <c r="AF55" s="3108" t="n"/>
      <c r="AG55" s="3292" t="n"/>
      <c r="AH55" s="3108" t="n"/>
      <c r="AI55" s="3101" t="n"/>
      <c r="AJ55" s="3108" t="n"/>
      <c r="AK55" s="3101" t="n"/>
      <c r="AL55" s="3281" t="n"/>
      <c r="AM55" s="880" t="n"/>
      <c r="AN55" s="3282" t="n"/>
      <c r="AO55" s="3100" t="n"/>
      <c r="AP55" s="1125" t="n"/>
      <c r="AQ55" s="3720" t="n"/>
      <c r="AR55" s="4008" t="n"/>
      <c r="AS55" s="3283" t="n"/>
      <c r="AT55" s="3720" t="n"/>
      <c r="AU55" s="4008" t="n"/>
      <c r="AV55" s="218">
        <f>$CA55&amp;$CB55&amp;CC55&amp;CD55&amp;CE55&amp;CG55&amp;CH55</f>
        <v/>
      </c>
      <c r="CA55" s="219">
        <f>IF(AND($C55&lt;&gt;0,AN55=""),"* No olvide ingresar la columna Espacios Amigables /adolescentes (Digite CERO si no tiene). ",IF(AN55&gt;$C55,"* El Número de Espacios Amigables no puede superar el Total. ",""))</f>
        <v/>
      </c>
      <c r="CB55" s="219">
        <f>IF(AND(E55&gt;0,OR(AO55="")),"No olvide digitar los campos *TRANS Masculino (Digite CERO si no tiene).",IF(AO55&gt;E55,"* El Número de TRANS Masculino no puede superar el Total Mujeres. ",""))</f>
        <v/>
      </c>
      <c r="CC55" s="219">
        <f>IF(AND(D55&gt;0,OR(AP55="")),"No olvide digitar los campos *TRANS Femenino (Digite CERO si no tiene).",IF(AP55&gt;$D55,"* El Número de TRANS Femenino no puede superar el Total Hombres. ",""))</f>
        <v/>
      </c>
      <c r="CD55" s="219">
        <f>IF(AND($C55&lt;&gt;0,AQ55=""),"* No olvide ingresar la columna Pueblos Originarios (Digite CERO si no tiene).  ",IF(AQ55&gt;$C55,"* El Número de Pueblos Originarios no puede superar el Total. ",""))</f>
        <v/>
      </c>
      <c r="CE55" s="219">
        <f>IF(AND($C55&lt;&gt;0,AR55=""),"* No olvide ingresar la columna Migrantes (Digite CERO si no tiene).  ",IF(AR55&gt;$C55,"* El Número de Migrantes no puede superar el Total. ",""))</f>
        <v/>
      </c>
      <c r="CF55" s="220" t="n"/>
      <c r="CG55" s="219">
        <f>IF(AND($C55&lt;&gt;0,AT55=""),"* No olvide ingresar la variable "&amp;AT$10&amp;". Digite Cero si no tiene.",IF(AT55&gt;$C55,"* La variable "&amp;AT$10&amp;"no puede superar el Total Ambos Sexos. ",""))</f>
        <v/>
      </c>
      <c r="CH55" s="219">
        <f>IF(AND($C55&lt;&gt;0,AU55=""),"* No olvide ingresar la variable "&amp;AU$10&amp;". Digite Cero si no tiene. ",IF(AU55&gt;$C55,"* La variable "&amp;AU$10&amp;" no puede superar el Total Ambos Sexos. ",""))</f>
        <v/>
      </c>
      <c r="CI55" s="226" t="n"/>
      <c r="CJ55" s="221">
        <f>IF(AND($C55&lt;&gt;0,AN55=""),1,IF(AN55&gt;$C55,1,0))</f>
        <v/>
      </c>
      <c r="CK55" s="221">
        <f>IF(AND(E55&gt;0,OR(AO55="")),1,IF(AO55&gt;E55,1,0))</f>
        <v/>
      </c>
      <c r="CL55" s="221">
        <f>IF(AND(D55&gt;0,OR(AP55="")),1,IF(AP55&gt;D55,1,0))</f>
        <v/>
      </c>
      <c r="CM55" s="221">
        <f>IF(AND($C55&lt;&gt;0,AQ55=""),1,IF(AQ55&gt;$C55,1,0))</f>
        <v/>
      </c>
      <c r="CN55" s="221">
        <f>IF(AND($C55&lt;&gt;0,AR55=""),1,IF(AR55&gt;$C55,1,0))</f>
        <v/>
      </c>
      <c r="CO55" s="222" t="n"/>
      <c r="CP55" s="221">
        <f>IF(AND($C55&lt;&gt;0,AT55=""),1,IF(AT55&gt;$C55,1,0))</f>
        <v/>
      </c>
      <c r="CQ55" s="221">
        <f>IF(AND($C55&lt;&gt;0,AU55=""),1,IF(AU55&gt;$C55,1,0))</f>
        <v/>
      </c>
    </row>
    <row r="56">
      <c r="A56" s="9589" t="n"/>
      <c r="B56" s="7763" t="inlineStr">
        <is>
          <t>Técnico en Enfermería</t>
        </is>
      </c>
      <c r="C56" s="1176">
        <f>SUM(D56+E56)</f>
        <v/>
      </c>
      <c r="D56" s="1177">
        <f>SUM(H56+J56+L56+N56+P56+R56+T56+V56+X56+Z56+AB56+AD56+AF56+AH56+AJ56+AL56)</f>
        <v/>
      </c>
      <c r="E56" s="3285">
        <f>SUM(I56+K56+M56+O56+Q56+S56+U56+W56+Y56+AA56+AC56+AE56+AG56+AI56+AK56+AM56)</f>
        <v/>
      </c>
      <c r="F56" s="1154" t="n"/>
      <c r="G56" s="3289" t="n"/>
      <c r="H56" s="2465" t="n"/>
      <c r="I56" s="2466" t="n"/>
      <c r="J56" s="2465" t="n"/>
      <c r="K56" s="189" t="n"/>
      <c r="L56" s="2465" t="n"/>
      <c r="M56" s="189" t="n"/>
      <c r="N56" s="2465" t="n"/>
      <c r="O56" s="189" t="n"/>
      <c r="P56" s="2465" t="n"/>
      <c r="Q56" s="189" t="n"/>
      <c r="R56" s="2465" t="n"/>
      <c r="S56" s="189" t="n"/>
      <c r="T56" s="2465" t="n"/>
      <c r="U56" s="189" t="n"/>
      <c r="V56" s="2465" t="n"/>
      <c r="W56" s="189" t="n"/>
      <c r="X56" s="2465" t="n">
        <v>1</v>
      </c>
      <c r="Y56" s="189" t="n"/>
      <c r="Z56" s="2465" t="n"/>
      <c r="AA56" s="189" t="n"/>
      <c r="AB56" s="2465" t="n"/>
      <c r="AC56" s="189" t="n"/>
      <c r="AD56" s="2465" t="n"/>
      <c r="AE56" s="189" t="n"/>
      <c r="AF56" s="2465" t="n"/>
      <c r="AG56" s="189" t="n"/>
      <c r="AH56" s="2465" t="n"/>
      <c r="AI56" s="189" t="n"/>
      <c r="AJ56" s="2465" t="n"/>
      <c r="AK56" s="189" t="n"/>
      <c r="AL56" s="3290" t="n"/>
      <c r="AM56" s="190" t="n"/>
      <c r="AN56" s="1208" t="n">
        <v>0</v>
      </c>
      <c r="AO56" s="2664" t="n">
        <v>0</v>
      </c>
      <c r="AP56" s="1138" t="n">
        <v>0</v>
      </c>
      <c r="AQ56" s="1151" t="n">
        <v>0</v>
      </c>
      <c r="AR56" s="1299" t="n">
        <v>0</v>
      </c>
      <c r="AS56" s="3283" t="n"/>
      <c r="AT56" s="3720" t="n">
        <v>0</v>
      </c>
      <c r="AU56" s="4008" t="n">
        <v>0</v>
      </c>
      <c r="AV56" s="218">
        <f>$CA56&amp;$CB56&amp;CC56&amp;CD56&amp;CE56&amp;CG56&amp;CH56</f>
        <v/>
      </c>
      <c r="CA56" s="219">
        <f>IF(AND($C56&lt;&gt;0,AN56=""),"* No olvide ingresar la columna Espacios Amigables /adolescentes (Digite CERO si no tiene). ",IF(AN56&gt;$C56,"* El Número de Espacios Amigables no puede superar el Total. ",""))</f>
        <v/>
      </c>
      <c r="CB56" s="219">
        <f>IF(AND(E56&gt;0,OR(AO56="")),"No olvide digitar los campos *TRANS Masculino (Digite CERO si no tiene).",IF(AO56&gt;E56,"* El Número de TRANS Masculino no puede superar el Total Mujeres. ",""))</f>
        <v/>
      </c>
      <c r="CC56" s="219">
        <f>IF(AND(D56&gt;0,OR(AP56="")),"No olvide digitar los campos *TRANS Femenino (Digite CERO si no tiene).",IF(AP56&gt;$D56,"* El Número de TRANS Femenino no puede superar el Total Hombres. ",""))</f>
        <v/>
      </c>
      <c r="CD56" s="219">
        <f>IF(AND($C56&lt;&gt;0,AQ56=""),"* No olvide ingresar la columna Pueblos Originarios (Digite CERO si no tiene).  ",IF(AQ56&gt;$C56,"* El Número de Pueblos Originarios no puede superar el Total. ",""))</f>
        <v/>
      </c>
      <c r="CE56" s="219">
        <f>IF(AND($C56&lt;&gt;0,AR56=""),"* No olvide ingresar la columna Migrantes (Digite CERO si no tiene).  ",IF(AR56&gt;$C56,"* El Número de Migrantes no puede superar el Total. ",""))</f>
        <v/>
      </c>
      <c r="CF56" s="220" t="n"/>
      <c r="CG56" s="219">
        <f>IF(AND($C56&lt;&gt;0,AT56=""),"* No olvide ingresar la variable "&amp;AT$10&amp;". Digite Cero si no tiene.",IF(AT56&gt;$C56,"* La variable "&amp;AT$10&amp;"no puede superar el Total Ambos Sexos. ",""))</f>
        <v/>
      </c>
      <c r="CH56" s="219">
        <f>IF(AND($C56&lt;&gt;0,AU56=""),"* No olvide ingresar la variable "&amp;AU$10&amp;". Digite Cero si no tiene. ",IF(AU56&gt;$C56,"* La variable "&amp;AU$10&amp;" no puede superar el Total Ambos Sexos. ",""))</f>
        <v/>
      </c>
      <c r="CI56" s="226" t="n"/>
      <c r="CJ56" s="221">
        <f>IF(AND($C56&lt;&gt;0,AN56=""),1,IF(AN56&gt;$C56,1,0))</f>
        <v/>
      </c>
      <c r="CK56" s="221">
        <f>IF(AND(E56&gt;0,OR(AO56="")),1,IF(AO56&gt;E56,1,0))</f>
        <v/>
      </c>
      <c r="CL56" s="221">
        <f>IF(AND(D56&gt;0,OR(AP56="")),1,IF(AP56&gt;D56,1,0))</f>
        <v/>
      </c>
      <c r="CM56" s="221">
        <f>IF(AND($C56&lt;&gt;0,AQ56=""),1,IF(AQ56&gt;$C56,1,0))</f>
        <v/>
      </c>
      <c r="CN56" s="221">
        <f>IF(AND($C56&lt;&gt;0,AR56=""),1,IF(AR56&gt;$C56,1,0))</f>
        <v/>
      </c>
      <c r="CO56" s="222" t="n"/>
      <c r="CP56" s="221">
        <f>IF(AND($C56&lt;&gt;0,AT56=""),1,IF(AT56&gt;$C56,1,0))</f>
        <v/>
      </c>
      <c r="CQ56" s="221">
        <f>IF(AND($C56&lt;&gt;0,AU56=""),1,IF(AU56&gt;$C56,1,0))</f>
        <v/>
      </c>
    </row>
    <row r="57">
      <c r="A57" s="10236" t="inlineStr">
        <is>
          <t>Salud sexual y reproductiva con o sin entrega de preservativos</t>
        </is>
      </c>
      <c r="B57" s="3271" t="inlineStr">
        <is>
          <t>Médico/a</t>
        </is>
      </c>
      <c r="C57" s="3094">
        <f>SUM(D57+E57)</f>
        <v/>
      </c>
      <c r="D57" s="3176">
        <f>SUM(J57+L57+N57+P57+R57+T57+V57+X57+Z57+AB57+AD57+AF57+AH57+AJ57+AL57)</f>
        <v/>
      </c>
      <c r="E57" s="3272">
        <f>SUM(K57+M57+O57+Q57+S57+U57+W57+Y57+AA57+AC57+AE57+AG57+AI57+AK57+AM57)</f>
        <v/>
      </c>
      <c r="F57" s="3154" t="n"/>
      <c r="G57" s="3287" t="n"/>
      <c r="H57" s="3154" t="n"/>
      <c r="I57" s="3287" t="n"/>
      <c r="J57" s="3123" t="n"/>
      <c r="K57" s="3126" t="n"/>
      <c r="L57" s="3123" t="n"/>
      <c r="M57" s="3126" t="n"/>
      <c r="N57" s="3123" t="n">
        <v>1</v>
      </c>
      <c r="O57" s="3126" t="n">
        <v>1</v>
      </c>
      <c r="P57" s="3123" t="n"/>
      <c r="Q57" s="3126" t="n">
        <v>1</v>
      </c>
      <c r="R57" s="3123" t="n"/>
      <c r="S57" s="3126" t="n"/>
      <c r="T57" s="3123" t="n"/>
      <c r="U57" s="3126" t="n"/>
      <c r="V57" s="3123" t="n"/>
      <c r="W57" s="3126" t="n"/>
      <c r="X57" s="3123" t="n">
        <v>1</v>
      </c>
      <c r="Y57" s="3126" t="n"/>
      <c r="Z57" s="3123" t="n"/>
      <c r="AA57" s="3126" t="n"/>
      <c r="AB57" s="3123" t="n"/>
      <c r="AC57" s="3126" t="n"/>
      <c r="AD57" s="3123" t="n"/>
      <c r="AE57" s="3126" t="n"/>
      <c r="AF57" s="3123" t="n"/>
      <c r="AG57" s="3126" t="n"/>
      <c r="AH57" s="3123" t="n"/>
      <c r="AI57" s="3126" t="n"/>
      <c r="AJ57" s="3123" t="n"/>
      <c r="AK57" s="3126" t="n"/>
      <c r="AL57" s="3274" t="n"/>
      <c r="AM57" s="3275" t="n"/>
      <c r="AN57" s="2687" t="n">
        <v>0</v>
      </c>
      <c r="AO57" s="3277" t="n">
        <v>0</v>
      </c>
      <c r="AP57" s="3273" t="n">
        <v>0</v>
      </c>
      <c r="AQ57" s="5434" t="n">
        <v>0</v>
      </c>
      <c r="AR57" s="5436" t="n">
        <v>0</v>
      </c>
      <c r="AS57" s="3274" t="n">
        <v>0</v>
      </c>
      <c r="AT57" s="5434" t="n">
        <v>0</v>
      </c>
      <c r="AU57" s="5436" t="n">
        <v>0</v>
      </c>
      <c r="AV57" s="218">
        <f>$CA57&amp;$CB57&amp;CC57&amp;CD57&amp;CE57&amp;CF57&amp;CG57&amp;CH57</f>
        <v/>
      </c>
      <c r="CA57" s="219">
        <f>IF(AND($C57&lt;&gt;0,AN57=""),"* No olvide ingresar la columna Espacios Amigables /adolescentes (Digite CERO si no tiene). ",IF(AN57&gt;$C57,"* El Número de Espacios Amigables no puede superar el Total. ",""))</f>
        <v/>
      </c>
      <c r="CB57" s="219">
        <f>IF(AND(E57&gt;0,OR(AO57="")),"No olvide digitar los campos *TRANS Masculino (Digite CERO si no tiene).",IF(AO57&gt;E57,"* El Número de TRANS Masculino no puede superar el Total Mujeres. ",""))</f>
        <v/>
      </c>
      <c r="CC57" s="219">
        <f>IF(AND(D57&gt;0,OR(AP57="")),"No olvide digitar los campos *TRANS Femenino (Digite CERO si no tiene).",IF(AP57&gt;$D57,"* El Número de TRANS Femenino no puede superar el Total Hombres. ",""))</f>
        <v/>
      </c>
      <c r="CD57" s="219">
        <f>IF(AND($C57&lt;&gt;0,AQ57=""),"* No olvide ingresar la columna Pueblos Originarios (Digite CERO si no tiene).  ",IF(AQ57&gt;$C57,"* El Número de Pueblos Originarios no puede superar el Total. ",""))</f>
        <v/>
      </c>
      <c r="CE57" s="219">
        <f>IF(AND($C57&lt;&gt;0,AR57=""),"* No olvide ingresar la columna Migrantes (Digite CERO si no tiene).  ",IF(AR57&gt;$C57,"* El Número de Migrantes no puede superar el Total. ",""))</f>
        <v/>
      </c>
      <c r="CF57" s="910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>
        <f>IF(AND($C57&lt;&gt;0,AT57=""),"* No olvide ingresar la variable "&amp;AT$10&amp;". Digite Cero si no tiene.",IF(AT57&gt;$C57,"* La variable "&amp;AT$10&amp;"no puede superar el Total Ambos Sexos. ",""))</f>
        <v/>
      </c>
      <c r="CH57" s="219">
        <f>IF(AND($C57&lt;&gt;0,AU57=""),"* No olvide ingresar la variable "&amp;AU$10&amp;". Digite Cero si no tiene. ",IF(AU57&gt;$C57,"* La variable "&amp;AU$10&amp;" no puede superar el Total Ambos Sexos. ",""))</f>
        <v/>
      </c>
      <c r="CI57" s="226" t="n"/>
      <c r="CJ57" s="221">
        <f>IF(AND($C57&lt;&gt;0,AN57=""),1,IF(AN57&gt;$C57,1,0))</f>
        <v/>
      </c>
      <c r="CK57" s="221">
        <f>IF(AND(E57&gt;0,OR(AO57="")),1,IF(AO57&gt;E57,1,0))</f>
        <v/>
      </c>
      <c r="CL57" s="221">
        <f>IF(AND(D57&gt;0,OR(AP57="")),1,IF(AP57&gt;D57,1,0))</f>
        <v/>
      </c>
      <c r="CM57" s="221">
        <f>IF(AND($C57&lt;&gt;0,AQ57=""),1,IF(AQ57&gt;$C57,1,0))</f>
        <v/>
      </c>
      <c r="CN57" s="221">
        <f>IF(AND($C57&lt;&gt;0,AR57=""),1,IF(AR57&gt;$C57,1,0))</f>
        <v/>
      </c>
      <c r="CO57" s="376">
        <f>IF(AND(SUM(J57:M57)&gt;0,AS57=""),1,IF(AS57&gt;SUM(J57:M57),1,0))</f>
        <v/>
      </c>
      <c r="CP57" s="221">
        <f>IF(AND($C57&lt;&gt;0,AT57=""),1,IF(AT57&gt;$C57,1,0))</f>
        <v/>
      </c>
      <c r="CQ57" s="221">
        <f>IF(AND($C57&lt;&gt;0,AU57=""),1,IF(AU57&gt;$C57,1,0))</f>
        <v/>
      </c>
    </row>
    <row r="58">
      <c r="A58" s="9588" t="n"/>
      <c r="B58" s="3279" t="inlineStr">
        <is>
          <t>Enfermera/o</t>
        </is>
      </c>
      <c r="C58" s="3103">
        <f>SUM(D58+E58)</f>
        <v/>
      </c>
      <c r="D58" s="3179">
        <f>SUM(J58+L58+N58+P58+R58+T58+V58+X58+Z58+AB58+AD58+AF58+AH58+AJ58+AL58)</f>
        <v/>
      </c>
      <c r="E58" s="3280">
        <f>SUM(K58+M58+O58+Q58+S58+U58+W58+Y58+AA58+AC58+AE58+AG58+AI58+AK58+AM58)</f>
        <v/>
      </c>
      <c r="F58" s="1459" t="n"/>
      <c r="G58" s="3288" t="n"/>
      <c r="H58" s="1459" t="n"/>
      <c r="I58" s="3288" t="n"/>
      <c r="J58" s="3108" t="n">
        <v>2</v>
      </c>
      <c r="K58" s="3101" t="n">
        <v>4</v>
      </c>
      <c r="L58" s="3108" t="n">
        <v>3</v>
      </c>
      <c r="M58" s="3101" t="n">
        <v>2</v>
      </c>
      <c r="N58" s="3108" t="n"/>
      <c r="O58" s="3101" t="n"/>
      <c r="P58" s="3108" t="n"/>
      <c r="Q58" s="3101" t="n"/>
      <c r="R58" s="3108" t="n"/>
      <c r="S58" s="3101" t="n"/>
      <c r="T58" s="3108" t="n"/>
      <c r="U58" s="3101" t="n"/>
      <c r="V58" s="3108" t="n"/>
      <c r="W58" s="3101" t="n"/>
      <c r="X58" s="3108" t="n"/>
      <c r="Y58" s="3101" t="n"/>
      <c r="Z58" s="3108" t="n"/>
      <c r="AA58" s="3101" t="n"/>
      <c r="AB58" s="3108" t="n"/>
      <c r="AC58" s="3101" t="n"/>
      <c r="AD58" s="3108" t="n"/>
      <c r="AE58" s="3101" t="n"/>
      <c r="AF58" s="3108" t="n"/>
      <c r="AG58" s="3101" t="n"/>
      <c r="AH58" s="3108" t="n"/>
      <c r="AI58" s="3101" t="n"/>
      <c r="AJ58" s="3108" t="n"/>
      <c r="AK58" s="3101" t="n"/>
      <c r="AL58" s="3281" t="n"/>
      <c r="AM58" s="880" t="n"/>
      <c r="AN58" s="3282" t="n">
        <v>0</v>
      </c>
      <c r="AO58" s="3100" t="n">
        <v>0</v>
      </c>
      <c r="AP58" s="1125" t="n">
        <v>0</v>
      </c>
      <c r="AQ58" s="3720" t="n">
        <v>0</v>
      </c>
      <c r="AR58" s="4008" t="n">
        <v>0</v>
      </c>
      <c r="AS58" s="3281" t="n">
        <v>5</v>
      </c>
      <c r="AT58" s="3720" t="n">
        <v>1</v>
      </c>
      <c r="AU58" s="4008" t="n">
        <v>0</v>
      </c>
      <c r="AV58" s="218">
        <f>$CA58&amp;$CB58&amp;CC58&amp;CD58&amp;CE58&amp;CF58&amp;CG58&amp;CH58</f>
        <v/>
      </c>
      <c r="CA58" s="219">
        <f>IF(AND($C58&lt;&gt;0,AN58=""),"* No olvide ingresar la columna Espacios Amigables /adolescentes (Digite CERO si no tiene). ",IF(AN58&gt;$C58,"* El Número de Espacios Amigables no puede superar el Total. ",""))</f>
        <v/>
      </c>
      <c r="CB58" s="219">
        <f>IF(AND(E58&gt;0,OR(AO58="")),"No olvide digitar los campos *TRANS Masculino (Digite CERO si no tiene).",IF(AO58&gt;E58,"* El Número de TRANS Masculino no puede superar el Total Mujeres. ",""))</f>
        <v/>
      </c>
      <c r="CC58" s="219">
        <f>IF(AND(D58&gt;0,OR(AP58="")),"No olvide digitar los campos *TRANS Femenino (Digite CERO si no tiene).",IF(AP58&gt;$D58,"* El Número de TRANS Femenino no puede superar el Total Hombres. ",""))</f>
        <v/>
      </c>
      <c r="CD58" s="219">
        <f>IF(AND($C58&lt;&gt;0,AQ58=""),"* No olvide ingresar la columna Pueblos Originarios (Digite CERO si no tiene).  ",IF(AQ58&gt;$C58,"* El Número de Pueblos Originarios no puede superar el Total. ",""))</f>
        <v/>
      </c>
      <c r="CE58" s="219">
        <f>IF(AND($C58&lt;&gt;0,AR58=""),"* No olvide ingresar la columna Migrantes (Digite CERO si no tiene).  ",IF(AR58&gt;$C58,"* El Número de Migrantes no puede superar el Total. ",""))</f>
        <v/>
      </c>
      <c r="CF58" s="910">
        <f>IF(AND(SUM(J58:M58)&gt;0,AS58=""),"* No olvide digitar la variable 14-18 años. Si no tiene digite Cero.",IF(AS58&gt;SUM(J58:M58),"* La variable 14-18 años no puede ser mayor al total por grupo edad de 10 a 19 años. ",""))</f>
        <v/>
      </c>
      <c r="CG58" s="219">
        <f>IF(AND($C58&lt;&gt;0,AT58=""),"* No olvide ingresar la variable "&amp;AT$10&amp;". Digite Cero si no tiene.",IF(AT58&gt;$C58,"* La variable "&amp;AT$10&amp;"no puede superar el Total Ambos Sexos. ",""))</f>
        <v/>
      </c>
      <c r="CH58" s="219">
        <f>IF(AND($C58&lt;&gt;0,AU58=""),"* No olvide ingresar la variable "&amp;AU$10&amp;". Digite Cero si no tiene. ",IF(AU58&gt;$C58,"* La variable "&amp;AU$10&amp;" no puede superar el Total Ambos Sexos. ",""))</f>
        <v/>
      </c>
      <c r="CI58" s="226" t="n"/>
      <c r="CJ58" s="221">
        <f>IF(AND($C58&lt;&gt;0,AN58=""),1,IF(AN58&gt;$C58,1,0))</f>
        <v/>
      </c>
      <c r="CK58" s="221">
        <f>IF(AND(E58&gt;0,OR(AO58="")),1,IF(AO58&gt;E58,1,0))</f>
        <v/>
      </c>
      <c r="CL58" s="221">
        <f>IF(AND(D58&gt;0,OR(AP58="")),1,IF(AP58&gt;D58,1,0))</f>
        <v/>
      </c>
      <c r="CM58" s="221">
        <f>IF(AND($C58&lt;&gt;0,AQ58=""),1,IF(AQ58&gt;$C58,1,0))</f>
        <v/>
      </c>
      <c r="CN58" s="221">
        <f>IF(AND($C58&lt;&gt;0,AR58=""),1,IF(AR58&gt;$C58,1,0))</f>
        <v/>
      </c>
      <c r="CO58" s="376">
        <f>IF(AND(SUM(J58:M58)&gt;0,AS58=""),1,IF(AS58&gt;SUM(J58:M58),1,0))</f>
        <v/>
      </c>
      <c r="CP58" s="221">
        <f>IF(AND($C58&lt;&gt;0,AT58=""),1,IF(AT58&gt;$C58,1,0))</f>
        <v/>
      </c>
      <c r="CQ58" s="221">
        <f>IF(AND($C58&lt;&gt;0,AU58=""),1,IF(AU58&gt;$C58,1,0))</f>
        <v/>
      </c>
    </row>
    <row r="59">
      <c r="A59" s="9588" t="n"/>
      <c r="B59" s="3279" t="inlineStr">
        <is>
          <t>Matrona/ón</t>
        </is>
      </c>
      <c r="C59" s="3103">
        <f>SUM(D59+E59)</f>
        <v/>
      </c>
      <c r="D59" s="3179">
        <f>SUM(J59+L59+N59+P59+R59+T59+V59+X59+Z59+AB59+AD59+AF59+AH59+AJ59+AL59)</f>
        <v/>
      </c>
      <c r="E59" s="3280">
        <f>SUM(K59+M59+O59+Q59+S59+U59+W59+Y59+AA59+AC59+AE59+AG59+AI59+AK59+AM59)</f>
        <v/>
      </c>
      <c r="F59" s="1459" t="n"/>
      <c r="G59" s="3288" t="n"/>
      <c r="H59" s="1459" t="n"/>
      <c r="I59" s="3288" t="n"/>
      <c r="J59" s="3108" t="n">
        <v>1</v>
      </c>
      <c r="K59" s="3101" t="n">
        <v>7</v>
      </c>
      <c r="L59" s="3108" t="n">
        <v>10</v>
      </c>
      <c r="M59" s="3101" t="n">
        <v>68</v>
      </c>
      <c r="N59" s="3108" t="n"/>
      <c r="O59" s="3101" t="n">
        <v>80</v>
      </c>
      <c r="P59" s="3108" t="n"/>
      <c r="Q59" s="3101" t="n">
        <v>112</v>
      </c>
      <c r="R59" s="3108" t="n"/>
      <c r="S59" s="3101" t="n">
        <v>93</v>
      </c>
      <c r="T59" s="3108" t="n"/>
      <c r="U59" s="3101" t="n">
        <v>79</v>
      </c>
      <c r="V59" s="3108" t="n"/>
      <c r="W59" s="3101" t="n">
        <v>56</v>
      </c>
      <c r="X59" s="3108" t="n"/>
      <c r="Y59" s="3101" t="n">
        <v>47</v>
      </c>
      <c r="Z59" s="3108" t="n"/>
      <c r="AA59" s="3101" t="n">
        <v>34</v>
      </c>
      <c r="AB59" s="3108" t="n"/>
      <c r="AC59" s="3101" t="n">
        <v>37</v>
      </c>
      <c r="AD59" s="3108" t="n">
        <v>1</v>
      </c>
      <c r="AE59" s="3101" t="n">
        <v>55</v>
      </c>
      <c r="AF59" s="3108" t="n"/>
      <c r="AG59" s="3101" t="n">
        <v>20</v>
      </c>
      <c r="AH59" s="3108" t="n"/>
      <c r="AI59" s="3101" t="n">
        <v>4</v>
      </c>
      <c r="AJ59" s="3108" t="n"/>
      <c r="AK59" s="3101" t="n">
        <v>5</v>
      </c>
      <c r="AL59" s="3281" t="n">
        <v>1</v>
      </c>
      <c r="AM59" s="880" t="n">
        <v>5</v>
      </c>
      <c r="AN59" s="3282" t="n">
        <v>0</v>
      </c>
      <c r="AO59" s="3100" t="n">
        <v>0</v>
      </c>
      <c r="AP59" s="1125" t="n">
        <v>0</v>
      </c>
      <c r="AQ59" s="3720" t="n">
        <v>23</v>
      </c>
      <c r="AR59" s="4008" t="n">
        <v>42</v>
      </c>
      <c r="AS59" s="3281" t="n">
        <v>48</v>
      </c>
      <c r="AT59" s="3720" t="n">
        <v>4</v>
      </c>
      <c r="AU59" s="4008" t="n">
        <v>6</v>
      </c>
      <c r="AV59" s="218">
        <f>$CA59&amp;$CB59&amp;CC59&amp;CD59&amp;CE59&amp;CF59&amp;CG59&amp;CH59</f>
        <v/>
      </c>
      <c r="CA59" s="219">
        <f>IF(AND($C59&lt;&gt;0,AN59=""),"* No olvide ingresar la columna Espacios Amigables /adolescentes (Digite CERO si no tiene). ",IF(AN59&gt;$C59,"* El Número de Espacios Amigables no puede superar el Total. ",""))</f>
        <v/>
      </c>
      <c r="CB59" s="219">
        <f>IF(AND(E59&gt;0,OR(AO59="")),"No olvide digitar los campos *TRANS Masculino (Digite CERO si no tiene).",IF(AO59&gt;E59,"* El Número de TRANS Masculino no puede superar el Total Mujeres. ",""))</f>
        <v/>
      </c>
      <c r="CC59" s="219">
        <f>IF(AND(D59&gt;0,OR(AP59="")),"No olvide digitar los campos *TRANS Femenino (Digite CERO si no tiene).",IF(AP59&gt;$D59,"* El Número de TRANS Femenino no puede superar el Total Hombres. ",""))</f>
        <v/>
      </c>
      <c r="CD59" s="219">
        <f>IF(AND($C59&lt;&gt;0,AQ59=""),"* No olvide ingresar la columna Pueblos Originarios (Digite CERO si no tiene).  ",IF(AQ59&gt;$C59,"* El Número de Pueblos Originarios no puede superar el Total. ",""))</f>
        <v/>
      </c>
      <c r="CE59" s="219">
        <f>IF(AND($C59&lt;&gt;0,AR59=""),"* No olvide ingresar la columna Migrantes (Digite CERO si no tiene).  ",IF(AR59&gt;$C59,"* El Número de Migrantes no puede superar el Total. ",""))</f>
        <v/>
      </c>
      <c r="CF59" s="910">
        <f>IF(AND(SUM(J59:M59)&gt;0,AS59=""),"* No olvide digitar la variable 14-18 años. Si no tiene digite Cero.",IF(AS59&gt;SUM(J59:M59),"* La variable 14-18 años no puede ser mayor al total por grupo edad de 10 a 19 años. ",""))</f>
        <v/>
      </c>
      <c r="CG59" s="219">
        <f>IF(AND($C59&lt;&gt;0,AT59=""),"* No olvide ingresar la variable "&amp;AT$10&amp;". Digite Cero si no tiene.",IF(AT59&gt;$C59,"* La variable "&amp;AT$10&amp;"no puede superar el Total Ambos Sexos. ",""))</f>
        <v/>
      </c>
      <c r="CH59" s="219">
        <f>IF(AND($C59&lt;&gt;0,AU59=""),"* No olvide ingresar la variable "&amp;AU$10&amp;". Digite Cero si no tiene. ",IF(AU59&gt;$C59,"* La variable "&amp;AU$10&amp;" no puede superar el Total Ambos Sexos. ",""))</f>
        <v/>
      </c>
      <c r="CI59" s="226" t="n"/>
      <c r="CJ59" s="221">
        <f>IF(AND($C59&lt;&gt;0,AN59=""),1,IF(AN59&gt;$C59,1,0))</f>
        <v/>
      </c>
      <c r="CK59" s="221">
        <f>IF(AND(E59&gt;0,OR(AO59="")),1,IF(AO59&gt;E59,1,0))</f>
        <v/>
      </c>
      <c r="CL59" s="221">
        <f>IF(AND(D59&gt;0,OR(AP59="")),1,IF(AP59&gt;D59,1,0))</f>
        <v/>
      </c>
      <c r="CM59" s="221">
        <f>IF(AND($C59&lt;&gt;0,AQ59=""),1,IF(AQ59&gt;$C59,1,0))</f>
        <v/>
      </c>
      <c r="CN59" s="221">
        <f>IF(AND($C59&lt;&gt;0,AR59=""),1,IF(AR59&gt;$C59,1,0))</f>
        <v/>
      </c>
      <c r="CO59" s="376">
        <f>IF(AND(SUM(J59:M59)&gt;0,AS59=""),1,IF(AS59&gt;SUM(J59:M59),1,0))</f>
        <v/>
      </c>
      <c r="CP59" s="221">
        <f>IF(AND($C59&lt;&gt;0,AT59=""),1,IF(AT59&gt;$C59,1,0))</f>
        <v/>
      </c>
      <c r="CQ59" s="221">
        <f>IF(AND($C59&lt;&gt;0,AU59=""),1,IF(AU59&gt;$C59,1,0))</f>
        <v/>
      </c>
    </row>
    <row r="60">
      <c r="A60" s="9588" t="n"/>
      <c r="B60" s="3279" t="inlineStr">
        <is>
          <t>Psicólogo/a</t>
        </is>
      </c>
      <c r="C60" s="3103">
        <f>SUM(D60+E60)</f>
        <v/>
      </c>
      <c r="D60" s="3179">
        <f>SUM(J60+L60+N60+P60+R60+T60+V60+X60+Z60+AB60+AD60+AF60+AH60+AJ60+AL60)</f>
        <v/>
      </c>
      <c r="E60" s="3280">
        <f>SUM(K60+M60+O60+Q60+S60+U60+W60+Y60+AA60+AC60+AE60+AG60+AI60+AK60+AM60)</f>
        <v/>
      </c>
      <c r="F60" s="1459" t="n"/>
      <c r="G60" s="3288" t="n"/>
      <c r="H60" s="1459" t="n"/>
      <c r="I60" s="3288" t="n"/>
      <c r="J60" s="3108" t="n"/>
      <c r="K60" s="3101" t="n">
        <v>1</v>
      </c>
      <c r="L60" s="3108" t="n"/>
      <c r="M60" s="3101" t="n"/>
      <c r="N60" s="3108" t="n"/>
      <c r="O60" s="3101" t="n"/>
      <c r="P60" s="3108" t="n"/>
      <c r="Q60" s="3101" t="n"/>
      <c r="R60" s="3108" t="n"/>
      <c r="S60" s="3101" t="n"/>
      <c r="T60" s="3108" t="n"/>
      <c r="U60" s="3101" t="n"/>
      <c r="V60" s="3108" t="n"/>
      <c r="W60" s="3101" t="n"/>
      <c r="X60" s="3108" t="n"/>
      <c r="Y60" s="3101" t="n"/>
      <c r="Z60" s="3108" t="n"/>
      <c r="AA60" s="3101" t="n"/>
      <c r="AB60" s="3108" t="n"/>
      <c r="AC60" s="3101" t="n"/>
      <c r="AD60" s="3108" t="n"/>
      <c r="AE60" s="3101" t="n"/>
      <c r="AF60" s="3108" t="n"/>
      <c r="AG60" s="3101" t="n"/>
      <c r="AH60" s="3108" t="n"/>
      <c r="AI60" s="3101" t="n"/>
      <c r="AJ60" s="3108" t="n"/>
      <c r="AK60" s="3101" t="n"/>
      <c r="AL60" s="3281" t="n"/>
      <c r="AM60" s="880" t="n"/>
      <c r="AN60" s="3282" t="n">
        <v>0</v>
      </c>
      <c r="AO60" s="3100" t="n">
        <v>0</v>
      </c>
      <c r="AP60" s="1125" t="n">
        <v>0</v>
      </c>
      <c r="AQ60" s="3720" t="n">
        <v>0</v>
      </c>
      <c r="AR60" s="4008" t="n">
        <v>0</v>
      </c>
      <c r="AS60" s="3281" t="n">
        <v>0</v>
      </c>
      <c r="AT60" s="3720" t="n">
        <v>0</v>
      </c>
      <c r="AU60" s="4008" t="n">
        <v>0</v>
      </c>
      <c r="AV60" s="218">
        <f>$CA60&amp;$CB60&amp;CC60&amp;CD60&amp;CE60&amp;CF60&amp;CG60&amp;CH60</f>
        <v/>
      </c>
      <c r="CA60" s="219">
        <f>IF(AND($C60&lt;&gt;0,AN60=""),"* No olvide ingresar la columna Espacios Amigables /adolescentes (Digite CERO si no tiene). ",IF(AN60&gt;$C60,"* El Número de Espacios Amigables no puede superar el Total. ",""))</f>
        <v/>
      </c>
      <c r="CB60" s="219">
        <f>IF(AND(E60&gt;0,OR(AO60="")),"No olvide digitar los campos *TRANS Masculino (Digite CERO si no tiene).",IF(AO60&gt;E60,"* El Número de TRANS Masculino no puede superar el Total Mujeres. ",""))</f>
        <v/>
      </c>
      <c r="CC60" s="219">
        <f>IF(AND(D60&gt;0,OR(AP60="")),"No olvide digitar los campos *TRANS Femenino (Digite CERO si no tiene).",IF(AP60&gt;$D60,"* El Número de TRANS Femenino no puede superar el Total Hombres. ",""))</f>
        <v/>
      </c>
      <c r="CD60" s="219">
        <f>IF(AND($C60&lt;&gt;0,AQ60=""),"* No olvide ingresar la columna Pueblos Originarios (Digite CERO si no tiene).  ",IF(AQ60&gt;$C60,"* El Número de Pueblos Originarios no puede superar el Total. ",""))</f>
        <v/>
      </c>
      <c r="CE60" s="219">
        <f>IF(AND($C60&lt;&gt;0,AR60=""),"* No olvide ingresar la columna Migrantes (Digite CERO si no tiene).  ",IF(AR60&gt;$C60,"* El Número de Migrantes no puede superar el Total. ",""))</f>
        <v/>
      </c>
      <c r="CF60" s="910">
        <f>IF(AND(SUM(J60:M60)&gt;0,AS60=""),"* No olvide digitar la variable 14-18 años. Si no tiene digite Cero.",IF(AS60&gt;SUM(J60:M60),"* La variable 14-18 años no puede ser mayor al total por grupo edad de 10 a 19 años. ",""))</f>
        <v/>
      </c>
      <c r="CG60" s="219">
        <f>IF(AND($C60&lt;&gt;0,AT60=""),"* No olvide ingresar la variable "&amp;AT$10&amp;". Digite Cero si no tiene.",IF(AT60&gt;$C60,"* La variable "&amp;AT$10&amp;"no puede superar el Total Ambos Sexos. ",""))</f>
        <v/>
      </c>
      <c r="CH60" s="219">
        <f>IF(AND($C60&lt;&gt;0,AU60=""),"* No olvide ingresar la variable "&amp;AU$10&amp;". Digite Cero si no tiene. ",IF(AU60&gt;$C60,"* La variable "&amp;AU$10&amp;" no puede superar el Total Ambos Sexos. ",""))</f>
        <v/>
      </c>
      <c r="CI60" s="226" t="n"/>
      <c r="CJ60" s="221">
        <f>IF(AND($C60&lt;&gt;0,AN60=""),1,IF(AN60&gt;$C60,1,0))</f>
        <v/>
      </c>
      <c r="CK60" s="221">
        <f>IF(AND(E60&gt;0,OR(AO60="")),1,IF(AO60&gt;E60,1,0))</f>
        <v/>
      </c>
      <c r="CL60" s="221">
        <f>IF(AND(D60&gt;0,OR(AP60="")),1,IF(AP60&gt;D60,1,0))</f>
        <v/>
      </c>
      <c r="CM60" s="221">
        <f>IF(AND($C60&lt;&gt;0,AQ60=""),1,IF(AQ60&gt;$C60,1,0))</f>
        <v/>
      </c>
      <c r="CN60" s="221">
        <f>IF(AND($C60&lt;&gt;0,AR60=""),1,IF(AR60&gt;$C60,1,0))</f>
        <v/>
      </c>
      <c r="CO60" s="376">
        <f>IF(AND(SUM(J60:M60)&gt;0,AS60=""),1,IF(AS60&gt;SUM(J60:M60),1,0))</f>
        <v/>
      </c>
      <c r="CP60" s="221">
        <f>IF(AND($C60&lt;&gt;0,AT60=""),1,IF(AT60&gt;$C60,1,0))</f>
        <v/>
      </c>
      <c r="CQ60" s="221">
        <f>IF(AND($C60&lt;&gt;0,AU60=""),1,IF(AU60&gt;$C60,1,0))</f>
        <v/>
      </c>
    </row>
    <row r="61">
      <c r="A61" s="9588" t="n"/>
      <c r="B61" s="3178" t="inlineStr">
        <is>
          <t>Facilitador/a intercultural</t>
        </is>
      </c>
      <c r="C61" s="640">
        <f>SUM(D61+E61)</f>
        <v/>
      </c>
      <c r="D61" s="3179">
        <f>SUM(J61+L61+N61+P61+R61+T61+V61+X61+Z61+AB61+AD61+AF61+AH61+AJ61+AL61)</f>
        <v/>
      </c>
      <c r="E61" s="400">
        <f>SUM(K61+M61+O61+Q61+S61+U61+W61+Y61+AA61+AC61+AE61+AG61+AI61+AK61+AM61)</f>
        <v/>
      </c>
      <c r="F61" s="1459" t="n"/>
      <c r="G61" s="3288" t="n"/>
      <c r="H61" s="1459" t="n"/>
      <c r="I61" s="3288" t="n"/>
      <c r="J61" s="1198" t="n"/>
      <c r="K61" s="1199" t="n"/>
      <c r="L61" s="1198" t="n"/>
      <c r="M61" s="1199" t="n"/>
      <c r="N61" s="1198" t="n"/>
      <c r="O61" s="1199" t="n"/>
      <c r="P61" s="1198" t="n"/>
      <c r="Q61" s="1199" t="n"/>
      <c r="R61" s="1198" t="n"/>
      <c r="S61" s="1199" t="n"/>
      <c r="T61" s="1198" t="n"/>
      <c r="U61" s="1199" t="n"/>
      <c r="V61" s="1198" t="n"/>
      <c r="W61" s="1199" t="n"/>
      <c r="X61" s="1198" t="n"/>
      <c r="Y61" s="1199" t="n"/>
      <c r="Z61" s="1198" t="n"/>
      <c r="AA61" s="1199" t="n"/>
      <c r="AB61" s="1198" t="n"/>
      <c r="AC61" s="1199" t="n"/>
      <c r="AD61" s="1198" t="n"/>
      <c r="AE61" s="1199" t="n"/>
      <c r="AF61" s="1198" t="n"/>
      <c r="AG61" s="1199" t="n"/>
      <c r="AH61" s="1198" t="n"/>
      <c r="AI61" s="1199" t="n"/>
      <c r="AJ61" s="1198" t="n"/>
      <c r="AK61" s="1199" t="n"/>
      <c r="AL61" s="1301" t="n"/>
      <c r="AM61" s="1414" t="n"/>
      <c r="AN61" s="3282" t="n"/>
      <c r="AO61" s="1200" t="n"/>
      <c r="AP61" s="1148" t="n"/>
      <c r="AQ61" s="1301" t="n"/>
      <c r="AR61" s="1418" t="n"/>
      <c r="AS61" s="1301" t="n"/>
      <c r="AT61" s="1301" t="n"/>
      <c r="AU61" s="1418" t="n"/>
      <c r="AV61" s="218">
        <f>$CA61&amp;$CB61&amp;CC61&amp;CD61&amp;CE61&amp;CF61&amp;CG61&amp;CH61</f>
        <v/>
      </c>
      <c r="CA61" s="219">
        <f>IF(AND($C61&lt;&gt;0,AN61=""),"* No olvide ingresar la columna Espacios Amigables /adolescentes (Digite CERO si no tiene). ",IF(AN61&gt;$C61,"* El Número de Espacios Amigables no puede superar el Total. ",""))</f>
        <v/>
      </c>
      <c r="CB61" s="219">
        <f>IF(AND(E61&gt;0,OR(AO61="")),"No olvide digitar los campos *TRANS Masculino (Digite CERO si no tiene).",IF(AO61&gt;E61,"* El Número de TRANS Masculino no puede superar el Total Mujeres. ",""))</f>
        <v/>
      </c>
      <c r="CC61" s="219">
        <f>IF(AND(D61&gt;0,OR(AP61="")),"No olvide digitar los campos *TRANS Femenino (Digite CERO si no tiene).",IF(AP61&gt;$D61,"* El Número de TRANS Femenino no puede superar el Total Hombres. ",""))</f>
        <v/>
      </c>
      <c r="CD61" s="219">
        <f>IF(AND($C61&lt;&gt;0,AQ61=""),"* No olvide ingresar la columna Pueblos Originarios (Digite CERO si no tiene).  ",IF(AQ61&gt;$C61,"* El Número de Pueblos Originarios no puede superar el Total. ",""))</f>
        <v/>
      </c>
      <c r="CE61" s="219">
        <f>IF(AND($C61&lt;&gt;0,AR61=""),"* No olvide ingresar la columna Migrantes (Digite CERO si no tiene).  ",IF(AR61&gt;$C61,"* El Número de Migrantes no puede superar el Total. ",""))</f>
        <v/>
      </c>
      <c r="CF61" s="910">
        <f>IF(AND(SUM(J61:M61)&gt;0,AS61=""),"* No olvide digitar la variable 14-18 años. Si no tiene digite Cero.",IF(AS61&gt;SUM(J61:M61),"* La variable 14-18 años no puede ser mayor al total por grupo edad de 10 a 19 años. ",""))</f>
        <v/>
      </c>
      <c r="CG61" s="219">
        <f>IF(AND($C61&lt;&gt;0,AT61=""),"* No olvide ingresar la variable "&amp;AT$10&amp;". Digite Cero si no tiene.",IF(AT61&gt;$C61,"* La variable "&amp;AT$10&amp;"no puede superar el Total Ambos Sexos. ",""))</f>
        <v/>
      </c>
      <c r="CH61" s="219">
        <f>IF(AND($C61&lt;&gt;0,AU61=""),"* No olvide ingresar la variable "&amp;AU$10&amp;". Digite Cero si no tiene. ",IF(AU61&gt;$C61,"* La variable "&amp;AU$10&amp;" no puede superar el Total Ambos Sexos. ",""))</f>
        <v/>
      </c>
      <c r="CI61" s="226" t="n"/>
      <c r="CJ61" s="221">
        <f>IF(AND($C61&lt;&gt;0,AN61=""),1,IF(AN61&gt;$C61,1,0))</f>
        <v/>
      </c>
      <c r="CK61" s="221">
        <f>IF(AND(E61&gt;0,OR(AO61="")),1,IF(AO61&gt;E61,1,0))</f>
        <v/>
      </c>
      <c r="CL61" s="221">
        <f>IF(AND(D61&gt;0,OR(AP61="")),1,IF(AP61&gt;D61,1,0))</f>
        <v/>
      </c>
      <c r="CM61" s="221">
        <f>IF(AND($C61&lt;&gt;0,AQ61=""),1,IF(AQ61&gt;$C61,1,0))</f>
        <v/>
      </c>
      <c r="CN61" s="221">
        <f>IF(AND($C61&lt;&gt;0,AR61=""),1,IF(AR61&gt;$C61,1,0))</f>
        <v/>
      </c>
      <c r="CO61" s="376">
        <f>IF(AND(SUM(J61:M61)&gt;0,AS61=""),1,IF(AS61&gt;SUM(J61:M61),1,0))</f>
        <v/>
      </c>
      <c r="CP61" s="221">
        <f>IF(AND($C61&lt;&gt;0,AT61=""),1,IF(AT61&gt;$C61,1,0))</f>
        <v/>
      </c>
      <c r="CQ61" s="221">
        <f>IF(AND($C61&lt;&gt;0,AU61=""),1,IF(AU61&gt;$C61,1,0))</f>
        <v/>
      </c>
    </row>
    <row r="62">
      <c r="A62" s="9589" t="n"/>
      <c r="B62" s="7763" t="inlineStr">
        <is>
          <t>Otro profesional</t>
        </is>
      </c>
      <c r="C62" s="1176">
        <f>SUM(D62+E62)</f>
        <v/>
      </c>
      <c r="D62" s="1177">
        <f>SUM(J62+L62+N62+P62+R62+T62+V62+X62+Z62+AB62+AD62+AF62+AH62+AJ62+AL62)</f>
        <v/>
      </c>
      <c r="E62" s="3285">
        <f>SUM(K62+M62+O62+Q62+S62+U62+W62+Y62+AA62+AC62+AE62+AG62+AI62+AK62+AM62)</f>
        <v/>
      </c>
      <c r="F62" s="1154" t="n"/>
      <c r="G62" s="1467" t="n"/>
      <c r="H62" s="1154" t="n"/>
      <c r="I62" s="1467" t="n"/>
      <c r="J62" s="1137" t="n"/>
      <c r="K62" s="1139" t="n"/>
      <c r="L62" s="1137" t="n"/>
      <c r="M62" s="1139" t="n"/>
      <c r="N62" s="1137" t="n"/>
      <c r="O62" s="1139" t="n"/>
      <c r="P62" s="1137" t="n"/>
      <c r="Q62" s="1139" t="n"/>
      <c r="R62" s="1137" t="n"/>
      <c r="S62" s="1139" t="n"/>
      <c r="T62" s="1137" t="n"/>
      <c r="U62" s="1139" t="n"/>
      <c r="V62" s="1137" t="n"/>
      <c r="W62" s="1139" t="n"/>
      <c r="X62" s="1137" t="n"/>
      <c r="Y62" s="1139" t="n"/>
      <c r="Z62" s="1137" t="n"/>
      <c r="AA62" s="1139" t="n"/>
      <c r="AB62" s="1137" t="n"/>
      <c r="AC62" s="1139" t="n"/>
      <c r="AD62" s="1137" t="n"/>
      <c r="AE62" s="1139" t="n"/>
      <c r="AF62" s="1137" t="n"/>
      <c r="AG62" s="1139" t="n"/>
      <c r="AH62" s="1137" t="n"/>
      <c r="AI62" s="1139" t="n"/>
      <c r="AJ62" s="1137" t="n"/>
      <c r="AK62" s="1139" t="n"/>
      <c r="AL62" s="1151" t="n"/>
      <c r="AM62" s="1143" t="n"/>
      <c r="AN62" s="1208" t="n"/>
      <c r="AO62" s="1140" t="n"/>
      <c r="AP62" s="1138" t="n"/>
      <c r="AQ62" s="1151" t="n"/>
      <c r="AR62" s="1299" t="n"/>
      <c r="AS62" s="1151" t="n"/>
      <c r="AT62" s="1151" t="n"/>
      <c r="AU62" s="1299" t="n"/>
      <c r="AV62" s="218">
        <f>$CA62&amp;$CB62&amp;CC62&amp;CD62&amp;CE62&amp;CF62&amp;CG62&amp;CH62</f>
        <v/>
      </c>
      <c r="CA62" s="219">
        <f>IF(AND($C62&lt;&gt;0,AN62=""),"* No olvide ingresar la columna Espacios Amigables /adolescentes (Digite CERO si no tiene). ",IF(AN62&gt;$C62,"* El Número de Espacios Amigables no puede superar el Total. ",""))</f>
        <v/>
      </c>
      <c r="CB62" s="219">
        <f>IF(AND(E62&gt;0,OR(AO62="")),"No olvide digitar los campos *TRANS Masculino (Digite CERO si no tiene).",IF(AO62&gt;E62,"* El Número de TRANS Masculino no puede superar el Total Mujeres. ",""))</f>
        <v/>
      </c>
      <c r="CC62" s="219">
        <f>IF(AND(D62&gt;0,OR(AP62="")),"No olvide digitar los campos *TRANS Femenino (Digite CERO si no tiene).",IF(AP62&gt;$D62,"* El Número de TRANS Femenino no puede superar el Total Hombres. ",""))</f>
        <v/>
      </c>
      <c r="CD62" s="219">
        <f>IF(AND($C62&lt;&gt;0,AQ62=""),"* No olvide ingresar la columna Pueblos Originarios (Digite CERO si no tiene).  ",IF(AQ62&gt;$C62,"* El Número de Pueblos Originarios no puede superar el Total. ",""))</f>
        <v/>
      </c>
      <c r="CE62" s="219">
        <f>IF(AND($C62&lt;&gt;0,AR62=""),"* No olvide ingresar la columna Migrantes (Digite CERO si no tiene).  ",IF(AR62&gt;$C62,"* El Número de Migrantes no puede superar el Total. ",""))</f>
        <v/>
      </c>
      <c r="CF62" s="910">
        <f>IF(AND(SUM(J62:M62)&gt;0,AS62=""),"* No olvide digitar la variable 14-18 años. Si no tiene digite Cero.",IF(AS62&gt;SUM(J62:M62),"* La variable 14-18 años no puede ser mayor al total por grupo edad de 10 a 19 años. ",""))</f>
        <v/>
      </c>
      <c r="CG62" s="219">
        <f>IF(AND($C62&lt;&gt;0,AT62=""),"* No olvide ingresar la variable "&amp;AT$10&amp;". Digite Cero si no tiene.",IF(AT62&gt;$C62,"* La variable "&amp;AT$10&amp;"no puede superar el Total Ambos Sexos. ",""))</f>
        <v/>
      </c>
      <c r="CH62" s="219">
        <f>IF(AND($C62&lt;&gt;0,AU62=""),"* No olvide ingresar la variable "&amp;AU$10&amp;". Digite Cero si no tiene. ",IF(AU62&gt;$C62,"* La variable "&amp;AU$10&amp;" no puede superar el Total Ambos Sexos. ",""))</f>
        <v/>
      </c>
      <c r="CI62" s="226" t="n"/>
      <c r="CJ62" s="221">
        <f>IF(AND($C62&lt;&gt;0,AN62=""),1,IF(AN62&gt;$C62,1,0))</f>
        <v/>
      </c>
      <c r="CK62" s="221">
        <f>IF(AND(E62&gt;0,OR(AO62="")),1,IF(AO62&gt;E62,1,0))</f>
        <v/>
      </c>
      <c r="CL62" s="221">
        <f>IF(AND(D62&gt;0,OR(AP62="")),1,IF(AP62&gt;D62,1,0))</f>
        <v/>
      </c>
      <c r="CM62" s="221">
        <f>IF(AND($C62&lt;&gt;0,AQ62=""),1,IF(AQ62&gt;$C62,1,0))</f>
        <v/>
      </c>
      <c r="CN62" s="221">
        <f>IF(AND($C62&lt;&gt;0,AR62=""),1,IF(AR62&gt;$C62,1,0))</f>
        <v/>
      </c>
      <c r="CO62" s="376">
        <f>IF(AND(SUM(J62:M62)&gt;0,AS62=""),1,IF(AS62&gt;SUM(J62:M62),1,0))</f>
        <v/>
      </c>
      <c r="CP62" s="221">
        <f>IF(AND($C62&lt;&gt;0,AT62=""),1,IF(AT62&gt;$C62,1,0))</f>
        <v/>
      </c>
      <c r="CQ62" s="221">
        <f>IF(AND($C62&lt;&gt;0,AU62=""),1,IF(AU62&gt;$C62,1,0))</f>
        <v/>
      </c>
    </row>
    <row r="63">
      <c r="A63" s="10236" t="inlineStr">
        <is>
          <t>Regulación de fertilidad con o sin entrega de preservativos</t>
        </is>
      </c>
      <c r="B63" s="3271" t="inlineStr">
        <is>
          <t>Médico/a</t>
        </is>
      </c>
      <c r="C63" s="3094">
        <f>SUM(D63+E63)</f>
        <v/>
      </c>
      <c r="D63" s="3176">
        <f>SUM(J63+L63+N63+P63+R63+T63+V63+X63+Z63+AB63)</f>
        <v/>
      </c>
      <c r="E63" s="3272">
        <f>SUM(K63+M63+O63+Q63+S63+U63+W63+Y63+AA63+AC63)</f>
        <v/>
      </c>
      <c r="F63" s="3154" t="n"/>
      <c r="G63" s="3287" t="n"/>
      <c r="H63" s="3154" t="n"/>
      <c r="I63" s="3287" t="n"/>
      <c r="J63" s="3123" t="n"/>
      <c r="K63" s="3126" t="n"/>
      <c r="L63" s="3123" t="n"/>
      <c r="M63" s="3126" t="n"/>
      <c r="N63" s="3123" t="n"/>
      <c r="O63" s="3126" t="n"/>
      <c r="P63" s="3123" t="n"/>
      <c r="Q63" s="3126" t="n"/>
      <c r="R63" s="3123" t="n"/>
      <c r="S63" s="3126" t="n"/>
      <c r="T63" s="3123" t="n"/>
      <c r="U63" s="3126" t="n"/>
      <c r="V63" s="3123" t="n"/>
      <c r="W63" s="3126" t="n"/>
      <c r="X63" s="3123" t="n"/>
      <c r="Y63" s="3126" t="n"/>
      <c r="Z63" s="3123" t="n"/>
      <c r="AA63" s="3126" t="n"/>
      <c r="AB63" s="3108" t="n"/>
      <c r="AC63" s="3101" t="n"/>
      <c r="AD63" s="3109" t="n"/>
      <c r="AE63" s="3113" t="n"/>
      <c r="AF63" s="3143" t="n"/>
      <c r="AG63" s="2574" t="n"/>
      <c r="AH63" s="3143" t="n"/>
      <c r="AI63" s="2574" t="n"/>
      <c r="AJ63" s="3143" t="n"/>
      <c r="AK63" s="2574" t="n"/>
      <c r="AL63" s="3293" t="n"/>
      <c r="AM63" s="1462" t="n"/>
      <c r="AN63" s="2687" t="n"/>
      <c r="AO63" s="3158" t="n"/>
      <c r="AP63" s="3130" t="n"/>
      <c r="AQ63" s="3705" t="n"/>
      <c r="AR63" s="5286" t="n"/>
      <c r="AS63" s="3294" t="n"/>
      <c r="AT63" s="3705" t="n"/>
      <c r="AU63" s="5286" t="n"/>
      <c r="AV63" s="218">
        <f>$CA63&amp;$CB63&amp;CC63&amp;CD63&amp;CE63&amp;CF63&amp;CG63&amp;CH63</f>
        <v/>
      </c>
      <c r="CA63" s="219">
        <f>IF(AND($C63&lt;&gt;0,AN63=""),"* No olvide ingresar la columna Espacios Amigables /adolescentes (Digite CERO si no tiene). ",IF(AN63&gt;$C63,"* El Número de Espacios Amigables no puede superar el Total. ",""))</f>
        <v/>
      </c>
      <c r="CB63" s="219">
        <f>IF(AND(E63&gt;0,OR(AO63="")),"No olvide digitar los campos *TRANS Masculino (Digite CERO si no tiene).",IF(AO63&gt;E63,"* El Número de TRANS Masculino no puede superar el Total Mujeres. ",""))</f>
        <v/>
      </c>
      <c r="CC63" s="219">
        <f>IF(AND(D63&gt;0,OR(AP63="")),"No olvide digitar los campos *TRANS Femenino (Digite CERO si no tiene).",IF(AP63&gt;$D63,"* El Número de TRANS Femenino no puede superar el Total Hombres. ",""))</f>
        <v/>
      </c>
      <c r="CD63" s="219">
        <f>IF(AND($C63&lt;&gt;0,AQ63=""),"* No olvide ingresar la columna Pueblos Originarios (Digite CERO si no tiene).  ",IF(AQ63&gt;$C63,"* El Número de Pueblos Originarios no puede superar el Total. ",""))</f>
        <v/>
      </c>
      <c r="CE63" s="219">
        <f>IF(AND($C63&lt;&gt;0,AR63=""),"* No olvide ingresar la columna Migrantes (Digite CERO si no tiene).  ",IF(AR63&gt;$C63,"* El Número de Migrantes no puede superar el Total. ",""))</f>
        <v/>
      </c>
      <c r="CF63" s="910">
        <f>IF(AND(SUM(J63:M63)&gt;0,AS63=""),"* No olvide digitar la variable 14-18 años. Si no tiene digite Cero.",IF(AS63&gt;SUM(J63:M63),"* La variable 14-18 años no puede ser mayor al total por grupo edad de 10 a 19 años. ",""))</f>
        <v/>
      </c>
      <c r="CG63" s="219">
        <f>IF(AND($C63&lt;&gt;0,AT63=""),"* No olvide ingresar la variable "&amp;AT$10&amp;". Digite Cero si no tiene.",IF(AT63&gt;$C63,"* La variable "&amp;AT$10&amp;"no puede superar el Total Ambos Sexos. ",""))</f>
        <v/>
      </c>
      <c r="CH63" s="219">
        <f>IF(AND($C63&lt;&gt;0,AU63=""),"* No olvide ingresar la variable "&amp;AU$10&amp;". Digite Cero si no tiene. ",IF(AU63&gt;$C63,"* La variable "&amp;AU$10&amp;" no puede superar el Total Ambos Sexos. ",""))</f>
        <v/>
      </c>
      <c r="CI63" s="226" t="n"/>
      <c r="CJ63" s="221">
        <f>IF(AND($C63&lt;&gt;0,AN63=""),1,IF(AN63&gt;$C63,1,0))</f>
        <v/>
      </c>
      <c r="CK63" s="221">
        <f>IF(AND(E63&gt;0,OR(AO63="")),1,IF(AO63&gt;E63,1,0))</f>
        <v/>
      </c>
      <c r="CL63" s="221">
        <f>IF(AND(D63&gt;0,OR(AP63="")),1,IF(AP63&gt;D63,1,0))</f>
        <v/>
      </c>
      <c r="CM63" s="221">
        <f>IF(AND($C63&lt;&gt;0,AQ63=""),1,IF(AQ63&gt;$C63,1,0))</f>
        <v/>
      </c>
      <c r="CN63" s="221">
        <f>IF(AND($C63&lt;&gt;0,AR63=""),1,IF(AR63&gt;$C63,1,0))</f>
        <v/>
      </c>
      <c r="CO63" s="376">
        <f>IF(AND(SUM(J63:M63)&gt;0,AS63=""),1,IF(AS63&gt;SUM(J63:M63),1,0))</f>
        <v/>
      </c>
      <c r="CP63" s="221">
        <f>IF(AND($C63&lt;&gt;0,AT63=""),1,IF(AT63&gt;$C63,1,0))</f>
        <v/>
      </c>
      <c r="CQ63" s="221">
        <f>IF(AND($C63&lt;&gt;0,AU63=""),1,IF(AU63&gt;$C63,1,0))</f>
        <v/>
      </c>
    </row>
    <row r="64">
      <c r="A64" s="9588" t="n"/>
      <c r="B64" s="3279" t="inlineStr">
        <is>
          <t>Matrona/ón</t>
        </is>
      </c>
      <c r="C64" s="3103">
        <f>SUM(D64+E64)</f>
        <v/>
      </c>
      <c r="D64" s="3179">
        <f>SUM(J64+L64+N64+P64+R64+T64+V64+X64+Z64+AB64)</f>
        <v/>
      </c>
      <c r="E64" s="3280">
        <f>SUM(K64+M64+O64+Q64+S64+U64+W64+Y64+AA64+AC64)</f>
        <v/>
      </c>
      <c r="F64" s="1459" t="n"/>
      <c r="G64" s="3288" t="n"/>
      <c r="H64" s="1459" t="n"/>
      <c r="I64" s="3288" t="n"/>
      <c r="J64" s="3108" t="n"/>
      <c r="K64" s="3101" t="n">
        <v>5</v>
      </c>
      <c r="L64" s="3108" t="n">
        <v>4</v>
      </c>
      <c r="M64" s="3101" t="n">
        <v>39</v>
      </c>
      <c r="N64" s="3108" t="n"/>
      <c r="O64" s="3101" t="n">
        <v>44</v>
      </c>
      <c r="P64" s="3108" t="n"/>
      <c r="Q64" s="3101" t="n">
        <v>45</v>
      </c>
      <c r="R64" s="3108" t="n"/>
      <c r="S64" s="3101" t="n">
        <v>31</v>
      </c>
      <c r="T64" s="3108" t="n"/>
      <c r="U64" s="3101" t="n">
        <v>30</v>
      </c>
      <c r="V64" s="3108" t="n"/>
      <c r="W64" s="3101" t="n">
        <v>21</v>
      </c>
      <c r="X64" s="3108" t="n"/>
      <c r="Y64" s="3101" t="n">
        <v>16</v>
      </c>
      <c r="Z64" s="3108" t="n"/>
      <c r="AA64" s="3101" t="n">
        <v>7</v>
      </c>
      <c r="AB64" s="3108" t="n"/>
      <c r="AC64" s="3101" t="n">
        <v>1</v>
      </c>
      <c r="AD64" s="3109" t="n"/>
      <c r="AE64" s="3113" t="n"/>
      <c r="AF64" s="3104" t="n"/>
      <c r="AG64" s="3106" t="n"/>
      <c r="AH64" s="3104" t="n"/>
      <c r="AI64" s="3106" t="n"/>
      <c r="AJ64" s="3104" t="n"/>
      <c r="AK64" s="3106" t="n"/>
      <c r="AL64" s="3295" t="n"/>
      <c r="AM64" s="884" t="n"/>
      <c r="AN64" s="3282" t="n">
        <v>0</v>
      </c>
      <c r="AO64" s="3100" t="n">
        <v>0</v>
      </c>
      <c r="AP64" s="1125" t="n">
        <v>0</v>
      </c>
      <c r="AQ64" s="3720" t="n">
        <v>10</v>
      </c>
      <c r="AR64" s="4008" t="n">
        <v>11</v>
      </c>
      <c r="AS64" s="3281" t="n">
        <v>31</v>
      </c>
      <c r="AT64" s="3720" t="n">
        <v>2</v>
      </c>
      <c r="AU64" s="4008" t="n">
        <v>6</v>
      </c>
      <c r="AV64" s="218">
        <f>$CA64&amp;$CB64&amp;CC64&amp;CD64&amp;CE64&amp;CF64&amp;CG64&amp;CH64</f>
        <v/>
      </c>
      <c r="CA64" s="219">
        <f>IF(AND($C64&lt;&gt;0,AN64=""),"* No olvide ingresar la columna Espacios Amigables /adolescentes (Digite CERO si no tiene). ",IF(AN64&gt;$C64,"* El Número de Espacios Amigables no puede superar el Total. ",""))</f>
        <v/>
      </c>
      <c r="CB64" s="219">
        <f>IF(AND(E64&gt;0,OR(AO64="")),"No olvide digitar los campos *TRANS Masculino (Digite CERO si no tiene).",IF(AO64&gt;E64,"* El Número de TRANS Masculino no puede superar el Total Mujeres. ",""))</f>
        <v/>
      </c>
      <c r="CC64" s="219">
        <f>IF(AND(D64&gt;0,OR(AP64="")),"No olvide digitar los campos *TRANS Femenino (Digite CERO si no tiene).",IF(AP64&gt;$D64,"* El Número de TRANS Femenino no puede superar el Total Hombres. ",""))</f>
        <v/>
      </c>
      <c r="CD64" s="219">
        <f>IF(AND($C64&lt;&gt;0,AQ64=""),"* No olvide ingresar la columna Pueblos Originarios (Digite CERO si no tiene).  ",IF(AQ64&gt;$C64,"* El Número de Pueblos Originarios no puede superar el Total. ",""))</f>
        <v/>
      </c>
      <c r="CE64" s="219">
        <f>IF(AND($C64&lt;&gt;0,AR64=""),"* No olvide ingresar la columna Migrantes (Digite CERO si no tiene).  ",IF(AR64&gt;$C64,"* El Número de Migrantes no puede superar el Total. ",""))</f>
        <v/>
      </c>
      <c r="CF64" s="910">
        <f>IF(AND(SUM(J64:M64)&gt;0,AS64=""),"* No olvide digitar la variable 14-18 años. Si no tiene digite Cero.",IF(AS64&gt;SUM(J64:M64),"* La variable 14-18 años no puede ser mayor al total por grupo edad de 10 a 19 años. ",""))</f>
        <v/>
      </c>
      <c r="CG64" s="219">
        <f>IF(AND($C64&lt;&gt;0,AT64=""),"* No olvide ingresar la variable "&amp;AT$10&amp;". Digite Cero si no tiene.",IF(AT64&gt;$C64,"* La variable "&amp;AT$10&amp;"no puede superar el Total Ambos Sexos. ",""))</f>
        <v/>
      </c>
      <c r="CH64" s="219">
        <f>IF(AND($C64&lt;&gt;0,AU64=""),"* No olvide ingresar la variable "&amp;AU$10&amp;". Digite Cero si no tiene. ",IF(AU64&gt;$C64,"* La variable "&amp;AU$10&amp;" no puede superar el Total Ambos Sexos. ",""))</f>
        <v/>
      </c>
      <c r="CI64" s="226" t="n"/>
      <c r="CJ64" s="221">
        <f>IF(AND($C64&lt;&gt;0,AN64=""),1,IF(AN64&gt;$C64,1,0))</f>
        <v/>
      </c>
      <c r="CK64" s="221">
        <f>IF(AND(E64&gt;0,OR(AO64="")),1,IF(AO64&gt;E64,1,0))</f>
        <v/>
      </c>
      <c r="CL64" s="221">
        <f>IF(AND(D64&gt;0,OR(AP64="")),1,IF(AP64&gt;D64,1,0))</f>
        <v/>
      </c>
      <c r="CM64" s="221">
        <f>IF(AND($C64&lt;&gt;0,AQ64=""),1,IF(AQ64&gt;$C64,1,0))</f>
        <v/>
      </c>
      <c r="CN64" s="221">
        <f>IF(AND($C64&lt;&gt;0,AR64=""),1,IF(AR64&gt;$C64,1,0))</f>
        <v/>
      </c>
      <c r="CO64" s="376">
        <f>IF(AND(SUM(J64:M64)&gt;0,AS64=""),1,IF(AS64&gt;SUM(J64:M64),1,0))</f>
        <v/>
      </c>
      <c r="CP64" s="221">
        <f>IF(AND($C64&lt;&gt;0,AT64=""),1,IF(AT64&gt;$C64,1,0))</f>
        <v/>
      </c>
      <c r="CQ64" s="221">
        <f>IF(AND($C64&lt;&gt;0,AU64=""),1,IF(AU64&gt;$C64,1,0))</f>
        <v/>
      </c>
    </row>
    <row r="65">
      <c r="A65" s="9588" t="n"/>
      <c r="B65" s="8347" t="inlineStr">
        <is>
          <t>Facilitador/a intercultural</t>
        </is>
      </c>
      <c r="C65" s="3103">
        <f>SUM(D65+E65)</f>
        <v/>
      </c>
      <c r="D65" s="3179">
        <f>SUM(J65+L65+N65+P65+R65+T65+V65+X65+Z65+AB65)</f>
        <v/>
      </c>
      <c r="E65" s="400">
        <f>SUM(K65+M65+O65+Q65+S65+U65+W65+Y65+AA65+AC65)</f>
        <v/>
      </c>
      <c r="F65" s="1459" t="n"/>
      <c r="G65" s="3288" t="n"/>
      <c r="H65" s="1459" t="n"/>
      <c r="I65" s="3288" t="n"/>
      <c r="J65" s="1198" t="n"/>
      <c r="K65" s="1199" t="n"/>
      <c r="L65" s="1198" t="n"/>
      <c r="M65" s="1199" t="n"/>
      <c r="N65" s="1198" t="n"/>
      <c r="O65" s="1199" t="n"/>
      <c r="P65" s="1198" t="n"/>
      <c r="Q65" s="1199" t="n"/>
      <c r="R65" s="1198" t="n"/>
      <c r="S65" s="1199" t="n"/>
      <c r="T65" s="1198" t="n"/>
      <c r="U65" s="1199" t="n"/>
      <c r="V65" s="1198" t="n"/>
      <c r="W65" s="1199" t="n"/>
      <c r="X65" s="1198" t="n"/>
      <c r="Y65" s="1199" t="n"/>
      <c r="Z65" s="1198" t="n"/>
      <c r="AA65" s="1199" t="n"/>
      <c r="AB65" s="3108" t="n"/>
      <c r="AC65" s="3101" t="n"/>
      <c r="AD65" s="3109" t="n"/>
      <c r="AE65" s="3113" t="n"/>
      <c r="AF65" s="1459" t="n"/>
      <c r="AG65" s="3296" t="n"/>
      <c r="AH65" s="1459" t="n"/>
      <c r="AI65" s="3296" t="n"/>
      <c r="AJ65" s="1459" t="n"/>
      <c r="AK65" s="3296" t="n"/>
      <c r="AL65" s="3297" t="n"/>
      <c r="AM65" s="1461" t="n"/>
      <c r="AN65" s="3282" t="n"/>
      <c r="AO65" s="1200" t="n"/>
      <c r="AP65" s="1148" t="n"/>
      <c r="AQ65" s="1301" t="n"/>
      <c r="AR65" s="1418" t="n"/>
      <c r="AS65" s="1301" t="n"/>
      <c r="AT65" s="1301" t="n"/>
      <c r="AU65" s="1418" t="n"/>
      <c r="AV65" s="218">
        <f>$CA65&amp;$CB65&amp;CC65&amp;CD65&amp;CE65&amp;CF65&amp;CG65&amp;CH65</f>
        <v/>
      </c>
      <c r="CA65" s="219">
        <f>IF(AND($C65&lt;&gt;0,AN65=""),"* No olvide ingresar la columna Espacios Amigables /adolescentes (Digite CERO si no tiene). ",IF(AN65&gt;$C65,"* El Número de Espacios Amigables no puede superar el Total. ",""))</f>
        <v/>
      </c>
      <c r="CB65" s="219">
        <f>IF(AND(E65&gt;0,OR(AO65="")),"No olvide digitar los campos *TRANS Masculino (Digite CERO si no tiene).",IF(AO65&gt;E65,"* El Número de TRANS Masculino no puede superar el Total Mujeres. ",""))</f>
        <v/>
      </c>
      <c r="CC65" s="219">
        <f>IF(AND(D65&gt;0,OR(AP65="")),"No olvide digitar los campos *TRANS Femenino (Digite CERO si no tiene).",IF(AP65&gt;$D65,"* El Número de TRANS Femenino no puede superar el Total Hombres. ",""))</f>
        <v/>
      </c>
      <c r="CD65" s="219">
        <f>IF(AND($C65&lt;&gt;0,AQ65=""),"* No olvide ingresar la columna Pueblos Originarios (Digite CERO si no tiene).  ",IF(AQ65&gt;$C65,"* El Número de Pueblos Originarios no puede superar el Total. ",""))</f>
        <v/>
      </c>
      <c r="CE65" s="219">
        <f>IF(AND($C65&lt;&gt;0,AR65=""),"* No olvide ingresar la columna Migrantes (Digite CERO si no tiene).  ",IF(AR65&gt;$C65,"* El Número de Migrantes no puede superar el Total. ",""))</f>
        <v/>
      </c>
      <c r="CF65" s="910">
        <f>IF(AND(SUM(J65:M65)&gt;0,AS65=""),"* No olvide digitar la variable 14-18 años. Si no tiene digite Cero.",IF(AS65&gt;SUM(J65:M65),"* La variable 14-18 años no puede ser mayor al total por grupo edad de 10 a 19 años. ",""))</f>
        <v/>
      </c>
      <c r="CG65" s="219">
        <f>IF(AND($C65&lt;&gt;0,AT65=""),"* No olvide ingresar la variable "&amp;AT$10&amp;". Digite Cero si no tiene.",IF(AT65&gt;$C65,"* La variable "&amp;AT$10&amp;"no puede superar el Total Ambos Sexos. ",""))</f>
        <v/>
      </c>
      <c r="CH65" s="219">
        <f>IF(AND($C65&lt;&gt;0,AU65=""),"* No olvide ingresar la variable "&amp;AU$10&amp;". Digite Cero si no tiene. ",IF(AU65&gt;$C65,"* La variable "&amp;AU$10&amp;" no puede superar el Total Ambos Sexos. ",""))</f>
        <v/>
      </c>
      <c r="CI65" s="226" t="n"/>
      <c r="CJ65" s="221">
        <f>IF(AND($C65&lt;&gt;0,AN65=""),1,IF(AN65&gt;$C65,1,0))</f>
        <v/>
      </c>
      <c r="CK65" s="221">
        <f>IF(AND(E65&gt;0,OR(AO65="")),1,IF(AO65&gt;E65,1,0))</f>
        <v/>
      </c>
      <c r="CL65" s="221">
        <f>IF(AND(D65&gt;0,OR(AP65="")),1,IF(AP65&gt;D65,1,0))</f>
        <v/>
      </c>
      <c r="CM65" s="221">
        <f>IF(AND($C65&lt;&gt;0,AQ65=""),1,IF(AQ65&gt;$C65,1,0))</f>
        <v/>
      </c>
      <c r="CN65" s="221">
        <f>IF(AND($C65&lt;&gt;0,AR65=""),1,IF(AR65&gt;$C65,1,0))</f>
        <v/>
      </c>
      <c r="CO65" s="376">
        <f>IF(AND(SUM(J65:M65)&gt;0,AS65=""),1,IF(AS65&gt;SUM(J65:M65),1,0))</f>
        <v/>
      </c>
      <c r="CP65" s="221">
        <f>IF(AND($C65&lt;&gt;0,AT65=""),1,IF(AT65&gt;$C65,1,0))</f>
        <v/>
      </c>
      <c r="CQ65" s="221">
        <f>IF(AND($C65&lt;&gt;0,AU65=""),1,IF(AU65&gt;$C65,1,0))</f>
        <v/>
      </c>
    </row>
    <row r="66">
      <c r="A66" s="9589" t="n"/>
      <c r="B66" s="7763" t="inlineStr">
        <is>
          <t>Otro profesional</t>
        </is>
      </c>
      <c r="C66" s="1176">
        <f>SUM(D66+E66)</f>
        <v/>
      </c>
      <c r="D66" s="1177">
        <f>SUM(J66+L66+N66+P66+R66+T66+V66+X66+Z66+AB66)</f>
        <v/>
      </c>
      <c r="E66" s="3285">
        <f>SUM(K66+M66+O66+Q66+S66+U66+W66+Y66+AA66+AC66)</f>
        <v/>
      </c>
      <c r="F66" s="1154" t="n"/>
      <c r="G66" s="1467" t="n"/>
      <c r="H66" s="1154" t="n"/>
      <c r="I66" s="1467" t="n"/>
      <c r="J66" s="1137" t="n"/>
      <c r="K66" s="1139" t="n"/>
      <c r="L66" s="1137" t="n"/>
      <c r="M66" s="1139" t="n"/>
      <c r="N66" s="1137" t="n"/>
      <c r="O66" s="1139" t="n"/>
      <c r="P66" s="1137" t="n"/>
      <c r="Q66" s="1139" t="n"/>
      <c r="R66" s="1137" t="n"/>
      <c r="S66" s="1139" t="n"/>
      <c r="T66" s="1137" t="n"/>
      <c r="U66" s="1139" t="n"/>
      <c r="V66" s="1137" t="n"/>
      <c r="W66" s="1139" t="n"/>
      <c r="X66" s="1137" t="n"/>
      <c r="Y66" s="1139" t="n"/>
      <c r="Z66" s="1137" t="n"/>
      <c r="AA66" s="1139" t="n"/>
      <c r="AB66" s="3108" t="n"/>
      <c r="AC66" s="3101" t="n"/>
      <c r="AD66" s="3109" t="n"/>
      <c r="AE66" s="3113" t="n"/>
      <c r="AF66" s="1154" t="n"/>
      <c r="AG66" s="1155" t="n"/>
      <c r="AH66" s="1154" t="n"/>
      <c r="AI66" s="1155" t="n"/>
      <c r="AJ66" s="1154" t="n"/>
      <c r="AK66" s="1155" t="n"/>
      <c r="AL66" s="1468" t="n"/>
      <c r="AM66" s="1457" t="n"/>
      <c r="AN66" s="1208" t="n"/>
      <c r="AO66" s="1140" t="n"/>
      <c r="AP66" s="1138" t="n"/>
      <c r="AQ66" s="1151" t="n"/>
      <c r="AR66" s="1299" t="n"/>
      <c r="AS66" s="1151" t="n"/>
      <c r="AT66" s="1151" t="n"/>
      <c r="AU66" s="1299" t="n"/>
      <c r="AV66" s="218">
        <f>$CA66&amp;$CB66&amp;CC66&amp;CD66&amp;CE66&amp;CF66&amp;CG66&amp;CH66</f>
        <v/>
      </c>
      <c r="CA66" s="219">
        <f>IF(AND($C66&lt;&gt;0,AN66=""),"* No olvide ingresar la columna Espacios Amigables /adolescentes (Digite CERO si no tiene). ",IF(AN66&gt;$C66,"* El Número de Espacios Amigables no puede superar el Total. ",""))</f>
        <v/>
      </c>
      <c r="CB66" s="219">
        <f>IF(AND(E66&gt;0,OR(AO66="")),"No olvide digitar los campos *TRANS Masculino (Digite CERO si no tiene).",IF(AO66&gt;E66,"* El Número de TRANS Masculino no puede superar el Total Mujeres. ",""))</f>
        <v/>
      </c>
      <c r="CC66" s="219">
        <f>IF(AND(D66&gt;0,OR(AP66="")),"No olvide digitar los campos *TRANS Femenino (Digite CERO si no tiene).",IF(AP66&gt;$D66,"* El Número de TRANS Femenino no puede superar el Total Hombres. ",""))</f>
        <v/>
      </c>
      <c r="CD66" s="219">
        <f>IF(AND($C66&lt;&gt;0,AQ66=""),"* No olvide ingresar la columna Pueblos Originarios (Digite CERO si no tiene).  ",IF(AQ66&gt;$C66,"* El Número de Pueblos Originarios no puede superar el Total. ",""))</f>
        <v/>
      </c>
      <c r="CE66" s="219">
        <f>IF(AND($C66&lt;&gt;0,AR66=""),"* No olvide ingresar la columna Migrantes (Digite CERO si no tiene).  ",IF(AR66&gt;$C66,"* El Número de Migrantes no puede superar el Total. ",""))</f>
        <v/>
      </c>
      <c r="CF66" s="910">
        <f>IF(AND(SUM(J66:M66)&gt;0,AS66=""),"* No olvide digitar la variable 14-18 años. Si no tiene digite Cero.",IF(AS66&gt;SUM(J66:M66),"* La variable 14-18 años no puede ser mayor al total por grupo edad de 10 a 19 años. ",""))</f>
        <v/>
      </c>
      <c r="CG66" s="219">
        <f>IF(AND($C66&lt;&gt;0,AT66=""),"* No olvide ingresar la variable "&amp;AT$10&amp;". Digite Cero si no tiene.",IF(AT66&gt;$C66,"* La variable "&amp;AT$10&amp;"no puede superar el Total Ambos Sexos. ",""))</f>
        <v/>
      </c>
      <c r="CH66" s="219">
        <f>IF(AND($C66&lt;&gt;0,AU66=""),"* No olvide ingresar la variable "&amp;AU$10&amp;". Digite Cero si no tiene. ",IF(AU66&gt;$C66,"* La variable "&amp;AU$10&amp;" no puede superar el Total Ambos Sexos. ",""))</f>
        <v/>
      </c>
      <c r="CI66" s="226" t="n"/>
      <c r="CJ66" s="221">
        <f>IF(AND($C66&lt;&gt;0,AN66=""),1,IF(AN66&gt;$C66,1,0))</f>
        <v/>
      </c>
      <c r="CK66" s="221">
        <f>IF(AND(E66&gt;0,OR(AO66="")),1,IF(AO66&gt;E66,1,0))</f>
        <v/>
      </c>
      <c r="CL66" s="221">
        <f>IF(AND(D66&gt;0,OR(AP66="")),1,IF(AP66&gt;D66,1,0))</f>
        <v/>
      </c>
      <c r="CM66" s="221">
        <f>IF(AND($C66&lt;&gt;0,AQ66=""),1,IF(AQ66&gt;$C66,1,0))</f>
        <v/>
      </c>
      <c r="CN66" s="221">
        <f>IF(AND($C66&lt;&gt;0,AR66=""),1,IF(AR66&gt;$C66,1,0))</f>
        <v/>
      </c>
      <c r="CO66" s="376">
        <f>IF(AND(SUM(J66:M66)&gt;0,AS66=""),1,IF(AS66&gt;SUM(J66:M66),1,0))</f>
        <v/>
      </c>
      <c r="CP66" s="221">
        <f>IF(AND($C66&lt;&gt;0,AT66=""),1,IF(AT66&gt;$C66,1,0))</f>
        <v/>
      </c>
      <c r="CQ66" s="221">
        <f>IF(AND($C66&lt;&gt;0,AU66=""),1,IF(AU66&gt;$C66,1,0))</f>
        <v/>
      </c>
    </row>
    <row r="67">
      <c r="A67" s="10236" t="inlineStr">
        <is>
          <t>Prevención VIH e infección de transmisión sexual (ITS) con o sin entrega de preservativos</t>
        </is>
      </c>
      <c r="B67" s="3271" t="inlineStr">
        <is>
          <t>Médico/a</t>
        </is>
      </c>
      <c r="C67" s="3094">
        <f>SUM(D67+E67)</f>
        <v/>
      </c>
      <c r="D67" s="3176">
        <f>SUM(J67+L67+N67+P67+R67+T67+V67+X67+Z67+AB67+AD67+AF67+AH67+AJ67+AL67)</f>
        <v/>
      </c>
      <c r="E67" s="3272">
        <f>SUM(K67+M67+O67+Q67+S67+U67+W67+Y67+AA67+AC67+AE67+AG67+AI67+AK67+AM67)</f>
        <v/>
      </c>
      <c r="F67" s="3154" t="n"/>
      <c r="G67" s="3287" t="n"/>
      <c r="H67" s="3154" t="n"/>
      <c r="I67" s="3287" t="n"/>
      <c r="J67" s="3123" t="n"/>
      <c r="K67" s="3126" t="n"/>
      <c r="L67" s="3123" t="n"/>
      <c r="M67" s="3126" t="n"/>
      <c r="N67" s="3123" t="n"/>
      <c r="O67" s="3126" t="n"/>
      <c r="P67" s="3123" t="n"/>
      <c r="Q67" s="3126" t="n"/>
      <c r="R67" s="3123" t="n"/>
      <c r="S67" s="3126" t="n"/>
      <c r="T67" s="3123" t="n"/>
      <c r="U67" s="3126" t="n"/>
      <c r="V67" s="3123" t="n"/>
      <c r="W67" s="3126" t="n"/>
      <c r="X67" s="3123" t="n"/>
      <c r="Y67" s="3126" t="n"/>
      <c r="Z67" s="3123" t="n"/>
      <c r="AA67" s="3126" t="n"/>
      <c r="AB67" s="3123" t="n"/>
      <c r="AC67" s="3126" t="n"/>
      <c r="AD67" s="3123" t="n"/>
      <c r="AE67" s="3126" t="n"/>
      <c r="AF67" s="3123" t="n"/>
      <c r="AG67" s="3126" t="n"/>
      <c r="AH67" s="3123" t="n"/>
      <c r="AI67" s="3126" t="n"/>
      <c r="AJ67" s="3123" t="n"/>
      <c r="AK67" s="3126" t="n"/>
      <c r="AL67" s="3274" t="n"/>
      <c r="AM67" s="3275" t="n"/>
      <c r="AN67" s="2687" t="n"/>
      <c r="AO67" s="3158" t="n"/>
      <c r="AP67" s="3130" t="n"/>
      <c r="AQ67" s="3705" t="n"/>
      <c r="AR67" s="5286" t="n"/>
      <c r="AS67" s="3294" t="n"/>
      <c r="AT67" s="3705" t="n"/>
      <c r="AU67" s="5286" t="n"/>
      <c r="AV67" s="218">
        <f>$CA67&amp;$CB67&amp;CC67&amp;CD67&amp;CE67&amp;CF67&amp;CG67&amp;CH67</f>
        <v/>
      </c>
      <c r="CA67" s="219">
        <f>IF(AND($C67&lt;&gt;0,AN67=""),"* No olvide ingresar la columna Espacios Amigables /adolescentes (Digite CERO si no tiene). ",IF(AN67&gt;$C67,"* El Número de Espacios Amigables no puede superar el Total. ",""))</f>
        <v/>
      </c>
      <c r="CB67" s="219">
        <f>IF(AND(E67&gt;0,OR(AO67="")),"No olvide digitar los campos *TRANS Masculino (Digite CERO si no tiene).",IF(AO67&gt;E67,"* El Número de TRANS Masculino no puede superar el Total Mujeres. ",""))</f>
        <v/>
      </c>
      <c r="CC67" s="219">
        <f>IF(AND(D67&gt;0,OR(AP67="")),"No olvide digitar los campos *TRANS Femenino (Digite CERO si no tiene).",IF(AP67&gt;$D67,"* El Número de TRANS Femenino no puede superar el Total Hombres. ",""))</f>
        <v/>
      </c>
      <c r="CD67" s="219">
        <f>IF(AND($C67&lt;&gt;0,AQ67=""),"* No olvide ingresar la columna Pueblos Originarios (Digite CERO si no tiene).  ",IF(AQ67&gt;$C67,"* El Número de Pueblos Originarios no puede superar el Total. ",""))</f>
        <v/>
      </c>
      <c r="CE67" s="219">
        <f>IF(AND($C67&lt;&gt;0,AR67=""),"* No olvide ingresar la columna Migrantes (Digite CERO si no tiene).  ",IF(AR67&gt;$C67,"* El Número de Migrantes no puede superar el Total. ",""))</f>
        <v/>
      </c>
      <c r="CF67" s="910">
        <f>IF(AND(SUM(J67:M67)&gt;0,AS67=""),"* No olvide digitar la variable 14-18 años. Si no tiene digite Cero.",IF(AS67&gt;SUM(J67:M67),"* La variable 14-18 años no puede ser mayor al total por grupo edad de 10 a 19 años. ",""))</f>
        <v/>
      </c>
      <c r="CG67" s="219">
        <f>IF(AND($C67&lt;&gt;0,AT67=""),"* No olvide ingresar la variable "&amp;AT$10&amp;". Digite Cero si no tiene.",IF(AT67&gt;$C67,"* La variable "&amp;AT$10&amp;"no puede superar el Total Ambos Sexos. ",""))</f>
        <v/>
      </c>
      <c r="CH67" s="219">
        <f>IF(AND($C67&lt;&gt;0,AU67=""),"* No olvide ingresar la variable "&amp;AU$10&amp;". Digite Cero si no tiene. ",IF(AU67&gt;$C67,"* La variable "&amp;AU$10&amp;" no puede superar el Total Ambos Sexos. ",""))</f>
        <v/>
      </c>
      <c r="CI67" s="226" t="n"/>
      <c r="CJ67" s="221">
        <f>IF(AND($C67&lt;&gt;0,AN67=""),1,IF(AN67&gt;$C67,1,0))</f>
        <v/>
      </c>
      <c r="CK67" s="221">
        <f>IF(AND(E67&gt;0,OR(AO67="")),1,IF(AO67&gt;E67,1,0))</f>
        <v/>
      </c>
      <c r="CL67" s="221">
        <f>IF(AND(D67&gt;0,OR(AP67="")),1,IF(AP67&gt;D67,1,0))</f>
        <v/>
      </c>
      <c r="CM67" s="221">
        <f>IF(AND($C67&lt;&gt;0,AQ67=""),1,IF(AQ67&gt;$C67,1,0))</f>
        <v/>
      </c>
      <c r="CN67" s="221">
        <f>IF(AND($C67&lt;&gt;0,AR67=""),1,IF(AR67&gt;$C67,1,0))</f>
        <v/>
      </c>
      <c r="CO67" s="376">
        <f>IF(AND(SUM(J67:M67)&gt;0,AS67=""),1,IF(AS67&gt;SUM(J67:M67),1,0))</f>
        <v/>
      </c>
      <c r="CP67" s="221">
        <f>IF(AND($C67&lt;&gt;0,AT67=""),1,IF(AT67&gt;$C67,1,0))</f>
        <v/>
      </c>
      <c r="CQ67" s="221">
        <f>IF(AND($C67&lt;&gt;0,AU67=""),1,IF(AU67&gt;$C67,1,0))</f>
        <v/>
      </c>
    </row>
    <row r="68">
      <c r="A68" s="9588" t="n"/>
      <c r="B68" s="3279" t="inlineStr">
        <is>
          <t>Enfermera /o</t>
        </is>
      </c>
      <c r="C68" s="3103">
        <f>SUM(D68+E68)</f>
        <v/>
      </c>
      <c r="D68" s="3179">
        <f>SUM(J68+L68+N68+P68+R68+T68+V68+X68+Z68+AB68+AD68+AF68+AH68+AJ68+AL68)</f>
        <v/>
      </c>
      <c r="E68" s="3280">
        <f>SUM(K68+M68+O68+Q68+S68+U68+W68+Y68+AA68+AC68+AE68+AG68+AI68+AK68+AM68)</f>
        <v/>
      </c>
      <c r="F68" s="1459" t="n"/>
      <c r="G68" s="3288" t="n"/>
      <c r="H68" s="1459" t="n"/>
      <c r="I68" s="3288" t="n"/>
      <c r="J68" s="3108" t="n">
        <v>2</v>
      </c>
      <c r="K68" s="3101" t="n">
        <v>1</v>
      </c>
      <c r="L68" s="3108" t="n">
        <v>3</v>
      </c>
      <c r="M68" s="3101" t="n">
        <v>3</v>
      </c>
      <c r="N68" s="3108" t="n"/>
      <c r="O68" s="3101" t="n"/>
      <c r="P68" s="3108" t="n"/>
      <c r="Q68" s="3101" t="n">
        <v>1</v>
      </c>
      <c r="R68" s="3108" t="n"/>
      <c r="S68" s="3101" t="n"/>
      <c r="T68" s="3108" t="n"/>
      <c r="U68" s="3101" t="n"/>
      <c r="V68" s="3108" t="n"/>
      <c r="W68" s="3101" t="n"/>
      <c r="X68" s="3108" t="n"/>
      <c r="Y68" s="3101" t="n"/>
      <c r="Z68" s="3108" t="n"/>
      <c r="AA68" s="3101" t="n"/>
      <c r="AB68" s="3108" t="n"/>
      <c r="AC68" s="3101" t="n"/>
      <c r="AD68" s="3108" t="n">
        <v>1</v>
      </c>
      <c r="AE68" s="3101" t="n"/>
      <c r="AF68" s="3108" t="n"/>
      <c r="AG68" s="3101" t="n"/>
      <c r="AH68" s="3108" t="n"/>
      <c r="AI68" s="3101" t="n"/>
      <c r="AJ68" s="3108" t="n"/>
      <c r="AK68" s="3101" t="n"/>
      <c r="AL68" s="3281" t="n"/>
      <c r="AM68" s="880" t="n"/>
      <c r="AN68" s="3282" t="n">
        <v>0</v>
      </c>
      <c r="AO68" s="248" t="n">
        <v>0</v>
      </c>
      <c r="AP68" s="3125" t="n">
        <v>0</v>
      </c>
      <c r="AQ68" s="5435" t="n">
        <v>1</v>
      </c>
      <c r="AR68" s="702" t="n">
        <v>0</v>
      </c>
      <c r="AS68" s="401" t="n">
        <v>6</v>
      </c>
      <c r="AT68" s="5435" t="n">
        <v>1</v>
      </c>
      <c r="AU68" s="702" t="n">
        <v>0</v>
      </c>
      <c r="AV68" s="218">
        <f>$CA68&amp;$CB68&amp;CC68&amp;CD68&amp;CE68&amp;CF68&amp;CG68&amp;CH68</f>
        <v/>
      </c>
      <c r="CA68" s="219">
        <f>IF(AND($C68&lt;&gt;0,AN68=""),"* No olvide ingresar la columna Espacios Amigables /adolescentes (Digite CERO si no tiene). ",IF(AN68&gt;$C68,"* El Número de Espacios Amigables no puede superar el Total. ",""))</f>
        <v/>
      </c>
      <c r="CB68" s="219">
        <f>IF(AND(E68&gt;0,OR(AO68="")),"No olvide digitar los campos *TRANS Masculino (Digite CERO si no tiene).",IF(AO68&gt;E68,"* El Número de TRANS Masculino no puede superar el Total Mujeres. ",""))</f>
        <v/>
      </c>
      <c r="CC68" s="219">
        <f>IF(AND(D68&gt;0,OR(AP68="")),"No olvide digitar los campos *TRANS Femenino (Digite CERO si no tiene).",IF(AP68&gt;$D68,"* El Número de TRANS Femenino no puede superar el Total Hombres. ",""))</f>
        <v/>
      </c>
      <c r="CD68" s="219">
        <f>IF(AND($C68&lt;&gt;0,AQ68=""),"* No olvide ingresar la columna Pueblos Originarios (Digite CERO si no tiene).  ",IF(AQ68&gt;$C68,"* El Número de Pueblos Originarios no puede superar el Total. ",""))</f>
        <v/>
      </c>
      <c r="CE68" s="219">
        <f>IF(AND($C68&lt;&gt;0,AR68=""),"* No olvide ingresar la columna Migrantes (Digite CERO si no tiene).  ",IF(AR68&gt;$C68,"* El Número de Migrantes no puede superar el Total. ",""))</f>
        <v/>
      </c>
      <c r="CF68" s="910">
        <f>IF(AND(SUM(J68:M68)&gt;0,AS68=""),"* No olvide digitar la variable 14-18 años. Si no tiene digite Cero.",IF(AS68&gt;SUM(J68:M68),"* La variable 14-18 años no puede ser mayor al total por grupo edad de 10 a 19 años. ",""))</f>
        <v/>
      </c>
      <c r="CG68" s="219">
        <f>IF(AND($C68&lt;&gt;0,AT68=""),"* No olvide ingresar la variable "&amp;AT$10&amp;". Digite Cero si no tiene.",IF(AT68&gt;$C68,"* La variable "&amp;AT$10&amp;"no puede superar el Total Ambos Sexos. ",""))</f>
        <v/>
      </c>
      <c r="CH68" s="219">
        <f>IF(AND($C68&lt;&gt;0,AU68=""),"* No olvide ingresar la variable "&amp;AU$10&amp;". Digite Cero si no tiene. ",IF(AU68&gt;$C68,"* La variable "&amp;AU$10&amp;" no puede superar el Total Ambos Sexos. ",""))</f>
        <v/>
      </c>
      <c r="CI68" s="226" t="n"/>
      <c r="CJ68" s="221">
        <f>IF(AND($C68&lt;&gt;0,AN68=""),1,IF(AN68&gt;$C68,1,0))</f>
        <v/>
      </c>
      <c r="CK68" s="221">
        <f>IF(AND(E68&gt;0,OR(AO68="")),1,IF(AO68&gt;E68,1,0))</f>
        <v/>
      </c>
      <c r="CL68" s="221">
        <f>IF(AND(D68&gt;0,OR(AP68="")),1,IF(AP68&gt;D68,1,0))</f>
        <v/>
      </c>
      <c r="CM68" s="221">
        <f>IF(AND($C68&lt;&gt;0,AQ68=""),1,IF(AQ68&gt;$C68,1,0))</f>
        <v/>
      </c>
      <c r="CN68" s="221">
        <f>IF(AND($C68&lt;&gt;0,AR68=""),1,IF(AR68&gt;$C68,1,0))</f>
        <v/>
      </c>
      <c r="CO68" s="376">
        <f>IF(AND(SUM(J68:M68)&gt;0,AS68=""),1,IF(AS68&gt;SUM(J68:M68),1,0))</f>
        <v/>
      </c>
      <c r="CP68" s="221">
        <f>IF(AND($C68&lt;&gt;0,AT68=""),1,IF(AT68&gt;$C68,1,0))</f>
        <v/>
      </c>
      <c r="CQ68" s="221">
        <f>IF(AND($C68&lt;&gt;0,AU68=""),1,IF(AU68&gt;$C68,1,0))</f>
        <v/>
      </c>
    </row>
    <row r="69">
      <c r="A69" s="9588" t="n"/>
      <c r="B69" s="3279" t="inlineStr">
        <is>
          <t>Matrona/ón</t>
        </is>
      </c>
      <c r="C69" s="3103">
        <f>SUM(D69+E69)</f>
        <v/>
      </c>
      <c r="D69" s="3179">
        <f>SUM(J69+L69+N69+P69+R69+T69+V69+X69+Z69+AB69+AD69+AF69+AH69+AJ69+AL69)</f>
        <v/>
      </c>
      <c r="E69" s="3280">
        <f>SUM(K69+M69+O69+Q69+S69+U69+W69+Y69+AA69+AC69+AE69+AG69+AI69+AK69+AM69)</f>
        <v/>
      </c>
      <c r="F69" s="1459" t="n"/>
      <c r="G69" s="3288" t="n"/>
      <c r="H69" s="1459" t="n"/>
      <c r="I69" s="3288" t="n"/>
      <c r="J69" s="3108" t="n">
        <v>1</v>
      </c>
      <c r="K69" s="3101" t="n">
        <v>7</v>
      </c>
      <c r="L69" s="3108" t="n">
        <v>5</v>
      </c>
      <c r="M69" s="3101" t="n">
        <v>45</v>
      </c>
      <c r="N69" s="3108" t="n"/>
      <c r="O69" s="3101" t="n">
        <v>51</v>
      </c>
      <c r="P69" s="3108" t="n"/>
      <c r="Q69" s="3101" t="n">
        <v>58</v>
      </c>
      <c r="R69" s="3108" t="n"/>
      <c r="S69" s="3101" t="n">
        <v>47</v>
      </c>
      <c r="T69" s="3108" t="n">
        <v>1</v>
      </c>
      <c r="U69" s="3101" t="n">
        <v>45</v>
      </c>
      <c r="V69" s="3108" t="n"/>
      <c r="W69" s="3101" t="n">
        <v>28</v>
      </c>
      <c r="X69" s="3108" t="n"/>
      <c r="Y69" s="3101" t="n">
        <v>38</v>
      </c>
      <c r="Z69" s="3108" t="n"/>
      <c r="AA69" s="3101" t="n">
        <v>18</v>
      </c>
      <c r="AB69" s="3108" t="n"/>
      <c r="AC69" s="3101" t="n">
        <v>26</v>
      </c>
      <c r="AD69" s="3108" t="n"/>
      <c r="AE69" s="3101" t="n">
        <v>26</v>
      </c>
      <c r="AF69" s="3108" t="n"/>
      <c r="AG69" s="3101" t="n">
        <v>8</v>
      </c>
      <c r="AH69" s="3108" t="n"/>
      <c r="AI69" s="3101" t="n">
        <v>1</v>
      </c>
      <c r="AJ69" s="3108" t="n"/>
      <c r="AK69" s="3101" t="n">
        <v>1</v>
      </c>
      <c r="AL69" s="3281" t="n">
        <v>1</v>
      </c>
      <c r="AM69" s="880" t="n">
        <v>1</v>
      </c>
      <c r="AN69" s="3282" t="n">
        <v>0</v>
      </c>
      <c r="AO69" s="3100" t="n">
        <v>0</v>
      </c>
      <c r="AP69" s="1125" t="n">
        <v>0</v>
      </c>
      <c r="AQ69" s="3720" t="n">
        <v>17</v>
      </c>
      <c r="AR69" s="4008" t="n">
        <v>19</v>
      </c>
      <c r="AS69" s="3281" t="n">
        <v>43</v>
      </c>
      <c r="AT69" s="3720" t="n">
        <v>2</v>
      </c>
      <c r="AU69" s="4008" t="n">
        <v>7</v>
      </c>
      <c r="AV69" s="218">
        <f>$CA69&amp;$CB69&amp;CC69&amp;CD69&amp;CE69&amp;CF69&amp;CG69&amp;CH69</f>
        <v/>
      </c>
      <c r="CA69" s="219">
        <f>IF(AND($C69&lt;&gt;0,AN69=""),"* No olvide ingresar la columna Espacios Amigables /adolescentes (Digite CERO si no tiene). ",IF(AN69&gt;$C69,"* El Número de Espacios Amigables no puede superar el Total. ",""))</f>
        <v/>
      </c>
      <c r="CB69" s="219">
        <f>IF(AND(E69&gt;0,OR(AO69="")),"No olvide digitar los campos *TRANS Masculino (Digite CERO si no tiene).",IF(AO69&gt;E69,"* El Número de TRANS Masculino no puede superar el Total Mujeres. ",""))</f>
        <v/>
      </c>
      <c r="CC69" s="219">
        <f>IF(AND(D69&gt;0,OR(AP69="")),"No olvide digitar los campos *TRANS Femenino (Digite CERO si no tiene).",IF(AP69&gt;$D69,"* El Número de TRANS Femenino no puede superar el Total Hombres. ",""))</f>
        <v/>
      </c>
      <c r="CD69" s="219">
        <f>IF(AND($C69&lt;&gt;0,AQ69=""),"* No olvide ingresar la columna Pueblos Originarios (Digite CERO si no tiene).  ",IF(AQ69&gt;$C69,"* El Número de Pueblos Originarios no puede superar el Total. ",""))</f>
        <v/>
      </c>
      <c r="CE69" s="219">
        <f>IF(AND($C69&lt;&gt;0,AR69=""),"* No olvide ingresar la columna Migrantes (Digite CERO si no tiene).  ",IF(AR69&gt;$C69,"* El Número de Migrantes no puede superar el Total. ",""))</f>
        <v/>
      </c>
      <c r="CF69" s="910">
        <f>IF(AND(SUM(J69:M69)&gt;0,AS69=""),"* No olvide digitar la variable 14-18 años. Si no tiene digite Cero.",IF(AS69&gt;SUM(J69:M69),"* La variable 14-18 años no puede ser mayor al total por grupo edad de 10 a 19 años. ",""))</f>
        <v/>
      </c>
      <c r="CG69" s="219">
        <f>IF(AND($C69&lt;&gt;0,AT69=""),"* No olvide ingresar la variable "&amp;AT$10&amp;". Digite Cero si no tiene.",IF(AT69&gt;$C69,"* La variable "&amp;AT$10&amp;"no puede superar el Total Ambos Sexos. ",""))</f>
        <v/>
      </c>
      <c r="CH69" s="219">
        <f>IF(AND($C69&lt;&gt;0,AU69=""),"* No olvide ingresar la variable "&amp;AU$10&amp;". Digite Cero si no tiene. ",IF(AU69&gt;$C69,"* La variable "&amp;AU$10&amp;" no puede superar el Total Ambos Sexos. ",""))</f>
        <v/>
      </c>
      <c r="CI69" s="226" t="n"/>
      <c r="CJ69" s="221">
        <f>IF(AND($C69&lt;&gt;0,AN69=""),1,IF(AN69&gt;$C69,1,0))</f>
        <v/>
      </c>
      <c r="CK69" s="221">
        <f>IF(AND(E69&gt;0,OR(AO69="")),1,IF(AO69&gt;E69,1,0))</f>
        <v/>
      </c>
      <c r="CL69" s="221">
        <f>IF(AND(D69&gt;0,OR(AP69="")),1,IF(AP69&gt;D69,1,0))</f>
        <v/>
      </c>
      <c r="CM69" s="221">
        <f>IF(AND($C69&lt;&gt;0,AQ69=""),1,IF(AQ69&gt;$C69,1,0))</f>
        <v/>
      </c>
      <c r="CN69" s="221">
        <f>IF(AND($C69&lt;&gt;0,AR69=""),1,IF(AR69&gt;$C69,1,0))</f>
        <v/>
      </c>
      <c r="CO69" s="376">
        <f>IF(AND(SUM(J69:M69)&gt;0,AS69=""),1,IF(AS69&gt;SUM(J69:M69),1,0))</f>
        <v/>
      </c>
      <c r="CP69" s="221">
        <f>IF(AND($C69&lt;&gt;0,AT69=""),1,IF(AT69&gt;$C69,1,0))</f>
        <v/>
      </c>
      <c r="CQ69" s="221">
        <f>IF(AND($C69&lt;&gt;0,AU69=""),1,IF(AU69&gt;$C69,1,0))</f>
        <v/>
      </c>
    </row>
    <row r="70">
      <c r="A70" s="9588" t="n"/>
      <c r="B70" s="3279" t="inlineStr">
        <is>
          <t>Trabajador/a social</t>
        </is>
      </c>
      <c r="C70" s="3103">
        <f>SUM(D70+E70)</f>
        <v/>
      </c>
      <c r="D70" s="3179">
        <f>SUM(J70+L70+N70+P70+R70+T70+V70+X70+Z70+AB70+AD70+AF70+AH70+AJ70+AL70)</f>
        <v/>
      </c>
      <c r="E70" s="3280">
        <f>SUM(K70+M70+O70+Q70+S70+U70+W70+Y70+AA70+AC70+AE70+AG70+AI70+AK70+AM70)</f>
        <v/>
      </c>
      <c r="F70" s="1459" t="n"/>
      <c r="G70" s="3288" t="n"/>
      <c r="H70" s="1459" t="n"/>
      <c r="I70" s="3288" t="n"/>
      <c r="J70" s="3108" t="n"/>
      <c r="K70" s="3101" t="n"/>
      <c r="L70" s="3108" t="n"/>
      <c r="M70" s="3101" t="n"/>
      <c r="N70" s="3108" t="n"/>
      <c r="O70" s="3101" t="n"/>
      <c r="P70" s="3108" t="n"/>
      <c r="Q70" s="3101" t="n"/>
      <c r="R70" s="3108" t="n"/>
      <c r="S70" s="3101" t="n"/>
      <c r="T70" s="3108" t="n"/>
      <c r="U70" s="3101" t="n"/>
      <c r="V70" s="3108" t="n"/>
      <c r="W70" s="3101" t="n"/>
      <c r="X70" s="3108" t="n"/>
      <c r="Y70" s="3101" t="n"/>
      <c r="Z70" s="3108" t="n"/>
      <c r="AA70" s="3101" t="n"/>
      <c r="AB70" s="3108" t="n"/>
      <c r="AC70" s="3101" t="n"/>
      <c r="AD70" s="3108" t="n"/>
      <c r="AE70" s="3101" t="n"/>
      <c r="AF70" s="3108" t="n"/>
      <c r="AG70" s="3101" t="n"/>
      <c r="AH70" s="3108" t="n"/>
      <c r="AI70" s="3101" t="n"/>
      <c r="AJ70" s="3108" t="n"/>
      <c r="AK70" s="3101" t="n"/>
      <c r="AL70" s="3281" t="n"/>
      <c r="AM70" s="880" t="n"/>
      <c r="AN70" s="3282" t="n"/>
      <c r="AO70" s="3100" t="n"/>
      <c r="AP70" s="1125" t="n"/>
      <c r="AQ70" s="3720" t="n"/>
      <c r="AR70" s="4008" t="n"/>
      <c r="AS70" s="3281" t="n"/>
      <c r="AT70" s="3720" t="n"/>
      <c r="AU70" s="4008" t="n"/>
      <c r="AV70" s="218">
        <f>$CA70&amp;$CB70&amp;CC70&amp;CD70&amp;CE70&amp;CF70&amp;CG70&amp;CH70</f>
        <v/>
      </c>
      <c r="CA70" s="219">
        <f>IF(AND($C70&lt;&gt;0,AN70=""),"* No olvide ingresar la columna Espacios Amigables /adolescentes (Digite CERO si no tiene). ",IF(AN70&gt;$C70,"* El Número de Espacios Amigables no puede superar el Total. ",""))</f>
        <v/>
      </c>
      <c r="CB70" s="219">
        <f>IF(AND(E70&gt;0,OR(AO70="")),"No olvide digitar los campos *TRANS Masculino (Digite CERO si no tiene).",IF(AO70&gt;E70,"* El Número de TRANS Masculino no puede superar el Total Mujeres. ",""))</f>
        <v/>
      </c>
      <c r="CC70" s="219">
        <f>IF(AND(D70&gt;0,OR(AP70="")),"No olvide digitar los campos *TRANS Femenino (Digite CERO si no tiene).",IF(AP70&gt;$D70,"* El Número de TRANS Femenino no puede superar el Total Hombres. ",""))</f>
        <v/>
      </c>
      <c r="CD70" s="219">
        <f>IF(AND($C70&lt;&gt;0,AQ70=""),"* No olvide ingresar la columna Pueblos Originarios (Digite CERO si no tiene).  ",IF(AQ70&gt;$C70,"* El Número de Pueblos Originarios no puede superar el Total. ",""))</f>
        <v/>
      </c>
      <c r="CE70" s="219">
        <f>IF(AND($C70&lt;&gt;0,AR70=""),"* No olvide ingresar la columna Migrantes (Digite CERO si no tiene).  ",IF(AR70&gt;$C70,"* El Número de Migrantes no puede superar el Total. ",""))</f>
        <v/>
      </c>
      <c r="CF70" s="910">
        <f>IF(AND(SUM(J70:M70)&gt;0,AS70=""),"* No olvide digitar la variable 14-18 años. Si no tiene digite Cero.",IF(AS70&gt;SUM(J70:M70),"* La variable 14-18 años no puede ser mayor al total por grupo edad de 10 a 19 años. ",""))</f>
        <v/>
      </c>
      <c r="CG70" s="219">
        <f>IF(AND($C70&lt;&gt;0,AT70=""),"* No olvide ingresar la variable "&amp;AT$10&amp;". Digite Cero si no tiene.",IF(AT70&gt;$C70,"* La variable "&amp;AT$10&amp;"no puede superar el Total Ambos Sexos. ",""))</f>
        <v/>
      </c>
      <c r="CH70" s="219">
        <f>IF(AND($C70&lt;&gt;0,AU70=""),"* No olvide ingresar la variable "&amp;AU$10&amp;". Digite Cero si no tiene. ",IF(AU70&gt;$C70,"* La variable "&amp;AU$10&amp;" no puede superar el Total Ambos Sexos. ",""))</f>
        <v/>
      </c>
      <c r="CI70" s="226" t="n"/>
      <c r="CJ70" s="221">
        <f>IF(AND($C70&lt;&gt;0,AN70=""),1,IF(AN70&gt;$C70,1,0))</f>
        <v/>
      </c>
      <c r="CK70" s="221">
        <f>IF(AND(E70&gt;0,OR(AO70="")),1,IF(AO70&gt;E70,1,0))</f>
        <v/>
      </c>
      <c r="CL70" s="221">
        <f>IF(AND(D70&gt;0,OR(AP70="")),1,IF(AP70&gt;D70,1,0))</f>
        <v/>
      </c>
      <c r="CM70" s="221">
        <f>IF(AND($C70&lt;&gt;0,AQ70=""),1,IF(AQ70&gt;$C70,1,0))</f>
        <v/>
      </c>
      <c r="CN70" s="221">
        <f>IF(AND($C70&lt;&gt;0,AR70=""),1,IF(AR70&gt;$C70,1,0))</f>
        <v/>
      </c>
      <c r="CO70" s="376">
        <f>IF(AND(SUM(J70:M70)&gt;0,AS70=""),1,IF(AS70&gt;SUM(J70:M70),1,0))</f>
        <v/>
      </c>
      <c r="CP70" s="221">
        <f>IF(AND($C70&lt;&gt;0,AT70=""),1,IF(AT70&gt;$C70,1,0))</f>
        <v/>
      </c>
      <c r="CQ70" s="221">
        <f>IF(AND($C70&lt;&gt;0,AU70=""),1,IF(AU70&gt;$C70,1,0))</f>
        <v/>
      </c>
    </row>
    <row r="71">
      <c r="A71" s="9588" t="n"/>
      <c r="B71" s="3279" t="inlineStr">
        <is>
          <t>Psicóloga /o</t>
        </is>
      </c>
      <c r="C71" s="3103">
        <f>SUM(D71+E71)</f>
        <v/>
      </c>
      <c r="D71" s="3179">
        <f>SUM(J71+L71+N71+P71+R71+T71+V71+X71+Z71+AB71+AD71+AF71+AH71+AJ71+AL71)</f>
        <v/>
      </c>
      <c r="E71" s="3280">
        <f>SUM(K71+M71+O71+Q71+S71+U71+W71+Y71+AA71+AC71+AE71+AG71+AI71+AK71+AM71)</f>
        <v/>
      </c>
      <c r="F71" s="1459" t="n"/>
      <c r="G71" s="3288" t="n"/>
      <c r="H71" s="1459" t="n"/>
      <c r="I71" s="3288" t="n"/>
      <c r="J71" s="3108" t="n"/>
      <c r="K71" s="3101" t="n"/>
      <c r="L71" s="3108" t="n"/>
      <c r="M71" s="3101" t="n"/>
      <c r="N71" s="3108" t="n"/>
      <c r="O71" s="3101" t="n"/>
      <c r="P71" s="3108" t="n"/>
      <c r="Q71" s="3101" t="n"/>
      <c r="R71" s="3108" t="n"/>
      <c r="S71" s="3101" t="n"/>
      <c r="T71" s="3108" t="n"/>
      <c r="U71" s="3101" t="n"/>
      <c r="V71" s="3108" t="n"/>
      <c r="W71" s="3101" t="n"/>
      <c r="X71" s="3108" t="n"/>
      <c r="Y71" s="3101" t="n"/>
      <c r="Z71" s="3108" t="n"/>
      <c r="AA71" s="3101" t="n"/>
      <c r="AB71" s="3108" t="n"/>
      <c r="AC71" s="3101" t="n"/>
      <c r="AD71" s="3108" t="n"/>
      <c r="AE71" s="3101" t="n"/>
      <c r="AF71" s="3108" t="n"/>
      <c r="AG71" s="3101" t="n"/>
      <c r="AH71" s="3108" t="n"/>
      <c r="AI71" s="3101" t="n"/>
      <c r="AJ71" s="3108" t="n"/>
      <c r="AK71" s="3101" t="n"/>
      <c r="AL71" s="3281" t="n"/>
      <c r="AM71" s="880" t="n"/>
      <c r="AN71" s="3282" t="n"/>
      <c r="AO71" s="3100" t="n"/>
      <c r="AP71" s="1125" t="n"/>
      <c r="AQ71" s="3720" t="n"/>
      <c r="AR71" s="4008" t="n"/>
      <c r="AS71" s="3281" t="n"/>
      <c r="AT71" s="3720" t="n"/>
      <c r="AU71" s="4008" t="n"/>
      <c r="AV71" s="218">
        <f>$CA71&amp;$CB71&amp;CC71&amp;CD71&amp;CE71&amp;CF71&amp;CG71&amp;CH71</f>
        <v/>
      </c>
      <c r="CA71" s="219">
        <f>IF(AND($C71&lt;&gt;0,AN71=""),"* No olvide ingresar la columna Espacios Amigables /adolescentes (Digite CERO si no tiene). ",IF(AN71&gt;$C71,"* El Número de Espacios Amigables no puede superar el Total. ",""))</f>
        <v/>
      </c>
      <c r="CB71" s="219">
        <f>IF(AND(E71&gt;0,OR(AO71="")),"No olvide digitar los campos *TRANS Masculino (Digite CERO si no tiene).",IF(AO71&gt;E71,"* El Número de TRANS Masculino no puede superar el Total Mujeres. ",""))</f>
        <v/>
      </c>
      <c r="CC71" s="219">
        <f>IF(AND(D71&gt;0,OR(AP71="")),"No olvide digitar los campos *TRANS Femenino (Digite CERO si no tiene).",IF(AP71&gt;$D71,"* El Número de TRANS Femenino no puede superar el Total Hombres. ",""))</f>
        <v/>
      </c>
      <c r="CD71" s="219">
        <f>IF(AND($C71&lt;&gt;0,AQ71=""),"* No olvide ingresar la columna Pueblos Originarios (Digite CERO si no tiene).  ",IF(AQ71&gt;$C71,"* El Número de Pueblos Originarios no puede superar el Total. ",""))</f>
        <v/>
      </c>
      <c r="CE71" s="219">
        <f>IF(AND($C71&lt;&gt;0,AR71=""),"* No olvide ingresar la columna Migrantes (Digite CERO si no tiene).  ",IF(AR71&gt;$C71,"* El Número de Migrantes no puede superar el Total. ",""))</f>
        <v/>
      </c>
      <c r="CF71" s="910">
        <f>IF(AND(SUM(J71:M71)&gt;0,AS71=""),"* No olvide digitar la variable 14-18 años. Si no tiene digite Cero.",IF(AS71&gt;SUM(J71:M71),"* La variable 14-18 años no puede ser mayor al total por grupo edad de 10 a 19 años. ",""))</f>
        <v/>
      </c>
      <c r="CG71" s="219">
        <f>IF(AND($C71&lt;&gt;0,AT71=""),"* No olvide ingresar la variable "&amp;AT$10&amp;". Digite Cero si no tiene.",IF(AT71&gt;$C71,"* La variable "&amp;AT$10&amp;"no puede superar el Total Ambos Sexos. ",""))</f>
        <v/>
      </c>
      <c r="CH71" s="219">
        <f>IF(AND($C71&lt;&gt;0,AU71=""),"* No olvide ingresar la variable "&amp;AU$10&amp;". Digite Cero si no tiene. ",IF(AU71&gt;$C71,"* La variable "&amp;AU$10&amp;" no puede superar el Total Ambos Sexos. ",""))</f>
        <v/>
      </c>
      <c r="CI71" s="226" t="n"/>
      <c r="CJ71" s="221">
        <f>IF(AND($C71&lt;&gt;0,AN71=""),1,IF(AN71&gt;$C71,1,0))</f>
        <v/>
      </c>
      <c r="CK71" s="221">
        <f>IF(AND(E71&gt;0,OR(AO71="")),1,IF(AO71&gt;E71,1,0))</f>
        <v/>
      </c>
      <c r="CL71" s="221">
        <f>IF(AND(D71&gt;0,OR(AP71="")),1,IF(AP71&gt;D71,1,0))</f>
        <v/>
      </c>
      <c r="CM71" s="221">
        <f>IF(AND($C71&lt;&gt;0,AQ71=""),1,IF(AQ71&gt;$C71,1,0))</f>
        <v/>
      </c>
      <c r="CN71" s="221">
        <f>IF(AND($C71&lt;&gt;0,AR71=""),1,IF(AR71&gt;$C71,1,0))</f>
        <v/>
      </c>
      <c r="CO71" s="376">
        <f>IF(AND(SUM(J71:M71)&gt;0,AS71=""),1,IF(AS71&gt;SUM(J71:M71),1,0))</f>
        <v/>
      </c>
      <c r="CP71" s="221">
        <f>IF(AND($C71&lt;&gt;0,AT71=""),1,IF(AT71&gt;$C71,1,0))</f>
        <v/>
      </c>
      <c r="CQ71" s="221">
        <f>IF(AND($C71&lt;&gt;0,AU71=""),1,IF(AU71&gt;$C71,1,0))</f>
        <v/>
      </c>
    </row>
    <row r="72">
      <c r="A72" s="9588" t="n"/>
      <c r="B72" s="3178" t="inlineStr">
        <is>
          <t>Facilitador/a intercultural</t>
        </is>
      </c>
      <c r="C72" s="640">
        <f>SUM(D72+E72)</f>
        <v/>
      </c>
      <c r="D72" s="3179">
        <f>SUM(J72+L72+N72+P72+R72+T72+V72+X72+Z72+AB72+AD72+AF72+AH72+AJ72+AL72)</f>
        <v/>
      </c>
      <c r="E72" s="400">
        <f>SUM(K72+M72+O72+Q72+S72+U72+W72+Y72+AA72+AC72+AE72+AG72+AI72+AK72+AM72)</f>
        <v/>
      </c>
      <c r="F72" s="1459" t="n"/>
      <c r="G72" s="3288" t="n"/>
      <c r="H72" s="1459" t="n"/>
      <c r="I72" s="3288" t="n"/>
      <c r="J72" s="1198" t="n"/>
      <c r="K72" s="1199" t="n"/>
      <c r="L72" s="1198" t="n"/>
      <c r="M72" s="1199" t="n"/>
      <c r="N72" s="1198" t="n"/>
      <c r="O72" s="1199" t="n"/>
      <c r="P72" s="1198" t="n"/>
      <c r="Q72" s="1199" t="n"/>
      <c r="R72" s="1198" t="n"/>
      <c r="S72" s="1199" t="n"/>
      <c r="T72" s="1198" t="n"/>
      <c r="U72" s="1199" t="n"/>
      <c r="V72" s="1198" t="n"/>
      <c r="W72" s="1199" t="n"/>
      <c r="X72" s="1198" t="n"/>
      <c r="Y72" s="1199" t="n"/>
      <c r="Z72" s="1198" t="n"/>
      <c r="AA72" s="1199" t="n"/>
      <c r="AB72" s="1198" t="n"/>
      <c r="AC72" s="1199" t="n"/>
      <c r="AD72" s="1198" t="n"/>
      <c r="AE72" s="1199" t="n"/>
      <c r="AF72" s="1198" t="n"/>
      <c r="AG72" s="1199" t="n"/>
      <c r="AH72" s="1198" t="n"/>
      <c r="AI72" s="1199" t="n"/>
      <c r="AJ72" s="1198" t="n"/>
      <c r="AK72" s="1199" t="n"/>
      <c r="AL72" s="1301" t="n"/>
      <c r="AM72" s="1414" t="n"/>
      <c r="AN72" s="3282" t="n"/>
      <c r="AO72" s="1200" t="n"/>
      <c r="AP72" s="1148" t="n"/>
      <c r="AQ72" s="1301" t="n"/>
      <c r="AR72" s="1418" t="n"/>
      <c r="AS72" s="1301" t="n"/>
      <c r="AT72" s="1301" t="n"/>
      <c r="AU72" s="1418" t="n"/>
      <c r="AV72" s="218">
        <f>$CA72&amp;$CB72&amp;CC72&amp;CD72&amp;CE72&amp;CF72&amp;CG72&amp;CH72</f>
        <v/>
      </c>
      <c r="CA72" s="219">
        <f>IF(AND($C72&lt;&gt;0,AN72=""),"* No olvide ingresar la columna Espacios Amigables /adolescentes (Digite CERO si no tiene). ",IF(AN72&gt;$C72,"* El Número de Espacios Amigables no puede superar el Total. ",""))</f>
        <v/>
      </c>
      <c r="CB72" s="219">
        <f>IF(AND(E72&gt;0,OR(AO72="")),"No olvide digitar los campos *TRANS Masculino (Digite CERO si no tiene).",IF(AO72&gt;E72,"* El Número de TRANS Masculino no puede superar el Total Mujeres. ",""))</f>
        <v/>
      </c>
      <c r="CC72" s="219">
        <f>IF(AND(D72&gt;0,OR(AP72="")),"No olvide digitar los campos *TRANS Femenino (Digite CERO si no tiene).",IF(AP72&gt;$D72,"* El Número de TRANS Femenino no puede superar el Total Hombres. ",""))</f>
        <v/>
      </c>
      <c r="CD72" s="219">
        <f>IF(AND($C72&lt;&gt;0,AQ72=""),"* No olvide ingresar la columna Pueblos Originarios (Digite CERO si no tiene).  ",IF(AQ72&gt;$C72,"* El Número de Pueblos Originarios no puede superar el Total. ",""))</f>
        <v/>
      </c>
      <c r="CE72" s="219">
        <f>IF(AND($C72&lt;&gt;0,AR72=""),"* No olvide ingresar la columna Migrantes (Digite CERO si no tiene).  ",IF(AR72&gt;$C72,"* El Número de Migrantes no puede superar el Total. ",""))</f>
        <v/>
      </c>
      <c r="CF72" s="910">
        <f>IF(AND(SUM(J72:M72)&gt;0,AS72=""),"* No olvide digitar la variable 14-18 años. Si no tiene digite Cero.",IF(AS72&gt;SUM(J72:M72),"* La variable 14-18 años no puede ser mayor al total por grupo edad de 10 a 19 años. ",""))</f>
        <v/>
      </c>
      <c r="CG72" s="219">
        <f>IF(AND($C72&lt;&gt;0,AT72=""),"* No olvide ingresar la variable "&amp;AT$10&amp;". Digite Cero si no tiene.",IF(AT72&gt;$C72,"* La variable "&amp;AT$10&amp;"no puede superar el Total Ambos Sexos. ",""))</f>
        <v/>
      </c>
      <c r="CH72" s="219">
        <f>IF(AND($C72&lt;&gt;0,AU72=""),"* No olvide ingresar la variable "&amp;AU$10&amp;". Digite Cero si no tiene. ",IF(AU72&gt;$C72,"* La variable "&amp;AU$10&amp;" no puede superar el Total Ambos Sexos. ",""))</f>
        <v/>
      </c>
      <c r="CI72" s="226" t="n"/>
      <c r="CJ72" s="221">
        <f>IF(AND($C72&lt;&gt;0,AN72=""),1,IF(AN72&gt;$C72,1,0))</f>
        <v/>
      </c>
      <c r="CK72" s="221">
        <f>IF(AND(E72&gt;0,OR(AO72="")),1,IF(AO72&gt;E72,1,0))</f>
        <v/>
      </c>
      <c r="CL72" s="221">
        <f>IF(AND(D72&gt;0,OR(AP72="")),1,IF(AP72&gt;D72,1,0))</f>
        <v/>
      </c>
      <c r="CM72" s="221">
        <f>IF(AND($C72&lt;&gt;0,AQ72=""),1,IF(AQ72&gt;$C72,1,0))</f>
        <v/>
      </c>
      <c r="CN72" s="221">
        <f>IF(AND($C72&lt;&gt;0,AR72=""),1,IF(AR72&gt;$C72,1,0))</f>
        <v/>
      </c>
      <c r="CO72" s="376">
        <f>IF(AND(SUM(J72:M72)&gt;0,AS72=""),1,IF(AS72&gt;SUM(J72:M72),1,0))</f>
        <v/>
      </c>
      <c r="CP72" s="221">
        <f>IF(AND($C72&lt;&gt;0,AT72=""),1,IF(AT72&gt;$C72,1,0))</f>
        <v/>
      </c>
      <c r="CQ72" s="221">
        <f>IF(AND($C72&lt;&gt;0,AU72=""),1,IF(AU72&gt;$C72,1,0))</f>
        <v/>
      </c>
    </row>
    <row r="73">
      <c r="A73" s="9589" t="n"/>
      <c r="B73" s="7763" t="inlineStr">
        <is>
          <t>Otro profesional</t>
        </is>
      </c>
      <c r="C73" s="1176">
        <f>SUM(D73+E73)</f>
        <v/>
      </c>
      <c r="D73" s="1177">
        <f>SUM(J73+L73+N73+P73+R73+T73+V73+X73+Z73+AB73+AD73+AF73+AH73+AJ73+AL73)</f>
        <v/>
      </c>
      <c r="E73" s="3285">
        <f>SUM(K73+M73+O73+Q73+S73+U73+W73+Y73+AA73+AC73+AE73+AG73+AI73+AK73+AM73)</f>
        <v/>
      </c>
      <c r="F73" s="1154" t="n"/>
      <c r="G73" s="1467" t="n"/>
      <c r="H73" s="1154" t="n"/>
      <c r="I73" s="1467" t="n"/>
      <c r="J73" s="1137" t="n"/>
      <c r="K73" s="1139" t="n"/>
      <c r="L73" s="1137" t="n"/>
      <c r="M73" s="1139" t="n"/>
      <c r="N73" s="1137" t="n"/>
      <c r="O73" s="1139" t="n"/>
      <c r="P73" s="1137" t="n"/>
      <c r="Q73" s="1139" t="n"/>
      <c r="R73" s="1137" t="n"/>
      <c r="S73" s="1139" t="n"/>
      <c r="T73" s="1137" t="n"/>
      <c r="U73" s="1139" t="n"/>
      <c r="V73" s="1137" t="n"/>
      <c r="W73" s="1139" t="n"/>
      <c r="X73" s="1137" t="n"/>
      <c r="Y73" s="1139" t="n"/>
      <c r="Z73" s="1137" t="n"/>
      <c r="AA73" s="1139" t="n"/>
      <c r="AB73" s="1137" t="n"/>
      <c r="AC73" s="1139" t="n"/>
      <c r="AD73" s="1137" t="n"/>
      <c r="AE73" s="1139" t="n"/>
      <c r="AF73" s="1137" t="n"/>
      <c r="AG73" s="1139" t="n"/>
      <c r="AH73" s="1137" t="n"/>
      <c r="AI73" s="1139" t="n"/>
      <c r="AJ73" s="1137" t="n"/>
      <c r="AK73" s="1139" t="n"/>
      <c r="AL73" s="1151" t="n"/>
      <c r="AM73" s="1143" t="n"/>
      <c r="AN73" s="1208" t="n"/>
      <c r="AO73" s="1140" t="n"/>
      <c r="AP73" s="1138" t="n"/>
      <c r="AQ73" s="1151" t="n"/>
      <c r="AR73" s="1299" t="n"/>
      <c r="AS73" s="1151" t="n"/>
      <c r="AT73" s="1151" t="n"/>
      <c r="AU73" s="1299" t="n"/>
      <c r="AV73" s="218">
        <f>$CA73&amp;$CB73&amp;CC73&amp;CD73&amp;CE73&amp;CF73&amp;CG73&amp;CH73</f>
        <v/>
      </c>
      <c r="CA73" s="219">
        <f>IF(AND($C73&lt;&gt;0,AN73=""),"* No olvide ingresar la columna Espacios Amigables /adolescentes (Digite CERO si no tiene). ",IF(AN73&gt;$C73,"* El Número de Espacios Amigables no puede superar el Total. ",""))</f>
        <v/>
      </c>
      <c r="CB73" s="219">
        <f>IF(AND(E73&gt;0,OR(AO73="")),"No olvide digitar los campos *TRANS Masculino (Digite CERO si no tiene).",IF(AO73&gt;E73,"* El Número de TRANS Masculino no puede superar el Total Mujeres. ",""))</f>
        <v/>
      </c>
      <c r="CC73" s="219">
        <f>IF(AND(D73&gt;0,OR(AP73="")),"No olvide digitar los campos *TRANS Femenino (Digite CERO si no tiene).",IF(AP73&gt;$D73,"* El Número de TRANS Femenino no puede superar el Total Hombres. ",""))</f>
        <v/>
      </c>
      <c r="CD73" s="219">
        <f>IF(AND($C73&lt;&gt;0,AQ73=""),"* No olvide ingresar la columna Pueblos Originarios (Digite CERO si no tiene).  ",IF(AQ73&gt;$C73,"* El Número de Pueblos Originarios no puede superar el Total. ",""))</f>
        <v/>
      </c>
      <c r="CE73" s="219">
        <f>IF(AND($C73&lt;&gt;0,AR73=""),"* No olvide ingresar la columna Migrantes (Digite CERO si no tiene).  ",IF(AR73&gt;$C73,"* El Número de Migrantes no puede superar el Total. ",""))</f>
        <v/>
      </c>
      <c r="CF73" s="910">
        <f>IF(AND(SUM(J73:M73)&gt;0,AS73=""),"* No olvide digitar la variable 14-18 años. Si no tiene digite Cero.",IF(AS73&gt;SUM(J73:M73),"* La variable 14-18 años no puede ser mayor al total por grupo edad de 10 a 19 años. ",""))</f>
        <v/>
      </c>
      <c r="CG73" s="219">
        <f>IF(AND($C73&lt;&gt;0,AT73=""),"* No olvide ingresar la variable "&amp;AT$10&amp;". Digite Cero si no tiene.",IF(AT73&gt;$C73,"* La variable "&amp;AT$10&amp;"no puede superar el Total Ambos Sexos. ",""))</f>
        <v/>
      </c>
      <c r="CH73" s="219">
        <f>IF(AND($C73&lt;&gt;0,AU73=""),"* No olvide ingresar la variable "&amp;AU$10&amp;". Digite Cero si no tiene. ",IF(AU73&gt;$C73,"* La variable "&amp;AU$10&amp;" no puede superar el Total Ambos Sexos. ",""))</f>
        <v/>
      </c>
      <c r="CI73" s="226" t="n"/>
      <c r="CJ73" s="221">
        <f>IF(AND($C73&lt;&gt;0,AN73=""),1,IF(AN73&gt;$C73,1,0))</f>
        <v/>
      </c>
      <c r="CK73" s="221">
        <f>IF(AND(E73&gt;0,OR(AO73="")),1,IF(AO73&gt;E73,1,0))</f>
        <v/>
      </c>
      <c r="CL73" s="221">
        <f>IF(AND(D73&gt;0,OR(AP73="")),1,IF(AP73&gt;D73,1,0))</f>
        <v/>
      </c>
      <c r="CM73" s="221">
        <f>IF(AND($C73&lt;&gt;0,AQ73=""),1,IF(AQ73&gt;$C73,1,0))</f>
        <v/>
      </c>
      <c r="CN73" s="221">
        <f>IF(AND($C73&lt;&gt;0,AR73=""),1,IF(AR73&gt;$C73,1,0))</f>
        <v/>
      </c>
      <c r="CO73" s="376">
        <f>IF(AND(SUM(J73:M73)&gt;0,AS73=""),1,IF(AS73&gt;SUM(J73:M73),1,0))</f>
        <v/>
      </c>
      <c r="CP73" s="221">
        <f>IF(AND($C73&lt;&gt;0,AT73=""),1,IF(AT73&gt;$C73,1,0))</f>
        <v/>
      </c>
      <c r="CQ73" s="221">
        <f>IF(AND($C73&lt;&gt;0,AU73=""),1,IF(AU73&gt;$C73,1,0))</f>
        <v/>
      </c>
    </row>
    <row r="74">
      <c r="A74" s="10236" t="inlineStr">
        <is>
          <t>Prevención de la transmisión vertical del VIH (gestantes) con o sin entrega de preservativos</t>
        </is>
      </c>
      <c r="B74" s="3271" t="inlineStr">
        <is>
          <t>Médico/a previo examen VIH</t>
        </is>
      </c>
      <c r="C74" s="3094">
        <f>SUM(D74+E74)</f>
        <v/>
      </c>
      <c r="D74" s="3298" t="n"/>
      <c r="E74" s="3272">
        <f>SUM(K74+M74+O74+Q74+S74+U74+W74+Y74+AA74+AC74)</f>
        <v/>
      </c>
      <c r="F74" s="3154" t="n"/>
      <c r="G74" s="3287" t="n"/>
      <c r="H74" s="3154" t="n"/>
      <c r="I74" s="3287" t="n"/>
      <c r="J74" s="3154" t="n"/>
      <c r="K74" s="3126" t="n"/>
      <c r="L74" s="3154" t="n"/>
      <c r="M74" s="3126" t="n"/>
      <c r="N74" s="3154" t="n"/>
      <c r="O74" s="3126" t="n"/>
      <c r="P74" s="3154" t="n"/>
      <c r="Q74" s="3126" t="n"/>
      <c r="R74" s="3154" t="n"/>
      <c r="S74" s="3126" t="n"/>
      <c r="T74" s="3154" t="n"/>
      <c r="U74" s="3126" t="n"/>
      <c r="V74" s="3154" t="n"/>
      <c r="W74" s="3126" t="n"/>
      <c r="X74" s="3154" t="n"/>
      <c r="Y74" s="3126" t="n"/>
      <c r="Z74" s="3154" t="n"/>
      <c r="AA74" s="3126" t="n"/>
      <c r="AB74" s="3154" t="n"/>
      <c r="AC74" s="1199" t="n"/>
      <c r="AD74" s="3299" t="n"/>
      <c r="AE74" s="3300" t="n"/>
      <c r="AF74" s="3143" t="n"/>
      <c r="AG74" s="2574" t="n"/>
      <c r="AH74" s="3143" t="n"/>
      <c r="AI74" s="2574" t="n"/>
      <c r="AJ74" s="3143" t="n"/>
      <c r="AK74" s="2574" t="n"/>
      <c r="AL74" s="3293" t="n"/>
      <c r="AM74" s="1462" t="n"/>
      <c r="AN74" s="2687" t="n"/>
      <c r="AO74" s="3158" t="n"/>
      <c r="AP74" s="3130" t="n"/>
      <c r="AQ74" s="3705" t="n"/>
      <c r="AR74" s="5286" t="n"/>
      <c r="AS74" s="3294" t="n"/>
      <c r="AT74" s="3705" t="n"/>
      <c r="AU74" s="5286" t="n"/>
      <c r="AV74" s="218">
        <f>$CA74&amp;$CB74&amp;CC74&amp;CD74&amp;CE74&amp;CF74&amp;CG74&amp;CH74</f>
        <v/>
      </c>
      <c r="CA74" s="219">
        <f>IF(AND($C74&lt;&gt;0,AN74=""),"* No olvide ingresar la columna Espacios Amigables /adolescentes (Digite CERO si no tiene). ",IF(AN74&gt;$C74,"* El Número de Espacios Amigables no puede superar el Total. ",""))</f>
        <v/>
      </c>
      <c r="CB74" s="219">
        <f>IF(AND(E74&gt;0,OR(AO74="")),"No olvide digitar los campos *TRANS Masculino (Digite CERO si no tiene).",IF(AO74&gt;E74,"* El Número de TRANS Masculino no puede superar el Total Mujeres. ",""))</f>
        <v/>
      </c>
      <c r="CC74" s="228" t="n"/>
      <c r="CD74" s="219">
        <f>IF(AND($C74&lt;&gt;0,AQ74=""),"* No olvide ingresar la columna Pueblos Originarios (Digite CERO si no tiene).  ",IF(AQ74&gt;$C74,"* El Número de Pueblos Originarios no puede superar el Total. ",""))</f>
        <v/>
      </c>
      <c r="CE74" s="219">
        <f>IF(AND($C74&lt;&gt;0,AR74=""),"* No olvide ingresar la columna Migrantes (Digite CERO si no tiene).  ",IF(AR74&gt;$C74,"* El Número de Migrantes no puede superar el Total. ",""))</f>
        <v/>
      </c>
      <c r="CF74" s="910">
        <f>IF(AND(SUM(J74:M74)&gt;0,AS74=""),"* No olvide digitar la variable 14-18 años. Si no tiene digite Cero.",IF(AS74&gt;SUM(J74:M74),"* La variable 14-18 años no puede ser mayor al total por grupo edad de 10 a 19 años. ",""))</f>
        <v/>
      </c>
      <c r="CG74" s="219">
        <f>IF(AND($C74&lt;&gt;0,AT74=""),"* No olvide ingresar la variable "&amp;AT$10&amp;". Digite Cero si no tiene.",IF(AT74&gt;$C74,"* La variable "&amp;AT$10&amp;"no puede superar el Total Ambos Sexos. ",""))</f>
        <v/>
      </c>
      <c r="CH74" s="219">
        <f>IF(AND($C74&lt;&gt;0,AU74=""),"* No olvide ingresar la variable "&amp;AU$10&amp;". Digite Cero si no tiene. ",IF(AU74&gt;$C74,"* La variable "&amp;AU$10&amp;" no puede superar el Total Ambos Sexos. ",""))</f>
        <v/>
      </c>
      <c r="CI74" s="226" t="n"/>
      <c r="CJ74" s="221">
        <f>IF(AND($C74&lt;&gt;0,AN74=""),1,IF(AN74&gt;$C74,1,0))</f>
        <v/>
      </c>
      <c r="CK74" s="221">
        <f>IF(AND(E74&gt;0,OR(AO74="")),1,IF(AO74&gt;E74,1,0))</f>
        <v/>
      </c>
      <c r="CL74" s="262" t="n"/>
      <c r="CM74" s="221">
        <f>IF(AND($C74&lt;&gt;0,AQ74=""),1,IF(AQ74&gt;$C74,1,0))</f>
        <v/>
      </c>
      <c r="CN74" s="221">
        <f>IF(AND($C74&lt;&gt;0,AR74=""),1,IF(AR74&gt;$C74,1,0))</f>
        <v/>
      </c>
      <c r="CO74" s="376">
        <f>IF(AND(SUM(J74:M74)&gt;0,AS74=""),1,IF(AS74&gt;SUM(J74:M74),1,0))</f>
        <v/>
      </c>
      <c r="CP74" s="221">
        <f>IF(AND($C74&lt;&gt;0,AT74=""),1,IF(AT74&gt;$C74,1,0))</f>
        <v/>
      </c>
      <c r="CQ74" s="221">
        <f>IF(AND($C74&lt;&gt;0,AU74=""),1,IF(AU74&gt;$C74,1,0))</f>
        <v/>
      </c>
    </row>
    <row r="75">
      <c r="A75" s="9588" t="n"/>
      <c r="B75" s="3279" t="inlineStr">
        <is>
          <t>Matrona/ón previo examen VIH</t>
        </is>
      </c>
      <c r="C75" s="1190">
        <f>SUM(D75+E75)</f>
        <v/>
      </c>
      <c r="D75" s="1460" t="n"/>
      <c r="E75" s="400">
        <f>SUM(K75+M75+O75+Q75+S75+U75+W75+Y75+AA75+AC75)</f>
        <v/>
      </c>
      <c r="F75" s="1459" t="n"/>
      <c r="G75" s="3288" t="n"/>
      <c r="H75" s="1459" t="n"/>
      <c r="I75" s="3288" t="n"/>
      <c r="J75" s="1459" t="n"/>
      <c r="K75" s="3101" t="n"/>
      <c r="L75" s="1459" t="n"/>
      <c r="M75" s="3101" t="n">
        <v>4</v>
      </c>
      <c r="N75" s="1459" t="n"/>
      <c r="O75" s="3101" t="n">
        <v>2</v>
      </c>
      <c r="P75" s="1459" t="n"/>
      <c r="Q75" s="3101" t="n">
        <v>15</v>
      </c>
      <c r="R75" s="1459" t="n"/>
      <c r="S75" s="3101" t="n">
        <v>12</v>
      </c>
      <c r="T75" s="1459" t="n"/>
      <c r="U75" s="3101" t="n">
        <v>4</v>
      </c>
      <c r="V75" s="1459" t="n"/>
      <c r="W75" s="3101" t="n">
        <v>1</v>
      </c>
      <c r="X75" s="1459" t="n"/>
      <c r="Y75" s="3101" t="n"/>
      <c r="Z75" s="1459" t="n"/>
      <c r="AA75" s="3101" t="n"/>
      <c r="AB75" s="1459" t="n"/>
      <c r="AC75" s="1199" t="n"/>
      <c r="AD75" s="3299" t="n"/>
      <c r="AE75" s="3300" t="n"/>
      <c r="AF75" s="3104" t="n"/>
      <c r="AG75" s="3106" t="n"/>
      <c r="AH75" s="3104" t="n"/>
      <c r="AI75" s="3106" t="n"/>
      <c r="AJ75" s="3104" t="n"/>
      <c r="AK75" s="3106" t="n"/>
      <c r="AL75" s="3295" t="n"/>
      <c r="AM75" s="884" t="n"/>
      <c r="AN75" s="3282" t="n">
        <v>0</v>
      </c>
      <c r="AO75" s="3100" t="n">
        <v>0</v>
      </c>
      <c r="AP75" s="1125" t="n">
        <v>0</v>
      </c>
      <c r="AQ75" s="3720" t="n">
        <v>2</v>
      </c>
      <c r="AR75" s="4008" t="n">
        <v>1</v>
      </c>
      <c r="AS75" s="3281" t="n">
        <v>1</v>
      </c>
      <c r="AT75" s="3720" t="n">
        <v>0</v>
      </c>
      <c r="AU75" s="4008" t="n">
        <v>0</v>
      </c>
      <c r="AV75" s="218">
        <f>$CA75&amp;$CB75&amp;CC75&amp;CD75&amp;CE75&amp;CF75&amp;CG75&amp;CH75</f>
        <v/>
      </c>
      <c r="CA75" s="219">
        <f>IF(AND($C75&lt;&gt;0,AN75=""),"* No olvide ingresar la columna Espacios Amigables /adolescentes (Digite CERO si no tiene). ",IF(AN75&gt;$C75,"* El Número de Espacios Amigables no puede superar el Total. ",""))</f>
        <v/>
      </c>
      <c r="CB75" s="219">
        <f>IF(AND(E75&gt;0,OR(AO75="")),"No olvide digitar los campos *TRANS Masculino (Digite CERO si no tiene).",IF(AO75&gt;E75,"* El Número de TRANS Masculino no puede superar el Total Mujeres. ",""))</f>
        <v/>
      </c>
      <c r="CC75" s="228" t="n"/>
      <c r="CD75" s="219">
        <f>IF(AND($C75&lt;&gt;0,AQ75=""),"* No olvide ingresar la columna Pueblos Originarios (Digite CERO si no tiene).  ",IF(AQ75&gt;$C75,"* El Número de Pueblos Originarios no puede superar el Total. ",""))</f>
        <v/>
      </c>
      <c r="CE75" s="219">
        <f>IF(AND($C75&lt;&gt;0,AR75=""),"* No olvide ingresar la columna Migrantes (Digite CERO si no tiene).  ",IF(AR75&gt;$C75,"* El Número de Migrantes no puede superar el Total. ",""))</f>
        <v/>
      </c>
      <c r="CF75" s="910">
        <f>IF(AND(SUM(J75:M75)&gt;0,AS75=""),"* No olvide digitar la variable 14-18 años. Si no tiene digite Cero.",IF(AS75&gt;SUM(J75:M75),"* La variable 14-18 años no puede ser mayor al total por grupo edad de 10 a 19 años. ",""))</f>
        <v/>
      </c>
      <c r="CG75" s="219">
        <f>IF(AND($C75&lt;&gt;0,AT75=""),"* No olvide ingresar la variable "&amp;AT$10&amp;". Digite Cero si no tiene.",IF(AT75&gt;$C75,"* La variable "&amp;AT$10&amp;"no puede superar el Total Ambos Sexos. ",""))</f>
        <v/>
      </c>
      <c r="CH75" s="219">
        <f>IF(AND($C75&lt;&gt;0,AU75=""),"* No olvide ingresar la variable "&amp;AU$10&amp;". Digite Cero si no tiene. ",IF(AU75&gt;$C75,"* La variable "&amp;AU$10&amp;" no puede superar el Total Ambos Sexos. ",""))</f>
        <v/>
      </c>
      <c r="CI75" s="226" t="n"/>
      <c r="CJ75" s="221">
        <f>IF(AND($C75&lt;&gt;0,AN75=""),1,IF(AN75&gt;$C75,1,0))</f>
        <v/>
      </c>
      <c r="CK75" s="221">
        <f>IF(AND(E75&gt;0,OR(AO75="")),1,IF(AO75&gt;E75,1,0))</f>
        <v/>
      </c>
      <c r="CL75" s="262" t="n"/>
      <c r="CM75" s="221">
        <f>IF(AND($C75&lt;&gt;0,AQ75=""),1,IF(AQ75&gt;$C75,1,0))</f>
        <v/>
      </c>
      <c r="CN75" s="221">
        <f>IF(AND($C75&lt;&gt;0,AR75=""),1,IF(AR75&gt;$C75,1,0))</f>
        <v/>
      </c>
      <c r="CO75" s="376">
        <f>IF(AND(SUM(J75:M75)&gt;0,AS75=""),1,IF(AS75&gt;SUM(J75:M75),1,0))</f>
        <v/>
      </c>
      <c r="CP75" s="221">
        <f>IF(AND($C75&lt;&gt;0,AT75=""),1,IF(AT75&gt;$C75,1,0))</f>
        <v/>
      </c>
      <c r="CQ75" s="221">
        <f>IF(AND($C75&lt;&gt;0,AU75=""),1,IF(AU75&gt;$C75,1,0))</f>
        <v/>
      </c>
    </row>
    <row r="76">
      <c r="A76" s="9588" t="n"/>
      <c r="B76" s="1417" t="inlineStr">
        <is>
          <t>Médico/a post test</t>
        </is>
      </c>
      <c r="C76" s="1190">
        <f>SUM(D76+E76)</f>
        <v/>
      </c>
      <c r="D76" s="3112" t="n"/>
      <c r="E76" s="400">
        <f>SUM(K76+M76+O76+Q76+S76+U76+W76+Y76+AA76+AC76)</f>
        <v/>
      </c>
      <c r="F76" s="3104" t="n"/>
      <c r="G76" s="1134" t="n"/>
      <c r="H76" s="3104" t="n"/>
      <c r="I76" s="1134" t="n"/>
      <c r="J76" s="3104" t="n"/>
      <c r="K76" s="3101" t="n"/>
      <c r="L76" s="3104" t="n"/>
      <c r="M76" s="3101" t="n"/>
      <c r="N76" s="3104" t="n"/>
      <c r="O76" s="3101" t="n"/>
      <c r="P76" s="3104" t="n"/>
      <c r="Q76" s="3101" t="n"/>
      <c r="R76" s="3104" t="n"/>
      <c r="S76" s="3101" t="n"/>
      <c r="T76" s="3104" t="n"/>
      <c r="U76" s="3101" t="n"/>
      <c r="V76" s="3104" t="n"/>
      <c r="W76" s="3101" t="n"/>
      <c r="X76" s="3104" t="n"/>
      <c r="Y76" s="3101" t="n"/>
      <c r="Z76" s="3104" t="n"/>
      <c r="AA76" s="3101" t="n"/>
      <c r="AB76" s="3104" t="n"/>
      <c r="AC76" s="1199" t="n"/>
      <c r="AD76" s="3299" t="n"/>
      <c r="AE76" s="3300" t="n"/>
      <c r="AF76" s="3104" t="n"/>
      <c r="AG76" s="3106" t="n"/>
      <c r="AH76" s="3104" t="n"/>
      <c r="AI76" s="3106" t="n"/>
      <c r="AJ76" s="3104" t="n"/>
      <c r="AK76" s="3106" t="n"/>
      <c r="AL76" s="3295" t="n"/>
      <c r="AM76" s="884" t="n"/>
      <c r="AN76" s="3282" t="n"/>
      <c r="AO76" s="1200" t="n"/>
      <c r="AP76" s="1148" t="n"/>
      <c r="AQ76" s="1301" t="n"/>
      <c r="AR76" s="1418" t="n"/>
      <c r="AS76" s="1301" t="n"/>
      <c r="AT76" s="1301" t="n"/>
      <c r="AU76" s="1418" t="n"/>
      <c r="AV76" s="218">
        <f>$CA76&amp;$CB76&amp;CC76&amp;CD76&amp;CE76&amp;CF76&amp;CG76&amp;CH76</f>
        <v/>
      </c>
      <c r="CA76" s="219">
        <f>IF(AND($C76&lt;&gt;0,AN76=""),"* No olvide ingresar la columna Espacios Amigables /adolescentes (Digite CERO si no tiene). ",IF(AN76&gt;$C76,"* El Número de Espacios Amigables no puede superar el Total. ",""))</f>
        <v/>
      </c>
      <c r="CB76" s="219">
        <f>IF(AND(E76&gt;0,OR(AO76="")),"No olvide digitar los campos *TRANS Masculino (Digite CERO si no tiene).",IF(AO76&gt;E76,"* El Número de TRANS Masculino no puede superar el Total Mujeres. ",""))</f>
        <v/>
      </c>
      <c r="CC76" s="228" t="n"/>
      <c r="CD76" s="219">
        <f>IF(AND($C76&lt;&gt;0,AQ76=""),"* No olvide ingresar la columna Pueblos Originarios (Digite CERO si no tiene).  ",IF(AQ76&gt;$C76,"* El Número de Pueblos Originarios no puede superar el Total. ",""))</f>
        <v/>
      </c>
      <c r="CE76" s="219">
        <f>IF(AND($C76&lt;&gt;0,AR76=""),"* No olvide ingresar la columna Migrantes (Digite CERO si no tiene).  ",IF(AR76&gt;$C76,"* El Número de Migrantes no puede superar el Total. ",""))</f>
        <v/>
      </c>
      <c r="CF76" s="910">
        <f>IF(AND(SUM(J76:M76)&gt;0,AS76=""),"* No olvide digitar la variable 14-18 años. Si no tiene digite Cero.",IF(AS76&gt;SUM(J76:M76),"* La variable 14-18 años no puede ser mayor al total por grupo edad de 10 a 19 años. ",""))</f>
        <v/>
      </c>
      <c r="CG76" s="219">
        <f>IF(AND($C76&lt;&gt;0,AT76=""),"* No olvide ingresar la variable "&amp;AT$10&amp;". Digite Cero si no tiene.",IF(AT76&gt;$C76,"* La variable "&amp;AT$10&amp;"no puede superar el Total Ambos Sexos. ",""))</f>
        <v/>
      </c>
      <c r="CH76" s="219">
        <f>IF(AND($C76&lt;&gt;0,AU76=""),"* No olvide ingresar la variable "&amp;AU$10&amp;". Digite Cero si no tiene. ",IF(AU76&gt;$C76,"* La variable "&amp;AU$10&amp;" no puede superar el Total Ambos Sexos. ",""))</f>
        <v/>
      </c>
      <c r="CI76" s="226" t="n"/>
      <c r="CJ76" s="221">
        <f>IF(AND($C76&lt;&gt;0,AN76=""),1,IF(AN76&gt;$C76,1,0))</f>
        <v/>
      </c>
      <c r="CK76" s="221">
        <f>IF(AND(E76&gt;0,OR(AO76="")),1,IF(AO76&gt;E76,1,0))</f>
        <v/>
      </c>
      <c r="CL76" s="262" t="n"/>
      <c r="CM76" s="221">
        <f>IF(AND($C76&lt;&gt;0,AQ76=""),1,IF(AQ76&gt;$C76,1,0))</f>
        <v/>
      </c>
      <c r="CN76" s="221">
        <f>IF(AND($C76&lt;&gt;0,AR76=""),1,IF(AR76&gt;$C76,1,0))</f>
        <v/>
      </c>
      <c r="CO76" s="376">
        <f>IF(AND(SUM(J76:M76)&gt;0,AS76=""),1,IF(AS76&gt;SUM(J76:M76),1,0))</f>
        <v/>
      </c>
      <c r="CP76" s="221">
        <f>IF(AND($C76&lt;&gt;0,AT76=""),1,IF(AT76&gt;$C76,1,0))</f>
        <v/>
      </c>
      <c r="CQ76" s="221">
        <f>IF(AND($C76&lt;&gt;0,AU76=""),1,IF(AU76&gt;$C76,1,0))</f>
        <v/>
      </c>
    </row>
    <row r="77">
      <c r="A77" s="9588" t="n"/>
      <c r="B77" s="3178" t="inlineStr">
        <is>
          <t>Matrón/na post test</t>
        </is>
      </c>
      <c r="C77" s="3103">
        <f>SUM(D77+E77)</f>
        <v/>
      </c>
      <c r="D77" s="1460" t="n"/>
      <c r="E77" s="400">
        <f>SUM(K77+M77+O77+Q77+S77+U77+W77+Y77+AA77+AC77)</f>
        <v/>
      </c>
      <c r="F77" s="1459" t="n"/>
      <c r="G77" s="3288" t="n"/>
      <c r="H77" s="1459" t="n"/>
      <c r="I77" s="3288" t="n"/>
      <c r="J77" s="1459" t="n"/>
      <c r="K77" s="1199" t="n"/>
      <c r="L77" s="1459" t="n"/>
      <c r="M77" s="1199" t="n"/>
      <c r="N77" s="1459" t="n"/>
      <c r="O77" s="1199" t="n">
        <v>3</v>
      </c>
      <c r="P77" s="1459" t="n"/>
      <c r="Q77" s="1199" t="n">
        <v>3</v>
      </c>
      <c r="R77" s="1459" t="n"/>
      <c r="S77" s="1199" t="n">
        <v>6</v>
      </c>
      <c r="T77" s="1459" t="n"/>
      <c r="U77" s="1199" t="n">
        <v>5</v>
      </c>
      <c r="V77" s="1459" t="n"/>
      <c r="W77" s="1199" t="n">
        <v>2</v>
      </c>
      <c r="X77" s="1459" t="n"/>
      <c r="Y77" s="1199" t="n"/>
      <c r="Z77" s="1459" t="n"/>
      <c r="AA77" s="1199" t="n"/>
      <c r="AB77" s="1459" t="n"/>
      <c r="AC77" s="1199" t="n"/>
      <c r="AD77" s="3299" t="n"/>
      <c r="AE77" s="3300" t="n"/>
      <c r="AF77" s="3104" t="n"/>
      <c r="AG77" s="3106" t="n"/>
      <c r="AH77" s="3104" t="n"/>
      <c r="AI77" s="3106" t="n"/>
      <c r="AJ77" s="3104" t="n"/>
      <c r="AK77" s="3106" t="n"/>
      <c r="AL77" s="3295" t="n"/>
      <c r="AM77" s="884" t="n"/>
      <c r="AN77" s="3282" t="n">
        <v>1</v>
      </c>
      <c r="AO77" s="1200" t="n">
        <v>0</v>
      </c>
      <c r="AP77" s="1148" t="n">
        <v>0</v>
      </c>
      <c r="AQ77" s="1301" t="n">
        <v>0</v>
      </c>
      <c r="AR77" s="1418" t="n">
        <v>5</v>
      </c>
      <c r="AS77" s="1301" t="n">
        <v>0</v>
      </c>
      <c r="AT77" s="1301" t="n">
        <v>0</v>
      </c>
      <c r="AU77" s="1418" t="n">
        <v>0</v>
      </c>
      <c r="AV77" s="218">
        <f>$CA77&amp;$CB77&amp;CC77&amp;CD77&amp;CE77&amp;CF77&amp;CG77&amp;CH77</f>
        <v/>
      </c>
      <c r="CA77" s="219">
        <f>IF(AND($C77&lt;&gt;0,AN77=""),"* No olvide ingresar la columna Espacios Amigables /adolescentes (Digite CERO si no tiene). ",IF(AN77&gt;$C77,"* El Número de Espacios Amigables no puede superar el Total. ",""))</f>
        <v/>
      </c>
      <c r="CB77" s="219">
        <f>IF(AND(E77&gt;0,OR(AO77="")),"No olvide digitar los campos *TRANS Masculino (Digite CERO si no tiene).",IF(AO77&gt;E77,"* El Número de TRANS Masculino no puede superar el Total Mujeres. ",""))</f>
        <v/>
      </c>
      <c r="CC77" s="228" t="n"/>
      <c r="CD77" s="219">
        <f>IF(AND($C77&lt;&gt;0,AQ77=""),"* No olvide ingresar la columna Pueblos Originarios (Digite CERO si no tiene).  ",IF(AQ77&gt;$C77,"* El Número de Pueblos Originarios no puede superar el Total. ",""))</f>
        <v/>
      </c>
      <c r="CE77" s="219">
        <f>IF(AND($C77&lt;&gt;0,AR77=""),"* No olvide ingresar la columna Migrantes (Digite CERO si no tiene).  ",IF(AR77&gt;$C77,"* El Número de Migrantes no puede superar el Total. ",""))</f>
        <v/>
      </c>
      <c r="CF77" s="910">
        <f>IF(AND(SUM(J77:M77)&gt;0,AS77=""),"* No olvide digitar la variable 14-18 años. Si no tiene digite Cero.",IF(AS77&gt;SUM(J77:M77),"* La variable 14-18 años no puede ser mayor al total por grupo edad de 10 a 19 años. ",""))</f>
        <v/>
      </c>
      <c r="CG77" s="219">
        <f>IF(AND($C77&lt;&gt;0,AT77=""),"* No olvide ingresar la variable "&amp;AT$10&amp;". Digite Cero si no tiene.",IF(AT77&gt;$C77,"* La variable "&amp;AT$10&amp;"no puede superar el Total Ambos Sexos. ",""))</f>
        <v/>
      </c>
      <c r="CH77" s="219">
        <f>IF(AND($C77&lt;&gt;0,AU77=""),"* No olvide ingresar la variable "&amp;AU$10&amp;". Digite Cero si no tiene. ",IF(AU77&gt;$C77,"* La variable "&amp;AU$10&amp;" no puede superar el Total Ambos Sexos. ",""))</f>
        <v/>
      </c>
      <c r="CI77" s="226" t="n"/>
      <c r="CJ77" s="221">
        <f>IF(AND($C77&lt;&gt;0,AN77=""),1,IF(AN77&gt;$C77,1,0))</f>
        <v/>
      </c>
      <c r="CK77" s="221">
        <f>IF(AND(E77&gt;0,OR(AO77="")),1,IF(AO77&gt;E77,1,0))</f>
        <v/>
      </c>
      <c r="CL77" s="262" t="n"/>
      <c r="CM77" s="221">
        <f>IF(AND($C77&lt;&gt;0,AQ77=""),1,IF(AQ77&gt;$C77,1,0))</f>
        <v/>
      </c>
      <c r="CN77" s="221">
        <f>IF(AND($C77&lt;&gt;0,AR77=""),1,IF(AR77&gt;$C77,1,0))</f>
        <v/>
      </c>
      <c r="CO77" s="376">
        <f>IF(AND(SUM(J77:M77)&gt;0,AS77=""),1,IF(AS77&gt;SUM(J77:M77),1,0))</f>
        <v/>
      </c>
      <c r="CP77" s="221">
        <f>IF(AND($C77&lt;&gt;0,AT77=""),1,IF(AT77&gt;$C77,1,0))</f>
        <v/>
      </c>
      <c r="CQ77" s="221">
        <f>IF(AND($C77&lt;&gt;0,AU77=""),1,IF(AU77&gt;$C77,1,0))</f>
        <v/>
      </c>
    </row>
    <row r="78">
      <c r="A78" s="9589" t="n"/>
      <c r="B78" s="2669" t="inlineStr">
        <is>
          <t>Facilitador/a intercultural</t>
        </is>
      </c>
      <c r="C78" s="2576">
        <f>SUM(D78+E78)</f>
        <v/>
      </c>
      <c r="D78" s="1455" t="n"/>
      <c r="E78" s="3285">
        <f>SUM(K78+M78+O78+Q78+S78+U78+W78+Y78+AA78+AC78)</f>
        <v/>
      </c>
      <c r="F78" s="1154" t="n"/>
      <c r="G78" s="1467" t="n"/>
      <c r="H78" s="1154" t="n"/>
      <c r="I78" s="1467" t="n"/>
      <c r="J78" s="1154" t="n"/>
      <c r="K78" s="1139" t="n"/>
      <c r="L78" s="1154" t="n"/>
      <c r="M78" s="1139" t="n"/>
      <c r="N78" s="1154" t="n"/>
      <c r="O78" s="1139" t="n"/>
      <c r="P78" s="1154" t="n"/>
      <c r="Q78" s="1139" t="n"/>
      <c r="R78" s="1154" t="n"/>
      <c r="S78" s="1139" t="n"/>
      <c r="T78" s="1154" t="n"/>
      <c r="U78" s="1139" t="n"/>
      <c r="V78" s="1154" t="n"/>
      <c r="W78" s="1139" t="n"/>
      <c r="X78" s="1154" t="n"/>
      <c r="Y78" s="1139" t="n"/>
      <c r="Z78" s="1154" t="n"/>
      <c r="AA78" s="1139" t="n"/>
      <c r="AB78" s="1154" t="n"/>
      <c r="AC78" s="1139" t="n"/>
      <c r="AD78" s="1463" t="n"/>
      <c r="AE78" s="3301" t="n"/>
      <c r="AF78" s="1154" t="n"/>
      <c r="AG78" s="1155" t="n"/>
      <c r="AH78" s="1154" t="n"/>
      <c r="AI78" s="1155" t="n"/>
      <c r="AJ78" s="1154" t="n"/>
      <c r="AK78" s="1155" t="n"/>
      <c r="AL78" s="1468" t="n"/>
      <c r="AM78" s="1457" t="n"/>
      <c r="AN78" s="1208" t="n"/>
      <c r="AO78" s="1140" t="n"/>
      <c r="AP78" s="1138" t="n"/>
      <c r="AQ78" s="1151" t="n"/>
      <c r="AR78" s="1299" t="n"/>
      <c r="AS78" s="1151" t="n"/>
      <c r="AT78" s="1151" t="n"/>
      <c r="AU78" s="1299" t="n"/>
      <c r="AV78" s="218">
        <f>$CA78&amp;$CB78&amp;CC78&amp;CD78&amp;CE78&amp;CF78&amp;CG78&amp;CH78</f>
        <v/>
      </c>
      <c r="CA78" s="219">
        <f>IF(AND($C78&lt;&gt;0,AN78=""),"* No olvide ingresar la columna Espacios Amigables /adolescentes (Digite CERO si no tiene). ",IF(AN78&gt;$C78,"* El Número de Espacios Amigables no puede superar el Total. ",""))</f>
        <v/>
      </c>
      <c r="CB78" s="219">
        <f>IF(AND(E78&gt;0,OR(AO78="")),"No olvide digitar los campos *TRANS Masculino (Digite CERO si no tiene).",IF(AO78&gt;E78,"* El Número de TRANS Masculino no puede superar el Total Mujeres. ",""))</f>
        <v/>
      </c>
      <c r="CC78" s="228" t="n"/>
      <c r="CD78" s="219">
        <f>IF(AND($C78&lt;&gt;0,AQ78=""),"* No olvide ingresar la columna Pueblos Originarios (Digite CERO si no tiene).  ",IF(AQ78&gt;$C78,"* El Número de Pueblos Originarios no puede superar el Total. ",""))</f>
        <v/>
      </c>
      <c r="CE78" s="219">
        <f>IF(AND($C78&lt;&gt;0,AR78=""),"* No olvide ingresar la columna Migrantes (Digite CERO si no tiene).  ",IF(AR78&gt;$C78,"* El Número de Migrantes no puede superar el Total. ",""))</f>
        <v/>
      </c>
      <c r="CF78" s="910">
        <f>IF(AND(SUM(J78:M78)&gt;0,AS78=""),"* No olvide digitar la variable 14-18 años. Si no tiene digite Cero.",IF(AS78&gt;SUM(J78:M78),"* La variable 14-18 años no puede ser mayor al total por grupo edad de 10 a 19 años. ",""))</f>
        <v/>
      </c>
      <c r="CG78" s="219">
        <f>IF(AND($C78&lt;&gt;0,AT78=""),"* No olvide ingresar la variable "&amp;AT$10&amp;". Digite Cero si no tiene.",IF(AT78&gt;$C78,"* La variable "&amp;AT$10&amp;"no puede superar el Total Ambos Sexos. ",""))</f>
        <v/>
      </c>
      <c r="CH78" s="219">
        <f>IF(AND($C78&lt;&gt;0,AU78=""),"* No olvide ingresar la variable "&amp;AU$10&amp;". Digite Cero si no tiene. ",IF(AU78&gt;$C78,"* La variable "&amp;AU$10&amp;" no puede superar el Total Ambos Sexos. ",""))</f>
        <v/>
      </c>
      <c r="CI78" s="226" t="n"/>
      <c r="CJ78" s="221">
        <f>IF(AND($C78&lt;&gt;0,AN78=""),1,IF(AN78&gt;$C78,1,0))</f>
        <v/>
      </c>
      <c r="CK78" s="221">
        <f>IF(AND(E78&gt;0,OR(AO78="")),1,IF(AO78&gt;E78,1,0))</f>
        <v/>
      </c>
      <c r="CL78" s="262" t="n"/>
      <c r="CM78" s="221">
        <f>IF(AND($C78&lt;&gt;0,AQ78=""),1,IF(AQ78&gt;$C78,1,0))</f>
        <v/>
      </c>
      <c r="CN78" s="221">
        <f>IF(AND($C78&lt;&gt;0,AR78=""),1,IF(AR78&gt;$C78,1,0))</f>
        <v/>
      </c>
      <c r="CO78" s="376">
        <f>IF(AND(SUM(J78:M78)&gt;0,AS78=""),1,IF(AS78&gt;SUM(J78:M78),1,0))</f>
        <v/>
      </c>
      <c r="CP78" s="221">
        <f>IF(AND($C78&lt;&gt;0,AT78=""),1,IF(AT78&gt;$C78,1,0))</f>
        <v/>
      </c>
      <c r="CQ78" s="221">
        <f>IF(AND($C78&lt;&gt;0,AU78=""),1,IF(AU78&gt;$C78,1,0))</f>
        <v/>
      </c>
    </row>
    <row r="79">
      <c r="A79" s="9989" t="inlineStr">
        <is>
          <t>Ejercicio de Derechos</t>
        </is>
      </c>
      <c r="B79" s="3271" t="inlineStr">
        <is>
          <t>Médico/a</t>
        </is>
      </c>
      <c r="C79" s="3302">
        <f>SUM(D79+E79)</f>
        <v/>
      </c>
      <c r="D79" s="1997">
        <f>+F79+H79+J79+L79+N79+P79+R79+T79+V79+X79+Z79+AB79+AD79+AF79+AH79+AJ79+AL79</f>
        <v/>
      </c>
      <c r="E79" s="8321">
        <f>+G79+I79+K79+M79+O79+Q79+S79+U79+W79+Y79+AA79+AC79+AE79+AG79+AI79+AK79+AM79</f>
        <v/>
      </c>
      <c r="F79" s="1935" t="n"/>
      <c r="G79" s="1186" t="n"/>
      <c r="H79" s="1935" t="n"/>
      <c r="I79" s="1186" t="n"/>
      <c r="J79" s="1935" t="n"/>
      <c r="K79" s="1186" t="n"/>
      <c r="L79" s="1935" t="n"/>
      <c r="M79" s="1186" t="n"/>
      <c r="N79" s="1935" t="n"/>
      <c r="O79" s="1186" t="n"/>
      <c r="P79" s="1935" t="n"/>
      <c r="Q79" s="1186" t="n"/>
      <c r="R79" s="1935" t="n"/>
      <c r="S79" s="1186" t="n"/>
      <c r="T79" s="1935" t="n"/>
      <c r="U79" s="1186" t="n"/>
      <c r="V79" s="1935" t="n"/>
      <c r="W79" s="1186" t="n"/>
      <c r="X79" s="1935" t="n"/>
      <c r="Y79" s="1186" t="n"/>
      <c r="Z79" s="1935" t="n"/>
      <c r="AA79" s="1186" t="n"/>
      <c r="AB79" s="1935" t="n"/>
      <c r="AC79" s="1186" t="n"/>
      <c r="AD79" s="1935" t="n"/>
      <c r="AE79" s="1186" t="n"/>
      <c r="AF79" s="1935" t="n"/>
      <c r="AG79" s="1186" t="n"/>
      <c r="AH79" s="1935" t="n"/>
      <c r="AI79" s="1186" t="n"/>
      <c r="AJ79" s="1935" t="n"/>
      <c r="AK79" s="1186" t="n"/>
      <c r="AL79" s="1935" t="n"/>
      <c r="AM79" s="1186" t="n"/>
      <c r="AN79" s="3282" t="n"/>
      <c r="AO79" s="1200" t="n"/>
      <c r="AP79" s="1148" t="n"/>
      <c r="AQ79" s="1301" t="n"/>
      <c r="AR79" s="1418" t="n"/>
      <c r="AS79" s="1301" t="n"/>
      <c r="AT79" s="1301" t="n"/>
      <c r="AU79" s="1418" t="n"/>
      <c r="AV79" s="218">
        <f>$CA79&amp;$CB79&amp;CC79&amp;CD79&amp;CE79&amp;CF79&amp;CG79&amp;CH79</f>
        <v/>
      </c>
      <c r="CA79" s="219">
        <f>IF(AND($C79&lt;&gt;0,AN79=""),"* No olvide ingresar la columna Espacios Amigables /adolescentes (Digite CERO si no tiene). ",IF(AN79&gt;$C79,"* El Número de Espacios Amigables no puede superar el Total. ",""))</f>
        <v/>
      </c>
      <c r="CB79" s="219">
        <f>IF(AND(E79&gt;0,OR(AO79="")),"No olvide digitar los campos *TRANS Masculino (Digite CERO si no tiene).",IF(AO79&gt;E79,"* El Número de TRANS Masculino no puede superar el Total Mujeres. ",""))</f>
        <v/>
      </c>
      <c r="CC79" s="219">
        <f>IF(AND(D79&gt;0,OR(AP79="")),"No olvide digitar los campos *TRANS Femenino (Digite CERO si no tiene).",IF(AP79&gt;$D79,"* El Número de TRANS Femenino no puede superar el Total Hombres. ",""))</f>
        <v/>
      </c>
      <c r="CD79" s="219">
        <f>IF(AND($C79&lt;&gt;0,AQ79=""),"* No olvide ingresar la columna Pueblos Originarios (Digite CERO si no tiene).  ",IF(AQ79&gt;$C79,"* El Número de Pueblos Originarios no puede superar el Total. ",""))</f>
        <v/>
      </c>
      <c r="CE79" s="219">
        <f>IF(AND($C79&lt;&gt;0,AR79=""),"* No olvide ingresar la columna Migrantes (Digite CERO si no tiene).  ",IF(AR79&gt;$C79,"* El Número de Migrantes no puede superar el Total. ",""))</f>
        <v/>
      </c>
      <c r="CF79" s="910">
        <f>IF(AND(SUM(J79:M79)&gt;0,AS79=""),"* No olvide digitar la variable 14-18 años. Si no tiene digite Cero.",IF(AS79&gt;SUM(J79:M79),"* La variable 14-18 años no puede ser mayor al total por grupo edad de 10 a 19 años. ",""))</f>
        <v/>
      </c>
      <c r="CG79" s="219">
        <f>IF(AND($C79&lt;&gt;0,AT79=""),"* No olvide ingresar la variable "&amp;AT$10&amp;". Digite Cero si no tiene.",IF(AT79&gt;$C79,"* La variable "&amp;AT$10&amp;"no puede superar el Total Ambos Sexos. ",""))</f>
        <v/>
      </c>
      <c r="CH79" s="219">
        <f>IF(AND($C79&lt;&gt;0,AU79=""),"* No olvide ingresar la variable "&amp;AU$10&amp;". Digite Cero si no tiene. ",IF(AU79&gt;$C79,"* La variable "&amp;AU$10&amp;" no puede superar el Total Ambos Sexos. ",""))</f>
        <v/>
      </c>
      <c r="CI79" s="226" t="n"/>
      <c r="CJ79" s="221">
        <f>IF(AND($C79&lt;&gt;0,AN79=""),1,IF(AN79&gt;$C79,1,0))</f>
        <v/>
      </c>
      <c r="CK79" s="221">
        <f>IF(AND(E79&gt;0,OR(AO79="")),1,IF(AO79&gt;E79,1,0))</f>
        <v/>
      </c>
      <c r="CL79" s="221">
        <f>IF(AND(D79&gt;0,OR(AP79="")),1,IF(AP79&gt;D79,1,0))</f>
        <v/>
      </c>
      <c r="CM79" s="221">
        <f>IF(AND($C79&lt;&gt;0,AQ79=""),1,IF(AQ79&gt;$C79,1,0))</f>
        <v/>
      </c>
      <c r="CN79" s="221">
        <f>IF(AND($C79&lt;&gt;0,AR79=""),1,IF(AR79&gt;$C79,1,0))</f>
        <v/>
      </c>
      <c r="CO79" s="376">
        <f>IF(AND(SUM(J79:M79)&gt;0,AS79=""),1,IF(AS79&gt;SUM(J79:M79),1,0))</f>
        <v/>
      </c>
      <c r="CP79" s="221">
        <f>IF(AND($C79&lt;&gt;0,AT79=""),1,IF(AT79&gt;$C79,1,0))</f>
        <v/>
      </c>
      <c r="CQ79" s="221">
        <f>IF(AND($C79&lt;&gt;0,AU79=""),1,IF(AU79&gt;$C79,1,0))</f>
        <v/>
      </c>
    </row>
    <row r="80">
      <c r="A80" s="9614" t="n"/>
      <c r="B80" s="3279" t="inlineStr">
        <is>
          <t>Enfermera/o</t>
        </is>
      </c>
      <c r="C80" s="3303">
        <f>SUM(D80+E80)</f>
        <v/>
      </c>
      <c r="D80" s="3304">
        <f>+F80+H80+J80+L80+N80+P80+R80+T80+V80+X80+Z80+AB80+AD80+AF80+AH80+AJ80+AL80</f>
        <v/>
      </c>
      <c r="E80" s="8310">
        <f>+G80+I80+K80+M80+O80+Q80+S80+U80+W80+Y80+AA80+AC80+AE80+AG80+AI80+AK80+AM80</f>
        <v/>
      </c>
      <c r="F80" s="3196" t="n"/>
      <c r="G80" s="1173" t="n"/>
      <c r="H80" s="3196" t="n"/>
      <c r="I80" s="1173" t="n"/>
      <c r="J80" s="3196" t="n"/>
      <c r="K80" s="1173" t="n"/>
      <c r="L80" s="3196" t="n"/>
      <c r="M80" s="1173" t="n"/>
      <c r="N80" s="3196" t="n"/>
      <c r="O80" s="1173" t="n"/>
      <c r="P80" s="3196" t="n"/>
      <c r="Q80" s="1173" t="n"/>
      <c r="R80" s="3196" t="n"/>
      <c r="S80" s="1173" t="n"/>
      <c r="T80" s="3196" t="n"/>
      <c r="U80" s="1173" t="n"/>
      <c r="V80" s="3196" t="n"/>
      <c r="W80" s="1173" t="n"/>
      <c r="X80" s="3196" t="n"/>
      <c r="Y80" s="1173" t="n"/>
      <c r="Z80" s="3196" t="n"/>
      <c r="AA80" s="1173" t="n"/>
      <c r="AB80" s="3196" t="n"/>
      <c r="AC80" s="1173" t="n"/>
      <c r="AD80" s="3196" t="n"/>
      <c r="AE80" s="1173" t="n"/>
      <c r="AF80" s="3196" t="n"/>
      <c r="AG80" s="1173" t="n"/>
      <c r="AH80" s="3196" t="n"/>
      <c r="AI80" s="1173" t="n"/>
      <c r="AJ80" s="3196" t="n"/>
      <c r="AK80" s="1173" t="n"/>
      <c r="AL80" s="3196" t="n"/>
      <c r="AM80" s="1173" t="n"/>
      <c r="AN80" s="3282" t="n"/>
      <c r="AO80" s="1200" t="n"/>
      <c r="AP80" s="1148" t="n"/>
      <c r="AQ80" s="1301" t="n"/>
      <c r="AR80" s="1418" t="n"/>
      <c r="AS80" s="1301" t="n"/>
      <c r="AT80" s="1301" t="n"/>
      <c r="AU80" s="1418" t="n"/>
      <c r="AV80" s="218">
        <f>$CA80&amp;$CB80&amp;CC80&amp;CD80&amp;CE80&amp;CF80&amp;CG80&amp;CH80</f>
        <v/>
      </c>
      <c r="CA80" s="219">
        <f>IF(AND($C80&lt;&gt;0,AN80=""),"* No olvide ingresar la columna Espacios Amigables /adolescentes (Digite CERO si no tiene). ",IF(AN80&gt;$C80,"* El Número de Espacios Amigables no puede superar el Total. ",""))</f>
        <v/>
      </c>
      <c r="CB80" s="219">
        <f>IF(AND(E80&gt;0,OR(AO80="")),"No olvide digitar los campos *TRANS Masculino (Digite CERO si no tiene).",IF(AO80&gt;E80,"* El Número de TRANS Masculino no puede superar el Total Mujeres. ",""))</f>
        <v/>
      </c>
      <c r="CC80" s="219">
        <f>IF(AND(D80&gt;0,OR(AP80="")),"No olvide digitar los campos *TRANS Femenino (Digite CERO si no tiene).",IF(AP80&gt;$D80,"* El Número de TRANS Femenino no puede superar el Total Hombres. ",""))</f>
        <v/>
      </c>
      <c r="CD80" s="219">
        <f>IF(AND($C80&lt;&gt;0,AQ80=""),"* No olvide ingresar la columna Pueblos Originarios (Digite CERO si no tiene).  ",IF(AQ80&gt;$C80,"* El Número de Pueblos Originarios no puede superar el Total. ",""))</f>
        <v/>
      </c>
      <c r="CE80" s="219">
        <f>IF(AND($C80&lt;&gt;0,AR80=""),"* No olvide ingresar la columna Migrantes (Digite CERO si no tiene).  ",IF(AR80&gt;$C80,"* El Número de Migrantes no puede superar el Total. ",""))</f>
        <v/>
      </c>
      <c r="CF80" s="910">
        <f>IF(AND(SUM(J80:M80)&gt;0,AS80=""),"* No olvide digitar la variable 14-18 años. Si no tiene digite Cero.",IF(AS80&gt;SUM(J80:M80),"* La variable 14-18 años no puede ser mayor al total por grupo edad de 10 a 19 años. ",""))</f>
        <v/>
      </c>
      <c r="CG80" s="219">
        <f>IF(AND($C80&lt;&gt;0,AT80=""),"* No olvide ingresar la variable "&amp;AT$10&amp;". Digite Cero si no tiene.",IF(AT80&gt;$C80,"* La variable "&amp;AT$10&amp;"no puede superar el Total Ambos Sexos. ",""))</f>
        <v/>
      </c>
      <c r="CH80" s="219">
        <f>IF(AND($C80&lt;&gt;0,AU80=""),"* No olvide ingresar la variable "&amp;AU$10&amp;". Digite Cero si no tiene. ",IF(AU80&gt;$C80,"* La variable "&amp;AU$10&amp;" no puede superar el Total Ambos Sexos. ",""))</f>
        <v/>
      </c>
      <c r="CI80" s="226" t="n"/>
      <c r="CJ80" s="221">
        <f>IF(AND($C80&lt;&gt;0,AN80=""),1,IF(AN80&gt;$C80,1,0))</f>
        <v/>
      </c>
      <c r="CK80" s="221">
        <f>IF(AND(E80&gt;0,OR(AO80="")),1,IF(AO80&gt;E80,1,0))</f>
        <v/>
      </c>
      <c r="CL80" s="221">
        <f>IF(AND(D80&gt;0,OR(AP80="")),1,IF(AP80&gt;D80,1,0))</f>
        <v/>
      </c>
      <c r="CM80" s="221">
        <f>IF(AND($C80&lt;&gt;0,AQ80=""),1,IF(AQ80&gt;$C80,1,0))</f>
        <v/>
      </c>
      <c r="CN80" s="221">
        <f>IF(AND($C80&lt;&gt;0,AR80=""),1,IF(AR80&gt;$C80,1,0))</f>
        <v/>
      </c>
      <c r="CO80" s="376">
        <f>IF(AND(SUM(J80:M80)&gt;0,AS80=""),1,IF(AS80&gt;SUM(J80:M80),1,0))</f>
        <v/>
      </c>
      <c r="CP80" s="221">
        <f>IF(AND($C80&lt;&gt;0,AT80=""),1,IF(AT80&gt;$C80,1,0))</f>
        <v/>
      </c>
      <c r="CQ80" s="221">
        <f>IF(AND($C80&lt;&gt;0,AU80=""),1,IF(AU80&gt;$C80,1,0))</f>
        <v/>
      </c>
    </row>
    <row r="81">
      <c r="A81" s="9614" t="n"/>
      <c r="B81" s="3279" t="inlineStr">
        <is>
          <t>Matrona/ón</t>
        </is>
      </c>
      <c r="C81" s="3303">
        <f>SUM(D81+E81)</f>
        <v/>
      </c>
      <c r="D81" s="3304">
        <f>+F81+H81+J81+L81+N81+P81+R81+T81+V81+X81+Z81+AB81+AD81+AF81+AH81+AJ81+AL81</f>
        <v/>
      </c>
      <c r="E81" s="8310">
        <f>+G81+I81+K81+M81+O81+Q81+S81+U81+W81+Y81+AA81+AC81+AE81+AG81+AI81+AK81+AM81</f>
        <v/>
      </c>
      <c r="F81" s="3196" t="n"/>
      <c r="G81" s="1173" t="n"/>
      <c r="H81" s="3196" t="n"/>
      <c r="I81" s="1173" t="n"/>
      <c r="J81" s="3196" t="n"/>
      <c r="K81" s="1173" t="n"/>
      <c r="L81" s="3196" t="n"/>
      <c r="M81" s="1173" t="n"/>
      <c r="N81" s="3196" t="n"/>
      <c r="O81" s="1173" t="n"/>
      <c r="P81" s="3196" t="n"/>
      <c r="Q81" s="1173" t="n"/>
      <c r="R81" s="3196" t="n"/>
      <c r="S81" s="1173" t="n"/>
      <c r="T81" s="3196" t="n"/>
      <c r="U81" s="1173" t="n"/>
      <c r="V81" s="3196" t="n"/>
      <c r="W81" s="1173" t="n"/>
      <c r="X81" s="3196" t="n"/>
      <c r="Y81" s="1173" t="n"/>
      <c r="Z81" s="3196" t="n"/>
      <c r="AA81" s="1173" t="n"/>
      <c r="AB81" s="3196" t="n"/>
      <c r="AC81" s="1173" t="n"/>
      <c r="AD81" s="3196" t="n"/>
      <c r="AE81" s="1173" t="n"/>
      <c r="AF81" s="3196" t="n"/>
      <c r="AG81" s="1173" t="n"/>
      <c r="AH81" s="3196" t="n"/>
      <c r="AI81" s="1173" t="n"/>
      <c r="AJ81" s="3196" t="n"/>
      <c r="AK81" s="1173" t="n"/>
      <c r="AL81" s="3196" t="n"/>
      <c r="AM81" s="1173" t="n"/>
      <c r="AN81" s="3282" t="n"/>
      <c r="AO81" s="1200" t="n"/>
      <c r="AP81" s="1148" t="n"/>
      <c r="AQ81" s="1301" t="n"/>
      <c r="AR81" s="1418" t="n"/>
      <c r="AS81" s="1301" t="n"/>
      <c r="AT81" s="1301" t="n"/>
      <c r="AU81" s="1418" t="n"/>
      <c r="AV81" s="218">
        <f>$CA81&amp;$CB81&amp;CC81&amp;CD81&amp;CE81&amp;CF81&amp;CG81&amp;CH81</f>
        <v/>
      </c>
      <c r="CA81" s="219">
        <f>IF(AND($C81&lt;&gt;0,AN81=""),"* No olvide ingresar la columna Espacios Amigables /adolescentes (Digite CERO si no tiene). ",IF(AN81&gt;$C81,"* El Número de Espacios Amigables no puede superar el Total. ",""))</f>
        <v/>
      </c>
      <c r="CB81" s="219">
        <f>IF(AND(E81&gt;0,OR(AO81="")),"No olvide digitar los campos *TRANS Masculino (Digite CERO si no tiene).",IF(AO81&gt;E81,"* El Número de TRANS Masculino no puede superar el Total Mujeres. ",""))</f>
        <v/>
      </c>
      <c r="CC81" s="219">
        <f>IF(AND(D81&gt;0,OR(AP81="")),"No olvide digitar los campos *TRANS Femenino (Digite CERO si no tiene).",IF(AP81&gt;$D81,"* El Número de TRANS Femenino no puede superar el Total Hombres. ",""))</f>
        <v/>
      </c>
      <c r="CD81" s="219">
        <f>IF(AND($C81&lt;&gt;0,AQ81=""),"* No olvide ingresar la columna Pueblos Originarios (Digite CERO si no tiene).  ",IF(AQ81&gt;$C81,"* El Número de Pueblos Originarios no puede superar el Total. ",""))</f>
        <v/>
      </c>
      <c r="CE81" s="219">
        <f>IF(AND($C81&lt;&gt;0,AR81=""),"* No olvide ingresar la columna Migrantes (Digite CERO si no tiene).  ",IF(AR81&gt;$C81,"* El Número de Migrantes no puede superar el Total. ",""))</f>
        <v/>
      </c>
      <c r="CF81" s="910">
        <f>IF(AND(SUM(J81:M81)&gt;0,AS81=""),"* No olvide digitar la variable 14-18 años. Si no tiene digite Cero.",IF(AS81&gt;SUM(J81:M81),"* La variable 14-18 años no puede ser mayor al total por grupo edad de 10 a 19 años. ",""))</f>
        <v/>
      </c>
      <c r="CG81" s="219">
        <f>IF(AND($C81&lt;&gt;0,AT81=""),"* No olvide ingresar la variable "&amp;AT$10&amp;". Digite Cero si no tiene.",IF(AT81&gt;$C81,"* La variable "&amp;AT$10&amp;"no puede superar el Total Ambos Sexos. ",""))</f>
        <v/>
      </c>
      <c r="CH81" s="219">
        <f>IF(AND($C81&lt;&gt;0,AU81=""),"* No olvide ingresar la variable "&amp;AU$10&amp;". Digite Cero si no tiene. ",IF(AU81&gt;$C81,"* La variable "&amp;AU$10&amp;" no puede superar el Total Ambos Sexos. ",""))</f>
        <v/>
      </c>
      <c r="CI81" s="226" t="n"/>
      <c r="CJ81" s="221">
        <f>IF(AND($C81&lt;&gt;0,AN81=""),1,IF(AN81&gt;$C81,1,0))</f>
        <v/>
      </c>
      <c r="CK81" s="221">
        <f>IF(AND(E81&gt;0,OR(AO81="")),1,IF(AO81&gt;E81,1,0))</f>
        <v/>
      </c>
      <c r="CL81" s="221">
        <f>IF(AND(D81&gt;0,OR(AP81="")),1,IF(AP81&gt;D81,1,0))</f>
        <v/>
      </c>
      <c r="CM81" s="221">
        <f>IF(AND($C81&lt;&gt;0,AQ81=""),1,IF(AQ81&gt;$C81,1,0))</f>
        <v/>
      </c>
      <c r="CN81" s="221">
        <f>IF(AND($C81&lt;&gt;0,AR81=""),1,IF(AR81&gt;$C81,1,0))</f>
        <v/>
      </c>
      <c r="CO81" s="376">
        <f>IF(AND(SUM(J81:M81)&gt;0,AS81=""),1,IF(AS81&gt;SUM(J81:M81),1,0))</f>
        <v/>
      </c>
      <c r="CP81" s="221">
        <f>IF(AND($C81&lt;&gt;0,AT81=""),1,IF(AT81&gt;$C81,1,0))</f>
        <v/>
      </c>
      <c r="CQ81" s="221">
        <f>IF(AND($C81&lt;&gt;0,AU81=""),1,IF(AU81&gt;$C81,1,0))</f>
        <v/>
      </c>
    </row>
    <row r="82">
      <c r="A82" s="9614" t="n"/>
      <c r="B82" s="3279" t="inlineStr">
        <is>
          <t>Nutricionista</t>
        </is>
      </c>
      <c r="C82" s="3303">
        <f>SUM(D82+E82)</f>
        <v/>
      </c>
      <c r="D82" s="3304">
        <f>+F82+H82+J82+L82+N82+P82+R82+T82+V82+X82+Z82+AB82+AD82+AF82+AH82+AJ82+AL82</f>
        <v/>
      </c>
      <c r="E82" s="8310">
        <f>+G82+I82+K82+M82+O82+Q82+S82+U82+W82+Y82+AA82+AC82+AE82+AG82+AI82+AK82+AM82</f>
        <v/>
      </c>
      <c r="F82" s="3196" t="n"/>
      <c r="G82" s="1173" t="n"/>
      <c r="H82" s="3196" t="n"/>
      <c r="I82" s="1173" t="n"/>
      <c r="J82" s="3196" t="n"/>
      <c r="K82" s="1173" t="n"/>
      <c r="L82" s="3196" t="n"/>
      <c r="M82" s="1173" t="n"/>
      <c r="N82" s="3196" t="n"/>
      <c r="O82" s="1173" t="n"/>
      <c r="P82" s="3196" t="n"/>
      <c r="Q82" s="1173" t="n"/>
      <c r="R82" s="3196" t="n"/>
      <c r="S82" s="1173" t="n"/>
      <c r="T82" s="3196" t="n"/>
      <c r="U82" s="1173" t="n"/>
      <c r="V82" s="3196" t="n"/>
      <c r="W82" s="1173" t="n"/>
      <c r="X82" s="3196" t="n"/>
      <c r="Y82" s="1173" t="n"/>
      <c r="Z82" s="3196" t="n"/>
      <c r="AA82" s="1173" t="n"/>
      <c r="AB82" s="3196" t="n"/>
      <c r="AC82" s="1173" t="n"/>
      <c r="AD82" s="3196" t="n"/>
      <c r="AE82" s="1173" t="n"/>
      <c r="AF82" s="3196" t="n"/>
      <c r="AG82" s="1173" t="n"/>
      <c r="AH82" s="3196" t="n"/>
      <c r="AI82" s="1173" t="n"/>
      <c r="AJ82" s="3196" t="n"/>
      <c r="AK82" s="1173" t="n"/>
      <c r="AL82" s="3196" t="n"/>
      <c r="AM82" s="1173" t="n"/>
      <c r="AN82" s="3282" t="n"/>
      <c r="AO82" s="1200" t="n"/>
      <c r="AP82" s="1148" t="n"/>
      <c r="AQ82" s="1301" t="n"/>
      <c r="AR82" s="1418" t="n"/>
      <c r="AS82" s="1301" t="n"/>
      <c r="AT82" s="1301" t="n"/>
      <c r="AU82" s="1418" t="n"/>
      <c r="AV82" s="218">
        <f>$CA82&amp;$CB82&amp;CC82&amp;CD82&amp;CE82&amp;CF82&amp;CG82&amp;CH82</f>
        <v/>
      </c>
      <c r="CA82" s="219">
        <f>IF(AND($C82&lt;&gt;0,AN82=""),"* No olvide ingresar la columna Espacios Amigables /adolescentes (Digite CERO si no tiene). ",IF(AN82&gt;$C82,"* El Número de Espacios Amigables no puede superar el Total. ",""))</f>
        <v/>
      </c>
      <c r="CB82" s="219">
        <f>IF(AND(E82&gt;0,OR(AO82="")),"No olvide digitar los campos *TRANS Masculino (Digite CERO si no tiene).",IF(AO82&gt;E82,"* El Número de TRANS Masculino no puede superar el Total Mujeres. ",""))</f>
        <v/>
      </c>
      <c r="CC82" s="219">
        <f>IF(AND(D82&gt;0,OR(AP82="")),"No olvide digitar los campos *TRANS Femenino (Digite CERO si no tiene).",IF(AP82&gt;$D82,"* El Número de TRANS Femenino no puede superar el Total Hombres. ",""))</f>
        <v/>
      </c>
      <c r="CD82" s="219">
        <f>IF(AND($C82&lt;&gt;0,AQ82=""),"* No olvide ingresar la columna Pueblos Originarios (Digite CERO si no tiene).  ",IF(AQ82&gt;$C82,"* El Número de Pueblos Originarios no puede superar el Total. ",""))</f>
        <v/>
      </c>
      <c r="CE82" s="219">
        <f>IF(AND($C82&lt;&gt;0,AR82=""),"* No olvide ingresar la columna Migrantes (Digite CERO si no tiene).  ",IF(AR82&gt;$C82,"* El Número de Migrantes no puede superar el Total. ",""))</f>
        <v/>
      </c>
      <c r="CF82" s="910">
        <f>IF(AND(SUM(J82:M82)&gt;0,AS82=""),"* No olvide digitar la variable 14-18 años. Si no tiene digite Cero.",IF(AS82&gt;SUM(J82:M82),"* La variable 14-18 años no puede ser mayor al total por grupo edad de 10 a 19 años. ",""))</f>
        <v/>
      </c>
      <c r="CG82" s="219">
        <f>IF(AND($C82&lt;&gt;0,AT82=""),"* No olvide ingresar la variable "&amp;AT$10&amp;". Digite Cero si no tiene.",IF(AT82&gt;$C82,"* La variable "&amp;AT$10&amp;"no puede superar el Total Ambos Sexos. ",""))</f>
        <v/>
      </c>
      <c r="CH82" s="219">
        <f>IF(AND($C82&lt;&gt;0,AU82=""),"* No olvide ingresar la variable "&amp;AU$10&amp;". Digite Cero si no tiene. ",IF(AU82&gt;$C82,"* La variable "&amp;AU$10&amp;" no puede superar el Total Ambos Sexos. ",""))</f>
        <v/>
      </c>
      <c r="CI82" s="226" t="n"/>
      <c r="CJ82" s="221">
        <f>IF(AND($C82&lt;&gt;0,AN82=""),1,IF(AN82&gt;$C82,1,0))</f>
        <v/>
      </c>
      <c r="CK82" s="221">
        <f>IF(AND(E82&gt;0,OR(AO82="")),1,IF(AO82&gt;E82,1,0))</f>
        <v/>
      </c>
      <c r="CL82" s="221">
        <f>IF(AND(D82&gt;0,OR(AP82="")),1,IF(AP82&gt;D82,1,0))</f>
        <v/>
      </c>
      <c r="CM82" s="221">
        <f>IF(AND($C82&lt;&gt;0,AQ82=""),1,IF(AQ82&gt;$C82,1,0))</f>
        <v/>
      </c>
      <c r="CN82" s="221">
        <f>IF(AND($C82&lt;&gt;0,AR82=""),1,IF(AR82&gt;$C82,1,0))</f>
        <v/>
      </c>
      <c r="CO82" s="376">
        <f>IF(AND(SUM(J82:M82)&gt;0,AS82=""),1,IF(AS82&gt;SUM(J82:M82),1,0))</f>
        <v/>
      </c>
      <c r="CP82" s="221">
        <f>IF(AND($C82&lt;&gt;0,AT82=""),1,IF(AT82&gt;$C82,1,0))</f>
        <v/>
      </c>
      <c r="CQ82" s="221">
        <f>IF(AND($C82&lt;&gt;0,AU82=""),1,IF(AU82&gt;$C82,1,0))</f>
        <v/>
      </c>
    </row>
    <row r="83">
      <c r="A83" s="9614" t="n"/>
      <c r="B83" s="3279" t="inlineStr">
        <is>
          <t>Trabajador/a Social</t>
        </is>
      </c>
      <c r="C83" s="3303">
        <f>SUM(D83+E83)</f>
        <v/>
      </c>
      <c r="D83" s="3304">
        <f>+F83+H83+J83+L83+N83+P83+R83+T83+V83+X83+Z83+AB83+AD83+AF83+AH83+AJ83+AL83</f>
        <v/>
      </c>
      <c r="E83" s="8310">
        <f>+G83+I83+K83+M83+O83+Q83+S83+U83+W83+Y83+AA83+AC83+AE83+AG83+AI83+AK83+AM83</f>
        <v/>
      </c>
      <c r="F83" s="3196" t="n"/>
      <c r="G83" s="1173" t="n"/>
      <c r="H83" s="3196" t="n"/>
      <c r="I83" s="1173" t="n"/>
      <c r="J83" s="3196" t="n"/>
      <c r="K83" s="1173" t="n"/>
      <c r="L83" s="3196" t="n"/>
      <c r="M83" s="1173" t="n"/>
      <c r="N83" s="3196" t="n"/>
      <c r="O83" s="1173" t="n"/>
      <c r="P83" s="3196" t="n"/>
      <c r="Q83" s="1173" t="n"/>
      <c r="R83" s="3196" t="n"/>
      <c r="S83" s="1173" t="n"/>
      <c r="T83" s="3196" t="n"/>
      <c r="U83" s="1173" t="n"/>
      <c r="V83" s="3196" t="n"/>
      <c r="W83" s="1173" t="n"/>
      <c r="X83" s="3196" t="n"/>
      <c r="Y83" s="1173" t="n"/>
      <c r="Z83" s="3196" t="n"/>
      <c r="AA83" s="1173" t="n"/>
      <c r="AB83" s="3196" t="n"/>
      <c r="AC83" s="1173" t="n"/>
      <c r="AD83" s="3196" t="n"/>
      <c r="AE83" s="1173" t="n"/>
      <c r="AF83" s="3196" t="n"/>
      <c r="AG83" s="1173" t="n"/>
      <c r="AH83" s="3196" t="n"/>
      <c r="AI83" s="1173" t="n"/>
      <c r="AJ83" s="3196" t="n"/>
      <c r="AK83" s="1173" t="n"/>
      <c r="AL83" s="3196" t="n"/>
      <c r="AM83" s="1173" t="n"/>
      <c r="AN83" s="3282" t="n"/>
      <c r="AO83" s="1200" t="n"/>
      <c r="AP83" s="1148" t="n"/>
      <c r="AQ83" s="1301" t="n"/>
      <c r="AR83" s="1418" t="n"/>
      <c r="AS83" s="1301" t="n"/>
      <c r="AT83" s="1301" t="n"/>
      <c r="AU83" s="1418" t="n"/>
      <c r="AV83" s="218">
        <f>$CA83&amp;$CB83&amp;CC83&amp;CD83&amp;CE83&amp;CF83&amp;CG83&amp;CH83</f>
        <v/>
      </c>
      <c r="CA83" s="219">
        <f>IF(AND($C83&lt;&gt;0,AN83=""),"* No olvide ingresar la columna Espacios Amigables /adolescentes (Digite CERO si no tiene). ",IF(AN83&gt;$C83,"* El Número de Espacios Amigables no puede superar el Total. ",""))</f>
        <v/>
      </c>
      <c r="CB83" s="219">
        <f>IF(AND(E83&gt;0,OR(AO83="")),"No olvide digitar los campos *TRANS Masculino (Digite CERO si no tiene).",IF(AO83&gt;E83,"* El Número de TRANS Masculino no puede superar el Total Mujeres. ",""))</f>
        <v/>
      </c>
      <c r="CC83" s="219">
        <f>IF(AND(D83&gt;0,OR(AP83="")),"No olvide digitar los campos *TRANS Femenino (Digite CERO si no tiene).",IF(AP83&gt;$D83,"* El Número de TRANS Femenino no puede superar el Total Hombres. ",""))</f>
        <v/>
      </c>
      <c r="CD83" s="219">
        <f>IF(AND($C83&lt;&gt;0,AQ83=""),"* No olvide ingresar la columna Pueblos Originarios (Digite CERO si no tiene).  ",IF(AQ83&gt;$C83,"* El Número de Pueblos Originarios no puede superar el Total. ",""))</f>
        <v/>
      </c>
      <c r="CE83" s="219">
        <f>IF(AND($C83&lt;&gt;0,AR83=""),"* No olvide ingresar la columna Migrantes (Digite CERO si no tiene).  ",IF(AR83&gt;$C83,"* El Número de Migrantes no puede superar el Total. ",""))</f>
        <v/>
      </c>
      <c r="CF83" s="910">
        <f>IF(AND(SUM(J83:M83)&gt;0,AS83=""),"* No olvide digitar la variable 14-18 años. Si no tiene digite Cero.",IF(AS83&gt;SUM(J83:M83),"* La variable 14-18 años no puede ser mayor al total por grupo edad de 10 a 19 años. ",""))</f>
        <v/>
      </c>
      <c r="CG83" s="219">
        <f>IF(AND($C83&lt;&gt;0,AT83=""),"* No olvide ingresar la variable "&amp;AT$10&amp;". Digite Cero si no tiene.",IF(AT83&gt;$C83,"* La variable "&amp;AT$10&amp;"no puede superar el Total Ambos Sexos. ",""))</f>
        <v/>
      </c>
      <c r="CH83" s="219">
        <f>IF(AND($C83&lt;&gt;0,AU83=""),"* No olvide ingresar la variable "&amp;AU$10&amp;". Digite Cero si no tiene. ",IF(AU83&gt;$C83,"* La variable "&amp;AU$10&amp;" no puede superar el Total Ambos Sexos. ",""))</f>
        <v/>
      </c>
      <c r="CI83" s="226" t="n"/>
      <c r="CJ83" s="221">
        <f>IF(AND($C83&lt;&gt;0,AN83=""),1,IF(AN83&gt;$C83,1,0))</f>
        <v/>
      </c>
      <c r="CK83" s="221">
        <f>IF(AND(E83&gt;0,OR(AO83="")),1,IF(AO83&gt;E83,1,0))</f>
        <v/>
      </c>
      <c r="CL83" s="221">
        <f>IF(AND(D83&gt;0,OR(AP83="")),1,IF(AP83&gt;D83,1,0))</f>
        <v/>
      </c>
      <c r="CM83" s="221">
        <f>IF(AND($C83&lt;&gt;0,AQ83=""),1,IF(AQ83&gt;$C83,1,0))</f>
        <v/>
      </c>
      <c r="CN83" s="221">
        <f>IF(AND($C83&lt;&gt;0,AR83=""),1,IF(AR83&gt;$C83,1,0))</f>
        <v/>
      </c>
      <c r="CO83" s="376">
        <f>IF(AND(SUM(J83:M83)&gt;0,AS83=""),1,IF(AS83&gt;SUM(J83:M83),1,0))</f>
        <v/>
      </c>
      <c r="CP83" s="221">
        <f>IF(AND($C83&lt;&gt;0,AT83=""),1,IF(AT83&gt;$C83,1,0))</f>
        <v/>
      </c>
      <c r="CQ83" s="221">
        <f>IF(AND($C83&lt;&gt;0,AU83=""),1,IF(AU83&gt;$C83,1,0))</f>
        <v/>
      </c>
    </row>
    <row r="84" ht="14.25" customHeight="1" s="8286">
      <c r="A84" s="9614" t="n"/>
      <c r="B84" s="3279" t="inlineStr">
        <is>
          <t>Psicólogo/a</t>
        </is>
      </c>
      <c r="C84" s="3303">
        <f>SUM(D84+E84)</f>
        <v/>
      </c>
      <c r="D84" s="3304">
        <f>+F84+H84+J84+L84+N84+P84+R84+T84+V84+X84+Z84+AB84+AD84+AF84+AH84+AJ84+AL84</f>
        <v/>
      </c>
      <c r="E84" s="8310">
        <f>+G84+I84+K84+M84+O84+Q84+S84+U84+W84+Y84+AA84+AC84+AE84+AG84+AI84+AK84+AM84</f>
        <v/>
      </c>
      <c r="F84" s="3196" t="n"/>
      <c r="G84" s="1173" t="n"/>
      <c r="H84" s="3196" t="n"/>
      <c r="I84" s="1173" t="n"/>
      <c r="J84" s="3196" t="n"/>
      <c r="K84" s="1173" t="n"/>
      <c r="L84" s="3196" t="n"/>
      <c r="M84" s="1173" t="n"/>
      <c r="N84" s="3196" t="n"/>
      <c r="O84" s="1173" t="n"/>
      <c r="P84" s="3196" t="n"/>
      <c r="Q84" s="1173" t="n"/>
      <c r="R84" s="3196" t="n"/>
      <c r="S84" s="1173" t="n"/>
      <c r="T84" s="3196" t="n"/>
      <c r="U84" s="1173" t="n"/>
      <c r="V84" s="3196" t="n"/>
      <c r="W84" s="1173" t="n"/>
      <c r="X84" s="3196" t="n"/>
      <c r="Y84" s="1173" t="n"/>
      <c r="Z84" s="3196" t="n"/>
      <c r="AA84" s="1173" t="n"/>
      <c r="AB84" s="3196" t="n"/>
      <c r="AC84" s="1173" t="n"/>
      <c r="AD84" s="3196" t="n"/>
      <c r="AE84" s="1173" t="n"/>
      <c r="AF84" s="3196" t="n"/>
      <c r="AG84" s="1173" t="n"/>
      <c r="AH84" s="3196" t="n"/>
      <c r="AI84" s="1173" t="n"/>
      <c r="AJ84" s="3196" t="n"/>
      <c r="AK84" s="1173" t="n"/>
      <c r="AL84" s="3196" t="n"/>
      <c r="AM84" s="1173" t="n"/>
      <c r="AN84" s="3282" t="n"/>
      <c r="AO84" s="1200" t="n"/>
      <c r="AP84" s="1148" t="n"/>
      <c r="AQ84" s="1301" t="n"/>
      <c r="AR84" s="1418" t="n"/>
      <c r="AS84" s="1301" t="n"/>
      <c r="AT84" s="1301" t="n"/>
      <c r="AU84" s="1418" t="n"/>
      <c r="AV84" s="218">
        <f>$CA84&amp;$CB84&amp;CC84&amp;CD84&amp;CE84&amp;CF84&amp;CG84&amp;CH84</f>
        <v/>
      </c>
      <c r="CA84" s="219">
        <f>IF(AND($C84&lt;&gt;0,AN84=""),"* No olvide ingresar la columna Espacios Amigables /adolescentes (Digite CERO si no tiene). ",IF(AN84&gt;$C84,"* El Número de Espacios Amigables no puede superar el Total. ",""))</f>
        <v/>
      </c>
      <c r="CB84" s="219">
        <f>IF(AND(E84&gt;0,OR(AO84="")),"No olvide digitar los campos *TRANS Masculino (Digite CERO si no tiene).",IF(AO84&gt;E84,"* El Número de TRANS Masculino no puede superar el Total Mujeres. ",""))</f>
        <v/>
      </c>
      <c r="CC84" s="219">
        <f>IF(AND(D84&gt;0,OR(AP84="")),"No olvide digitar los campos *TRANS Femenino (Digite CERO si no tiene).",IF(AP84&gt;$D84,"* El Número de TRANS Femenino no puede superar el Total Hombres. ",""))</f>
        <v/>
      </c>
      <c r="CD84" s="219">
        <f>IF(AND($C84&lt;&gt;0,AQ84=""),"* No olvide ingresar la columna Pueblos Originarios (Digite CERO si no tiene).  ",IF(AQ84&gt;$C84,"* El Número de Pueblos Originarios no puede superar el Total. ",""))</f>
        <v/>
      </c>
      <c r="CE84" s="219">
        <f>IF(AND($C84&lt;&gt;0,AR84=""),"* No olvide ingresar la columna Migrantes (Digite CERO si no tiene).  ",IF(AR84&gt;$C84,"* El Número de Migrantes no puede superar el Total. ",""))</f>
        <v/>
      </c>
      <c r="CF84" s="910">
        <f>IF(AND(SUM(J84:M84)&gt;0,AS84=""),"* No olvide digitar la variable 14-18 años. Si no tiene digite Cero.",IF(AS84&gt;SUM(J84:M84),"* La variable 14-18 años no puede ser mayor al total por grupo edad de 10 a 19 años. ",""))</f>
        <v/>
      </c>
      <c r="CG84" s="219">
        <f>IF(AND($C84&lt;&gt;0,AT84=""),"* No olvide ingresar la variable "&amp;AT$10&amp;". Digite Cero si no tiene.",IF(AT84&gt;$C84,"* La variable "&amp;AT$10&amp;"no puede superar el Total Ambos Sexos. ",""))</f>
        <v/>
      </c>
      <c r="CH84" s="219">
        <f>IF(AND($C84&lt;&gt;0,AU84=""),"* No olvide ingresar la variable "&amp;AU$10&amp;". Digite Cero si no tiene. ",IF(AU84&gt;$C84,"* La variable "&amp;AU$10&amp;" no puede superar el Total Ambos Sexos. ",""))</f>
        <v/>
      </c>
      <c r="CI84" s="226" t="n"/>
      <c r="CJ84" s="221">
        <f>IF(AND($C84&lt;&gt;0,AN84=""),1,IF(AN84&gt;$C84,1,0))</f>
        <v/>
      </c>
      <c r="CK84" s="221">
        <f>IF(AND(E84&gt;0,OR(AO84="")),1,IF(AO84&gt;E84,1,0))</f>
        <v/>
      </c>
      <c r="CL84" s="221">
        <f>IF(AND(D84&gt;0,OR(AP84="")),1,IF(AP84&gt;D84,1,0))</f>
        <v/>
      </c>
      <c r="CM84" s="221">
        <f>IF(AND($C84&lt;&gt;0,AQ84=""),1,IF(AQ84&gt;$C84,1,0))</f>
        <v/>
      </c>
      <c r="CN84" s="221">
        <f>IF(AND($C84&lt;&gt;0,AR84=""),1,IF(AR84&gt;$C84,1,0))</f>
        <v/>
      </c>
      <c r="CO84" s="376">
        <f>IF(AND(SUM(J84:M84)&gt;0,AS84=""),1,IF(AS84&gt;SUM(J84:M84),1,0))</f>
        <v/>
      </c>
      <c r="CP84" s="221">
        <f>IF(AND($C84&lt;&gt;0,AT84=""),1,IF(AT84&gt;$C84,1,0))</f>
        <v/>
      </c>
      <c r="CQ84" s="221">
        <f>IF(AND($C84&lt;&gt;0,AU84=""),1,IF(AU84&gt;$C84,1,0))</f>
        <v/>
      </c>
    </row>
    <row r="85">
      <c r="A85" s="9614" t="n"/>
      <c r="B85" s="3279" t="inlineStr">
        <is>
          <t>Kinesiólogo/a</t>
        </is>
      </c>
      <c r="C85" s="3303">
        <f>SUM(D85+E85)</f>
        <v/>
      </c>
      <c r="D85" s="3304">
        <f>+F85+H85+J85+L85+N85+P85+R85+T85+V85+X85+Z85+AB85+AD85+AF85+AH85+AJ85+AL85</f>
        <v/>
      </c>
      <c r="E85" s="8310">
        <f>+G85+I85+K85+M85+O85+Q85+S85+U85+W85+Y85+AA85+AC85+AE85+AG85+AI85+AK85+AM85</f>
        <v/>
      </c>
      <c r="F85" s="3196" t="n"/>
      <c r="G85" s="1173" t="n"/>
      <c r="H85" s="3196" t="n"/>
      <c r="I85" s="1173" t="n"/>
      <c r="J85" s="3196" t="n"/>
      <c r="K85" s="1173" t="n"/>
      <c r="L85" s="3196" t="n"/>
      <c r="M85" s="1173" t="n"/>
      <c r="N85" s="3196" t="n"/>
      <c r="O85" s="1173" t="n"/>
      <c r="P85" s="3196" t="n"/>
      <c r="Q85" s="1173" t="n"/>
      <c r="R85" s="3196" t="n"/>
      <c r="S85" s="1173" t="n"/>
      <c r="T85" s="3196" t="n"/>
      <c r="U85" s="1173" t="n"/>
      <c r="V85" s="3196" t="n"/>
      <c r="W85" s="1173" t="n"/>
      <c r="X85" s="3196" t="n"/>
      <c r="Y85" s="1173" t="n"/>
      <c r="Z85" s="3196" t="n"/>
      <c r="AA85" s="1173" t="n"/>
      <c r="AB85" s="3196" t="n"/>
      <c r="AC85" s="1173" t="n"/>
      <c r="AD85" s="3196" t="n"/>
      <c r="AE85" s="1173" t="n"/>
      <c r="AF85" s="3196" t="n"/>
      <c r="AG85" s="1173" t="n"/>
      <c r="AH85" s="3196" t="n"/>
      <c r="AI85" s="1173" t="n"/>
      <c r="AJ85" s="3196" t="n"/>
      <c r="AK85" s="1173" t="n"/>
      <c r="AL85" s="3196" t="n"/>
      <c r="AM85" s="1173" t="n"/>
      <c r="AN85" s="3282" t="n"/>
      <c r="AO85" s="1200" t="n"/>
      <c r="AP85" s="1148" t="n"/>
      <c r="AQ85" s="1301" t="n"/>
      <c r="AR85" s="1418" t="n"/>
      <c r="AS85" s="1301" t="n"/>
      <c r="AT85" s="1301" t="n"/>
      <c r="AU85" s="1418" t="n"/>
      <c r="AV85" s="218">
        <f>$CA85&amp;$CB85&amp;CC85&amp;CD85&amp;CE85&amp;CF85&amp;CG85&amp;CH85</f>
        <v/>
      </c>
      <c r="CA85" s="219">
        <f>IF(AND($C85&lt;&gt;0,AN85=""),"* No olvide ingresar la columna Espacios Amigables /adolescentes (Digite CERO si no tiene). ",IF(AN85&gt;$C85,"* El Número de Espacios Amigables no puede superar el Total. ",""))</f>
        <v/>
      </c>
      <c r="CB85" s="219">
        <f>IF(AND(E85&gt;0,OR(AO85="")),"No olvide digitar los campos *TRANS Masculino (Digite CERO si no tiene).",IF(AO85&gt;E85,"* El Número de TRANS Masculino no puede superar el Total Mujeres. ",""))</f>
        <v/>
      </c>
      <c r="CC85" s="219">
        <f>IF(AND(D85&gt;0,OR(AP85="")),"No olvide digitar los campos *TRANS Femenino (Digite CERO si no tiene).",IF(AP85&gt;$D85,"* El Número de TRANS Femenino no puede superar el Total Hombres. ",""))</f>
        <v/>
      </c>
      <c r="CD85" s="219">
        <f>IF(AND($C85&lt;&gt;0,AQ85=""),"* No olvide ingresar la columna Pueblos Originarios (Digite CERO si no tiene).  ",IF(AQ85&gt;$C85,"* El Número de Pueblos Originarios no puede superar el Total. ",""))</f>
        <v/>
      </c>
      <c r="CE85" s="219">
        <f>IF(AND($C85&lt;&gt;0,AR85=""),"* No olvide ingresar la columna Migrantes (Digite CERO si no tiene).  ",IF(AR85&gt;$C85,"* El Número de Migrantes no puede superar el Total. ",""))</f>
        <v/>
      </c>
      <c r="CF85" s="910">
        <f>IF(AND(SUM(J85:M85)&gt;0,AS85=""),"* No olvide digitar la variable 14-18 años. Si no tiene digite Cero.",IF(AS85&gt;SUM(J85:M85),"* La variable 14-18 años no puede ser mayor al total por grupo edad de 10 a 19 años. ",""))</f>
        <v/>
      </c>
      <c r="CG85" s="219">
        <f>IF(AND($C85&lt;&gt;0,AT85=""),"* No olvide ingresar la variable "&amp;AT$10&amp;". Digite Cero si no tiene.",IF(AT85&gt;$C85,"* La variable "&amp;AT$10&amp;"no puede superar el Total Ambos Sexos. ",""))</f>
        <v/>
      </c>
      <c r="CH85" s="219">
        <f>IF(AND($C85&lt;&gt;0,AU85=""),"* No olvide ingresar la variable "&amp;AU$10&amp;". Digite Cero si no tiene. ",IF(AU85&gt;$C85,"* La variable "&amp;AU$10&amp;" no puede superar el Total Ambos Sexos. ",""))</f>
        <v/>
      </c>
      <c r="CI85" s="226" t="n"/>
      <c r="CJ85" s="221">
        <f>IF(AND($C85&lt;&gt;0,AN85=""),1,IF(AN85&gt;$C85,1,0))</f>
        <v/>
      </c>
      <c r="CK85" s="221">
        <f>IF(AND(E85&gt;0,OR(AO85="")),1,IF(AO85&gt;E85,1,0))</f>
        <v/>
      </c>
      <c r="CL85" s="221">
        <f>IF(AND(D85&gt;0,OR(AP85="")),1,IF(AP85&gt;D85,1,0))</f>
        <v/>
      </c>
      <c r="CM85" s="221">
        <f>IF(AND($C85&lt;&gt;0,AQ85=""),1,IF(AQ85&gt;$C85,1,0))</f>
        <v/>
      </c>
      <c r="CN85" s="221">
        <f>IF(AND($C85&lt;&gt;0,AR85=""),1,IF(AR85&gt;$C85,1,0))</f>
        <v/>
      </c>
      <c r="CO85" s="376">
        <f>IF(AND(SUM(J85:M85)&gt;0,AS85=""),1,IF(AS85&gt;SUM(J85:M85),1,0))</f>
        <v/>
      </c>
      <c r="CP85" s="221">
        <f>IF(AND($C85&lt;&gt;0,AT85=""),1,IF(AT85&gt;$C85,1,0))</f>
        <v/>
      </c>
      <c r="CQ85" s="221">
        <f>IF(AND($C85&lt;&gt;0,AU85=""),1,IF(AU85&gt;$C85,1,0))</f>
        <v/>
      </c>
    </row>
    <row r="86">
      <c r="A86" s="9614" t="n"/>
      <c r="B86" s="3284" t="inlineStr">
        <is>
          <t>Terapeuta ocupacional</t>
        </is>
      </c>
      <c r="C86" s="3303">
        <f>SUM(D86+E86)</f>
        <v/>
      </c>
      <c r="D86" s="3304">
        <f>+F86+H86+J86+L86+N86+P86+R86+T86+V86+X86+Z86+AB86+AD86+AF86+AH86+AJ86+AL86</f>
        <v/>
      </c>
      <c r="E86" s="8310">
        <f>+G86+I86+K86+M86+O86+Q86+S86+U86+W86+Y86+AA86+AC86+AE86+AG86+AI86+AK86+AM86</f>
        <v/>
      </c>
      <c r="F86" s="3196" t="n"/>
      <c r="G86" s="1173" t="n"/>
      <c r="H86" s="3196" t="n"/>
      <c r="I86" s="1173" t="n"/>
      <c r="J86" s="3196" t="n"/>
      <c r="K86" s="1173" t="n"/>
      <c r="L86" s="3196" t="n"/>
      <c r="M86" s="1173" t="n"/>
      <c r="N86" s="3196" t="n"/>
      <c r="O86" s="1173" t="n"/>
      <c r="P86" s="3196" t="n"/>
      <c r="Q86" s="1173" t="n"/>
      <c r="R86" s="3196" t="n"/>
      <c r="S86" s="1173" t="n"/>
      <c r="T86" s="3196" t="n"/>
      <c r="U86" s="1173" t="n"/>
      <c r="V86" s="3196" t="n"/>
      <c r="W86" s="1173" t="n"/>
      <c r="X86" s="3196" t="n"/>
      <c r="Y86" s="1173" t="n"/>
      <c r="Z86" s="3196" t="n"/>
      <c r="AA86" s="1173" t="n"/>
      <c r="AB86" s="3196" t="n"/>
      <c r="AC86" s="1173" t="n"/>
      <c r="AD86" s="3196" t="n"/>
      <c r="AE86" s="1173" t="n"/>
      <c r="AF86" s="3196" t="n"/>
      <c r="AG86" s="1173" t="n"/>
      <c r="AH86" s="3196" t="n"/>
      <c r="AI86" s="1173" t="n"/>
      <c r="AJ86" s="3196" t="n"/>
      <c r="AK86" s="1173" t="n"/>
      <c r="AL86" s="3196" t="n"/>
      <c r="AM86" s="1173" t="n"/>
      <c r="AN86" s="3282" t="n"/>
      <c r="AO86" s="1200" t="n"/>
      <c r="AP86" s="1148" t="n"/>
      <c r="AQ86" s="1301" t="n"/>
      <c r="AR86" s="1418" t="n"/>
      <c r="AS86" s="1301" t="n"/>
      <c r="AT86" s="1301" t="n"/>
      <c r="AU86" s="1418" t="n"/>
      <c r="AV86" s="218">
        <f>$CA86&amp;$CB86&amp;CC86&amp;CD86&amp;CE86&amp;CF86&amp;CG86&amp;CH86</f>
        <v/>
      </c>
      <c r="CA86" s="219">
        <f>IF(AND($C86&lt;&gt;0,AN86=""),"* No olvide ingresar la columna Espacios Amigables /adolescentes (Digite CERO si no tiene). ",IF(AN86&gt;$C86,"* El Número de Espacios Amigables no puede superar el Total. ",""))</f>
        <v/>
      </c>
      <c r="CB86" s="219">
        <f>IF(AND(E86&gt;0,OR(AO86="")),"No olvide digitar los campos *TRANS Masculino (Digite CERO si no tiene).",IF(AO86&gt;E86,"* El Número de TRANS Masculino no puede superar el Total Mujeres. ",""))</f>
        <v/>
      </c>
      <c r="CC86" s="219">
        <f>IF(AND(D86&gt;0,OR(AP86="")),"No olvide digitar los campos *TRANS Femenino (Digite CERO si no tiene).",IF(AP86&gt;$D86,"* El Número de TRANS Femenino no puede superar el Total Hombres. ",""))</f>
        <v/>
      </c>
      <c r="CD86" s="219">
        <f>IF(AND($C86&lt;&gt;0,AQ86=""),"* No olvide ingresar la columna Pueblos Originarios (Digite CERO si no tiene).  ",IF(AQ86&gt;$C86,"* El Número de Pueblos Originarios no puede superar el Total. ",""))</f>
        <v/>
      </c>
      <c r="CE86" s="219">
        <f>IF(AND($C86&lt;&gt;0,AR86=""),"* No olvide ingresar la columna Migrantes (Digite CERO si no tiene).  ",IF(AR86&gt;$C86,"* El Número de Migrantes no puede superar el Total. ",""))</f>
        <v/>
      </c>
      <c r="CF86" s="910">
        <f>IF(AND(SUM(J86:M86)&gt;0,AS86=""),"* No olvide digitar la variable 14-18 años. Si no tiene digite Cero.",IF(AS86&gt;SUM(J86:M86),"* La variable 14-18 años no puede ser mayor al total por grupo edad de 10 a 19 años. ",""))</f>
        <v/>
      </c>
      <c r="CG86" s="219">
        <f>IF(AND($C86&lt;&gt;0,AT86=""),"* No olvide ingresar la variable "&amp;AT$10&amp;". Digite Cero si no tiene.",IF(AT86&gt;$C86,"* La variable "&amp;AT$10&amp;"no puede superar el Total Ambos Sexos. ",""))</f>
        <v/>
      </c>
      <c r="CH86" s="219">
        <f>IF(AND($C86&lt;&gt;0,AU86=""),"* No olvide ingresar la variable "&amp;AU$10&amp;". Digite Cero si no tiene. ",IF(AU86&gt;$C86,"* La variable "&amp;AU$10&amp;" no puede superar el Total Ambos Sexos. ",""))</f>
        <v/>
      </c>
      <c r="CI86" s="226" t="n"/>
      <c r="CJ86" s="221">
        <f>IF(AND($C86&lt;&gt;0,AN86=""),1,IF(AN86&gt;$C86,1,0))</f>
        <v/>
      </c>
      <c r="CK86" s="221">
        <f>IF(AND(E86&gt;0,OR(AO86="")),1,IF(AO86&gt;E86,1,0))</f>
        <v/>
      </c>
      <c r="CL86" s="221">
        <f>IF(AND(D86&gt;0,OR(AP86="")),1,IF(AP86&gt;D86,1,0))</f>
        <v/>
      </c>
      <c r="CM86" s="221">
        <f>IF(AND($C86&lt;&gt;0,AQ86=""),1,IF(AQ86&gt;$C86,1,0))</f>
        <v/>
      </c>
      <c r="CN86" s="221">
        <f>IF(AND($C86&lt;&gt;0,AR86=""),1,IF(AR86&gt;$C86,1,0))</f>
        <v/>
      </c>
      <c r="CO86" s="376">
        <f>IF(AND(SUM(J86:M86)&gt;0,AS86=""),1,IF(AS86&gt;SUM(J86:M86),1,0))</f>
        <v/>
      </c>
      <c r="CP86" s="221">
        <f>IF(AND($C86&lt;&gt;0,AT86=""),1,IF(AT86&gt;$C86,1,0))</f>
        <v/>
      </c>
      <c r="CQ86" s="221">
        <f>IF(AND($C86&lt;&gt;0,AU86=""),1,IF(AU86&gt;$C86,1,0))</f>
        <v/>
      </c>
    </row>
    <row r="87">
      <c r="A87" s="9614" t="n"/>
      <c r="B87" s="3279" t="inlineStr">
        <is>
          <t>Otro profesional</t>
        </is>
      </c>
      <c r="C87" s="3303">
        <f>SUM(D87+E87)</f>
        <v/>
      </c>
      <c r="D87" s="3304">
        <f>+F87+H87+J87+L87+N87+P87+R87+T87+V87+X87+Z87+AB87+AD87+AF87+AH87+AJ87+AL87</f>
        <v/>
      </c>
      <c r="E87" s="8310">
        <f>+G87+I87+K87+M87+O87+Q87+S87+U87+W87+Y87+AA87+AC87+AE87+AG87+AI87+AK87+AM87</f>
        <v/>
      </c>
      <c r="F87" s="3196" t="n"/>
      <c r="G87" s="1173" t="n"/>
      <c r="H87" s="3196" t="n"/>
      <c r="I87" s="1173" t="n"/>
      <c r="J87" s="3196" t="n"/>
      <c r="K87" s="1173" t="n"/>
      <c r="L87" s="3196" t="n"/>
      <c r="M87" s="1173" t="n"/>
      <c r="N87" s="3196" t="n"/>
      <c r="O87" s="1173" t="n"/>
      <c r="P87" s="3196" t="n"/>
      <c r="Q87" s="1173" t="n"/>
      <c r="R87" s="3196" t="n"/>
      <c r="S87" s="1173" t="n"/>
      <c r="T87" s="3196" t="n"/>
      <c r="U87" s="1173" t="n"/>
      <c r="V87" s="3196" t="n"/>
      <c r="W87" s="1173" t="n"/>
      <c r="X87" s="3196" t="n"/>
      <c r="Y87" s="1173" t="n"/>
      <c r="Z87" s="3196" t="n"/>
      <c r="AA87" s="1173" t="n"/>
      <c r="AB87" s="3196" t="n"/>
      <c r="AC87" s="1173" t="n"/>
      <c r="AD87" s="3196" t="n"/>
      <c r="AE87" s="1173" t="n"/>
      <c r="AF87" s="3196" t="n"/>
      <c r="AG87" s="1173" t="n"/>
      <c r="AH87" s="3196" t="n"/>
      <c r="AI87" s="1173" t="n"/>
      <c r="AJ87" s="3196" t="n"/>
      <c r="AK87" s="1173" t="n"/>
      <c r="AL87" s="3196" t="n"/>
      <c r="AM87" s="1173" t="n"/>
      <c r="AN87" s="3282" t="n"/>
      <c r="AO87" s="1200" t="n"/>
      <c r="AP87" s="1148" t="n"/>
      <c r="AQ87" s="1301" t="n"/>
      <c r="AR87" s="1418" t="n"/>
      <c r="AS87" s="1301" t="n"/>
      <c r="AT87" s="1301" t="n"/>
      <c r="AU87" s="1418" t="n"/>
      <c r="AV87" s="218">
        <f>$CA87&amp;$CB87&amp;CC87&amp;CD87&amp;CE87&amp;CF87&amp;CG87&amp;CH87</f>
        <v/>
      </c>
      <c r="CA87" s="219">
        <f>IF(AND($C87&lt;&gt;0,AN87=""),"* No olvide ingresar la columna Espacios Amigables /adolescentes (Digite CERO si no tiene). ",IF(AN87&gt;$C87,"* El Número de Espacios Amigables no puede superar el Total. ",""))</f>
        <v/>
      </c>
      <c r="CB87" s="219">
        <f>IF(AND(E87&gt;0,OR(AO87="")),"No olvide digitar los campos *TRANS Masculino (Digite CERO si no tiene).",IF(AO87&gt;E87,"* El Número de TRANS Masculino no puede superar el Total Mujeres. ",""))</f>
        <v/>
      </c>
      <c r="CC87" s="219">
        <f>IF(AND(D87&gt;0,OR(AP87="")),"No olvide digitar los campos *TRANS Femenino (Digite CERO si no tiene).",IF(AP87&gt;$D87,"* El Número de TRANS Femenino no puede superar el Total Hombres. ",""))</f>
        <v/>
      </c>
      <c r="CD87" s="219">
        <f>IF(AND($C87&lt;&gt;0,AQ87=""),"* No olvide ingresar la columna Pueblos Originarios (Digite CERO si no tiene).  ",IF(AQ87&gt;$C87,"* El Número de Pueblos Originarios no puede superar el Total. ",""))</f>
        <v/>
      </c>
      <c r="CE87" s="219">
        <f>IF(AND($C87&lt;&gt;0,AR87=""),"* No olvide ingresar la columna Migrantes (Digite CERO si no tiene).  ",IF(AR87&gt;$C87,"* El Número de Migrantes no puede superar el Total. ",""))</f>
        <v/>
      </c>
      <c r="CF87" s="910">
        <f>IF(AND(SUM(J87:M87)&gt;0,AS87=""),"* No olvide digitar la variable 14-18 años. Si no tiene digite Cero.",IF(AS87&gt;SUM(J87:M87),"* La variable 14-18 años no puede ser mayor al total por grupo edad de 10 a 19 años. ",""))</f>
        <v/>
      </c>
      <c r="CG87" s="219">
        <f>IF(AND($C87&lt;&gt;0,AT87=""),"* No olvide ingresar la variable "&amp;AT$10&amp;". Digite Cero si no tiene.",IF(AT87&gt;$C87,"* La variable "&amp;AT$10&amp;"no puede superar el Total Ambos Sexos. ",""))</f>
        <v/>
      </c>
      <c r="CH87" s="219">
        <f>IF(AND($C87&lt;&gt;0,AU87=""),"* No olvide ingresar la variable "&amp;AU$10&amp;". Digite Cero si no tiene. ",IF(AU87&gt;$C87,"* La variable "&amp;AU$10&amp;" no puede superar el Total Ambos Sexos. ",""))</f>
        <v/>
      </c>
      <c r="CI87" s="226" t="n"/>
      <c r="CJ87" s="221">
        <f>IF(AND($C87&lt;&gt;0,AN87=""),1,IF(AN87&gt;$C87,1,0))</f>
        <v/>
      </c>
      <c r="CK87" s="221">
        <f>IF(AND(E87&gt;0,OR(AO87="")),1,IF(AO87&gt;E87,1,0))</f>
        <v/>
      </c>
      <c r="CL87" s="221">
        <f>IF(AND(D87&gt;0,OR(AP87="")),1,IF(AP87&gt;D87,1,0))</f>
        <v/>
      </c>
      <c r="CM87" s="221">
        <f>IF(AND($C87&lt;&gt;0,AQ87=""),1,IF(AQ87&gt;$C87,1,0))</f>
        <v/>
      </c>
      <c r="CN87" s="221">
        <f>IF(AND($C87&lt;&gt;0,AR87=""),1,IF(AR87&gt;$C87,1,0))</f>
        <v/>
      </c>
      <c r="CO87" s="376">
        <f>IF(AND(SUM(J87:M87)&gt;0,AS87=""),1,IF(AS87&gt;SUM(J87:M87),1,0))</f>
        <v/>
      </c>
      <c r="CP87" s="221">
        <f>IF(AND($C87&lt;&gt;0,AT87=""),1,IF(AT87&gt;$C87,1,0))</f>
        <v/>
      </c>
      <c r="CQ87" s="221">
        <f>IF(AND($C87&lt;&gt;0,AU87=""),1,IF(AU87&gt;$C87,1,0))</f>
        <v/>
      </c>
    </row>
    <row r="88">
      <c r="A88" s="9614" t="n"/>
      <c r="B88" s="8347" t="inlineStr">
        <is>
          <t>Facilitador/a intercultural</t>
        </is>
      </c>
      <c r="C88" s="3303">
        <f>SUM(D88+E88)</f>
        <v/>
      </c>
      <c r="D88" s="3304">
        <f>+F88+H88+J88+L88+N88+P88+R88+T88+V88+X88+Z88+AB88+AD88+AF88+AH88+AJ88+AL88</f>
        <v/>
      </c>
      <c r="E88" s="402">
        <f>+G88+I88+K88+M88+O88+Q88+S88+U88+W88+Y88+AA88+AC88+AE88+AG88+AI88+AK88+AM88</f>
        <v/>
      </c>
      <c r="F88" s="3196" t="n"/>
      <c r="G88" s="1173" t="n"/>
      <c r="H88" s="3196" t="n"/>
      <c r="I88" s="1173" t="n"/>
      <c r="J88" s="3196" t="n"/>
      <c r="K88" s="1173" t="n"/>
      <c r="L88" s="3196" t="n"/>
      <c r="M88" s="1173" t="n"/>
      <c r="N88" s="3196" t="n"/>
      <c r="O88" s="1173" t="n"/>
      <c r="P88" s="3196" t="n"/>
      <c r="Q88" s="1173" t="n"/>
      <c r="R88" s="3196" t="n"/>
      <c r="S88" s="1173" t="n"/>
      <c r="T88" s="3196" t="n"/>
      <c r="U88" s="1173" t="n"/>
      <c r="V88" s="3196" t="n"/>
      <c r="W88" s="1173" t="n"/>
      <c r="X88" s="3196" t="n"/>
      <c r="Y88" s="1173" t="n"/>
      <c r="Z88" s="3196" t="n"/>
      <c r="AA88" s="1173" t="n"/>
      <c r="AB88" s="3196" t="n"/>
      <c r="AC88" s="1173" t="n"/>
      <c r="AD88" s="3196" t="n"/>
      <c r="AE88" s="1173" t="n"/>
      <c r="AF88" s="3196" t="n"/>
      <c r="AG88" s="1173" t="n"/>
      <c r="AH88" s="3196" t="n"/>
      <c r="AI88" s="1173" t="n"/>
      <c r="AJ88" s="3196" t="n"/>
      <c r="AK88" s="1173" t="n"/>
      <c r="AL88" s="3196" t="n"/>
      <c r="AM88" s="1173" t="n"/>
      <c r="AN88" s="3282" t="n"/>
      <c r="AO88" s="1200" t="n"/>
      <c r="AP88" s="1148" t="n"/>
      <c r="AQ88" s="1301" t="n"/>
      <c r="AR88" s="1418" t="n"/>
      <c r="AS88" s="1301" t="n"/>
      <c r="AT88" s="1301" t="n"/>
      <c r="AU88" s="1418" t="n"/>
      <c r="AV88" s="218">
        <f>$CA88&amp;$CB88&amp;CC88&amp;CD88&amp;CE88&amp;CF88&amp;CG88&amp;CH88</f>
        <v/>
      </c>
      <c r="CA88" s="219">
        <f>IF(AND($C88&lt;&gt;0,AN88=""),"* No olvide ingresar la columna Espacios Amigables /adolescentes (Digite CERO si no tiene). ",IF(AN88&gt;$C88,"* El Número de Espacios Amigables no puede superar el Total. ",""))</f>
        <v/>
      </c>
      <c r="CB88" s="219">
        <f>IF(AND(E88&gt;0,OR(AO88="")),"No olvide digitar los campos *TRANS Masculino (Digite CERO si no tiene).",IF(AO88&gt;E88,"* El Número de TRANS Masculino no puede superar el Total Mujeres. ",""))</f>
        <v/>
      </c>
      <c r="CC88" s="219">
        <f>IF(AND(D88&gt;0,OR(AP88="")),"No olvide digitar los campos *TRANS Femenino (Digite CERO si no tiene).",IF(AP88&gt;$D88,"* El Número de TRANS Femenino no puede superar el Total Hombres. ",""))</f>
        <v/>
      </c>
      <c r="CD88" s="219">
        <f>IF(AND($C88&lt;&gt;0,AQ88=""),"* No olvide ingresar la columna Pueblos Originarios (Digite CERO si no tiene).  ",IF(AQ88&gt;$C88,"* El Número de Pueblos Originarios no puede superar el Total. ",""))</f>
        <v/>
      </c>
      <c r="CE88" s="219">
        <f>IF(AND($C88&lt;&gt;0,AR88=""),"* No olvide ingresar la columna Migrantes (Digite CERO si no tiene).  ",IF(AR88&gt;$C88,"* El Número de Migrantes no puede superar el Total. ",""))</f>
        <v/>
      </c>
      <c r="CF88" s="910">
        <f>IF(AND(SUM(J88:M88)&gt;0,AS88=""),"* No olvide digitar la variable 14-18 años. Si no tiene digite Cero.",IF(AS88&gt;SUM(J88:M88),"* La variable 14-18 años no puede ser mayor al total por grupo edad de 10 a 19 años. ",""))</f>
        <v/>
      </c>
      <c r="CG88" s="219">
        <f>IF(AND($C88&lt;&gt;0,AT88=""),"* No olvide ingresar la variable "&amp;AT$10&amp;". Digite Cero si no tiene.",IF(AT88&gt;$C88,"* La variable "&amp;AT$10&amp;"no puede superar el Total Ambos Sexos. ",""))</f>
        <v/>
      </c>
      <c r="CH88" s="219">
        <f>IF(AND($C88&lt;&gt;0,AU88=""),"* No olvide ingresar la variable "&amp;AU$10&amp;". Digite Cero si no tiene. ",IF(AU88&gt;$C88,"* La variable "&amp;AU$10&amp;" no puede superar el Total Ambos Sexos. ",""))</f>
        <v/>
      </c>
      <c r="CI88" s="226" t="n"/>
      <c r="CJ88" s="221">
        <f>IF(AND($C88&lt;&gt;0,AN88=""),1,IF(AN88&gt;$C88,1,0))</f>
        <v/>
      </c>
      <c r="CK88" s="221">
        <f>IF(AND(E88&gt;0,OR(AO88="")),1,IF(AO88&gt;E88,1,0))</f>
        <v/>
      </c>
      <c r="CL88" s="221">
        <f>IF(AND(D88&gt;0,OR(AP88="")),1,IF(AP88&gt;D88,1,0))</f>
        <v/>
      </c>
      <c r="CM88" s="221">
        <f>IF(AND($C88&lt;&gt;0,AQ88=""),1,IF(AQ88&gt;$C88,1,0))</f>
        <v/>
      </c>
      <c r="CN88" s="221">
        <f>IF(AND($C88&lt;&gt;0,AR88=""),1,IF(AR88&gt;$C88,1,0))</f>
        <v/>
      </c>
      <c r="CO88" s="376">
        <f>IF(AND(SUM(J88:M88)&gt;0,AS88=""),1,IF(AS88&gt;SUM(J88:M88),1,0))</f>
        <v/>
      </c>
      <c r="CP88" s="221">
        <f>IF(AND($C88&lt;&gt;0,AT88=""),1,IF(AT88&gt;$C88,1,0))</f>
        <v/>
      </c>
      <c r="CQ88" s="221">
        <f>IF(AND($C88&lt;&gt;0,AU88=""),1,IF(AU88&gt;$C88,1,0))</f>
        <v/>
      </c>
    </row>
    <row r="89">
      <c r="A89" s="9610" t="n"/>
      <c r="B89" s="7763" t="inlineStr">
        <is>
          <t>Técnico en Enfermería</t>
        </is>
      </c>
      <c r="C89" s="1360">
        <f>SUM(D89+E89)</f>
        <v/>
      </c>
      <c r="D89" s="1379">
        <f>+F89+H89+J89+L89+N89+P89+R89+T89+V89+X89+Z89+AB89+AD89+AF89+AH89+AJ89+AL89</f>
        <v/>
      </c>
      <c r="E89" s="3305">
        <f>+G89+I89+K89+M89+O89+Q89+S89+U89+W89+Y89+AA89+AC89+AE89+AG89+AI89+AK89+AM89</f>
        <v/>
      </c>
      <c r="F89" s="1188" t="n"/>
      <c r="G89" s="1192" t="n"/>
      <c r="H89" s="1188" t="n"/>
      <c r="I89" s="1192" t="n"/>
      <c r="J89" s="1188" t="n"/>
      <c r="K89" s="1192" t="n"/>
      <c r="L89" s="1188" t="n"/>
      <c r="M89" s="1192" t="n"/>
      <c r="N89" s="1188" t="n"/>
      <c r="O89" s="1192" t="n"/>
      <c r="P89" s="1188" t="n"/>
      <c r="Q89" s="1192" t="n"/>
      <c r="R89" s="1188" t="n"/>
      <c r="S89" s="1192" t="n"/>
      <c r="T89" s="1188" t="n"/>
      <c r="U89" s="1192" t="n"/>
      <c r="V89" s="1188" t="n"/>
      <c r="W89" s="1192" t="n"/>
      <c r="X89" s="1188" t="n"/>
      <c r="Y89" s="1192" t="n"/>
      <c r="Z89" s="1188" t="n"/>
      <c r="AA89" s="1192" t="n"/>
      <c r="AB89" s="1188" t="n"/>
      <c r="AC89" s="1192" t="n"/>
      <c r="AD89" s="1188" t="n"/>
      <c r="AE89" s="1192" t="n"/>
      <c r="AF89" s="1188" t="n"/>
      <c r="AG89" s="1192" t="n"/>
      <c r="AH89" s="1188" t="n"/>
      <c r="AI89" s="1192" t="n"/>
      <c r="AJ89" s="1188" t="n"/>
      <c r="AK89" s="1192" t="n"/>
      <c r="AL89" s="1188" t="n"/>
      <c r="AM89" s="1192" t="n"/>
      <c r="AN89" s="1208" t="n"/>
      <c r="AO89" s="1140" t="n"/>
      <c r="AP89" s="1138" t="n"/>
      <c r="AQ89" s="1151" t="n"/>
      <c r="AR89" s="1299" t="n"/>
      <c r="AS89" s="1151" t="n"/>
      <c r="AT89" s="1151" t="n"/>
      <c r="AU89" s="1299" t="n"/>
      <c r="AV89" s="218">
        <f>$CA89&amp;$CB89&amp;CC89&amp;CD89&amp;CE89&amp;CF89&amp;CG89&amp;CH89</f>
        <v/>
      </c>
      <c r="CA89" s="219">
        <f>IF(AND($C89&lt;&gt;0,AN89=""),"* No olvide ingresar la columna Espacios Amigables /adolescentes (Digite CERO si no tiene). ",IF(AN89&gt;$C89,"* El Número de Espacios Amigables no puede superar el Total. ",""))</f>
        <v/>
      </c>
      <c r="CB89" s="219">
        <f>IF(AND(E89&gt;0,OR(AO89="")),"No olvide digitar los campos *TRANS Masculino (Digite CERO si no tiene).",IF(AO89&gt;E89,"* El Número de TRANS Masculino no puede superar el Total Mujeres. ",""))</f>
        <v/>
      </c>
      <c r="CC89" s="219">
        <f>IF(AND(D89&gt;0,OR(AP89="")),"No olvide digitar los campos *TRANS Femenino (Digite CERO si no tiene).",IF(AP89&gt;$D89,"* El Número de TRANS Femenino no puede superar el Total Hombres. ",""))</f>
        <v/>
      </c>
      <c r="CD89" s="219">
        <f>IF(AND($C89&lt;&gt;0,AQ89=""),"* No olvide ingresar la columna Pueblos Originarios (Digite CERO si no tiene).  ",IF(AQ89&gt;$C89,"* El Número de Pueblos Originarios no puede superar el Total. ",""))</f>
        <v/>
      </c>
      <c r="CE89" s="219">
        <f>IF(AND($C89&lt;&gt;0,AR89=""),"* No olvide ingresar la columna Migrantes (Digite CERO si no tiene).  ",IF(AR89&gt;$C89,"* El Número de Migrantes no puede superar el Total. ",""))</f>
        <v/>
      </c>
      <c r="CF89" s="910">
        <f>IF(AND(SUM(J89:M89)&gt;0,AS89=""),"* No olvide digitar la variable 14-18 años. Si no tiene digite Cero.",IF(AS89&gt;SUM(J89:M89),"* La variable 14-18 años no puede ser mayor al total por grupo edad de 10 a 19 años. ",""))</f>
        <v/>
      </c>
      <c r="CG89" s="219">
        <f>IF(AND($C89&lt;&gt;0,AT89=""),"* No olvide ingresar la variable "&amp;AT$10&amp;". Digite Cero si no tiene.",IF(AT89&gt;$C89,"* La variable "&amp;AT$10&amp;"no puede superar el Total Ambos Sexos. ",""))</f>
        <v/>
      </c>
      <c r="CH89" s="219">
        <f>IF(AND($C89&lt;&gt;0,AU89=""),"* No olvide ingresar la variable "&amp;AU$10&amp;". Digite Cero si no tiene. ",IF(AU89&gt;$C89,"* La variable "&amp;AU$10&amp;" no puede superar el Total Ambos Sexos. ",""))</f>
        <v/>
      </c>
      <c r="CI89" s="226" t="n"/>
      <c r="CJ89" s="221">
        <f>IF(AND($C89&lt;&gt;0,AN89=""),1,IF(AN89&gt;$C89,1,0))</f>
        <v/>
      </c>
      <c r="CK89" s="221">
        <f>IF(AND(E89&gt;0,OR(AO89="")),1,IF(AO89&gt;E89,1,0))</f>
        <v/>
      </c>
      <c r="CL89" s="221">
        <f>IF(AND(D89&gt;0,OR(AP89="")),1,IF(AP89&gt;D89,1,0))</f>
        <v/>
      </c>
      <c r="CM89" s="221">
        <f>IF(AND($C89&lt;&gt;0,AQ89=""),1,IF(AQ89&gt;$C89,1,0))</f>
        <v/>
      </c>
      <c r="CN89" s="221">
        <f>IF(AND($C89&lt;&gt;0,AR89=""),1,IF(AR89&gt;$C89,1,0))</f>
        <v/>
      </c>
      <c r="CO89" s="376">
        <f>IF(AND(SUM(J89:M89)&gt;0,AS89=""),1,IF(AS89&gt;SUM(J89:M89),1,0))</f>
        <v/>
      </c>
      <c r="CP89" s="221">
        <f>IF(AND($C89&lt;&gt;0,AT89=""),1,IF(AT89&gt;$C89,1,0))</f>
        <v/>
      </c>
      <c r="CQ89" s="221">
        <f>IF(AND($C89&lt;&gt;0,AU89=""),1,IF(AU89&gt;$C89,1,0))</f>
        <v/>
      </c>
    </row>
    <row r="90" ht="18" customHeight="1" s="8286">
      <c r="A90" s="9689" t="inlineStr">
        <is>
          <t>SECCIÓN A.2: CONSEJERÍAS INDIVIDUALES POR VIH (NO INCLUIDAS EN LA SECCIÓN A.1)</t>
        </is>
      </c>
      <c r="B90" s="9591" t="n"/>
      <c r="C90" s="9591" t="n"/>
      <c r="D90" s="9591" t="n"/>
      <c r="E90" s="9591" t="n"/>
      <c r="F90" s="9591" t="n"/>
      <c r="G90" s="9591" t="n"/>
      <c r="H90" s="9591" t="n"/>
      <c r="I90" s="9591" t="n"/>
      <c r="J90" s="9591" t="n"/>
      <c r="K90" s="9591" t="n"/>
      <c r="L90" s="9591" t="n"/>
      <c r="M90" s="9591" t="n"/>
      <c r="N90" s="9591" t="n"/>
      <c r="O90" s="9591" t="n"/>
      <c r="P90" s="9591" t="n"/>
      <c r="Q90" s="9591" t="n"/>
      <c r="R90" s="9591" t="n"/>
      <c r="S90" s="9591" t="n"/>
      <c r="T90" s="9591" t="n"/>
      <c r="U90" s="9591" t="n"/>
      <c r="V90" s="9591" t="n"/>
      <c r="W90" s="9591" t="n"/>
      <c r="X90" s="9591" t="n"/>
      <c r="Y90" s="9591" t="n"/>
      <c r="Z90" s="9591" t="n"/>
      <c r="AA90" s="9591" t="n"/>
      <c r="AB90" s="9591" t="n"/>
      <c r="AC90" s="9591" t="n"/>
      <c r="AD90" s="9591" t="n"/>
      <c r="AE90" s="9591" t="n"/>
      <c r="AF90" s="9591" t="n"/>
      <c r="AG90" s="9591" t="n"/>
      <c r="AH90" s="9591" t="n"/>
      <c r="AI90" s="9591" t="n"/>
      <c r="AJ90" s="9591" t="n"/>
      <c r="AK90" s="9591" t="n"/>
      <c r="AL90" s="9591" t="n"/>
      <c r="AM90" s="9591" t="n"/>
    </row>
    <row r="91" ht="18" customHeight="1" s="8286">
      <c r="A91" s="9690" t="inlineStr">
        <is>
          <t>CONSEJERÍAS</t>
        </is>
      </c>
      <c r="B91" s="10247" t="inlineStr">
        <is>
          <t>ÁREA O NIVEL</t>
        </is>
      </c>
      <c r="C91" s="9939" t="inlineStr">
        <is>
          <t xml:space="preserve">TOTAL              </t>
        </is>
      </c>
      <c r="D91" s="9602" t="n"/>
      <c r="E91" s="9630" t="n"/>
      <c r="F91" s="9915" t="inlineStr">
        <is>
          <t>RANGO ETARIO Y SEXO</t>
        </is>
      </c>
      <c r="G91" s="9584" t="n"/>
      <c r="H91" s="9584" t="n"/>
      <c r="I91" s="9584" t="n"/>
      <c r="J91" s="9584" t="n"/>
      <c r="K91" s="9584" t="n"/>
      <c r="L91" s="9584" t="n"/>
      <c r="M91" s="9584" t="n"/>
      <c r="N91" s="9584" t="n"/>
      <c r="O91" s="9584" t="n"/>
      <c r="P91" s="9584" t="n"/>
      <c r="Q91" s="9584" t="n"/>
      <c r="R91" s="9584" t="n"/>
      <c r="S91" s="9584" t="n"/>
      <c r="T91" s="9584" t="n"/>
      <c r="U91" s="9584" t="n"/>
      <c r="V91" s="9584" t="n"/>
      <c r="W91" s="9584" t="n"/>
      <c r="X91" s="9584" t="n"/>
      <c r="Y91" s="9584" t="n"/>
      <c r="Z91" s="9584" t="n"/>
      <c r="AA91" s="9584" t="n"/>
      <c r="AB91" s="9584" t="n"/>
      <c r="AC91" s="9584" t="n"/>
      <c r="AD91" s="9584" t="n"/>
      <c r="AE91" s="9584" t="n"/>
      <c r="AF91" s="9584" t="n"/>
      <c r="AG91" s="9584" t="n"/>
      <c r="AH91" s="9584" t="n"/>
      <c r="AI91" s="9584" t="n"/>
      <c r="AJ91" s="9584" t="n"/>
      <c r="AK91" s="9584" t="n"/>
      <c r="AL91" s="9584" t="n"/>
      <c r="AM91" s="9595" t="n"/>
      <c r="AN91" s="10005" t="inlineStr">
        <is>
          <t>TRANS</t>
        </is>
      </c>
      <c r="AO91" s="9630" t="n"/>
      <c r="AP91" s="10006" t="inlineStr">
        <is>
          <t>Pueblos Originarios</t>
        </is>
      </c>
      <c r="AQ91" s="8400" t="inlineStr">
        <is>
          <t>Migrantes</t>
        </is>
      </c>
      <c r="AR91" s="8400" t="inlineStr">
        <is>
          <t>SENAME/ Servicio Nacional de Reinserción social Juvenil</t>
        </is>
      </c>
      <c r="AS91" s="9920" t="inlineStr">
        <is>
          <t>Servicio Nacional Protección Especializada a la Niñez y Adolescencia</t>
        </is>
      </c>
    </row>
    <row r="92" ht="18" customHeight="1" s="8286">
      <c r="A92" s="9588" t="n"/>
      <c r="B92" s="9588" t="n"/>
      <c r="C92" s="9638" t="n"/>
      <c r="D92" s="9697" t="n"/>
      <c r="E92" s="9639" t="n"/>
      <c r="F92" s="8400" t="inlineStr">
        <is>
          <t>0 - 4 años</t>
        </is>
      </c>
      <c r="G92" s="9582" t="n"/>
      <c r="H92" s="8400" t="inlineStr">
        <is>
          <t>5 - 9 años</t>
        </is>
      </c>
      <c r="I92" s="9582" t="n"/>
      <c r="J92" s="8400" t="inlineStr">
        <is>
          <t>10 - 14 años</t>
        </is>
      </c>
      <c r="K92" s="9582" t="n"/>
      <c r="L92" s="8400" t="inlineStr">
        <is>
          <t xml:space="preserve">15-19 años </t>
        </is>
      </c>
      <c r="M92" s="9582" t="n"/>
      <c r="N92" s="8400" t="inlineStr">
        <is>
          <t>20-24 años</t>
        </is>
      </c>
      <c r="O92" s="9582" t="n"/>
      <c r="P92" s="8400" t="inlineStr">
        <is>
          <t>25-29 años</t>
        </is>
      </c>
      <c r="Q92" s="9582" t="n"/>
      <c r="R92" s="8400" t="inlineStr">
        <is>
          <t>30-34 años</t>
        </is>
      </c>
      <c r="S92" s="9582" t="n"/>
      <c r="T92" s="8400" t="inlineStr">
        <is>
          <t>35-39 años</t>
        </is>
      </c>
      <c r="U92" s="9582" t="n"/>
      <c r="V92" s="8400" t="inlineStr">
        <is>
          <t>40-44 años</t>
        </is>
      </c>
      <c r="W92" s="9582" t="n"/>
      <c r="X92" s="8400" t="inlineStr">
        <is>
          <t>45-49 años</t>
        </is>
      </c>
      <c r="Y92" s="9582" t="n"/>
      <c r="Z92" s="8400" t="inlineStr">
        <is>
          <t>50-54 años</t>
        </is>
      </c>
      <c r="AA92" s="9582" t="n"/>
      <c r="AB92" s="8400" t="inlineStr">
        <is>
          <t>55-59 años</t>
        </is>
      </c>
      <c r="AC92" s="9582" t="n"/>
      <c r="AD92" s="8400" t="inlineStr">
        <is>
          <t>60-64 años</t>
        </is>
      </c>
      <c r="AE92" s="9582" t="n"/>
      <c r="AF92" s="8400" t="inlineStr">
        <is>
          <t>65-69 años</t>
        </is>
      </c>
      <c r="AG92" s="9582" t="n"/>
      <c r="AH92" s="8400" t="inlineStr">
        <is>
          <t>70-74 años</t>
        </is>
      </c>
      <c r="AI92" s="9582" t="n"/>
      <c r="AJ92" s="8400" t="inlineStr">
        <is>
          <t>75- 79 años</t>
        </is>
      </c>
      <c r="AK92" s="9582" t="n"/>
      <c r="AL92" s="9915" t="inlineStr">
        <is>
          <t>80 y más años</t>
        </is>
      </c>
      <c r="AM92" s="9595" t="n"/>
      <c r="AN92" s="9697" t="n"/>
      <c r="AO92" s="9639" t="n"/>
      <c r="AP92" s="642" t="n"/>
      <c r="AQ92" s="9614" t="n"/>
      <c r="AR92" s="9614" t="n"/>
      <c r="AS92" s="9625" t="n"/>
    </row>
    <row r="93" ht="54" customHeight="1" s="8286">
      <c r="A93" s="9589" t="n"/>
      <c r="B93" s="9589" t="n"/>
      <c r="C93" s="3088" t="inlineStr">
        <is>
          <t>Ambos Sexos</t>
        </is>
      </c>
      <c r="D93" s="3091" t="inlineStr">
        <is>
          <t>Hombres</t>
        </is>
      </c>
      <c r="E93" s="8525" t="inlineStr">
        <is>
          <t>Mujeres</t>
        </is>
      </c>
      <c r="F93" s="3088" t="inlineStr">
        <is>
          <t>Hombres</t>
        </is>
      </c>
      <c r="G93" s="8525" t="inlineStr">
        <is>
          <t>Mujeres</t>
        </is>
      </c>
      <c r="H93" s="3088" t="inlineStr">
        <is>
          <t>Hombres</t>
        </is>
      </c>
      <c r="I93" s="8525" t="inlineStr">
        <is>
          <t>Mujeres</t>
        </is>
      </c>
      <c r="J93" s="3088" t="inlineStr">
        <is>
          <t>Hombres</t>
        </is>
      </c>
      <c r="K93" s="8525" t="inlineStr">
        <is>
          <t>Mujeres</t>
        </is>
      </c>
      <c r="L93" s="3088" t="inlineStr">
        <is>
          <t>Hombres</t>
        </is>
      </c>
      <c r="M93" s="8525" t="inlineStr">
        <is>
          <t>Mujeres</t>
        </is>
      </c>
      <c r="N93" s="3088" t="inlineStr">
        <is>
          <t>Hombres</t>
        </is>
      </c>
      <c r="O93" s="8525" t="inlineStr">
        <is>
          <t>Mujeres</t>
        </is>
      </c>
      <c r="P93" s="3088" t="inlineStr">
        <is>
          <t>Hombres</t>
        </is>
      </c>
      <c r="Q93" s="8525" t="inlineStr">
        <is>
          <t>Mujeres</t>
        </is>
      </c>
      <c r="R93" s="3088" t="inlineStr">
        <is>
          <t>Hombres</t>
        </is>
      </c>
      <c r="S93" s="8525" t="inlineStr">
        <is>
          <t>Mujeres</t>
        </is>
      </c>
      <c r="T93" s="3088" t="inlineStr">
        <is>
          <t>Hombres</t>
        </is>
      </c>
      <c r="U93" s="8525" t="inlineStr">
        <is>
          <t>Mujeres</t>
        </is>
      </c>
      <c r="V93" s="3088" t="inlineStr">
        <is>
          <t>Hombres</t>
        </is>
      </c>
      <c r="W93" s="8525" t="inlineStr">
        <is>
          <t>Mujeres</t>
        </is>
      </c>
      <c r="X93" s="3088" t="inlineStr">
        <is>
          <t>Hombres</t>
        </is>
      </c>
      <c r="Y93" s="8525" t="inlineStr">
        <is>
          <t>Mujeres</t>
        </is>
      </c>
      <c r="Z93" s="3088" t="inlineStr">
        <is>
          <t>Hombres</t>
        </is>
      </c>
      <c r="AA93" s="8525" t="inlineStr">
        <is>
          <t>Mujeres</t>
        </is>
      </c>
      <c r="AB93" s="3088" t="inlineStr">
        <is>
          <t>Hombres</t>
        </is>
      </c>
      <c r="AC93" s="8525" t="inlineStr">
        <is>
          <t>Mujeres</t>
        </is>
      </c>
      <c r="AD93" s="3088" t="inlineStr">
        <is>
          <t>Hombres</t>
        </is>
      </c>
      <c r="AE93" s="8525" t="inlineStr">
        <is>
          <t>Mujeres</t>
        </is>
      </c>
      <c r="AF93" s="3088" t="inlineStr">
        <is>
          <t>Hombres</t>
        </is>
      </c>
      <c r="AG93" s="8525" t="inlineStr">
        <is>
          <t>Mujeres</t>
        </is>
      </c>
      <c r="AH93" s="3088" t="inlineStr">
        <is>
          <t>Hombres</t>
        </is>
      </c>
      <c r="AI93" s="8525" t="inlineStr">
        <is>
          <t>Mujeres</t>
        </is>
      </c>
      <c r="AJ93" s="3088" t="inlineStr">
        <is>
          <t>Hombres</t>
        </is>
      </c>
      <c r="AK93" s="8525" t="inlineStr">
        <is>
          <t>Mujeres</t>
        </is>
      </c>
      <c r="AL93" s="3088" t="inlineStr">
        <is>
          <t>Hombres</t>
        </is>
      </c>
      <c r="AM93" s="8519" t="inlineStr">
        <is>
          <t>Mujeres</t>
        </is>
      </c>
      <c r="AN93" s="7975" t="inlineStr">
        <is>
          <t>Masculino</t>
        </is>
      </c>
      <c r="AO93" s="3090" t="inlineStr">
        <is>
          <t>Femenino</t>
        </is>
      </c>
      <c r="AP93" s="9698" t="n"/>
      <c r="AQ93" s="9610" t="n"/>
      <c r="AR93" s="9610" t="n"/>
      <c r="AS93" s="9641" t="n"/>
    </row>
    <row r="94" ht="21" customHeight="1" s="8286">
      <c r="A94" s="10236" t="inlineStr">
        <is>
          <t>Orientación e información previa al examen VIH</t>
        </is>
      </c>
      <c r="B94" s="3306" t="inlineStr">
        <is>
          <t>Atención de donantes de sangre total y aféresis</t>
        </is>
      </c>
      <c r="C94" s="3094">
        <f>SUM(D94+E94)</f>
        <v/>
      </c>
      <c r="D94" s="3176">
        <f>+L94+N94+P94+R94+T94+V94+X94+Z94+AB94+AD94+AF94+AH94</f>
        <v/>
      </c>
      <c r="E94" s="3095">
        <f>+M94+O94+Q94+S94+U94+W94+Y94+AA94+AC94+AE94+AG94+AI94</f>
        <v/>
      </c>
      <c r="F94" s="3307" t="n"/>
      <c r="G94" s="3308" t="n"/>
      <c r="H94" s="3307" t="n"/>
      <c r="I94" s="3160" t="n"/>
      <c r="J94" s="3307" t="n"/>
      <c r="K94" s="3160" t="n"/>
      <c r="L94" s="3128" t="n"/>
      <c r="M94" s="2455" t="n"/>
      <c r="N94" s="3158" t="n"/>
      <c r="O94" s="3309" t="n"/>
      <c r="P94" s="3294" t="n"/>
      <c r="Q94" s="2455" t="n"/>
      <c r="R94" s="3310" t="n"/>
      <c r="S94" s="3309" t="n"/>
      <c r="T94" s="3128" t="n"/>
      <c r="U94" s="3130" t="n"/>
      <c r="V94" s="3158" t="n"/>
      <c r="W94" s="3310" t="n"/>
      <c r="X94" s="3128" t="n"/>
      <c r="Y94" s="3130" t="n"/>
      <c r="Z94" s="3158" t="n"/>
      <c r="AA94" s="3310" t="n"/>
      <c r="AB94" s="3128" t="n"/>
      <c r="AC94" s="3130" t="n"/>
      <c r="AD94" s="3128" t="n"/>
      <c r="AE94" s="2455" t="n"/>
      <c r="AF94" s="3128" t="n"/>
      <c r="AG94" s="2455" t="n"/>
      <c r="AH94" s="3128" t="n"/>
      <c r="AI94" s="2455" t="n"/>
      <c r="AJ94" s="3307" t="n"/>
      <c r="AK94" s="3160" t="n"/>
      <c r="AL94" s="3308" t="n"/>
      <c r="AM94" s="3311" t="n"/>
      <c r="AN94" s="3100" t="n"/>
      <c r="AO94" s="2455" t="n"/>
      <c r="AP94" s="3705" t="n"/>
      <c r="AQ94" s="5286" t="n"/>
      <c r="AR94" s="5286" t="n"/>
      <c r="AS94" s="3130" t="n"/>
      <c r="AT94" s="218">
        <f>$CA94&amp;CB94&amp;$CC94&amp;CD94&amp;CE94&amp;CF94</f>
        <v/>
      </c>
      <c r="CA94" s="219">
        <f>IF(AND(E94&gt;0,OR(AN94="")),"No olvide digitar los campos *TRANS Masculino. Digite CERO si no tiene.",IF(AN94&gt;$E94,"* El Número de TRANS Masculino no puede superar el Total Mujeres. ",""))</f>
        <v/>
      </c>
      <c r="CB94" s="219">
        <f>IF(AND(D94&gt;0,OR(AO94="")),"No olvide digitar los campos *TRANS Femenino. Digite CERO si no tiene.",IF(AO94&gt;D94,"* El Número de TRANS Femenino no puede superar el Total Hombres. ",""))</f>
        <v/>
      </c>
      <c r="CC94" s="219">
        <f>IF(AND($C94&lt;&gt;0,AP94=""),"* No olvide ingresar la columna Pueblos Originarios. Digite CERO si no tiene.  ",IF(AP94&gt;$C94,"* El Número de Pueblos Originarios no puede superar el Total. ",""))</f>
        <v/>
      </c>
      <c r="CD94" s="219">
        <f>IF(AND($C94&lt;&gt;0,AQ94=""),"* No olvide ingresar la columna Migrantes. Digite CERO si no tiene.  ",IF(AQ94&gt;$C94,"* El Número de Migrantes no puede superar el Total Ambos Sexos. ",""))</f>
        <v/>
      </c>
      <c r="CE94" s="219">
        <f>IF(AND($C94&lt;&gt;0,AR94=""),"* No olvide ingresar la variable "&amp;AR$91&amp;". Digite CERO si no tiene.  ",IF(AR94&gt;$C94,"* La Variable "&amp;AR$91&amp;" no puede superar el Total Ambos Sexos. ",""))</f>
        <v/>
      </c>
      <c r="CF94" s="219">
        <f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/>
      </c>
      <c r="CK94" s="221">
        <f>IF(AND($D94&lt;&gt;0,AO94=""),1,IF(AO94&gt;$D94,1,0))</f>
        <v/>
      </c>
      <c r="CL94" s="221">
        <f>IF(AND($C94&lt;&gt;0,AP94=""),1,IF(AP94&gt;$C94,1,0))</f>
        <v/>
      </c>
      <c r="CM94" s="221">
        <f>IF(AND($C94&lt;&gt;0,AQ94=""),1,IF(AQ94&gt;$C94,1,0))</f>
        <v/>
      </c>
      <c r="CN94" s="221">
        <f>IF(AND($C94&lt;&gt;0,AR94=""),1,IF(AR94&gt;$C94,1,0))</f>
        <v/>
      </c>
      <c r="CO94" s="221">
        <f>IF(AND($C94&lt;&gt;0,AS94=""),1,IF(AS94&gt;$C94,1,0))</f>
        <v/>
      </c>
    </row>
    <row r="95">
      <c r="A95" s="9588" t="n"/>
      <c r="B95" s="3279" t="inlineStr">
        <is>
          <t>Hospitalización</t>
        </is>
      </c>
      <c r="C95" s="3103">
        <f>SUM(D95+E95)</f>
        <v/>
      </c>
      <c r="D95" s="3179">
        <f>SUM(F95+H95+J95+L95+N95+P95+R95+T95+V95+X95+Z95+AB95+AD95+AF95+AH95+AJ95+AL95)</f>
        <v/>
      </c>
      <c r="E95" s="1171">
        <f>SUM(G95+I95+K95+M95+O95+Q95+S95+U95+W95+Y95+AA95+AC95+AE95+AG95+AI95+AK95+AM95)</f>
        <v/>
      </c>
      <c r="F95" s="3108" t="n"/>
      <c r="G95" s="1128" t="n"/>
      <c r="H95" s="3108" t="n"/>
      <c r="I95" s="1125" t="n"/>
      <c r="J95" s="3100" t="n"/>
      <c r="K95" s="3292" t="n"/>
      <c r="L95" s="3108" t="n"/>
      <c r="M95" s="3101" t="n"/>
      <c r="N95" s="3100" t="n"/>
      <c r="O95" s="3292" t="n"/>
      <c r="P95" s="3281" t="n"/>
      <c r="Q95" s="3101" t="n"/>
      <c r="R95" s="1128" t="n"/>
      <c r="S95" s="3292" t="n"/>
      <c r="T95" s="3108" t="n"/>
      <c r="U95" s="1125" t="n"/>
      <c r="V95" s="3100" t="n"/>
      <c r="W95" s="1128" t="n"/>
      <c r="X95" s="3108" t="n"/>
      <c r="Y95" s="1125" t="n"/>
      <c r="Z95" s="3100" t="n"/>
      <c r="AA95" s="1128" t="n"/>
      <c r="AB95" s="3108" t="n"/>
      <c r="AC95" s="1125" t="n"/>
      <c r="AD95" s="3108" t="n"/>
      <c r="AE95" s="3101" t="n"/>
      <c r="AF95" s="3108" t="n"/>
      <c r="AG95" s="1125" t="n"/>
      <c r="AH95" s="3108" t="n"/>
      <c r="AI95" s="1125" t="n"/>
      <c r="AJ95" s="3108" t="n"/>
      <c r="AK95" s="1125" t="n"/>
      <c r="AL95" s="3100" t="n"/>
      <c r="AM95" s="3149" t="n"/>
      <c r="AN95" s="3100" t="n"/>
      <c r="AO95" s="3101" t="n"/>
      <c r="AP95" s="3720" t="n"/>
      <c r="AQ95" s="4008" t="n"/>
      <c r="AR95" s="4008" t="n"/>
      <c r="AS95" s="1125" t="n"/>
      <c r="AT95" s="218">
        <f>$CA95&amp;CB95&amp;$CC95&amp;CD95&amp;CE95&amp;CF95</f>
        <v/>
      </c>
      <c r="CA95" s="219">
        <f>IF(AND(E95&gt;0,OR(AN95="")),"No olvide digitar los campos *TRANS Masculino. Digite CERO si no tiene.",IF(AN95&gt;$E95,"* El Número de TRANS Masculino no puede superar el Total Mujeres. ",""))</f>
        <v/>
      </c>
      <c r="CB95" s="219">
        <f>IF(AND(D95&gt;0,OR(AO95="")),"No olvide digitar los campos *TRANS Femenino. Digite CERO si no tiene.",IF(AO95&gt;D95,"* El Número de TRANS Femenino no puede superar el Total Hombres. ",""))</f>
        <v/>
      </c>
      <c r="CC95" s="219">
        <f>IF(AND($C95&lt;&gt;0,AP95=""),"* No olvide ingresar la columna Pueblos Originarios. Digite CERO si no tiene.  ",IF(AP95&gt;$C95,"* El Número de Pueblos Originarios no puede superar el Total. ",""))</f>
        <v/>
      </c>
      <c r="CD95" s="219">
        <f>IF(AND($C95&lt;&gt;0,AQ95=""),"* No olvide ingresar la columna Migrantes. Digite CERO si no tiene.  ",IF(AQ95&gt;$C95,"* El Número de Migrantes no puede superar el Total Ambos Sexos. ",""))</f>
        <v/>
      </c>
      <c r="CE95" s="219">
        <f>IF(AND($C95&lt;&gt;0,AR95=""),"* No olvide ingresar la variable "&amp;AR$91&amp;". Digite CERO si no tiene.  ",IF(AR95&gt;$C95,"* La Variable "&amp;AR$91&amp;" no puede superar el Total Ambos Sexos. ",""))</f>
        <v/>
      </c>
      <c r="CF95" s="219">
        <f>IF(AND($C95&lt;&gt;0,AS95=""),"* No olvide ingresar la variable "&amp;AS$91&amp;". Digite CERO si no tiene. ",IF(AS95&gt;$C95,"* La variable "&amp;AS$91&amp;" no puede superar el Total Ambos Sexos. ",""))</f>
        <v/>
      </c>
      <c r="CJ95" s="221">
        <f>IF(AND($E95&lt;&gt;0,AN95=""),1,IF(AN95&gt;$E95,1,0))</f>
        <v/>
      </c>
      <c r="CK95" s="221">
        <f>IF(AND($D95&lt;&gt;0,AO95=""),1,IF(AO95&gt;$D95,1,0))</f>
        <v/>
      </c>
      <c r="CL95" s="221">
        <f>IF(AND($C95&lt;&gt;0,AP95=""),1,IF(AP95&gt;$C95,1,0))</f>
        <v/>
      </c>
      <c r="CM95" s="221">
        <f>IF(AND($C95&lt;&gt;0,AQ95=""),1,IF(AQ95&gt;$C95,1,0))</f>
        <v/>
      </c>
      <c r="CN95" s="221">
        <f>IF(AND($C95&lt;&gt;0,AR95=""),1,IF(AR95&gt;$C95,1,0))</f>
        <v/>
      </c>
      <c r="CO95" s="221">
        <f>IF(AND($C95&lt;&gt;0,AS95=""),1,IF(AS95&gt;$C95,1,0))</f>
        <v/>
      </c>
    </row>
    <row r="96">
      <c r="A96" s="9588" t="n"/>
      <c r="B96" s="3279" t="inlineStr">
        <is>
          <t>En CDT - CRS</t>
        </is>
      </c>
      <c r="C96" s="3103">
        <f>SUM(D96+E96)</f>
        <v/>
      </c>
      <c r="D96" s="3179">
        <f>SUM(F96+H96+J96+L96+N96+P96+R96+T96+V96+X96+Z96+AB96+AD96+AF96+AH96+AJ96+AL96)</f>
        <v/>
      </c>
      <c r="E96" s="1171">
        <f>SUM(G96+I96+K96+M96+O96+Q96+S96+U96+W96+Y96+AA96+AC96+AE96+AG96+AI96+AK96+AM96)</f>
        <v/>
      </c>
      <c r="F96" s="3108" t="n"/>
      <c r="G96" s="1128" t="n"/>
      <c r="H96" s="3108" t="n"/>
      <c r="I96" s="1125" t="n"/>
      <c r="J96" s="3100" t="n"/>
      <c r="K96" s="3292" t="n"/>
      <c r="L96" s="3108" t="n"/>
      <c r="M96" s="3101" t="n"/>
      <c r="N96" s="3100" t="n"/>
      <c r="O96" s="3292" t="n"/>
      <c r="P96" s="3281" t="n"/>
      <c r="Q96" s="3101" t="n"/>
      <c r="R96" s="1128" t="n"/>
      <c r="S96" s="3292" t="n"/>
      <c r="T96" s="3108" t="n"/>
      <c r="U96" s="1125" t="n"/>
      <c r="V96" s="3100" t="n"/>
      <c r="W96" s="1128" t="n"/>
      <c r="X96" s="3108" t="n"/>
      <c r="Y96" s="1125" t="n"/>
      <c r="Z96" s="3100" t="n"/>
      <c r="AA96" s="1128" t="n"/>
      <c r="AB96" s="3108" t="n"/>
      <c r="AC96" s="1125" t="n"/>
      <c r="AD96" s="3108" t="n"/>
      <c r="AE96" s="3101" t="n"/>
      <c r="AF96" s="3108" t="n"/>
      <c r="AG96" s="1125" t="n"/>
      <c r="AH96" s="3108" t="n"/>
      <c r="AI96" s="1125" t="n"/>
      <c r="AJ96" s="3108" t="n"/>
      <c r="AK96" s="1125" t="n"/>
      <c r="AL96" s="3100" t="n"/>
      <c r="AM96" s="3149" t="n"/>
      <c r="AN96" s="3100" t="n"/>
      <c r="AO96" s="3101" t="n"/>
      <c r="AP96" s="3720" t="n"/>
      <c r="AQ96" s="4008" t="n"/>
      <c r="AR96" s="4008" t="n"/>
      <c r="AS96" s="1125" t="n"/>
      <c r="AT96" s="218">
        <f>$CA96&amp;CB96&amp;$CC96&amp;CD96&amp;CE96&amp;CF96</f>
        <v/>
      </c>
      <c r="CA96" s="219">
        <f>IF(AND(E96&gt;0,OR(AN96="")),"No olvide digitar los campos *TRANS Masculino. Digite CERO si no tiene.",IF(AN96&gt;$E96,"* El Número de TRANS Masculino no puede superar el Total Mujeres. ",""))</f>
        <v/>
      </c>
      <c r="CB96" s="219">
        <f>IF(AND(D96&gt;0,OR(AO96="")),"No olvide digitar los campos *TRANS Femenino. Digite CERO si no tiene.",IF(AO96&gt;D96,"* El Número de TRANS Femenino no puede superar el Total Hombres. ",""))</f>
        <v/>
      </c>
      <c r="CC96" s="219">
        <f>IF(AND($C96&lt;&gt;0,AP96=""),"* No olvide ingresar la columna Pueblos Originarios. Digite CERO si no tiene.  ",IF(AP96&gt;$C96,"* El Número de Pueblos Originarios no puede superar el Total. ",""))</f>
        <v/>
      </c>
      <c r="CD96" s="219">
        <f>IF(AND($C96&lt;&gt;0,AQ96=""),"* No olvide ingresar la columna Migrantes. Digite CERO si no tiene.  ",IF(AQ96&gt;$C96,"* El Número de Migrantes no puede superar el Total Ambos Sexos. ",""))</f>
        <v/>
      </c>
      <c r="CE96" s="219">
        <f>IF(AND($C96&lt;&gt;0,AR96=""),"* No olvide ingresar la variable "&amp;AR$91&amp;". Digite CERO si no tiene.  ",IF(AR96&gt;$C96,"* La Variable "&amp;AR$91&amp;" no puede superar el Total Ambos Sexos. ",""))</f>
        <v/>
      </c>
      <c r="CF96" s="219">
        <f>IF(AND($C96&lt;&gt;0,AS96=""),"* No olvide ingresar la variable "&amp;AS$91&amp;". Digite CERO si no tiene. ",IF(AS96&gt;$C96,"* La variable "&amp;AS$91&amp;" no puede superar el Total Ambos Sexos. ",""))</f>
        <v/>
      </c>
      <c r="CJ96" s="221">
        <f>IF(AND($E96&lt;&gt;0,AN96=""),1,IF(AN96&gt;$E96,1,0))</f>
        <v/>
      </c>
      <c r="CK96" s="221">
        <f>IF(AND($D96&lt;&gt;0,AO96=""),1,IF(AO96&gt;$D96,1,0))</f>
        <v/>
      </c>
      <c r="CL96" s="221">
        <f>IF(AND($C96&lt;&gt;0,AP96=""),1,IF(AP96&gt;$C96,1,0))</f>
        <v/>
      </c>
      <c r="CM96" s="221">
        <f>IF(AND($C96&lt;&gt;0,AQ96=""),1,IF(AQ96&gt;$C96,1,0))</f>
        <v/>
      </c>
      <c r="CN96" s="221">
        <f>IF(AND($C96&lt;&gt;0,AR96=""),1,IF(AR96&gt;$C96,1,0))</f>
        <v/>
      </c>
      <c r="CO96" s="221">
        <f>IF(AND($C96&lt;&gt;0,AS96=""),1,IF(AS96&gt;$C96,1,0))</f>
        <v/>
      </c>
    </row>
    <row r="97">
      <c r="A97" s="9588" t="n"/>
      <c r="B97" s="3279" t="inlineStr">
        <is>
          <t>En APS</t>
        </is>
      </c>
      <c r="C97" s="3103">
        <f>SUM(D97+E97)</f>
        <v/>
      </c>
      <c r="D97" s="3179">
        <f>SUM(F97+H97+J97+L97+N97+P97+R97+T97+V97+X97+Z97+AB97+AD97+AF97+AH97+AJ97+AL97)</f>
        <v/>
      </c>
      <c r="E97" s="1171">
        <f>SUM(G97+I97+K97+M97+O97+Q97+S97+U97+W97+Y97+AA97+AC97+AE97+AG97+AI97+AK97+AM97)</f>
        <v/>
      </c>
      <c r="F97" s="3108" t="n"/>
      <c r="G97" s="1128" t="n"/>
      <c r="H97" s="3108" t="n"/>
      <c r="I97" s="1125" t="n"/>
      <c r="J97" s="3100" t="n"/>
      <c r="K97" s="3292" t="n"/>
      <c r="L97" s="3108" t="n"/>
      <c r="M97" s="3101" t="n"/>
      <c r="N97" s="3100" t="n"/>
      <c r="O97" s="3292" t="n">
        <v>1</v>
      </c>
      <c r="P97" s="3281" t="n"/>
      <c r="Q97" s="3101" t="n"/>
      <c r="R97" s="1128" t="n"/>
      <c r="S97" s="3292" t="n">
        <v>1</v>
      </c>
      <c r="T97" s="3108" t="n">
        <v>2</v>
      </c>
      <c r="U97" s="1125" t="n">
        <v>3</v>
      </c>
      <c r="V97" s="3100" t="n"/>
      <c r="W97" s="1128" t="n">
        <v>2</v>
      </c>
      <c r="X97" s="3108" t="n"/>
      <c r="Y97" s="1125" t="n">
        <v>1</v>
      </c>
      <c r="Z97" s="3100" t="n"/>
      <c r="AA97" s="1128" t="n"/>
      <c r="AB97" s="3108" t="n"/>
      <c r="AC97" s="1125" t="n">
        <v>1</v>
      </c>
      <c r="AD97" s="3108" t="n"/>
      <c r="AE97" s="3101" t="n"/>
      <c r="AF97" s="3108" t="n"/>
      <c r="AG97" s="1125" t="n"/>
      <c r="AH97" s="3108" t="n"/>
      <c r="AI97" s="1125" t="n"/>
      <c r="AJ97" s="3108" t="n"/>
      <c r="AK97" s="1125" t="n"/>
      <c r="AL97" s="3100" t="n">
        <v>1</v>
      </c>
      <c r="AM97" s="3149" t="n"/>
      <c r="AN97" s="3100" t="n">
        <v>0</v>
      </c>
      <c r="AO97" s="3101" t="n">
        <v>0</v>
      </c>
      <c r="AP97" s="3720" t="n">
        <v>0</v>
      </c>
      <c r="AQ97" s="4008" t="n">
        <v>0</v>
      </c>
      <c r="AR97" s="4008" t="n">
        <v>0</v>
      </c>
      <c r="AS97" s="1125" t="n">
        <v>0</v>
      </c>
      <c r="AT97" s="218">
        <f>$CA97&amp;CB97&amp;$CC97&amp;CD97&amp;CE97&amp;CF97</f>
        <v/>
      </c>
      <c r="CA97" s="219">
        <f>IF(AND(E97&gt;0,OR(AN97="")),"No olvide digitar los campos *TRANS Masculino. Digite CERO si no tiene.",IF(AN97&gt;$E97,"* El Número de TRANS Masculino no puede superar el Total Mujeres. ",""))</f>
        <v/>
      </c>
      <c r="CB97" s="219">
        <f>IF(AND(D97&gt;0,OR(AO97="")),"No olvide digitar los campos *TRANS Femenino. Digite CERO si no tiene.",IF(AO97&gt;D97,"* El Número de TRANS Femenino no puede superar el Total Hombres. ",""))</f>
        <v/>
      </c>
      <c r="CC97" s="219">
        <f>IF(AND($C97&lt;&gt;0,AP97=""),"* No olvide ingresar la columna Pueblos Originarios. Digite CERO si no tiene.  ",IF(AP97&gt;$C97,"* El Número de Pueblos Originarios no puede superar el Total. ",""))</f>
        <v/>
      </c>
      <c r="CD97" s="219">
        <f>IF(AND($C97&lt;&gt;0,AQ97=""),"* No olvide ingresar la columna Migrantes. Digite CERO si no tiene.  ",IF(AQ97&gt;$C97,"* El Número de Migrantes no puede superar el Total Ambos Sexos. ",""))</f>
        <v/>
      </c>
      <c r="CE97" s="219">
        <f>IF(AND($C97&lt;&gt;0,AR97=""),"* No olvide ingresar la variable "&amp;AR$91&amp;". Digite CERO si no tiene.  ",IF(AR97&gt;$C97,"* La Variable "&amp;AR$91&amp;" no puede superar el Total Ambos Sexos. ",""))</f>
        <v/>
      </c>
      <c r="CF97" s="219">
        <f>IF(AND($C97&lt;&gt;0,AS97=""),"* No olvide ingresar la variable "&amp;AS$91&amp;". Digite CERO si no tiene. ",IF(AS97&gt;$C97,"* La variable "&amp;AS$91&amp;" no puede superar el Total Ambos Sexos. ",""))</f>
        <v/>
      </c>
      <c r="CJ97" s="221">
        <f>IF(AND($E97&lt;&gt;0,AN97=""),1,IF(AN97&gt;$E97,1,0))</f>
        <v/>
      </c>
      <c r="CK97" s="221">
        <f>IF(AND($D97&lt;&gt;0,AO97=""),1,IF(AO97&gt;$D97,1,0))</f>
        <v/>
      </c>
      <c r="CL97" s="221">
        <f>IF(AND($C97&lt;&gt;0,AP97=""),1,IF(AP97&gt;$C97,1,0))</f>
        <v/>
      </c>
      <c r="CM97" s="221">
        <f>IF(AND($C97&lt;&gt;0,AQ97=""),1,IF(AQ97&gt;$C97,1,0))</f>
        <v/>
      </c>
      <c r="CN97" s="221">
        <f>IF(AND($C97&lt;&gt;0,AR97=""),1,IF(AR97&gt;$C97,1,0))</f>
        <v/>
      </c>
      <c r="CO97" s="221">
        <f>IF(AND($C97&lt;&gt;0,AS97=""),1,IF(AS97&gt;$C97,1,0))</f>
        <v/>
      </c>
    </row>
    <row r="98">
      <c r="A98" s="9588" t="n"/>
      <c r="B98" s="1417" t="inlineStr">
        <is>
          <t>En APS - espacios amigables</t>
        </is>
      </c>
      <c r="C98" s="1190">
        <f>SUM(D98+E98)</f>
        <v/>
      </c>
      <c r="D98" s="1191">
        <f>+J98+L98+N98</f>
        <v/>
      </c>
      <c r="E98" s="2154">
        <f>+K98+M98+O98</f>
        <v/>
      </c>
      <c r="F98" s="1459" t="n"/>
      <c r="G98" s="403" t="n"/>
      <c r="H98" s="1459" t="n"/>
      <c r="I98" s="3288" t="n"/>
      <c r="J98" s="3100" t="n"/>
      <c r="K98" s="3292" t="n"/>
      <c r="L98" s="1198" t="n"/>
      <c r="M98" s="1199" t="n"/>
      <c r="N98" s="1200" t="n"/>
      <c r="O98" s="1201" t="n"/>
      <c r="P98" s="3297" t="n"/>
      <c r="Q98" s="3296" t="n"/>
      <c r="R98" s="403" t="n"/>
      <c r="S98" s="3312" t="n"/>
      <c r="T98" s="1459" t="n"/>
      <c r="U98" s="3288" t="n"/>
      <c r="V98" s="1460" t="n"/>
      <c r="W98" s="403" t="n"/>
      <c r="X98" s="1459" t="n"/>
      <c r="Y98" s="3288" t="n"/>
      <c r="Z98" s="1460" t="n"/>
      <c r="AA98" s="403" t="n"/>
      <c r="AB98" s="1459" t="n"/>
      <c r="AC98" s="3288" t="n"/>
      <c r="AD98" s="1459" t="n"/>
      <c r="AE98" s="3296" t="n"/>
      <c r="AF98" s="1459" t="n"/>
      <c r="AG98" s="3288" t="n"/>
      <c r="AH98" s="1459" t="n"/>
      <c r="AI98" s="3288" t="n"/>
      <c r="AJ98" s="1459" t="n"/>
      <c r="AK98" s="3288" t="n"/>
      <c r="AL98" s="403" t="n"/>
      <c r="AM98" s="1461" t="n"/>
      <c r="AN98" s="3100" t="n"/>
      <c r="AO98" s="3101" t="n"/>
      <c r="AP98" s="3720" t="n"/>
      <c r="AQ98" s="1418" t="n"/>
      <c r="AR98" s="1418" t="n"/>
      <c r="AS98" s="1148" t="n"/>
      <c r="AT98" s="218">
        <f>$CA98&amp;CB98&amp;$CC98&amp;CD98&amp;CE98&amp;CF98</f>
        <v/>
      </c>
      <c r="CA98" s="219">
        <f>IF(AND(E98&gt;0,OR(AN98="")),"No olvide digitar los campos *TRANS Masculino. Digite CERO si no tiene.",IF(AN98&gt;$E98,"* El Número de TRANS Masculino no puede superar el Total Mujeres. ",""))</f>
        <v/>
      </c>
      <c r="CB98" s="219">
        <f>IF(AND(D98&gt;0,OR(AO98="")),"No olvide digitar los campos *TRANS Femenino. Digite CERO si no tiene.",IF(AO98&gt;D98,"* El Número de TRANS Femenino no puede superar el Total Hombres. ",""))</f>
        <v/>
      </c>
      <c r="CC98" s="219">
        <f>IF(AND($C98&lt;&gt;0,AP98=""),"* No olvide ingresar la columna Pueblos Originarios. Digite CERO si no tiene.  ",IF(AP98&gt;$C98,"* El Número de Pueblos Originarios no puede superar el Total. ",""))</f>
        <v/>
      </c>
      <c r="CD98" s="219">
        <f>IF(AND($C98&lt;&gt;0,AQ98=""),"* No olvide ingresar la columna Migrantes. Digite CERO si no tiene.  ",IF(AQ98&gt;$C98,"* El Número de Migrantes no puede superar el Total Ambos Sexos. ",""))</f>
        <v/>
      </c>
      <c r="CE98" s="219">
        <f>IF(AND($C98&lt;&gt;0,AR98=""),"* No olvide ingresar la variable "&amp;AR$91&amp;". Digite CERO si no tiene.  ",IF(AR98&gt;$C98,"* La Variable "&amp;AR$91&amp;" no puede superar el Total Ambos Sexos. ",""))</f>
        <v/>
      </c>
      <c r="CF98" s="219">
        <f>IF(AND($C98&lt;&gt;0,AS98=""),"* No olvide ingresar la variable "&amp;AS$91&amp;". Digite CERO si no tiene. ",IF(AS98&gt;$C98,"* La variable "&amp;AS$91&amp;" no puede superar el Total Ambos Sexos. ",""))</f>
        <v/>
      </c>
      <c r="CJ98" s="221">
        <f>IF(AND($E98&lt;&gt;0,AN98=""),1,IF(AN98&gt;$E98,1,0))</f>
        <v/>
      </c>
      <c r="CK98" s="221">
        <f>IF(AND($D98&lt;&gt;0,AO98=""),1,IF(AO98&gt;$D98,1,0))</f>
        <v/>
      </c>
      <c r="CL98" s="221">
        <f>IF(AND($C98&lt;&gt;0,AP98=""),1,IF(AP98&gt;$C98,1,0))</f>
        <v/>
      </c>
      <c r="CM98" s="221">
        <f>IF(AND($C98&lt;&gt;0,AQ98=""),1,IF(AQ98&gt;$C98,1,0))</f>
        <v/>
      </c>
      <c r="CN98" s="221">
        <f>IF(AND($C98&lt;&gt;0,AR98=""),1,IF(AR98&gt;$C98,1,0))</f>
        <v/>
      </c>
      <c r="CO98" s="221">
        <f>IF(AND($C98&lt;&gt;0,AS98=""),1,IF(AS98&gt;$C98,1,0))</f>
        <v/>
      </c>
    </row>
    <row r="99">
      <c r="A99" s="9589" t="n"/>
      <c r="B99" s="7763" t="inlineStr">
        <is>
          <t>En otras instancias</t>
        </is>
      </c>
      <c r="C99" s="1176">
        <f>SUM(D99+E99)</f>
        <v/>
      </c>
      <c r="D99" s="1177">
        <f>SUM(F99+H99+J99+L99+N99+P99+R99+T99+V99+X99+Z99+AB99+AD99+AF99+AH99+AJ99+AL99)</f>
        <v/>
      </c>
      <c r="E99" s="1178">
        <f>SUM(G99+I99+K99+M99+O99+Q99+S99+U99+W99+Y99+AA99+AC99+AE99+AG99+AI99+AK99+AM99)</f>
        <v/>
      </c>
      <c r="F99" s="1137" t="n"/>
      <c r="G99" s="1142" t="n"/>
      <c r="H99" s="1137" t="n"/>
      <c r="I99" s="1138" t="n"/>
      <c r="J99" s="1140" t="n"/>
      <c r="K99" s="1141" t="n"/>
      <c r="L99" s="1137" t="n"/>
      <c r="M99" s="1139" t="n"/>
      <c r="N99" s="1140" t="n"/>
      <c r="O99" s="1141" t="n"/>
      <c r="P99" s="1151" t="n"/>
      <c r="Q99" s="1139" t="n"/>
      <c r="R99" s="1142" t="n"/>
      <c r="S99" s="1141" t="n"/>
      <c r="T99" s="1137" t="n"/>
      <c r="U99" s="1138" t="n"/>
      <c r="V99" s="1140" t="n"/>
      <c r="W99" s="1142" t="n"/>
      <c r="X99" s="1137" t="n"/>
      <c r="Y99" s="1138" t="n"/>
      <c r="Z99" s="1140" t="n"/>
      <c r="AA99" s="1142" t="n"/>
      <c r="AB99" s="1137" t="n"/>
      <c r="AC99" s="1138" t="n"/>
      <c r="AD99" s="1137" t="n"/>
      <c r="AE99" s="1139" t="n"/>
      <c r="AF99" s="1137" t="n"/>
      <c r="AG99" s="1138" t="n"/>
      <c r="AH99" s="1137" t="n"/>
      <c r="AI99" s="1138" t="n"/>
      <c r="AJ99" s="1137" t="n"/>
      <c r="AK99" s="1138" t="n"/>
      <c r="AL99" s="1137" t="n"/>
      <c r="AM99" s="1143" t="n"/>
      <c r="AN99" s="3100" t="n"/>
      <c r="AO99" s="3101" t="n"/>
      <c r="AP99" s="3720" t="n"/>
      <c r="AQ99" s="4008" t="n"/>
      <c r="AR99" s="4008" t="n"/>
      <c r="AS99" s="1125" t="n"/>
      <c r="AT99" s="218">
        <f>$CA99&amp;CB99&amp;$CC99&amp;CD99&amp;CE99&amp;CF99</f>
        <v/>
      </c>
      <c r="CA99" s="219">
        <f>IF(AND(E99&gt;0,OR(AN99="")),"No olvide digitar los campos *TRANS Masculino. Digite CERO si no tiene.",IF(AN99&gt;$E99,"* El Número de TRANS Masculino no puede superar el Total Mujeres. ",""))</f>
        <v/>
      </c>
      <c r="CB99" s="219">
        <f>IF(AND(D99&gt;0,OR(AO99="")),"No olvide digitar los campos *TRANS Femenino. Digite CERO si no tiene.",IF(AO99&gt;D99,"* El Número de TRANS Femenino no puede superar el Total Hombres. ",""))</f>
        <v/>
      </c>
      <c r="CC99" s="219">
        <f>IF(AND($C99&lt;&gt;0,AP99=""),"* No olvide ingresar la columna Pueblos Originarios. Digite CERO si no tiene.  ",IF(AP99&gt;$C99,"* El Número de Pueblos Originarios no puede superar el Total. ",""))</f>
        <v/>
      </c>
      <c r="CD99" s="219">
        <f>IF(AND($C99&lt;&gt;0,AQ99=""),"* No olvide ingresar la columna Migrantes. Digite CERO si no tiene.  ",IF(AQ99&gt;$C99,"* El Número de Migrantes no puede superar el Total Ambos Sexos. ",""))</f>
        <v/>
      </c>
      <c r="CE99" s="219">
        <f>IF(AND($C99&lt;&gt;0,AR99=""),"* No olvide ingresar la variable "&amp;AR$91&amp;". Digite CERO si no tiene.  ",IF(AR99&gt;$C99,"* La Variable "&amp;AR$91&amp;" no puede superar el Total Ambos Sexos. ",""))</f>
        <v/>
      </c>
      <c r="CF99" s="219">
        <f>IF(AND($C99&lt;&gt;0,AS99=""),"* No olvide ingresar la variable "&amp;AS$91&amp;". Digite CERO si no tiene. ",IF(AS99&gt;$C99,"* La variable "&amp;AS$91&amp;" no puede superar el Total Ambos Sexos. ",""))</f>
        <v/>
      </c>
      <c r="CJ99" s="221">
        <f>IF(AND($E99&lt;&gt;0,AN99=""),1,IF(AN99&gt;$E99,1,0))</f>
        <v/>
      </c>
      <c r="CK99" s="221">
        <f>IF(AND($D99&lt;&gt;0,AO99=""),1,IF(AO99&gt;$D99,1,0))</f>
        <v/>
      </c>
      <c r="CL99" s="221">
        <f>IF(AND($C99&lt;&gt;0,AP99=""),1,IF(AP99&gt;$C99,1,0))</f>
        <v/>
      </c>
      <c r="CM99" s="221">
        <f>IF(AND($C99&lt;&gt;0,AQ99=""),1,IF(AQ99&gt;$C99,1,0))</f>
        <v/>
      </c>
      <c r="CN99" s="221">
        <f>IF(AND($C99&lt;&gt;0,AR99=""),1,IF(AR99&gt;$C99,1,0))</f>
        <v/>
      </c>
      <c r="CO99" s="221">
        <f>IF(AND($C99&lt;&gt;0,AS99=""),1,IF(AS99&gt;$C99,1,0))</f>
        <v/>
      </c>
    </row>
    <row r="100" ht="21" customHeight="1" s="8286">
      <c r="A100" s="10236" t="inlineStr">
        <is>
          <t>Consejerías post test VIH</t>
        </is>
      </c>
      <c r="B100" s="3306" t="inlineStr">
        <is>
          <t>Atención de donantes de sangre total y aféresis</t>
        </is>
      </c>
      <c r="C100" s="3094">
        <f>SUM(D100+E100)</f>
        <v/>
      </c>
      <c r="D100" s="3176">
        <f>+L100+N100+P100+R100+T100+V100+X100+Z100+AB100+AD100+AF100+AH100</f>
        <v/>
      </c>
      <c r="E100" s="3095">
        <f>+M100+O100+Q100+S100+U100+W100+Y100+AA100+AC100+AE100+AG100+AI100</f>
        <v/>
      </c>
      <c r="F100" s="3307" t="n"/>
      <c r="G100" s="3308" t="n"/>
      <c r="H100" s="3307" t="n"/>
      <c r="I100" s="3160" t="n"/>
      <c r="J100" s="3307" t="n"/>
      <c r="K100" s="3160" t="n"/>
      <c r="L100" s="3128" t="n"/>
      <c r="M100" s="2455" t="n"/>
      <c r="N100" s="3158" t="n"/>
      <c r="O100" s="3309" t="n"/>
      <c r="P100" s="3294" t="n"/>
      <c r="Q100" s="2455" t="n"/>
      <c r="R100" s="3310" t="n"/>
      <c r="S100" s="3309" t="n"/>
      <c r="T100" s="3128" t="n"/>
      <c r="U100" s="3130" t="n"/>
      <c r="V100" s="3158" t="n"/>
      <c r="W100" s="3310" t="n"/>
      <c r="X100" s="3128" t="n"/>
      <c r="Y100" s="3130" t="n"/>
      <c r="Z100" s="3158" t="n"/>
      <c r="AA100" s="3310" t="n"/>
      <c r="AB100" s="3128" t="n"/>
      <c r="AC100" s="3130" t="n"/>
      <c r="AD100" s="3128" t="n"/>
      <c r="AE100" s="2455" t="n"/>
      <c r="AF100" s="3128" t="n"/>
      <c r="AG100" s="2455" t="n"/>
      <c r="AH100" s="3128" t="n"/>
      <c r="AI100" s="2455" t="n"/>
      <c r="AJ100" s="3109" t="n"/>
      <c r="AK100" s="2651" t="n"/>
      <c r="AL100" s="3097" t="n"/>
      <c r="AM100" s="3177" t="n"/>
      <c r="AN100" s="3100" t="n"/>
      <c r="AO100" s="3101" t="n"/>
      <c r="AP100" s="3720" t="n"/>
      <c r="AQ100" s="3227" t="n"/>
      <c r="AR100" s="3227" t="n"/>
      <c r="AS100" s="1122" t="n"/>
      <c r="AT100" s="218">
        <f>$CA100&amp;CB100&amp;$CC100&amp;CD100&amp;CE100&amp;CF100</f>
        <v/>
      </c>
      <c r="CA100" s="219">
        <f>IF(AND(E100&gt;0,OR(AN100="")),"No olvide digitar los campos *TRANS Masculino. Digite CERO si no tiene.",IF(AN100&gt;$E100,"* El Número de TRANS Masculino no puede superar el Total Mujeres. ",""))</f>
        <v/>
      </c>
      <c r="CB100" s="219">
        <f>IF(AND(D100&gt;0,OR(AO100="")),"No olvide digitar los campos *TRANS Femenino. Digite CERO si no tiene.",IF(AO100&gt;D100,"* El Número de TRANS Femenino no puede superar el Total Hombres. ",""))</f>
        <v/>
      </c>
      <c r="CC100" s="219">
        <f>IF(AND($C100&lt;&gt;0,AP100=""),"* No olvide ingresar la columna Pueblos Originarios. Digite CERO si no tiene.  ",IF(AP100&gt;$C100,"* El Número de Pueblos Originarios no puede superar el Total. ",""))</f>
        <v/>
      </c>
      <c r="CD100" s="219">
        <f>IF(AND($C100&lt;&gt;0,AQ100=""),"* No olvide ingresar la columna Migrantes. Digite CERO si no tiene.  ",IF(AQ100&gt;$C100,"* El Número de Migrantes no puede superar el Total Ambos Sexos. ",""))</f>
        <v/>
      </c>
      <c r="CE100" s="219">
        <f>IF(AND($C100&lt;&gt;0,AR100=""),"* No olvide ingresar la variable "&amp;AR$91&amp;". Digite CERO si no tiene.  ",IF(AR100&gt;$C100,"* La Variable "&amp;AR$91&amp;" no puede superar el Total Ambos Sexos. ",""))</f>
        <v/>
      </c>
      <c r="CF100" s="219">
        <f>IF(AND($C100&lt;&gt;0,AS100=""),"* No olvide ingresar la variable "&amp;AS$91&amp;". Digite CERO si no tiene. ",IF(AS100&gt;$C100,"* La variable "&amp;AS$91&amp;" no puede superar el Total Ambos Sexos. ",""))</f>
        <v/>
      </c>
      <c r="CJ100" s="221">
        <f>IF(AND($E100&lt;&gt;0,AN100=""),1,IF(AN100&gt;$E100,1,0))</f>
        <v/>
      </c>
      <c r="CK100" s="221">
        <f>IF(AND($D100&lt;&gt;0,AO100=""),1,IF(AO100&gt;$D100,1,0))</f>
        <v/>
      </c>
      <c r="CL100" s="221">
        <f>IF(AND($C100&lt;&gt;0,AP100=""),1,IF(AP100&gt;$C100,1,0))</f>
        <v/>
      </c>
      <c r="CM100" s="221">
        <f>IF(AND($C100&lt;&gt;0,AQ100=""),1,IF(AQ100&gt;$C100,1,0))</f>
        <v/>
      </c>
      <c r="CN100" s="221">
        <f>IF(AND($C100&lt;&gt;0,AR100=""),1,IF(AR100&gt;$C100,1,0))</f>
        <v/>
      </c>
      <c r="CO100" s="221">
        <f>IF(AND($C100&lt;&gt;0,AS100=""),1,IF(AS100&gt;$C100,1,0))</f>
        <v/>
      </c>
    </row>
    <row r="101">
      <c r="A101" s="9588" t="n"/>
      <c r="B101" s="3279" t="inlineStr">
        <is>
          <t>Hospitalización</t>
        </is>
      </c>
      <c r="C101" s="3103">
        <f>SUM(D101+E101)</f>
        <v/>
      </c>
      <c r="D101" s="3179">
        <f>SUM(F101+H101+J101+L101+N101+P101+R101+T101+V101+X101+Z101+AB101+AD101+AF101+AH101+AJ101+AL101)</f>
        <v/>
      </c>
      <c r="E101" s="1171">
        <f>SUM(G101+I101+K101+M101+O101+Q101+S101+U101+W101+Y101+AA101+AC101+AE101+AG101+AI101+AK101+AM101)</f>
        <v/>
      </c>
      <c r="F101" s="1971" t="n"/>
      <c r="G101" s="22" t="n"/>
      <c r="H101" s="1971" t="n"/>
      <c r="I101" s="1122" t="n"/>
      <c r="J101" s="1971" t="n"/>
      <c r="K101" s="22" t="n"/>
      <c r="L101" s="3108" t="n"/>
      <c r="M101" s="1122" t="n"/>
      <c r="N101" s="3100" t="n"/>
      <c r="O101" s="22" t="n"/>
      <c r="P101" s="3108" t="n"/>
      <c r="Q101" s="1122" t="n"/>
      <c r="R101" s="3100" t="n"/>
      <c r="S101" s="22" t="n"/>
      <c r="T101" s="3108" t="n"/>
      <c r="U101" s="1122" t="n"/>
      <c r="V101" s="3100" t="n"/>
      <c r="W101" s="22" t="n"/>
      <c r="X101" s="3108" t="n"/>
      <c r="Y101" s="1122" t="n"/>
      <c r="Z101" s="3100" t="n"/>
      <c r="AA101" s="22" t="n"/>
      <c r="AB101" s="3108" t="n"/>
      <c r="AC101" s="1122" t="n"/>
      <c r="AD101" s="3108" t="n"/>
      <c r="AE101" s="750" t="n"/>
      <c r="AF101" s="3108" t="n"/>
      <c r="AG101" s="1125" t="n"/>
      <c r="AH101" s="3108" t="n"/>
      <c r="AI101" s="1125" t="n"/>
      <c r="AJ101" s="3108" t="n"/>
      <c r="AK101" s="1125" t="n"/>
      <c r="AL101" s="3100" t="n"/>
      <c r="AM101" s="3149" t="n"/>
      <c r="AN101" s="3100" t="n"/>
      <c r="AO101" s="3101" t="n"/>
      <c r="AP101" s="3720" t="n"/>
      <c r="AQ101" s="3227" t="n"/>
      <c r="AR101" s="3227" t="n"/>
      <c r="AS101" s="1122" t="n"/>
      <c r="AT101" s="218">
        <f>$CA101&amp;CB101&amp;$CC101&amp;CD101&amp;CE101&amp;CF101</f>
        <v/>
      </c>
      <c r="CA101" s="219">
        <f>IF(AND(E101&gt;0,OR(AN101="")),"No olvide digitar los campos *TRANS Masculino. Digite CERO si no tiene.",IF(AN101&gt;$E101,"* El Número de TRANS Masculino no puede superar el Total Mujeres. ",""))</f>
        <v/>
      </c>
      <c r="CB101" s="219">
        <f>IF(AND(D101&gt;0,OR(AO101="")),"No olvide digitar los campos *TRANS Femenino. Digite CERO si no tiene.",IF(AO101&gt;D101,"* El Número de TRANS Femenino no puede superar el Total Hombres. ",""))</f>
        <v/>
      </c>
      <c r="CC101" s="219">
        <f>IF(AND($C101&lt;&gt;0,AP101=""),"* No olvide ingresar la columna Pueblos Originarios. Digite CERO si no tiene.  ",IF(AP101&gt;$C101,"* El Número de Pueblos Originarios no puede superar el Total. ",""))</f>
        <v/>
      </c>
      <c r="CD101" s="219">
        <f>IF(AND($C101&lt;&gt;0,AQ101=""),"* No olvide ingresar la columna Migrantes. Digite CERO si no tiene.  ",IF(AQ101&gt;$C101,"* El Número de Migrantes no puede superar el Total Ambos Sexos. ",""))</f>
        <v/>
      </c>
      <c r="CE101" s="219">
        <f>IF(AND($C101&lt;&gt;0,AR101=""),"* No olvide ingresar la variable "&amp;AR$91&amp;". Digite CERO si no tiene.  ",IF(AR101&gt;$C101,"* La Variable "&amp;AR$91&amp;" no puede superar el Total Ambos Sexos. ",""))</f>
        <v/>
      </c>
      <c r="CF101" s="219">
        <f>IF(AND($C101&lt;&gt;0,AS101=""),"* No olvide ingresar la variable "&amp;AS$91&amp;". Digite CERO si no tiene. ",IF(AS101&gt;$C101,"* La variable "&amp;AS$91&amp;" no puede superar el Total Ambos Sexos. ",""))</f>
        <v/>
      </c>
      <c r="CJ101" s="221">
        <f>IF(AND($E101&lt;&gt;0,AN101=""),1,IF(AN101&gt;$E101,1,0))</f>
        <v/>
      </c>
      <c r="CK101" s="221">
        <f>IF(AND($D101&lt;&gt;0,AO101=""),1,IF(AO101&gt;$D101,1,0))</f>
        <v/>
      </c>
      <c r="CL101" s="221">
        <f>IF(AND($C101&lt;&gt;0,AP101=""),1,IF(AP101&gt;$C101,1,0))</f>
        <v/>
      </c>
      <c r="CM101" s="221">
        <f>IF(AND($C101&lt;&gt;0,AQ101=""),1,IF(AQ101&gt;$C101,1,0))</f>
        <v/>
      </c>
      <c r="CN101" s="221">
        <f>IF(AND($C101&lt;&gt;0,AR101=""),1,IF(AR101&gt;$C101,1,0))</f>
        <v/>
      </c>
      <c r="CO101" s="221">
        <f>IF(AND($C101&lt;&gt;0,AS101=""),1,IF(AS101&gt;$C101,1,0))</f>
        <v/>
      </c>
    </row>
    <row r="102">
      <c r="A102" s="9588" t="n"/>
      <c r="B102" s="3279" t="inlineStr">
        <is>
          <t>En CDT - CRS</t>
        </is>
      </c>
      <c r="C102" s="3103">
        <f>SUM(D102+E102)</f>
        <v/>
      </c>
      <c r="D102" s="3179">
        <f>SUM(F102+H102+J102+L102+N102+P102+R102+T102+V102+X102+Z102+AB102+AD102+AF102+AH102+AJ102+AL102)</f>
        <v/>
      </c>
      <c r="E102" s="1171">
        <f>SUM(G102+I102+K102+M102+O102+Q102+S102+U102+W102+Y102+AA102+AC102+AE102+AG102+AI102+AK102+AM102)</f>
        <v/>
      </c>
      <c r="F102" s="3108" t="n"/>
      <c r="G102" s="1128" t="n"/>
      <c r="H102" s="3108" t="n"/>
      <c r="I102" s="1125" t="n"/>
      <c r="J102" s="3108" t="n"/>
      <c r="K102" s="1128" t="n"/>
      <c r="L102" s="3108" t="n"/>
      <c r="M102" s="1125" t="n"/>
      <c r="N102" s="3100" t="n"/>
      <c r="O102" s="1128" t="n"/>
      <c r="P102" s="3108" t="n"/>
      <c r="Q102" s="1125" t="n"/>
      <c r="R102" s="3100" t="n"/>
      <c r="S102" s="1128" t="n"/>
      <c r="T102" s="3108" t="n"/>
      <c r="U102" s="1125" t="n"/>
      <c r="V102" s="3100" t="n"/>
      <c r="W102" s="1128" t="n"/>
      <c r="X102" s="3108" t="n"/>
      <c r="Y102" s="1125" t="n"/>
      <c r="Z102" s="3100" t="n"/>
      <c r="AA102" s="1128" t="n"/>
      <c r="AB102" s="3108" t="n"/>
      <c r="AC102" s="1125" t="n"/>
      <c r="AD102" s="3108" t="n"/>
      <c r="AE102" s="3101" t="n"/>
      <c r="AF102" s="3108" t="n"/>
      <c r="AG102" s="1125" t="n"/>
      <c r="AH102" s="3108" t="n"/>
      <c r="AI102" s="1125" t="n"/>
      <c r="AJ102" s="3108" t="n"/>
      <c r="AK102" s="1125" t="n"/>
      <c r="AL102" s="3100" t="n"/>
      <c r="AM102" s="3149" t="n"/>
      <c r="AN102" s="3100" t="n"/>
      <c r="AO102" s="3101" t="n"/>
      <c r="AP102" s="3720" t="n"/>
      <c r="AQ102" s="4008" t="n"/>
      <c r="AR102" s="4008" t="n"/>
      <c r="AS102" s="1125" t="n"/>
      <c r="AT102" s="218">
        <f>$CA102&amp;CB102&amp;$CC102&amp;CD102&amp;CE102&amp;CF102</f>
        <v/>
      </c>
      <c r="CA102" s="219">
        <f>IF(AND(E102&gt;0,OR(AN102="")),"No olvide digitar los campos *TRANS Masculino. Digite CERO si no tiene.",IF(AN102&gt;$E102,"* El Número de TRANS Masculino no puede superar el Total Mujeres. ",""))</f>
        <v/>
      </c>
      <c r="CB102" s="219">
        <f>IF(AND(D102&gt;0,OR(AO102="")),"No olvide digitar los campos *TRANS Femenino. Digite CERO si no tiene.",IF(AO102&gt;D102,"* El Número de TRANS Femenino no puede superar el Total Hombres. ",""))</f>
        <v/>
      </c>
      <c r="CC102" s="219">
        <f>IF(AND($C102&lt;&gt;0,AP102=""),"* No olvide ingresar la columna Pueblos Originarios. Digite CERO si no tiene.  ",IF(AP102&gt;$C102,"* El Número de Pueblos Originarios no puede superar el Total. ",""))</f>
        <v/>
      </c>
      <c r="CD102" s="219">
        <f>IF(AND($C102&lt;&gt;0,AQ102=""),"* No olvide ingresar la columna Migrantes. Digite CERO si no tiene.  ",IF(AQ102&gt;$C102,"* El Número de Migrantes no puede superar el Total Ambos Sexos. ",""))</f>
        <v/>
      </c>
      <c r="CE102" s="219">
        <f>IF(AND($C102&lt;&gt;0,AR102=""),"* No olvide ingresar la variable "&amp;AR$91&amp;". Digite CERO si no tiene.  ",IF(AR102&gt;$C102,"* La Variable "&amp;AR$91&amp;" no puede superar el Total Ambos Sexos. ",""))</f>
        <v/>
      </c>
      <c r="CF102" s="219">
        <f>IF(AND($C102&lt;&gt;0,AS102=""),"* No olvide ingresar la variable "&amp;AS$91&amp;". Digite CERO si no tiene. ",IF(AS102&gt;$C102,"* La variable "&amp;AS$91&amp;" no puede superar el Total Ambos Sexos. ",""))</f>
        <v/>
      </c>
      <c r="CJ102" s="221">
        <f>IF(AND($E102&lt;&gt;0,AN102=""),1,IF(AN102&gt;$E102,1,0))</f>
        <v/>
      </c>
      <c r="CK102" s="221">
        <f>IF(AND($D102&lt;&gt;0,AO102=""),1,IF(AO102&gt;$D102,1,0))</f>
        <v/>
      </c>
      <c r="CL102" s="221">
        <f>IF(AND($C102&lt;&gt;0,AP102=""),1,IF(AP102&gt;$C102,1,0))</f>
        <v/>
      </c>
      <c r="CM102" s="221">
        <f>IF(AND($C102&lt;&gt;0,AQ102=""),1,IF(AQ102&gt;$C102,1,0))</f>
        <v/>
      </c>
      <c r="CN102" s="221">
        <f>IF(AND($C102&lt;&gt;0,AR102=""),1,IF(AR102&gt;$C102,1,0))</f>
        <v/>
      </c>
      <c r="CO102" s="221">
        <f>IF(AND($C102&lt;&gt;0,AS102=""),1,IF(AS102&gt;$C102,1,0))</f>
        <v/>
      </c>
    </row>
    <row r="103">
      <c r="A103" s="9588" t="n"/>
      <c r="B103" s="3279" t="inlineStr">
        <is>
          <t>En APS</t>
        </is>
      </c>
      <c r="C103" s="3103">
        <f>SUM(D103+E103)</f>
        <v/>
      </c>
      <c r="D103" s="3179">
        <f>SUM(F103+H103+J103+L103+N103+P103+R103+T103+V103+X103+Z103+AB103+AD103+AF103+AH103+AJ103+AL103)</f>
        <v/>
      </c>
      <c r="E103" s="1171">
        <f>SUM(G103+I103+K103+M103+O103+Q103+S103+U103+W103+Y103+AA103+AC103+AE103+AG103+AI103+AK103+AM103)</f>
        <v/>
      </c>
      <c r="F103" s="3108" t="n"/>
      <c r="G103" s="1128" t="n"/>
      <c r="H103" s="3108" t="n"/>
      <c r="I103" s="1125" t="n"/>
      <c r="J103" s="3108" t="n"/>
      <c r="K103" s="1128" t="n"/>
      <c r="L103" s="3108" t="n"/>
      <c r="M103" s="1125" t="n">
        <v>1</v>
      </c>
      <c r="N103" s="3100" t="n">
        <v>1</v>
      </c>
      <c r="O103" s="1128" t="n"/>
      <c r="P103" s="3108" t="n">
        <v>1</v>
      </c>
      <c r="Q103" s="1125" t="n"/>
      <c r="R103" s="3100" t="n"/>
      <c r="S103" s="1128" t="n"/>
      <c r="T103" s="3108" t="n">
        <v>1</v>
      </c>
      <c r="U103" s="1125" t="n"/>
      <c r="V103" s="3100" t="n"/>
      <c r="W103" s="1128" t="n"/>
      <c r="X103" s="3108" t="n"/>
      <c r="Y103" s="1125" t="n"/>
      <c r="Z103" s="3100" t="n"/>
      <c r="AA103" s="1128" t="n"/>
      <c r="AB103" s="3108" t="n"/>
      <c r="AC103" s="1125" t="n"/>
      <c r="AD103" s="3108" t="n">
        <v>1</v>
      </c>
      <c r="AE103" s="3101" t="n"/>
      <c r="AF103" s="3108" t="n"/>
      <c r="AG103" s="1125" t="n"/>
      <c r="AH103" s="3108" t="n"/>
      <c r="AI103" s="1125" t="n"/>
      <c r="AJ103" s="3108" t="n"/>
      <c r="AK103" s="1125" t="n"/>
      <c r="AL103" s="3100" t="n">
        <v>1</v>
      </c>
      <c r="AM103" s="3149" t="n">
        <v>1</v>
      </c>
      <c r="AN103" s="3100" t="n">
        <v>0</v>
      </c>
      <c r="AO103" s="3101" t="n">
        <v>0</v>
      </c>
      <c r="AP103" s="3720" t="n">
        <v>0</v>
      </c>
      <c r="AQ103" s="4008" t="n">
        <v>1</v>
      </c>
      <c r="AR103" s="4008" t="n">
        <v>0</v>
      </c>
      <c r="AS103" s="1125" t="n">
        <v>0</v>
      </c>
      <c r="AT103" s="218">
        <f>$CA103&amp;CB103&amp;$CC103&amp;CD103&amp;CE103&amp;CF103</f>
        <v/>
      </c>
      <c r="CA103" s="219">
        <f>IF(AND(E103&gt;0,OR(AN103="")),"No olvide digitar los campos *TRANS Masculino. Digite CERO si no tiene.",IF(AN103&gt;$E103,"* El Número de TRANS Masculino no puede superar el Total Mujeres. ",""))</f>
        <v/>
      </c>
      <c r="CB103" s="219">
        <f>IF(AND(D103&gt;0,OR(AO103="")),"No olvide digitar los campos *TRANS Femenino. Digite CERO si no tiene.",IF(AO103&gt;D103,"* El Número de TRANS Femenino no puede superar el Total Hombres. ",""))</f>
        <v/>
      </c>
      <c r="CC103" s="219">
        <f>IF(AND($C103&lt;&gt;0,AP103=""),"* No olvide ingresar la columna Pueblos Originarios. Digite CERO si no tiene.  ",IF(AP103&gt;$C103,"* El Número de Pueblos Originarios no puede superar el Total. ",""))</f>
        <v/>
      </c>
      <c r="CD103" s="219">
        <f>IF(AND($C103&lt;&gt;0,AQ103=""),"* No olvide ingresar la columna Migrantes. Digite CERO si no tiene.  ",IF(AQ103&gt;$C103,"* El Número de Migrantes no puede superar el Total Ambos Sexos. ",""))</f>
        <v/>
      </c>
      <c r="CE103" s="219">
        <f>IF(AND($C103&lt;&gt;0,AR103=""),"* No olvide ingresar la variable "&amp;AR$91&amp;". Digite CERO si no tiene.  ",IF(AR103&gt;$C103,"* La Variable "&amp;AR$91&amp;" no puede superar el Total Ambos Sexos. ",""))</f>
        <v/>
      </c>
      <c r="CF103" s="219">
        <f>IF(AND($C103&lt;&gt;0,AS103=""),"* No olvide ingresar la variable "&amp;AS$91&amp;". Digite CERO si no tiene. ",IF(AS103&gt;$C103,"* La variable "&amp;AS$91&amp;" no puede superar el Total Ambos Sexos. ",""))</f>
        <v/>
      </c>
      <c r="CJ103" s="221">
        <f>IF(AND($E103&lt;&gt;0,AN103=""),1,IF(AN103&gt;$E103,1,0))</f>
        <v/>
      </c>
      <c r="CK103" s="221">
        <f>IF(AND($D103&lt;&gt;0,AO103=""),1,IF(AO103&gt;$D103,1,0))</f>
        <v/>
      </c>
      <c r="CL103" s="221">
        <f>IF(AND($C103&lt;&gt;0,AP103=""),1,IF(AP103&gt;$C103,1,0))</f>
        <v/>
      </c>
      <c r="CM103" s="221">
        <f>IF(AND($C103&lt;&gt;0,AQ103=""),1,IF(AQ103&gt;$C103,1,0))</f>
        <v/>
      </c>
      <c r="CN103" s="221">
        <f>IF(AND($C103&lt;&gt;0,AR103=""),1,IF(AR103&gt;$C103,1,0))</f>
        <v/>
      </c>
      <c r="CO103" s="221">
        <f>IF(AND($C103&lt;&gt;0,AS103=""),1,IF(AS103&gt;$C103,1,0))</f>
        <v/>
      </c>
    </row>
    <row r="104">
      <c r="A104" s="9588" t="n"/>
      <c r="B104" s="1417" t="inlineStr">
        <is>
          <t>En APS - espacios amigables</t>
        </is>
      </c>
      <c r="C104" s="1190">
        <f>SUM(D104+E104)</f>
        <v/>
      </c>
      <c r="D104" s="1191">
        <f>+J104+L104+N104</f>
        <v/>
      </c>
      <c r="E104" s="2154">
        <f>+K104+M104+O104</f>
        <v/>
      </c>
      <c r="F104" s="1459" t="n"/>
      <c r="G104" s="403" t="n"/>
      <c r="H104" s="3299" t="n"/>
      <c r="I104" s="2963" t="n"/>
      <c r="J104" s="3108" t="n"/>
      <c r="K104" s="1128" t="n"/>
      <c r="L104" s="3108" t="n"/>
      <c r="M104" s="1125" t="n"/>
      <c r="N104" s="3100" t="n"/>
      <c r="O104" s="1128" t="n"/>
      <c r="P104" s="3313" t="n"/>
      <c r="Q104" s="3300" t="n"/>
      <c r="R104" s="245" t="n"/>
      <c r="S104" s="3314" t="n"/>
      <c r="T104" s="3299" t="n"/>
      <c r="U104" s="2963" t="n"/>
      <c r="V104" s="2962" t="n"/>
      <c r="W104" s="245" t="n"/>
      <c r="X104" s="3299" t="n"/>
      <c r="Y104" s="2963" t="n"/>
      <c r="Z104" s="2962" t="n"/>
      <c r="AA104" s="245" t="n"/>
      <c r="AB104" s="3299" t="n"/>
      <c r="AC104" s="2963" t="n"/>
      <c r="AD104" s="3299" t="n"/>
      <c r="AE104" s="3300" t="n"/>
      <c r="AF104" s="3299" t="n"/>
      <c r="AG104" s="2963" t="n"/>
      <c r="AH104" s="3299" t="n"/>
      <c r="AI104" s="2963" t="n"/>
      <c r="AJ104" s="3299" t="n"/>
      <c r="AK104" s="2963" t="n"/>
      <c r="AL104" s="245" t="n"/>
      <c r="AM104" s="3315" t="n"/>
      <c r="AN104" s="3100" t="n"/>
      <c r="AO104" s="3101" t="n"/>
      <c r="AP104" s="3720" t="n"/>
      <c r="AQ104" s="4008" t="n"/>
      <c r="AR104" s="4008" t="n"/>
      <c r="AS104" s="1125" t="n"/>
      <c r="AT104" s="218">
        <f>$CA104&amp;CB104&amp;$CC104&amp;CD104&amp;CE104&amp;CF104</f>
        <v/>
      </c>
      <c r="CA104" s="219">
        <f>IF(AND(E104&gt;0,OR(AN104="")),"No olvide digitar los campos *TRANS Masculino. Digite CERO si no tiene.",IF(AN104&gt;$E104,"* El Número de TRANS Masculino no puede superar el Total Mujeres. ",""))</f>
        <v/>
      </c>
      <c r="CB104" s="219">
        <f>IF(AND(D104&gt;0,OR(AO104="")),"No olvide digitar los campos *TRANS Femenino. Digite CERO si no tiene.",IF(AO104&gt;D104,"* El Número de TRANS Femenino no puede superar el Total Hombres. ",""))</f>
        <v/>
      </c>
      <c r="CC104" s="219">
        <f>IF(AND($C104&lt;&gt;0,AP104=""),"* No olvide ingresar la columna Pueblos Originarios. Digite CERO si no tiene.  ",IF(AP104&gt;$C104,"* El Número de Pueblos Originarios no puede superar el Total. ",""))</f>
        <v/>
      </c>
      <c r="CD104" s="219">
        <f>IF(AND($C104&lt;&gt;0,AQ104=""),"* No olvide ingresar la columna Migrantes. Digite CERO si no tiene.  ",IF(AQ104&gt;$C104,"* El Número de Migrantes no puede superar el Total Ambos Sexos. ",""))</f>
        <v/>
      </c>
      <c r="CE104" s="219">
        <f>IF(AND($C104&lt;&gt;0,AR104=""),"* No olvide ingresar la variable "&amp;AR$91&amp;". Digite CERO si no tiene.  ",IF(AR104&gt;$C104,"* La Variable "&amp;AR$91&amp;" no puede superar el Total Ambos Sexos. ",""))</f>
        <v/>
      </c>
      <c r="CF104" s="219">
        <f>IF(AND($C104&lt;&gt;0,AS104=""),"* No olvide ingresar la variable "&amp;AS$91&amp;". Digite CERO si no tiene. ",IF(AS104&gt;$C104,"* La variable "&amp;AS$91&amp;" no puede superar el Total Ambos Sexos. ",""))</f>
        <v/>
      </c>
      <c r="CJ104" s="221">
        <f>IF(AND($E104&lt;&gt;0,AN104=""),1,IF(AN104&gt;$E104,1,0))</f>
        <v/>
      </c>
      <c r="CK104" s="221">
        <f>IF(AND($D104&lt;&gt;0,AO104=""),1,IF(AO104&gt;$D104,1,0))</f>
        <v/>
      </c>
      <c r="CL104" s="221">
        <f>IF(AND($C104&lt;&gt;0,AP104=""),1,IF(AP104&gt;$C104,1,0))</f>
        <v/>
      </c>
      <c r="CM104" s="221">
        <f>IF(AND($C104&lt;&gt;0,AQ104=""),1,IF(AQ104&gt;$C104,1,0))</f>
        <v/>
      </c>
      <c r="CN104" s="221">
        <f>IF(AND($C104&lt;&gt;0,AR104=""),1,IF(AR104&gt;$C104,1,0))</f>
        <v/>
      </c>
      <c r="CO104" s="221">
        <f>IF(AND($C104&lt;&gt;0,AS104=""),1,IF(AS104&gt;$C104,1,0))</f>
        <v/>
      </c>
    </row>
    <row r="105">
      <c r="A105" s="9589" t="n"/>
      <c r="B105" s="7763" t="inlineStr">
        <is>
          <t>En otras instancias</t>
        </is>
      </c>
      <c r="C105" s="1176">
        <f>SUM(D105+E105)</f>
        <v/>
      </c>
      <c r="D105" s="1177">
        <f>SUM(F105+H105+J105+L105+N105+P105+R105+T105+V105+X105+Z105+AB105+AD105+AF105+AH105+AJ105+AL105)</f>
        <v/>
      </c>
      <c r="E105" s="1178">
        <f>SUM(G105+I105+K105+M105+O105+Q105+S105+U105+W105+Y105+AA105+AC105+AE105+AG105+AI105+AK105+AM105)</f>
        <v/>
      </c>
      <c r="F105" s="1137" t="n"/>
      <c r="G105" s="1142" t="n"/>
      <c r="H105" s="1137" t="n"/>
      <c r="I105" s="1138" t="n"/>
      <c r="J105" s="1140" t="n"/>
      <c r="K105" s="1141" t="n"/>
      <c r="L105" s="1137" t="n"/>
      <c r="M105" s="1139" t="n"/>
      <c r="N105" s="1140" t="n"/>
      <c r="O105" s="1141" t="n"/>
      <c r="P105" s="1151" t="n"/>
      <c r="Q105" s="1139" t="n"/>
      <c r="R105" s="1142" t="n"/>
      <c r="S105" s="1141" t="n"/>
      <c r="T105" s="1137" t="n"/>
      <c r="U105" s="1138" t="n"/>
      <c r="V105" s="1140" t="n"/>
      <c r="W105" s="1142" t="n"/>
      <c r="X105" s="1137" t="n"/>
      <c r="Y105" s="1138" t="n"/>
      <c r="Z105" s="1140" t="n"/>
      <c r="AA105" s="1142" t="n"/>
      <c r="AB105" s="1137" t="n"/>
      <c r="AC105" s="1138" t="n"/>
      <c r="AD105" s="1137" t="n"/>
      <c r="AE105" s="1139" t="n"/>
      <c r="AF105" s="1137" t="n"/>
      <c r="AG105" s="1138" t="n"/>
      <c r="AH105" s="1137" t="n"/>
      <c r="AI105" s="1138" t="n"/>
      <c r="AJ105" s="1137" t="n"/>
      <c r="AK105" s="1138" t="n"/>
      <c r="AL105" s="1142" t="n"/>
      <c r="AM105" s="1143" t="n"/>
      <c r="AN105" s="1140" t="n"/>
      <c r="AO105" s="1139" t="n"/>
      <c r="AP105" s="1151" t="n"/>
      <c r="AQ105" s="1299" t="n"/>
      <c r="AR105" s="1299" t="n"/>
      <c r="AS105" s="1138" t="n"/>
      <c r="AT105" s="218">
        <f>$CA105&amp;CB105&amp;$CC105&amp;CD105&amp;CE105&amp;CF105</f>
        <v/>
      </c>
      <c r="CA105" s="219">
        <f>IF(AND(E105&gt;0,OR(AN105="")),"No olvide digitar los campos *TRANS Masculino. Digite CERO si no tiene.",IF(AN105&gt;$E105,"* El Número de TRANS Masculino no puede superar el Total Mujeres. ",""))</f>
        <v/>
      </c>
      <c r="CB105" s="219">
        <f>IF(AND(D105&gt;0,OR(AO105="")),"No olvide digitar los campos *TRANS Femenino. Digite CERO si no tiene.",IF(AO105&gt;D105,"* El Número de TRANS Femenino no puede superar el Total Hombres. ",""))</f>
        <v/>
      </c>
      <c r="CC105" s="219">
        <f>IF(AND($C105&lt;&gt;0,AP105=""),"* No olvide ingresar la columna Pueblos Originarios. Digite CERO si no tiene.  ",IF(AP105&gt;$C105,"* El Número de Pueblos Originarios no puede superar el Total. ",""))</f>
        <v/>
      </c>
      <c r="CD105" s="219">
        <f>IF(AND($C105&lt;&gt;0,AQ105=""),"* No olvide ingresar la columna Migrantes. Digite CERO si no tiene.  ",IF(AQ105&gt;$C105,"* El Número de Migrantes no puede superar el Total Ambos Sexos. ",""))</f>
        <v/>
      </c>
      <c r="CE105" s="219">
        <f>IF(AND($C105&lt;&gt;0,AR105=""),"* No olvide ingresar la variable "&amp;AR$91&amp;". Digite CERO si no tiene.  ",IF(AR105&gt;$C105,"* La Variable "&amp;AR$91&amp;" no puede superar el Total Ambos Sexos. ",""))</f>
        <v/>
      </c>
      <c r="CF105" s="219">
        <f>IF(AND($C105&lt;&gt;0,AS105=""),"* No olvide ingresar la variable "&amp;AS$91&amp;". Digite CERO si no tiene. ",IF(AS105&gt;$C105,"* La variable "&amp;AS$91&amp;" no puede superar el Total Ambos Sexos. ",""))</f>
        <v/>
      </c>
      <c r="CJ105" s="221">
        <f>IF(AND($E105&lt;&gt;0,AN105=""),1,IF(AN105&gt;$E105,1,0))</f>
        <v/>
      </c>
      <c r="CK105" s="221">
        <f>IF(AND($D105&lt;&gt;0,AO105=""),1,IF(AO105&gt;$D105,1,0))</f>
        <v/>
      </c>
      <c r="CL105" s="221">
        <f>IF(AND($C105&lt;&gt;0,AP105=""),1,IF(AP105&gt;$C105,1,0))</f>
        <v/>
      </c>
      <c r="CM105" s="221">
        <f>IF(AND($C105&lt;&gt;0,AQ105=""),1,IF(AQ105&gt;$C105,1,0))</f>
        <v/>
      </c>
      <c r="CN105" s="221">
        <f>IF(AND($C105&lt;&gt;0,AR105=""),1,IF(AR105&gt;$C105,1,0))</f>
        <v/>
      </c>
      <c r="CO105" s="221">
        <f>IF(AND($C105&lt;&gt;0,AS105=""),1,IF(AS105&gt;$C105,1,0))</f>
        <v/>
      </c>
    </row>
    <row r="106" ht="18" customHeight="1" s="8286">
      <c r="A106" s="10323" t="inlineStr">
        <is>
          <t>SECCIÓN A.3: CONSEJERÍAS FAMILIARES</t>
        </is>
      </c>
      <c r="B106" s="10190" t="n"/>
      <c r="C106" s="10190" t="n"/>
      <c r="D106" s="10190" t="n"/>
    </row>
    <row r="107">
      <c r="A107" s="10236" t="inlineStr">
        <is>
          <t>Temas prioridad</t>
        </is>
      </c>
      <c r="B107" s="8534" t="inlineStr">
        <is>
          <t>FAMILIA</t>
        </is>
      </c>
      <c r="C107" s="8525" t="inlineStr">
        <is>
          <t>Total Actividades</t>
        </is>
      </c>
      <c r="D107" s="8525" t="inlineStr">
        <is>
          <t>Espacios Amigables</t>
        </is>
      </c>
    </row>
    <row r="108">
      <c r="A108" s="9588" t="n"/>
      <c r="B108" s="3316" t="inlineStr">
        <is>
          <t>Con riesgo psicosocial</t>
        </is>
      </c>
      <c r="C108" s="3317" t="n">
        <v>3</v>
      </c>
      <c r="D108" s="3317" t="n">
        <v>0</v>
      </c>
      <c r="E108" s="218">
        <f>$CA108</f>
        <v/>
      </c>
      <c r="F108" s="330" t="n"/>
      <c r="G108" s="330" t="n"/>
      <c r="H108" s="330" t="n"/>
      <c r="I108" s="330" t="n"/>
      <c r="J108" s="330" t="n"/>
      <c r="K108" s="330" t="n"/>
      <c r="L108" s="330" t="n"/>
      <c r="M108" s="330" t="n"/>
      <c r="N108" s="330" t="n"/>
      <c r="O108" s="330" t="n"/>
      <c r="P108" s="330" t="n"/>
      <c r="Q108" s="234" t="n"/>
      <c r="R108" s="234" t="n"/>
      <c r="S108" s="234" t="n"/>
      <c r="T108" s="235" t="n"/>
      <c r="U108" s="235" t="n"/>
      <c r="V108" s="235" t="n"/>
      <c r="W108" s="235" t="n"/>
      <c r="X108" s="235" t="n"/>
      <c r="Y108" s="235" t="n"/>
      <c r="Z108" s="235" t="n"/>
      <c r="AA108" s="235" t="n"/>
      <c r="AB108" s="235" t="n"/>
      <c r="AC108" s="235" t="n"/>
      <c r="AD108" s="235" t="n"/>
      <c r="AE108" s="235" t="n"/>
      <c r="AF108" s="235" t="n"/>
      <c r="AG108" s="235" t="n"/>
      <c r="AH108" s="235" t="n"/>
      <c r="AI108" s="235" t="n"/>
      <c r="AJ108" s="235" t="n"/>
      <c r="AK108" s="235" t="n"/>
      <c r="AL108" s="235" t="n"/>
      <c r="AM108" s="235" t="n"/>
      <c r="AN108" s="235" t="n"/>
      <c r="AO108" s="235" t="n"/>
      <c r="AP108" s="235" t="n"/>
      <c r="AQ108" s="235" t="n"/>
      <c r="AR108" s="235" t="n"/>
      <c r="AS108" s="235" t="n"/>
      <c r="AT108" s="235" t="n"/>
      <c r="AU108" s="235" t="n"/>
      <c r="AV108" s="235" t="n"/>
      <c r="AW108" s="235" t="n"/>
      <c r="AX108" s="235" t="n"/>
      <c r="AY108" s="235" t="n"/>
      <c r="AZ108" s="235" t="n"/>
      <c r="BA108" s="235" t="n"/>
      <c r="BB108" s="235" t="n"/>
      <c r="BC108" s="235" t="n"/>
      <c r="BD108" s="235" t="n"/>
      <c r="BE108" s="235" t="n"/>
      <c r="BF108" s="235" t="n"/>
      <c r="BG108" s="235" t="n"/>
      <c r="BH108" s="235" t="n"/>
      <c r="BI108" s="235" t="n"/>
      <c r="BJ108" s="235" t="n"/>
      <c r="BK108" s="235" t="n"/>
      <c r="BL108" s="235" t="n"/>
      <c r="BM108" s="235" t="n"/>
      <c r="BN108" s="235" t="n"/>
      <c r="BO108" s="235" t="n"/>
      <c r="BP108" s="235" t="n"/>
      <c r="BQ108" s="235" t="n"/>
      <c r="BR108" s="235" t="n"/>
      <c r="BS108" s="235" t="n"/>
      <c r="BT108" s="235" t="n"/>
      <c r="BU108" s="235" t="n"/>
      <c r="BV108" s="235" t="n"/>
      <c r="BW108" s="235" t="n"/>
      <c r="BX108" s="909" t="n"/>
      <c r="BY108" s="909" t="n"/>
      <c r="BZ108" s="909" t="n"/>
      <c r="CA108" s="911">
        <f>IF(D108&lt;=C108,"","* Las consejerías realizadas en Espacios Amigables NO DEBEN ser mayor al Total de Actividades. ")</f>
        <v/>
      </c>
      <c r="CB108" s="374" t="n"/>
      <c r="CC108" s="374" t="n"/>
      <c r="CD108" s="374" t="n"/>
      <c r="CE108" s="374" t="n"/>
      <c r="CF108" s="374" t="n"/>
      <c r="CJ108" s="912">
        <f>IF(D108&lt;=C108,0,1)</f>
        <v/>
      </c>
    </row>
    <row r="109">
      <c r="A109" s="9588" t="n"/>
      <c r="B109" s="8510" t="inlineStr">
        <is>
          <t>Con integrante de patología crónica</t>
        </is>
      </c>
      <c r="C109" s="3172" t="n">
        <v>5</v>
      </c>
      <c r="D109" s="3172" t="n">
        <v>0</v>
      </c>
      <c r="E109" s="218">
        <f>$CA109</f>
        <v/>
      </c>
      <c r="F109" s="330" t="n"/>
      <c r="G109" s="330" t="n"/>
      <c r="H109" s="330" t="n"/>
      <c r="I109" s="330" t="n"/>
      <c r="J109" s="330" t="n"/>
      <c r="K109" s="330" t="n"/>
      <c r="L109" s="330" t="n"/>
      <c r="M109" s="330" t="n"/>
      <c r="N109" s="330" t="n"/>
      <c r="O109" s="330" t="n"/>
      <c r="P109" s="330" t="n"/>
      <c r="Q109" s="234" t="n"/>
      <c r="R109" s="234" t="n"/>
      <c r="S109" s="234" t="n"/>
      <c r="T109" s="235" t="n"/>
      <c r="U109" s="235" t="n"/>
      <c r="V109" s="235" t="n"/>
      <c r="W109" s="235" t="n"/>
      <c r="X109" s="235" t="n"/>
      <c r="Y109" s="235" t="n"/>
      <c r="Z109" s="235" t="n"/>
      <c r="AA109" s="235" t="n"/>
      <c r="AB109" s="235" t="n"/>
      <c r="AC109" s="235" t="n"/>
      <c r="AD109" s="235" t="n"/>
      <c r="AE109" s="235" t="n"/>
      <c r="AF109" s="235" t="n"/>
      <c r="AG109" s="235" t="n"/>
      <c r="AH109" s="235" t="n"/>
      <c r="AI109" s="235" t="n"/>
      <c r="AJ109" s="235" t="n"/>
      <c r="AK109" s="235" t="n"/>
      <c r="AL109" s="235" t="n"/>
      <c r="AM109" s="235" t="n"/>
      <c r="AN109" s="235" t="n"/>
      <c r="AO109" s="235" t="n"/>
      <c r="AP109" s="235" t="n"/>
      <c r="AQ109" s="235" t="n"/>
      <c r="AR109" s="235" t="n"/>
      <c r="AS109" s="235" t="n"/>
      <c r="AT109" s="235" t="n"/>
      <c r="AU109" s="235" t="n"/>
      <c r="AV109" s="235" t="n"/>
      <c r="AW109" s="235" t="n"/>
      <c r="AX109" s="235" t="n"/>
      <c r="AY109" s="235" t="n"/>
      <c r="AZ109" s="235" t="n"/>
      <c r="BA109" s="235" t="n"/>
      <c r="BB109" s="235" t="n"/>
      <c r="BC109" s="235" t="n"/>
      <c r="BD109" s="235" t="n"/>
      <c r="BE109" s="235" t="n"/>
      <c r="BF109" s="235" t="n"/>
      <c r="BG109" s="235" t="n"/>
      <c r="BH109" s="235" t="n"/>
      <c r="BI109" s="235" t="n"/>
      <c r="BJ109" s="235" t="n"/>
      <c r="BK109" s="235" t="n"/>
      <c r="BL109" s="235" t="n"/>
      <c r="BM109" s="235" t="n"/>
      <c r="BN109" s="235" t="n"/>
      <c r="BO109" s="235" t="n"/>
      <c r="BP109" s="235" t="n"/>
      <c r="BQ109" s="235" t="n"/>
      <c r="BR109" s="235" t="n"/>
      <c r="BS109" s="235" t="n"/>
      <c r="BT109" s="235" t="n"/>
      <c r="BU109" s="235" t="n"/>
      <c r="BV109" s="235" t="n"/>
      <c r="BW109" s="235" t="n"/>
      <c r="BX109" s="909" t="n"/>
      <c r="BY109" s="909" t="n"/>
      <c r="BZ109" s="909" t="n"/>
      <c r="CA109" s="911">
        <f>IF(D109&lt;=C109,"","* Las consejerías realizadas en Espacios Amigables NO DEBEN ser mayor al Total de Actividades. ")</f>
        <v/>
      </c>
      <c r="CB109" s="374" t="n"/>
      <c r="CC109" s="374" t="n"/>
      <c r="CD109" s="374" t="n"/>
      <c r="CE109" s="374" t="n"/>
      <c r="CF109" s="374" t="n"/>
      <c r="CJ109" s="912">
        <f>IF(D109&lt;=C109,0,1)</f>
        <v/>
      </c>
    </row>
    <row r="110" ht="21" customHeight="1" s="8286">
      <c r="A110" s="9588" t="n"/>
      <c r="B110" s="8510" t="inlineStr">
        <is>
          <t>Con integrante con problema de salud mental</t>
        </is>
      </c>
      <c r="C110" s="3172" t="n">
        <v>575</v>
      </c>
      <c r="D110" s="3172" t="n">
        <v>0</v>
      </c>
      <c r="E110" s="218">
        <f>$CA110</f>
        <v/>
      </c>
      <c r="F110" s="330" t="n"/>
      <c r="G110" s="330" t="n"/>
      <c r="H110" s="330" t="n"/>
      <c r="I110" s="330" t="n"/>
      <c r="J110" s="330" t="n"/>
      <c r="K110" s="330" t="n"/>
      <c r="L110" s="330" t="n"/>
      <c r="M110" s="330" t="n"/>
      <c r="N110" s="330" t="n"/>
      <c r="O110" s="330" t="n"/>
      <c r="P110" s="330" t="n"/>
      <c r="Q110" s="234" t="n"/>
      <c r="R110" s="234" t="n"/>
      <c r="S110" s="234" t="n"/>
      <c r="T110" s="235" t="n"/>
      <c r="U110" s="235" t="n"/>
      <c r="V110" s="235" t="n"/>
      <c r="W110" s="235" t="n"/>
      <c r="X110" s="235" t="n"/>
      <c r="Y110" s="235" t="n"/>
      <c r="Z110" s="235" t="n"/>
      <c r="AA110" s="235" t="n"/>
      <c r="AB110" s="235" t="n"/>
      <c r="AC110" s="235" t="n"/>
      <c r="AD110" s="235" t="n"/>
      <c r="AE110" s="235" t="n"/>
      <c r="AF110" s="235" t="n"/>
      <c r="AG110" s="235" t="n"/>
      <c r="AH110" s="235" t="n"/>
      <c r="AI110" s="235" t="n"/>
      <c r="AJ110" s="235" t="n"/>
      <c r="AK110" s="235" t="n"/>
      <c r="AL110" s="235" t="n"/>
      <c r="AM110" s="235" t="n"/>
      <c r="AN110" s="235" t="n"/>
      <c r="AO110" s="235" t="n"/>
      <c r="AP110" s="235" t="n"/>
      <c r="AQ110" s="235" t="n"/>
      <c r="AR110" s="235" t="n"/>
      <c r="AS110" s="235" t="n"/>
      <c r="AT110" s="235" t="n"/>
      <c r="AU110" s="235" t="n"/>
      <c r="AV110" s="235" t="n"/>
      <c r="AW110" s="235" t="n"/>
      <c r="AX110" s="235" t="n"/>
      <c r="AY110" s="235" t="n"/>
      <c r="AZ110" s="235" t="n"/>
      <c r="BA110" s="235" t="n"/>
      <c r="BB110" s="235" t="n"/>
      <c r="BC110" s="235" t="n"/>
      <c r="BD110" s="235" t="n"/>
      <c r="BE110" s="235" t="n"/>
      <c r="BF110" s="235" t="n"/>
      <c r="BG110" s="235" t="n"/>
      <c r="BH110" s="235" t="n"/>
      <c r="BI110" s="235" t="n"/>
      <c r="BJ110" s="235" t="n"/>
      <c r="BK110" s="235" t="n"/>
      <c r="BL110" s="235" t="n"/>
      <c r="BM110" s="235" t="n"/>
      <c r="BN110" s="235" t="n"/>
      <c r="BO110" s="235" t="n"/>
      <c r="BP110" s="235" t="n"/>
      <c r="BQ110" s="235" t="n"/>
      <c r="BR110" s="235" t="n"/>
      <c r="BS110" s="235" t="n"/>
      <c r="BT110" s="235" t="n"/>
      <c r="BU110" s="235" t="n"/>
      <c r="BV110" s="235" t="n"/>
      <c r="BW110" s="235" t="n"/>
      <c r="BX110" s="909" t="n"/>
      <c r="BY110" s="909" t="n"/>
      <c r="BZ110" s="909" t="n"/>
      <c r="CA110" s="911">
        <f>IF(D110&lt;=C110,"","* Las consejerías realizadas en Espacios Amigables NO DEBEN ser mayor al Total de Actividades. ")</f>
        <v/>
      </c>
      <c r="CB110" s="374" t="n"/>
      <c r="CC110" s="374" t="n"/>
      <c r="CD110" s="374" t="n"/>
      <c r="CE110" s="374" t="n"/>
      <c r="CF110" s="374" t="n"/>
      <c r="CJ110" s="912">
        <f>IF(D110&lt;=C110,0,1)</f>
        <v/>
      </c>
    </row>
    <row r="111">
      <c r="A111" s="9588" t="n"/>
      <c r="B111" s="8510" t="inlineStr">
        <is>
          <t>Con persona mayor dependiente</t>
        </is>
      </c>
      <c r="C111" s="3172" t="n">
        <v>190</v>
      </c>
      <c r="D111" s="3318" t="n"/>
    </row>
    <row r="112">
      <c r="A112" s="9588" t="n"/>
      <c r="B112" s="8538" t="inlineStr">
        <is>
          <t>Con integrante con demencia</t>
        </is>
      </c>
      <c r="C112" s="1125" t="n">
        <v>174</v>
      </c>
      <c r="D112" s="3318" t="n"/>
    </row>
    <row r="113" ht="21" customHeight="1" s="8286">
      <c r="A113" s="9588" t="n"/>
      <c r="B113" s="8538" t="inlineStr">
        <is>
          <t>Con integrante con enfermedad terminal</t>
        </is>
      </c>
      <c r="C113" s="1125" t="n"/>
      <c r="D113" s="3172" t="n"/>
      <c r="E113" s="218">
        <f>$CA113</f>
        <v/>
      </c>
      <c r="F113" s="330" t="n"/>
      <c r="G113" s="330" t="n"/>
      <c r="H113" s="330" t="n"/>
      <c r="I113" s="330" t="n"/>
      <c r="J113" s="330" t="n"/>
      <c r="K113" s="330" t="n"/>
      <c r="L113" s="330" t="n"/>
      <c r="M113" s="330" t="n"/>
      <c r="N113" s="330" t="n"/>
      <c r="O113" s="330" t="n"/>
      <c r="P113" s="330" t="n"/>
      <c r="Q113" s="234" t="n"/>
      <c r="R113" s="234" t="n"/>
      <c r="S113" s="234" t="n"/>
      <c r="T113" s="235" t="n"/>
      <c r="U113" s="235" t="n"/>
      <c r="V113" s="235" t="n"/>
      <c r="W113" s="235" t="n"/>
      <c r="X113" s="235" t="n"/>
      <c r="Y113" s="235" t="n"/>
      <c r="Z113" s="235" t="n"/>
      <c r="AA113" s="235" t="n"/>
      <c r="AB113" s="235" t="n"/>
      <c r="AC113" s="235" t="n"/>
      <c r="AD113" s="235" t="n"/>
      <c r="AE113" s="235" t="n"/>
      <c r="AF113" s="235" t="n"/>
      <c r="AG113" s="235" t="n"/>
      <c r="AH113" s="235" t="n"/>
      <c r="AI113" s="235" t="n"/>
      <c r="AJ113" s="235" t="n"/>
      <c r="AK113" s="235" t="n"/>
      <c r="AL113" s="235" t="n"/>
      <c r="AM113" s="235" t="n"/>
      <c r="AN113" s="235" t="n"/>
      <c r="AO113" s="235" t="n"/>
      <c r="AP113" s="235" t="n"/>
      <c r="AQ113" s="235" t="n"/>
      <c r="AR113" s="235" t="n"/>
      <c r="AS113" s="235" t="n"/>
      <c r="AT113" s="235" t="n"/>
      <c r="AU113" s="235" t="n"/>
      <c r="AV113" s="235" t="n"/>
      <c r="AW113" s="235" t="n"/>
      <c r="AX113" s="235" t="n"/>
      <c r="AY113" s="235" t="n"/>
      <c r="AZ113" s="235" t="n"/>
      <c r="BA113" s="235" t="n"/>
      <c r="BB113" s="235" t="n"/>
      <c r="BC113" s="235" t="n"/>
      <c r="BD113" s="235" t="n"/>
      <c r="BE113" s="235" t="n"/>
      <c r="BF113" s="235" t="n"/>
      <c r="BG113" s="235" t="n"/>
      <c r="BH113" s="235" t="n"/>
      <c r="BI113" s="235" t="n"/>
      <c r="BJ113" s="235" t="n"/>
      <c r="BK113" s="235" t="n"/>
      <c r="BL113" s="235" t="n"/>
      <c r="BM113" s="235" t="n"/>
      <c r="BN113" s="235" t="n"/>
      <c r="BO113" s="235" t="n"/>
      <c r="BP113" s="235" t="n"/>
      <c r="BQ113" s="235" t="n"/>
      <c r="BR113" s="235" t="n"/>
      <c r="BS113" s="235" t="n"/>
      <c r="BT113" s="235" t="n"/>
      <c r="BU113" s="235" t="n"/>
      <c r="BV113" s="235" t="n"/>
      <c r="BW113" s="235" t="n"/>
      <c r="BX113" s="909" t="n"/>
      <c r="BY113" s="909" t="n"/>
      <c r="BZ113" s="909" t="n"/>
      <c r="CA113" s="911">
        <f>IF(D113&lt;=C113,"","* Las consejerías realizadas en Espacios Amigables NO DEBEN ser mayor al Total de Actividades. ")</f>
        <v/>
      </c>
      <c r="CB113" s="374" t="n"/>
      <c r="CC113" s="374" t="n"/>
      <c r="CD113" s="374" t="n"/>
      <c r="CE113" s="374" t="n"/>
      <c r="CF113" s="374" t="n"/>
      <c r="CJ113" s="912">
        <f>IF(D113&lt;=C113,0,1)</f>
        <v/>
      </c>
    </row>
    <row r="114">
      <c r="A114" s="9588" t="n"/>
      <c r="B114" s="8538" t="inlineStr">
        <is>
          <t>Con integrante dependiente severo</t>
        </is>
      </c>
      <c r="C114" s="1125" t="n">
        <v>175</v>
      </c>
      <c r="D114" s="3172" t="n">
        <v>0</v>
      </c>
      <c r="E114" s="218">
        <f>$CA114</f>
        <v/>
      </c>
      <c r="F114" s="330" t="n"/>
      <c r="G114" s="330" t="n"/>
      <c r="H114" s="330" t="n"/>
      <c r="I114" s="330" t="n"/>
      <c r="J114" s="330" t="n"/>
      <c r="K114" s="330" t="n"/>
      <c r="L114" s="330" t="n"/>
      <c r="M114" s="330" t="n"/>
      <c r="N114" s="330" t="n"/>
      <c r="O114" s="330" t="n"/>
      <c r="P114" s="330" t="n"/>
      <c r="Q114" s="234" t="n"/>
      <c r="R114" s="234" t="n"/>
      <c r="S114" s="234" t="n"/>
      <c r="T114" s="235" t="n"/>
      <c r="U114" s="235" t="n"/>
      <c r="V114" s="235" t="n"/>
      <c r="W114" s="235" t="n"/>
      <c r="X114" s="235" t="n"/>
      <c r="Y114" s="235" t="n"/>
      <c r="Z114" s="235" t="n"/>
      <c r="AA114" s="235" t="n"/>
      <c r="AB114" s="235" t="n"/>
      <c r="AC114" s="235" t="n"/>
      <c r="AD114" s="235" t="n"/>
      <c r="AE114" s="235" t="n"/>
      <c r="AF114" s="235" t="n"/>
      <c r="AG114" s="235" t="n"/>
      <c r="AH114" s="235" t="n"/>
      <c r="AI114" s="235" t="n"/>
      <c r="AJ114" s="235" t="n"/>
      <c r="AK114" s="235" t="n"/>
      <c r="AL114" s="235" t="n"/>
      <c r="AM114" s="235" t="n"/>
      <c r="AN114" s="235" t="n"/>
      <c r="AO114" s="235" t="n"/>
      <c r="AP114" s="235" t="n"/>
      <c r="AQ114" s="235" t="n"/>
      <c r="AR114" s="235" t="n"/>
      <c r="AS114" s="235" t="n"/>
      <c r="AT114" s="235" t="n"/>
      <c r="AU114" s="235" t="n"/>
      <c r="AV114" s="235" t="n"/>
      <c r="AW114" s="235" t="n"/>
      <c r="AX114" s="235" t="n"/>
      <c r="AY114" s="235" t="n"/>
      <c r="AZ114" s="235" t="n"/>
      <c r="BA114" s="235" t="n"/>
      <c r="BB114" s="235" t="n"/>
      <c r="BC114" s="235" t="n"/>
      <c r="BD114" s="235" t="n"/>
      <c r="BE114" s="235" t="n"/>
      <c r="BF114" s="235" t="n"/>
      <c r="BG114" s="235" t="n"/>
      <c r="BH114" s="235" t="n"/>
      <c r="BI114" s="235" t="n"/>
      <c r="BJ114" s="235" t="n"/>
      <c r="BK114" s="235" t="n"/>
      <c r="BL114" s="235" t="n"/>
      <c r="BM114" s="235" t="n"/>
      <c r="BN114" s="235" t="n"/>
      <c r="BO114" s="235" t="n"/>
      <c r="BP114" s="235" t="n"/>
      <c r="BQ114" s="235" t="n"/>
      <c r="BR114" s="235" t="n"/>
      <c r="BS114" s="235" t="n"/>
      <c r="BT114" s="235" t="n"/>
      <c r="BU114" s="235" t="n"/>
      <c r="BV114" s="235" t="n"/>
      <c r="BW114" s="235" t="n"/>
      <c r="BX114" s="909" t="n"/>
      <c r="BY114" s="909" t="n"/>
      <c r="BZ114" s="909" t="n"/>
      <c r="CA114" s="911">
        <f>IF(D114&lt;=C114,"","* Las consejerías realizadas en Espacios Amigables NO DEBEN ser mayor al Total de Actividades. ")</f>
        <v/>
      </c>
      <c r="CB114" s="374" t="n"/>
      <c r="CC114" s="374" t="n"/>
      <c r="CD114" s="374" t="n"/>
      <c r="CE114" s="374" t="n"/>
      <c r="CF114" s="374" t="n"/>
      <c r="CJ114" s="912">
        <f>IF(D114&lt;=C114,0,1)</f>
        <v/>
      </c>
    </row>
    <row r="115">
      <c r="A115" s="9588" t="n"/>
      <c r="B115" s="8538" t="inlineStr">
        <is>
          <t>Otras áreas de intervención</t>
        </is>
      </c>
      <c r="C115" s="3172" t="n">
        <v>174</v>
      </c>
      <c r="D115" s="3172" t="n">
        <v>0</v>
      </c>
      <c r="E115" s="218">
        <f>$CA115</f>
        <v/>
      </c>
      <c r="F115" s="330" t="n"/>
      <c r="G115" s="330" t="n"/>
      <c r="H115" s="330" t="n"/>
      <c r="I115" s="330" t="n"/>
      <c r="J115" s="330" t="n"/>
      <c r="K115" s="330" t="n"/>
      <c r="L115" s="330" t="n"/>
      <c r="M115" s="330" t="n"/>
      <c r="N115" s="330" t="n"/>
      <c r="O115" s="330" t="n"/>
      <c r="P115" s="330" t="n"/>
      <c r="Q115" s="234" t="n"/>
      <c r="R115" s="234" t="n"/>
      <c r="S115" s="234" t="n"/>
      <c r="T115" s="235" t="n"/>
      <c r="U115" s="235" t="n"/>
      <c r="V115" s="235" t="n"/>
      <c r="W115" s="235" t="n"/>
      <c r="X115" s="235" t="n"/>
      <c r="Y115" s="235" t="n"/>
      <c r="Z115" s="235" t="n"/>
      <c r="AA115" s="235" t="n"/>
      <c r="AB115" s="235" t="n"/>
      <c r="AC115" s="235" t="n"/>
      <c r="AD115" s="235" t="n"/>
      <c r="AE115" s="235" t="n"/>
      <c r="AF115" s="235" t="n"/>
      <c r="AG115" s="235" t="n"/>
      <c r="AH115" s="235" t="n"/>
      <c r="AI115" s="235" t="n"/>
      <c r="AJ115" s="235" t="n"/>
      <c r="AK115" s="235" t="n"/>
      <c r="AL115" s="235" t="n"/>
      <c r="AM115" s="235" t="n"/>
      <c r="AN115" s="235" t="n"/>
      <c r="AO115" s="235" t="n"/>
      <c r="AP115" s="235" t="n"/>
      <c r="AQ115" s="235" t="n"/>
      <c r="AR115" s="235" t="n"/>
      <c r="AS115" s="235" t="n"/>
      <c r="AT115" s="235" t="n"/>
      <c r="AU115" s="235" t="n"/>
      <c r="AV115" s="235" t="n"/>
      <c r="AW115" s="235" t="n"/>
      <c r="AX115" s="235" t="n"/>
      <c r="AY115" s="235" t="n"/>
      <c r="AZ115" s="235" t="n"/>
      <c r="BA115" s="235" t="n"/>
      <c r="BB115" s="235" t="n"/>
      <c r="BC115" s="235" t="n"/>
      <c r="BD115" s="235" t="n"/>
      <c r="BE115" s="235" t="n"/>
      <c r="BF115" s="235" t="n"/>
      <c r="BG115" s="235" t="n"/>
      <c r="BH115" s="235" t="n"/>
      <c r="BI115" s="235" t="n"/>
      <c r="BJ115" s="235" t="n"/>
      <c r="BK115" s="235" t="n"/>
      <c r="BL115" s="235" t="n"/>
      <c r="BM115" s="235" t="n"/>
      <c r="BN115" s="235" t="n"/>
      <c r="BO115" s="235" t="n"/>
      <c r="BP115" s="235" t="n"/>
      <c r="BQ115" s="235" t="n"/>
      <c r="BR115" s="235" t="n"/>
      <c r="BS115" s="235" t="n"/>
      <c r="BT115" s="235" t="n"/>
      <c r="BU115" s="235" t="n"/>
      <c r="BV115" s="235" t="n"/>
      <c r="BW115" s="235" t="n"/>
      <c r="BX115" s="909" t="n"/>
      <c r="BY115" s="909" t="n"/>
      <c r="BZ115" s="909" t="n"/>
      <c r="CA115" s="911">
        <f>IF(D115&lt;=C115,"","* Las consejerías realizadas en Espacios Amigables NO DEBEN ser mayor al Total de Actividades. ")</f>
        <v/>
      </c>
      <c r="CB115" s="374" t="n"/>
      <c r="CC115" s="374" t="n"/>
      <c r="CD115" s="374" t="n"/>
      <c r="CE115" s="374" t="n"/>
      <c r="CF115" s="374" t="n"/>
      <c r="CJ115" s="912">
        <f>IF(D115&lt;=C115,0,1)</f>
        <v/>
      </c>
    </row>
    <row r="116">
      <c r="A116" s="9588" t="n"/>
      <c r="B116" s="7770" t="inlineStr">
        <is>
          <t>Con adolescente VIH (+)</t>
        </is>
      </c>
      <c r="C116" s="3172" t="n"/>
      <c r="D116" s="3172" t="n"/>
      <c r="E116" s="218">
        <f>$CA116</f>
        <v/>
      </c>
      <c r="F116" s="330" t="n"/>
      <c r="G116" s="330" t="n"/>
      <c r="H116" s="330" t="n"/>
      <c r="I116" s="330" t="n"/>
      <c r="J116" s="330" t="n"/>
      <c r="K116" s="330" t="n"/>
      <c r="L116" s="330" t="n"/>
      <c r="M116" s="330" t="n"/>
      <c r="N116" s="330" t="n"/>
      <c r="O116" s="330" t="n"/>
      <c r="P116" s="330" t="n"/>
      <c r="Q116" s="234" t="n"/>
      <c r="R116" s="234" t="n"/>
      <c r="S116" s="234" t="n"/>
      <c r="T116" s="235" t="n"/>
      <c r="U116" s="235" t="n"/>
      <c r="V116" s="235" t="n"/>
      <c r="W116" s="235" t="n"/>
      <c r="X116" s="235" t="n"/>
      <c r="Y116" s="235" t="n"/>
      <c r="Z116" s="235" t="n"/>
      <c r="AA116" s="235" t="n"/>
      <c r="AB116" s="235" t="n"/>
      <c r="AC116" s="235" t="n"/>
      <c r="AD116" s="235" t="n"/>
      <c r="AE116" s="235" t="n"/>
      <c r="AF116" s="235" t="n"/>
      <c r="AG116" s="235" t="n"/>
      <c r="AH116" s="235" t="n"/>
      <c r="AI116" s="235" t="n"/>
      <c r="AJ116" s="235" t="n"/>
      <c r="AK116" s="235" t="n"/>
      <c r="AL116" s="235" t="n"/>
      <c r="AM116" s="235" t="n"/>
      <c r="AN116" s="235" t="n"/>
      <c r="AO116" s="235" t="n"/>
      <c r="AP116" s="235" t="n"/>
      <c r="AQ116" s="235" t="n"/>
      <c r="AR116" s="235" t="n"/>
      <c r="AS116" s="235" t="n"/>
      <c r="AT116" s="235" t="n"/>
      <c r="AU116" s="235" t="n"/>
      <c r="AV116" s="235" t="n"/>
      <c r="AW116" s="235" t="n"/>
      <c r="AX116" s="235" t="n"/>
      <c r="AY116" s="235" t="n"/>
      <c r="AZ116" s="235" t="n"/>
      <c r="BA116" s="235" t="n"/>
      <c r="BB116" s="235" t="n"/>
      <c r="BC116" s="235" t="n"/>
      <c r="BD116" s="235" t="n"/>
      <c r="BE116" s="235" t="n"/>
      <c r="BF116" s="235" t="n"/>
      <c r="BG116" s="235" t="n"/>
      <c r="BH116" s="235" t="n"/>
      <c r="BI116" s="235" t="n"/>
      <c r="BJ116" s="235" t="n"/>
      <c r="BK116" s="235" t="n"/>
      <c r="BL116" s="235" t="n"/>
      <c r="BM116" s="235" t="n"/>
      <c r="BN116" s="235" t="n"/>
      <c r="BO116" s="235" t="n"/>
      <c r="BP116" s="235" t="n"/>
      <c r="BQ116" s="235" t="n"/>
      <c r="BR116" s="235" t="n"/>
      <c r="BS116" s="235" t="n"/>
      <c r="BT116" s="235" t="n"/>
      <c r="BU116" s="235" t="n"/>
      <c r="BV116" s="235" t="n"/>
      <c r="BW116" s="235" t="n"/>
      <c r="BX116" s="909" t="n"/>
      <c r="BY116" s="909" t="n"/>
      <c r="BZ116" s="909" t="n"/>
      <c r="CA116" s="911">
        <f>IF(D116&lt;=C116,"","* Las consejerías realizadas en Espacios Amigables NO DEBEN ser mayor al Total de Actividades. ")</f>
        <v/>
      </c>
      <c r="CB116" s="374" t="n"/>
      <c r="CC116" s="374" t="n"/>
      <c r="CD116" s="374" t="n"/>
      <c r="CE116" s="374" t="n"/>
      <c r="CF116" s="374" t="n"/>
      <c r="CJ116" s="912">
        <f>IF(D116&lt;=C116,0,1)</f>
        <v/>
      </c>
    </row>
    <row r="117">
      <c r="A117" s="9589" t="n"/>
      <c r="B117" s="8051" t="inlineStr">
        <is>
          <t>Prevención de violencia</t>
        </is>
      </c>
      <c r="C117" s="3319" t="n"/>
      <c r="D117" s="3319" t="n"/>
      <c r="E117" s="218">
        <f>$CA117</f>
        <v/>
      </c>
      <c r="F117" s="330" t="n"/>
      <c r="G117" s="330" t="n"/>
      <c r="H117" s="330" t="n"/>
      <c r="I117" s="330" t="n"/>
      <c r="J117" s="330" t="n"/>
      <c r="K117" s="330" t="n"/>
      <c r="L117" s="330" t="n"/>
      <c r="M117" s="330" t="n"/>
      <c r="N117" s="330" t="n"/>
      <c r="O117" s="330" t="n"/>
      <c r="P117" s="330" t="n"/>
      <c r="Q117" s="234" t="n"/>
      <c r="R117" s="234" t="n"/>
      <c r="S117" s="234" t="n"/>
      <c r="T117" s="235" t="n"/>
      <c r="U117" s="235" t="n"/>
      <c r="V117" s="235" t="n"/>
      <c r="W117" s="235" t="n"/>
      <c r="X117" s="235" t="n"/>
      <c r="Y117" s="235" t="n"/>
      <c r="Z117" s="235" t="n"/>
      <c r="AA117" s="235" t="n"/>
      <c r="AB117" s="235" t="n"/>
      <c r="AC117" s="235" t="n"/>
      <c r="AD117" s="235" t="n"/>
      <c r="AE117" s="235" t="n"/>
      <c r="AF117" s="235" t="n"/>
      <c r="AG117" s="235" t="n"/>
      <c r="AH117" s="235" t="n"/>
      <c r="AI117" s="235" t="n"/>
      <c r="AJ117" s="235" t="n"/>
      <c r="AK117" s="235" t="n"/>
      <c r="AL117" s="235" t="n"/>
      <c r="AM117" s="235" t="n"/>
      <c r="AN117" s="235" t="n"/>
      <c r="AO117" s="235" t="n"/>
      <c r="AP117" s="235" t="n"/>
      <c r="AQ117" s="235" t="n"/>
      <c r="AR117" s="235" t="n"/>
      <c r="AS117" s="235" t="n"/>
      <c r="AT117" s="235" t="n"/>
      <c r="AU117" s="235" t="n"/>
      <c r="AV117" s="235" t="n"/>
      <c r="AW117" s="235" t="n"/>
      <c r="AX117" s="235" t="n"/>
      <c r="AY117" s="235" t="n"/>
      <c r="AZ117" s="235" t="n"/>
      <c r="BA117" s="235" t="n"/>
      <c r="BB117" s="235" t="n"/>
      <c r="BC117" s="235" t="n"/>
      <c r="BD117" s="235" t="n"/>
      <c r="BE117" s="235" t="n"/>
      <c r="BF117" s="235" t="n"/>
      <c r="BG117" s="235" t="n"/>
      <c r="BH117" s="235" t="n"/>
      <c r="BI117" s="235" t="n"/>
      <c r="BJ117" s="235" t="n"/>
      <c r="BK117" s="235" t="n"/>
      <c r="BL117" s="235" t="n"/>
      <c r="BM117" s="235" t="n"/>
      <c r="BN117" s="235" t="n"/>
      <c r="BO117" s="235" t="n"/>
      <c r="BP117" s="235" t="n"/>
      <c r="BQ117" s="235" t="n"/>
      <c r="BR117" s="235" t="n"/>
      <c r="BS117" s="235" t="n"/>
      <c r="BT117" s="235" t="n"/>
      <c r="BU117" s="235" t="n"/>
      <c r="BV117" s="235" t="n"/>
      <c r="BW117" s="235" t="n"/>
      <c r="BX117" s="909" t="n"/>
      <c r="BY117" s="909" t="n"/>
      <c r="BZ117" s="909" t="n"/>
      <c r="CA117" s="911">
        <f>IF(D117&lt;=C117,"","* Las consejerías realizadas en Espacios Amigables NO DEBEN ser mayor al Total de Actividades. ")</f>
        <v/>
      </c>
      <c r="CB117" s="374" t="n"/>
      <c r="CC117" s="374" t="n"/>
      <c r="CD117" s="374" t="n"/>
      <c r="CE117" s="374" t="n"/>
      <c r="CF117" s="374" t="n"/>
      <c r="CJ117" s="912">
        <f>IF(D117&lt;=C117,0,1)</f>
        <v/>
      </c>
    </row>
    <row r="118" ht="18" customHeight="1" s="8286">
      <c r="A118" s="8616" t="inlineStr">
        <is>
          <t>SECCIÓN A.4: CONSEJERÍAS INDIVIDUALES  CON ENTREGA DE PRESERVATIVOS (INCLUIDAS EN SECCIÓN A.1)</t>
        </is>
      </c>
    </row>
    <row r="119" ht="15" customHeight="1" s="8286">
      <c r="A119" s="9939" t="inlineStr">
        <is>
          <t>ACTIVIDAD</t>
        </is>
      </c>
      <c r="B119" s="9630" t="n"/>
      <c r="C119" s="9939" t="inlineStr">
        <is>
          <t>TOTAL</t>
        </is>
      </c>
      <c r="D119" s="9602" t="n"/>
      <c r="E119" s="9630" t="n"/>
      <c r="F119" s="10343" t="inlineStr">
        <is>
          <t>RANGO ETARIO Y SEXO</t>
        </is>
      </c>
      <c r="G119" s="9584" t="n"/>
      <c r="H119" s="9584" t="n"/>
      <c r="I119" s="9584" t="n"/>
      <c r="J119" s="9584" t="n"/>
      <c r="K119" s="9584" t="n"/>
      <c r="L119" s="9584" t="n"/>
      <c r="M119" s="9584" t="n"/>
      <c r="N119" s="9584" t="n"/>
      <c r="O119" s="9584" t="n"/>
      <c r="P119" s="9584" t="n"/>
      <c r="Q119" s="9584" t="n"/>
      <c r="R119" s="9584" t="n"/>
      <c r="S119" s="9584" t="n"/>
      <c r="T119" s="9584" t="n"/>
      <c r="U119" s="9584" t="n"/>
      <c r="V119" s="9584" t="n"/>
      <c r="W119" s="9584" t="n"/>
      <c r="X119" s="9584" t="n"/>
      <c r="Y119" s="9584" t="n"/>
      <c r="Z119" s="9584" t="n"/>
      <c r="AA119" s="9584" t="n"/>
      <c r="AB119" s="9584" t="n"/>
      <c r="AC119" s="9584" t="n"/>
      <c r="AD119" s="9584" t="n"/>
      <c r="AE119" s="9584" t="n"/>
      <c r="AF119" s="9584" t="n"/>
      <c r="AG119" s="9584" t="n"/>
      <c r="AH119" s="9584" t="n"/>
      <c r="AI119" s="9584" t="n"/>
      <c r="AJ119" s="10344" t="inlineStr">
        <is>
          <t>14 a 18 años</t>
        </is>
      </c>
      <c r="AK119" s="9886" t="n"/>
      <c r="AL119" s="10341" t="inlineStr">
        <is>
          <t>Espacios Amigables/ Adolescentes</t>
        </is>
      </c>
    </row>
    <row r="120">
      <c r="A120" s="642" t="n"/>
      <c r="B120" s="9718" t="n"/>
      <c r="C120" s="9638" t="n"/>
      <c r="D120" s="9697" t="n"/>
      <c r="E120" s="9639" t="n"/>
      <c r="F120" s="8400" t="inlineStr">
        <is>
          <t>10 - 14 años</t>
        </is>
      </c>
      <c r="G120" s="9582" t="n"/>
      <c r="H120" s="8400" t="inlineStr">
        <is>
          <t>15-19 años</t>
        </is>
      </c>
      <c r="I120" s="9582" t="n"/>
      <c r="J120" s="8400" t="inlineStr">
        <is>
          <t>20-24 años</t>
        </is>
      </c>
      <c r="K120" s="9582" t="n"/>
      <c r="L120" s="8400" t="inlineStr">
        <is>
          <t>25-29 años</t>
        </is>
      </c>
      <c r="M120" s="9582" t="n"/>
      <c r="N120" s="8400" t="inlineStr">
        <is>
          <t>30-34 años</t>
        </is>
      </c>
      <c r="O120" s="9582" t="n"/>
      <c r="P120" s="8400" t="inlineStr">
        <is>
          <t>35-39 años</t>
        </is>
      </c>
      <c r="Q120" s="9582" t="n"/>
      <c r="R120" s="8400" t="inlineStr">
        <is>
          <t>40-44 años</t>
        </is>
      </c>
      <c r="S120" s="9582" t="n"/>
      <c r="T120" s="8400" t="inlineStr">
        <is>
          <t>45-49 años</t>
        </is>
      </c>
      <c r="U120" s="9582" t="n"/>
      <c r="V120" s="8400" t="inlineStr">
        <is>
          <t>50-54 años</t>
        </is>
      </c>
      <c r="W120" s="9582" t="n"/>
      <c r="X120" s="8400" t="inlineStr">
        <is>
          <t>55-59 años</t>
        </is>
      </c>
      <c r="Y120" s="9582" t="n"/>
      <c r="Z120" s="8400" t="inlineStr">
        <is>
          <t>60-64 años</t>
        </is>
      </c>
      <c r="AA120" s="9582" t="n"/>
      <c r="AB120" s="8400" t="inlineStr">
        <is>
          <t>65-69 años</t>
        </is>
      </c>
      <c r="AC120" s="9582" t="n"/>
      <c r="AD120" s="8400" t="inlineStr">
        <is>
          <t>70-74 años</t>
        </is>
      </c>
      <c r="AE120" s="9582" t="n"/>
      <c r="AF120" s="8400" t="inlineStr">
        <is>
          <t>75- 79 años</t>
        </is>
      </c>
      <c r="AG120" s="9582" t="n"/>
      <c r="AH120" s="10095" t="inlineStr">
        <is>
          <t>80 y más años</t>
        </is>
      </c>
      <c r="AI120" s="9584" t="n"/>
      <c r="AJ120" s="9890" t="n"/>
      <c r="AK120" s="9865" t="n"/>
      <c r="AL120" s="10342" t="n"/>
    </row>
    <row r="121">
      <c r="A121" s="9638" t="n"/>
      <c r="B121" s="9639" t="n"/>
      <c r="C121" s="3088" t="inlineStr">
        <is>
          <t>Ambos Sexos</t>
        </is>
      </c>
      <c r="D121" s="3091" t="inlineStr">
        <is>
          <t>Hombres</t>
        </is>
      </c>
      <c r="E121" s="8525" t="inlineStr">
        <is>
          <t>Mujeres</t>
        </is>
      </c>
      <c r="F121" s="3088" t="inlineStr">
        <is>
          <t>Hombres</t>
        </is>
      </c>
      <c r="G121" s="8525" t="inlineStr">
        <is>
          <t>Mujeres</t>
        </is>
      </c>
      <c r="H121" s="3088" t="inlineStr">
        <is>
          <t>Hombres</t>
        </is>
      </c>
      <c r="I121" s="8525" t="inlineStr">
        <is>
          <t>Mujeres</t>
        </is>
      </c>
      <c r="J121" s="3088" t="inlineStr">
        <is>
          <t>Hombres</t>
        </is>
      </c>
      <c r="K121" s="8525" t="inlineStr">
        <is>
          <t>Mujeres</t>
        </is>
      </c>
      <c r="L121" s="3088" t="inlineStr">
        <is>
          <t>Hombres</t>
        </is>
      </c>
      <c r="M121" s="8525" t="inlineStr">
        <is>
          <t>Mujeres</t>
        </is>
      </c>
      <c r="N121" s="3088" t="inlineStr">
        <is>
          <t>Hombres</t>
        </is>
      </c>
      <c r="O121" s="8525" t="inlineStr">
        <is>
          <t>Mujeres</t>
        </is>
      </c>
      <c r="P121" s="3088" t="inlineStr">
        <is>
          <t>Hombres</t>
        </is>
      </c>
      <c r="Q121" s="8525" t="inlineStr">
        <is>
          <t>Mujeres</t>
        </is>
      </c>
      <c r="R121" s="3088" t="inlineStr">
        <is>
          <t>Hombres</t>
        </is>
      </c>
      <c r="S121" s="8525" t="inlineStr">
        <is>
          <t>Mujeres</t>
        </is>
      </c>
      <c r="T121" s="3088" t="inlineStr">
        <is>
          <t>Hombres</t>
        </is>
      </c>
      <c r="U121" s="8525" t="inlineStr">
        <is>
          <t>Mujeres</t>
        </is>
      </c>
      <c r="V121" s="3088" t="inlineStr">
        <is>
          <t>Hombres</t>
        </is>
      </c>
      <c r="W121" s="8525" t="inlineStr">
        <is>
          <t>Mujeres</t>
        </is>
      </c>
      <c r="X121" s="3088" t="inlineStr">
        <is>
          <t>Hombres</t>
        </is>
      </c>
      <c r="Y121" s="8525" t="inlineStr">
        <is>
          <t>Mujeres</t>
        </is>
      </c>
      <c r="Z121" s="3088" t="inlineStr">
        <is>
          <t>Hombres</t>
        </is>
      </c>
      <c r="AA121" s="8525" t="inlineStr">
        <is>
          <t>Mujeres</t>
        </is>
      </c>
      <c r="AB121" s="3088" t="inlineStr">
        <is>
          <t>Hombres</t>
        </is>
      </c>
      <c r="AC121" s="8525" t="inlineStr">
        <is>
          <t>Mujeres</t>
        </is>
      </c>
      <c r="AD121" s="3088" t="inlineStr">
        <is>
          <t>Hombres</t>
        </is>
      </c>
      <c r="AE121" s="8525" t="inlineStr">
        <is>
          <t>Mujeres</t>
        </is>
      </c>
      <c r="AF121" s="3088" t="inlineStr">
        <is>
          <t>Hombres</t>
        </is>
      </c>
      <c r="AG121" s="8525" t="inlineStr">
        <is>
          <t>Mujeres</t>
        </is>
      </c>
      <c r="AH121" s="3088" t="inlineStr">
        <is>
          <t>Hombres</t>
        </is>
      </c>
      <c r="AI121" s="8519" t="inlineStr">
        <is>
          <t>Mujeres</t>
        </is>
      </c>
      <c r="AJ121" s="3091" t="inlineStr">
        <is>
          <t>Hombres</t>
        </is>
      </c>
      <c r="AK121" s="8289" t="inlineStr">
        <is>
          <t>Mujeres</t>
        </is>
      </c>
      <c r="AL121" s="10088" t="n"/>
    </row>
    <row r="122">
      <c r="A122" s="10236" t="inlineStr">
        <is>
          <t xml:space="preserve">Consejería con entrega de preservativos </t>
        </is>
      </c>
      <c r="B122" s="3271" t="inlineStr">
        <is>
          <t>Condones masculinos</t>
        </is>
      </c>
      <c r="C122" s="3094">
        <f>SUM(D122:E122)</f>
        <v/>
      </c>
      <c r="D122" s="3176">
        <f>+F122+H122+J122+L122+N122+P122+R122+T122+V122+X122+Z122+AB122+AD122+AF122+AH122</f>
        <v/>
      </c>
      <c r="E122" s="3272">
        <f>+G122+I122+K122+M122+O122+Q122+S122+U122+W122+Y122+AA122+AC122+AE122+AG122+AI122</f>
        <v/>
      </c>
      <c r="F122" s="3123" t="n"/>
      <c r="G122" s="3126" t="n">
        <v>2</v>
      </c>
      <c r="H122" s="3123" t="n">
        <v>2</v>
      </c>
      <c r="I122" s="3126" t="n"/>
      <c r="J122" s="3123" t="n"/>
      <c r="K122" s="3126" t="n"/>
      <c r="L122" s="3123" t="n"/>
      <c r="M122" s="3126" t="n"/>
      <c r="N122" s="3123" t="n"/>
      <c r="O122" s="3126" t="n"/>
      <c r="P122" s="3123" t="n"/>
      <c r="Q122" s="3126" t="n"/>
      <c r="R122" s="3123" t="n"/>
      <c r="S122" s="3126" t="n"/>
      <c r="T122" s="3123" t="n"/>
      <c r="U122" s="3126" t="n"/>
      <c r="V122" s="3123" t="n"/>
      <c r="W122" s="3126" t="n"/>
      <c r="X122" s="3123" t="n"/>
      <c r="Y122" s="3126" t="n"/>
      <c r="Z122" s="3123" t="n"/>
      <c r="AA122" s="3126" t="n"/>
      <c r="AB122" s="3123" t="n"/>
      <c r="AC122" s="3126" t="n"/>
      <c r="AD122" s="3123" t="n"/>
      <c r="AE122" s="3126" t="n"/>
      <c r="AF122" s="3123" t="n"/>
      <c r="AG122" s="3126" t="n"/>
      <c r="AH122" s="3274" t="n"/>
      <c r="AI122" s="3275" t="n"/>
      <c r="AJ122" s="3320" t="n">
        <v>2</v>
      </c>
      <c r="AK122" s="3321" t="n">
        <v>0</v>
      </c>
      <c r="AL122" s="3276" t="n">
        <v>0</v>
      </c>
      <c r="AM122" s="218">
        <f>CA122&amp;CB122&amp;CC122</f>
        <v/>
      </c>
      <c r="AN122" s="330" t="n"/>
      <c r="AO122" s="330" t="n"/>
      <c r="AP122" s="330" t="n"/>
      <c r="AQ122" s="330" t="n"/>
      <c r="AR122" s="330" t="n"/>
      <c r="AS122" s="330" t="n"/>
      <c r="AT122" s="330" t="n"/>
      <c r="AU122" s="330" t="n"/>
      <c r="AV122" s="330" t="n"/>
      <c r="AW122" s="330" t="n"/>
      <c r="AX122" s="330" t="n"/>
      <c r="AY122" s="234" t="n"/>
      <c r="AZ122" s="234" t="n"/>
      <c r="BA122" s="234" t="n"/>
      <c r="BB122" s="235" t="n"/>
      <c r="BC122" s="235" t="n"/>
      <c r="BD122" s="235" t="n"/>
      <c r="BE122" s="235" t="n"/>
      <c r="BF122" s="235" t="n"/>
      <c r="BG122" s="235" t="n"/>
      <c r="BH122" s="235" t="n"/>
      <c r="BI122" s="235" t="n"/>
      <c r="BJ122" s="235" t="n"/>
      <c r="BK122" s="235" t="n"/>
      <c r="BL122" s="235" t="n"/>
      <c r="BM122" s="235" t="n"/>
      <c r="BN122" s="235" t="n"/>
      <c r="BO122" s="235" t="n"/>
      <c r="BP122" s="235" t="n"/>
      <c r="BQ122" s="235" t="n"/>
      <c r="BR122" s="235" t="n"/>
      <c r="BS122" s="235" t="n"/>
      <c r="BT122" s="235" t="n"/>
      <c r="BU122" s="235" t="n"/>
      <c r="BV122" s="235" t="n"/>
      <c r="BW122" s="235" t="n"/>
      <c r="BX122" s="235" t="n"/>
      <c r="BY122" s="235" t="n"/>
      <c r="CA122" s="219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 t="n"/>
      <c r="CE122" s="374" t="n"/>
      <c r="CF122" s="374" t="n"/>
      <c r="CJ122" s="221">
        <f>IF(AND(SUM(F122+H122)&gt;0,(AJ122="")),1,IF(AJ122&gt;F122+H122,1,0))</f>
        <v/>
      </c>
      <c r="CK122" s="221">
        <f>IF(AND(SUM(G122+I122)&gt;0,(AK122="")),1,IF(AK122&gt;(G122+I122),1,0))</f>
        <v/>
      </c>
      <c r="CL122" s="221">
        <f>IF(AND($C122&lt;&gt;0,AL122=""),1,IF(AL122&gt;$C122,1,0))</f>
        <v/>
      </c>
      <c r="CM122" s="235" t="n"/>
      <c r="CN122" s="235" t="n"/>
      <c r="CO122" s="235" t="n"/>
      <c r="CP122" s="235" t="n"/>
      <c r="CQ122" s="235" t="n"/>
      <c r="CR122" s="235" t="n"/>
      <c r="CS122" s="235" t="n"/>
      <c r="CT122" s="235" t="n"/>
      <c r="CU122" s="235" t="n"/>
      <c r="CV122" s="235" t="n"/>
      <c r="CW122" s="235" t="n"/>
      <c r="CX122" s="235" t="n"/>
      <c r="CY122" s="235" t="n"/>
      <c r="CZ122" s="235" t="n"/>
      <c r="DA122" s="235" t="n"/>
      <c r="DB122" s="235" t="n"/>
      <c r="DC122" s="235" t="n"/>
      <c r="DD122" s="235" t="n"/>
      <c r="DE122" s="909" t="n"/>
      <c r="DF122" s="909" t="n"/>
      <c r="DG122" s="909" t="n"/>
    </row>
    <row r="123">
      <c r="A123" s="9588" t="n"/>
      <c r="B123" s="3279" t="inlineStr">
        <is>
          <t>Condones femeninos</t>
        </is>
      </c>
      <c r="C123" s="3103">
        <f>SUM(D123:E123)</f>
        <v/>
      </c>
      <c r="D123" s="3179">
        <f>+F123+H123+J123+L123+N123+P123+R123+T123+V123+X123+Z123+AB123+AD123+AF123+AH123</f>
        <v/>
      </c>
      <c r="E123" s="3280">
        <f>+G123+I123+K123+M123+O123+Q123+S123+U123+W123+Y123+AA123+AC123+AE123+AG123+AI123</f>
        <v/>
      </c>
      <c r="F123" s="3108" t="n"/>
      <c r="G123" s="3101" t="n"/>
      <c r="H123" s="3108" t="n"/>
      <c r="I123" s="3101" t="n"/>
      <c r="J123" s="3108" t="n"/>
      <c r="K123" s="3101" t="n"/>
      <c r="L123" s="3108" t="n"/>
      <c r="M123" s="3101" t="n"/>
      <c r="N123" s="3108" t="n"/>
      <c r="O123" s="3101" t="n"/>
      <c r="P123" s="3108" t="n"/>
      <c r="Q123" s="3101" t="n"/>
      <c r="R123" s="3108" t="n"/>
      <c r="S123" s="3101" t="n"/>
      <c r="T123" s="3108" t="n"/>
      <c r="U123" s="3101" t="n"/>
      <c r="V123" s="3108" t="n"/>
      <c r="W123" s="3101" t="n"/>
      <c r="X123" s="3108" t="n"/>
      <c r="Y123" s="3101" t="n"/>
      <c r="Z123" s="3108" t="n"/>
      <c r="AA123" s="3101" t="n"/>
      <c r="AB123" s="3108" t="n"/>
      <c r="AC123" s="3101" t="n"/>
      <c r="AD123" s="3108" t="n"/>
      <c r="AE123" s="3101" t="n"/>
      <c r="AF123" s="3108" t="n"/>
      <c r="AG123" s="3101" t="n"/>
      <c r="AH123" s="3281" t="n"/>
      <c r="AI123" s="880" t="n"/>
      <c r="AJ123" s="1128" t="n">
        <v>0</v>
      </c>
      <c r="AK123" s="3292" t="n">
        <v>0</v>
      </c>
      <c r="AL123" s="3282" t="n">
        <v>0</v>
      </c>
      <c r="AM123" s="218">
        <f>CA123&amp;CB123&amp;CC123</f>
        <v/>
      </c>
      <c r="AN123" s="330" t="n"/>
      <c r="AO123" s="330" t="n"/>
      <c r="AP123" s="330" t="n"/>
      <c r="AQ123" s="330" t="n"/>
      <c r="AR123" s="330" t="n"/>
      <c r="AS123" s="330" t="n"/>
      <c r="AT123" s="330" t="n"/>
      <c r="AU123" s="330" t="n"/>
      <c r="AV123" s="330" t="n"/>
      <c r="AW123" s="330" t="n"/>
      <c r="AX123" s="330" t="n"/>
      <c r="AY123" s="234" t="n"/>
      <c r="AZ123" s="234" t="n"/>
      <c r="BA123" s="234" t="n"/>
      <c r="BB123" s="235" t="n"/>
      <c r="BC123" s="235" t="n"/>
      <c r="BD123" s="235" t="n"/>
      <c r="BE123" s="235" t="n"/>
      <c r="BF123" s="235" t="n"/>
      <c r="BG123" s="235" t="n"/>
      <c r="BH123" s="235" t="n"/>
      <c r="BI123" s="235" t="n"/>
      <c r="BJ123" s="235" t="n"/>
      <c r="BK123" s="235" t="n"/>
      <c r="BL123" s="235" t="n"/>
      <c r="BM123" s="235" t="n"/>
      <c r="BN123" s="235" t="n"/>
      <c r="BO123" s="235" t="n"/>
      <c r="BP123" s="235" t="n"/>
      <c r="BQ123" s="235" t="n"/>
      <c r="BR123" s="235" t="n"/>
      <c r="BS123" s="235" t="n"/>
      <c r="BT123" s="235" t="n"/>
      <c r="BU123" s="235" t="n"/>
      <c r="BV123" s="235" t="n"/>
      <c r="BW123" s="235" t="n"/>
      <c r="BX123" s="235" t="n"/>
      <c r="BY123" s="235" t="n"/>
      <c r="CA123" s="219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 t="n"/>
      <c r="CE123" s="374" t="n"/>
      <c r="CF123" s="374" t="n"/>
      <c r="CJ123" s="221">
        <f>IF(AND(SUM(F123+H123)&gt;0,(AJ123="")),1,IF(AJ123&gt;F123+H123,1,0))</f>
        <v/>
      </c>
      <c r="CK123" s="221">
        <f>IF(AND(SUM(G123+I123)&gt;0,(AK123="")),1,IF(AK123&gt;(G123+I123),1,0))</f>
        <v/>
      </c>
      <c r="CL123" s="221">
        <f>IF(AND($C123&lt;&gt;0,AL123=""),1,IF(AL123&gt;$C123,1,0))</f>
        <v/>
      </c>
    </row>
    <row r="124">
      <c r="A124" s="9589" t="n"/>
      <c r="B124" s="7763" t="inlineStr">
        <is>
          <t>Ambos tipos de condones</t>
        </is>
      </c>
      <c r="C124" s="1176">
        <f>SUM(D124:E124)</f>
        <v/>
      </c>
      <c r="D124" s="1177">
        <f>+F124+H124+J124+L124+N124+P124+R124+T124+V124+X124+Z124+AB124+AD124+AF124+AH124</f>
        <v/>
      </c>
      <c r="E124" s="3285">
        <f>+G124+I124+K124+M124+O124+Q124+S124+U124+W124+Y124+AA124+AC124+AE124+AG124+AI124</f>
        <v/>
      </c>
      <c r="F124" s="1137" t="n"/>
      <c r="G124" s="1139" t="n"/>
      <c r="H124" s="1137" t="n">
        <v>2</v>
      </c>
      <c r="I124" s="1139" t="n"/>
      <c r="J124" s="1137" t="n"/>
      <c r="K124" s="1139" t="n"/>
      <c r="L124" s="1137" t="n"/>
      <c r="M124" s="1139" t="n"/>
      <c r="N124" s="1137" t="n"/>
      <c r="O124" s="1139" t="n"/>
      <c r="P124" s="1137" t="n"/>
      <c r="Q124" s="1139" t="n"/>
      <c r="R124" s="1137" t="n"/>
      <c r="S124" s="1139" t="n"/>
      <c r="T124" s="1137" t="n"/>
      <c r="U124" s="1139" t="n"/>
      <c r="V124" s="1137" t="n"/>
      <c r="W124" s="1139" t="n"/>
      <c r="X124" s="1137" t="n"/>
      <c r="Y124" s="1139" t="n"/>
      <c r="Z124" s="1137" t="n"/>
      <c r="AA124" s="1139" t="n"/>
      <c r="AB124" s="1137" t="n"/>
      <c r="AC124" s="1139" t="n"/>
      <c r="AD124" s="1137" t="n"/>
      <c r="AE124" s="1139" t="n"/>
      <c r="AF124" s="1137" t="n"/>
      <c r="AG124" s="1139" t="n"/>
      <c r="AH124" s="1151" t="n"/>
      <c r="AI124" s="1143" t="n"/>
      <c r="AJ124" s="1142" t="n">
        <v>1</v>
      </c>
      <c r="AK124" s="1141" t="n">
        <v>0</v>
      </c>
      <c r="AL124" s="1208" t="n">
        <v>0</v>
      </c>
      <c r="AM124" s="218">
        <f>CA124&amp;CB124&amp;CC124</f>
        <v/>
      </c>
      <c r="AN124" s="330" t="n"/>
      <c r="AO124" s="330" t="n"/>
      <c r="AP124" s="330" t="n"/>
      <c r="AQ124" s="330" t="n"/>
      <c r="AR124" s="330" t="n"/>
      <c r="AS124" s="330" t="n"/>
      <c r="AT124" s="330" t="n"/>
      <c r="AU124" s="330" t="n"/>
      <c r="AV124" s="330" t="n"/>
      <c r="AW124" s="330" t="n"/>
      <c r="AX124" s="330" t="n"/>
      <c r="AY124" s="234" t="n"/>
      <c r="AZ124" s="234" t="n"/>
      <c r="BA124" s="234" t="n"/>
      <c r="BB124" s="235" t="n"/>
      <c r="BC124" s="235" t="n"/>
      <c r="BD124" s="235" t="n"/>
      <c r="BE124" s="235" t="n"/>
      <c r="BF124" s="235" t="n"/>
      <c r="BG124" s="235" t="n"/>
      <c r="BH124" s="235" t="n"/>
      <c r="BI124" s="235" t="n"/>
      <c r="BJ124" s="235" t="n"/>
      <c r="BK124" s="235" t="n"/>
      <c r="BL124" s="235" t="n"/>
      <c r="BM124" s="235" t="n"/>
      <c r="BN124" s="235" t="n"/>
      <c r="BO124" s="235" t="n"/>
      <c r="BP124" s="235" t="n"/>
      <c r="BQ124" s="235" t="n"/>
      <c r="BR124" s="235" t="n"/>
      <c r="BS124" s="235" t="n"/>
      <c r="BT124" s="235" t="n"/>
      <c r="BU124" s="235" t="n"/>
      <c r="BV124" s="235" t="n"/>
      <c r="BW124" s="235" t="n"/>
      <c r="BX124" s="235" t="n"/>
      <c r="BY124" s="235" t="n"/>
      <c r="CA124" s="219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 t="n"/>
      <c r="CE124" s="374" t="n"/>
      <c r="CF124" s="374" t="n"/>
      <c r="CJ124" s="221">
        <f>IF(AND(SUM(F124+H124)&gt;0,(AJ124="")),1,IF(AJ124&gt;F124+H124,1,0))</f>
        <v/>
      </c>
      <c r="CK124" s="221">
        <f>IF(AND(SUM(G124+I124)&gt;0,(AK124="")),1,IF(AK124&gt;(G124+I124),1,0))</f>
        <v/>
      </c>
      <c r="CL124" s="221">
        <f>IF(AND($C124&lt;&gt;0,AL124=""),1,IF(AL124&gt;$C124,1,0))</f>
        <v/>
      </c>
    </row>
    <row r="125" ht="18" customHeight="1" s="8286">
      <c r="A125" s="10345" t="inlineStr">
        <is>
          <t>SECCIÓN B: ACTIVIDADES DE PROMOCIÓN</t>
        </is>
      </c>
      <c r="B125" s="9602" t="n"/>
      <c r="C125" s="9602" t="n"/>
      <c r="D125" s="9602" t="n"/>
      <c r="E125" s="9602" t="n"/>
      <c r="F125" s="9602" t="n"/>
      <c r="G125" s="9602" t="n"/>
      <c r="H125" s="9602" t="n"/>
      <c r="I125" s="9602" t="n"/>
      <c r="J125" s="9602" t="n"/>
    </row>
    <row r="126" ht="18" customHeight="1" s="8286">
      <c r="A126" s="9689" t="inlineStr">
        <is>
          <t>SECCIÓN B.1: ACTIVIDADES DE PROMOCIÓN SEGÚN ESTRATEGIAS Y CONDICIONANTES ABORDADAS Y NÚMERO DE PARTICIPANTES</t>
        </is>
      </c>
      <c r="B126" s="9591" t="n"/>
      <c r="C126" s="9591" t="n"/>
      <c r="D126" s="9591" t="n"/>
      <c r="E126" s="9591" t="n"/>
      <c r="F126" s="9591" t="n"/>
      <c r="G126" s="9591" t="n"/>
      <c r="H126" s="9591" t="n"/>
      <c r="I126" s="9591" t="n"/>
      <c r="J126" s="9591" t="n"/>
    </row>
    <row r="127" ht="15" customHeight="1" s="8286">
      <c r="A127" s="9240" t="inlineStr">
        <is>
          <t>ACTIVIDADES</t>
        </is>
      </c>
      <c r="B127" s="9240" t="inlineStr">
        <is>
          <t>ESTRATEGIA, ESPACIOS O LÍNEAS DE ACCIÓN</t>
        </is>
      </c>
      <c r="C127" s="9240" t="inlineStr">
        <is>
          <t>TOTAL ACTIVIDADES</t>
        </is>
      </c>
      <c r="D127" s="9976" t="inlineStr">
        <is>
          <t>CONDICIONANTES ABORDADAS</t>
        </is>
      </c>
      <c r="E127" s="9584" t="n"/>
      <c r="F127" s="9584" t="n"/>
      <c r="G127" s="9584" t="n"/>
      <c r="H127" s="9584" t="n"/>
      <c r="I127" s="9584" t="n"/>
      <c r="J127" s="9584" t="n"/>
      <c r="K127" s="9584" t="n"/>
      <c r="L127" s="9584" t="n"/>
      <c r="M127" s="9595" t="n"/>
      <c r="N127" s="10346" t="inlineStr">
        <is>
          <t xml:space="preserve"> Determinantes Sociales de La Salud Abordadas - Chile Crece Contigo</t>
        </is>
      </c>
      <c r="O127" s="9920" t="inlineStr">
        <is>
          <t>Total Participantes</t>
        </is>
      </c>
    </row>
    <row r="128" ht="50.1" customHeight="1" s="8286">
      <c r="A128" s="9621" t="n"/>
      <c r="B128" s="9621" t="n"/>
      <c r="C128" s="9621" t="n"/>
      <c r="D128" s="8464" t="inlineStr">
        <is>
          <t>Actividad física</t>
        </is>
      </c>
      <c r="E128" s="7938" t="inlineStr">
        <is>
          <t xml:space="preserve">Alimentación </t>
        </is>
      </c>
      <c r="F128" s="7938" t="inlineStr">
        <is>
          <t>Ambiente libre de humo de tabaco</t>
        </is>
      </c>
      <c r="G128" s="7938" t="inlineStr">
        <is>
          <t>Factores protectores psicosociales</t>
        </is>
      </c>
      <c r="H128" s="7938" t="inlineStr">
        <is>
          <t>Factores protectores ambientales</t>
        </is>
      </c>
      <c r="I128" s="3322" t="inlineStr">
        <is>
          <t>Derechos humanos</t>
        </is>
      </c>
      <c r="J128" s="3322" t="inlineStr">
        <is>
          <t>Salud sexual y prevención de VIH/SIDA e ITS</t>
        </is>
      </c>
      <c r="K128" s="8622" t="inlineStr">
        <is>
          <t>Factores protectores psicosociales de pueblos originarios</t>
        </is>
      </c>
      <c r="L128" s="7976" t="inlineStr">
        <is>
          <t>Factores protectores psicosociales de migrantes</t>
        </is>
      </c>
      <c r="M128" s="3323" t="inlineStr">
        <is>
          <t>Factores protectores psicosociales PRAIS</t>
        </is>
      </c>
      <c r="N128" s="9641" t="n"/>
      <c r="O128" s="9641" t="n"/>
    </row>
    <row r="129">
      <c r="A129" s="10236" t="inlineStr">
        <is>
          <t xml:space="preserve">Eventos  masivos </t>
        </is>
      </c>
      <c r="B129" s="8537" t="inlineStr">
        <is>
          <t>Comunas, comunidades</t>
        </is>
      </c>
      <c r="C129" s="3324">
        <f>SUM(D129:M129)</f>
        <v/>
      </c>
      <c r="D129" s="3123" t="n"/>
      <c r="E129" s="3124" t="n"/>
      <c r="F129" s="3124" t="n"/>
      <c r="G129" s="3124" t="n"/>
      <c r="H129" s="3124" t="n"/>
      <c r="I129" s="3321" t="n"/>
      <c r="J129" s="3126" t="n"/>
      <c r="K129" s="3273" t="n"/>
      <c r="L129" s="3325" t="n"/>
      <c r="M129" s="3326" t="n"/>
      <c r="N129" s="3277" t="n"/>
      <c r="O129" s="3325" t="n"/>
      <c r="P129" s="226">
        <f>CA129</f>
        <v/>
      </c>
      <c r="CA129" s="219">
        <f>IF(AND(C129&gt;0,O129="")," * No olvide digitar la variable Total Participantes. Digite CERO si no tiene. ","")</f>
        <v/>
      </c>
      <c r="CJ129" s="378">
        <f>IF(AND(C129&gt;0,O129=""),1,0)</f>
        <v/>
      </c>
    </row>
    <row r="130">
      <c r="A130" s="9588" t="n"/>
      <c r="B130" s="8538" t="inlineStr">
        <is>
          <t>Espacios amigables en APS</t>
        </is>
      </c>
      <c r="C130" s="3327">
        <f>SUM(D130:M130)</f>
        <v/>
      </c>
      <c r="D130" s="3108" t="n"/>
      <c r="E130" s="882" t="n"/>
      <c r="F130" s="882" t="n"/>
      <c r="G130" s="882" t="n"/>
      <c r="H130" s="882" t="n"/>
      <c r="I130" s="3292" t="n"/>
      <c r="J130" s="3101" t="n"/>
      <c r="K130" s="1125" t="n"/>
      <c r="L130" s="3172" t="n"/>
      <c r="M130" s="3328" t="n"/>
      <c r="N130" s="3100" t="n"/>
      <c r="O130" s="3172" t="n"/>
      <c r="P130" s="226">
        <f>CA130</f>
        <v/>
      </c>
      <c r="CA130" s="219">
        <f>IF(AND(C130&gt;0,O130="")," * No olvide digitar la variable Total Participantes. Digite CERO si no tiene. ","")</f>
        <v/>
      </c>
      <c r="CJ130" s="378">
        <f>IF(AND(C130&gt;0,O130=""),1,0)</f>
        <v/>
      </c>
    </row>
    <row r="131">
      <c r="A131" s="9588" t="n"/>
      <c r="B131" s="8538" t="inlineStr">
        <is>
          <t>Lugares de trabajo</t>
        </is>
      </c>
      <c r="C131" s="3327">
        <f>SUM(D131:M131)</f>
        <v/>
      </c>
      <c r="D131" s="3108" t="n"/>
      <c r="E131" s="882" t="n"/>
      <c r="F131" s="882" t="n"/>
      <c r="G131" s="882" t="n"/>
      <c r="H131" s="882" t="n"/>
      <c r="I131" s="3292" t="n"/>
      <c r="J131" s="3101" t="n"/>
      <c r="K131" s="1125" t="n"/>
      <c r="L131" s="3172" t="n"/>
      <c r="M131" s="3328" t="n"/>
      <c r="N131" s="3100" t="n"/>
      <c r="O131" s="3172" t="n"/>
      <c r="P131" s="226">
        <f>CA131</f>
        <v/>
      </c>
      <c r="CA131" s="219">
        <f>IF(AND(C131&gt;0,O131="")," * No olvide digitar la variable Total Participantes. Digite CERO si no tiene. ","")</f>
        <v/>
      </c>
      <c r="CJ131" s="378">
        <f>IF(AND(C131&gt;0,O131=""),1,0)</f>
        <v/>
      </c>
    </row>
    <row r="132">
      <c r="A132" s="9588" t="n"/>
      <c r="B132" s="8538" t="inlineStr">
        <is>
          <t>Establecimientos educación</t>
        </is>
      </c>
      <c r="C132" s="3229">
        <f>SUM(D132:M132)</f>
        <v/>
      </c>
      <c r="D132" s="638" t="n"/>
      <c r="E132" s="882" t="n"/>
      <c r="F132" s="882" t="n"/>
      <c r="G132" s="882" t="n"/>
      <c r="H132" s="141" t="n"/>
      <c r="I132" s="882" t="n"/>
      <c r="J132" s="3101" t="n"/>
      <c r="K132" s="1125" t="n"/>
      <c r="L132" s="702" t="n"/>
      <c r="M132" s="3328" t="n"/>
      <c r="N132" s="1125" t="n"/>
      <c r="O132" s="702" t="n"/>
      <c r="P132" s="226">
        <f>CA132</f>
        <v/>
      </c>
      <c r="CA132" s="219">
        <f>IF(AND(C132&gt;0,O132="")," * No olvide digitar la variable Total Participantes. Digite CERO si no tiene. ","")</f>
        <v/>
      </c>
      <c r="CJ132" s="378">
        <f>IF(AND(C132&gt;0,O132=""),1,0)</f>
        <v/>
      </c>
    </row>
    <row r="133">
      <c r="A133" s="9589" t="n"/>
      <c r="B133" s="8369" t="inlineStr">
        <is>
          <t>Espacio Intercultural</t>
        </is>
      </c>
      <c r="C133" s="703">
        <f>SUM(D133:M133)</f>
        <v/>
      </c>
      <c r="D133" s="1137" t="n"/>
      <c r="E133" s="224" t="n"/>
      <c r="F133" s="224" t="n"/>
      <c r="G133" s="224" t="n">
        <v>1</v>
      </c>
      <c r="H133" s="1153" t="n"/>
      <c r="I133" s="241" t="n"/>
      <c r="J133" s="189" t="n"/>
      <c r="K133" s="2466" t="n"/>
      <c r="L133" s="1299" t="n"/>
      <c r="M133" s="2663" t="n"/>
      <c r="N133" s="2664" t="n"/>
      <c r="O133" s="1299" t="n">
        <v>24</v>
      </c>
      <c r="P133" s="226">
        <f>CA133</f>
        <v/>
      </c>
      <c r="CA133" s="219">
        <f>IF(AND(C133&gt;0,O133="")," * No olvide digitar la variable Total Participantes. Digite CERO si no tiene. ","")</f>
        <v/>
      </c>
      <c r="CJ133" s="378">
        <f>IF(AND(C133&gt;0,O133=""),1,0)</f>
        <v/>
      </c>
    </row>
    <row r="134">
      <c r="A134" s="10236" t="inlineStr">
        <is>
          <t>Reuniones de planificación participativa</t>
        </is>
      </c>
      <c r="B134" s="8537" t="inlineStr">
        <is>
          <t>Comunas, comunidades</t>
        </is>
      </c>
      <c r="C134" s="3324">
        <f>SUM(D134:M134)</f>
        <v/>
      </c>
      <c r="D134" s="3128" t="n"/>
      <c r="E134" s="841" t="n"/>
      <c r="F134" s="841" t="n"/>
      <c r="G134" s="841" t="n"/>
      <c r="H134" s="841" t="n"/>
      <c r="I134" s="3309" t="n"/>
      <c r="J134" s="2455" t="n"/>
      <c r="K134" s="3130" t="n"/>
      <c r="L134" s="3317" t="n"/>
      <c r="M134" s="3225" t="n"/>
      <c r="N134" s="3158" t="n"/>
      <c r="O134" s="3317" t="n"/>
      <c r="P134" s="226">
        <f>CA134</f>
        <v/>
      </c>
      <c r="CA134" s="219">
        <f>IF(AND(C134&gt;0,O134="")," * No olvide digitar la variable Total Participantes. Digite CERO si no tiene. ","")</f>
        <v/>
      </c>
      <c r="CJ134" s="378">
        <f>IF(AND(C134&gt;0,O134=""),1,0)</f>
        <v/>
      </c>
    </row>
    <row r="135">
      <c r="A135" s="9588" t="n"/>
      <c r="B135" s="8538" t="inlineStr">
        <is>
          <t>Espacios amigables en APS</t>
        </is>
      </c>
      <c r="C135" s="3229">
        <f>SUM(D135:M135)</f>
        <v/>
      </c>
      <c r="D135" s="638" t="n"/>
      <c r="E135" s="141" t="n"/>
      <c r="F135" s="141" t="n"/>
      <c r="G135" s="141" t="n"/>
      <c r="H135" s="141" t="n"/>
      <c r="I135" s="3163" t="n"/>
      <c r="J135" s="3329" t="n"/>
      <c r="K135" s="3125" t="n"/>
      <c r="L135" s="702" t="n"/>
      <c r="M135" s="666" t="n"/>
      <c r="N135" s="248" t="n"/>
      <c r="O135" s="702" t="n"/>
      <c r="P135" s="226">
        <f>CA135</f>
        <v/>
      </c>
      <c r="CA135" s="219">
        <f>IF(AND(C135&gt;0,O135="")," * No olvide digitar la variable Total Participantes. Digite CERO si no tiene. ","")</f>
        <v/>
      </c>
      <c r="CJ135" s="378">
        <f>IF(AND(C135&gt;0,O135=""),1,0)</f>
        <v/>
      </c>
    </row>
    <row r="136">
      <c r="A136" s="9588" t="n"/>
      <c r="B136" s="8538" t="inlineStr">
        <is>
          <t>Lugares de trabajo</t>
        </is>
      </c>
      <c r="C136" s="703">
        <f>SUM(D136:M136)</f>
        <v/>
      </c>
      <c r="D136" s="3108" t="n"/>
      <c r="E136" s="882" t="n"/>
      <c r="F136" s="882" t="n"/>
      <c r="G136" s="882" t="n"/>
      <c r="H136" s="882" t="n"/>
      <c r="I136" s="3292" t="n"/>
      <c r="J136" s="3101" t="n"/>
      <c r="K136" s="1125" t="n">
        <v>1</v>
      </c>
      <c r="L136" s="3172" t="n"/>
      <c r="M136" s="3328" t="n"/>
      <c r="N136" s="3100" t="n"/>
      <c r="O136" s="3172" t="n">
        <v>12</v>
      </c>
      <c r="P136" s="226">
        <f>CA136</f>
        <v/>
      </c>
      <c r="CA136" s="219">
        <f>IF(AND(C136&gt;0,O136="")," * No olvide digitar la variable Total Participantes. Digite CERO si no tiene. ","")</f>
        <v/>
      </c>
      <c r="CJ136" s="378">
        <f>IF(AND(C136&gt;0,O136=""),1,0)</f>
        <v/>
      </c>
    </row>
    <row r="137">
      <c r="A137" s="9588" t="n"/>
      <c r="B137" s="8538" t="inlineStr">
        <is>
          <t>Establecimientos educación</t>
        </is>
      </c>
      <c r="C137" s="3229">
        <f>SUM(D137:M137)</f>
        <v/>
      </c>
      <c r="D137" s="638" t="n"/>
      <c r="E137" s="882" t="n"/>
      <c r="F137" s="882" t="n"/>
      <c r="G137" s="882" t="n"/>
      <c r="H137" s="141" t="n"/>
      <c r="I137" s="882" t="n"/>
      <c r="J137" s="3101" t="n"/>
      <c r="K137" s="1125" t="n"/>
      <c r="L137" s="702" t="n"/>
      <c r="M137" s="3328" t="n"/>
      <c r="N137" s="1125" t="n"/>
      <c r="O137" s="702" t="n"/>
      <c r="P137" s="226">
        <f>CA137</f>
        <v/>
      </c>
      <c r="CA137" s="219">
        <f>IF(AND(C137&gt;0,O137="")," * No olvide digitar la variable Total Participantes. Digite CERO si no tiene. ","")</f>
        <v/>
      </c>
      <c r="CJ137" s="378">
        <f>IF(AND(C137&gt;0,O137=""),1,0)</f>
        <v/>
      </c>
    </row>
    <row r="138">
      <c r="A138" s="9589" t="n"/>
      <c r="B138" s="8369" t="inlineStr">
        <is>
          <t>Espacio Intercultural</t>
        </is>
      </c>
      <c r="C138" s="703">
        <f>SUM(D138:M138)</f>
        <v/>
      </c>
      <c r="D138" s="1137" t="n"/>
      <c r="E138" s="224" t="n"/>
      <c r="F138" s="224" t="n"/>
      <c r="G138" s="224" t="n"/>
      <c r="H138" s="1153" t="n"/>
      <c r="I138" s="241" t="n"/>
      <c r="J138" s="189" t="n"/>
      <c r="K138" s="2466" t="n"/>
      <c r="L138" s="1299" t="n"/>
      <c r="M138" s="2663" t="n"/>
      <c r="N138" s="2664" t="n"/>
      <c r="O138" s="1299" t="n"/>
      <c r="P138" s="226">
        <f>CA138</f>
        <v/>
      </c>
      <c r="CA138" s="219">
        <f>IF(AND(C138&gt;0,O138="")," * No olvide digitar la variable Total Participantes. Digite CERO si no tiene. ","")</f>
        <v/>
      </c>
      <c r="CJ138" s="378">
        <f>IF(AND(C138&gt;0,O138=""),1,0)</f>
        <v/>
      </c>
    </row>
    <row r="139">
      <c r="A139" s="10236" t="inlineStr">
        <is>
          <t>Jornadas y  seminarios</t>
        </is>
      </c>
      <c r="B139" s="8537" t="inlineStr">
        <is>
          <t>Comunas, comunidades</t>
        </is>
      </c>
      <c r="C139" s="3330">
        <f>SUM(D139:M139)</f>
        <v/>
      </c>
      <c r="D139" s="3128" t="n"/>
      <c r="E139" s="841" t="n"/>
      <c r="F139" s="841" t="n"/>
      <c r="G139" s="841" t="n"/>
      <c r="H139" s="841" t="n"/>
      <c r="I139" s="3309" t="n"/>
      <c r="J139" s="2455" t="n"/>
      <c r="K139" s="3130" t="n"/>
      <c r="L139" s="3317" t="n"/>
      <c r="M139" s="3225" t="n"/>
      <c r="N139" s="3158" t="n"/>
      <c r="O139" s="3317" t="n"/>
      <c r="P139" s="226">
        <f>CA139</f>
        <v/>
      </c>
      <c r="CA139" s="219">
        <f>IF(AND(C139&gt;0,O139="")," * No olvide digitar la variable Total Participantes. Digite CERO si no tiene. ","")</f>
        <v/>
      </c>
      <c r="CJ139" s="378">
        <f>IF(AND(C139&gt;0,O139=""),1,0)</f>
        <v/>
      </c>
    </row>
    <row r="140">
      <c r="A140" s="9588" t="n"/>
      <c r="B140" s="8538" t="inlineStr">
        <is>
          <t>Espacios amigables en APS</t>
        </is>
      </c>
      <c r="C140" s="703">
        <f>SUM(D140:M140)</f>
        <v/>
      </c>
      <c r="D140" s="638" t="n"/>
      <c r="E140" s="141" t="n"/>
      <c r="F140" s="141" t="n"/>
      <c r="G140" s="141" t="n"/>
      <c r="H140" s="141" t="n"/>
      <c r="I140" s="3163" t="n"/>
      <c r="J140" s="3329" t="n"/>
      <c r="K140" s="3125" t="n"/>
      <c r="L140" s="702" t="n"/>
      <c r="M140" s="666" t="n"/>
      <c r="N140" s="248" t="n"/>
      <c r="O140" s="702" t="n"/>
      <c r="P140" s="226">
        <f>CA140</f>
        <v/>
      </c>
      <c r="CA140" s="219">
        <f>IF(AND(C140&gt;0,O140="")," * No olvide digitar la variable Total Participantes. Digite CERO si no tiene. ","")</f>
        <v/>
      </c>
      <c r="CJ140" s="378">
        <f>IF(AND(C140&gt;0,O140=""),1,0)</f>
        <v/>
      </c>
    </row>
    <row r="141">
      <c r="A141" s="9588" t="n"/>
      <c r="B141" s="8538" t="inlineStr">
        <is>
          <t>Lugares de trabajo</t>
        </is>
      </c>
      <c r="C141" s="3327">
        <f>SUM(D141:M141)</f>
        <v/>
      </c>
      <c r="D141" s="3108" t="n"/>
      <c r="E141" s="882" t="n"/>
      <c r="F141" s="882" t="n"/>
      <c r="G141" s="882" t="n"/>
      <c r="H141" s="882" t="n"/>
      <c r="I141" s="3292" t="n"/>
      <c r="J141" s="3101" t="n"/>
      <c r="K141" s="1125" t="n"/>
      <c r="L141" s="3172" t="n"/>
      <c r="M141" s="3328" t="n"/>
      <c r="N141" s="3100" t="n"/>
      <c r="O141" s="3172" t="n"/>
      <c r="P141" s="226">
        <f>CA141</f>
        <v/>
      </c>
      <c r="CA141" s="219">
        <f>IF(AND(C141&gt;0,O141="")," * No olvide digitar la variable Total Participantes. Digite CERO si no tiene. ","")</f>
        <v/>
      </c>
      <c r="CJ141" s="378">
        <f>IF(AND(C141&gt;0,O141=""),1,0)</f>
        <v/>
      </c>
    </row>
    <row r="142">
      <c r="A142" s="9588" t="n"/>
      <c r="B142" s="8538" t="inlineStr">
        <is>
          <t>Establecimientos educación</t>
        </is>
      </c>
      <c r="C142" s="3229">
        <f>SUM(D142:M142)</f>
        <v/>
      </c>
      <c r="D142" s="1198" t="n"/>
      <c r="E142" s="1147" t="n"/>
      <c r="F142" s="1147" t="n"/>
      <c r="G142" s="1147" t="n"/>
      <c r="H142" s="1147" t="n"/>
      <c r="I142" s="1201" t="n"/>
      <c r="J142" s="1199" t="n"/>
      <c r="K142" s="1148" t="n"/>
      <c r="L142" s="1418" t="n"/>
      <c r="M142" s="1419" t="n"/>
      <c r="N142" s="1200" t="n"/>
      <c r="O142" s="1418" t="n"/>
      <c r="P142" s="226">
        <f>CA142</f>
        <v/>
      </c>
      <c r="CA142" s="219">
        <f>IF(AND(C142&gt;0,O142="")," * No olvide digitar la variable Total Participantes. Digite CERO si no tiene. ","")</f>
        <v/>
      </c>
      <c r="CJ142" s="378">
        <f>IF(AND(C142&gt;0,O142=""),1,0)</f>
        <v/>
      </c>
    </row>
    <row r="143">
      <c r="A143" s="9589" t="n"/>
      <c r="B143" s="8369" t="inlineStr">
        <is>
          <t>Espacio Intercultural</t>
        </is>
      </c>
      <c r="C143" s="703">
        <f>SUM(D143:M143)</f>
        <v/>
      </c>
      <c r="D143" s="1137" t="n"/>
      <c r="E143" s="1153" t="n"/>
      <c r="F143" s="1153" t="n"/>
      <c r="G143" s="1153" t="n"/>
      <c r="H143" s="1153" t="n"/>
      <c r="I143" s="1141" t="n"/>
      <c r="J143" s="1139" t="n"/>
      <c r="K143" s="1138" t="n"/>
      <c r="L143" s="1299" t="n"/>
      <c r="M143" s="1420" t="n"/>
      <c r="N143" s="1140" t="n"/>
      <c r="O143" s="1299" t="n"/>
      <c r="P143" s="226">
        <f>CA143</f>
        <v/>
      </c>
      <c r="CA143" s="219">
        <f>IF(AND(C143&gt;0,O143="")," * No olvide digitar la variable Total Participantes. Digite CERO si no tiene. ","")</f>
        <v/>
      </c>
      <c r="CJ143" s="378">
        <f>IF(AND(C143&gt;0,O143=""),1,0)</f>
        <v/>
      </c>
    </row>
    <row r="144">
      <c r="A144" s="10236" t="inlineStr">
        <is>
          <t xml:space="preserve">Educación grupal </t>
        </is>
      </c>
      <c r="B144" s="8537" t="inlineStr">
        <is>
          <t>Comunas, comunidades</t>
        </is>
      </c>
      <c r="C144" s="3324">
        <f>SUM(D144:M144)</f>
        <v/>
      </c>
      <c r="D144" s="3128" t="n"/>
      <c r="E144" s="841" t="n"/>
      <c r="F144" s="841" t="n"/>
      <c r="G144" s="841" t="n"/>
      <c r="H144" s="841" t="n"/>
      <c r="I144" s="3309" t="n"/>
      <c r="J144" s="2455" t="n"/>
      <c r="K144" s="3130" t="n"/>
      <c r="L144" s="3317" t="n"/>
      <c r="M144" s="3225" t="n"/>
      <c r="N144" s="3158" t="n"/>
      <c r="O144" s="3317" t="n"/>
      <c r="P144" s="226">
        <f>CA144</f>
        <v/>
      </c>
      <c r="CA144" s="219">
        <f>IF(AND(C144&gt;0,O144="")," * No olvide digitar la variable Total Participantes. Digite CERO si no tiene. ","")</f>
        <v/>
      </c>
      <c r="CJ144" s="378">
        <f>IF(AND(C144&gt;0,O144=""),1,0)</f>
        <v/>
      </c>
    </row>
    <row r="145">
      <c r="A145" s="9588" t="n"/>
      <c r="B145" s="8538" t="inlineStr">
        <is>
          <t>Espacios amigables en APS</t>
        </is>
      </c>
      <c r="C145" s="3327">
        <f>SUM(D145:M145)</f>
        <v/>
      </c>
      <c r="D145" s="638" t="n"/>
      <c r="E145" s="141" t="n"/>
      <c r="F145" s="141" t="n"/>
      <c r="G145" s="141" t="n"/>
      <c r="H145" s="141" t="n"/>
      <c r="I145" s="3163" t="n"/>
      <c r="J145" s="3329" t="n"/>
      <c r="K145" s="3125" t="n"/>
      <c r="L145" s="702" t="n"/>
      <c r="M145" s="666" t="n"/>
      <c r="N145" s="248" t="n"/>
      <c r="O145" s="702" t="n"/>
      <c r="P145" s="226">
        <f>CA145</f>
        <v/>
      </c>
      <c r="CA145" s="219">
        <f>IF(AND(C145&gt;0,O145="")," * No olvide digitar la variable Total Participantes. Digite CERO si no tiene. ","")</f>
        <v/>
      </c>
      <c r="CJ145" s="378">
        <f>IF(AND(C145&gt;0,O145=""),1,0)</f>
        <v/>
      </c>
    </row>
    <row r="146">
      <c r="A146" s="9588" t="n"/>
      <c r="B146" s="8538" t="inlineStr">
        <is>
          <t>Lugares de trabajo</t>
        </is>
      </c>
      <c r="C146" s="3327">
        <f>SUM(D146:M146)</f>
        <v/>
      </c>
      <c r="D146" s="3108" t="n"/>
      <c r="E146" s="882" t="n"/>
      <c r="F146" s="882" t="n"/>
      <c r="G146" s="882" t="n">
        <v>1</v>
      </c>
      <c r="H146" s="882" t="n"/>
      <c r="I146" s="3292" t="n"/>
      <c r="J146" s="3101" t="n"/>
      <c r="K146" s="1125" t="n"/>
      <c r="L146" s="3172" t="n"/>
      <c r="M146" s="3328" t="n"/>
      <c r="N146" s="3100" t="n"/>
      <c r="O146" s="3172" t="n">
        <v>7</v>
      </c>
      <c r="P146" s="226">
        <f>CA146</f>
        <v/>
      </c>
      <c r="CA146" s="219">
        <f>IF(AND(C146&gt;0,O146="")," * No olvide digitar la variable Total Participantes. Digite CERO si no tiene. ","")</f>
        <v/>
      </c>
      <c r="CJ146" s="378">
        <f>IF(AND(C146&gt;0,O146=""),1,0)</f>
        <v/>
      </c>
    </row>
    <row r="147">
      <c r="A147" s="9588" t="n"/>
      <c r="B147" s="8538" t="inlineStr">
        <is>
          <t>Establecimientos educación</t>
        </is>
      </c>
      <c r="C147" s="3327">
        <f>SUM(D147:M147)</f>
        <v/>
      </c>
      <c r="D147" s="1198" t="n"/>
      <c r="E147" s="1147" t="n"/>
      <c r="F147" s="1147" t="n"/>
      <c r="G147" s="1147" t="n"/>
      <c r="H147" s="1147" t="n"/>
      <c r="I147" s="1201" t="n"/>
      <c r="J147" s="1199" t="n"/>
      <c r="K147" s="1148" t="n"/>
      <c r="L147" s="1418" t="n"/>
      <c r="M147" s="1419" t="n"/>
      <c r="N147" s="1200" t="n"/>
      <c r="O147" s="1418" t="n"/>
      <c r="P147" s="226">
        <f>CA147</f>
        <v/>
      </c>
      <c r="CA147" s="219">
        <f>IF(AND(C147&gt;0,O147="")," * No olvide digitar la variable Total Participantes. Digite CERO si no tiene. ","")</f>
        <v/>
      </c>
      <c r="CJ147" s="378">
        <f>IF(AND(C147&gt;0,O147=""),1,0)</f>
        <v/>
      </c>
    </row>
    <row r="148">
      <c r="A148" s="9589" t="n"/>
      <c r="B148" s="8369" t="inlineStr">
        <is>
          <t>Espacio Intercultural</t>
        </is>
      </c>
      <c r="C148" s="3230">
        <f>SUM(D148:M148)</f>
        <v/>
      </c>
      <c r="D148" s="1137" t="n"/>
      <c r="E148" s="1153" t="n"/>
      <c r="F148" s="1153" t="n"/>
      <c r="G148" s="1153" t="n"/>
      <c r="H148" s="1153" t="n"/>
      <c r="I148" s="1141" t="n"/>
      <c r="J148" s="1139" t="n"/>
      <c r="K148" s="1138" t="n"/>
      <c r="L148" s="1299" t="n"/>
      <c r="M148" s="1420" t="n"/>
      <c r="N148" s="1140" t="n"/>
      <c r="O148" s="1299" t="n"/>
      <c r="P148" s="226">
        <f>CA148</f>
        <v/>
      </c>
      <c r="CA148" s="219">
        <f>IF(AND(C148&gt;0,O148="")," * No olvide digitar la variable Total Participantes. Digite CERO si no tiene. ","")</f>
        <v/>
      </c>
      <c r="CJ148" s="378">
        <f>IF(AND(C148&gt;0,O148=""),1,0)</f>
        <v/>
      </c>
    </row>
    <row r="149" ht="18" customHeight="1" s="8286">
      <c r="A149" s="10323" t="inlineStr">
        <is>
          <t>SECCIÓN B.2: TALLERES GRUPALES DE VIDA SANA SEGÚN TIPO, POR ESPACIOS DE ACCIÓN</t>
        </is>
      </c>
      <c r="B149" s="10190" t="n"/>
      <c r="C149" s="10190" t="n"/>
      <c r="D149" s="10190" t="n"/>
      <c r="E149" s="10190" t="n"/>
      <c r="F149" s="10190" t="n"/>
      <c r="G149" s="10190" t="n"/>
      <c r="H149" s="10190" t="n"/>
    </row>
    <row r="150" ht="21" customHeight="1" s="8286">
      <c r="A150" s="8534" t="inlineStr">
        <is>
          <t>ESPACIOS DE ACCIÓN</t>
        </is>
      </c>
      <c r="B150" s="8622" t="inlineStr">
        <is>
          <t>TOTAL TALLERES</t>
        </is>
      </c>
      <c r="C150" s="3088" t="inlineStr">
        <is>
          <t>Autoestima y Autocuidado</t>
        </is>
      </c>
      <c r="D150" s="3089" t="inlineStr">
        <is>
          <t>Mente Sana y Cuerpo Sano</t>
        </is>
      </c>
      <c r="E150" s="3089" t="inlineStr">
        <is>
          <t>Comunicación</t>
        </is>
      </c>
      <c r="F150" s="3089" t="inlineStr">
        <is>
          <t>Yo Me Cuido</t>
        </is>
      </c>
      <c r="G150" s="3089" t="inlineStr">
        <is>
          <t>Control del Tabaco</t>
        </is>
      </c>
      <c r="H150" s="3090" t="inlineStr">
        <is>
          <t>Otros Tipo de Talleres</t>
        </is>
      </c>
    </row>
    <row r="151">
      <c r="A151" s="8537" t="inlineStr">
        <is>
          <t>Comunas, comunidades</t>
        </is>
      </c>
      <c r="B151" s="3330">
        <f>SUM(C151:H151)</f>
        <v/>
      </c>
      <c r="C151" s="3128" t="n"/>
      <c r="D151" s="806" t="n"/>
      <c r="E151" s="848" t="n"/>
      <c r="F151" s="848" t="n"/>
      <c r="G151" s="848" t="n"/>
      <c r="H151" s="3331" t="n"/>
    </row>
    <row r="152">
      <c r="A152" s="8538" t="inlineStr">
        <is>
          <t>Espacios amigables en APS</t>
        </is>
      </c>
      <c r="B152" s="3229">
        <f>SUM(C152:H152)</f>
        <v/>
      </c>
      <c r="C152" s="638" t="n"/>
      <c r="D152" s="141" t="n"/>
      <c r="E152" s="141" t="n"/>
      <c r="F152" s="141" t="n"/>
      <c r="G152" s="141" t="n"/>
      <c r="H152" s="3329" t="n"/>
    </row>
    <row r="153">
      <c r="A153" s="8538" t="inlineStr">
        <is>
          <t>Lugares de trabajo</t>
        </is>
      </c>
      <c r="B153" s="3229">
        <f>SUM(C153:H153)</f>
        <v/>
      </c>
      <c r="C153" s="3108" t="n"/>
      <c r="D153" s="882" t="n"/>
      <c r="E153" s="882" t="n"/>
      <c r="F153" s="882" t="n"/>
      <c r="G153" s="882" t="n"/>
      <c r="H153" s="3101" t="n"/>
    </row>
    <row r="154">
      <c r="A154" s="8538" t="inlineStr">
        <is>
          <t>Establecimientos educacionales</t>
        </is>
      </c>
      <c r="B154" s="3229">
        <f>SUM(C154:H154)</f>
        <v/>
      </c>
      <c r="C154" s="3108" t="n"/>
      <c r="D154" s="882" t="n"/>
      <c r="E154" s="882" t="n"/>
      <c r="F154" s="882" t="n"/>
      <c r="G154" s="882" t="n"/>
      <c r="H154" s="3101" t="n"/>
    </row>
    <row r="155">
      <c r="A155" s="8051" t="inlineStr">
        <is>
          <t>Espacio Intercultural</t>
        </is>
      </c>
      <c r="B155" s="3327">
        <f>SUM(C155:H155)</f>
        <v/>
      </c>
      <c r="C155" s="1137" t="n"/>
      <c r="D155" s="1153" t="n"/>
      <c r="E155" s="1153" t="n"/>
      <c r="F155" s="1153" t="n"/>
      <c r="G155" s="1153" t="n"/>
      <c r="H155" s="1139" t="n"/>
    </row>
    <row r="156" ht="18" customHeight="1" s="8286">
      <c r="A156" s="10323" t="inlineStr">
        <is>
          <t>SECCIÓN B.3: ACTIVIDADES DE GESTIÓN SEGÚN TIPO, POR ESPACIOS DE ACCIÓN</t>
        </is>
      </c>
      <c r="B156" s="10190" t="n"/>
      <c r="C156" s="10190" t="n"/>
      <c r="D156" s="10190" t="n"/>
      <c r="E156" s="10190" t="n"/>
      <c r="F156" s="10190" t="n"/>
      <c r="G156" s="10190" t="n"/>
      <c r="H156" s="10190" t="n"/>
    </row>
    <row r="157" ht="31.5" customHeight="1" s="8286">
      <c r="A157" s="8534" t="inlineStr">
        <is>
          <t>ESPACIOS DE ACCIÓN</t>
        </is>
      </c>
      <c r="B157" s="8622" t="inlineStr">
        <is>
          <t>TOTAL ACTIVIDADES</t>
        </is>
      </c>
      <c r="C157" s="3088" t="inlineStr">
        <is>
          <t xml:space="preserve">Reuniones de Gestión </t>
        </is>
      </c>
      <c r="D157" s="3089" t="inlineStr">
        <is>
          <t>Reuniones Masivas de Gestión</t>
        </is>
      </c>
      <c r="E157" s="3089" t="inlineStr">
        <is>
          <t>Acciones de Comunicación y Difusión</t>
        </is>
      </c>
      <c r="F157" s="3089" t="inlineStr">
        <is>
          <t>Preparación Actividades Educativas</t>
        </is>
      </c>
      <c r="G157" s="3089" t="inlineStr">
        <is>
          <t>Entrevistas</t>
        </is>
      </c>
      <c r="H157" s="3090" t="inlineStr">
        <is>
          <t>Investigación y Capacitación de RRHH</t>
        </is>
      </c>
    </row>
    <row r="158">
      <c r="A158" s="8537" t="inlineStr">
        <is>
          <t>Comunas, comunidades</t>
        </is>
      </c>
      <c r="B158" s="3330">
        <f>SUM(C158:H158)</f>
        <v/>
      </c>
      <c r="C158" s="3128" t="n">
        <v>3</v>
      </c>
      <c r="D158" s="848" t="n"/>
      <c r="E158" s="848" t="n">
        <v>6</v>
      </c>
      <c r="F158" s="848" t="n">
        <v>7</v>
      </c>
      <c r="G158" s="848" t="n"/>
      <c r="H158" s="3331" t="n"/>
    </row>
    <row r="159">
      <c r="A159" s="8538" t="inlineStr">
        <is>
          <t>Espacios amigables en APS</t>
        </is>
      </c>
      <c r="B159" s="3229">
        <f>SUM(C159:H159)</f>
        <v/>
      </c>
      <c r="C159" s="3108" t="n"/>
      <c r="D159" s="882" t="n"/>
      <c r="E159" s="882" t="n"/>
      <c r="F159" s="882" t="n"/>
      <c r="G159" s="882" t="n"/>
      <c r="H159" s="3101" t="n"/>
    </row>
    <row r="160">
      <c r="A160" s="8538" t="inlineStr">
        <is>
          <t>Lugares de trabajo</t>
        </is>
      </c>
      <c r="B160" s="3229">
        <f>SUM(C160:H160)</f>
        <v/>
      </c>
      <c r="C160" s="3108" t="n">
        <v>7</v>
      </c>
      <c r="D160" s="882" t="n"/>
      <c r="E160" s="882" t="n">
        <v>5</v>
      </c>
      <c r="F160" s="882" t="n">
        <v>8</v>
      </c>
      <c r="G160" s="882" t="n"/>
      <c r="H160" s="3101" t="n"/>
    </row>
    <row r="161">
      <c r="A161" s="3119" t="inlineStr">
        <is>
          <t>Establecimientos educacionales</t>
        </is>
      </c>
      <c r="B161" s="3229">
        <f>SUM(C161:H161)</f>
        <v/>
      </c>
      <c r="C161" s="3108" t="n"/>
      <c r="D161" s="882" t="n"/>
      <c r="E161" s="882" t="n"/>
      <c r="F161" s="882" t="n"/>
      <c r="G161" s="882" t="n"/>
      <c r="H161" s="3101" t="n"/>
    </row>
    <row r="162">
      <c r="A162" s="1470" t="inlineStr">
        <is>
          <t>Espacio Intercultural</t>
        </is>
      </c>
      <c r="B162" s="3327">
        <f>SUM(C162:H162)</f>
        <v/>
      </c>
      <c r="C162" s="1198" t="n"/>
      <c r="D162" s="1147" t="n"/>
      <c r="E162" s="1147" t="n"/>
      <c r="F162" s="1147" t="n"/>
      <c r="G162" s="1147" t="n"/>
      <c r="H162" s="1199" t="n"/>
    </row>
    <row r="163">
      <c r="A163" s="1470" t="inlineStr">
        <is>
          <t>Espacio Intersectorial</t>
        </is>
      </c>
      <c r="B163" s="3327">
        <f>SUM(C163:H163)</f>
        <v/>
      </c>
      <c r="C163" s="1198" t="n"/>
      <c r="D163" s="1147" t="n"/>
      <c r="E163" s="1147" t="n"/>
      <c r="F163" s="1147" t="n"/>
      <c r="G163" s="1147" t="n"/>
      <c r="H163" s="1199" t="n"/>
    </row>
    <row r="164">
      <c r="A164" s="1117" t="inlineStr">
        <is>
          <t>Otros</t>
        </is>
      </c>
      <c r="B164" s="3230">
        <f>SUM(C164:H164)</f>
        <v/>
      </c>
      <c r="C164" s="1137" t="n"/>
      <c r="D164" s="1153" t="n"/>
      <c r="E164" s="1153" t="n"/>
      <c r="F164" s="1153" t="n"/>
      <c r="G164" s="1153" t="n"/>
      <c r="H164" s="1139" t="n"/>
    </row>
    <row r="165" ht="18" customFormat="1" customHeight="1" s="5">
      <c r="A165" s="8616" t="inlineStr">
        <is>
          <t xml:space="preserve">SECCIÓN B.4: TALLERES GRUPALES SEGÚN TEMÁTICA Y NÚMERO DE PARTICIPANTES EN PROGRAMA ESPACIOS AMIGABLES </t>
        </is>
      </c>
      <c r="B165" s="7" t="n"/>
      <c r="C165" s="7" t="n"/>
      <c r="D165" s="7" t="n"/>
      <c r="E165" s="7" t="n"/>
      <c r="F165" s="7" t="n"/>
      <c r="G165" s="7" t="n"/>
      <c r="H165" s="7" t="n"/>
      <c r="I165" s="236" t="n"/>
      <c r="J165" s="236" t="n"/>
    </row>
    <row r="166" ht="52.5" customHeight="1" s="8286">
      <c r="A166" s="8534" t="inlineStr">
        <is>
          <t>ESPACIOS DE ACCIÓN</t>
        </is>
      </c>
      <c r="B166" s="8534" t="inlineStr">
        <is>
          <t>TOTAL TALLERES</t>
        </is>
      </c>
      <c r="C166" s="8289" t="inlineStr">
        <is>
          <t>Total Participantes</t>
        </is>
      </c>
      <c r="D166" s="3088" t="inlineStr">
        <is>
          <t>Talleres en Actividad Física</t>
        </is>
      </c>
      <c r="E166" s="3089" t="inlineStr">
        <is>
          <t xml:space="preserve"> Talleres en Alimentación </t>
        </is>
      </c>
      <c r="F166" s="3089" t="inlineStr">
        <is>
          <t>Talleres en Libre de Humo del Tabaco</t>
        </is>
      </c>
      <c r="G166" s="3089" t="inlineStr">
        <is>
          <t xml:space="preserve">Talleres en Factores Protectores Psicosociales </t>
        </is>
      </c>
      <c r="H166" s="3089" t="inlineStr">
        <is>
          <t>Talleres en Prevención Consumo de Alcohol y Otras Drogas</t>
        </is>
      </c>
      <c r="I166" s="3089" t="inlineStr">
        <is>
          <t>Talleres en Salud Sexual y Prevención de VIH/SIDA e ITS</t>
        </is>
      </c>
      <c r="J166" s="8525" t="inlineStr">
        <is>
          <t>Talleres en Otros Tipos de Talleres</t>
        </is>
      </c>
    </row>
    <row r="167">
      <c r="A167" s="8537" t="inlineStr">
        <is>
          <t>Espacios Comunitarios</t>
        </is>
      </c>
      <c r="B167" s="3330">
        <f>SUM(D167:J167)</f>
        <v/>
      </c>
      <c r="C167" s="3332" t="n"/>
      <c r="D167" s="3261" t="n"/>
      <c r="E167" s="849" t="n"/>
      <c r="F167" s="849" t="n"/>
      <c r="G167" s="849" t="n"/>
      <c r="H167" s="849" t="n"/>
      <c r="I167" s="849" t="n"/>
      <c r="J167" s="3333" t="n"/>
    </row>
    <row r="168">
      <c r="A168" s="8538" t="inlineStr">
        <is>
          <t>Establecimientos Educacionales</t>
        </is>
      </c>
      <c r="B168" s="3229">
        <f>SUM(D168:J168)</f>
        <v/>
      </c>
      <c r="C168" s="1222" t="n"/>
      <c r="D168" s="3196" t="n"/>
      <c r="E168" s="2001" t="n"/>
      <c r="F168" s="2001" t="n"/>
      <c r="G168" s="2001" t="n"/>
      <c r="H168" s="2001" t="n"/>
      <c r="I168" s="2001" t="n"/>
      <c r="J168" s="1173" t="n"/>
    </row>
    <row r="169">
      <c r="A169" s="8538" t="inlineStr">
        <is>
          <t>Centros de Salud</t>
        </is>
      </c>
      <c r="B169" s="3229">
        <f>SUM(D169:J169)</f>
        <v/>
      </c>
      <c r="C169" s="1222" t="n"/>
      <c r="D169" s="3196" t="n"/>
      <c r="E169" s="2001" t="n"/>
      <c r="F169" s="2001" t="n"/>
      <c r="G169" s="2001" t="n"/>
      <c r="H169" s="2001" t="n"/>
      <c r="I169" s="2001" t="n"/>
      <c r="J169" s="1173" t="n"/>
    </row>
    <row r="170">
      <c r="A170" s="8054" t="inlineStr">
        <is>
          <t>Espacio Intercultural</t>
        </is>
      </c>
      <c r="B170" s="3229">
        <f>SUM(D170:J170)</f>
        <v/>
      </c>
      <c r="C170" s="1227" t="n"/>
      <c r="D170" s="1188" t="n"/>
      <c r="E170" s="1118" t="n"/>
      <c r="F170" s="1118" t="n"/>
      <c r="G170" s="1118" t="n"/>
      <c r="H170" s="1118" t="n"/>
      <c r="I170" s="1118" t="n"/>
      <c r="J170" s="1192" t="n"/>
    </row>
    <row r="171" ht="18" customHeight="1" s="8286">
      <c r="A171" s="10345" t="inlineStr">
        <is>
          <t>SECCIÓN C: ACTIVIDADES DE GESTIÓN INTERCULTURAL REALIZADAS POR FACILITADOR INTERCULTURAL</t>
        </is>
      </c>
      <c r="B171" s="9602" t="n"/>
      <c r="C171" s="9602" t="n"/>
      <c r="D171" s="9602" t="n"/>
      <c r="E171" s="9602" t="n"/>
      <c r="F171" s="9602" t="n"/>
      <c r="G171" s="9602" t="n"/>
      <c r="H171" s="9602" t="n"/>
      <c r="I171" s="9602" t="n"/>
      <c r="J171" s="9602" t="n"/>
    </row>
    <row r="172" ht="15" customHeight="1" s="8286">
      <c r="A172" s="9920" t="inlineStr">
        <is>
          <t>ACTIVIDADES</t>
        </is>
      </c>
      <c r="B172" s="9939" t="inlineStr">
        <is>
          <t>TOTAL</t>
        </is>
      </c>
      <c r="C172" s="9602" t="n"/>
      <c r="D172" s="9630" t="n"/>
      <c r="E172" s="8473" t="inlineStr">
        <is>
          <t>RANGO ETARIO Y SEXO</t>
        </is>
      </c>
      <c r="F172" s="9584" t="n"/>
      <c r="G172" s="9584" t="n"/>
      <c r="H172" s="9584" t="n"/>
      <c r="I172" s="9584" t="n"/>
      <c r="J172" s="9584" t="n"/>
      <c r="K172" s="9584" t="n"/>
      <c r="L172" s="9584" t="n"/>
      <c r="M172" s="9584" t="n"/>
      <c r="N172" s="9584" t="n"/>
      <c r="O172" s="9584" t="n"/>
      <c r="P172" s="9584" t="n"/>
      <c r="Q172" s="9584" t="n"/>
      <c r="R172" s="9584" t="n"/>
      <c r="S172" s="9584" t="n"/>
      <c r="T172" s="9584" t="n"/>
      <c r="U172" s="9584" t="n"/>
      <c r="V172" s="9584" t="n"/>
      <c r="W172" s="9584" t="n"/>
      <c r="X172" s="9584" t="n"/>
      <c r="Y172" s="9584" t="n"/>
      <c r="Z172" s="9584" t="n"/>
      <c r="AA172" s="9584" t="n"/>
      <c r="AB172" s="9584" t="n"/>
      <c r="AC172" s="9584" t="n"/>
      <c r="AD172" s="9584" t="n"/>
      <c r="AE172" s="9584" t="n"/>
      <c r="AF172" s="9584" t="n"/>
      <c r="AG172" s="9584" t="n"/>
      <c r="AH172" s="9584" t="n"/>
      <c r="AI172" s="9584" t="n"/>
      <c r="AJ172" s="9584" t="n"/>
      <c r="AK172" s="9584" t="n"/>
      <c r="AL172" s="9582" t="n"/>
    </row>
    <row r="173" ht="15" customHeight="1" s="8286">
      <c r="A173" s="9625" t="n"/>
      <c r="B173" s="9638" t="n"/>
      <c r="C173" s="9697" t="n"/>
      <c r="D173" s="9639" t="n"/>
      <c r="E173" s="9240" t="inlineStr">
        <is>
          <t>0 - 4 años</t>
        </is>
      </c>
      <c r="F173" s="9647" t="n"/>
      <c r="G173" s="8400" t="inlineStr">
        <is>
          <t>5 - 9 años</t>
        </is>
      </c>
      <c r="H173" s="9582" t="n"/>
      <c r="I173" s="8400" t="inlineStr">
        <is>
          <t>10 - 14 años</t>
        </is>
      </c>
      <c r="J173" s="9582" t="n"/>
      <c r="K173" s="8400" t="inlineStr">
        <is>
          <t xml:space="preserve">15-19 años </t>
        </is>
      </c>
      <c r="L173" s="9582" t="n"/>
      <c r="M173" s="8400" t="inlineStr">
        <is>
          <t>20-24 años</t>
        </is>
      </c>
      <c r="N173" s="9582" t="n"/>
      <c r="O173" s="8400" t="inlineStr">
        <is>
          <t>25-29 años</t>
        </is>
      </c>
      <c r="P173" s="9582" t="n"/>
      <c r="Q173" s="8400" t="inlineStr">
        <is>
          <t>30-34 años</t>
        </is>
      </c>
      <c r="R173" s="9582" t="n"/>
      <c r="S173" s="8400" t="inlineStr">
        <is>
          <t>35-39 años</t>
        </is>
      </c>
      <c r="T173" s="9582" t="n"/>
      <c r="U173" s="8400" t="inlineStr">
        <is>
          <t>40-44 años</t>
        </is>
      </c>
      <c r="V173" s="9582" t="n"/>
      <c r="W173" s="8400" t="inlineStr">
        <is>
          <t>45-49 años</t>
        </is>
      </c>
      <c r="X173" s="9582" t="n"/>
      <c r="Y173" s="8400" t="inlineStr">
        <is>
          <t>50-54 años</t>
        </is>
      </c>
      <c r="Z173" s="9582" t="n"/>
      <c r="AA173" s="8400" t="inlineStr">
        <is>
          <t>55-59 años</t>
        </is>
      </c>
      <c r="AB173" s="9582" t="n"/>
      <c r="AC173" s="8400" t="inlineStr">
        <is>
          <t>60-64 años</t>
        </is>
      </c>
      <c r="AD173" s="9582" t="n"/>
      <c r="AE173" s="8400" t="inlineStr">
        <is>
          <t>65-69 años</t>
        </is>
      </c>
      <c r="AF173" s="9582" t="n"/>
      <c r="AG173" s="8400" t="inlineStr">
        <is>
          <t>70-74 años</t>
        </is>
      </c>
      <c r="AH173" s="9582" t="n"/>
      <c r="AI173" s="8400" t="inlineStr">
        <is>
          <t>75- 79 años</t>
        </is>
      </c>
      <c r="AJ173" s="9582" t="n"/>
      <c r="AK173" s="9977" t="inlineStr">
        <is>
          <t>80 y más años</t>
        </is>
      </c>
      <c r="AL173" s="9582" t="n"/>
    </row>
    <row r="174" ht="15" customHeight="1" s="8286">
      <c r="A174" s="9641" t="n"/>
      <c r="B174" s="3088" t="inlineStr">
        <is>
          <t>Ambos Sexos</t>
        </is>
      </c>
      <c r="C174" s="3091" t="inlineStr">
        <is>
          <t>Hombres</t>
        </is>
      </c>
      <c r="D174" s="8525" t="inlineStr">
        <is>
          <t>Mujeres</t>
        </is>
      </c>
      <c r="E174" s="3088" t="inlineStr">
        <is>
          <t>Hombres</t>
        </is>
      </c>
      <c r="F174" s="8525" t="inlineStr">
        <is>
          <t>Mujeres</t>
        </is>
      </c>
      <c r="G174" s="3088" t="inlineStr">
        <is>
          <t>Hombres</t>
        </is>
      </c>
      <c r="H174" s="8525" t="inlineStr">
        <is>
          <t>Mujeres</t>
        </is>
      </c>
      <c r="I174" s="3088" t="inlineStr">
        <is>
          <t>Hombres</t>
        </is>
      </c>
      <c r="J174" s="8525" t="inlineStr">
        <is>
          <t>Mujeres</t>
        </is>
      </c>
      <c r="K174" s="3088" t="inlineStr">
        <is>
          <t>Hombres</t>
        </is>
      </c>
      <c r="L174" s="8525" t="inlineStr">
        <is>
          <t>Mujeres</t>
        </is>
      </c>
      <c r="M174" s="3088" t="inlineStr">
        <is>
          <t>Hombres</t>
        </is>
      </c>
      <c r="N174" s="8525" t="inlineStr">
        <is>
          <t>Mujeres</t>
        </is>
      </c>
      <c r="O174" s="3088" t="inlineStr">
        <is>
          <t>Hombres</t>
        </is>
      </c>
      <c r="P174" s="8525" t="inlineStr">
        <is>
          <t>Mujeres</t>
        </is>
      </c>
      <c r="Q174" s="3088" t="inlineStr">
        <is>
          <t>Hombres</t>
        </is>
      </c>
      <c r="R174" s="8525" t="inlineStr">
        <is>
          <t>Mujeres</t>
        </is>
      </c>
      <c r="S174" s="3088" t="inlineStr">
        <is>
          <t>Hombres</t>
        </is>
      </c>
      <c r="T174" s="8525" t="inlineStr">
        <is>
          <t>Mujeres</t>
        </is>
      </c>
      <c r="U174" s="3088" t="inlineStr">
        <is>
          <t>Hombres</t>
        </is>
      </c>
      <c r="V174" s="8525" t="inlineStr">
        <is>
          <t>Mujeres</t>
        </is>
      </c>
      <c r="W174" s="3088" t="inlineStr">
        <is>
          <t>Hombres</t>
        </is>
      </c>
      <c r="X174" s="8525" t="inlineStr">
        <is>
          <t>Mujeres</t>
        </is>
      </c>
      <c r="Y174" s="3088" t="inlineStr">
        <is>
          <t>Hombres</t>
        </is>
      </c>
      <c r="Z174" s="8525" t="inlineStr">
        <is>
          <t>Mujeres</t>
        </is>
      </c>
      <c r="AA174" s="3088" t="inlineStr">
        <is>
          <t>Hombres</t>
        </is>
      </c>
      <c r="AB174" s="8525" t="inlineStr">
        <is>
          <t>Mujeres</t>
        </is>
      </c>
      <c r="AC174" s="3088" t="inlineStr">
        <is>
          <t>Hombres</t>
        </is>
      </c>
      <c r="AD174" s="8525" t="inlineStr">
        <is>
          <t>Mujeres</t>
        </is>
      </c>
      <c r="AE174" s="3088" t="inlineStr">
        <is>
          <t>Hombres</t>
        </is>
      </c>
      <c r="AF174" s="8525" t="inlineStr">
        <is>
          <t>Mujeres</t>
        </is>
      </c>
      <c r="AG174" s="3088" t="inlineStr">
        <is>
          <t>Hombres</t>
        </is>
      </c>
      <c r="AH174" s="8525" t="inlineStr">
        <is>
          <t>Mujeres</t>
        </is>
      </c>
      <c r="AI174" s="3088" t="inlineStr">
        <is>
          <t>Hombres</t>
        </is>
      </c>
      <c r="AJ174" s="8525" t="inlineStr">
        <is>
          <t>Mujeres</t>
        </is>
      </c>
      <c r="AK174" s="3088" t="inlineStr">
        <is>
          <t>Hombres</t>
        </is>
      </c>
      <c r="AL174" s="8525" t="inlineStr">
        <is>
          <t>Mujeres</t>
        </is>
      </c>
    </row>
    <row r="175">
      <c r="A175" s="3334" t="inlineStr">
        <is>
          <t>Orientación a personas y/o familias indígenas</t>
        </is>
      </c>
      <c r="B175" s="3094">
        <f>SUM(C175:D175)</f>
        <v/>
      </c>
      <c r="C175" s="3176">
        <f>+E175+G175+I175+K175+M175+O175+Q175+S175+U175+W175+Y175+AA175+AC175+AE175+AG175+AI175+AK175</f>
        <v/>
      </c>
      <c r="D175" s="3335">
        <f>+F175+H175+J175+L175+N175+P175+R175+T175+V175+X175+Z175+AB175+AD175+AF175+AH175+AJ175+AL175</f>
        <v/>
      </c>
      <c r="E175" s="3123" t="n"/>
      <c r="F175" s="3273" t="n"/>
      <c r="G175" s="3123" t="n"/>
      <c r="H175" s="3273" t="n"/>
      <c r="I175" s="3123" t="n"/>
      <c r="J175" s="3126" t="n"/>
      <c r="K175" s="3123" t="n"/>
      <c r="L175" s="3126" t="n"/>
      <c r="M175" s="3123" t="n"/>
      <c r="N175" s="3126" t="n"/>
      <c r="O175" s="3123" t="n"/>
      <c r="P175" s="3126" t="n"/>
      <c r="Q175" s="3123" t="n"/>
      <c r="R175" s="3126" t="n"/>
      <c r="S175" s="3123" t="n"/>
      <c r="T175" s="3126" t="n"/>
      <c r="U175" s="3123" t="n"/>
      <c r="V175" s="3126" t="n"/>
      <c r="W175" s="3123" t="n"/>
      <c r="X175" s="3126" t="n"/>
      <c r="Y175" s="3123" t="n"/>
      <c r="Z175" s="3126" t="n"/>
      <c r="AA175" s="3123" t="n"/>
      <c r="AB175" s="3126" t="n"/>
      <c r="AC175" s="3123" t="n"/>
      <c r="AD175" s="3126" t="n"/>
      <c r="AE175" s="3123" t="n"/>
      <c r="AF175" s="3126" t="n"/>
      <c r="AG175" s="3123" t="n"/>
      <c r="AH175" s="3126" t="n"/>
      <c r="AI175" s="3123" t="n"/>
      <c r="AJ175" s="3126" t="n"/>
      <c r="AK175" s="3274" t="n"/>
      <c r="AL175" s="3126" t="n"/>
    </row>
    <row r="176" ht="21" customHeight="1" s="8286">
      <c r="A176" s="2304" t="inlineStr">
        <is>
          <t>Acompañamiento de personas y/o familias en contexto de atención de salud</t>
        </is>
      </c>
      <c r="B176" s="3103">
        <f>SUM(C176:D176)</f>
        <v/>
      </c>
      <c r="C176" s="3179">
        <f>+E176+G176+I176+K176+M176+O176+Q176+S176+U176+W176+Y176+AA176+AC176+AE176+AG176+AI176+AK176</f>
        <v/>
      </c>
      <c r="D176" s="1249">
        <f>+F176+H176+J176+L176+N176+P176+R176+T176+V176+X176+Z176+AB176+AD176+AF176+AH176+AJ176+AL176</f>
        <v/>
      </c>
      <c r="E176" s="3108" t="n"/>
      <c r="F176" s="1125" t="n"/>
      <c r="G176" s="3108" t="n"/>
      <c r="H176" s="1125" t="n"/>
      <c r="I176" s="3108" t="n"/>
      <c r="J176" s="3101" t="n"/>
      <c r="K176" s="3108" t="n"/>
      <c r="L176" s="3101" t="n"/>
      <c r="M176" s="3108" t="n"/>
      <c r="N176" s="3101" t="n"/>
      <c r="O176" s="3108" t="n"/>
      <c r="P176" s="3101" t="n"/>
      <c r="Q176" s="3108" t="n"/>
      <c r="R176" s="3101" t="n"/>
      <c r="S176" s="3108" t="n"/>
      <c r="T176" s="3101" t="n"/>
      <c r="U176" s="3108" t="n"/>
      <c r="V176" s="3101" t="n"/>
      <c r="W176" s="3108" t="n"/>
      <c r="X176" s="3101" t="n"/>
      <c r="Y176" s="3108" t="n"/>
      <c r="Z176" s="3101" t="n"/>
      <c r="AA176" s="3108" t="n"/>
      <c r="AB176" s="3101" t="n"/>
      <c r="AC176" s="3108" t="n"/>
      <c r="AD176" s="3101" t="n"/>
      <c r="AE176" s="3108" t="n"/>
      <c r="AF176" s="3101" t="n"/>
      <c r="AG176" s="3108" t="n"/>
      <c r="AH176" s="3101" t="n"/>
      <c r="AI176" s="3108" t="n"/>
      <c r="AJ176" s="3101" t="n"/>
      <c r="AK176" s="3281" t="n"/>
      <c r="AL176" s="3101" t="n"/>
    </row>
    <row r="177" ht="21" customHeight="1" s="8286">
      <c r="A177" s="1145" t="inlineStr">
        <is>
          <t>Derivación asistida de personas a sistemas de sanación indígenas (Pueblos originarios)</t>
        </is>
      </c>
      <c r="B177" s="3103">
        <f>SUM(C177:D177)</f>
        <v/>
      </c>
      <c r="C177" s="3179">
        <f>+E177+G177+I177+K177+M177+O177+Q177+S177+U177+W177+Y177+AA177+AC177+AE177+AG177+AI177+AK177</f>
        <v/>
      </c>
      <c r="D177" s="889">
        <f>+F177+H177+J177+L177+N177+P177+R177+T177+V177+X177+Z177+AB177+AD177+AF177+AH177+AJ177+AL177</f>
        <v/>
      </c>
      <c r="E177" s="1198" t="n"/>
      <c r="F177" s="1148" t="n"/>
      <c r="G177" s="1198" t="n"/>
      <c r="H177" s="1148" t="n"/>
      <c r="I177" s="3108" t="n"/>
      <c r="J177" s="1199" t="n"/>
      <c r="K177" s="3108" t="n"/>
      <c r="L177" s="3101" t="n"/>
      <c r="M177" s="3108" t="n"/>
      <c r="N177" s="3101" t="n"/>
      <c r="O177" s="3108" t="n"/>
      <c r="P177" s="3101" t="n"/>
      <c r="Q177" s="3108" t="n"/>
      <c r="R177" s="3101" t="n"/>
      <c r="S177" s="3108" t="n"/>
      <c r="T177" s="3101" t="n"/>
      <c r="U177" s="3108" t="n"/>
      <c r="V177" s="3101" t="n"/>
      <c r="W177" s="3108" t="n"/>
      <c r="X177" s="3101" t="n"/>
      <c r="Y177" s="3108" t="n"/>
      <c r="Z177" s="3101" t="n"/>
      <c r="AA177" s="3108" t="n"/>
      <c r="AB177" s="3101" t="n"/>
      <c r="AC177" s="3108" t="n"/>
      <c r="AD177" s="3101" t="n"/>
      <c r="AE177" s="3108" t="n"/>
      <c r="AF177" s="3101" t="n"/>
      <c r="AG177" s="3108" t="n"/>
      <c r="AH177" s="3101" t="n"/>
      <c r="AI177" s="3108" t="n"/>
      <c r="AJ177" s="3101" t="n"/>
      <c r="AK177" s="3281" t="n"/>
      <c r="AL177" s="3101" t="n"/>
    </row>
    <row r="178" ht="21" customHeight="1" s="8286">
      <c r="A178" s="3137" t="inlineStr">
        <is>
          <t>Derivación asistida de personas a sistemas de sanación indígenas(Pueblos no originarios)</t>
        </is>
      </c>
      <c r="B178" s="640">
        <f>SUM(C178:D178)</f>
        <v/>
      </c>
      <c r="C178" s="708">
        <f>+E178+G178+I178+K178+M178+O178+Q178+S178+U178+W178+Y178+AA178+AC178+AE178+AG178+AI178+AK178</f>
        <v/>
      </c>
      <c r="D178" s="889">
        <f>+F178+H178+J178+L178+N178+P178+R178+T178+V178+X178+Z178+AB178+AD178+AF178+AH178+AJ178+AL178</f>
        <v/>
      </c>
      <c r="E178" s="3108" t="n"/>
      <c r="F178" s="3101" t="n"/>
      <c r="G178" s="1198" t="n"/>
      <c r="H178" s="3101" t="n"/>
      <c r="I178" s="638" t="n"/>
      <c r="J178" s="3101" t="n"/>
      <c r="K178" s="1971" t="n"/>
      <c r="L178" s="750" t="n"/>
      <c r="M178" s="1971" t="n"/>
      <c r="N178" s="750" t="n"/>
      <c r="O178" s="1971" t="n"/>
      <c r="P178" s="3101" t="n"/>
      <c r="Q178" s="3108" t="n"/>
      <c r="R178" s="3101" t="n"/>
      <c r="S178" s="3108" t="n"/>
      <c r="T178" s="3101" t="n"/>
      <c r="U178" s="3108" t="n"/>
      <c r="V178" s="3101" t="n"/>
      <c r="W178" s="3108" t="n"/>
      <c r="X178" s="3101" t="n"/>
      <c r="Y178" s="3108" t="n"/>
      <c r="Z178" s="3101" t="n"/>
      <c r="AA178" s="3108" t="n"/>
      <c r="AB178" s="3101" t="n"/>
      <c r="AC178" s="3108" t="n"/>
      <c r="AD178" s="3101" t="n"/>
      <c r="AE178" s="3108" t="n"/>
      <c r="AF178" s="3101" t="n"/>
      <c r="AG178" s="3108" t="n"/>
      <c r="AH178" s="3101" t="n"/>
      <c r="AI178" s="3108" t="n"/>
      <c r="AJ178" s="3101" t="n"/>
      <c r="AK178" s="3281" t="n"/>
      <c r="AL178" s="1199" t="n"/>
    </row>
    <row r="179">
      <c r="A179" s="3137" t="inlineStr">
        <is>
          <t xml:space="preserve">Otras actividades realizadas por facilitador </t>
        </is>
      </c>
      <c r="B179" s="3103">
        <f>SUM(C179:D179)</f>
        <v/>
      </c>
      <c r="C179" s="3179">
        <f>+E179+G179+I179+K179+M179+O179+Q179+S179+U179+W179+Y179+AA179+AC179+AE179+AG179+AI179+AK179</f>
        <v/>
      </c>
      <c r="D179" s="1171">
        <f>+F179+H179+J179+L179+N179+P179+R179+T179+V179+X179+Z179+AB179+AD179+AF179+AH179+AJ179+AL179</f>
        <v/>
      </c>
      <c r="E179" s="1198" t="n"/>
      <c r="F179" s="1125" t="n"/>
      <c r="G179" s="1198" t="n"/>
      <c r="H179" s="1125" t="n"/>
      <c r="I179" s="3108" t="n"/>
      <c r="J179" s="3101" t="n"/>
      <c r="K179" s="3108" t="n"/>
      <c r="L179" s="3101" t="n"/>
      <c r="M179" s="3108" t="n"/>
      <c r="N179" s="3101" t="n"/>
      <c r="O179" s="3108" t="n"/>
      <c r="P179" s="3101" t="n"/>
      <c r="Q179" s="3108" t="n"/>
      <c r="R179" s="3101" t="n"/>
      <c r="S179" s="3108" t="n"/>
      <c r="T179" s="3101" t="n"/>
      <c r="U179" s="3108" t="n"/>
      <c r="V179" s="3101" t="n"/>
      <c r="W179" s="3108" t="n"/>
      <c r="X179" s="3101" t="n"/>
      <c r="Y179" s="3108" t="n"/>
      <c r="Z179" s="3101" t="n"/>
      <c r="AA179" s="3108" t="n"/>
      <c r="AB179" s="3101" t="n"/>
      <c r="AC179" s="3108" t="n"/>
      <c r="AD179" s="3101" t="n"/>
      <c r="AE179" s="3108" t="n"/>
      <c r="AF179" s="3101" t="n"/>
      <c r="AG179" s="3108" t="n"/>
      <c r="AH179" s="3101" t="n"/>
      <c r="AI179" s="3108" t="n"/>
      <c r="AJ179" s="3101" t="n"/>
      <c r="AK179" s="3281" t="n"/>
      <c r="AL179" s="3101" t="n"/>
    </row>
    <row r="180" ht="21" customHeight="1" s="8286">
      <c r="A180" s="3336" t="inlineStr">
        <is>
          <t>Actividades de promoción y prevención con enfoque intercultural</t>
        </is>
      </c>
      <c r="B180" s="2576">
        <f>SUM(C180:D180)</f>
        <v/>
      </c>
      <c r="C180" s="3337">
        <f>+E180+G180+I180+K180+M180+O180+Q180+S180+U180+W180+Y180+AA180+AC180+AE180+AG180+AI180+AK180</f>
        <v/>
      </c>
      <c r="D180" s="3338">
        <f>+F180+H180+J180+L180+N180+P180+R180+T180+V180+X180+Z180+AB180+AD180+AF180+AH180+AJ180+AL180</f>
        <v/>
      </c>
      <c r="E180" s="1137" t="n"/>
      <c r="F180" s="2467" t="n"/>
      <c r="G180" s="1137" t="n"/>
      <c r="H180" s="2466" t="n"/>
      <c r="I180" s="3290" t="n"/>
      <c r="J180" s="189" t="n"/>
      <c r="K180" s="3290" t="n"/>
      <c r="L180" s="189" t="n"/>
      <c r="M180" s="3290" t="n"/>
      <c r="N180" s="189" t="n"/>
      <c r="O180" s="3290" t="n"/>
      <c r="P180" s="189" t="n"/>
      <c r="Q180" s="3290" t="n"/>
      <c r="R180" s="189" t="n"/>
      <c r="S180" s="3290" t="n"/>
      <c r="T180" s="189" t="n"/>
      <c r="U180" s="3290" t="n"/>
      <c r="V180" s="189" t="n"/>
      <c r="W180" s="3290" t="n"/>
      <c r="X180" s="189" t="n"/>
      <c r="Y180" s="3290" t="n"/>
      <c r="Z180" s="189" t="n"/>
      <c r="AA180" s="2465" t="n"/>
      <c r="AB180" s="2466" t="n"/>
      <c r="AC180" s="3290" t="n"/>
      <c r="AD180" s="189" t="n"/>
      <c r="AE180" s="3290" t="n"/>
      <c r="AF180" s="189" t="n"/>
      <c r="AG180" s="2465" t="n"/>
      <c r="AH180" s="2466" t="n"/>
      <c r="AI180" s="3290" t="n"/>
      <c r="AJ180" s="189" t="n"/>
      <c r="AK180" s="3290" t="n"/>
      <c r="AL180" s="189" t="n"/>
    </row>
    <row r="181">
      <c r="A181" s="7253" t="inlineStr">
        <is>
          <t>TOTAL</t>
        </is>
      </c>
      <c r="B181" s="1176">
        <f>SUM(B175:B180)</f>
        <v/>
      </c>
      <c r="C181" s="3338">
        <f>SUM(C175:C180)</f>
        <v/>
      </c>
      <c r="D181" s="404">
        <f>SUM(D175:D180)</f>
        <v/>
      </c>
      <c r="E181" s="3339">
        <f>SUM(E175:E179)</f>
        <v/>
      </c>
      <c r="F181" s="3340">
        <f>SUM(F175:F179)</f>
        <v/>
      </c>
      <c r="G181" s="3339">
        <f>SUM(G175:G179)</f>
        <v/>
      </c>
      <c r="H181" s="3340">
        <f>SUM(H175:H179)</f>
        <v/>
      </c>
      <c r="I181" s="3341">
        <f>SUM(I175:I179)</f>
        <v/>
      </c>
      <c r="J181" s="3340">
        <f>SUM(J175:J179)</f>
        <v/>
      </c>
      <c r="K181" s="3341">
        <f>SUM(K175:K179)</f>
        <v/>
      </c>
      <c r="L181" s="3340">
        <f>SUM(L175:L179)</f>
        <v/>
      </c>
      <c r="M181" s="3341">
        <f>SUM(M175:M179)</f>
        <v/>
      </c>
      <c r="N181" s="3340">
        <f>SUM(N175:N179)</f>
        <v/>
      </c>
      <c r="O181" s="3341">
        <f>SUM(O175:O179)</f>
        <v/>
      </c>
      <c r="P181" s="3340">
        <f>SUM(P175:P179)</f>
        <v/>
      </c>
      <c r="Q181" s="3341">
        <f>SUM(Q175:Q179)</f>
        <v/>
      </c>
      <c r="R181" s="3340">
        <f>SUM(R175:R179)</f>
        <v/>
      </c>
      <c r="S181" s="3341">
        <f>SUM(S175:S179)</f>
        <v/>
      </c>
      <c r="T181" s="3340">
        <f>SUM(T175:T179)</f>
        <v/>
      </c>
      <c r="U181" s="3341">
        <f>SUM(U175:U179)</f>
        <v/>
      </c>
      <c r="V181" s="3340">
        <f>SUM(V175:V179)</f>
        <v/>
      </c>
      <c r="W181" s="3341">
        <f>SUM(W175:W179)</f>
        <v/>
      </c>
      <c r="X181" s="3340">
        <f>SUM(X175:X179)</f>
        <v/>
      </c>
      <c r="Y181" s="3341">
        <f>SUM(Y175:Y179)</f>
        <v/>
      </c>
      <c r="Z181" s="3340">
        <f>SUM(Z175:Z179)</f>
        <v/>
      </c>
      <c r="AA181" s="3342">
        <f>SUM(AA175:AA179)</f>
        <v/>
      </c>
      <c r="AB181" s="1178">
        <f>SUM(AB175:AB179)</f>
        <v/>
      </c>
      <c r="AC181" s="3341">
        <f>SUM(AC175:AC179)</f>
        <v/>
      </c>
      <c r="AD181" s="3340">
        <f>SUM(AD175:AD179)</f>
        <v/>
      </c>
      <c r="AE181" s="3341">
        <f>SUM(AE175:AE179)</f>
        <v/>
      </c>
      <c r="AF181" s="3340">
        <f>SUM(AF175:AF179)</f>
        <v/>
      </c>
      <c r="AG181" s="3342">
        <f>SUM(AG175:AG179)</f>
        <v/>
      </c>
      <c r="AH181" s="1178">
        <f>SUM(AH175:AH179)</f>
        <v/>
      </c>
      <c r="AI181" s="3341">
        <f>SUM(AI175:AI179)</f>
        <v/>
      </c>
      <c r="AJ181" s="3340">
        <f>SUM(AJ175:AJ179)</f>
        <v/>
      </c>
      <c r="AK181" s="3341">
        <f>SUM(AK175:AK179)</f>
        <v/>
      </c>
      <c r="AL181" s="3340">
        <f>SUM(AL175:AL179)</f>
        <v/>
      </c>
    </row>
    <row r="182" ht="23.45" customHeight="1" s="8286">
      <c r="A182" s="7990" t="inlineStr">
        <is>
          <t>SECCIÓN D: ACTIVIDADES COMUNITARIAS DE ORIENTACIÓN Y/O EDUCACIÓN PARA LA SALUD  EN EL MARCO EPIDEMIOLÓGICO</t>
        </is>
      </c>
      <c r="B182" s="20" t="n"/>
      <c r="C182" s="20" t="n"/>
      <c r="D182" s="20" t="n"/>
    </row>
    <row r="183">
      <c r="A183" s="8515" t="inlineStr">
        <is>
          <t>CONCEPTOS</t>
        </is>
      </c>
      <c r="B183" s="8336" t="inlineStr">
        <is>
          <t>TOTAL</t>
        </is>
      </c>
      <c r="C183" s="8524" t="inlineStr">
        <is>
          <t>Individual</t>
        </is>
      </c>
      <c r="D183" s="3090" t="inlineStr">
        <is>
          <t>Grupal</t>
        </is>
      </c>
    </row>
    <row r="184">
      <c r="A184" s="3343" t="inlineStr">
        <is>
          <t>Orientación y/o Educación</t>
        </is>
      </c>
      <c r="B184" s="3344">
        <f>SUM(C184:D184)</f>
        <v/>
      </c>
      <c r="C184" s="1935" t="n"/>
      <c r="D184" s="755" t="n">
        <v>1</v>
      </c>
    </row>
    <row r="185">
      <c r="A185" s="2002" t="inlineStr">
        <is>
          <t xml:space="preserve">A lugar de trabajo </t>
        </is>
      </c>
      <c r="B185" s="2000">
        <f>SUM(C185:D185)</f>
        <v/>
      </c>
      <c r="C185" s="1935" t="n"/>
      <c r="D185" s="755" t="n"/>
    </row>
    <row r="186" ht="21" customHeight="1" s="8286">
      <c r="A186" s="3345" t="inlineStr">
        <is>
          <t>A Institución (ELEAM, cárceles,colegios, sala cuna y jardines infantiles)</t>
        </is>
      </c>
      <c r="B186" s="3264">
        <f>SUM(C186:D186)</f>
        <v/>
      </c>
      <c r="C186" s="3196" t="n"/>
      <c r="D186" s="886" t="n"/>
    </row>
    <row r="187">
      <c r="A187" s="1205" t="inlineStr">
        <is>
          <t>A grupo comunitario</t>
        </is>
      </c>
      <c r="B187" s="1268">
        <f>SUM(C187:D187)</f>
        <v/>
      </c>
      <c r="C187" s="1188" t="n"/>
      <c r="D187" s="1119" t="n"/>
    </row>
    <row r="202" hidden="1" s="8286"/>
    <row r="203" hidden="1" s="8286">
      <c r="A203" s="68">
        <f>SUM(C13:C89,C94:C105,C108:D117,C122:C124,C129:C148,B151:B155,B158:B164,B167:B170,C167:C170,B175:B179,B184:B187)</f>
        <v/>
      </c>
      <c r="B203" s="68">
        <f>SUM(CJ13:CQ148)</f>
        <v/>
      </c>
    </row>
    <row r="204" hidden="1" s="8286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VEpkrBd7ajWqLBC2K0xSig==" formatRows="1" sort="1" spinCount="100000" hashValue="/QWCatQSA6XPBLzmruAC8eTVIOCoIISPMvMDQE/18NE16Sgz2fvnJ5djQX+Qp1eAo0eLYH5ZPgdnQtRixwG26w=="/>
  <mergeCells count="128">
    <mergeCell ref="R92:S92"/>
    <mergeCell ref="N11:O11"/>
    <mergeCell ref="X11:Y11"/>
    <mergeCell ref="Z11:AA11"/>
    <mergeCell ref="S173:T173"/>
    <mergeCell ref="A171:J171"/>
    <mergeCell ref="A90:AM90"/>
    <mergeCell ref="N127:N128"/>
    <mergeCell ref="E173:F173"/>
    <mergeCell ref="X92:Y92"/>
    <mergeCell ref="Z92:AA92"/>
    <mergeCell ref="C10:E11"/>
    <mergeCell ref="A8:AM8"/>
    <mergeCell ref="I173:J173"/>
    <mergeCell ref="AC173:AD173"/>
    <mergeCell ref="AS10:AS12"/>
    <mergeCell ref="AU10:AU12"/>
    <mergeCell ref="A63:A66"/>
    <mergeCell ref="A127:A128"/>
    <mergeCell ref="B10:B12"/>
    <mergeCell ref="AA173:AB173"/>
    <mergeCell ref="A9:AM9"/>
    <mergeCell ref="A79:A89"/>
    <mergeCell ref="F120:G120"/>
    <mergeCell ref="H120:I120"/>
    <mergeCell ref="R120:S120"/>
    <mergeCell ref="J120:K120"/>
    <mergeCell ref="AG173:AH173"/>
    <mergeCell ref="L120:M120"/>
    <mergeCell ref="A122:A124"/>
    <mergeCell ref="X120:Y120"/>
    <mergeCell ref="Z120:AA120"/>
    <mergeCell ref="A134:A138"/>
    <mergeCell ref="A119:B121"/>
    <mergeCell ref="A94:A99"/>
    <mergeCell ref="A144:A148"/>
    <mergeCell ref="AP91:AP93"/>
    <mergeCell ref="AR91:AR93"/>
    <mergeCell ref="P11:Q11"/>
    <mergeCell ref="AN10:AN12"/>
    <mergeCell ref="T92:U92"/>
    <mergeCell ref="L92:M92"/>
    <mergeCell ref="A149:H149"/>
    <mergeCell ref="N92:O92"/>
    <mergeCell ref="H11:I11"/>
    <mergeCell ref="AF92:AG92"/>
    <mergeCell ref="A35:A45"/>
    <mergeCell ref="A172:A174"/>
    <mergeCell ref="J11:K11"/>
    <mergeCell ref="B127:B128"/>
    <mergeCell ref="T11:U11"/>
    <mergeCell ref="F10:AM10"/>
    <mergeCell ref="A57:A62"/>
    <mergeCell ref="V11:W11"/>
    <mergeCell ref="O173:P173"/>
    <mergeCell ref="Q173:R173"/>
    <mergeCell ref="AF11:AG11"/>
    <mergeCell ref="AH11:AI11"/>
    <mergeCell ref="AJ92:AK92"/>
    <mergeCell ref="AL92:AM92"/>
    <mergeCell ref="AJ119:AK120"/>
    <mergeCell ref="A118:AK118"/>
    <mergeCell ref="A139:A143"/>
    <mergeCell ref="T120:U120"/>
    <mergeCell ref="AS91:AS93"/>
    <mergeCell ref="AF120:AG120"/>
    <mergeCell ref="AH120:AI120"/>
    <mergeCell ref="A125:J125"/>
    <mergeCell ref="AQ10:AQ12"/>
    <mergeCell ref="K173:L173"/>
    <mergeCell ref="W173:X173"/>
    <mergeCell ref="E172:AL172"/>
    <mergeCell ref="O127:O128"/>
    <mergeCell ref="A46:A56"/>
    <mergeCell ref="A67:A73"/>
    <mergeCell ref="B91:B93"/>
    <mergeCell ref="AB11:AC11"/>
    <mergeCell ref="V120:W120"/>
    <mergeCell ref="AD11:AE11"/>
    <mergeCell ref="B172:D173"/>
    <mergeCell ref="F92:G92"/>
    <mergeCell ref="F119:AI119"/>
    <mergeCell ref="AN91:AO92"/>
    <mergeCell ref="A74:A78"/>
    <mergeCell ref="A107:A117"/>
    <mergeCell ref="L11:M11"/>
    <mergeCell ref="G173:H173"/>
    <mergeCell ref="AT10:AT12"/>
    <mergeCell ref="H92:I92"/>
    <mergeCell ref="C91:E92"/>
    <mergeCell ref="A129:A133"/>
    <mergeCell ref="J92:K92"/>
    <mergeCell ref="AB92:AC92"/>
    <mergeCell ref="F11:G11"/>
    <mergeCell ref="AD92:AE92"/>
    <mergeCell ref="A106:D106"/>
    <mergeCell ref="V92:W92"/>
    <mergeCell ref="F91:AM91"/>
    <mergeCell ref="A126:J126"/>
    <mergeCell ref="D127:M127"/>
    <mergeCell ref="R11:S11"/>
    <mergeCell ref="AJ11:AK11"/>
    <mergeCell ref="A91:A93"/>
    <mergeCell ref="M173:N173"/>
    <mergeCell ref="AL11:AM11"/>
    <mergeCell ref="AO10:AP11"/>
    <mergeCell ref="Y173:Z173"/>
    <mergeCell ref="AH92:AI92"/>
    <mergeCell ref="A6:T6"/>
    <mergeCell ref="C127:C128"/>
    <mergeCell ref="A10:A12"/>
    <mergeCell ref="AE173:AF173"/>
    <mergeCell ref="AL119:AL121"/>
    <mergeCell ref="AI173:AJ173"/>
    <mergeCell ref="N120:O120"/>
    <mergeCell ref="A13:A23"/>
    <mergeCell ref="AK173:AL173"/>
    <mergeCell ref="P120:Q120"/>
    <mergeCell ref="AQ91:AQ93"/>
    <mergeCell ref="AB120:AC120"/>
    <mergeCell ref="AD120:AE120"/>
    <mergeCell ref="A100:A105"/>
    <mergeCell ref="A24:A34"/>
    <mergeCell ref="U173:V173"/>
    <mergeCell ref="A156:H156"/>
    <mergeCell ref="C119:E120"/>
    <mergeCell ref="AR10:AR12"/>
    <mergeCell ref="P92:Q92"/>
  </mergeCells>
  <dataValidations count="8">
    <dataValidation sqref="C151:H155 C158:H164 C167:J170 D129:O148 E175:AL180 F122:AL124" showDropDown="0" showInputMessage="1" showErrorMessage="1" allowBlank="0" type="whole" operator="greaterThanOrEqual">
      <formula1>0</formula1>
    </dataValidation>
    <dataValidation sqref="A118:A119 A122 B122:E124 B172:D173 B175:D180 C79:E89 C119:E120" showDropDown="0" showInputMessage="1" showErrorMessage="1" allowBlank="0" error="Valor no Permitido" type="whole">
      <formula1>0</formula1>
      <formula2>1E+30</formula2>
    </dataValidation>
    <dataValidation sqref="A79:A89" showDropDown="0" showInputMessage="1" showErrorMessage="1" allowBlank="0" error="Valor no Permitido"/>
    <dataValidation sqref="D74:D78" showDropDown="0" showInputMessage="1" showErrorMessage="1" allowBlank="0" type="whole" operator="equal">
      <formula1>0</formula1>
    </dataValidation>
    <dataValidation sqref="C108:D117" showDropDown="0" showInputMessage="1" showErrorMessage="1" allowBlank="0" type="whole">
      <formula1>0</formula1>
      <formula2>9.99999999999999E+34</formula2>
    </dataValidation>
    <dataValidation sqref="F94:AS105" showDropDown="0" showInputMessage="1" showErrorMessage="1" allowBlank="0" type="whole">
      <formula1>0</formula1>
      <formula2>9.99999999999999E+36</formula2>
    </dataValidation>
    <dataValidation sqref="F13:AU89" showDropDown="0" showInputMessage="1" showErrorMessage="1" allowBlank="0" type="whole">
      <formula1>0</formula1>
      <formula2>9.99999999999999E+35</formula2>
    </dataValidation>
    <dataValidation sqref="C184:D187" showDropDown="0" showInputMessage="1" showErrorMessage="1" allowBlank="0" type="whole">
      <formula1>0</formula1>
      <formula2>9.99999999999999E+40</formula2>
    </dataValidation>
  </dataValidations>
  <pageMargins left="0.7" right="0.7" top="0.75" bottom="0.75" header="0.3" footer="0.3"/>
  <pageSetup orientation="portrait" paperSize="9"/>
</worksheet>
</file>

<file path=xl/worksheets/sheet14.xml><?xml version="1.0" encoding="utf-8"?>
<worksheet xmlns="http://schemas.openxmlformats.org/spreadsheetml/2006/main">
  <sheetPr codeName="Hoja14">
    <outlinePr summaryBelow="1" summaryRight="1"/>
    <pageSetUpPr/>
  </sheetPr>
  <dimension ref="A1:CU200"/>
  <sheetViews>
    <sheetView showGridLines="0" topLeftCell="C1" zoomScaleNormal="100" workbookViewId="0">
      <selection activeCell="Q24" sqref="Q24"/>
    </sheetView>
  </sheetViews>
  <sheetFormatPr baseColWidth="10" defaultColWidth="11.42578125" defaultRowHeight="15"/>
  <cols>
    <col width="55.5703125" customWidth="1" style="8286" min="1" max="1"/>
    <col width="14.5703125" customWidth="1" style="8286" min="2" max="2"/>
    <col width="15.7109375" customWidth="1" style="8286" min="3" max="4"/>
    <col width="14.5703125" customWidth="1" style="8286" min="5" max="6"/>
    <col width="16.140625" customWidth="1" style="8286" min="7" max="7"/>
    <col width="16.7109375" customWidth="1" style="8286" min="8" max="8"/>
    <col width="15.42578125" customWidth="1" style="8286" min="9" max="9"/>
    <col width="15.85546875" customWidth="1" style="8286" min="10" max="10"/>
    <col width="16" customWidth="1" style="8286" min="11" max="11"/>
    <col width="15.7109375" customWidth="1" style="8286" min="14" max="14"/>
    <col width="12.7109375" customWidth="1" style="8286" min="15" max="15"/>
    <col width="13.42578125" customWidth="1" style="8286" min="17" max="18"/>
    <col width="11.42578125" customWidth="1" style="8286" min="77" max="78"/>
    <col hidden="1" width="10.7109375" customWidth="1" style="20" min="79" max="80"/>
    <col hidden="1" width="11.42578125" customWidth="1" style="20" min="81" max="85"/>
    <col hidden="1" style="20" min="86" max="97"/>
    <col hidden="1" style="8286" min="98" max="99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25">
        <f>CONCATENATE("AÑO: ",NOMBRE!B7)</f>
        <v/>
      </c>
    </row>
    <row r="6" ht="18" customHeight="1" s="8286">
      <c r="A6" s="7256" t="inlineStr">
        <is>
          <t>REM-A19b.  ACTIVIDADES DE PARTICIPACIÓN SOCIAL</t>
        </is>
      </c>
    </row>
    <row r="8" ht="18" customHeight="1" s="8286">
      <c r="A8" s="9689" t="inlineStr">
        <is>
          <t>SECCIÓN A: ATENCIÓN OFICINAS DE INFORMACIONES (SISTEMA INTEGRAL DE ATENCIÓN A USUARIOS)</t>
        </is>
      </c>
      <c r="B8" s="9591" t="n"/>
      <c r="C8" s="9591" t="n"/>
      <c r="D8" s="9591" t="n"/>
      <c r="E8" s="9591" t="n"/>
      <c r="F8" s="9591" t="n"/>
      <c r="G8" s="9591" t="n"/>
      <c r="H8" s="9591" t="n"/>
      <c r="I8" s="9591" t="n"/>
      <c r="J8" s="9591" t="n"/>
      <c r="K8" s="9591" t="n"/>
    </row>
    <row r="9" ht="24" customHeight="1" s="8286">
      <c r="A9" s="9213" t="inlineStr">
        <is>
          <t>TIPO DE ATENCION</t>
        </is>
      </c>
      <c r="B9" s="10095" t="inlineStr">
        <is>
          <t>Nº DE ATENCIONES EN EL MES</t>
        </is>
      </c>
      <c r="C9" s="9584" t="n"/>
      <c r="D9" s="9584" t="n"/>
      <c r="E9" s="8400" t="inlineStr">
        <is>
          <t>Respuestas del Mes Dentro de Plazos Legales (15 días Hábiles)</t>
        </is>
      </c>
      <c r="F9" s="9582" t="n"/>
      <c r="G9" s="7660" t="inlineStr">
        <is>
          <t>Reclamos Respondidos Fuera de Plazos Legales</t>
        </is>
      </c>
      <c r="H9" s="9915" t="inlineStr">
        <is>
          <t>Reclamos Pendientes</t>
        </is>
      </c>
      <c r="I9" s="9595" t="n"/>
      <c r="J9" s="10320" t="inlineStr">
        <is>
          <t>TRANS</t>
        </is>
      </c>
      <c r="K9" s="10321" t="n"/>
      <c r="L9" s="10248" t="inlineStr">
        <is>
          <t>No Binarie</t>
        </is>
      </c>
      <c r="M9" s="9281" t="inlineStr">
        <is>
          <t>No revelado</t>
        </is>
      </c>
      <c r="N9" s="8400" t="inlineStr">
        <is>
          <t>Pueblos Originarios</t>
        </is>
      </c>
      <c r="O9" s="9977" t="inlineStr">
        <is>
          <t>Migrantes</t>
        </is>
      </c>
      <c r="P9" s="10347" t="inlineStr">
        <is>
          <t>PRAIS</t>
        </is>
      </c>
      <c r="Q9" s="8400" t="inlineStr">
        <is>
          <t>N° DE ATENCIONES EN EL MES (Ley Mila)</t>
        </is>
      </c>
      <c r="R9" s="9582" t="n"/>
      <c r="S9" s="116" t="n"/>
    </row>
    <row r="10" ht="35.1" customHeight="1" s="8286">
      <c r="A10" s="9588" t="n"/>
      <c r="B10" s="8403" t="inlineStr">
        <is>
          <t>TOTAL AMBOS SEXOS</t>
        </is>
      </c>
      <c r="C10" s="3346" t="inlineStr">
        <is>
          <t>Hombres</t>
        </is>
      </c>
      <c r="D10" s="8468" t="inlineStr">
        <is>
          <t>Mujeres</t>
        </is>
      </c>
      <c r="E10" s="3088" t="inlineStr">
        <is>
          <t>Reclamos generados en el mes</t>
        </is>
      </c>
      <c r="F10" s="8532" t="inlineStr">
        <is>
          <t>Reclamos generados en el mes anterior</t>
        </is>
      </c>
      <c r="G10" s="9625" t="n"/>
      <c r="H10" s="3088" t="inlineStr">
        <is>
          <t>Respuestas pendientes dentro del plazo legal</t>
        </is>
      </c>
      <c r="I10" s="8427" t="inlineStr">
        <is>
          <t>Respuestas pendientes fuera del plazo legal</t>
        </is>
      </c>
      <c r="J10" s="3347" t="inlineStr">
        <is>
          <t xml:space="preserve"> Masculino</t>
        </is>
      </c>
      <c r="K10" s="8525" t="inlineStr">
        <is>
          <t xml:space="preserve"> Femenina</t>
        </is>
      </c>
      <c r="L10" s="9800" t="n"/>
      <c r="M10" s="9606" t="n"/>
      <c r="N10" s="9610" t="n"/>
      <c r="O10" s="9610" t="n"/>
      <c r="P10" s="9591" t="n"/>
      <c r="Q10" s="3088" t="inlineStr">
        <is>
          <t>Niños, niñas y adolescentes</t>
        </is>
      </c>
      <c r="R10" s="8525" t="inlineStr">
        <is>
          <t>Gestantes</t>
        </is>
      </c>
    </row>
    <row r="11">
      <c r="A11" s="8524" t="inlineStr">
        <is>
          <t xml:space="preserve">TOTAL DE RECLAMOS </t>
        </is>
      </c>
      <c r="B11" s="3348">
        <f>SUM(C11:D11)</f>
        <v/>
      </c>
      <c r="C11" s="3349">
        <f>SUM(C12:C51)</f>
        <v/>
      </c>
      <c r="D11" s="3350">
        <f>SUM(D12:D51)</f>
        <v/>
      </c>
      <c r="E11" s="3349">
        <f>SUM(E12:E51)</f>
        <v/>
      </c>
      <c r="F11" s="3350">
        <f>SUM(F12:F51)</f>
        <v/>
      </c>
      <c r="G11" s="3351">
        <f>SUM(G12:G51)</f>
        <v/>
      </c>
      <c r="H11" s="3352">
        <f>SUM(H12:H51)</f>
        <v/>
      </c>
      <c r="I11" s="3353">
        <f>SUM(I12:I51)</f>
        <v/>
      </c>
      <c r="J11" s="3354">
        <f>SUM(J12:J51)</f>
        <v/>
      </c>
      <c r="K11" s="3351">
        <f>SUM(K12:K51)</f>
        <v/>
      </c>
      <c r="L11" s="3349">
        <f>SUM(L12:L51)</f>
        <v/>
      </c>
      <c r="M11" s="5438">
        <f>SUM(M12:M51)</f>
        <v/>
      </c>
      <c r="N11" s="5440">
        <f>SUM(N12:N51)</f>
        <v/>
      </c>
      <c r="O11" s="5440">
        <f>SUM(O12:O51)</f>
        <v/>
      </c>
      <c r="P11" s="5441">
        <f>SUM(P12:P51)</f>
        <v/>
      </c>
      <c r="Q11" s="3349">
        <f>SUM(Q12:Q51)</f>
        <v/>
      </c>
      <c r="R11" s="3351">
        <f>SUM(R12:R51)</f>
        <v/>
      </c>
    </row>
    <row r="12">
      <c r="A12" s="8383" t="inlineStr">
        <is>
          <t>Trato no amable, digno ni respetuoso</t>
        </is>
      </c>
      <c r="B12" s="3355">
        <f>SUM(C12:D12)</f>
        <v/>
      </c>
      <c r="C12" s="1971" t="n">
        <v>1</v>
      </c>
      <c r="D12" s="750" t="n">
        <v>10</v>
      </c>
      <c r="E12" s="1971" t="n">
        <v>11</v>
      </c>
      <c r="F12" s="750" t="n">
        <v>9</v>
      </c>
      <c r="G12" s="1122" t="n"/>
      <c r="H12" s="747" t="n"/>
      <c r="I12" s="778" t="n"/>
      <c r="J12" s="1972" t="n"/>
      <c r="K12" s="1122" t="n"/>
      <c r="L12" s="1971" t="n"/>
      <c r="M12" s="2660" t="n"/>
      <c r="N12" s="3227" t="n"/>
      <c r="O12" s="3227" t="n"/>
      <c r="P12" s="1122" t="n"/>
      <c r="Q12" s="1971" t="n"/>
      <c r="R12" s="1122" t="n"/>
      <c r="S12" s="226">
        <f>CA12&amp;CB12&amp;CC12&amp;CD12&amp;CE12&amp;CF12&amp;CG12&amp;CH12&amp;CI12</f>
        <v/>
      </c>
      <c r="CA12" s="405">
        <f>IF(AND(D12&gt;0,J12=""),"*No olvide digitar el campo TRANS Masculino (Digite CERO si no tiene).", IF(J12&gt;D12," * El Número de TRANS Masculino no puede superar el Total Mujeres. ",""))</f>
        <v/>
      </c>
      <c r="CB12" s="405">
        <f>IF(AND(C12&gt;0,OR(K12=""))," *No olvide digitar el campo TRANS Femenino (Digite CERO si no tiene).",IF(K12&gt;$C12," * El Número de TRANS Femenino no puede superar el Total Hombres. ",""))</f>
        <v/>
      </c>
      <c r="CC12" s="405">
        <f>IF(AND($B12&gt;0,OR(L12=""))," *No olvide digitar el campo "&amp;L$9&amp;""&amp;". Digite CERO si no tiene.", IF(L12&gt;$B12," * La variable "&amp;L$9&amp;""&amp;" no puede superar el Total Ambos Sexos. ",""))</f>
        <v/>
      </c>
      <c r="CD12" s="405">
        <f>IF(AND($B12&gt;0,OR(M12=""))," *No olvide digitar el campo "&amp;M$9&amp;""&amp;". Digite CERO si no tiene.", IF(M12&gt;$B12," * La variable "&amp;M$9&amp;""&amp;" no puede superar el Total Ambos Sexos. ",""))</f>
        <v/>
      </c>
      <c r="CE12" s="405">
        <f>IF(AND($B12&gt;0,OR(N12=""))," *No olvide digitar el campo "&amp;N$9&amp;""&amp;". Digite CERO si no tiene.", IF(N12&gt;$B12," * La variable "&amp;N$9&amp;""&amp;" no puede superar el Total Ambos Sexos. ",""))</f>
        <v/>
      </c>
      <c r="CF12" s="405">
        <f>IF(AND($B12&gt;0,OR(O12=""))," *No olvide digitar el campo "&amp;O$9&amp;""&amp;". Digite CERO si no tiene.", IF(O12&gt;$B12," * La variable "&amp;O$9&amp;""&amp;" no puede superar el Total Ambos Sexos. ",""))</f>
        <v/>
      </c>
      <c r="CG12" s="405">
        <f>IF(AND($B12&gt;0,OR(P12=""))," *No olvide digitar el campo "&amp;P$9&amp;""&amp;". Digite CERO si no tiene.", IF(P12&gt;$B12," * La variable "&amp;P$9&amp;""&amp;" no puede superar el Total Ambos Sexos. ",""))</f>
        <v/>
      </c>
      <c r="CH12" s="405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>IF(AND(D12&gt;0,OR(J12="")),1,IF(J12&gt;D12,1,0))</f>
        <v/>
      </c>
      <c r="CN12" s="197">
        <f>IF(AND(C12&gt;0,OR(K12="")),1,IF(K12&gt;C12,1,0))</f>
        <v/>
      </c>
      <c r="CO12" s="197">
        <f>IF(AND($B12&gt;0,OR(L12="")),1,IF(L12&gt;$B12,1,0))</f>
        <v/>
      </c>
      <c r="CP12" s="197">
        <f>IF(AND($B12&gt;0,OR(M12="")),1,IF(M12&gt;$B12,1,0))</f>
        <v/>
      </c>
      <c r="CQ12" s="197">
        <f>IF(AND($B12&gt;0,OR(N12="")),1,IF(N12&gt;$B12,1,0))</f>
        <v/>
      </c>
      <c r="CR12" s="197">
        <f>IF(AND($B12&gt;0,OR(O12="")),1,IF(O12&gt;$B12,1,0))</f>
        <v/>
      </c>
      <c r="CS12" s="197">
        <f>IF(AND($B12&gt;0,OR(P12="")),1,IF(P12&gt;$B12,1,0))</f>
        <v/>
      </c>
      <c r="CT12" s="221">
        <f>IF(AND($B12&gt;0,OR(Q12="")),1,IF(Q12&gt;$B12,1,0))</f>
        <v/>
      </c>
      <c r="CU12" s="221">
        <f>IF(AND($D12&gt;0,OR(R12="")),1,IF(R12&gt;$D12,1,0))</f>
        <v/>
      </c>
    </row>
    <row r="13">
      <c r="A13" s="2377" t="inlineStr">
        <is>
          <t>Trato discriminatorio</t>
        </is>
      </c>
      <c r="B13" s="3356">
        <f>SUM(C13:D13)</f>
        <v/>
      </c>
      <c r="C13" s="3108" t="n"/>
      <c r="D13" s="878" t="n"/>
      <c r="E13" s="3108" t="n"/>
      <c r="F13" s="878" t="n"/>
      <c r="G13" s="1125" t="n"/>
      <c r="H13" s="882" t="n"/>
      <c r="I13" s="880" t="n"/>
      <c r="J13" s="881" t="n"/>
      <c r="K13" s="1125" t="n"/>
      <c r="L13" s="3108" t="n"/>
      <c r="M13" s="3659" t="n"/>
      <c r="N13" s="4008" t="n"/>
      <c r="O13" s="4008" t="n"/>
      <c r="P13" s="3656" t="n"/>
      <c r="Q13" s="3108" t="n"/>
      <c r="R13" s="1125" t="n"/>
      <c r="S13" s="226">
        <f>CA13&amp;CB13&amp;CC13&amp;CD13&amp;CE13&amp;CF13&amp;CG13&amp;CH13&amp;CI13</f>
        <v/>
      </c>
      <c r="CA13" s="405">
        <f>IF(AND(D13&gt;0,J13=""),"*No olvide digitar el campo TRANS Masculino (Digite CERO si no tiene).", IF(J13&gt;D13," * El Número de TRANS Masculino no puede superar el Total Mujeres. ",""))</f>
        <v/>
      </c>
      <c r="CB13" s="405">
        <f>IF(AND(C13&gt;0,OR(K13=""))," *No olvide digitar el campo TRANS Femenino (Digite CERO si no tiene).",IF(K13&gt;$C13," * El Número de TRANS Femenino no puede superar el Total Hombres. ",""))</f>
        <v/>
      </c>
      <c r="CC13" s="405">
        <f>IF(AND($B13&gt;0,OR(L13=""))," *No olvide digitar el campo "&amp;L$9&amp;""&amp;". Digite CERO si no tiene.", IF(L13&gt;$B13," * La variable "&amp;L$9&amp;""&amp;" no puede superar el Total Ambos Sexos. ",""))</f>
        <v/>
      </c>
      <c r="CD13" s="405">
        <f>IF(AND($B13&gt;0,OR(M13=""))," *No olvide digitar el campo "&amp;M$9&amp;""&amp;". Digite CERO si no tiene.", IF(M13&gt;$B13," * La variable "&amp;M$9&amp;""&amp;" no puede superar el Total Ambos Sexos. ",""))</f>
        <v/>
      </c>
      <c r="CE13" s="405">
        <f>IF(AND($B13&gt;0,OR(N13=""))," *No olvide digitar el campo "&amp;N$9&amp;""&amp;". Digite CERO si no tiene.", IF(N13&gt;$B13," * La variable "&amp;N$9&amp;""&amp;" no puede superar el Total Ambos Sexos. ",""))</f>
        <v/>
      </c>
      <c r="CF13" s="405">
        <f>IF(AND($B13&gt;0,OR(O13=""))," *No olvide digitar el campo "&amp;O$9&amp;""&amp;". Digite CERO si no tiene.", IF(O13&gt;$B13," * La variable "&amp;O$9&amp;""&amp;" no puede superar el Total Ambos Sexos. ",""))</f>
        <v/>
      </c>
      <c r="CG13" s="405">
        <f>IF(AND($B13&gt;0,OR(P13=""))," *No olvide digitar el campo "&amp;P$9&amp;""&amp;". Digite CERO si no tiene.", IF(P13&gt;$B13," * La variable "&amp;P$9&amp;""&amp;" no puede superar el Total Ambos Sexos. ",""))</f>
        <v/>
      </c>
      <c r="CH13" s="405">
        <f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>
        <f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>IF(AND(D13&gt;0,OR(J13="")),1,IF(J13&gt;D13,1,0))</f>
        <v/>
      </c>
      <c r="CN13" s="197">
        <f>IF(AND(C13&gt;0,OR(K13="")),1,IF(K13&gt;C13,1,0))</f>
        <v/>
      </c>
      <c r="CO13" s="197">
        <f>IF(AND($B13&gt;0,OR(L13="")),1,IF(L13&gt;$B13,1,0))</f>
        <v/>
      </c>
      <c r="CP13" s="197">
        <f>IF(AND($B13&gt;0,OR(M13="")),1,IF(M13&gt;$B13,1,0))</f>
        <v/>
      </c>
      <c r="CQ13" s="197">
        <f>IF(AND($B13&gt;0,OR(N13="")),1,IF(N13&gt;$B13,1,0))</f>
        <v/>
      </c>
      <c r="CR13" s="197">
        <f>IF(AND($B13&gt;0,OR(O13="")),1,IF(O13&gt;$B13,1,0))</f>
        <v/>
      </c>
      <c r="CS13" s="197">
        <f>IF(AND($B13&gt;0,OR(P13="")),1,IF(P13&gt;$B13,1,0))</f>
        <v/>
      </c>
      <c r="CT13" s="221">
        <f>IF(AND($B13&gt;0,OR(Q13="")),1,IF(Q13&gt;$B13,1,0))</f>
        <v/>
      </c>
      <c r="CU13" s="221">
        <f>IF(AND($D13&gt;0,OR(R13="")),1,IF(R13&gt;$D13,1,0))</f>
        <v/>
      </c>
    </row>
    <row r="14">
      <c r="A14" s="2377" t="inlineStr">
        <is>
          <t>Trato con falta de privacidad</t>
        </is>
      </c>
      <c r="B14" s="3356">
        <f>SUM(C14:D14)</f>
        <v/>
      </c>
      <c r="C14" s="3108" t="n"/>
      <c r="D14" s="878" t="n"/>
      <c r="E14" s="3108" t="n"/>
      <c r="F14" s="1125" t="n"/>
      <c r="G14" s="1125" t="n"/>
      <c r="H14" s="3100" t="n"/>
      <c r="I14" s="3149" t="n"/>
      <c r="J14" s="881" t="n"/>
      <c r="K14" s="1125" t="n"/>
      <c r="L14" s="3108" t="n"/>
      <c r="M14" s="3659" t="n"/>
      <c r="N14" s="4008" t="n"/>
      <c r="O14" s="4008" t="n"/>
      <c r="P14" s="3656" t="n"/>
      <c r="Q14" s="3108" t="n"/>
      <c r="R14" s="1125" t="n"/>
      <c r="S14" s="226">
        <f>CA14&amp;CB14&amp;CC14&amp;CD14&amp;CE14&amp;CF14&amp;CG14&amp;CH14&amp;CI14</f>
        <v/>
      </c>
      <c r="CA14" s="405">
        <f>IF(AND(D14&gt;0,J14=""),"*No olvide digitar el campo TRANS Masculino (Digite CERO si no tiene).", IF(J14&gt;D14," * El Número de TRANS Masculino no puede superar el Total Mujeres. ",""))</f>
        <v/>
      </c>
      <c r="CB14" s="405">
        <f>IF(AND(C14&gt;0,OR(K14=""))," *No olvide digitar el campo TRANS Femenino (Digite CERO si no tiene).",IF(K14&gt;$C14," * El Número de TRANS Femenino no puede superar el Total Hombres. ",""))</f>
        <v/>
      </c>
      <c r="CC14" s="405">
        <f>IF(AND($B14&gt;0,OR(L14=""))," *No olvide digitar el campo "&amp;L$9&amp;""&amp;". Digite CERO si no tiene.", IF(L14&gt;$B14," * La variable "&amp;L$9&amp;""&amp;" no puede superar el Total Ambos Sexos. ",""))</f>
        <v/>
      </c>
      <c r="CD14" s="405">
        <f>IF(AND($B14&gt;0,OR(M14=""))," *No olvide digitar el campo "&amp;M$9&amp;""&amp;". Digite CERO si no tiene.", IF(M14&gt;$B14," * La variable "&amp;M$9&amp;""&amp;" no puede superar el Total Ambos Sexos. ",""))</f>
        <v/>
      </c>
      <c r="CE14" s="405">
        <f>IF(AND($B14&gt;0,OR(N14=""))," *No olvide digitar el campo "&amp;N$9&amp;""&amp;". Digite CERO si no tiene.", IF(N14&gt;$B14," * La variable "&amp;N$9&amp;""&amp;" no puede superar el Total Ambos Sexos. ",""))</f>
        <v/>
      </c>
      <c r="CF14" s="405">
        <f>IF(AND($B14&gt;0,OR(O14=""))," *No olvide digitar el campo "&amp;O$9&amp;""&amp;". Digite CERO si no tiene.", IF(O14&gt;$B14," * La variable "&amp;O$9&amp;""&amp;" no puede superar el Total Ambos Sexos. ",""))</f>
        <v/>
      </c>
      <c r="CG14" s="405">
        <f>IF(AND($B14&gt;0,OR(P14=""))," *No olvide digitar el campo "&amp;P$9&amp;""&amp;". Digite CERO si no tiene.", IF(P14&gt;$B14," * La variable "&amp;P$9&amp;""&amp;" no puede superar el Total Ambos Sexos. ",""))</f>
        <v/>
      </c>
      <c r="CH14" s="405">
        <f>IF(AND($B14&gt;0,OR(Q14=""))," *No olvide digitar el campo "&amp;Q$9&amp;""&amp;". Niños, niñas y adolescentes. Digite CERO si no tiene.", IF(Q14&gt;$B14," * La variable "&amp;Q$9&amp;""&amp;" no puede superar el Total Ambos Sexos. ",""))</f>
        <v/>
      </c>
      <c r="CI14" s="405">
        <f>IF(AND($D14&gt;0,OR(R14=""))," *No olvide digitar el campo "&amp;Q$9&amp;""&amp;" Gestantes. Digite CERO si no tiene.", IF(R14&gt;$D14," * La variable "&amp;Q$9&amp;""&amp;" no puede superar el Total Mujeres. ",""))</f>
        <v/>
      </c>
      <c r="CM14" s="197">
        <f>IF(AND(D14&gt;0,OR(J14="")),1,IF(J14&gt;D14,1,0))</f>
        <v/>
      </c>
      <c r="CN14" s="197">
        <f>IF(AND(C14&gt;0,OR(K14="")),1,IF(K14&gt;C14,1,0))</f>
        <v/>
      </c>
      <c r="CO14" s="197">
        <f>IF(AND($B14&gt;0,OR(L14="")),1,IF(L14&gt;$B14,1,0))</f>
        <v/>
      </c>
      <c r="CP14" s="197">
        <f>IF(AND($B14&gt;0,OR(M14="")),1,IF(M14&gt;$B14,1,0))</f>
        <v/>
      </c>
      <c r="CQ14" s="197">
        <f>IF(AND($B14&gt;0,OR(N14="")),1,IF(N14&gt;$B14,1,0))</f>
        <v/>
      </c>
      <c r="CR14" s="197">
        <f>IF(AND($B14&gt;0,OR(O14="")),1,IF(O14&gt;$B14,1,0))</f>
        <v/>
      </c>
      <c r="CS14" s="197">
        <f>IF(AND($B14&gt;0,OR(P14="")),1,IF(P14&gt;$B14,1,0))</f>
        <v/>
      </c>
      <c r="CT14" s="221">
        <f>IF(AND($B14&gt;0,OR(Q14="")),1,IF(Q14&gt;$B14,1,0))</f>
        <v/>
      </c>
      <c r="CU14" s="221">
        <f>IF(AND($D14&gt;0,OR(R14="")),1,IF(R14&gt;$D14,1,0))</f>
        <v/>
      </c>
    </row>
    <row r="15">
      <c r="A15" s="2377" t="inlineStr">
        <is>
          <t xml:space="preserve">Trato con falta de confidencialidad </t>
        </is>
      </c>
      <c r="B15" s="3356">
        <f>SUM(C15:D15)</f>
        <v/>
      </c>
      <c r="C15" s="3108" t="n"/>
      <c r="D15" s="878" t="n"/>
      <c r="E15" s="3108" t="n"/>
      <c r="F15" s="1125" t="n"/>
      <c r="G15" s="1125" t="n"/>
      <c r="H15" s="3100" t="n"/>
      <c r="I15" s="3149" t="n"/>
      <c r="J15" s="881" t="n"/>
      <c r="K15" s="1125" t="n"/>
      <c r="L15" s="3108" t="n"/>
      <c r="M15" s="3659" t="n"/>
      <c r="N15" s="4008" t="n"/>
      <c r="O15" s="4008" t="n"/>
      <c r="P15" s="3656" t="n"/>
      <c r="Q15" s="3108" t="n"/>
      <c r="R15" s="1125" t="n"/>
      <c r="S15" s="226">
        <f>CA15&amp;CB15&amp;CC15&amp;CD15&amp;CE15&amp;CF15&amp;CG15&amp;CH15&amp;CI15</f>
        <v/>
      </c>
      <c r="CA15" s="405">
        <f>IF(AND(D15&gt;0,J15=""),"*No olvide digitar el campo TRANS Masculino (Digite CERO si no tiene).", IF(J15&gt;D15," * El Número de TRANS Masculino no puede superar el Total Mujeres. ",""))</f>
        <v/>
      </c>
      <c r="CB15" s="405">
        <f>IF(AND(C15&gt;0,OR(K15=""))," *No olvide digitar el campo TRANS Femenino (Digite CERO si no tiene).",IF(K15&gt;$C15," * El Número de TRANS Femenino no puede superar el Total Hombres. ",""))</f>
        <v/>
      </c>
      <c r="CC15" s="405">
        <f>IF(AND($B15&gt;0,OR(L15=""))," *No olvide digitar el campo "&amp;L$9&amp;""&amp;". Digite CERO si no tiene.", IF(L15&gt;$B15," * La variable "&amp;L$9&amp;""&amp;" no puede superar el Total Ambos Sexos. ",""))</f>
        <v/>
      </c>
      <c r="CD15" s="405">
        <f>IF(AND($B15&gt;0,OR(M15=""))," *No olvide digitar el campo "&amp;M$9&amp;""&amp;". Digite CERO si no tiene.", IF(M15&gt;$B15," * La variable "&amp;M$9&amp;""&amp;" no puede superar el Total Ambos Sexos. ",""))</f>
        <v/>
      </c>
      <c r="CE15" s="405">
        <f>IF(AND($B15&gt;0,OR(N15=""))," *No olvide digitar el campo "&amp;N$9&amp;""&amp;". Digite CERO si no tiene.", IF(N15&gt;$B15," * La variable "&amp;N$9&amp;""&amp;" no puede superar el Total Ambos Sexos. ",""))</f>
        <v/>
      </c>
      <c r="CF15" s="405">
        <f>IF(AND($B15&gt;0,OR(O15=""))," *No olvide digitar el campo "&amp;O$9&amp;""&amp;". Digite CERO si no tiene.", IF(O15&gt;$B15," * La variable "&amp;O$9&amp;""&amp;" no puede superar el Total Ambos Sexos. ",""))</f>
        <v/>
      </c>
      <c r="CG15" s="405">
        <f>IF(AND($B15&gt;0,OR(P15=""))," *No olvide digitar el campo "&amp;P$9&amp;""&amp;". Digite CERO si no tiene.", IF(P15&gt;$B15," * La variable "&amp;P$9&amp;""&amp;" no puede superar el Total Ambos Sexos. ",""))</f>
        <v/>
      </c>
      <c r="CH15" s="405">
        <f>IF(AND($B15&gt;0,OR(Q15=""))," *No olvide digitar el campo "&amp;Q$9&amp;""&amp;". Niños, niñas y adolescentes. Digite CERO si no tiene.", IF(Q15&gt;$B15," * La variable "&amp;Q$9&amp;""&amp;" no puede superar el Total Ambos Sexos. ",""))</f>
        <v/>
      </c>
      <c r="CI15" s="405">
        <f>IF(AND($D15&gt;0,OR(R15=""))," *No olvide digitar el campo "&amp;Q$9&amp;""&amp;" Gestantes. Digite CERO si no tiene.", IF(R15&gt;$D15," * La variable "&amp;Q$9&amp;""&amp;" no puede superar el Total Mujeres. ",""))</f>
        <v/>
      </c>
      <c r="CM15" s="197">
        <f>IF(AND(D15&gt;0,OR(J15="")),1,IF(J15&gt;D15,1,0))</f>
        <v/>
      </c>
      <c r="CN15" s="197">
        <f>IF(AND(C15&gt;0,OR(K15="")),1,IF(K15&gt;C15,1,0))</f>
        <v/>
      </c>
      <c r="CO15" s="197">
        <f>IF(AND($B15&gt;0,OR(L15="")),1,IF(L15&gt;$B15,1,0))</f>
        <v/>
      </c>
      <c r="CP15" s="197">
        <f>IF(AND($B15&gt;0,OR(M15="")),1,IF(M15&gt;$B15,1,0))</f>
        <v/>
      </c>
      <c r="CQ15" s="197">
        <f>IF(AND($B15&gt;0,OR(N15="")),1,IF(N15&gt;$B15,1,0))</f>
        <v/>
      </c>
      <c r="CR15" s="197">
        <f>IF(AND($B15&gt;0,OR(O15="")),1,IF(O15&gt;$B15,1,0))</f>
        <v/>
      </c>
      <c r="CS15" s="197">
        <f>IF(AND($B15&gt;0,OR(P15="")),1,IF(P15&gt;$B15,1,0))</f>
        <v/>
      </c>
      <c r="CT15" s="221">
        <f>IF(AND($B15&gt;0,OR(Q15="")),1,IF(Q15&gt;$B15,1,0))</f>
        <v/>
      </c>
      <c r="CU15" s="221">
        <f>IF(AND($D15&gt;0,OR(R15="")),1,IF(R15&gt;$D15,1,0))</f>
        <v/>
      </c>
    </row>
    <row r="16" ht="15" customHeight="1" s="8286">
      <c r="A16" s="2377" t="inlineStr">
        <is>
          <t>Trato sin pertinencia cultural en la atención</t>
        </is>
      </c>
      <c r="B16" s="3356">
        <f>SUM(C16:D16)</f>
        <v/>
      </c>
      <c r="C16" s="3108" t="n"/>
      <c r="D16" s="878" t="n"/>
      <c r="E16" s="3108" t="n"/>
      <c r="F16" s="1125" t="n"/>
      <c r="G16" s="1298" t="n"/>
      <c r="H16" s="3100" t="n"/>
      <c r="I16" s="3149" t="n"/>
      <c r="J16" s="881" t="n"/>
      <c r="K16" s="1125" t="n"/>
      <c r="L16" s="3108" t="n"/>
      <c r="M16" s="3659" t="n"/>
      <c r="N16" s="4008" t="n"/>
      <c r="O16" s="4008" t="n"/>
      <c r="P16" s="3656" t="n"/>
      <c r="Q16" s="3108" t="n"/>
      <c r="R16" s="1125" t="n"/>
      <c r="S16" s="226">
        <f>CA16&amp;CB16&amp;CC16&amp;CD16&amp;CE16&amp;CF16&amp;CG16&amp;CH16&amp;CI16</f>
        <v/>
      </c>
      <c r="CA16" s="405">
        <f>IF(AND(D16&gt;0,J16=""),"*No olvide digitar el campo TRANS Masculino (Digite CERO si no tiene).", IF(J16&gt;D16," * El Número de TRANS Masculino no puede superar el Total Mujeres. ",""))</f>
        <v/>
      </c>
      <c r="CB16" s="405">
        <f>IF(AND(C16&gt;0,OR(K16=""))," *No olvide digitar el campo TRANS Femenino (Digite CERO si no tiene).",IF(K16&gt;$C16," * El Número de TRANS Femenino no puede superar el Total Hombres. ",""))</f>
        <v/>
      </c>
      <c r="CC16" s="405">
        <f>IF(AND($B16&gt;0,OR(L16=""))," *No olvide digitar el campo "&amp;L$9&amp;""&amp;". Digite CERO si no tiene.", IF(L16&gt;$B16," * La variable "&amp;L$9&amp;""&amp;" no puede superar el Total Ambos Sexos. ",""))</f>
        <v/>
      </c>
      <c r="CD16" s="405">
        <f>IF(AND($B16&gt;0,OR(M16=""))," *No olvide digitar el campo "&amp;M$9&amp;""&amp;". Digite CERO si no tiene.", IF(M16&gt;$B16," * La variable "&amp;M$9&amp;""&amp;" no puede superar el Total Ambos Sexos. ",""))</f>
        <v/>
      </c>
      <c r="CE16" s="405">
        <f>IF(AND($B16&gt;0,OR(N16=""))," *No olvide digitar el campo "&amp;N$9&amp;""&amp;". Digite CERO si no tiene.", IF(N16&gt;$B16," * La variable "&amp;N$9&amp;""&amp;" no puede superar el Total Ambos Sexos. ",""))</f>
        <v/>
      </c>
      <c r="CF16" s="405">
        <f>IF(AND($B16&gt;0,OR(O16=""))," *No olvide digitar el campo "&amp;O$9&amp;""&amp;". Digite CERO si no tiene.", IF(O16&gt;$B16," * La variable "&amp;O$9&amp;""&amp;" no puede superar el Total Ambos Sexos. ",""))</f>
        <v/>
      </c>
      <c r="CG16" s="405">
        <f>IF(AND($B16&gt;0,OR(P16=""))," *No olvide digitar el campo "&amp;P$9&amp;""&amp;". Digite CERO si no tiene.", IF(P16&gt;$B16," * La variable "&amp;P$9&amp;""&amp;" no puede superar el Total Ambos Sexos. ",""))</f>
        <v/>
      </c>
      <c r="CH16" s="405">
        <f>IF(AND($B16&gt;0,OR(Q16=""))," *No olvide digitar el campo "&amp;Q$9&amp;""&amp;". Niños, niñas y adolescentes. Digite CERO si no tiene.", IF(Q16&gt;$B16," * La variable "&amp;Q$9&amp;""&amp;" no puede superar el Total Ambos Sexos. ",""))</f>
        <v/>
      </c>
      <c r="CI16" s="405">
        <f>IF(AND($D16&gt;0,OR(R16=""))," *No olvide digitar el campo "&amp;Q$9&amp;""&amp;" Gestantes. Digite CERO si no tiene.", IF(R16&gt;$D16," * La variable "&amp;Q$9&amp;""&amp;" no puede superar el Total Mujeres. ",""))</f>
        <v/>
      </c>
      <c r="CM16" s="197">
        <f>IF(AND(D16&gt;0,OR(J16="")),1,IF(J16&gt;D16,1,0))</f>
        <v/>
      </c>
      <c r="CN16" s="197">
        <f>IF(AND(C16&gt;0,OR(K16="")),1,IF(K16&gt;C16,1,0))</f>
        <v/>
      </c>
      <c r="CO16" s="197">
        <f>IF(AND($B16&gt;0,OR(L16="")),1,IF(L16&gt;$B16,1,0))</f>
        <v/>
      </c>
      <c r="CP16" s="197">
        <f>IF(AND($B16&gt;0,OR(M16="")),1,IF(M16&gt;$B16,1,0))</f>
        <v/>
      </c>
      <c r="CQ16" s="197">
        <f>IF(AND($B16&gt;0,OR(N16="")),1,IF(N16&gt;$B16,1,0))</f>
        <v/>
      </c>
      <c r="CR16" s="197">
        <f>IF(AND($B16&gt;0,OR(O16="")),1,IF(O16&gt;$B16,1,0))</f>
        <v/>
      </c>
      <c r="CS16" s="197">
        <f>IF(AND($B16&gt;0,OR(P16="")),1,IF(P16&gt;$B16,1,0))</f>
        <v/>
      </c>
      <c r="CT16" s="221">
        <f>IF(AND($B16&gt;0,OR(Q16="")),1,IF(Q16&gt;$B16,1,0))</f>
        <v/>
      </c>
      <c r="CU16" s="221">
        <f>IF(AND($D16&gt;0,OR(R16="")),1,IF(R16&gt;$D16,1,0))</f>
        <v/>
      </c>
    </row>
    <row r="17">
      <c r="A17" s="8051" t="inlineStr">
        <is>
          <t xml:space="preserve">Trato sin condiciones para el acompañamiento </t>
        </is>
      </c>
      <c r="B17" s="3341">
        <f>SUM(C17:D17)</f>
        <v/>
      </c>
      <c r="C17" s="1137" t="n"/>
      <c r="D17" s="1139" t="n"/>
      <c r="E17" s="1137" t="n"/>
      <c r="F17" s="1138" t="n"/>
      <c r="G17" s="1299" t="n"/>
      <c r="H17" s="1140" t="n"/>
      <c r="I17" s="1416" t="n"/>
      <c r="J17" s="1152" t="n"/>
      <c r="K17" s="1138" t="n"/>
      <c r="L17" s="1137" t="n"/>
      <c r="M17" s="3681" t="n"/>
      <c r="N17" s="1299" t="n"/>
      <c r="O17" s="1299" t="n"/>
      <c r="P17" s="1138" t="n"/>
      <c r="Q17" s="1137" t="n"/>
      <c r="R17" s="1138" t="n"/>
      <c r="S17" s="226">
        <f>CA17&amp;CB17&amp;CC17&amp;CD17&amp;CE17&amp;CF17&amp;CG17&amp;CH17&amp;CI17</f>
        <v/>
      </c>
      <c r="CA17" s="405">
        <f>IF(AND(D17&gt;0,J17=""),"*No olvide digitar el campo TRANS Masculino (Digite CERO si no tiene).", IF(J17&gt;D17," * El Número de TRANS Masculino no puede superar el Total Mujeres. ",""))</f>
        <v/>
      </c>
      <c r="CB17" s="405">
        <f>IF(AND(C17&gt;0,OR(K17=""))," *No olvide digitar el campo TRANS Femenino (Digite CERO si no tiene).",IF(K17&gt;$C17," * El Número de TRANS Femenino no puede superar el Total Hombres. ",""))</f>
        <v/>
      </c>
      <c r="CC17" s="405">
        <f>IF(AND($B17&gt;0,OR(L17=""))," *No olvide digitar el campo "&amp;L$9&amp;""&amp;". Digite CERO si no tiene.", IF(L17&gt;$B17," * La variable "&amp;L$9&amp;""&amp;" no puede superar el Total Ambos Sexos. ",""))</f>
        <v/>
      </c>
      <c r="CD17" s="405">
        <f>IF(AND($B17&gt;0,OR(M17=""))," *No olvide digitar el campo "&amp;M$9&amp;""&amp;". Digite CERO si no tiene.", IF(M17&gt;$B17," * La variable "&amp;M$9&amp;""&amp;" no puede superar el Total Ambos Sexos. ",""))</f>
        <v/>
      </c>
      <c r="CE17" s="405">
        <f>IF(AND($B17&gt;0,OR(N17=""))," *No olvide digitar el campo "&amp;N$9&amp;""&amp;". Digite CERO si no tiene.", IF(N17&gt;$B17," * La variable "&amp;N$9&amp;""&amp;" no puede superar el Total Ambos Sexos. ",""))</f>
        <v/>
      </c>
      <c r="CF17" s="405">
        <f>IF(AND($B17&gt;0,OR(O17=""))," *No olvide digitar el campo "&amp;O$9&amp;""&amp;". Digite CERO si no tiene.", IF(O17&gt;$B17," * La variable "&amp;O$9&amp;""&amp;" no puede superar el Total Ambos Sexos. ",""))</f>
        <v/>
      </c>
      <c r="CG17" s="405">
        <f>IF(AND($B17&gt;0,OR(P17=""))," *No olvide digitar el campo "&amp;P$9&amp;""&amp;". Digite CERO si no tiene.", IF(P17&gt;$B17," * La variable "&amp;P$9&amp;""&amp;" no puede superar el Total Ambos Sexos. ",""))</f>
        <v/>
      </c>
      <c r="CH17" s="405">
        <f>IF(AND($B17&gt;0,OR(Q17=""))," *No olvide digitar el campo "&amp;Q$9&amp;""&amp;". Niños, niñas y adolescentes. Digite CERO si no tiene.", IF(Q17&gt;$B17," * La variable "&amp;Q$9&amp;""&amp;" no puede superar el Total Ambos Sexos. ",""))</f>
        <v/>
      </c>
      <c r="CI17" s="405">
        <f>IF(AND($D17&gt;0,OR(R17=""))," *No olvide digitar el campo "&amp;Q$9&amp;""&amp;" Gestantes. Digite CERO si no tiene.", IF(R17&gt;$D17," * La variable "&amp;Q$9&amp;""&amp;" no puede superar el Total Mujeres. ",""))</f>
        <v/>
      </c>
      <c r="CM17" s="197">
        <f>IF(AND(D17&gt;0,OR(J17="")),1,IF(J17&gt;D17,1,0))</f>
        <v/>
      </c>
      <c r="CN17" s="197">
        <f>IF(AND(C17&gt;0,OR(K17="")),1,IF(K17&gt;C17,1,0))</f>
        <v/>
      </c>
      <c r="CO17" s="197">
        <f>IF(AND($B17&gt;0,OR(L17="")),1,IF(L17&gt;$B17,1,0))</f>
        <v/>
      </c>
      <c r="CP17" s="197">
        <f>IF(AND($B17&gt;0,OR(M17="")),1,IF(M17&gt;$B17,1,0))</f>
        <v/>
      </c>
      <c r="CQ17" s="197">
        <f>IF(AND($B17&gt;0,OR(N17="")),1,IF(N17&gt;$B17,1,0))</f>
        <v/>
      </c>
      <c r="CR17" s="197">
        <f>IF(AND($B17&gt;0,OR(O17="")),1,IF(O17&gt;$B17,1,0))</f>
        <v/>
      </c>
      <c r="CS17" s="197">
        <f>IF(AND($B17&gt;0,OR(P17="")),1,IF(P17&gt;$B17,1,0))</f>
        <v/>
      </c>
      <c r="CT17" s="221">
        <f>IF(AND($B17&gt;0,OR(Q17="")),1,IF(Q17&gt;$B17,1,0))</f>
        <v/>
      </c>
      <c r="CU17" s="221">
        <f>IF(AND($D17&gt;0,OR(R17="")),1,IF(R17&gt;$D17,1,0))</f>
        <v/>
      </c>
    </row>
    <row r="18">
      <c r="A18" s="2377" t="inlineStr">
        <is>
          <t>Competencia técnica diagnóstico</t>
        </is>
      </c>
      <c r="B18" s="3355">
        <f>SUM(C18:D18)</f>
        <v/>
      </c>
      <c r="C18" s="1971" t="n"/>
      <c r="D18" s="750" t="n"/>
      <c r="E18" s="1971" t="n"/>
      <c r="F18" s="1122" t="n"/>
      <c r="G18" s="3227" t="n"/>
      <c r="H18" s="1452" t="n"/>
      <c r="I18" s="1458" t="n"/>
      <c r="J18" s="1972" t="n"/>
      <c r="K18" s="1122" t="n"/>
      <c r="L18" s="1971" t="n"/>
      <c r="M18" s="2660" t="n"/>
      <c r="N18" s="3227" t="n"/>
      <c r="O18" s="3227" t="n"/>
      <c r="P18" s="1122" t="n"/>
      <c r="Q18" s="1971" t="n"/>
      <c r="R18" s="1122" t="n"/>
      <c r="S18" s="226">
        <f>CA18&amp;CB18&amp;CC18&amp;CD18&amp;CE18&amp;CF18&amp;CG18&amp;CH18&amp;CI18</f>
        <v/>
      </c>
      <c r="CA18" s="405">
        <f>IF(AND(D18&gt;0,J18=""),"*No olvide digitar el campo TRANS Masculino (Digite CERO si no tiene).", IF(J18&gt;D18," * El Número de TRANS Masculino no puede superar el Total Mujeres. ",""))</f>
        <v/>
      </c>
      <c r="CB18" s="405">
        <f>IF(AND(C18&gt;0,OR(K18=""))," *No olvide digitar el campo TRANS Femenino (Digite CERO si no tiene).",IF(K18&gt;$C18," * El Número de TRANS Femenino no puede superar el Total Hombres. ",""))</f>
        <v/>
      </c>
      <c r="CC18" s="405">
        <f>IF(AND($B18&gt;0,OR(L18=""))," *No olvide digitar el campo "&amp;L$9&amp;""&amp;". Digite CERO si no tiene.", IF(L18&gt;$B18," * La variable "&amp;L$9&amp;""&amp;" no puede superar el Total Ambos Sexos. ",""))</f>
        <v/>
      </c>
      <c r="CD18" s="405">
        <f>IF(AND($B18&gt;0,OR(M18=""))," *No olvide digitar el campo "&amp;M$9&amp;""&amp;". Digite CERO si no tiene.", IF(M18&gt;$B18," * La variable "&amp;M$9&amp;""&amp;" no puede superar el Total Ambos Sexos. ",""))</f>
        <v/>
      </c>
      <c r="CE18" s="405">
        <f>IF(AND($B18&gt;0,OR(N18=""))," *No olvide digitar el campo "&amp;N$9&amp;""&amp;". Digite CERO si no tiene.", IF(N18&gt;$B18," * La variable "&amp;N$9&amp;""&amp;" no puede superar el Total Ambos Sexos. ",""))</f>
        <v/>
      </c>
      <c r="CF18" s="405">
        <f>IF(AND($B18&gt;0,OR(O18=""))," *No olvide digitar el campo "&amp;O$9&amp;""&amp;". Digite CERO si no tiene.", IF(O18&gt;$B18," * La variable "&amp;O$9&amp;""&amp;" no puede superar el Total Ambos Sexos. ",""))</f>
        <v/>
      </c>
      <c r="CG18" s="405">
        <f>IF(AND($B18&gt;0,OR(P18=""))," *No olvide digitar el campo "&amp;P$9&amp;""&amp;". Digite CERO si no tiene.", IF(P18&gt;$B18," * La variable "&amp;P$9&amp;""&amp;" no puede superar el Total Ambos Sexos. ",""))</f>
        <v/>
      </c>
      <c r="CH18" s="405">
        <f>IF(AND($B18&gt;0,OR(Q18=""))," *No olvide digitar el campo "&amp;Q$9&amp;""&amp;". Niños, niñas y adolescentes. Digite CERO si no tiene.", IF(Q18&gt;$B18," * La variable "&amp;Q$9&amp;""&amp;" no puede superar el Total Ambos Sexos. ",""))</f>
        <v/>
      </c>
      <c r="CI18" s="405">
        <f>IF(AND($D18&gt;0,OR(R18=""))," *No olvide digitar el campo "&amp;Q$9&amp;""&amp;" Gestantes. Digite CERO si no tiene.", IF(R18&gt;$D18," * La variable "&amp;Q$9&amp;""&amp;" no puede superar el Total Mujeres. ",""))</f>
        <v/>
      </c>
      <c r="CM18" s="197">
        <f>IF(AND(D18&gt;0,OR(J18="")),1,IF(J18&gt;D18,1,0))</f>
        <v/>
      </c>
      <c r="CN18" s="197">
        <f>IF(AND(C18&gt;0,OR(K18="")),1,IF(K18&gt;C18,1,0))</f>
        <v/>
      </c>
      <c r="CO18" s="197">
        <f>IF(AND($B18&gt;0,OR(L18="")),1,IF(L18&gt;$B18,1,0))</f>
        <v/>
      </c>
      <c r="CP18" s="197">
        <f>IF(AND($B18&gt;0,OR(M18="")),1,IF(M18&gt;$B18,1,0))</f>
        <v/>
      </c>
      <c r="CQ18" s="197">
        <f>IF(AND($B18&gt;0,OR(N18="")),1,IF(N18&gt;$B18,1,0))</f>
        <v/>
      </c>
      <c r="CR18" s="197">
        <f>IF(AND($B18&gt;0,OR(O18="")),1,IF(O18&gt;$B18,1,0))</f>
        <v/>
      </c>
      <c r="CS18" s="197">
        <f>IF(AND($B18&gt;0,OR(P18="")),1,IF(P18&gt;$B18,1,0))</f>
        <v/>
      </c>
      <c r="CT18" s="221">
        <f>IF(AND($B18&gt;0,OR(Q18="")),1,IF(Q18&gt;$B18,1,0))</f>
        <v/>
      </c>
      <c r="CU18" s="221">
        <f>IF(AND($D18&gt;0,OR(R18="")),1,IF(R18&gt;$D18,1,0))</f>
        <v/>
      </c>
    </row>
    <row r="19">
      <c r="A19" s="2377" t="inlineStr">
        <is>
          <t>Competencia técnica tratamiento farmacológico / clínico / cirugía</t>
        </is>
      </c>
      <c r="B19" s="3356">
        <f>SUM(C19:D19)</f>
        <v/>
      </c>
      <c r="C19" s="3108" t="n"/>
      <c r="D19" s="878" t="n">
        <v>1</v>
      </c>
      <c r="E19" s="3108" t="n">
        <v>1</v>
      </c>
      <c r="F19" s="1125" t="n">
        <v>1</v>
      </c>
      <c r="G19" s="1125" t="n"/>
      <c r="H19" s="3100" t="n"/>
      <c r="I19" s="3149" t="n"/>
      <c r="J19" s="881" t="n"/>
      <c r="K19" s="1125" t="n"/>
      <c r="L19" s="3108" t="n"/>
      <c r="M19" s="3659" t="n"/>
      <c r="N19" s="4008" t="n"/>
      <c r="O19" s="4008" t="n"/>
      <c r="P19" s="3656" t="n"/>
      <c r="Q19" s="3108" t="n"/>
      <c r="R19" s="1125" t="n"/>
      <c r="S19" s="226">
        <f>CA19&amp;CB19&amp;CC19&amp;CD19&amp;CE19&amp;CF19&amp;CG19&amp;CH19&amp;CI19</f>
        <v/>
      </c>
      <c r="CA19" s="405">
        <f>IF(AND(D19&gt;0,J19=""),"*No olvide digitar el campo TRANS Masculino (Digite CERO si no tiene).", IF(J19&gt;D19," * El Número de TRANS Masculino no puede superar el Total Mujeres. ",""))</f>
        <v/>
      </c>
      <c r="CB19" s="405">
        <f>IF(AND(C19&gt;0,OR(K19=""))," *No olvide digitar el campo TRANS Femenino (Digite CERO si no tiene).",IF(K19&gt;$C19," * El Número de TRANS Femenino no puede superar el Total Hombres. ",""))</f>
        <v/>
      </c>
      <c r="CC19" s="405">
        <f>IF(AND($B19&gt;0,OR(L19=""))," *No olvide digitar el campo "&amp;L$9&amp;""&amp;". Digite CERO si no tiene.", IF(L19&gt;$B19," * La variable "&amp;L$9&amp;""&amp;" no puede superar el Total Ambos Sexos. ",""))</f>
        <v/>
      </c>
      <c r="CD19" s="405">
        <f>IF(AND($B19&gt;0,OR(M19=""))," *No olvide digitar el campo "&amp;M$9&amp;""&amp;". Digite CERO si no tiene.", IF(M19&gt;$B19," * La variable "&amp;M$9&amp;""&amp;" no puede superar el Total Ambos Sexos. ",""))</f>
        <v/>
      </c>
      <c r="CE19" s="405">
        <f>IF(AND($B19&gt;0,OR(N19=""))," *No olvide digitar el campo "&amp;N$9&amp;""&amp;". Digite CERO si no tiene.", IF(N19&gt;$B19," * La variable "&amp;N$9&amp;""&amp;" no puede superar el Total Ambos Sexos. ",""))</f>
        <v/>
      </c>
      <c r="CF19" s="405">
        <f>IF(AND($B19&gt;0,OR(O19=""))," *No olvide digitar el campo "&amp;O$9&amp;""&amp;". Digite CERO si no tiene.", IF(O19&gt;$B19," * La variable "&amp;O$9&amp;""&amp;" no puede superar el Total Ambos Sexos. ",""))</f>
        <v/>
      </c>
      <c r="CG19" s="405">
        <f>IF(AND($B19&gt;0,OR(P19=""))," *No olvide digitar el campo "&amp;P$9&amp;""&amp;". Digite CERO si no tiene.", IF(P19&gt;$B19," * La variable "&amp;P$9&amp;""&amp;" no puede superar el Total Ambos Sexos. ",""))</f>
        <v/>
      </c>
      <c r="CH19" s="405">
        <f>IF(AND($B19&gt;0,OR(Q19=""))," *No olvide digitar el campo "&amp;Q$9&amp;""&amp;". Niños, niñas y adolescentes. Digite CERO si no tiene.", IF(Q19&gt;$B19," * La variable "&amp;Q$9&amp;""&amp;" no puede superar el Total Ambos Sexos. ",""))</f>
        <v/>
      </c>
      <c r="CI19" s="405">
        <f>IF(AND($D19&gt;0,OR(R19=""))," *No olvide digitar el campo "&amp;Q$9&amp;""&amp;" Gestantes. Digite CERO si no tiene.", IF(R19&gt;$D19," * La variable "&amp;Q$9&amp;""&amp;" no puede superar el Total Mujeres. ",""))</f>
        <v/>
      </c>
      <c r="CM19" s="197">
        <f>IF(AND(D19&gt;0,OR(J19="")),1,IF(J19&gt;D19,1,0))</f>
        <v/>
      </c>
      <c r="CN19" s="197">
        <f>IF(AND(C19&gt;0,OR(K19="")),1,IF(K19&gt;C19,1,0))</f>
        <v/>
      </c>
      <c r="CO19" s="197">
        <f>IF(AND($B19&gt;0,OR(L19="")),1,IF(L19&gt;$B19,1,0))</f>
        <v/>
      </c>
      <c r="CP19" s="197">
        <f>IF(AND($B19&gt;0,OR(M19="")),1,IF(M19&gt;$B19,1,0))</f>
        <v/>
      </c>
      <c r="CQ19" s="197">
        <f>IF(AND($B19&gt;0,OR(N19="")),1,IF(N19&gt;$B19,1,0))</f>
        <v/>
      </c>
      <c r="CR19" s="197">
        <f>IF(AND($B19&gt;0,OR(O19="")),1,IF(O19&gt;$B19,1,0))</f>
        <v/>
      </c>
      <c r="CS19" s="197">
        <f>IF(AND($B19&gt;0,OR(P19="")),1,IF(P19&gt;$B19,1,0))</f>
        <v/>
      </c>
      <c r="CT19" s="221">
        <f>IF(AND($B19&gt;0,OR(Q19="")),1,IF(Q19&gt;$B19,1,0))</f>
        <v/>
      </c>
      <c r="CU19" s="221">
        <f>IF(AND($D19&gt;0,OR(R19="")),1,IF(R19&gt;$D19,1,0))</f>
        <v/>
      </c>
    </row>
    <row r="20">
      <c r="A20" s="8051" t="inlineStr">
        <is>
          <t xml:space="preserve">Eventos adversos </t>
        </is>
      </c>
      <c r="B20" s="3341">
        <f>SUM(C20:D20)</f>
        <v/>
      </c>
      <c r="C20" s="1137" t="n"/>
      <c r="D20" s="1139" t="n"/>
      <c r="E20" s="1137" t="n"/>
      <c r="F20" s="1138" t="n"/>
      <c r="G20" s="1138" t="n"/>
      <c r="H20" s="1140" t="n"/>
      <c r="I20" s="1416" t="n"/>
      <c r="J20" s="1152" t="n"/>
      <c r="K20" s="1138" t="n"/>
      <c r="L20" s="1137" t="n"/>
      <c r="M20" s="3681" t="n"/>
      <c r="N20" s="1299" t="n"/>
      <c r="O20" s="1299" t="n"/>
      <c r="P20" s="1138" t="n"/>
      <c r="Q20" s="1137" t="n"/>
      <c r="R20" s="1138" t="n"/>
      <c r="S20" s="226">
        <f>CA20&amp;CB20&amp;CC20&amp;CD20&amp;CE20&amp;CF20&amp;CG20&amp;CH20&amp;CI20</f>
        <v/>
      </c>
      <c r="CA20" s="405">
        <f>IF(AND(D20&gt;0,J20=""),"*No olvide digitar el campo TRANS Masculino (Digite CERO si no tiene).", IF(J20&gt;D20," * El Número de TRANS Masculino no puede superar el Total Mujeres. ",""))</f>
        <v/>
      </c>
      <c r="CB20" s="405">
        <f>IF(AND(C20&gt;0,OR(K20=""))," *No olvide digitar el campo TRANS Femenino (Digite CERO si no tiene).",IF(K20&gt;$C20," * El Número de TRANS Femenino no puede superar el Total Hombres. ",""))</f>
        <v/>
      </c>
      <c r="CC20" s="405">
        <f>IF(AND($B20&gt;0,OR(L20=""))," *No olvide digitar el campo "&amp;L$9&amp;""&amp;". Digite CERO si no tiene.", IF(L20&gt;$B20," * La variable "&amp;L$9&amp;""&amp;" no puede superar el Total Ambos Sexos. ",""))</f>
        <v/>
      </c>
      <c r="CD20" s="405">
        <f>IF(AND($B20&gt;0,OR(M20=""))," *No olvide digitar el campo "&amp;M$9&amp;""&amp;". Digite CERO si no tiene.", IF(M20&gt;$B20," * La variable "&amp;M$9&amp;""&amp;" no puede superar el Total Ambos Sexos. ",""))</f>
        <v/>
      </c>
      <c r="CE20" s="405">
        <f>IF(AND($B20&gt;0,OR(N20=""))," *No olvide digitar el campo "&amp;N$9&amp;""&amp;". Digite CERO si no tiene.", IF(N20&gt;$B20," * La variable "&amp;N$9&amp;""&amp;" no puede superar el Total Ambos Sexos. ",""))</f>
        <v/>
      </c>
      <c r="CF20" s="405">
        <f>IF(AND($B20&gt;0,OR(O20=""))," *No olvide digitar el campo "&amp;O$9&amp;""&amp;". Digite CERO si no tiene.", IF(O20&gt;$B20," * La variable "&amp;O$9&amp;""&amp;" no puede superar el Total Ambos Sexos. ",""))</f>
        <v/>
      </c>
      <c r="CG20" s="405">
        <f>IF(AND($B20&gt;0,OR(P20=""))," *No olvide digitar el campo "&amp;P$9&amp;""&amp;". Digite CERO si no tiene.", IF(P20&gt;$B20," * La variable "&amp;P$9&amp;""&amp;" no puede superar el Total Ambos Sexos. ",""))</f>
        <v/>
      </c>
      <c r="CH20" s="405">
        <f>IF(AND($B20&gt;0,OR(Q20=""))," *No olvide digitar el campo "&amp;Q$9&amp;""&amp;". Niños, niñas y adolescentes. Digite CERO si no tiene.", IF(Q20&gt;$B20," * La variable "&amp;Q$9&amp;""&amp;" no puede superar el Total Ambos Sexos. ",""))</f>
        <v/>
      </c>
      <c r="CI20" s="405">
        <f>IF(AND($D20&gt;0,OR(R20=""))," *No olvide digitar el campo "&amp;Q$9&amp;""&amp;" Gestantes. Digite CERO si no tiene.", IF(R20&gt;$D20," * La variable "&amp;Q$9&amp;""&amp;" no puede superar el Total Mujeres. ",""))</f>
        <v/>
      </c>
      <c r="CM20" s="197">
        <f>IF(AND(D20&gt;0,OR(J20="")),1,IF(J20&gt;D20,1,0))</f>
        <v/>
      </c>
      <c r="CN20" s="197">
        <f>IF(AND(C20&gt;0,OR(K20="")),1,IF(K20&gt;C20,1,0))</f>
        <v/>
      </c>
      <c r="CO20" s="197">
        <f>IF(AND($B20&gt;0,OR(L20="")),1,IF(L20&gt;$B20,1,0))</f>
        <v/>
      </c>
      <c r="CP20" s="197">
        <f>IF(AND($B20&gt;0,OR(M20="")),1,IF(M20&gt;$B20,1,0))</f>
        <v/>
      </c>
      <c r="CQ20" s="197">
        <f>IF(AND($B20&gt;0,OR(N20="")),1,IF(N20&gt;$B20,1,0))</f>
        <v/>
      </c>
      <c r="CR20" s="197">
        <f>IF(AND($B20&gt;0,OR(O20="")),1,IF(O20&gt;$B20,1,0))</f>
        <v/>
      </c>
      <c r="CS20" s="197">
        <f>IF(AND($B20&gt;0,OR(P20="")),1,IF(P20&gt;$B20,1,0))</f>
        <v/>
      </c>
      <c r="CT20" s="221">
        <f>IF(AND($B20&gt;0,OR(Q20="")),1,IF(Q20&gt;$B20,1,0))</f>
        <v/>
      </c>
      <c r="CU20" s="221">
        <f>IF(AND($D20&gt;0,OR(R20="")),1,IF(R20&gt;$D20,1,0))</f>
        <v/>
      </c>
    </row>
    <row r="21">
      <c r="A21" s="2377" t="inlineStr">
        <is>
          <t>Infraestructura baños públicos</t>
        </is>
      </c>
      <c r="B21" s="3355">
        <f>SUM(C21:D21)</f>
        <v/>
      </c>
      <c r="C21" s="1971" t="n"/>
      <c r="D21" s="750" t="n"/>
      <c r="E21" s="1971" t="n"/>
      <c r="F21" s="1122" t="n"/>
      <c r="G21" s="1122" t="n"/>
      <c r="H21" s="1452" t="n"/>
      <c r="I21" s="778" t="n"/>
      <c r="J21" s="1972" t="n"/>
      <c r="K21" s="1122" t="n"/>
      <c r="L21" s="1971" t="n"/>
      <c r="M21" s="2660" t="n"/>
      <c r="N21" s="3227" t="n"/>
      <c r="O21" s="3227" t="n"/>
      <c r="P21" s="1122" t="n"/>
      <c r="Q21" s="1971" t="n"/>
      <c r="R21" s="1122" t="n"/>
      <c r="S21" s="226">
        <f>CA21&amp;CB21&amp;CC21&amp;CD21&amp;CE21&amp;CF21&amp;CG21&amp;CH21&amp;CI21</f>
        <v/>
      </c>
      <c r="CA21" s="405">
        <f>IF(AND(D21&gt;0,J21=""),"*No olvide digitar el campo TRANS Masculino (Digite CERO si no tiene).", IF(J21&gt;D21," * El Número de TRANS Masculino no puede superar el Total Mujeres. ",""))</f>
        <v/>
      </c>
      <c r="CB21" s="405">
        <f>IF(AND(C21&gt;0,OR(K21=""))," *No olvide digitar el campo TRANS Femenino (Digite CERO si no tiene).",IF(K21&gt;$C21," * El Número de TRANS Femenino no puede superar el Total Hombres. ",""))</f>
        <v/>
      </c>
      <c r="CC21" s="405">
        <f>IF(AND($B21&gt;0,OR(L21=""))," *No olvide digitar el campo "&amp;L$9&amp;""&amp;". Digite CERO si no tiene.", IF(L21&gt;$B21," * La variable "&amp;L$9&amp;""&amp;" no puede superar el Total Ambos Sexos. ",""))</f>
        <v/>
      </c>
      <c r="CD21" s="405">
        <f>IF(AND($B21&gt;0,OR(M21=""))," *No olvide digitar el campo "&amp;M$9&amp;""&amp;". Digite CERO si no tiene.", IF(M21&gt;$B21," * La variable "&amp;M$9&amp;""&amp;" no puede superar el Total Ambos Sexos. ",""))</f>
        <v/>
      </c>
      <c r="CE21" s="405">
        <f>IF(AND($B21&gt;0,OR(N21=""))," *No olvide digitar el campo "&amp;N$9&amp;""&amp;". Digite CERO si no tiene.", IF(N21&gt;$B21," * La variable "&amp;N$9&amp;""&amp;" no puede superar el Total Ambos Sexos. ",""))</f>
        <v/>
      </c>
      <c r="CF21" s="405">
        <f>IF(AND($B21&gt;0,OR(O21=""))," *No olvide digitar el campo "&amp;O$9&amp;""&amp;". Digite CERO si no tiene.", IF(O21&gt;$B21," * La variable "&amp;O$9&amp;""&amp;" no puede superar el Total Ambos Sexos. ",""))</f>
        <v/>
      </c>
      <c r="CG21" s="405">
        <f>IF(AND($B21&gt;0,OR(P21=""))," *No olvide digitar el campo "&amp;P$9&amp;""&amp;". Digite CERO si no tiene.", IF(P21&gt;$B21," * La variable "&amp;P$9&amp;""&amp;" no puede superar el Total Ambos Sexos. ",""))</f>
        <v/>
      </c>
      <c r="CH21" s="405">
        <f>IF(AND($B21&gt;0,OR(Q21=""))," *No olvide digitar el campo "&amp;Q$9&amp;""&amp;". Niños, niñas y adolescentes. Digite CERO si no tiene.", IF(Q21&gt;$B21," * La variable "&amp;Q$9&amp;""&amp;" no puede superar el Total Ambos Sexos. ",""))</f>
        <v/>
      </c>
      <c r="CI21" s="405">
        <f>IF(AND($D21&gt;0,OR(R21=""))," *No olvide digitar el campo "&amp;Q$9&amp;""&amp;" Gestantes. Digite CERO si no tiene.", IF(R21&gt;$D21," * La variable "&amp;Q$9&amp;""&amp;" no puede superar el Total Mujeres. ",""))</f>
        <v/>
      </c>
      <c r="CM21" s="197">
        <f>IF(AND(D21&gt;0,OR(J21="")),1,IF(J21&gt;D21,1,0))</f>
        <v/>
      </c>
      <c r="CN21" s="197">
        <f>IF(AND(C21&gt;0,OR(K21="")),1,IF(K21&gt;C21,1,0))</f>
        <v/>
      </c>
      <c r="CO21" s="197">
        <f>IF(AND($B21&gt;0,OR(L21="")),1,IF(L21&gt;$B21,1,0))</f>
        <v/>
      </c>
      <c r="CP21" s="197">
        <f>IF(AND($B21&gt;0,OR(M21="")),1,IF(M21&gt;$B21,1,0))</f>
        <v/>
      </c>
      <c r="CQ21" s="197">
        <f>IF(AND($B21&gt;0,OR(N21="")),1,IF(N21&gt;$B21,1,0))</f>
        <v/>
      </c>
      <c r="CR21" s="197">
        <f>IF(AND($B21&gt;0,OR(O21="")),1,IF(O21&gt;$B21,1,0))</f>
        <v/>
      </c>
      <c r="CS21" s="197">
        <f>IF(AND($B21&gt;0,OR(P21="")),1,IF(P21&gt;$B21,1,0))</f>
        <v/>
      </c>
      <c r="CT21" s="221">
        <f>IF(AND($B21&gt;0,OR(Q21="")),1,IF(Q21&gt;$B21,1,0))</f>
        <v/>
      </c>
      <c r="CU21" s="221">
        <f>IF(AND($D21&gt;0,OR(R21="")),1,IF(R21&gt;$D21,1,0))</f>
        <v/>
      </c>
    </row>
    <row r="22" ht="21" customHeight="1" s="8286">
      <c r="A22" s="2377" t="inlineStr">
        <is>
          <t xml:space="preserve">Infraestructura condiciones salas de espera, box de atención o sala de hospitalización </t>
        </is>
      </c>
      <c r="B22" s="3356">
        <f>SUM(C22:D22)</f>
        <v/>
      </c>
      <c r="C22" s="3108" t="n"/>
      <c r="D22" s="878" t="n"/>
      <c r="E22" s="3108" t="n"/>
      <c r="F22" s="1125" t="n">
        <v>1</v>
      </c>
      <c r="G22" s="1125" t="n"/>
      <c r="H22" s="3100" t="n"/>
      <c r="I22" s="880" t="n"/>
      <c r="J22" s="881" t="n"/>
      <c r="K22" s="1125" t="n"/>
      <c r="L22" s="3108" t="n"/>
      <c r="M22" s="3659" t="n"/>
      <c r="N22" s="4008" t="n"/>
      <c r="O22" s="4008" t="n"/>
      <c r="P22" s="3656" t="n"/>
      <c r="Q22" s="3108" t="n"/>
      <c r="R22" s="1125" t="n"/>
      <c r="S22" s="226">
        <f>CA22&amp;CB22&amp;CC22&amp;CD22&amp;CE22&amp;CF22&amp;CG22&amp;CH22&amp;CI22</f>
        <v/>
      </c>
      <c r="CA22" s="405">
        <f>IF(AND(D22&gt;0,J22=""),"*No olvide digitar el campo TRANS Masculino (Digite CERO si no tiene).", IF(J22&gt;D22," * El Número de TRANS Masculino no puede superar el Total Mujeres. ",""))</f>
        <v/>
      </c>
      <c r="CB22" s="405">
        <f>IF(AND(C22&gt;0,OR(K22=""))," *No olvide digitar el campo TRANS Femenino (Digite CERO si no tiene).",IF(K22&gt;$C22," * El Número de TRANS Femenino no puede superar el Total Hombres. ",""))</f>
        <v/>
      </c>
      <c r="CC22" s="405">
        <f>IF(AND($B22&gt;0,OR(L22=""))," *No olvide digitar el campo "&amp;L$9&amp;""&amp;". Digite CERO si no tiene.", IF(L22&gt;$B22," * La variable "&amp;L$9&amp;""&amp;" no puede superar el Total Ambos Sexos. ",""))</f>
        <v/>
      </c>
      <c r="CD22" s="405">
        <f>IF(AND($B22&gt;0,OR(M22=""))," *No olvide digitar el campo "&amp;M$9&amp;""&amp;". Digite CERO si no tiene.", IF(M22&gt;$B22," * La variable "&amp;M$9&amp;""&amp;" no puede superar el Total Ambos Sexos. ",""))</f>
        <v/>
      </c>
      <c r="CE22" s="405">
        <f>IF(AND($B22&gt;0,OR(N22=""))," *No olvide digitar el campo "&amp;N$9&amp;""&amp;". Digite CERO si no tiene.", IF(N22&gt;$B22," * La variable "&amp;N$9&amp;""&amp;" no puede superar el Total Ambos Sexos. ",""))</f>
        <v/>
      </c>
      <c r="CF22" s="405">
        <f>IF(AND($B22&gt;0,OR(O22=""))," *No olvide digitar el campo "&amp;O$9&amp;""&amp;". Digite CERO si no tiene.", IF(O22&gt;$B22," * La variable "&amp;O$9&amp;""&amp;" no puede superar el Total Ambos Sexos. ",""))</f>
        <v/>
      </c>
      <c r="CG22" s="405">
        <f>IF(AND($B22&gt;0,OR(P22=""))," *No olvide digitar el campo "&amp;P$9&amp;""&amp;". Digite CERO si no tiene.", IF(P22&gt;$B22," * La variable "&amp;P$9&amp;""&amp;" no puede superar el Total Ambos Sexos. ",""))</f>
        <v/>
      </c>
      <c r="CH22" s="405">
        <f>IF(AND($B22&gt;0,OR(Q22=""))," *No olvide digitar el campo "&amp;Q$9&amp;""&amp;". Niños, niñas y adolescentes. Digite CERO si no tiene.", IF(Q22&gt;$B22," * La variable "&amp;Q$9&amp;""&amp;" no puede superar el Total Ambos Sexos. ",""))</f>
        <v/>
      </c>
      <c r="CI22" s="405">
        <f>IF(AND($D22&gt;0,OR(R22=""))," *No olvide digitar el campo "&amp;Q$9&amp;""&amp;" Gestantes. Digite CERO si no tiene.", IF(R22&gt;$D22," * La variable "&amp;Q$9&amp;""&amp;" no puede superar el Total Mujeres. ",""))</f>
        <v/>
      </c>
      <c r="CM22" s="197">
        <f>IF(AND(D22&gt;0,OR(J22="")),1,IF(J22&gt;D22,1,0))</f>
        <v/>
      </c>
      <c r="CN22" s="197">
        <f>IF(AND(C22&gt;0,OR(K22="")),1,IF(K22&gt;C22,1,0))</f>
        <v/>
      </c>
      <c r="CO22" s="197">
        <f>IF(AND($B22&gt;0,OR(L22="")),1,IF(L22&gt;$B22,1,0))</f>
        <v/>
      </c>
      <c r="CP22" s="197">
        <f>IF(AND($B22&gt;0,OR(M22="")),1,IF(M22&gt;$B22,1,0))</f>
        <v/>
      </c>
      <c r="CQ22" s="197">
        <f>IF(AND($B22&gt;0,OR(N22="")),1,IF(N22&gt;$B22,1,0))</f>
        <v/>
      </c>
      <c r="CR22" s="197">
        <f>IF(AND($B22&gt;0,OR(O22="")),1,IF(O22&gt;$B22,1,0))</f>
        <v/>
      </c>
      <c r="CS22" s="197">
        <f>IF(AND($B22&gt;0,OR(P22="")),1,IF(P22&gt;$B22,1,0))</f>
        <v/>
      </c>
      <c r="CT22" s="221">
        <f>IF(AND($B22&gt;0,OR(Q22="")),1,IF(Q22&gt;$B22,1,0))</f>
        <v/>
      </c>
      <c r="CU22" s="221">
        <f>IF(AND($D22&gt;0,OR(R22="")),1,IF(R22&gt;$D22,1,0))</f>
        <v/>
      </c>
    </row>
    <row r="23">
      <c r="A23" s="2377" t="inlineStr">
        <is>
          <t>Infraestructura accesibilidad universal</t>
        </is>
      </c>
      <c r="B23" s="3356">
        <f>SUM(C23:D23)</f>
        <v/>
      </c>
      <c r="C23" s="3108" t="n"/>
      <c r="D23" s="878" t="n"/>
      <c r="E23" s="3108" t="n"/>
      <c r="F23" s="878" t="n"/>
      <c r="G23" s="1125" t="n"/>
      <c r="H23" s="882" t="n"/>
      <c r="I23" s="880" t="n"/>
      <c r="J23" s="881" t="n"/>
      <c r="K23" s="1125" t="n"/>
      <c r="L23" s="3108" t="n"/>
      <c r="M23" s="3659" t="n"/>
      <c r="N23" s="4008" t="n"/>
      <c r="O23" s="4008" t="n"/>
      <c r="P23" s="3656" t="n"/>
      <c r="Q23" s="3108" t="n"/>
      <c r="R23" s="1125" t="n"/>
      <c r="S23" s="226">
        <f>CA23&amp;CB23&amp;CC23&amp;CD23&amp;CE23&amp;CF23&amp;CG23&amp;CH23&amp;CI23</f>
        <v/>
      </c>
      <c r="CA23" s="405">
        <f>IF(AND(D23&gt;0,J23=""),"*No olvide digitar el campo TRANS Masculino (Digite CERO si no tiene).", IF(J23&gt;D23," * El Número de TRANS Masculino no puede superar el Total Mujeres. ",""))</f>
        <v/>
      </c>
      <c r="CB23" s="405">
        <f>IF(AND(C23&gt;0,OR(K23=""))," *No olvide digitar el campo TRANS Femenino (Digite CERO si no tiene).",IF(K23&gt;$C23," * El Número de TRANS Femenino no puede superar el Total Hombres. ",""))</f>
        <v/>
      </c>
      <c r="CC23" s="405">
        <f>IF(AND($B23&gt;0,OR(L23=""))," *No olvide digitar el campo "&amp;L$9&amp;""&amp;". Digite CERO si no tiene.", IF(L23&gt;$B23," * La variable "&amp;L$9&amp;""&amp;" no puede superar el Total Ambos Sexos. ",""))</f>
        <v/>
      </c>
      <c r="CD23" s="405">
        <f>IF(AND($B23&gt;0,OR(M23=""))," *No olvide digitar el campo "&amp;M$9&amp;""&amp;". Digite CERO si no tiene.", IF(M23&gt;$B23," * La variable "&amp;M$9&amp;""&amp;" no puede superar el Total Ambos Sexos. ",""))</f>
        <v/>
      </c>
      <c r="CE23" s="405">
        <f>IF(AND($B23&gt;0,OR(N23=""))," *No olvide digitar el campo "&amp;N$9&amp;""&amp;". Digite CERO si no tiene.", IF(N23&gt;$B23," * La variable "&amp;N$9&amp;""&amp;" no puede superar el Total Ambos Sexos. ",""))</f>
        <v/>
      </c>
      <c r="CF23" s="405">
        <f>IF(AND($B23&gt;0,OR(O23=""))," *No olvide digitar el campo "&amp;O$9&amp;""&amp;". Digite CERO si no tiene.", IF(O23&gt;$B23," * La variable "&amp;O$9&amp;""&amp;" no puede superar el Total Ambos Sexos. ",""))</f>
        <v/>
      </c>
      <c r="CG23" s="405">
        <f>IF(AND($B23&gt;0,OR(P23=""))," *No olvide digitar el campo "&amp;P$9&amp;""&amp;". Digite CERO si no tiene.", IF(P23&gt;$B23," * La variable "&amp;P$9&amp;""&amp;" no puede superar el Total Ambos Sexos. ",""))</f>
        <v/>
      </c>
      <c r="CH23" s="405">
        <f>IF(AND($B23&gt;0,OR(Q23=""))," *No olvide digitar el campo "&amp;Q$9&amp;""&amp;". Niños, niñas y adolescentes. Digite CERO si no tiene.", IF(Q23&gt;$B23," * La variable "&amp;Q$9&amp;""&amp;" no puede superar el Total Ambos Sexos. ",""))</f>
        <v/>
      </c>
      <c r="CI23" s="405">
        <f>IF(AND($D23&gt;0,OR(R23=""))," *No olvide digitar el campo "&amp;Q$9&amp;""&amp;" Gestantes. Digite CERO si no tiene.", IF(R23&gt;$D23," * La variable "&amp;Q$9&amp;""&amp;" no puede superar el Total Mujeres. ",""))</f>
        <v/>
      </c>
      <c r="CM23" s="197">
        <f>IF(AND(D23&gt;0,OR(J23="")),1,IF(J23&gt;D23,1,0))</f>
        <v/>
      </c>
      <c r="CN23" s="197">
        <f>IF(AND(C23&gt;0,OR(K23="")),1,IF(K23&gt;C23,1,0))</f>
        <v/>
      </c>
      <c r="CO23" s="197">
        <f>IF(AND($B23&gt;0,OR(L23="")),1,IF(L23&gt;$B23,1,0))</f>
        <v/>
      </c>
      <c r="CP23" s="197">
        <f>IF(AND($B23&gt;0,OR(M23="")),1,IF(M23&gt;$B23,1,0))</f>
        <v/>
      </c>
      <c r="CQ23" s="197">
        <f>IF(AND($B23&gt;0,OR(N23="")),1,IF(N23&gt;$B23,1,0))</f>
        <v/>
      </c>
      <c r="CR23" s="197">
        <f>IF(AND($B23&gt;0,OR(O23="")),1,IF(O23&gt;$B23,1,0))</f>
        <v/>
      </c>
      <c r="CS23" s="197">
        <f>IF(AND($B23&gt;0,OR(P23="")),1,IF(P23&gt;$B23,1,0))</f>
        <v/>
      </c>
      <c r="CT23" s="221">
        <f>IF(AND($B23&gt;0,OR(Q23="")),1,IF(Q23&gt;$B23,1,0))</f>
        <v/>
      </c>
      <c r="CU23" s="221">
        <f>IF(AND($D23&gt;0,OR(R23="")),1,IF(R23&gt;$D23,1,0))</f>
        <v/>
      </c>
    </row>
    <row r="24" ht="21" customHeight="1" s="8286">
      <c r="A24" s="2377" t="inlineStr">
        <is>
          <t>Infraestructura comodidad y seguridad de camas, cunas y camillas de traslado</t>
        </is>
      </c>
      <c r="B24" s="3356">
        <f>SUM(C24:D24)</f>
        <v/>
      </c>
      <c r="C24" s="3108" t="n"/>
      <c r="D24" s="878" t="n"/>
      <c r="E24" s="3108" t="n"/>
      <c r="F24" s="1125" t="n"/>
      <c r="G24" s="1125" t="n"/>
      <c r="H24" s="3100" t="n"/>
      <c r="I24" s="3149" t="n"/>
      <c r="J24" s="881" t="n"/>
      <c r="K24" s="1125" t="n"/>
      <c r="L24" s="3108" t="n"/>
      <c r="M24" s="3659" t="n"/>
      <c r="N24" s="4008" t="n"/>
      <c r="O24" s="4008" t="n"/>
      <c r="P24" s="3656" t="n"/>
      <c r="Q24" s="3108" t="n"/>
      <c r="R24" s="1125" t="n"/>
      <c r="S24" s="226">
        <f>CA24&amp;CB24&amp;CC24&amp;CD24&amp;CE24&amp;CF24&amp;CG24&amp;CH24&amp;CI24</f>
        <v/>
      </c>
      <c r="CA24" s="405">
        <f>IF(AND(D24&gt;0,J24=""),"*No olvide digitar el campo TRANS Masculino (Digite CERO si no tiene).", IF(J24&gt;D24," * El Número de TRANS Masculino no puede superar el Total Mujeres. ",""))</f>
        <v/>
      </c>
      <c r="CB24" s="405">
        <f>IF(AND(C24&gt;0,OR(K24=""))," *No olvide digitar el campo TRANS Femenino (Digite CERO si no tiene).",IF(K24&gt;$C24," * El Número de TRANS Femenino no puede superar el Total Hombres. ",""))</f>
        <v/>
      </c>
      <c r="CC24" s="405">
        <f>IF(AND($B24&gt;0,OR(L24=""))," *No olvide digitar el campo "&amp;L$9&amp;""&amp;". Digite CERO si no tiene.", IF(L24&gt;$B24," * La variable "&amp;L$9&amp;""&amp;" no puede superar el Total Ambos Sexos. ",""))</f>
        <v/>
      </c>
      <c r="CD24" s="405">
        <f>IF(AND($B24&gt;0,OR(M24=""))," *No olvide digitar el campo "&amp;M$9&amp;""&amp;". Digite CERO si no tiene.", IF(M24&gt;$B24," * La variable "&amp;M$9&amp;""&amp;" no puede superar el Total Ambos Sexos. ",""))</f>
        <v/>
      </c>
      <c r="CE24" s="405">
        <f>IF(AND($B24&gt;0,OR(N24=""))," *No olvide digitar el campo "&amp;N$9&amp;""&amp;". Digite CERO si no tiene.", IF(N24&gt;$B24," * La variable "&amp;N$9&amp;""&amp;" no puede superar el Total Ambos Sexos. ",""))</f>
        <v/>
      </c>
      <c r="CF24" s="405">
        <f>IF(AND($B24&gt;0,OR(O24=""))," *No olvide digitar el campo "&amp;O$9&amp;""&amp;". Digite CERO si no tiene.", IF(O24&gt;$B24," * La variable "&amp;O$9&amp;""&amp;" no puede superar el Total Ambos Sexos. ",""))</f>
        <v/>
      </c>
      <c r="CG24" s="405">
        <f>IF(AND($B24&gt;0,OR(P24=""))," *No olvide digitar el campo "&amp;P$9&amp;""&amp;". Digite CERO si no tiene.", IF(P24&gt;$B24," * La variable "&amp;P$9&amp;""&amp;" no puede superar el Total Ambos Sexos. ",""))</f>
        <v/>
      </c>
      <c r="CH24" s="405">
        <f>IF(AND($B24&gt;0,OR(Q24=""))," *No olvide digitar el campo "&amp;Q$9&amp;""&amp;". Niños, niñas y adolescentes. Digite CERO si no tiene.", IF(Q24&gt;$B24," * La variable "&amp;Q$9&amp;""&amp;" no puede superar el Total Ambos Sexos. ",""))</f>
        <v/>
      </c>
      <c r="CI24" s="405">
        <f>IF(AND($D24&gt;0,OR(R24=""))," *No olvide digitar el campo "&amp;Q$9&amp;""&amp;" Gestantes. Digite CERO si no tiene.", IF(R24&gt;$D24," * La variable "&amp;Q$9&amp;""&amp;" no puede superar el Total Mujeres. ",""))</f>
        <v/>
      </c>
      <c r="CM24" s="197">
        <f>IF(AND(D24&gt;0,OR(J24="")),1,IF(J24&gt;D24,1,0))</f>
        <v/>
      </c>
      <c r="CN24" s="197">
        <f>IF(AND(C24&gt;0,OR(K24="")),1,IF(K24&gt;C24,1,0))</f>
        <v/>
      </c>
      <c r="CO24" s="197">
        <f>IF(AND($B24&gt;0,OR(L24="")),1,IF(L24&gt;$B24,1,0))</f>
        <v/>
      </c>
      <c r="CP24" s="197">
        <f>IF(AND($B24&gt;0,OR(M24="")),1,IF(M24&gt;$B24,1,0))</f>
        <v/>
      </c>
      <c r="CQ24" s="197">
        <f>IF(AND($B24&gt;0,OR(N24="")),1,IF(N24&gt;$B24,1,0))</f>
        <v/>
      </c>
      <c r="CR24" s="197">
        <f>IF(AND($B24&gt;0,OR(O24="")),1,IF(O24&gt;$B24,1,0))</f>
        <v/>
      </c>
      <c r="CS24" s="197">
        <f>IF(AND($B24&gt;0,OR(P24="")),1,IF(P24&gt;$B24,1,0))</f>
        <v/>
      </c>
      <c r="CT24" s="221">
        <f>IF(AND($B24&gt;0,OR(Q24="")),1,IF(Q24&gt;$B24,1,0))</f>
        <v/>
      </c>
      <c r="CU24" s="221">
        <f>IF(AND($D24&gt;0,OR(R24="")),1,IF(R24&gt;$D24,1,0))</f>
        <v/>
      </c>
    </row>
    <row r="25">
      <c r="A25" s="8051" t="inlineStr">
        <is>
          <t>Condiciones de infraestructura para el acompañamiento</t>
        </is>
      </c>
      <c r="B25" s="3341">
        <f>SUM(C25:D25)</f>
        <v/>
      </c>
      <c r="C25" s="1137" t="n"/>
      <c r="D25" s="1139" t="n"/>
      <c r="E25" s="1137" t="n"/>
      <c r="F25" s="1138" t="n"/>
      <c r="G25" s="1138" t="n"/>
      <c r="H25" s="1140" t="n"/>
      <c r="I25" s="1416" t="n"/>
      <c r="J25" s="1152" t="n"/>
      <c r="K25" s="1138" t="n"/>
      <c r="L25" s="1137" t="n"/>
      <c r="M25" s="3681" t="n"/>
      <c r="N25" s="1299" t="n"/>
      <c r="O25" s="1299" t="n"/>
      <c r="P25" s="1138" t="n"/>
      <c r="Q25" s="1137" t="n"/>
      <c r="R25" s="1138" t="n"/>
      <c r="S25" s="226">
        <f>CA25&amp;CB25&amp;CC25&amp;CD25&amp;CE25&amp;CF25&amp;CG25&amp;CH25&amp;CI25</f>
        <v/>
      </c>
      <c r="CA25" s="405">
        <f>IF(AND(D25&gt;0,J25=""),"*No olvide digitar el campo TRANS Masculino (Digite CERO si no tiene).", IF(J25&gt;D25," * El Número de TRANS Masculino no puede superar el Total Mujeres. ",""))</f>
        <v/>
      </c>
      <c r="CB25" s="405">
        <f>IF(AND(C25&gt;0,OR(K25=""))," *No olvide digitar el campo TRANS Femenino (Digite CERO si no tiene).",IF(K25&gt;$C25," * El Número de TRANS Femenino no puede superar el Total Hombres. ",""))</f>
        <v/>
      </c>
      <c r="CC25" s="405">
        <f>IF(AND($B25&gt;0,OR(L25=""))," *No olvide digitar el campo "&amp;L$9&amp;""&amp;". Digite CERO si no tiene.", IF(L25&gt;$B25," * La variable "&amp;L$9&amp;""&amp;" no puede superar el Total Ambos Sexos. ",""))</f>
        <v/>
      </c>
      <c r="CD25" s="405">
        <f>IF(AND($B25&gt;0,OR(M25=""))," *No olvide digitar el campo "&amp;M$9&amp;""&amp;". Digite CERO si no tiene.", IF(M25&gt;$B25," * La variable "&amp;M$9&amp;""&amp;" no puede superar el Total Ambos Sexos. ",""))</f>
        <v/>
      </c>
      <c r="CE25" s="405">
        <f>IF(AND($B25&gt;0,OR(N25=""))," *No olvide digitar el campo "&amp;N$9&amp;""&amp;". Digite CERO si no tiene.", IF(N25&gt;$B25," * La variable "&amp;N$9&amp;""&amp;" no puede superar el Total Ambos Sexos. ",""))</f>
        <v/>
      </c>
      <c r="CF25" s="405">
        <f>IF(AND($B25&gt;0,OR(O25=""))," *No olvide digitar el campo "&amp;O$9&amp;""&amp;". Digite CERO si no tiene.", IF(O25&gt;$B25," * La variable "&amp;O$9&amp;""&amp;" no puede superar el Total Ambos Sexos. ",""))</f>
        <v/>
      </c>
      <c r="CG25" s="405">
        <f>IF(AND($B25&gt;0,OR(P25=""))," *No olvide digitar el campo "&amp;P$9&amp;""&amp;". Digite CERO si no tiene.", IF(P25&gt;$B25," * La variable "&amp;P$9&amp;""&amp;" no puede superar el Total Ambos Sexos. ",""))</f>
        <v/>
      </c>
      <c r="CH25" s="405">
        <f>IF(AND($B25&gt;0,OR(Q25=""))," *No olvide digitar el campo "&amp;Q$9&amp;""&amp;". Niños, niñas y adolescentes. Digite CERO si no tiene.", IF(Q25&gt;$B25," * La variable "&amp;Q$9&amp;""&amp;" no puede superar el Total Ambos Sexos. ",""))</f>
        <v/>
      </c>
      <c r="CI25" s="405">
        <f>IF(AND($D25&gt;0,OR(R25=""))," *No olvide digitar el campo "&amp;Q$9&amp;""&amp;" Gestantes. Digite CERO si no tiene.", IF(R25&gt;$D25," * La variable "&amp;Q$9&amp;""&amp;" no puede superar el Total Mujeres. ",""))</f>
        <v/>
      </c>
      <c r="CM25" s="197">
        <f>IF(AND(D25&gt;0,OR(J25="")),1,IF(J25&gt;D25,1,0))</f>
        <v/>
      </c>
      <c r="CN25" s="197">
        <f>IF(AND(C25&gt;0,OR(K25="")),1,IF(K25&gt;C25,1,0))</f>
        <v/>
      </c>
      <c r="CO25" s="197">
        <f>IF(AND($B25&gt;0,OR(L25="")),1,IF(L25&gt;$B25,1,0))</f>
        <v/>
      </c>
      <c r="CP25" s="197">
        <f>IF(AND($B25&gt;0,OR(M25="")),1,IF(M25&gt;$B25,1,0))</f>
        <v/>
      </c>
      <c r="CQ25" s="197">
        <f>IF(AND($B25&gt;0,OR(N25="")),1,IF(N25&gt;$B25,1,0))</f>
        <v/>
      </c>
      <c r="CR25" s="197">
        <f>IF(AND($B25&gt;0,OR(O25="")),1,IF(O25&gt;$B25,1,0))</f>
        <v/>
      </c>
      <c r="CS25" s="197">
        <f>IF(AND($B25&gt;0,OR(P25="")),1,IF(P25&gt;$B25,1,0))</f>
        <v/>
      </c>
      <c r="CT25" s="221">
        <f>IF(AND($B25&gt;0,OR(Q25="")),1,IF(Q25&gt;$B25,1,0))</f>
        <v/>
      </c>
      <c r="CU25" s="221">
        <f>IF(AND($D25&gt;0,OR(R25="")),1,IF(R25&gt;$D25,1,0))</f>
        <v/>
      </c>
    </row>
    <row r="26" ht="15" customHeight="1" s="8286">
      <c r="A26" s="8383" t="inlineStr">
        <is>
          <t>Tiempo de espera (En sala de espera)</t>
        </is>
      </c>
      <c r="B26" s="3355">
        <f>SUM(C26:D26)</f>
        <v/>
      </c>
      <c r="C26" s="1971" t="n"/>
      <c r="D26" s="1122" t="n"/>
      <c r="E26" s="1971" t="n"/>
      <c r="F26" s="1122" t="n"/>
      <c r="G26" s="3227" t="n"/>
      <c r="H26" s="1452" t="n"/>
      <c r="I26" s="1458" t="n"/>
      <c r="J26" s="1972" t="n"/>
      <c r="K26" s="1122" t="n"/>
      <c r="L26" s="1971" t="n"/>
      <c r="M26" s="2660" t="n"/>
      <c r="N26" s="3227" t="n"/>
      <c r="O26" s="3227" t="n"/>
      <c r="P26" s="1122" t="n"/>
      <c r="Q26" s="1971" t="n"/>
      <c r="R26" s="1122" t="n"/>
      <c r="S26" s="226">
        <f>CA26&amp;CB26&amp;CC26&amp;CD26&amp;CE26&amp;CF26&amp;CG26&amp;CH26&amp;CI26</f>
        <v/>
      </c>
      <c r="CA26" s="405">
        <f>IF(AND(D26&gt;0,J26=""),"*No olvide digitar el campo TRANS Masculino (Digite CERO si no tiene).", IF(J26&gt;D26," * El Número de TRANS Masculino no puede superar el Total Mujeres. ",""))</f>
        <v/>
      </c>
      <c r="CB26" s="405">
        <f>IF(AND(C26&gt;0,OR(K26=""))," *No olvide digitar el campo TRANS Femenino (Digite CERO si no tiene).",IF(K26&gt;$C26," * El Número de TRANS Femenino no puede superar el Total Hombres. ",""))</f>
        <v/>
      </c>
      <c r="CC26" s="405">
        <f>IF(AND($B26&gt;0,OR(L26=""))," *No olvide digitar el campo "&amp;L$9&amp;""&amp;". Digite CERO si no tiene.", IF(L26&gt;$B26," * La variable "&amp;L$9&amp;""&amp;" no puede superar el Total Ambos Sexos. ",""))</f>
        <v/>
      </c>
      <c r="CD26" s="405">
        <f>IF(AND($B26&gt;0,OR(M26=""))," *No olvide digitar el campo "&amp;M$9&amp;""&amp;". Digite CERO si no tiene.", IF(M26&gt;$B26," * La variable "&amp;M$9&amp;""&amp;" no puede superar el Total Ambos Sexos. ",""))</f>
        <v/>
      </c>
      <c r="CE26" s="405">
        <f>IF(AND($B26&gt;0,OR(N26=""))," *No olvide digitar el campo "&amp;N$9&amp;""&amp;". Digite CERO si no tiene.", IF(N26&gt;$B26," * La variable "&amp;N$9&amp;""&amp;" no puede superar el Total Ambos Sexos. ",""))</f>
        <v/>
      </c>
      <c r="CF26" s="405">
        <f>IF(AND($B26&gt;0,OR(O26=""))," *No olvide digitar el campo "&amp;O$9&amp;""&amp;". Digite CERO si no tiene.", IF(O26&gt;$B26," * La variable "&amp;O$9&amp;""&amp;" no puede superar el Total Ambos Sexos. ",""))</f>
        <v/>
      </c>
      <c r="CG26" s="405">
        <f>IF(AND($B26&gt;0,OR(P26=""))," *No olvide digitar el campo "&amp;P$9&amp;""&amp;". Digite CERO si no tiene.", IF(P26&gt;$B26," * La variable "&amp;P$9&amp;""&amp;" no puede superar el Total Ambos Sexos. ",""))</f>
        <v/>
      </c>
      <c r="CH26" s="405">
        <f>IF(AND($B26&gt;0,OR(Q26=""))," *No olvide digitar el campo "&amp;Q$9&amp;""&amp;". Niños, niñas y adolescentes. Digite CERO si no tiene.", IF(Q26&gt;$B26," * La variable "&amp;Q$9&amp;""&amp;" no puede superar el Total Ambos Sexos. ",""))</f>
        <v/>
      </c>
      <c r="CI26" s="405">
        <f>IF(AND($D26&gt;0,OR(R26=""))," *No olvide digitar el campo "&amp;Q$9&amp;""&amp;" Gestantes. Digite CERO si no tiene.", IF(R26&gt;$D26," * La variable "&amp;Q$9&amp;""&amp;" no puede superar el Total Mujeres. ",""))</f>
        <v/>
      </c>
      <c r="CM26" s="197">
        <f>IF(AND(D26&gt;0,OR(J26="")),1,IF(J26&gt;D26,1,0))</f>
        <v/>
      </c>
      <c r="CN26" s="197">
        <f>IF(AND(C26&gt;0,OR(K26="")),1,IF(K26&gt;C26,1,0))</f>
        <v/>
      </c>
      <c r="CO26" s="197">
        <f>IF(AND($B26&gt;0,OR(L26="")),1,IF(L26&gt;$B26,1,0))</f>
        <v/>
      </c>
      <c r="CP26" s="197">
        <f>IF(AND($B26&gt;0,OR(M26="")),1,IF(M26&gt;$B26,1,0))</f>
        <v/>
      </c>
      <c r="CQ26" s="197">
        <f>IF(AND($B26&gt;0,OR(N26="")),1,IF(N26&gt;$B26,1,0))</f>
        <v/>
      </c>
      <c r="CR26" s="197">
        <f>IF(AND($B26&gt;0,OR(O26="")),1,IF(O26&gt;$B26,1,0))</f>
        <v/>
      </c>
      <c r="CS26" s="197">
        <f>IF(AND($B26&gt;0,OR(P26="")),1,IF(P26&gt;$B26,1,0))</f>
        <v/>
      </c>
      <c r="CT26" s="221">
        <f>IF(AND($B26&gt;0,OR(Q26="")),1,IF(Q26&gt;$B26,1,0))</f>
        <v/>
      </c>
      <c r="CU26" s="221">
        <f>IF(AND($D26&gt;0,OR(R26="")),1,IF(R26&gt;$D26,1,0))</f>
        <v/>
      </c>
    </row>
    <row r="27" ht="21" customHeight="1" s="8286">
      <c r="A27" s="8510" t="inlineStr">
        <is>
          <t>Tiempo de espera, por consulta especialidad (Por lista de espera)</t>
        </is>
      </c>
      <c r="B27" s="3356">
        <f>SUM(C27:D27)</f>
        <v/>
      </c>
      <c r="C27" s="3108" t="n"/>
      <c r="D27" s="1125" t="n">
        <v>1</v>
      </c>
      <c r="E27" s="3108" t="n">
        <v>1</v>
      </c>
      <c r="F27" s="1125" t="n"/>
      <c r="G27" s="1298" t="n"/>
      <c r="H27" s="3100" t="n"/>
      <c r="I27" s="3149" t="n"/>
      <c r="J27" s="881" t="n"/>
      <c r="K27" s="1125" t="n"/>
      <c r="L27" s="3108" t="n"/>
      <c r="M27" s="3659" t="n"/>
      <c r="N27" s="4008" t="n"/>
      <c r="O27" s="4008" t="n"/>
      <c r="P27" s="3656" t="n"/>
      <c r="Q27" s="3108" t="n"/>
      <c r="R27" s="1125" t="n"/>
      <c r="S27" s="226">
        <f>CA27&amp;CB27&amp;CC27&amp;CD27&amp;CE27&amp;CF27&amp;CG27&amp;CH27&amp;CI27</f>
        <v/>
      </c>
      <c r="CA27" s="405">
        <f>IF(AND(D27&gt;0,J27=""),"*No olvide digitar el campo TRANS Masculino (Digite CERO si no tiene).", IF(J27&gt;D27," * El Número de TRANS Masculino no puede superar el Total Mujeres. ",""))</f>
        <v/>
      </c>
      <c r="CB27" s="405">
        <f>IF(AND(C27&gt;0,OR(K27=""))," *No olvide digitar el campo TRANS Femenino (Digite CERO si no tiene).",IF(K27&gt;$C27," * El Número de TRANS Femenino no puede superar el Total Hombres. ",""))</f>
        <v/>
      </c>
      <c r="CC27" s="405">
        <f>IF(AND($B27&gt;0,OR(L27=""))," *No olvide digitar el campo "&amp;L$9&amp;""&amp;". Digite CERO si no tiene.", IF(L27&gt;$B27," * La variable "&amp;L$9&amp;""&amp;" no puede superar el Total Ambos Sexos. ",""))</f>
        <v/>
      </c>
      <c r="CD27" s="405">
        <f>IF(AND($B27&gt;0,OR(M27=""))," *No olvide digitar el campo "&amp;M$9&amp;""&amp;". Digite CERO si no tiene.", IF(M27&gt;$B27," * La variable "&amp;M$9&amp;""&amp;" no puede superar el Total Ambos Sexos. ",""))</f>
        <v/>
      </c>
      <c r="CE27" s="405">
        <f>IF(AND($B27&gt;0,OR(N27=""))," *No olvide digitar el campo "&amp;N$9&amp;""&amp;". Digite CERO si no tiene.", IF(N27&gt;$B27," * La variable "&amp;N$9&amp;""&amp;" no puede superar el Total Ambos Sexos. ",""))</f>
        <v/>
      </c>
      <c r="CF27" s="405">
        <f>IF(AND($B27&gt;0,OR(O27=""))," *No olvide digitar el campo "&amp;O$9&amp;""&amp;". Digite CERO si no tiene.", IF(O27&gt;$B27," * La variable "&amp;O$9&amp;""&amp;" no puede superar el Total Ambos Sexos. ",""))</f>
        <v/>
      </c>
      <c r="CG27" s="405">
        <f>IF(AND($B27&gt;0,OR(P27=""))," *No olvide digitar el campo "&amp;P$9&amp;""&amp;". Digite CERO si no tiene.", IF(P27&gt;$B27," * La variable "&amp;P$9&amp;""&amp;" no puede superar el Total Ambos Sexos. ",""))</f>
        <v/>
      </c>
      <c r="CH27" s="405">
        <f>IF(AND($B27&gt;0,OR(Q27=""))," *No olvide digitar el campo "&amp;Q$9&amp;""&amp;". Niños, niñas y adolescentes. Digite CERO si no tiene.", IF(Q27&gt;$B27," * La variable "&amp;Q$9&amp;""&amp;" no puede superar el Total Ambos Sexos. ",""))</f>
        <v/>
      </c>
      <c r="CI27" s="405">
        <f>IF(AND($D27&gt;0,OR(R27=""))," *No olvide digitar el campo "&amp;Q$9&amp;""&amp;" Gestantes. Digite CERO si no tiene.", IF(R27&gt;$D27," * La variable "&amp;Q$9&amp;""&amp;" no puede superar el Total Mujeres. ",""))</f>
        <v/>
      </c>
      <c r="CM27" s="197">
        <f>IF(AND(D27&gt;0,OR(J27="")),1,IF(J27&gt;D27,1,0))</f>
        <v/>
      </c>
      <c r="CN27" s="197">
        <f>IF(AND(C27&gt;0,OR(K27="")),1,IF(K27&gt;C27,1,0))</f>
        <v/>
      </c>
      <c r="CO27" s="197">
        <f>IF(AND($B27&gt;0,OR(L27="")),1,IF(L27&gt;$B27,1,0))</f>
        <v/>
      </c>
      <c r="CP27" s="197">
        <f>IF(AND($B27&gt;0,OR(M27="")),1,IF(M27&gt;$B27,1,0))</f>
        <v/>
      </c>
      <c r="CQ27" s="197">
        <f>IF(AND($B27&gt;0,OR(N27="")),1,IF(N27&gt;$B27,1,0))</f>
        <v/>
      </c>
      <c r="CR27" s="197">
        <f>IF(AND($B27&gt;0,OR(O27="")),1,IF(O27&gt;$B27,1,0))</f>
        <v/>
      </c>
      <c r="CS27" s="197">
        <f>IF(AND($B27&gt;0,OR(P27="")),1,IF(P27&gt;$B27,1,0))</f>
        <v/>
      </c>
      <c r="CT27" s="221">
        <f>IF(AND($B27&gt;0,OR(Q27="")),1,IF(Q27&gt;$B27,1,0))</f>
        <v/>
      </c>
      <c r="CU27" s="221">
        <f>IF(AND($D27&gt;0,OR(R27="")),1,IF(R27&gt;$D27,1,0))</f>
        <v/>
      </c>
    </row>
    <row r="28">
      <c r="A28" s="8510" t="inlineStr">
        <is>
          <t>Tiempo de espera, por procedimiento (Lista de espera)</t>
        </is>
      </c>
      <c r="B28" s="3356">
        <f>SUM(C28:D28)</f>
        <v/>
      </c>
      <c r="C28" s="3108" t="n"/>
      <c r="D28" s="1125" t="n">
        <v>1</v>
      </c>
      <c r="E28" s="3108" t="n">
        <v>1</v>
      </c>
      <c r="F28" s="1125" t="n"/>
      <c r="G28" s="1298" t="n"/>
      <c r="H28" s="3100" t="n"/>
      <c r="I28" s="3149" t="n"/>
      <c r="J28" s="881" t="n"/>
      <c r="K28" s="1125" t="n"/>
      <c r="L28" s="3108" t="n"/>
      <c r="M28" s="3659" t="n"/>
      <c r="N28" s="4008" t="n"/>
      <c r="O28" s="4008" t="n"/>
      <c r="P28" s="3656" t="n"/>
      <c r="Q28" s="3108" t="n"/>
      <c r="R28" s="1125" t="n"/>
      <c r="S28" s="226">
        <f>CA28&amp;CB28&amp;CC28&amp;CD28&amp;CE28&amp;CF28&amp;CG28&amp;CH28&amp;CI28</f>
        <v/>
      </c>
      <c r="CA28" s="405">
        <f>IF(AND(D28&gt;0,J28=""),"*No olvide digitar el campo TRANS Masculino (Digite CERO si no tiene).", IF(J28&gt;D28," * El Número de TRANS Masculino no puede superar el Total Mujeres. ",""))</f>
        <v/>
      </c>
      <c r="CB28" s="405">
        <f>IF(AND(C28&gt;0,OR(K28=""))," *No olvide digitar el campo TRANS Femenino (Digite CERO si no tiene).",IF(K28&gt;$C28," * El Número de TRANS Femenino no puede superar el Total Hombres. ",""))</f>
        <v/>
      </c>
      <c r="CC28" s="405">
        <f>IF(AND($B28&gt;0,OR(L28=""))," *No olvide digitar el campo "&amp;L$9&amp;""&amp;". Digite CERO si no tiene.", IF(L28&gt;$B28," * La variable "&amp;L$9&amp;""&amp;" no puede superar el Total Ambos Sexos. ",""))</f>
        <v/>
      </c>
      <c r="CD28" s="405">
        <f>IF(AND($B28&gt;0,OR(M28=""))," *No olvide digitar el campo "&amp;M$9&amp;""&amp;". Digite CERO si no tiene.", IF(M28&gt;$B28," * La variable "&amp;M$9&amp;""&amp;" no puede superar el Total Ambos Sexos. ",""))</f>
        <v/>
      </c>
      <c r="CE28" s="405">
        <f>IF(AND($B28&gt;0,OR(N28=""))," *No olvide digitar el campo "&amp;N$9&amp;""&amp;". Digite CERO si no tiene.", IF(N28&gt;$B28," * La variable "&amp;N$9&amp;""&amp;" no puede superar el Total Ambos Sexos. ",""))</f>
        <v/>
      </c>
      <c r="CF28" s="405">
        <f>IF(AND($B28&gt;0,OR(O28=""))," *No olvide digitar el campo "&amp;O$9&amp;""&amp;". Digite CERO si no tiene.", IF(O28&gt;$B28," * La variable "&amp;O$9&amp;""&amp;" no puede superar el Total Ambos Sexos. ",""))</f>
        <v/>
      </c>
      <c r="CG28" s="405">
        <f>IF(AND($B28&gt;0,OR(P28=""))," *No olvide digitar el campo "&amp;P$9&amp;""&amp;". Digite CERO si no tiene.", IF(P28&gt;$B28," * La variable "&amp;P$9&amp;""&amp;" no puede superar el Total Ambos Sexos. ",""))</f>
        <v/>
      </c>
      <c r="CH28" s="405">
        <f>IF(AND($B28&gt;0,OR(Q28=""))," *No olvide digitar el campo "&amp;Q$9&amp;""&amp;". Niños, niñas y adolescentes. Digite CERO si no tiene.", IF(Q28&gt;$B28," * La variable "&amp;Q$9&amp;""&amp;" no puede superar el Total Ambos Sexos. ",""))</f>
        <v/>
      </c>
      <c r="CI28" s="405">
        <f>IF(AND($D28&gt;0,OR(R28=""))," *No olvide digitar el campo "&amp;Q$9&amp;""&amp;" Gestantes. Digite CERO si no tiene.", IF(R28&gt;$D28," * La variable "&amp;Q$9&amp;""&amp;" no puede superar el Total Mujeres. ",""))</f>
        <v/>
      </c>
      <c r="CM28" s="197">
        <f>IF(AND(D28&gt;0,OR(J28="")),1,IF(J28&gt;D28,1,0))</f>
        <v/>
      </c>
      <c r="CN28" s="197">
        <f>IF(AND(C28&gt;0,OR(K28="")),1,IF(K28&gt;C28,1,0))</f>
        <v/>
      </c>
      <c r="CO28" s="197">
        <f>IF(AND($B28&gt;0,OR(L28="")),1,IF(L28&gt;$B28,1,0))</f>
        <v/>
      </c>
      <c r="CP28" s="197">
        <f>IF(AND($B28&gt;0,OR(M28="")),1,IF(M28&gt;$B28,1,0))</f>
        <v/>
      </c>
      <c r="CQ28" s="197">
        <f>IF(AND($B28&gt;0,OR(N28="")),1,IF(N28&gt;$B28,1,0))</f>
        <v/>
      </c>
      <c r="CR28" s="197">
        <f>IF(AND($B28&gt;0,OR(O28="")),1,IF(O28&gt;$B28,1,0))</f>
        <v/>
      </c>
      <c r="CS28" s="197">
        <f>IF(AND($B28&gt;0,OR(P28="")),1,IF(P28&gt;$B28,1,0))</f>
        <v/>
      </c>
      <c r="CT28" s="221">
        <f>IF(AND($B28&gt;0,OR(Q28="")),1,IF(Q28&gt;$B28,1,0))</f>
        <v/>
      </c>
      <c r="CU28" s="221">
        <f>IF(AND($D28&gt;0,OR(R28="")),1,IF(R28&gt;$D28,1,0))</f>
        <v/>
      </c>
    </row>
    <row r="29">
      <c r="A29" s="8359" t="inlineStr">
        <is>
          <t>Tiempo de espera , por cirugía (Lista de espera)</t>
        </is>
      </c>
      <c r="B29" s="3341">
        <f>SUM(C29:D29)</f>
        <v/>
      </c>
      <c r="C29" s="1137" t="n"/>
      <c r="D29" s="1138" t="n"/>
      <c r="E29" s="1137" t="n"/>
      <c r="F29" s="1138" t="n"/>
      <c r="G29" s="1138" t="n"/>
      <c r="H29" s="1140" t="n"/>
      <c r="I29" s="1416" t="n"/>
      <c r="J29" s="1152" t="n"/>
      <c r="K29" s="1138" t="n"/>
      <c r="L29" s="1137" t="n"/>
      <c r="M29" s="3681" t="n"/>
      <c r="N29" s="1299" t="n"/>
      <c r="O29" s="1299" t="n"/>
      <c r="P29" s="1138" t="n"/>
      <c r="Q29" s="1137" t="n"/>
      <c r="R29" s="1138" t="n"/>
      <c r="S29" s="226">
        <f>CA29&amp;CB29&amp;CC29&amp;CD29&amp;CE29&amp;CF29&amp;CG29&amp;CH29&amp;CI29</f>
        <v/>
      </c>
      <c r="CA29" s="405">
        <f>IF(AND(D29&gt;0,J29=""),"*No olvide digitar el campo TRANS Masculino (Digite CERO si no tiene).", IF(J29&gt;D29," * El Número de TRANS Masculino no puede superar el Total Mujeres. ",""))</f>
        <v/>
      </c>
      <c r="CB29" s="405">
        <f>IF(AND(C29&gt;0,OR(K29=""))," *No olvide digitar el campo TRANS Femenino (Digite CERO si no tiene).",IF(K29&gt;$C29," * El Número de TRANS Femenino no puede superar el Total Hombres. ",""))</f>
        <v/>
      </c>
      <c r="CC29" s="405">
        <f>IF(AND($B29&gt;0,OR(L29=""))," *No olvide digitar el campo "&amp;L$9&amp;""&amp;". Digite CERO si no tiene.", IF(L29&gt;$B29," * La variable "&amp;L$9&amp;""&amp;" no puede superar el Total Ambos Sexos. ",""))</f>
        <v/>
      </c>
      <c r="CD29" s="405">
        <f>IF(AND($B29&gt;0,OR(M29=""))," *No olvide digitar el campo "&amp;M$9&amp;""&amp;". Digite CERO si no tiene.", IF(M29&gt;$B29," * La variable "&amp;M$9&amp;""&amp;" no puede superar el Total Ambos Sexos. ",""))</f>
        <v/>
      </c>
      <c r="CE29" s="405">
        <f>IF(AND($B29&gt;0,OR(N29=""))," *No olvide digitar el campo "&amp;N$9&amp;""&amp;". Digite CERO si no tiene.", IF(N29&gt;$B29," * La variable "&amp;N$9&amp;""&amp;" no puede superar el Total Ambos Sexos. ",""))</f>
        <v/>
      </c>
      <c r="CF29" s="405">
        <f>IF(AND($B29&gt;0,OR(O29=""))," *No olvide digitar el campo "&amp;O$9&amp;""&amp;". Digite CERO si no tiene.", IF(O29&gt;$B29," * La variable "&amp;O$9&amp;""&amp;" no puede superar el Total Ambos Sexos. ",""))</f>
        <v/>
      </c>
      <c r="CG29" s="405">
        <f>IF(AND($B29&gt;0,OR(P29=""))," *No olvide digitar el campo "&amp;P$9&amp;""&amp;". Digite CERO si no tiene.", IF(P29&gt;$B29," * La variable "&amp;P$9&amp;""&amp;" no puede superar el Total Ambos Sexos. ",""))</f>
        <v/>
      </c>
      <c r="CH29" s="405">
        <f>IF(AND($B29&gt;0,OR(Q29=""))," *No olvide digitar el campo "&amp;Q$9&amp;""&amp;". Niños, niñas y adolescentes. Digite CERO si no tiene.", IF(Q29&gt;$B29," * La variable "&amp;Q$9&amp;""&amp;" no puede superar el Total Ambos Sexos. ",""))</f>
        <v/>
      </c>
      <c r="CI29" s="405">
        <f>IF(AND($D29&gt;0,OR(R29=""))," *No olvide digitar el campo "&amp;Q$9&amp;""&amp;" Gestantes. Digite CERO si no tiene.", IF(R29&gt;$D29," * La variable "&amp;Q$9&amp;""&amp;" no puede superar el Total Mujeres. ",""))</f>
        <v/>
      </c>
      <c r="CM29" s="197">
        <f>IF(AND(D29&gt;0,OR(J29="")),1,IF(J29&gt;D29,1,0))</f>
        <v/>
      </c>
      <c r="CN29" s="197">
        <f>IF(AND(C29&gt;0,OR(K29="")),1,IF(K29&gt;C29,1,0))</f>
        <v/>
      </c>
      <c r="CO29" s="197">
        <f>IF(AND($B29&gt;0,OR(L29="")),1,IF(L29&gt;$B29,1,0))</f>
        <v/>
      </c>
      <c r="CP29" s="197">
        <f>IF(AND($B29&gt;0,OR(M29="")),1,IF(M29&gt;$B29,1,0))</f>
        <v/>
      </c>
      <c r="CQ29" s="197">
        <f>IF(AND($B29&gt;0,OR(N29="")),1,IF(N29&gt;$B29,1,0))</f>
        <v/>
      </c>
      <c r="CR29" s="197">
        <f>IF(AND($B29&gt;0,OR(O29="")),1,IF(O29&gt;$B29,1,0))</f>
        <v/>
      </c>
      <c r="CS29" s="197">
        <f>IF(AND($B29&gt;0,OR(P29="")),1,IF(P29&gt;$B29,1,0))</f>
        <v/>
      </c>
      <c r="CT29" s="221">
        <f>IF(AND($B29&gt;0,OR(Q29="")),1,IF(Q29&gt;$B29,1,0))</f>
        <v/>
      </c>
      <c r="CU29" s="221">
        <f>IF(AND($D29&gt;0,OR(R29="")),1,IF(R29&gt;$D29,1,0))</f>
        <v/>
      </c>
    </row>
    <row r="30">
      <c r="A30" s="2377" t="inlineStr">
        <is>
          <t>Información del estado de salud</t>
        </is>
      </c>
      <c r="B30" s="3355">
        <f>SUM(C30:D30)</f>
        <v/>
      </c>
      <c r="C30" s="1971" t="n"/>
      <c r="D30" s="1122" t="n"/>
      <c r="E30" s="1971" t="n"/>
      <c r="F30" s="1122" t="n"/>
      <c r="G30" s="1122" t="n"/>
      <c r="H30" s="1452" t="n"/>
      <c r="I30" s="1458" t="n"/>
      <c r="J30" s="1972" t="n"/>
      <c r="K30" s="1122" t="n"/>
      <c r="L30" s="1971" t="n"/>
      <c r="M30" s="2660" t="n"/>
      <c r="N30" s="3227" t="n"/>
      <c r="O30" s="3227" t="n"/>
      <c r="P30" s="1122" t="n"/>
      <c r="Q30" s="1971" t="n"/>
      <c r="R30" s="1122" t="n"/>
      <c r="S30" s="226">
        <f>CA30&amp;CB30&amp;CC30&amp;CD30&amp;CE30&amp;CF30&amp;CG30&amp;CH30&amp;CI30</f>
        <v/>
      </c>
      <c r="CA30" s="405">
        <f>IF(AND(D30&gt;0,J30=""),"*No olvide digitar el campo TRANS Masculino (Digite CERO si no tiene).", IF(J30&gt;D30," * El Número de TRANS Masculino no puede superar el Total Mujeres. ",""))</f>
        <v/>
      </c>
      <c r="CB30" s="405">
        <f>IF(AND(C30&gt;0,OR(K30=""))," *No olvide digitar el campo TRANS Femenino (Digite CERO si no tiene).",IF(K30&gt;$C30," * El Número de TRANS Femenino no puede superar el Total Hombres. ",""))</f>
        <v/>
      </c>
      <c r="CC30" s="405">
        <f>IF(AND($B30&gt;0,OR(L30=""))," *No olvide digitar el campo "&amp;L$9&amp;""&amp;". Digite CERO si no tiene.", IF(L30&gt;$B30," * La variable "&amp;L$9&amp;""&amp;" no puede superar el Total Ambos Sexos. ",""))</f>
        <v/>
      </c>
      <c r="CD30" s="405">
        <f>IF(AND($B30&gt;0,OR(M30=""))," *No olvide digitar el campo "&amp;M$9&amp;""&amp;". Digite CERO si no tiene.", IF(M30&gt;$B30," * La variable "&amp;M$9&amp;""&amp;" no puede superar el Total Ambos Sexos. ",""))</f>
        <v/>
      </c>
      <c r="CE30" s="405">
        <f>IF(AND($B30&gt;0,OR(N30=""))," *No olvide digitar el campo "&amp;N$9&amp;""&amp;". Digite CERO si no tiene.", IF(N30&gt;$B30," * La variable "&amp;N$9&amp;""&amp;" no puede superar el Total Ambos Sexos. ",""))</f>
        <v/>
      </c>
      <c r="CF30" s="405">
        <f>IF(AND($B30&gt;0,OR(O30=""))," *No olvide digitar el campo "&amp;O$9&amp;""&amp;". Digite CERO si no tiene.", IF(O30&gt;$B30," * La variable "&amp;O$9&amp;""&amp;" no puede superar el Total Ambos Sexos. ",""))</f>
        <v/>
      </c>
      <c r="CG30" s="405">
        <f>IF(AND($B30&gt;0,OR(P30=""))," *No olvide digitar el campo "&amp;P$9&amp;""&amp;". Digite CERO si no tiene.", IF(P30&gt;$B30," * La variable "&amp;P$9&amp;""&amp;" no puede superar el Total Ambos Sexos. ",""))</f>
        <v/>
      </c>
      <c r="CH30" s="405">
        <f>IF(AND($B30&gt;0,OR(Q30=""))," *No olvide digitar el campo "&amp;Q$9&amp;""&amp;". Niños, niñas y adolescentes. Digite CERO si no tiene.", IF(Q30&gt;$B30," * La variable "&amp;Q$9&amp;""&amp;" no puede superar el Total Ambos Sexos. ",""))</f>
        <v/>
      </c>
      <c r="CI30" s="405">
        <f>IF(AND($D30&gt;0,OR(R30=""))," *No olvide digitar el campo "&amp;Q$9&amp;""&amp;" Gestantes. Digite CERO si no tiene.", IF(R30&gt;$D30," * La variable "&amp;Q$9&amp;""&amp;" no puede superar el Total Mujeres. ",""))</f>
        <v/>
      </c>
      <c r="CM30" s="197">
        <f>IF(AND(D30&gt;0,OR(J30="")),1,IF(J30&gt;D30,1,0))</f>
        <v/>
      </c>
      <c r="CN30" s="197">
        <f>IF(AND(C30&gt;0,OR(K30="")),1,IF(K30&gt;C30,1,0))</f>
        <v/>
      </c>
      <c r="CO30" s="197">
        <f>IF(AND($B30&gt;0,OR(L30="")),1,IF(L30&gt;$B30,1,0))</f>
        <v/>
      </c>
      <c r="CP30" s="197">
        <f>IF(AND($B30&gt;0,OR(M30="")),1,IF(M30&gt;$B30,1,0))</f>
        <v/>
      </c>
      <c r="CQ30" s="197">
        <f>IF(AND($B30&gt;0,OR(N30="")),1,IF(N30&gt;$B30,1,0))</f>
        <v/>
      </c>
      <c r="CR30" s="197">
        <f>IF(AND($B30&gt;0,OR(O30="")),1,IF(O30&gt;$B30,1,0))</f>
        <v/>
      </c>
      <c r="CS30" s="197">
        <f>IF(AND($B30&gt;0,OR(P30="")),1,IF(P30&gt;$B30,1,0))</f>
        <v/>
      </c>
      <c r="CT30" s="221">
        <f>IF(AND($B30&gt;0,OR(Q30="")),1,IF(Q30&gt;$B30,1,0))</f>
        <v/>
      </c>
      <c r="CU30" s="221">
        <f>IF(AND($D30&gt;0,OR(R30="")),1,IF(R30&gt;$D30,1,0))</f>
        <v/>
      </c>
    </row>
    <row r="31">
      <c r="A31" s="2377" t="inlineStr">
        <is>
          <t>Información y trámites institucionales</t>
        </is>
      </c>
      <c r="B31" s="3356">
        <f>SUM(C31:D31)</f>
        <v/>
      </c>
      <c r="C31" s="3108" t="n"/>
      <c r="D31" s="1125" t="n">
        <v>1</v>
      </c>
      <c r="E31" s="3108" t="n">
        <v>1</v>
      </c>
      <c r="F31" s="1125" t="n"/>
      <c r="G31" s="1125" t="n"/>
      <c r="H31" s="3100" t="n"/>
      <c r="I31" s="3149" t="n"/>
      <c r="J31" s="881" t="n"/>
      <c r="K31" s="1125" t="n"/>
      <c r="L31" s="3108" t="n"/>
      <c r="M31" s="3659" t="n"/>
      <c r="N31" s="4008" t="n"/>
      <c r="O31" s="4008" t="n"/>
      <c r="P31" s="3656" t="n"/>
      <c r="Q31" s="3108" t="n"/>
      <c r="R31" s="1125" t="n"/>
      <c r="S31" s="226">
        <f>CA31&amp;CB31&amp;CC31&amp;CD31&amp;CE31&amp;CF31&amp;CG31&amp;CH31&amp;CI31</f>
        <v/>
      </c>
      <c r="CA31" s="405">
        <f>IF(AND(D31&gt;0,J31=""),"*No olvide digitar el campo TRANS Masculino (Digite CERO si no tiene).", IF(J31&gt;D31," * El Número de TRANS Masculino no puede superar el Total Mujeres. ",""))</f>
        <v/>
      </c>
      <c r="CB31" s="405">
        <f>IF(AND(C31&gt;0,OR(K31=""))," *No olvide digitar el campo TRANS Femenino (Digite CERO si no tiene).",IF(K31&gt;$C31," * El Número de TRANS Femenino no puede superar el Total Hombres. ",""))</f>
        <v/>
      </c>
      <c r="CC31" s="405">
        <f>IF(AND($B31&gt;0,OR(L31=""))," *No olvide digitar el campo "&amp;L$9&amp;""&amp;". Digite CERO si no tiene.", IF(L31&gt;$B31," * La variable "&amp;L$9&amp;""&amp;" no puede superar el Total Ambos Sexos. ",""))</f>
        <v/>
      </c>
      <c r="CD31" s="405">
        <f>IF(AND($B31&gt;0,OR(M31=""))," *No olvide digitar el campo "&amp;M$9&amp;""&amp;". Digite CERO si no tiene.", IF(M31&gt;$B31," * La variable "&amp;M$9&amp;""&amp;" no puede superar el Total Ambos Sexos. ",""))</f>
        <v/>
      </c>
      <c r="CE31" s="405">
        <f>IF(AND($B31&gt;0,OR(N31=""))," *No olvide digitar el campo "&amp;N$9&amp;""&amp;". Digite CERO si no tiene.", IF(N31&gt;$B31," * La variable "&amp;N$9&amp;""&amp;" no puede superar el Total Ambos Sexos. ",""))</f>
        <v/>
      </c>
      <c r="CF31" s="405">
        <f>IF(AND($B31&gt;0,OR(O31=""))," *No olvide digitar el campo "&amp;O$9&amp;""&amp;". Digite CERO si no tiene.", IF(O31&gt;$B31," * La variable "&amp;O$9&amp;""&amp;" no puede superar el Total Ambos Sexos. ",""))</f>
        <v/>
      </c>
      <c r="CG31" s="405">
        <f>IF(AND($B31&gt;0,OR(P31=""))," *No olvide digitar el campo "&amp;P$9&amp;""&amp;". Digite CERO si no tiene.", IF(P31&gt;$B31," * La variable "&amp;P$9&amp;""&amp;" no puede superar el Total Ambos Sexos. ",""))</f>
        <v/>
      </c>
      <c r="CH31" s="405">
        <f>IF(AND($B31&gt;0,OR(Q31=""))," *No olvide digitar el campo "&amp;Q$9&amp;""&amp;". Niños, niñas y adolescentes. Digite CERO si no tiene.", IF(Q31&gt;$B31," * La variable "&amp;Q$9&amp;""&amp;" no puede superar el Total Ambos Sexos. ",""))</f>
        <v/>
      </c>
      <c r="CI31" s="405">
        <f>IF(AND($D31&gt;0,OR(R31=""))," *No olvide digitar el campo "&amp;Q$9&amp;""&amp;" Gestantes. Digite CERO si no tiene.", IF(R31&gt;$D31," * La variable "&amp;Q$9&amp;""&amp;" no puede superar el Total Mujeres. ",""))</f>
        <v/>
      </c>
      <c r="CM31" s="197">
        <f>IF(AND(D31&gt;0,OR(J31="")),1,IF(J31&gt;D31,1,0))</f>
        <v/>
      </c>
      <c r="CN31" s="197">
        <f>IF(AND(C31&gt;0,OR(K31="")),1,IF(K31&gt;C31,1,0))</f>
        <v/>
      </c>
      <c r="CO31" s="197">
        <f>IF(AND($B31&gt;0,OR(L31="")),1,IF(L31&gt;$B31,1,0))</f>
        <v/>
      </c>
      <c r="CP31" s="197">
        <f>IF(AND($B31&gt;0,OR(M31="")),1,IF(M31&gt;$B31,1,0))</f>
        <v/>
      </c>
      <c r="CQ31" s="197">
        <f>IF(AND($B31&gt;0,OR(N31="")),1,IF(N31&gt;$B31,1,0))</f>
        <v/>
      </c>
      <c r="CR31" s="197">
        <f>IF(AND($B31&gt;0,OR(O31="")),1,IF(O31&gt;$B31,1,0))</f>
        <v/>
      </c>
      <c r="CS31" s="197">
        <f>IF(AND($B31&gt;0,OR(P31="")),1,IF(P31&gt;$B31,1,0))</f>
        <v/>
      </c>
      <c r="CT31" s="221">
        <f>IF(AND($B31&gt;0,OR(Q31="")),1,IF(Q31&gt;$B31,1,0))</f>
        <v/>
      </c>
      <c r="CU31" s="221">
        <f>IF(AND($D31&gt;0,OR(R31="")),1,IF(R31&gt;$D31,1,0))</f>
        <v/>
      </c>
    </row>
    <row r="32">
      <c r="A32" s="2377" t="inlineStr">
        <is>
          <t>Información sobre consentimiento informado</t>
        </is>
      </c>
      <c r="B32" s="3356">
        <f>SUM(C32:D32)</f>
        <v/>
      </c>
      <c r="C32" s="3108" t="n"/>
      <c r="D32" s="1125" t="n"/>
      <c r="E32" s="3108" t="n"/>
      <c r="F32" s="1125" t="n"/>
      <c r="G32" s="1125" t="n"/>
      <c r="H32" s="3100" t="n"/>
      <c r="I32" s="880" t="n"/>
      <c r="J32" s="881" t="n"/>
      <c r="K32" s="1125" t="n"/>
      <c r="L32" s="3108" t="n"/>
      <c r="M32" s="3659" t="n"/>
      <c r="N32" s="4008" t="n"/>
      <c r="O32" s="4008" t="n"/>
      <c r="P32" s="3656" t="n"/>
      <c r="Q32" s="3108" t="n"/>
      <c r="R32" s="1125" t="n"/>
      <c r="S32" s="226">
        <f>CA32&amp;CB32&amp;CC32&amp;CD32&amp;CE32&amp;CF32&amp;CG32&amp;CH32&amp;CI32</f>
        <v/>
      </c>
      <c r="CA32" s="405">
        <f>IF(AND(D32&gt;0,J32=""),"*No olvide digitar el campo TRANS Masculino (Digite CERO si no tiene).", IF(J32&gt;D32," * El Número de TRANS Masculino no puede superar el Total Mujeres. ",""))</f>
        <v/>
      </c>
      <c r="CB32" s="405">
        <f>IF(AND(C32&gt;0,OR(K32=""))," *No olvide digitar el campo TRANS Femenino (Digite CERO si no tiene).",IF(K32&gt;$C32," * El Número de TRANS Femenino no puede superar el Total Hombres. ",""))</f>
        <v/>
      </c>
      <c r="CC32" s="405">
        <f>IF(AND($B32&gt;0,OR(L32=""))," *No olvide digitar el campo "&amp;L$9&amp;""&amp;". Digite CERO si no tiene.", IF(L32&gt;$B32," * La variable "&amp;L$9&amp;""&amp;" no puede superar el Total Ambos Sexos. ",""))</f>
        <v/>
      </c>
      <c r="CD32" s="405">
        <f>IF(AND($B32&gt;0,OR(M32=""))," *No olvide digitar el campo "&amp;M$9&amp;""&amp;". Digite CERO si no tiene.", IF(M32&gt;$B32," * La variable "&amp;M$9&amp;""&amp;" no puede superar el Total Ambos Sexos. ",""))</f>
        <v/>
      </c>
      <c r="CE32" s="405">
        <f>IF(AND($B32&gt;0,OR(N32=""))," *No olvide digitar el campo "&amp;N$9&amp;""&amp;". Digite CERO si no tiene.", IF(N32&gt;$B32," * La variable "&amp;N$9&amp;""&amp;" no puede superar el Total Ambos Sexos. ",""))</f>
        <v/>
      </c>
      <c r="CF32" s="405">
        <f>IF(AND($B32&gt;0,OR(O32=""))," *No olvide digitar el campo "&amp;O$9&amp;""&amp;". Digite CERO si no tiene.", IF(O32&gt;$B32," * La variable "&amp;O$9&amp;""&amp;" no puede superar el Total Ambos Sexos. ",""))</f>
        <v/>
      </c>
      <c r="CG32" s="405">
        <f>IF(AND($B32&gt;0,OR(P32=""))," *No olvide digitar el campo "&amp;P$9&amp;""&amp;". Digite CERO si no tiene.", IF(P32&gt;$B32," * La variable "&amp;P$9&amp;""&amp;" no puede superar el Total Ambos Sexos. ",""))</f>
        <v/>
      </c>
      <c r="CH32" s="405">
        <f>IF(AND($B32&gt;0,OR(Q32=""))," *No olvide digitar el campo "&amp;Q$9&amp;""&amp;". Niños, niñas y adolescentes. Digite CERO si no tiene.", IF(Q32&gt;$B32," * La variable "&amp;Q$9&amp;""&amp;" no puede superar el Total Ambos Sexos. ",""))</f>
        <v/>
      </c>
      <c r="CI32" s="405">
        <f>IF(AND($D32&gt;0,OR(R32=""))," *No olvide digitar el campo "&amp;Q$9&amp;""&amp;" Gestantes. Digite CERO si no tiene.", IF(R32&gt;$D32," * La variable "&amp;Q$9&amp;""&amp;" no puede superar el Total Mujeres. ",""))</f>
        <v/>
      </c>
      <c r="CM32" s="197">
        <f>IF(AND(D32&gt;0,OR(J32="")),1,IF(J32&gt;D32,1,0))</f>
        <v/>
      </c>
      <c r="CN32" s="197">
        <f>IF(AND(C32&gt;0,OR(K32="")),1,IF(K32&gt;C32,1,0))</f>
        <v/>
      </c>
      <c r="CO32" s="197">
        <f>IF(AND($B32&gt;0,OR(L32="")),1,IF(L32&gt;$B32,1,0))</f>
        <v/>
      </c>
      <c r="CP32" s="197">
        <f>IF(AND($B32&gt;0,OR(M32="")),1,IF(M32&gt;$B32,1,0))</f>
        <v/>
      </c>
      <c r="CQ32" s="197">
        <f>IF(AND($B32&gt;0,OR(N32="")),1,IF(N32&gt;$B32,1,0))</f>
        <v/>
      </c>
      <c r="CR32" s="197">
        <f>IF(AND($B32&gt;0,OR(O32="")),1,IF(O32&gt;$B32,1,0))</f>
        <v/>
      </c>
      <c r="CS32" s="197">
        <f>IF(AND($B32&gt;0,OR(P32="")),1,IF(P32&gt;$B32,1,0))</f>
        <v/>
      </c>
      <c r="CT32" s="221">
        <f>IF(AND($B32&gt;0,OR(Q32="")),1,IF(Q32&gt;$B32,1,0))</f>
        <v/>
      </c>
      <c r="CU32" s="221">
        <f>IF(AND($D32&gt;0,OR(R32="")),1,IF(R32&gt;$D32,1,0))</f>
        <v/>
      </c>
    </row>
    <row r="33">
      <c r="A33" s="2377" t="inlineStr">
        <is>
          <t>Información sobre acceso a ficha clínica</t>
        </is>
      </c>
      <c r="B33" s="3356">
        <f>SUM(C33:D33)</f>
        <v/>
      </c>
      <c r="C33" s="3108" t="n"/>
      <c r="D33" s="1125" t="n"/>
      <c r="E33" s="3108" t="n"/>
      <c r="F33" s="1125" t="n"/>
      <c r="G33" s="1125" t="n"/>
      <c r="H33" s="3100" t="n"/>
      <c r="I33" s="880" t="n"/>
      <c r="J33" s="881" t="n"/>
      <c r="K33" s="1125" t="n"/>
      <c r="L33" s="3108" t="n"/>
      <c r="M33" s="3659" t="n"/>
      <c r="N33" s="4008" t="n"/>
      <c r="O33" s="4008" t="n"/>
      <c r="P33" s="3656" t="n"/>
      <c r="Q33" s="3108" t="n"/>
      <c r="R33" s="1125" t="n"/>
      <c r="S33" s="226">
        <f>CA33&amp;CB33&amp;CC33&amp;CD33&amp;CE33&amp;CF33&amp;CG33&amp;CH33&amp;CI33</f>
        <v/>
      </c>
      <c r="CA33" s="405">
        <f>IF(AND(D33&gt;0,J33=""),"*No olvide digitar el campo TRANS Masculino (Digite CERO si no tiene).", IF(J33&gt;D33," * El Número de TRANS Masculino no puede superar el Total Mujeres. ",""))</f>
        <v/>
      </c>
      <c r="CB33" s="405">
        <f>IF(AND(C33&gt;0,OR(K33=""))," *No olvide digitar el campo TRANS Femenino (Digite CERO si no tiene).",IF(K33&gt;$C33," * El Número de TRANS Femenino no puede superar el Total Hombres. ",""))</f>
        <v/>
      </c>
      <c r="CC33" s="405">
        <f>IF(AND($B33&gt;0,OR(L33=""))," *No olvide digitar el campo "&amp;L$9&amp;""&amp;". Digite CERO si no tiene.", IF(L33&gt;$B33," * La variable "&amp;L$9&amp;""&amp;" no puede superar el Total Ambos Sexos. ",""))</f>
        <v/>
      </c>
      <c r="CD33" s="405">
        <f>IF(AND($B33&gt;0,OR(M33=""))," *No olvide digitar el campo "&amp;M$9&amp;""&amp;". Digite CERO si no tiene.", IF(M33&gt;$B33," * La variable "&amp;M$9&amp;""&amp;" no puede superar el Total Ambos Sexos. ",""))</f>
        <v/>
      </c>
      <c r="CE33" s="405">
        <f>IF(AND($B33&gt;0,OR(N33=""))," *No olvide digitar el campo "&amp;N$9&amp;""&amp;". Digite CERO si no tiene.", IF(N33&gt;$B33," * La variable "&amp;N$9&amp;""&amp;" no puede superar el Total Ambos Sexos. ",""))</f>
        <v/>
      </c>
      <c r="CF33" s="405">
        <f>IF(AND($B33&gt;0,OR(O33=""))," *No olvide digitar el campo "&amp;O$9&amp;""&amp;". Digite CERO si no tiene.", IF(O33&gt;$B33," * La variable "&amp;O$9&amp;""&amp;" no puede superar el Total Ambos Sexos. ",""))</f>
        <v/>
      </c>
      <c r="CG33" s="405">
        <f>IF(AND($B33&gt;0,OR(P33=""))," *No olvide digitar el campo "&amp;P$9&amp;""&amp;". Digite CERO si no tiene.", IF(P33&gt;$B33," * La variable "&amp;P$9&amp;""&amp;" no puede superar el Total Ambos Sexos. ",""))</f>
        <v/>
      </c>
      <c r="CH33" s="405">
        <f>IF(AND($B33&gt;0,OR(Q33=""))," *No olvide digitar el campo "&amp;Q$9&amp;""&amp;". Niños, niñas y adolescentes. Digite CERO si no tiene.", IF(Q33&gt;$B33," * La variable "&amp;Q$9&amp;""&amp;" no puede superar el Total Ambos Sexos. ",""))</f>
        <v/>
      </c>
      <c r="CI33" s="405">
        <f>IF(AND($D33&gt;0,OR(R33=""))," *No olvide digitar el campo "&amp;Q$9&amp;""&amp;" Gestantes. Digite CERO si no tiene.", IF(R33&gt;$D33," * La variable "&amp;Q$9&amp;""&amp;" no puede superar el Total Mujeres. ",""))</f>
        <v/>
      </c>
      <c r="CM33" s="197">
        <f>IF(AND(D33&gt;0,OR(J33="")),1,IF(J33&gt;D33,1,0))</f>
        <v/>
      </c>
      <c r="CN33" s="197">
        <f>IF(AND(C33&gt;0,OR(K33="")),1,IF(K33&gt;C33,1,0))</f>
        <v/>
      </c>
      <c r="CO33" s="197">
        <f>IF(AND($B33&gt;0,OR(L33="")),1,IF(L33&gt;$B33,1,0))</f>
        <v/>
      </c>
      <c r="CP33" s="197">
        <f>IF(AND($B33&gt;0,OR(M33="")),1,IF(M33&gt;$B33,1,0))</f>
        <v/>
      </c>
      <c r="CQ33" s="197">
        <f>IF(AND($B33&gt;0,OR(N33="")),1,IF(N33&gt;$B33,1,0))</f>
        <v/>
      </c>
      <c r="CR33" s="197">
        <f>IF(AND($B33&gt;0,OR(O33="")),1,IF(O33&gt;$B33,1,0))</f>
        <v/>
      </c>
      <c r="CS33" s="197">
        <f>IF(AND($B33&gt;0,OR(P33="")),1,IF(P33&gt;$B33,1,0))</f>
        <v/>
      </c>
      <c r="CT33" s="221">
        <f>IF(AND($B33&gt;0,OR(Q33="")),1,IF(Q33&gt;$B33,1,0))</f>
        <v/>
      </c>
      <c r="CU33" s="221">
        <f>IF(AND($D33&gt;0,OR(R33="")),1,IF(R33&gt;$D33,1,0))</f>
        <v/>
      </c>
    </row>
    <row r="34">
      <c r="A34" s="2377" t="inlineStr">
        <is>
          <t>Información sobre acceso a médico tratante</t>
        </is>
      </c>
      <c r="B34" s="3356">
        <f>SUM(C34:D34)</f>
        <v/>
      </c>
      <c r="C34" s="3108" t="n"/>
      <c r="D34" s="878" t="n"/>
      <c r="E34" s="3108" t="n"/>
      <c r="F34" s="878" t="n"/>
      <c r="G34" s="1125" t="n"/>
      <c r="H34" s="882" t="n"/>
      <c r="I34" s="880" t="n"/>
      <c r="J34" s="881" t="n"/>
      <c r="K34" s="1125" t="n"/>
      <c r="L34" s="3108" t="n"/>
      <c r="M34" s="3659" t="n"/>
      <c r="N34" s="4008" t="n"/>
      <c r="O34" s="4008" t="n"/>
      <c r="P34" s="3656" t="n"/>
      <c r="Q34" s="3108" t="n"/>
      <c r="R34" s="1125" t="n"/>
      <c r="S34" s="226">
        <f>CA34&amp;CB34&amp;CC34&amp;CD34&amp;CE34&amp;CF34&amp;CG34&amp;CH34&amp;CI34</f>
        <v/>
      </c>
      <c r="CA34" s="405">
        <f>IF(AND(D34&gt;0,J34=""),"*No olvide digitar el campo TRANS Masculino (Digite CERO si no tiene).", IF(J34&gt;D34," * El Número de TRANS Masculino no puede superar el Total Mujeres. ",""))</f>
        <v/>
      </c>
      <c r="CB34" s="405">
        <f>IF(AND(C34&gt;0,OR(K34=""))," *No olvide digitar el campo TRANS Femenino (Digite CERO si no tiene).",IF(K34&gt;$C34," * El Número de TRANS Femenino no puede superar el Total Hombres. ",""))</f>
        <v/>
      </c>
      <c r="CC34" s="405">
        <f>IF(AND($B34&gt;0,OR(L34=""))," *No olvide digitar el campo "&amp;L$9&amp;""&amp;". Digite CERO si no tiene.", IF(L34&gt;$B34," * La variable "&amp;L$9&amp;""&amp;" no puede superar el Total Ambos Sexos. ",""))</f>
        <v/>
      </c>
      <c r="CD34" s="405">
        <f>IF(AND($B34&gt;0,OR(M34=""))," *No olvide digitar el campo "&amp;M$9&amp;""&amp;". Digite CERO si no tiene.", IF(M34&gt;$B34," * La variable "&amp;M$9&amp;""&amp;" no puede superar el Total Ambos Sexos. ",""))</f>
        <v/>
      </c>
      <c r="CE34" s="405">
        <f>IF(AND($B34&gt;0,OR(N34=""))," *No olvide digitar el campo "&amp;N$9&amp;""&amp;". Digite CERO si no tiene.", IF(N34&gt;$B34," * La variable "&amp;N$9&amp;""&amp;" no puede superar el Total Ambos Sexos. ",""))</f>
        <v/>
      </c>
      <c r="CF34" s="405">
        <f>IF(AND($B34&gt;0,OR(O34=""))," *No olvide digitar el campo "&amp;O$9&amp;""&amp;". Digite CERO si no tiene.", IF(O34&gt;$B34," * La variable "&amp;O$9&amp;""&amp;" no puede superar el Total Ambos Sexos. ",""))</f>
        <v/>
      </c>
      <c r="CG34" s="405">
        <f>IF(AND($B34&gt;0,OR(P34=""))," *No olvide digitar el campo "&amp;P$9&amp;""&amp;". Digite CERO si no tiene.", IF(P34&gt;$B34," * La variable "&amp;P$9&amp;""&amp;" no puede superar el Total Ambos Sexos. ",""))</f>
        <v/>
      </c>
      <c r="CH34" s="405">
        <f>IF(AND($B34&gt;0,OR(Q34=""))," *No olvide digitar el campo "&amp;Q$9&amp;""&amp;". Niños, niñas y adolescentes. Digite CERO si no tiene.", IF(Q34&gt;$B34," * La variable "&amp;Q$9&amp;""&amp;" no puede superar el Total Ambos Sexos. ",""))</f>
        <v/>
      </c>
      <c r="CI34" s="405">
        <f>IF(AND($D34&gt;0,OR(R34=""))," *No olvide digitar el campo "&amp;Q$9&amp;""&amp;" Gestantes. Digite CERO si no tiene.", IF(R34&gt;$D34," * La variable "&amp;Q$9&amp;""&amp;" no puede superar el Total Mujeres. ",""))</f>
        <v/>
      </c>
      <c r="CM34" s="197">
        <f>IF(AND(D34&gt;0,OR(J34="")),1,IF(J34&gt;D34,1,0))</f>
        <v/>
      </c>
      <c r="CN34" s="197">
        <f>IF(AND(C34&gt;0,OR(K34="")),1,IF(K34&gt;C34,1,0))</f>
        <v/>
      </c>
      <c r="CO34" s="197">
        <f>IF(AND($B34&gt;0,OR(L34="")),1,IF(L34&gt;$B34,1,0))</f>
        <v/>
      </c>
      <c r="CP34" s="197">
        <f>IF(AND($B34&gt;0,OR(M34="")),1,IF(M34&gt;$B34,1,0))</f>
        <v/>
      </c>
      <c r="CQ34" s="197">
        <f>IF(AND($B34&gt;0,OR(N34="")),1,IF(N34&gt;$B34,1,0))</f>
        <v/>
      </c>
      <c r="CR34" s="197">
        <f>IF(AND($B34&gt;0,OR(O34="")),1,IF(O34&gt;$B34,1,0))</f>
        <v/>
      </c>
      <c r="CS34" s="197">
        <f>IF(AND($B34&gt;0,OR(P34="")),1,IF(P34&gt;$B34,1,0))</f>
        <v/>
      </c>
      <c r="CT34" s="221">
        <f>IF(AND($B34&gt;0,OR(Q34="")),1,IF(Q34&gt;$B34,1,0))</f>
        <v/>
      </c>
      <c r="CU34" s="221">
        <f>IF(AND($D34&gt;0,OR(R34="")),1,IF(R34&gt;$D34,1,0))</f>
        <v/>
      </c>
    </row>
    <row r="35">
      <c r="A35" s="8051" t="inlineStr">
        <is>
          <t>Información de egreso o traslado</t>
        </is>
      </c>
      <c r="B35" s="3341">
        <f>SUM(C35:D35)</f>
        <v/>
      </c>
      <c r="C35" s="1137" t="n"/>
      <c r="D35" s="1138" t="n"/>
      <c r="E35" s="1137" t="n"/>
      <c r="F35" s="1138" t="n"/>
      <c r="G35" s="1138" t="n"/>
      <c r="H35" s="1140" t="n"/>
      <c r="I35" s="1416" t="n"/>
      <c r="J35" s="1152" t="n"/>
      <c r="K35" s="1138" t="n"/>
      <c r="L35" s="1137" t="n"/>
      <c r="M35" s="3681" t="n"/>
      <c r="N35" s="1299" t="n"/>
      <c r="O35" s="1299" t="n"/>
      <c r="P35" s="1138" t="n"/>
      <c r="Q35" s="1137" t="n"/>
      <c r="R35" s="1138" t="n"/>
      <c r="S35" s="226">
        <f>CA35&amp;CB35&amp;CC35&amp;CD35&amp;CE35&amp;CF35&amp;CG35&amp;CH35&amp;CI35</f>
        <v/>
      </c>
      <c r="CA35" s="405">
        <f>IF(AND(D35&gt;0,J35=""),"*No olvide digitar el campo TRANS Masculino (Digite CERO si no tiene).", IF(J35&gt;D35," * El Número de TRANS Masculino no puede superar el Total Mujeres. ",""))</f>
        <v/>
      </c>
      <c r="CB35" s="405">
        <f>IF(AND(C35&gt;0,OR(K35=""))," *No olvide digitar el campo TRANS Femenino (Digite CERO si no tiene).",IF(K35&gt;$C35," * El Número de TRANS Femenino no puede superar el Total Hombres. ",""))</f>
        <v/>
      </c>
      <c r="CC35" s="405">
        <f>IF(AND($B35&gt;0,OR(L35=""))," *No olvide digitar el campo "&amp;L$9&amp;""&amp;". Digite CERO si no tiene.", IF(L35&gt;$B35," * La variable "&amp;L$9&amp;""&amp;" no puede superar el Total Ambos Sexos. ",""))</f>
        <v/>
      </c>
      <c r="CD35" s="405">
        <f>IF(AND($B35&gt;0,OR(M35=""))," *No olvide digitar el campo "&amp;M$9&amp;""&amp;". Digite CERO si no tiene.", IF(M35&gt;$B35," * La variable "&amp;M$9&amp;""&amp;" no puede superar el Total Ambos Sexos. ",""))</f>
        <v/>
      </c>
      <c r="CE35" s="405">
        <f>IF(AND($B35&gt;0,OR(N35=""))," *No olvide digitar el campo "&amp;N$9&amp;""&amp;". Digite CERO si no tiene.", IF(N35&gt;$B35," * La variable "&amp;N$9&amp;""&amp;" no puede superar el Total Ambos Sexos. ",""))</f>
        <v/>
      </c>
      <c r="CF35" s="405">
        <f>IF(AND($B35&gt;0,OR(O35=""))," *No olvide digitar el campo "&amp;O$9&amp;""&amp;". Digite CERO si no tiene.", IF(O35&gt;$B35," * La variable "&amp;O$9&amp;""&amp;" no puede superar el Total Ambos Sexos. ",""))</f>
        <v/>
      </c>
      <c r="CG35" s="405">
        <f>IF(AND($B35&gt;0,OR(P35=""))," *No olvide digitar el campo "&amp;P$9&amp;""&amp;". Digite CERO si no tiene.", IF(P35&gt;$B35," * La variable "&amp;P$9&amp;""&amp;" no puede superar el Total Ambos Sexos. ",""))</f>
        <v/>
      </c>
      <c r="CH35" s="405">
        <f>IF(AND($B35&gt;0,OR(Q35=""))," *No olvide digitar el campo "&amp;Q$9&amp;""&amp;". Niños, niñas y adolescentes. Digite CERO si no tiene.", IF(Q35&gt;$B35," * La variable "&amp;Q$9&amp;""&amp;" no puede superar el Total Ambos Sexos. ",""))</f>
        <v/>
      </c>
      <c r="CI35" s="405">
        <f>IF(AND($D35&gt;0,OR(R35=""))," *No olvide digitar el campo "&amp;Q$9&amp;""&amp;" Gestantes. Digite CERO si no tiene.", IF(R35&gt;$D35," * La variable "&amp;Q$9&amp;""&amp;" no puede superar el Total Mujeres. ",""))</f>
        <v/>
      </c>
      <c r="CM35" s="197">
        <f>IF(AND(D35&gt;0,OR(J35="")),1,IF(J35&gt;D35,1,0))</f>
        <v/>
      </c>
      <c r="CN35" s="197">
        <f>IF(AND(C35&gt;0,OR(K35="")),1,IF(K35&gt;C35,1,0))</f>
        <v/>
      </c>
      <c r="CO35" s="197">
        <f>IF(AND($B35&gt;0,OR(L35="")),1,IF(L35&gt;$B35,1,0))</f>
        <v/>
      </c>
      <c r="CP35" s="197">
        <f>IF(AND($B35&gt;0,OR(M35="")),1,IF(M35&gt;$B35,1,0))</f>
        <v/>
      </c>
      <c r="CQ35" s="197">
        <f>IF(AND($B35&gt;0,OR(N35="")),1,IF(N35&gt;$B35,1,0))</f>
        <v/>
      </c>
      <c r="CR35" s="197">
        <f>IF(AND($B35&gt;0,OR(O35="")),1,IF(O35&gt;$B35,1,0))</f>
        <v/>
      </c>
      <c r="CS35" s="197">
        <f>IF(AND($B35&gt;0,OR(P35="")),1,IF(P35&gt;$B35,1,0))</f>
        <v/>
      </c>
      <c r="CT35" s="221">
        <f>IF(AND($B35&gt;0,OR(Q35="")),1,IF(Q35&gt;$B35,1,0))</f>
        <v/>
      </c>
      <c r="CU35" s="221">
        <f>IF(AND($D35&gt;0,OR(R35="")),1,IF(R35&gt;$D35,1,0))</f>
        <v/>
      </c>
    </row>
    <row r="36" ht="21" customHeight="1" s="8286">
      <c r="A36" s="2377" t="inlineStr">
        <is>
          <t>Procedimientos administrativos en el proceso de admisión y recaudación</t>
        </is>
      </c>
      <c r="B36" s="3355">
        <f>SUM(C36:D36)</f>
        <v/>
      </c>
      <c r="C36" s="1971" t="n"/>
      <c r="D36" s="1122" t="n"/>
      <c r="E36" s="1971" t="n"/>
      <c r="F36" s="1122" t="n">
        <v>1</v>
      </c>
      <c r="G36" s="1122" t="n"/>
      <c r="H36" s="1452" t="n"/>
      <c r="I36" s="1458" t="n"/>
      <c r="J36" s="1972" t="n"/>
      <c r="K36" s="1122" t="n"/>
      <c r="L36" s="1971" t="n"/>
      <c r="M36" s="2660" t="n"/>
      <c r="N36" s="3227" t="n"/>
      <c r="O36" s="3227" t="n"/>
      <c r="P36" s="1122" t="n"/>
      <c r="Q36" s="1971" t="n"/>
      <c r="R36" s="1122" t="n"/>
      <c r="S36" s="226">
        <f>CA36&amp;CB36&amp;CC36&amp;CD36&amp;CE36&amp;CF36&amp;CG36&amp;CH36&amp;CI36</f>
        <v/>
      </c>
      <c r="CA36" s="405">
        <f>IF(AND(D36&gt;0,J36=""),"*No olvide digitar el campo TRANS Masculino (Digite CERO si no tiene).", IF(J36&gt;D36," * El Número de TRANS Masculino no puede superar el Total Mujeres. ",""))</f>
        <v/>
      </c>
      <c r="CB36" s="405">
        <f>IF(AND(C36&gt;0,OR(K36=""))," *No olvide digitar el campo TRANS Femenino (Digite CERO si no tiene).",IF(K36&gt;$C36," * El Número de TRANS Femenino no puede superar el Total Hombres. ",""))</f>
        <v/>
      </c>
      <c r="CC36" s="405">
        <f>IF(AND($B36&gt;0,OR(L36=""))," *No olvide digitar el campo "&amp;L$9&amp;""&amp;". Digite CERO si no tiene.", IF(L36&gt;$B36," * La variable "&amp;L$9&amp;""&amp;" no puede superar el Total Ambos Sexos. ",""))</f>
        <v/>
      </c>
      <c r="CD36" s="405">
        <f>IF(AND($B36&gt;0,OR(M36=""))," *No olvide digitar el campo "&amp;M$9&amp;""&amp;". Digite CERO si no tiene.", IF(M36&gt;$B36," * La variable "&amp;M$9&amp;""&amp;" no puede superar el Total Ambos Sexos. ",""))</f>
        <v/>
      </c>
      <c r="CE36" s="405">
        <f>IF(AND($B36&gt;0,OR(N36=""))," *No olvide digitar el campo "&amp;N$9&amp;""&amp;". Digite CERO si no tiene.", IF(N36&gt;$B36," * La variable "&amp;N$9&amp;""&amp;" no puede superar el Total Ambos Sexos. ",""))</f>
        <v/>
      </c>
      <c r="CF36" s="405">
        <f>IF(AND($B36&gt;0,OR(O36=""))," *No olvide digitar el campo "&amp;O$9&amp;""&amp;". Digite CERO si no tiene.", IF(O36&gt;$B36," * La variable "&amp;O$9&amp;""&amp;" no puede superar el Total Ambos Sexos. ",""))</f>
        <v/>
      </c>
      <c r="CG36" s="405">
        <f>IF(AND($B36&gt;0,OR(P36=""))," *No olvide digitar el campo "&amp;P$9&amp;""&amp;". Digite CERO si no tiene.", IF(P36&gt;$B36," * La variable "&amp;P$9&amp;""&amp;" no puede superar el Total Ambos Sexos. ",""))</f>
        <v/>
      </c>
      <c r="CH36" s="405">
        <f>IF(AND($B36&gt;0,OR(Q36=""))," *No olvide digitar el campo "&amp;Q$9&amp;""&amp;". Niños, niñas y adolescentes. Digite CERO si no tiene.", IF(Q36&gt;$B36," * La variable "&amp;Q$9&amp;""&amp;" no puede superar el Total Ambos Sexos. ",""))</f>
        <v/>
      </c>
      <c r="CI36" s="405">
        <f>IF(AND($D36&gt;0,OR(R36=""))," *No olvide digitar el campo "&amp;Q$9&amp;""&amp;" Gestantes. Digite CERO si no tiene.", IF(R36&gt;$D36," * La variable "&amp;Q$9&amp;""&amp;" no puede superar el Total Mujeres. ",""))</f>
        <v/>
      </c>
      <c r="CM36" s="197">
        <f>IF(AND(D36&gt;0,OR(J36="")),1,IF(J36&gt;D36,1,0))</f>
        <v/>
      </c>
      <c r="CN36" s="197">
        <f>IF(AND(C36&gt;0,OR(K36="")),1,IF(K36&gt;C36,1,0))</f>
        <v/>
      </c>
      <c r="CO36" s="197">
        <f>IF(AND($B36&gt;0,OR(L36="")),1,IF(L36&gt;$B36,1,0))</f>
        <v/>
      </c>
      <c r="CP36" s="197">
        <f>IF(AND($B36&gt;0,OR(M36="")),1,IF(M36&gt;$B36,1,0))</f>
        <v/>
      </c>
      <c r="CQ36" s="197">
        <f>IF(AND($B36&gt;0,OR(N36="")),1,IF(N36&gt;$B36,1,0))</f>
        <v/>
      </c>
      <c r="CR36" s="197">
        <f>IF(AND($B36&gt;0,OR(O36="")),1,IF(O36&gt;$B36,1,0))</f>
        <v/>
      </c>
      <c r="CS36" s="197">
        <f>IF(AND($B36&gt;0,OR(P36="")),1,IF(P36&gt;$B36,1,0))</f>
        <v/>
      </c>
      <c r="CT36" s="221">
        <f>IF(AND($B36&gt;0,OR(Q36="")),1,IF(Q36&gt;$B36,1,0))</f>
        <v/>
      </c>
      <c r="CU36" s="221">
        <f>IF(AND($D36&gt;0,OR(R36="")),1,IF(R36&gt;$D36,1,0))</f>
        <v/>
      </c>
    </row>
    <row r="37" ht="15" customHeight="1" s="8286">
      <c r="A37" s="2377" t="inlineStr">
        <is>
          <t>Procedimientos administrativos al egreso</t>
        </is>
      </c>
      <c r="B37" s="3356">
        <f>SUM(C37:D37)</f>
        <v/>
      </c>
      <c r="C37" s="3108" t="n"/>
      <c r="D37" s="1125" t="n"/>
      <c r="E37" s="3108" t="n"/>
      <c r="F37" s="1125" t="n"/>
      <c r="G37" s="1298" t="n"/>
      <c r="H37" s="3100" t="n"/>
      <c r="I37" s="3149" t="n"/>
      <c r="J37" s="881" t="n"/>
      <c r="K37" s="1125" t="n"/>
      <c r="L37" s="3108" t="n"/>
      <c r="M37" s="3659" t="n"/>
      <c r="N37" s="4008" t="n"/>
      <c r="O37" s="4008" t="n"/>
      <c r="P37" s="3656" t="n"/>
      <c r="Q37" s="3108" t="n"/>
      <c r="R37" s="1125" t="n"/>
      <c r="S37" s="226">
        <f>CA37&amp;CB37&amp;CC37&amp;CD37&amp;CE37&amp;CF37&amp;CG37&amp;CH37&amp;CI37</f>
        <v/>
      </c>
      <c r="CA37" s="405">
        <f>IF(AND(D37&gt;0,J37=""),"*No olvide digitar el campo TRANS Masculino (Digite CERO si no tiene).", IF(J37&gt;D37," * El Número de TRANS Masculino no puede superar el Total Mujeres. ",""))</f>
        <v/>
      </c>
      <c r="CB37" s="405">
        <f>IF(AND(C37&gt;0,OR(K37=""))," *No olvide digitar el campo TRANS Femenino (Digite CERO si no tiene).",IF(K37&gt;$C37," * El Número de TRANS Femenino no puede superar el Total Hombres. ",""))</f>
        <v/>
      </c>
      <c r="CC37" s="405">
        <f>IF(AND($B37&gt;0,OR(L37=""))," *No olvide digitar el campo "&amp;L$9&amp;""&amp;". Digite CERO si no tiene.", IF(L37&gt;$B37," * La variable "&amp;L$9&amp;""&amp;" no puede superar el Total Ambos Sexos. ",""))</f>
        <v/>
      </c>
      <c r="CD37" s="405">
        <f>IF(AND($B37&gt;0,OR(M37=""))," *No olvide digitar el campo "&amp;M$9&amp;""&amp;". Digite CERO si no tiene.", IF(M37&gt;$B37," * La variable "&amp;M$9&amp;""&amp;" no puede superar el Total Ambos Sexos. ",""))</f>
        <v/>
      </c>
      <c r="CE37" s="405">
        <f>IF(AND($B37&gt;0,OR(N37=""))," *No olvide digitar el campo "&amp;N$9&amp;""&amp;". Digite CERO si no tiene.", IF(N37&gt;$B37," * La variable "&amp;N$9&amp;""&amp;" no puede superar el Total Ambos Sexos. ",""))</f>
        <v/>
      </c>
      <c r="CF37" s="405">
        <f>IF(AND($B37&gt;0,OR(O37=""))," *No olvide digitar el campo "&amp;O$9&amp;""&amp;". Digite CERO si no tiene.", IF(O37&gt;$B37," * La variable "&amp;O$9&amp;""&amp;" no puede superar el Total Ambos Sexos. ",""))</f>
        <v/>
      </c>
      <c r="CG37" s="405">
        <f>IF(AND($B37&gt;0,OR(P37=""))," *No olvide digitar el campo "&amp;P$9&amp;""&amp;". Digite CERO si no tiene.", IF(P37&gt;$B37," * La variable "&amp;P$9&amp;""&amp;" no puede superar el Total Ambos Sexos. ",""))</f>
        <v/>
      </c>
      <c r="CH37" s="405">
        <f>IF(AND($B37&gt;0,OR(Q37=""))," *No olvide digitar el campo "&amp;Q$9&amp;""&amp;". Niños, niñas y adolescentes. Digite CERO si no tiene.", IF(Q37&gt;$B37," * La variable "&amp;Q$9&amp;""&amp;" no puede superar el Total Ambos Sexos. ",""))</f>
        <v/>
      </c>
      <c r="CI37" s="405">
        <f>IF(AND($D37&gt;0,OR(R37=""))," *No olvide digitar el campo "&amp;Q$9&amp;""&amp;" Gestantes. Digite CERO si no tiene.", IF(R37&gt;$D37," * La variable "&amp;Q$9&amp;""&amp;" no puede superar el Total Mujeres. ",""))</f>
        <v/>
      </c>
      <c r="CM37" s="197">
        <f>IF(AND(D37&gt;0,OR(J37="")),1,IF(J37&gt;D37,1,0))</f>
        <v/>
      </c>
      <c r="CN37" s="197">
        <f>IF(AND(C37&gt;0,OR(K37="")),1,IF(K37&gt;C37,1,0))</f>
        <v/>
      </c>
      <c r="CO37" s="197">
        <f>IF(AND($B37&gt;0,OR(L37="")),1,IF(L37&gt;$B37,1,0))</f>
        <v/>
      </c>
      <c r="CP37" s="197">
        <f>IF(AND($B37&gt;0,OR(M37="")),1,IF(M37&gt;$B37,1,0))</f>
        <v/>
      </c>
      <c r="CQ37" s="197">
        <f>IF(AND($B37&gt;0,OR(N37="")),1,IF(N37&gt;$B37,1,0))</f>
        <v/>
      </c>
      <c r="CR37" s="197">
        <f>IF(AND($B37&gt;0,OR(O37="")),1,IF(O37&gt;$B37,1,0))</f>
        <v/>
      </c>
      <c r="CS37" s="197">
        <f>IF(AND($B37&gt;0,OR(P37="")),1,IF(P37&gt;$B37,1,0))</f>
        <v/>
      </c>
      <c r="CT37" s="221">
        <f>IF(AND($B37&gt;0,OR(Q37="")),1,IF(Q37&gt;$B37,1,0))</f>
        <v/>
      </c>
      <c r="CU37" s="221">
        <f>IF(AND($D37&gt;0,OR(R37="")),1,IF(R37&gt;$D37,1,0))</f>
        <v/>
      </c>
    </row>
    <row r="38">
      <c r="A38" s="2377" t="inlineStr">
        <is>
          <t>Procedimientos administrativos de referencia y/o derivación</t>
        </is>
      </c>
      <c r="B38" s="3356">
        <f>SUM(C38:D38)</f>
        <v/>
      </c>
      <c r="C38" s="3108" t="n"/>
      <c r="D38" s="1125" t="n">
        <v>2</v>
      </c>
      <c r="E38" s="3108" t="n">
        <v>2</v>
      </c>
      <c r="F38" s="1125" t="n"/>
      <c r="G38" s="1298" t="n"/>
      <c r="H38" s="3100" t="n"/>
      <c r="I38" s="3149" t="n"/>
      <c r="J38" s="881" t="n"/>
      <c r="K38" s="1125" t="n"/>
      <c r="L38" s="3108" t="n"/>
      <c r="M38" s="3659" t="n"/>
      <c r="N38" s="4008" t="n"/>
      <c r="O38" s="4008" t="n"/>
      <c r="P38" s="3656" t="n"/>
      <c r="Q38" s="3108" t="n"/>
      <c r="R38" s="1125" t="n"/>
      <c r="S38" s="226">
        <f>CA38&amp;CB38&amp;CC38&amp;CD38&amp;CE38&amp;CF38&amp;CG38&amp;CH38&amp;CI38</f>
        <v/>
      </c>
      <c r="CA38" s="405">
        <f>IF(AND(D38&gt;0,J38=""),"*No olvide digitar el campo TRANS Masculino (Digite CERO si no tiene).", IF(J38&gt;D38," * El Número de TRANS Masculino no puede superar el Total Mujeres. ",""))</f>
        <v/>
      </c>
      <c r="CB38" s="405">
        <f>IF(AND(C38&gt;0,OR(K38=""))," *No olvide digitar el campo TRANS Femenino (Digite CERO si no tiene).",IF(K38&gt;$C38," * El Número de TRANS Femenino no puede superar el Total Hombres. ",""))</f>
        <v/>
      </c>
      <c r="CC38" s="405">
        <f>IF(AND($B38&gt;0,OR(L38=""))," *No olvide digitar el campo "&amp;L$9&amp;""&amp;". Digite CERO si no tiene.", IF(L38&gt;$B38," * La variable "&amp;L$9&amp;""&amp;" no puede superar el Total Ambos Sexos. ",""))</f>
        <v/>
      </c>
      <c r="CD38" s="405">
        <f>IF(AND($B38&gt;0,OR(M38=""))," *No olvide digitar el campo "&amp;M$9&amp;""&amp;". Digite CERO si no tiene.", IF(M38&gt;$B38," * La variable "&amp;M$9&amp;""&amp;" no puede superar el Total Ambos Sexos. ",""))</f>
        <v/>
      </c>
      <c r="CE38" s="405">
        <f>IF(AND($B38&gt;0,OR(N38=""))," *No olvide digitar el campo "&amp;N$9&amp;""&amp;". Digite CERO si no tiene.", IF(N38&gt;$B38," * La variable "&amp;N$9&amp;""&amp;" no puede superar el Total Ambos Sexos. ",""))</f>
        <v/>
      </c>
      <c r="CF38" s="405">
        <f>IF(AND($B38&gt;0,OR(O38=""))," *No olvide digitar el campo "&amp;O$9&amp;""&amp;". Digite CERO si no tiene.", IF(O38&gt;$B38," * La variable "&amp;O$9&amp;""&amp;" no puede superar el Total Ambos Sexos. ",""))</f>
        <v/>
      </c>
      <c r="CG38" s="405">
        <f>IF(AND($B38&gt;0,OR(P38=""))," *No olvide digitar el campo "&amp;P$9&amp;""&amp;". Digite CERO si no tiene.", IF(P38&gt;$B38," * La variable "&amp;P$9&amp;""&amp;" no puede superar el Total Ambos Sexos. ",""))</f>
        <v/>
      </c>
      <c r="CH38" s="405">
        <f>IF(AND($B38&gt;0,OR(Q38=""))," *No olvide digitar el campo "&amp;Q$9&amp;""&amp;". Niños, niñas y adolescentes. Digite CERO si no tiene.", IF(Q38&gt;$B38," * La variable "&amp;Q$9&amp;""&amp;" no puede superar el Total Ambos Sexos. ",""))</f>
        <v/>
      </c>
      <c r="CI38" s="405">
        <f>IF(AND($D38&gt;0,OR(R38=""))," *No olvide digitar el campo "&amp;Q$9&amp;""&amp;" Gestantes. Digite CERO si no tiene.", IF(R38&gt;$D38," * La variable "&amp;Q$9&amp;""&amp;" no puede superar el Total Mujeres. ",""))</f>
        <v/>
      </c>
      <c r="CM38" s="197">
        <f>IF(AND(D38&gt;0,OR(J38="")),1,IF(J38&gt;D38,1,0))</f>
        <v/>
      </c>
      <c r="CN38" s="197">
        <f>IF(AND(C38&gt;0,OR(K38="")),1,IF(K38&gt;C38,1,0))</f>
        <v/>
      </c>
      <c r="CO38" s="197">
        <f>IF(AND($B38&gt;0,OR(L38="")),1,IF(L38&gt;$B38,1,0))</f>
        <v/>
      </c>
      <c r="CP38" s="197">
        <f>IF(AND($B38&gt;0,OR(M38="")),1,IF(M38&gt;$B38,1,0))</f>
        <v/>
      </c>
      <c r="CQ38" s="197">
        <f>IF(AND($B38&gt;0,OR(N38="")),1,IF(N38&gt;$B38,1,0))</f>
        <v/>
      </c>
      <c r="CR38" s="197">
        <f>IF(AND($B38&gt;0,OR(O38="")),1,IF(O38&gt;$B38,1,0))</f>
        <v/>
      </c>
      <c r="CS38" s="197">
        <f>IF(AND($B38&gt;0,OR(P38="")),1,IF(P38&gt;$B38,1,0))</f>
        <v/>
      </c>
      <c r="CT38" s="221">
        <f>IF(AND($B38&gt;0,OR(Q38="")),1,IF(Q38&gt;$B38,1,0))</f>
        <v/>
      </c>
      <c r="CU38" s="221">
        <f>IF(AND($D38&gt;0,OR(R38="")),1,IF(R38&gt;$D38,1,0))</f>
        <v/>
      </c>
    </row>
    <row r="39">
      <c r="A39" s="2377" t="inlineStr">
        <is>
          <t>Procedimientos administrativos de Ficha extraviada o perdida</t>
        </is>
      </c>
      <c r="B39" s="3356">
        <f>SUM(C39:D39)</f>
        <v/>
      </c>
      <c r="C39" s="3108" t="n"/>
      <c r="D39" s="1125" t="n"/>
      <c r="E39" s="3108" t="n"/>
      <c r="F39" s="1125" t="n"/>
      <c r="G39" s="1298" t="n"/>
      <c r="H39" s="3100" t="n"/>
      <c r="I39" s="3149" t="n"/>
      <c r="J39" s="881" t="n"/>
      <c r="K39" s="1125" t="n"/>
      <c r="L39" s="3108" t="n"/>
      <c r="M39" s="3659" t="n"/>
      <c r="N39" s="4008" t="n"/>
      <c r="O39" s="4008" t="n"/>
      <c r="P39" s="3656" t="n"/>
      <c r="Q39" s="3108" t="n"/>
      <c r="R39" s="1125" t="n"/>
      <c r="S39" s="226">
        <f>CA39&amp;CB39&amp;CC39&amp;CD39&amp;CE39&amp;CF39&amp;CG39&amp;CH39&amp;CI39</f>
        <v/>
      </c>
      <c r="CA39" s="405">
        <f>IF(AND(D39&gt;0,J39=""),"*No olvide digitar el campo TRANS Masculino (Digite CERO si no tiene).", IF(J39&gt;D39," * El Número de TRANS Masculino no puede superar el Total Mujeres. ",""))</f>
        <v/>
      </c>
      <c r="CB39" s="405">
        <f>IF(AND(C39&gt;0,OR(K39=""))," *No olvide digitar el campo TRANS Femenino (Digite CERO si no tiene).",IF(K39&gt;$C39," * El Número de TRANS Femenino no puede superar el Total Hombres. ",""))</f>
        <v/>
      </c>
      <c r="CC39" s="405">
        <f>IF(AND($B39&gt;0,OR(L39=""))," *No olvide digitar el campo "&amp;L$9&amp;""&amp;". Digite CERO si no tiene.", IF(L39&gt;$B39," * La variable "&amp;L$9&amp;""&amp;" no puede superar el Total Ambos Sexos. ",""))</f>
        <v/>
      </c>
      <c r="CD39" s="405">
        <f>IF(AND($B39&gt;0,OR(M39=""))," *No olvide digitar el campo "&amp;M$9&amp;""&amp;". Digite CERO si no tiene.", IF(M39&gt;$B39," * La variable "&amp;M$9&amp;""&amp;" no puede superar el Total Ambos Sexos. ",""))</f>
        <v/>
      </c>
      <c r="CE39" s="405">
        <f>IF(AND($B39&gt;0,OR(N39=""))," *No olvide digitar el campo "&amp;N$9&amp;""&amp;". Digite CERO si no tiene.", IF(N39&gt;$B39," * La variable "&amp;N$9&amp;""&amp;" no puede superar el Total Ambos Sexos. ",""))</f>
        <v/>
      </c>
      <c r="CF39" s="405">
        <f>IF(AND($B39&gt;0,OR(O39=""))," *No olvide digitar el campo "&amp;O$9&amp;""&amp;". Digite CERO si no tiene.", IF(O39&gt;$B39," * La variable "&amp;O$9&amp;""&amp;" no puede superar el Total Ambos Sexos. ",""))</f>
        <v/>
      </c>
      <c r="CG39" s="405">
        <f>IF(AND($B39&gt;0,OR(P39=""))," *No olvide digitar el campo "&amp;P$9&amp;""&amp;". Digite CERO si no tiene.", IF(P39&gt;$B39," * La variable "&amp;P$9&amp;""&amp;" no puede superar el Total Ambos Sexos. ",""))</f>
        <v/>
      </c>
      <c r="CH39" s="405">
        <f>IF(AND($B39&gt;0,OR(Q39=""))," *No olvide digitar el campo "&amp;Q$9&amp;""&amp;". Niños, niñas y adolescentes. Digite CERO si no tiene.", IF(Q39&gt;$B39," * La variable "&amp;Q$9&amp;""&amp;" no puede superar el Total Ambos Sexos. ",""))</f>
        <v/>
      </c>
      <c r="CI39" s="405">
        <f>IF(AND($D39&gt;0,OR(R39=""))," *No olvide digitar el campo "&amp;Q$9&amp;""&amp;" Gestantes. Digite CERO si no tiene.", IF(R39&gt;$D39," * La variable "&amp;Q$9&amp;""&amp;" no puede superar el Total Mujeres. ",""))</f>
        <v/>
      </c>
      <c r="CM39" s="197">
        <f>IF(AND(D39&gt;0,OR(J39="")),1,IF(J39&gt;D39,1,0))</f>
        <v/>
      </c>
      <c r="CN39" s="197">
        <f>IF(AND(C39&gt;0,OR(K39="")),1,IF(K39&gt;C39,1,0))</f>
        <v/>
      </c>
      <c r="CO39" s="197">
        <f>IF(AND($B39&gt;0,OR(L39="")),1,IF(L39&gt;$B39,1,0))</f>
        <v/>
      </c>
      <c r="CP39" s="197">
        <f>IF(AND($B39&gt;0,OR(M39="")),1,IF(M39&gt;$B39,1,0))</f>
        <v/>
      </c>
      <c r="CQ39" s="197">
        <f>IF(AND($B39&gt;0,OR(N39="")),1,IF(N39&gt;$B39,1,0))</f>
        <v/>
      </c>
      <c r="CR39" s="197">
        <f>IF(AND($B39&gt;0,OR(O39="")),1,IF(O39&gt;$B39,1,0))</f>
        <v/>
      </c>
      <c r="CS39" s="197">
        <f>IF(AND($B39&gt;0,OR(P39="")),1,IF(P39&gt;$B39,1,0))</f>
        <v/>
      </c>
      <c r="CT39" s="221">
        <f>IF(AND($B39&gt;0,OR(Q39="")),1,IF(Q39&gt;$B39,1,0))</f>
        <v/>
      </c>
      <c r="CU39" s="221">
        <f>IF(AND($D39&gt;0,OR(R39="")),1,IF(R39&gt;$D39,1,0))</f>
        <v/>
      </c>
    </row>
    <row r="40" ht="21" customHeight="1" s="8286">
      <c r="A40" s="2377" t="inlineStr">
        <is>
          <t xml:space="preserve">Procedimientos administrativos en agendamiento y reagendamiento de atención </t>
        </is>
      </c>
      <c r="B40" s="3356">
        <f>SUM(C40:D40)</f>
        <v/>
      </c>
      <c r="C40" s="3108" t="n"/>
      <c r="D40" s="1125" t="n">
        <v>3</v>
      </c>
      <c r="E40" s="3108" t="n">
        <v>3</v>
      </c>
      <c r="F40" s="1125" t="n">
        <v>9</v>
      </c>
      <c r="G40" s="1125" t="n"/>
      <c r="H40" s="3100" t="n"/>
      <c r="I40" s="3149" t="n"/>
      <c r="J40" s="881" t="n"/>
      <c r="K40" s="1125" t="n"/>
      <c r="L40" s="3108" t="n"/>
      <c r="M40" s="3659" t="n"/>
      <c r="N40" s="4008" t="n"/>
      <c r="O40" s="4008" t="n"/>
      <c r="P40" s="3656" t="n"/>
      <c r="Q40" s="3108" t="n"/>
      <c r="R40" s="1125" t="n"/>
      <c r="S40" s="226">
        <f>CA40&amp;CB40&amp;CC40&amp;CD40&amp;CE40&amp;CF40&amp;CG40&amp;CH40&amp;CI40</f>
        <v/>
      </c>
      <c r="CA40" s="405">
        <f>IF(AND(D40&gt;0,J40=""),"*No olvide digitar el campo TRANS Masculino (Digite CERO si no tiene).", IF(J40&gt;D40," * El Número de TRANS Masculino no puede superar el Total Mujeres. ",""))</f>
        <v/>
      </c>
      <c r="CB40" s="405">
        <f>IF(AND(C40&gt;0,OR(K40=""))," *No olvide digitar el campo TRANS Femenino (Digite CERO si no tiene).",IF(K40&gt;$C40," * El Número de TRANS Femenino no puede superar el Total Hombres. ",""))</f>
        <v/>
      </c>
      <c r="CC40" s="405">
        <f>IF(AND($B40&gt;0,OR(L40=""))," *No olvide digitar el campo "&amp;L$9&amp;""&amp;". Digite CERO si no tiene.", IF(L40&gt;$B40," * La variable "&amp;L$9&amp;""&amp;" no puede superar el Total Ambos Sexos. ",""))</f>
        <v/>
      </c>
      <c r="CD40" s="405">
        <f>IF(AND($B40&gt;0,OR(M40=""))," *No olvide digitar el campo "&amp;M$9&amp;""&amp;". Digite CERO si no tiene.", IF(M40&gt;$B40," * La variable "&amp;M$9&amp;""&amp;" no puede superar el Total Ambos Sexos. ",""))</f>
        <v/>
      </c>
      <c r="CE40" s="405">
        <f>IF(AND($B40&gt;0,OR(N40=""))," *No olvide digitar el campo "&amp;N$9&amp;""&amp;". Digite CERO si no tiene.", IF(N40&gt;$B40," * La variable "&amp;N$9&amp;""&amp;" no puede superar el Total Ambos Sexos. ",""))</f>
        <v/>
      </c>
      <c r="CF40" s="405">
        <f>IF(AND($B40&gt;0,OR(O40=""))," *No olvide digitar el campo "&amp;O$9&amp;""&amp;". Digite CERO si no tiene.", IF(O40&gt;$B40," * La variable "&amp;O$9&amp;""&amp;" no puede superar el Total Ambos Sexos. ",""))</f>
        <v/>
      </c>
      <c r="CG40" s="405">
        <f>IF(AND($B40&gt;0,OR(P40=""))," *No olvide digitar el campo "&amp;P$9&amp;""&amp;". Digite CERO si no tiene.", IF(P40&gt;$B40," * La variable "&amp;P$9&amp;""&amp;" no puede superar el Total Ambos Sexos. ",""))</f>
        <v/>
      </c>
      <c r="CH40" s="405">
        <f>IF(AND($B40&gt;0,OR(Q40=""))," *No olvide digitar el campo "&amp;Q$9&amp;""&amp;". Niños, niñas y adolescentes. Digite CERO si no tiene.", IF(Q40&gt;$B40," * La variable "&amp;Q$9&amp;""&amp;" no puede superar el Total Ambos Sexos. ",""))</f>
        <v/>
      </c>
      <c r="CI40" s="405">
        <f>IF(AND($D40&gt;0,OR(R40=""))," *No olvide digitar el campo "&amp;Q$9&amp;""&amp;" Gestantes. Digite CERO si no tiene.", IF(R40&gt;$D40," * La variable "&amp;Q$9&amp;""&amp;" no puede superar el Total Mujeres. ",""))</f>
        <v/>
      </c>
      <c r="CM40" s="197">
        <f>IF(AND(D40&gt;0,OR(J40="")),1,IF(J40&gt;D40,1,0))</f>
        <v/>
      </c>
      <c r="CN40" s="197">
        <f>IF(AND(C40&gt;0,OR(K40="")),1,IF(K40&gt;C40,1,0))</f>
        <v/>
      </c>
      <c r="CO40" s="197">
        <f>IF(AND($B40&gt;0,OR(L40="")),1,IF(L40&gt;$B40,1,0))</f>
        <v/>
      </c>
      <c r="CP40" s="197">
        <f>IF(AND($B40&gt;0,OR(M40="")),1,IF(M40&gt;$B40,1,0))</f>
        <v/>
      </c>
      <c r="CQ40" s="197">
        <f>IF(AND($B40&gt;0,OR(N40="")),1,IF(N40&gt;$B40,1,0))</f>
        <v/>
      </c>
      <c r="CR40" s="197">
        <f>IF(AND($B40&gt;0,OR(O40="")),1,IF(O40&gt;$B40,1,0))</f>
        <v/>
      </c>
      <c r="CS40" s="197">
        <f>IF(AND($B40&gt;0,OR(P40="")),1,IF(P40&gt;$B40,1,0))</f>
        <v/>
      </c>
      <c r="CT40" s="221">
        <f>IF(AND($B40&gt;0,OR(Q40="")),1,IF(Q40&gt;$B40,1,0))</f>
        <v/>
      </c>
      <c r="CU40" s="221">
        <f>IF(AND($D40&gt;0,OR(R40="")),1,IF(R40&gt;$D40,1,0))</f>
        <v/>
      </c>
    </row>
    <row r="41">
      <c r="A41" s="2377" t="inlineStr">
        <is>
          <t>Procedimientos administrativos en suspensión de atención</t>
        </is>
      </c>
      <c r="B41" s="3356">
        <f>SUM(C41:D41)</f>
        <v/>
      </c>
      <c r="C41" s="3108" t="n">
        <v>1</v>
      </c>
      <c r="D41" s="1125" t="n">
        <v>3</v>
      </c>
      <c r="E41" s="3108" t="n">
        <v>4</v>
      </c>
      <c r="F41" s="1125" t="n">
        <v>6</v>
      </c>
      <c r="G41" s="1125" t="n"/>
      <c r="H41" s="3100" t="n"/>
      <c r="I41" s="3149" t="n"/>
      <c r="J41" s="881" t="n"/>
      <c r="K41" s="1125" t="n"/>
      <c r="L41" s="3108" t="n"/>
      <c r="M41" s="3659" t="n"/>
      <c r="N41" s="4008" t="n"/>
      <c r="O41" s="4008" t="n"/>
      <c r="P41" s="3656" t="n"/>
      <c r="Q41" s="3108" t="n"/>
      <c r="R41" s="1125" t="n"/>
      <c r="S41" s="226">
        <f>CA41&amp;CB41&amp;CC41&amp;CD41&amp;CE41&amp;CF41&amp;CG41&amp;CH41&amp;CI41</f>
        <v/>
      </c>
      <c r="CA41" s="405">
        <f>IF(AND(D41&gt;0,J41=""),"*No olvide digitar el campo TRANS Masculino (Digite CERO si no tiene).", IF(J41&gt;D41," * El Número de TRANS Masculino no puede superar el Total Mujeres. ",""))</f>
        <v/>
      </c>
      <c r="CB41" s="405">
        <f>IF(AND(C41&gt;0,OR(K41=""))," *No olvide digitar el campo TRANS Femenino (Digite CERO si no tiene).",IF(K41&gt;$C41," * El Número de TRANS Femenino no puede superar el Total Hombres. ",""))</f>
        <v/>
      </c>
      <c r="CC41" s="405">
        <f>IF(AND($B41&gt;0,OR(L41=""))," *No olvide digitar el campo "&amp;L$9&amp;""&amp;". Digite CERO si no tiene.", IF(L41&gt;$B41," * La variable "&amp;L$9&amp;""&amp;" no puede superar el Total Ambos Sexos. ",""))</f>
        <v/>
      </c>
      <c r="CD41" s="405">
        <f>IF(AND($B41&gt;0,OR(M41=""))," *No olvide digitar el campo "&amp;M$9&amp;""&amp;". Digite CERO si no tiene.", IF(M41&gt;$B41," * La variable "&amp;M$9&amp;""&amp;" no puede superar el Total Ambos Sexos. ",""))</f>
        <v/>
      </c>
      <c r="CE41" s="405">
        <f>IF(AND($B41&gt;0,OR(N41=""))," *No olvide digitar el campo "&amp;N$9&amp;""&amp;". Digite CERO si no tiene.", IF(N41&gt;$B41," * La variable "&amp;N$9&amp;""&amp;" no puede superar el Total Ambos Sexos. ",""))</f>
        <v/>
      </c>
      <c r="CF41" s="405">
        <f>IF(AND($B41&gt;0,OR(O41=""))," *No olvide digitar el campo "&amp;O$9&amp;""&amp;". Digite CERO si no tiene.", IF(O41&gt;$B41," * La variable "&amp;O$9&amp;""&amp;" no puede superar el Total Ambos Sexos. ",""))</f>
        <v/>
      </c>
      <c r="CG41" s="405">
        <f>IF(AND($B41&gt;0,OR(P41=""))," *No olvide digitar el campo "&amp;P$9&amp;""&amp;". Digite CERO si no tiene.", IF(P41&gt;$B41," * La variable "&amp;P$9&amp;""&amp;" no puede superar el Total Ambos Sexos. ",""))</f>
        <v/>
      </c>
      <c r="CH41" s="405">
        <f>IF(AND($B41&gt;0,OR(Q41=""))," *No olvide digitar el campo "&amp;Q$9&amp;""&amp;". Niños, niñas y adolescentes. Digite CERO si no tiene.", IF(Q41&gt;$B41," * La variable "&amp;Q$9&amp;""&amp;" no puede superar el Total Ambos Sexos. ",""))</f>
        <v/>
      </c>
      <c r="CI41" s="405">
        <f>IF(AND($D41&gt;0,OR(R41=""))," *No olvide digitar el campo "&amp;Q$9&amp;""&amp;" Gestantes. Digite CERO si no tiene.", IF(R41&gt;$D41," * La variable "&amp;Q$9&amp;""&amp;" no puede superar el Total Mujeres. ",""))</f>
        <v/>
      </c>
      <c r="CM41" s="197">
        <f>IF(AND(D41&gt;0,OR(J41="")),1,IF(J41&gt;D41,1,0))</f>
        <v/>
      </c>
      <c r="CN41" s="197">
        <f>IF(AND(C41&gt;0,OR(K41="")),1,IF(K41&gt;C41,1,0))</f>
        <v/>
      </c>
      <c r="CO41" s="197">
        <f>IF(AND($B41&gt;0,OR(L41="")),1,IF(L41&gt;$B41,1,0))</f>
        <v/>
      </c>
      <c r="CP41" s="197">
        <f>IF(AND($B41&gt;0,OR(M41="")),1,IF(M41&gt;$B41,1,0))</f>
        <v/>
      </c>
      <c r="CQ41" s="197">
        <f>IF(AND($B41&gt;0,OR(N41="")),1,IF(N41&gt;$B41,1,0))</f>
        <v/>
      </c>
      <c r="CR41" s="197">
        <f>IF(AND($B41&gt;0,OR(O41="")),1,IF(O41&gt;$B41,1,0))</f>
        <v/>
      </c>
      <c r="CS41" s="197">
        <f>IF(AND($B41&gt;0,OR(P41="")),1,IF(P41&gt;$B41,1,0))</f>
        <v/>
      </c>
      <c r="CT41" s="221">
        <f>IF(AND($B41&gt;0,OR(Q41="")),1,IF(Q41&gt;$B41,1,0))</f>
        <v/>
      </c>
      <c r="CU41" s="221">
        <f>IF(AND($D41&gt;0,OR(R41="")),1,IF(R41&gt;$D41,1,0))</f>
        <v/>
      </c>
    </row>
    <row r="42" ht="21" customHeight="1" s="8286">
      <c r="A42" s="2377" t="inlineStr">
        <is>
          <t xml:space="preserve">Procedimientos administrativos en suspensión de cirugía programada </t>
        </is>
      </c>
      <c r="B42" s="3356">
        <f>SUM(C42:D42)</f>
        <v/>
      </c>
      <c r="C42" s="3108" t="n"/>
      <c r="D42" s="1125" t="n"/>
      <c r="E42" s="3108" t="n"/>
      <c r="F42" s="1125" t="n"/>
      <c r="G42" s="1125" t="n"/>
      <c r="H42" s="3100" t="n"/>
      <c r="I42" s="3149" t="n"/>
      <c r="J42" s="881" t="n"/>
      <c r="K42" s="1125" t="n"/>
      <c r="L42" s="3108" t="n"/>
      <c r="M42" s="3659" t="n"/>
      <c r="N42" s="4008" t="n"/>
      <c r="O42" s="4008" t="n"/>
      <c r="P42" s="3656" t="n"/>
      <c r="Q42" s="3108" t="n"/>
      <c r="R42" s="1125" t="n"/>
      <c r="S42" s="226">
        <f>CA42&amp;CB42&amp;CC42&amp;CD42&amp;CE42&amp;CF42&amp;CG42&amp;CH42&amp;CI42</f>
        <v/>
      </c>
      <c r="CA42" s="405">
        <f>IF(AND(D42&gt;0,J42=""),"*No olvide digitar el campo TRANS Masculino (Digite CERO si no tiene).", IF(J42&gt;D42," * El Número de TRANS Masculino no puede superar el Total Mujeres. ",""))</f>
        <v/>
      </c>
      <c r="CB42" s="405">
        <f>IF(AND(C42&gt;0,OR(K42=""))," *No olvide digitar el campo TRANS Femenino (Digite CERO si no tiene).",IF(K42&gt;$C42," * El Número de TRANS Femenino no puede superar el Total Hombres. ",""))</f>
        <v/>
      </c>
      <c r="CC42" s="405">
        <f>IF(AND($B42&gt;0,OR(L42=""))," *No olvide digitar el campo "&amp;L$9&amp;""&amp;". Digite CERO si no tiene.", IF(L42&gt;$B42," * La variable "&amp;L$9&amp;""&amp;" no puede superar el Total Ambos Sexos. ",""))</f>
        <v/>
      </c>
      <c r="CD42" s="405">
        <f>IF(AND($B42&gt;0,OR(M42=""))," *No olvide digitar el campo "&amp;M$9&amp;""&amp;". Digite CERO si no tiene.", IF(M42&gt;$B42," * La variable "&amp;M$9&amp;""&amp;" no puede superar el Total Ambos Sexos. ",""))</f>
        <v/>
      </c>
      <c r="CE42" s="405">
        <f>IF(AND($B42&gt;0,OR(N42=""))," *No olvide digitar el campo "&amp;N$9&amp;""&amp;". Digite CERO si no tiene.", IF(N42&gt;$B42," * La variable "&amp;N$9&amp;""&amp;" no puede superar el Total Ambos Sexos. ",""))</f>
        <v/>
      </c>
      <c r="CF42" s="405">
        <f>IF(AND($B42&gt;0,OR(O42=""))," *No olvide digitar el campo "&amp;O$9&amp;""&amp;". Digite CERO si no tiene.", IF(O42&gt;$B42," * La variable "&amp;O$9&amp;""&amp;" no puede superar el Total Ambos Sexos. ",""))</f>
        <v/>
      </c>
      <c r="CG42" s="405">
        <f>IF(AND($B42&gt;0,OR(P42=""))," *No olvide digitar el campo "&amp;P$9&amp;""&amp;". Digite CERO si no tiene.", IF(P42&gt;$B42," * La variable "&amp;P$9&amp;""&amp;" no puede superar el Total Ambos Sexos. ",""))</f>
        <v/>
      </c>
      <c r="CH42" s="405">
        <f>IF(AND($B42&gt;0,OR(Q42=""))," *No olvide digitar el campo "&amp;Q$9&amp;""&amp;". Niños, niñas y adolescentes. Digite CERO si no tiene.", IF(Q42&gt;$B42," * La variable "&amp;Q$9&amp;""&amp;" no puede superar el Total Ambos Sexos. ",""))</f>
        <v/>
      </c>
      <c r="CI42" s="405">
        <f>IF(AND($D42&gt;0,OR(R42=""))," *No olvide digitar el campo "&amp;Q$9&amp;""&amp;" Gestantes. Digite CERO si no tiene.", IF(R42&gt;$D42," * La variable "&amp;Q$9&amp;""&amp;" no puede superar el Total Mujeres. ",""))</f>
        <v/>
      </c>
      <c r="CM42" s="197">
        <f>IF(AND(D42&gt;0,OR(J42="")),1,IF(J42&gt;D42,1,0))</f>
        <v/>
      </c>
      <c r="CN42" s="197">
        <f>IF(AND(C42&gt;0,OR(K42="")),1,IF(K42&gt;C42,1,0))</f>
        <v/>
      </c>
      <c r="CO42" s="197">
        <f>IF(AND($B42&gt;0,OR(L42="")),1,IF(L42&gt;$B42,1,0))</f>
        <v/>
      </c>
      <c r="CP42" s="197">
        <f>IF(AND($B42&gt;0,OR(M42="")),1,IF(M42&gt;$B42,1,0))</f>
        <v/>
      </c>
      <c r="CQ42" s="197">
        <f>IF(AND($B42&gt;0,OR(N42="")),1,IF(N42&gt;$B42,1,0))</f>
        <v/>
      </c>
      <c r="CR42" s="197">
        <f>IF(AND($B42&gt;0,OR(O42="")),1,IF(O42&gt;$B42,1,0))</f>
        <v/>
      </c>
      <c r="CS42" s="197">
        <f>IF(AND($B42&gt;0,OR(P42="")),1,IF(P42&gt;$B42,1,0))</f>
        <v/>
      </c>
      <c r="CT42" s="221">
        <f>IF(AND($B42&gt;0,OR(Q42="")),1,IF(Q42&gt;$B42,1,0))</f>
        <v/>
      </c>
      <c r="CU42" s="221">
        <f>IF(AND($D42&gt;0,OR(R42="")),1,IF(R42&gt;$D42,1,0))</f>
        <v/>
      </c>
    </row>
    <row r="43">
      <c r="A43" s="8369" t="inlineStr">
        <is>
          <t>Procedimientos administrativos con acceso a medicamentos</t>
        </is>
      </c>
      <c r="B43" s="3341">
        <f>SUM(C43:D43)</f>
        <v/>
      </c>
      <c r="C43" s="1137" t="n"/>
      <c r="D43" s="1138" t="n"/>
      <c r="E43" s="1137" t="n"/>
      <c r="F43" s="1138" t="n">
        <v>1</v>
      </c>
      <c r="G43" s="1138" t="n"/>
      <c r="H43" s="1140" t="n"/>
      <c r="I43" s="1143" t="n"/>
      <c r="J43" s="1152" t="n"/>
      <c r="K43" s="1138" t="n"/>
      <c r="L43" s="1137" t="n"/>
      <c r="M43" s="3681" t="n"/>
      <c r="N43" s="1299" t="n"/>
      <c r="O43" s="1299" t="n"/>
      <c r="P43" s="1138" t="n"/>
      <c r="Q43" s="1137" t="n"/>
      <c r="R43" s="1138" t="n"/>
      <c r="S43" s="226">
        <f>CA43&amp;CB43&amp;CC43&amp;CD43&amp;CE43&amp;CF43&amp;CG43&amp;CH43&amp;CI43</f>
        <v/>
      </c>
      <c r="CA43" s="405">
        <f>IF(AND(D43&gt;0,J43=""),"*No olvide digitar el campo TRANS Masculino (Digite CERO si no tiene).", IF(J43&gt;D43," * El Número de TRANS Masculino no puede superar el Total Mujeres. ",""))</f>
        <v/>
      </c>
      <c r="CB43" s="405">
        <f>IF(AND(C43&gt;0,OR(K43=""))," *No olvide digitar el campo TRANS Femenino (Digite CERO si no tiene).",IF(K43&gt;$C43," * El Número de TRANS Femenino no puede superar el Total Hombres. ",""))</f>
        <v/>
      </c>
      <c r="CC43" s="405">
        <f>IF(AND($B43&gt;0,OR(L43=""))," *No olvide digitar el campo "&amp;L$9&amp;""&amp;". Digite CERO si no tiene.", IF(L43&gt;$B43," * La variable "&amp;L$9&amp;""&amp;" no puede superar el Total Ambos Sexos. ",""))</f>
        <v/>
      </c>
      <c r="CD43" s="405">
        <f>IF(AND($B43&gt;0,OR(M43=""))," *No olvide digitar el campo "&amp;M$9&amp;""&amp;". Digite CERO si no tiene.", IF(M43&gt;$B43," * La variable "&amp;M$9&amp;""&amp;" no puede superar el Total Ambos Sexos. ",""))</f>
        <v/>
      </c>
      <c r="CE43" s="405">
        <f>IF(AND($B43&gt;0,OR(N43=""))," *No olvide digitar el campo "&amp;N$9&amp;""&amp;". Digite CERO si no tiene.", IF(N43&gt;$B43," * La variable "&amp;N$9&amp;""&amp;" no puede superar el Total Ambos Sexos. ",""))</f>
        <v/>
      </c>
      <c r="CF43" s="405">
        <f>IF(AND($B43&gt;0,OR(O43=""))," *No olvide digitar el campo "&amp;O$9&amp;""&amp;". Digite CERO si no tiene.", IF(O43&gt;$B43," * La variable "&amp;O$9&amp;""&amp;" no puede superar el Total Ambos Sexos. ",""))</f>
        <v/>
      </c>
      <c r="CG43" s="405">
        <f>IF(AND($B43&gt;0,OR(P43=""))," *No olvide digitar el campo "&amp;P$9&amp;""&amp;". Digite CERO si no tiene.", IF(P43&gt;$B43," * La variable "&amp;P$9&amp;""&amp;" no puede superar el Total Ambos Sexos. ",""))</f>
        <v/>
      </c>
      <c r="CH43" s="405">
        <f>IF(AND($B43&gt;0,OR(Q43=""))," *No olvide digitar el campo "&amp;Q$9&amp;""&amp;". Niños, niñas y adolescentes. Digite CERO si no tiene.", IF(Q43&gt;$B43," * La variable "&amp;Q$9&amp;""&amp;" no puede superar el Total Ambos Sexos. ",""))</f>
        <v/>
      </c>
      <c r="CI43" s="405">
        <f>IF(AND($D43&gt;0,OR(R43=""))," *No olvide digitar el campo "&amp;Q$9&amp;""&amp;" Gestantes. Digite CERO si no tiene.", IF(R43&gt;$D43," * La variable "&amp;Q$9&amp;""&amp;" no puede superar el Total Mujeres. ",""))</f>
        <v/>
      </c>
      <c r="CM43" s="197">
        <f>IF(AND(D43&gt;0,OR(J43="")),1,IF(J43&gt;D43,1,0))</f>
        <v/>
      </c>
      <c r="CN43" s="197">
        <f>IF(AND(C43&gt;0,OR(K43="")),1,IF(K43&gt;C43,1,0))</f>
        <v/>
      </c>
      <c r="CO43" s="197">
        <f>IF(AND($B43&gt;0,OR(L43="")),1,IF(L43&gt;$B43,1,0))</f>
        <v/>
      </c>
      <c r="CP43" s="197">
        <f>IF(AND($B43&gt;0,OR(M43="")),1,IF(M43&gt;$B43,1,0))</f>
        <v/>
      </c>
      <c r="CQ43" s="197">
        <f>IF(AND($B43&gt;0,OR(N43="")),1,IF(N43&gt;$B43,1,0))</f>
        <v/>
      </c>
      <c r="CR43" s="197">
        <f>IF(AND($B43&gt;0,OR(O43="")),1,IF(O43&gt;$B43,1,0))</f>
        <v/>
      </c>
      <c r="CS43" s="197">
        <f>IF(AND($B43&gt;0,OR(P43="")),1,IF(P43&gt;$B43,1,0))</f>
        <v/>
      </c>
      <c r="CT43" s="221">
        <f>IF(AND($B43&gt;0,OR(Q43="")),1,IF(Q43&gt;$B43,1,0))</f>
        <v/>
      </c>
      <c r="CU43" s="221">
        <f>IF(AND($D43&gt;0,OR(R43="")),1,IF(R43&gt;$D43,1,0))</f>
        <v/>
      </c>
    </row>
    <row r="44">
      <c r="A44" s="8383" t="inlineStr">
        <is>
          <t>Probidad administrativa</t>
        </is>
      </c>
      <c r="B44" s="3355">
        <f>SUM(C44:D44)</f>
        <v/>
      </c>
      <c r="C44" s="1971" t="n"/>
      <c r="D44" s="1122" t="n"/>
      <c r="E44" s="1971" t="n"/>
      <c r="F44" s="1122" t="n"/>
      <c r="G44" s="1122" t="n"/>
      <c r="H44" s="1452" t="n"/>
      <c r="I44" s="778" t="n"/>
      <c r="J44" s="1972" t="n"/>
      <c r="K44" s="1122" t="n"/>
      <c r="L44" s="1971" t="n"/>
      <c r="M44" s="2660" t="n"/>
      <c r="N44" s="3227" t="n"/>
      <c r="O44" s="3227" t="n"/>
      <c r="P44" s="1122" t="n"/>
      <c r="Q44" s="1971" t="n"/>
      <c r="R44" s="1122" t="n"/>
      <c r="S44" s="226">
        <f>CA44&amp;CB44&amp;CC44&amp;CD44&amp;CE44&amp;CF44&amp;CG44&amp;CH44&amp;CI44</f>
        <v/>
      </c>
      <c r="CA44" s="405">
        <f>IF(AND(D44&gt;0,J44=""),"*No olvide digitar el campo TRANS Masculino (Digite CERO si no tiene).", IF(J44&gt;D44," * El Número de TRANS Masculino no puede superar el Total Mujeres. ",""))</f>
        <v/>
      </c>
      <c r="CB44" s="405">
        <f>IF(AND(C44&gt;0,OR(K44=""))," *No olvide digitar el campo TRANS Femenino (Digite CERO si no tiene).",IF(K44&gt;$C44," * El Número de TRANS Femenino no puede superar el Total Hombres. ",""))</f>
        <v/>
      </c>
      <c r="CC44" s="405">
        <f>IF(AND($B44&gt;0,OR(L44=""))," *No olvide digitar el campo "&amp;L$9&amp;""&amp;". Digite CERO si no tiene.", IF(L44&gt;$B44," * La variable "&amp;L$9&amp;""&amp;" no puede superar el Total Ambos Sexos. ",""))</f>
        <v/>
      </c>
      <c r="CD44" s="405">
        <f>IF(AND($B44&gt;0,OR(M44=""))," *No olvide digitar el campo "&amp;M$9&amp;""&amp;". Digite CERO si no tiene.", IF(M44&gt;$B44," * La variable "&amp;M$9&amp;""&amp;" no puede superar el Total Ambos Sexos. ",""))</f>
        <v/>
      </c>
      <c r="CE44" s="405">
        <f>IF(AND($B44&gt;0,OR(N44=""))," *No olvide digitar el campo "&amp;N$9&amp;""&amp;". Digite CERO si no tiene.", IF(N44&gt;$B44," * La variable "&amp;N$9&amp;""&amp;" no puede superar el Total Ambos Sexos. ",""))</f>
        <v/>
      </c>
      <c r="CF44" s="405">
        <f>IF(AND($B44&gt;0,OR(O44=""))," *No olvide digitar el campo "&amp;O$9&amp;""&amp;". Digite CERO si no tiene.", IF(O44&gt;$B44," * La variable "&amp;O$9&amp;""&amp;" no puede superar el Total Ambos Sexos. ",""))</f>
        <v/>
      </c>
      <c r="CG44" s="405">
        <f>IF(AND($B44&gt;0,OR(P44=""))," *No olvide digitar el campo "&amp;P$9&amp;""&amp;". Digite CERO si no tiene.", IF(P44&gt;$B44," * La variable "&amp;P$9&amp;""&amp;" no puede superar el Total Ambos Sexos. ",""))</f>
        <v/>
      </c>
      <c r="CH44" s="405">
        <f>IF(AND($B44&gt;0,OR(Q44=""))," *No olvide digitar el campo "&amp;Q$9&amp;""&amp;". Niños, niñas y adolescentes. Digite CERO si no tiene.", IF(Q44&gt;$B44," * La variable "&amp;Q$9&amp;""&amp;" no puede superar el Total Ambos Sexos. ",""))</f>
        <v/>
      </c>
      <c r="CI44" s="405">
        <f>IF(AND($D44&gt;0,OR(R44=""))," *No olvide digitar el campo "&amp;Q$9&amp;""&amp;" Gestantes. Digite CERO si no tiene.", IF(R44&gt;$D44," * La variable "&amp;Q$9&amp;""&amp;" no puede superar el Total Mujeres. ",""))</f>
        <v/>
      </c>
      <c r="CM44" s="197">
        <f>IF(AND(D44&gt;0,OR(J44="")),1,IF(J44&gt;D44,1,0))</f>
        <v/>
      </c>
      <c r="CN44" s="197">
        <f>IF(AND(C44&gt;0,OR(K44="")),1,IF(K44&gt;C44,1,0))</f>
        <v/>
      </c>
      <c r="CO44" s="197">
        <f>IF(AND($B44&gt;0,OR(L44="")),1,IF(L44&gt;$B44,1,0))</f>
        <v/>
      </c>
      <c r="CP44" s="197">
        <f>IF(AND($B44&gt;0,OR(M44="")),1,IF(M44&gt;$B44,1,0))</f>
        <v/>
      </c>
      <c r="CQ44" s="197">
        <f>IF(AND($B44&gt;0,OR(N44="")),1,IF(N44&gt;$B44,1,0))</f>
        <v/>
      </c>
      <c r="CR44" s="197">
        <f>IF(AND($B44&gt;0,OR(O44="")),1,IF(O44&gt;$B44,1,0))</f>
        <v/>
      </c>
      <c r="CS44" s="197">
        <f>IF(AND($B44&gt;0,OR(P44="")),1,IF(P44&gt;$B44,1,0))</f>
        <v/>
      </c>
      <c r="CT44" s="221">
        <f>IF(AND($B44&gt;0,OR(Q44="")),1,IF(Q44&gt;$B44,1,0))</f>
        <v/>
      </c>
      <c r="CU44" s="221">
        <f>IF(AND($D44&gt;0,OR(R44="")),1,IF(R44&gt;$D44,1,0))</f>
        <v/>
      </c>
    </row>
    <row r="45">
      <c r="A45" s="8510" t="inlineStr">
        <is>
          <t>Incumplimiento Garantías Explícitas en Salud (GES)</t>
        </is>
      </c>
      <c r="B45" s="3356">
        <f>SUM(C45:D45)</f>
        <v/>
      </c>
      <c r="C45" s="3108" t="n"/>
      <c r="D45" s="1125" t="n"/>
      <c r="E45" s="3108" t="n"/>
      <c r="F45" s="1125" t="n">
        <v>1</v>
      </c>
      <c r="G45" s="1125" t="n"/>
      <c r="H45" s="3100" t="n"/>
      <c r="I45" s="880" t="n"/>
      <c r="J45" s="881" t="n"/>
      <c r="K45" s="1125" t="n"/>
      <c r="L45" s="3108" t="n"/>
      <c r="M45" s="3659" t="n"/>
      <c r="N45" s="4008" t="n"/>
      <c r="O45" s="4008" t="n"/>
      <c r="P45" s="3656" t="n"/>
      <c r="Q45" s="3108" t="n"/>
      <c r="R45" s="1125" t="n"/>
      <c r="S45" s="226">
        <f>CA45&amp;CB45&amp;CC45&amp;CD45&amp;CE45&amp;CF45&amp;CG45&amp;CH45&amp;CI45</f>
        <v/>
      </c>
      <c r="CA45" s="405">
        <f>IF(AND(D45&gt;0,J45=""),"*No olvide digitar el campo TRANS Masculino (Digite CERO si no tiene).", IF(J45&gt;D45," * El Número de TRANS Masculino no puede superar el Total Mujeres. ",""))</f>
        <v/>
      </c>
      <c r="CB45" s="405">
        <f>IF(AND(C45&gt;0,OR(K45=""))," *No olvide digitar el campo TRANS Femenino (Digite CERO si no tiene).",IF(K45&gt;$C45," * El Número de TRANS Femenino no puede superar el Total Hombres. ",""))</f>
        <v/>
      </c>
      <c r="CC45" s="405">
        <f>IF(AND($B45&gt;0,OR(L45=""))," *No olvide digitar el campo "&amp;L$9&amp;""&amp;". Digite CERO si no tiene.", IF(L45&gt;$B45," * La variable "&amp;L$9&amp;""&amp;" no puede superar el Total Ambos Sexos. ",""))</f>
        <v/>
      </c>
      <c r="CD45" s="405">
        <f>IF(AND($B45&gt;0,OR(M45=""))," *No olvide digitar el campo "&amp;M$9&amp;""&amp;". Digite CERO si no tiene.", IF(M45&gt;$B45," * La variable "&amp;M$9&amp;""&amp;" no puede superar el Total Ambos Sexos. ",""))</f>
        <v/>
      </c>
      <c r="CE45" s="405">
        <f>IF(AND($B45&gt;0,OR(N45=""))," *No olvide digitar el campo "&amp;N$9&amp;""&amp;". Digite CERO si no tiene.", IF(N45&gt;$B45," * La variable "&amp;N$9&amp;""&amp;" no puede superar el Total Ambos Sexos. ",""))</f>
        <v/>
      </c>
      <c r="CF45" s="405">
        <f>IF(AND($B45&gt;0,OR(O45=""))," *No olvide digitar el campo "&amp;O$9&amp;""&amp;". Digite CERO si no tiene.", IF(O45&gt;$B45," * La variable "&amp;O$9&amp;""&amp;" no puede superar el Total Ambos Sexos. ",""))</f>
        <v/>
      </c>
      <c r="CG45" s="405">
        <f>IF(AND($B45&gt;0,OR(P45=""))," *No olvide digitar el campo "&amp;P$9&amp;""&amp;". Digite CERO si no tiene.", IF(P45&gt;$B45," * La variable "&amp;P$9&amp;""&amp;" no puede superar el Total Ambos Sexos. ",""))</f>
        <v/>
      </c>
      <c r="CH45" s="405">
        <f>IF(AND($B45&gt;0,OR(Q45=""))," *No olvide digitar el campo "&amp;Q$9&amp;""&amp;". Niños, niñas y adolescentes. Digite CERO si no tiene.", IF(Q45&gt;$B45," * La variable "&amp;Q$9&amp;""&amp;" no puede superar el Total Ambos Sexos. ",""))</f>
        <v/>
      </c>
      <c r="CI45" s="405">
        <f>IF(AND($D45&gt;0,OR(R45=""))," *No olvide digitar el campo "&amp;Q$9&amp;""&amp;" Gestantes. Digite CERO si no tiene.", IF(R45&gt;$D45," * La variable "&amp;Q$9&amp;""&amp;" no puede superar el Total Mujeres. ",""))</f>
        <v/>
      </c>
      <c r="CM45" s="197">
        <f>IF(AND(D45&gt;0,OR(J45="")),1,IF(J45&gt;D45,1,0))</f>
        <v/>
      </c>
      <c r="CN45" s="197">
        <f>IF(AND(C45&gt;0,OR(K45="")),1,IF(K45&gt;C45,1,0))</f>
        <v/>
      </c>
      <c r="CO45" s="197">
        <f>IF(AND($B45&gt;0,OR(L45="")),1,IF(L45&gt;$B45,1,0))</f>
        <v/>
      </c>
      <c r="CP45" s="197">
        <f>IF(AND($B45&gt;0,OR(M45="")),1,IF(M45&gt;$B45,1,0))</f>
        <v/>
      </c>
      <c r="CQ45" s="197">
        <f>IF(AND($B45&gt;0,OR(N45="")),1,IF(N45&gt;$B45,1,0))</f>
        <v/>
      </c>
      <c r="CR45" s="197">
        <f>IF(AND($B45&gt;0,OR(O45="")),1,IF(O45&gt;$B45,1,0))</f>
        <v/>
      </c>
      <c r="CS45" s="197">
        <f>IF(AND($B45&gt;0,OR(P45="")),1,IF(P45&gt;$B45,1,0))</f>
        <v/>
      </c>
      <c r="CT45" s="221">
        <f>IF(AND($B45&gt;0,OR(Q45="")),1,IF(Q45&gt;$B45,1,0))</f>
        <v/>
      </c>
      <c r="CU45" s="221">
        <f>IF(AND($D45&gt;0,OR(R45="")),1,IF(R45&gt;$D45,1,0))</f>
        <v/>
      </c>
    </row>
    <row r="46">
      <c r="A46" s="8510" t="inlineStr">
        <is>
          <t>Vulneración de derechos sexuales y reproductivos</t>
        </is>
      </c>
      <c r="B46" s="3356">
        <f>SUM(C46:D46)</f>
        <v/>
      </c>
      <c r="C46" s="3108" t="n"/>
      <c r="D46" s="1125" t="n"/>
      <c r="E46" s="3108" t="n"/>
      <c r="F46" s="1125" t="n"/>
      <c r="G46" s="1125" t="n"/>
      <c r="H46" s="3100" t="n"/>
      <c r="I46" s="880" t="n"/>
      <c r="J46" s="881" t="n"/>
      <c r="K46" s="1125" t="n"/>
      <c r="L46" s="3108" t="n"/>
      <c r="M46" s="3659" t="n"/>
      <c r="N46" s="4008" t="n"/>
      <c r="O46" s="4008" t="n"/>
      <c r="P46" s="3656" t="n"/>
      <c r="Q46" s="3108" t="n"/>
      <c r="R46" s="1125" t="n"/>
      <c r="S46" s="226">
        <f>CA46&amp;CB46&amp;CC46&amp;CD46&amp;CE46&amp;CF46&amp;CG46&amp;CH46&amp;CI46</f>
        <v/>
      </c>
      <c r="CA46" s="405">
        <f>IF(AND(D46&gt;0,J46=""),"*No olvide digitar el campo TRANS Masculino (Digite CERO si no tiene).", IF(J46&gt;D46," * El Número de TRANS Masculino no puede superar el Total Mujeres. ",""))</f>
        <v/>
      </c>
      <c r="CB46" s="405">
        <f>IF(AND(C46&gt;0,OR(K46=""))," *No olvide digitar el campo TRANS Femenino (Digite CERO si no tiene).",IF(K46&gt;$C46," * El Número de TRANS Femenino no puede superar el Total Hombres. ",""))</f>
        <v/>
      </c>
      <c r="CC46" s="405">
        <f>IF(AND($B46&gt;0,OR(L46=""))," *No olvide digitar el campo "&amp;L$9&amp;""&amp;". Digite CERO si no tiene.", IF(L46&gt;$B46," * La variable "&amp;L$9&amp;""&amp;" no puede superar el Total Ambos Sexos. ",""))</f>
        <v/>
      </c>
      <c r="CD46" s="405">
        <f>IF(AND($B46&gt;0,OR(M46=""))," *No olvide digitar el campo "&amp;M$9&amp;""&amp;". Digite CERO si no tiene.", IF(M46&gt;$B46," * La variable "&amp;M$9&amp;""&amp;" no puede superar el Total Ambos Sexos. ",""))</f>
        <v/>
      </c>
      <c r="CE46" s="405">
        <f>IF(AND($B46&gt;0,OR(N46=""))," *No olvide digitar el campo "&amp;N$9&amp;""&amp;". Digite CERO si no tiene.", IF(N46&gt;$B46," * La variable "&amp;N$9&amp;""&amp;" no puede superar el Total Ambos Sexos. ",""))</f>
        <v/>
      </c>
      <c r="CF46" s="405">
        <f>IF(AND($B46&gt;0,OR(O46=""))," *No olvide digitar el campo "&amp;O$9&amp;""&amp;". Digite CERO si no tiene.", IF(O46&gt;$B46," * La variable "&amp;O$9&amp;""&amp;" no puede superar el Total Ambos Sexos. ",""))</f>
        <v/>
      </c>
      <c r="CG46" s="405">
        <f>IF(AND($B46&gt;0,OR(P46=""))," *No olvide digitar el campo "&amp;P$9&amp;""&amp;". Digite CERO si no tiene.", IF(P46&gt;$B46," * La variable "&amp;P$9&amp;""&amp;" no puede superar el Total Ambos Sexos. ",""))</f>
        <v/>
      </c>
      <c r="CH46" s="405">
        <f>IF(AND($B46&gt;0,OR(Q46=""))," *No olvide digitar el campo "&amp;Q$9&amp;""&amp;". Niños, niñas y adolescentes. Digite CERO si no tiene.", IF(Q46&gt;$B46," * La variable "&amp;Q$9&amp;""&amp;" no puede superar el Total Ambos Sexos. ",""))</f>
        <v/>
      </c>
      <c r="CI46" s="405">
        <f>IF(AND($D46&gt;0,OR(R46=""))," *No olvide digitar el campo "&amp;Q$9&amp;""&amp;" Gestantes. Digite CERO si no tiene.", IF(R46&gt;$D46," * La variable "&amp;Q$9&amp;""&amp;" no puede superar el Total Mujeres. ",""))</f>
        <v/>
      </c>
      <c r="CM46" s="197">
        <f>IF(AND(D46&gt;0,OR(J46="")),1,IF(J46&gt;D46,1,0))</f>
        <v/>
      </c>
      <c r="CN46" s="197">
        <f>IF(AND(C46&gt;0,OR(K46="")),1,IF(K46&gt;C46,1,0))</f>
        <v/>
      </c>
      <c r="CO46" s="197">
        <f>IF(AND($B46&gt;0,OR(L46="")),1,IF(L46&gt;$B46,1,0))</f>
        <v/>
      </c>
      <c r="CP46" s="197">
        <f>IF(AND($B46&gt;0,OR(M46="")),1,IF(M46&gt;$B46,1,0))</f>
        <v/>
      </c>
      <c r="CQ46" s="197">
        <f>IF(AND($B46&gt;0,OR(N46="")),1,IF(N46&gt;$B46,1,0))</f>
        <v/>
      </c>
      <c r="CR46" s="197">
        <f>IF(AND($B46&gt;0,OR(O46="")),1,IF(O46&gt;$B46,1,0))</f>
        <v/>
      </c>
      <c r="CS46" s="197">
        <f>IF(AND($B46&gt;0,OR(P46="")),1,IF(P46&gt;$B46,1,0))</f>
        <v/>
      </c>
      <c r="CT46" s="221">
        <f>IF(AND($B46&gt;0,OR(Q46="")),1,IF(Q46&gt;$B46,1,0))</f>
        <v/>
      </c>
      <c r="CU46" s="221">
        <f>IF(AND($D46&gt;0,OR(R46="")),1,IF(R46&gt;$D46,1,0))</f>
        <v/>
      </c>
    </row>
    <row r="47">
      <c r="A47" s="8510" t="inlineStr">
        <is>
          <t>Reclamos asociados a violencia gineco obstétrica</t>
        </is>
      </c>
      <c r="B47" s="3356">
        <f>SUM(C47:D47)</f>
        <v/>
      </c>
      <c r="C47" s="3108" t="n"/>
      <c r="D47" s="1125" t="n"/>
      <c r="E47" s="3108" t="n"/>
      <c r="F47" s="1125" t="n"/>
      <c r="G47" s="1125" t="n"/>
      <c r="H47" s="3100" t="n"/>
      <c r="I47" s="880" t="n"/>
      <c r="J47" s="881" t="n"/>
      <c r="K47" s="1125" t="n"/>
      <c r="L47" s="3108" t="n"/>
      <c r="M47" s="3659" t="n"/>
      <c r="N47" s="4008" t="n"/>
      <c r="O47" s="4008" t="n"/>
      <c r="P47" s="3656" t="n"/>
      <c r="Q47" s="3108" t="n"/>
      <c r="R47" s="1125" t="n"/>
      <c r="S47" s="226">
        <f>CA47&amp;CB47&amp;CC47&amp;CD47&amp;CE47&amp;CF47&amp;CG47&amp;CH47&amp;CI47</f>
        <v/>
      </c>
      <c r="CA47" s="405">
        <f>IF(AND(D47&gt;0,J47=""),"*No olvide digitar el campo TRANS Masculino (Digite CERO si no tiene).", IF(J47&gt;D47," * El Número de TRANS Masculino no puede superar el Total Mujeres. ",""))</f>
        <v/>
      </c>
      <c r="CB47" s="405">
        <f>IF(AND(C47&gt;0,OR(K47=""))," *No olvide digitar el campo TRANS Femenino (Digite CERO si no tiene).",IF(K47&gt;$C47," * El Número de TRANS Femenino no puede superar el Total Hombres. ",""))</f>
        <v/>
      </c>
      <c r="CC47" s="405">
        <f>IF(AND($B47&gt;0,OR(L47=""))," *No olvide digitar el campo "&amp;L$9&amp;""&amp;". Digite CERO si no tiene.", IF(L47&gt;$B47," * La variable "&amp;L$9&amp;""&amp;" no puede superar el Total Ambos Sexos. ",""))</f>
        <v/>
      </c>
      <c r="CD47" s="405">
        <f>IF(AND($B47&gt;0,OR(M47=""))," *No olvide digitar el campo "&amp;M$9&amp;""&amp;". Digite CERO si no tiene.", IF(M47&gt;$B47," * La variable "&amp;M$9&amp;""&amp;" no puede superar el Total Ambos Sexos. ",""))</f>
        <v/>
      </c>
      <c r="CE47" s="405">
        <f>IF(AND($B47&gt;0,OR(N47=""))," *No olvide digitar el campo "&amp;N$9&amp;""&amp;". Digite CERO si no tiene.", IF(N47&gt;$B47," * La variable "&amp;N$9&amp;""&amp;" no puede superar el Total Ambos Sexos. ",""))</f>
        <v/>
      </c>
      <c r="CF47" s="405">
        <f>IF(AND($B47&gt;0,OR(O47=""))," *No olvide digitar el campo "&amp;O$9&amp;""&amp;". Digite CERO si no tiene.", IF(O47&gt;$B47," * La variable "&amp;O$9&amp;""&amp;" no puede superar el Total Ambos Sexos. ",""))</f>
        <v/>
      </c>
      <c r="CG47" s="405">
        <f>IF(AND($B47&gt;0,OR(P47=""))," *No olvide digitar el campo "&amp;P$9&amp;""&amp;". Digite CERO si no tiene.", IF(P47&gt;$B47," * La variable "&amp;P$9&amp;""&amp;" no puede superar el Total Ambos Sexos. ",""))</f>
        <v/>
      </c>
      <c r="CH47" s="405">
        <f>IF(AND($B47&gt;0,OR(Q47=""))," *No olvide digitar el campo "&amp;Q$9&amp;""&amp;". Niños, niñas y adolescentes. Digite CERO si no tiene.", IF(Q47&gt;$B47," * La variable "&amp;Q$9&amp;""&amp;" no puede superar el Total Ambos Sexos. ",""))</f>
        <v/>
      </c>
      <c r="CI47" s="405">
        <f>IF(AND($D47&gt;0,OR(R47=""))," *No olvide digitar el campo "&amp;Q$9&amp;""&amp;" Gestantes. Digite CERO si no tiene.", IF(R47&gt;$D47," * La variable "&amp;Q$9&amp;""&amp;" no puede superar el Total Mujeres. ",""))</f>
        <v/>
      </c>
      <c r="CM47" s="197">
        <f>IF(AND(D47&gt;0,OR(J47="")),1,IF(J47&gt;D47,1,0))</f>
        <v/>
      </c>
      <c r="CN47" s="197">
        <f>IF(AND(C47&gt;0,OR(K47="")),1,IF(K47&gt;C47,1,0))</f>
        <v/>
      </c>
      <c r="CO47" s="197">
        <f>IF(AND($B47&gt;0,OR(L47="")),1,IF(L47&gt;$B47,1,0))</f>
        <v/>
      </c>
      <c r="CP47" s="197">
        <f>IF(AND($B47&gt;0,OR(M47="")),1,IF(M47&gt;$B47,1,0))</f>
        <v/>
      </c>
      <c r="CQ47" s="197">
        <f>IF(AND($B47&gt;0,OR(N47="")),1,IF(N47&gt;$B47,1,0))</f>
        <v/>
      </c>
      <c r="CR47" s="197">
        <f>IF(AND($B47&gt;0,OR(O47="")),1,IF(O47&gt;$B47,1,0))</f>
        <v/>
      </c>
      <c r="CS47" s="197">
        <f>IF(AND($B47&gt;0,OR(P47="")),1,IF(P47&gt;$B47,1,0))</f>
        <v/>
      </c>
      <c r="CT47" s="221">
        <f>IF(AND($B47&gt;0,OR(Q47="")),1,IF(Q47&gt;$B47,1,0))</f>
        <v/>
      </c>
      <c r="CU47" s="221">
        <f>IF(AND($D47&gt;0,OR(R47="")),1,IF(R47&gt;$D47,1,0))</f>
        <v/>
      </c>
    </row>
    <row r="48">
      <c r="A48" s="1215" t="inlineStr">
        <is>
          <t>Incumplimiento Ley Mila N°21.372</t>
        </is>
      </c>
      <c r="B48" s="3357">
        <f>SUM(C48:D48)</f>
        <v/>
      </c>
      <c r="C48" s="3108" t="n"/>
      <c r="D48" s="1125" t="n"/>
      <c r="E48" s="3108" t="n"/>
      <c r="F48" s="1125" t="n"/>
      <c r="G48" s="1125" t="n"/>
      <c r="H48" s="3100" t="n"/>
      <c r="I48" s="880" t="n"/>
      <c r="J48" s="881" t="n"/>
      <c r="K48" s="1125" t="n"/>
      <c r="L48" s="3108" t="n"/>
      <c r="M48" s="3659" t="n"/>
      <c r="N48" s="4008" t="n"/>
      <c r="O48" s="4008" t="n"/>
      <c r="P48" s="3656" t="n"/>
      <c r="Q48" s="3108" t="n"/>
      <c r="R48" s="1125" t="n"/>
      <c r="S48" s="226">
        <f>CA48&amp;CB48&amp;CC48&amp;CD48&amp;CE48&amp;CF48&amp;CG48&amp;CH48&amp;CI48</f>
        <v/>
      </c>
      <c r="CA48" s="405">
        <f>IF(AND(D48&gt;0,J48=""),"*No olvide digitar el campo TRANS Masculino (Digite CERO si no tiene).", IF(J48&gt;D48," * El Número de TRANS Masculino no puede superar el Total Mujeres. ",""))</f>
        <v/>
      </c>
      <c r="CB48" s="405">
        <f>IF(AND(C48&gt;0,OR(K48=""))," *No olvide digitar el campo TRANS Femenino (Digite CERO si no tiene).",IF(K48&gt;$C48," * El Número de TRANS Femenino no puede superar el Total Hombres. ",""))</f>
        <v/>
      </c>
      <c r="CC48" s="405">
        <f>IF(AND($B48&gt;0,OR(L48=""))," *No olvide digitar el campo "&amp;L$9&amp;""&amp;". Digite CERO si no tiene.", IF(L48&gt;$B48," * La variable "&amp;L$9&amp;""&amp;" no puede superar el Total Ambos Sexos. ",""))</f>
        <v/>
      </c>
      <c r="CD48" s="405">
        <f>IF(AND($B48&gt;0,OR(M48=""))," *No olvide digitar el campo "&amp;M$9&amp;""&amp;". Digite CERO si no tiene.", IF(M48&gt;$B48," * La variable "&amp;M$9&amp;""&amp;" no puede superar el Total Ambos Sexos. ",""))</f>
        <v/>
      </c>
      <c r="CE48" s="405">
        <f>IF(AND($B48&gt;0,OR(N48=""))," *No olvide digitar el campo "&amp;N$9&amp;""&amp;". Digite CERO si no tiene.", IF(N48&gt;$B48," * La variable "&amp;N$9&amp;""&amp;" no puede superar el Total Ambos Sexos. ",""))</f>
        <v/>
      </c>
      <c r="CF48" s="405">
        <f>IF(AND($B48&gt;0,OR(O48=""))," *No olvide digitar el campo "&amp;O$9&amp;""&amp;". Digite CERO si no tiene.", IF(O48&gt;$B48," * La variable "&amp;O$9&amp;""&amp;" no puede superar el Total Ambos Sexos. ",""))</f>
        <v/>
      </c>
      <c r="CG48" s="405">
        <f>IF(AND($B48&gt;0,OR(P48=""))," *No olvide digitar el campo "&amp;P$9&amp;""&amp;". Digite CERO si no tiene.", IF(P48&gt;$B48," * La variable "&amp;P$9&amp;""&amp;" no puede superar el Total Ambos Sexos. ",""))</f>
        <v/>
      </c>
      <c r="CH48" s="405">
        <f>IF(AND($B48&gt;0,OR(Q48=""))," *No olvide digitar el campo "&amp;Q$9&amp;""&amp;". Niños, niñas y adolescentes. Digite CERO si no tiene.", IF(Q48&gt;$B48," * La variable "&amp;Q$9&amp;""&amp;" no puede superar el Total Ambos Sexos. ",""))</f>
        <v/>
      </c>
      <c r="CI48" s="405">
        <f>IF(AND($D48&gt;0,OR(R48=""))," *No olvide digitar el campo "&amp;Q$9&amp;""&amp;" Gestantes. Digite CERO si no tiene.", IF(R48&gt;$D48," * La variable "&amp;Q$9&amp;""&amp;" no puede superar el Total Mujeres. ",""))</f>
        <v/>
      </c>
      <c r="CM48" s="197">
        <f>IF(AND(D48&gt;0,OR(J48="")),1,IF(J48&gt;D48,1,0))</f>
        <v/>
      </c>
      <c r="CN48" s="197">
        <f>IF(AND(C48&gt;0,OR(K48="")),1,IF(K48&gt;C48,1,0))</f>
        <v/>
      </c>
      <c r="CO48" s="197">
        <f>IF(AND($B48&gt;0,OR(L48="")),1,IF(L48&gt;$B48,1,0))</f>
        <v/>
      </c>
      <c r="CP48" s="197">
        <f>IF(AND($B48&gt;0,OR(M48="")),1,IF(M48&gt;$B48,1,0))</f>
        <v/>
      </c>
      <c r="CQ48" s="197">
        <f>IF(AND($B48&gt;0,OR(N48="")),1,IF(N48&gt;$B48,1,0))</f>
        <v/>
      </c>
      <c r="CR48" s="197">
        <f>IF(AND($B48&gt;0,OR(O48="")),1,IF(O48&gt;$B48,1,0))</f>
        <v/>
      </c>
      <c r="CS48" s="197">
        <f>IF(AND($B48&gt;0,OR(P48="")),1,IF(P48&gt;$B48,1,0))</f>
        <v/>
      </c>
      <c r="CT48" s="221">
        <f>IF(AND($B48&gt;0,OR(Q48="")),1,IF(Q48&gt;$B48,1,0))</f>
        <v/>
      </c>
      <c r="CU48" s="221">
        <f>IF(AND($D48&gt;0,OR(R48="")),1,IF(R48&gt;$D48,1,0))</f>
        <v/>
      </c>
    </row>
    <row r="49">
      <c r="A49" s="1215" t="inlineStr">
        <is>
          <t>Inclumplimiento Ley Dominga N° 21.371</t>
        </is>
      </c>
      <c r="B49" s="3356">
        <f>SUM(C49:D49)</f>
        <v/>
      </c>
      <c r="C49" s="1971" t="n"/>
      <c r="D49" s="1122" t="n"/>
      <c r="E49" s="1971" t="n"/>
      <c r="F49" s="1122" t="n"/>
      <c r="G49" s="1122" t="n"/>
      <c r="H49" s="1452" t="n"/>
      <c r="I49" s="778" t="n"/>
      <c r="J49" s="1972" t="n"/>
      <c r="K49" s="1122" t="n"/>
      <c r="L49" s="1971" t="n"/>
      <c r="M49" s="2660" t="n"/>
      <c r="N49" s="3227" t="n"/>
      <c r="O49" s="3227" t="n"/>
      <c r="P49" s="1122" t="n"/>
      <c r="Q49" s="1971" t="n"/>
      <c r="R49" s="1122" t="n"/>
      <c r="S49" s="226">
        <f>CA49&amp;CB49&amp;CC49&amp;CD49&amp;CE49&amp;CF49&amp;CG49&amp;CH49&amp;CI49</f>
        <v/>
      </c>
      <c r="CA49" s="405">
        <f>IF(AND(D49&gt;0,J49=""),"*No olvide digitar el campo TRANS Masculino (Digite CERO si no tiene).", IF(J49&gt;D49," * El Número de TRANS Masculino no puede superar el Total Mujeres. ",""))</f>
        <v/>
      </c>
      <c r="CB49" s="405">
        <f>IF(AND(C49&gt;0,OR(K49=""))," *No olvide digitar el campo TRANS Femenino (Digite CERO si no tiene).",IF(K49&gt;$C49," * El Número de TRANS Femenino no puede superar el Total Hombres. ",""))</f>
        <v/>
      </c>
      <c r="CC49" s="405">
        <f>IF(AND($B49&gt;0,OR(L49=""))," *No olvide digitar el campo "&amp;L$9&amp;""&amp;". Digite CERO si no tiene.", IF(L49&gt;$B49," * La variable "&amp;L$9&amp;""&amp;" no puede superar el Total Ambos Sexos. ",""))</f>
        <v/>
      </c>
      <c r="CD49" s="405">
        <f>IF(AND($B49&gt;0,OR(M49=""))," *No olvide digitar el campo "&amp;M$9&amp;""&amp;". Digite CERO si no tiene.", IF(M49&gt;$B49," * La variable "&amp;M$9&amp;""&amp;" no puede superar el Total Ambos Sexos. ",""))</f>
        <v/>
      </c>
      <c r="CE49" s="405">
        <f>IF(AND($B49&gt;0,OR(N49=""))," *No olvide digitar el campo "&amp;N$9&amp;""&amp;". Digite CERO si no tiene.", IF(N49&gt;$B49," * La variable "&amp;N$9&amp;""&amp;" no puede superar el Total Ambos Sexos. ",""))</f>
        <v/>
      </c>
      <c r="CF49" s="405">
        <f>IF(AND($B49&gt;0,OR(O49=""))," *No olvide digitar el campo "&amp;O$9&amp;""&amp;". Digite CERO si no tiene.", IF(O49&gt;$B49," * La variable "&amp;O$9&amp;""&amp;" no puede superar el Total Ambos Sexos. ",""))</f>
        <v/>
      </c>
      <c r="CG49" s="405">
        <f>IF(AND($B49&gt;0,OR(P49=""))," *No olvide digitar el campo "&amp;P$9&amp;""&amp;". Digite CERO si no tiene.", IF(P49&gt;$B49," * La variable "&amp;P$9&amp;""&amp;" no puede superar el Total Ambos Sexos. ",""))</f>
        <v/>
      </c>
      <c r="CH49" s="405">
        <f>IF(AND($B49&gt;0,OR(Q49=""))," *No olvide digitar el campo "&amp;Q$9&amp;""&amp;". Niños, niñas y adolescentes. Digite CERO si no tiene.", IF(Q49&gt;$B49," * La variable "&amp;Q$9&amp;""&amp;" no puede superar el Total Ambos Sexos. ",""))</f>
        <v/>
      </c>
      <c r="CI49" s="405">
        <f>IF(AND($D49&gt;0,OR(R49=""))," *No olvide digitar el campo "&amp;Q$9&amp;""&amp;" Gestantes. Digite CERO si no tiene.", IF(R49&gt;$D49," * La variable "&amp;Q$9&amp;""&amp;" no puede superar el Total Mujeres. ",""))</f>
        <v/>
      </c>
      <c r="CM49" s="197">
        <f>IF(AND(D49&gt;0,OR(J49="")),1,IF(J49&gt;D49,1,0))</f>
        <v/>
      </c>
      <c r="CN49" s="197">
        <f>IF(AND(C49&gt;0,OR(K49="")),1,IF(K49&gt;C49,1,0))</f>
        <v/>
      </c>
      <c r="CO49" s="197">
        <f>IF(AND($B49&gt;0,OR(L49="")),1,IF(L49&gt;$B49,1,0))</f>
        <v/>
      </c>
      <c r="CP49" s="197">
        <f>IF(AND($B49&gt;0,OR(M49="")),1,IF(M49&gt;$B49,1,0))</f>
        <v/>
      </c>
      <c r="CQ49" s="197">
        <f>IF(AND($B49&gt;0,OR(N49="")),1,IF(N49&gt;$B49,1,0))</f>
        <v/>
      </c>
      <c r="CR49" s="197">
        <f>IF(AND($B49&gt;0,OR(O49="")),1,IF(O49&gt;$B49,1,0))</f>
        <v/>
      </c>
      <c r="CS49" s="197">
        <f>IF(AND($B49&gt;0,OR(P49="")),1,IF(P49&gt;$B49,1,0))</f>
        <v/>
      </c>
      <c r="CT49" s="221">
        <f>IF(AND($B49&gt;0,OR(Q49="")),1,IF(Q49&gt;$B49,1,0))</f>
        <v/>
      </c>
      <c r="CU49" s="221">
        <f>IF(AND($D49&gt;0,OR(R49="")),1,IF(R49&gt;$D49,1,0))</f>
        <v/>
      </c>
    </row>
    <row r="50">
      <c r="A50" s="8510" t="inlineStr">
        <is>
          <t>Incumplimiento de garantías Ley Ricarte Soto</t>
        </is>
      </c>
      <c r="B50" s="3355">
        <f>SUM(C50:D50)</f>
        <v/>
      </c>
      <c r="C50" s="1971" t="n"/>
      <c r="D50" s="1122" t="n"/>
      <c r="E50" s="1971" t="n"/>
      <c r="F50" s="1122" t="n"/>
      <c r="G50" s="1122" t="n"/>
      <c r="H50" s="1452" t="n"/>
      <c r="I50" s="778" t="n"/>
      <c r="J50" s="1972" t="n"/>
      <c r="K50" s="1122" t="n"/>
      <c r="L50" s="1971" t="n"/>
      <c r="M50" s="2660" t="n"/>
      <c r="N50" s="3227" t="n"/>
      <c r="O50" s="3227" t="n"/>
      <c r="P50" s="1122" t="n"/>
      <c r="Q50" s="1971" t="n"/>
      <c r="R50" s="1122" t="n"/>
      <c r="S50" s="226">
        <f>CA50&amp;CB50&amp;CC50&amp;CD50&amp;CE50&amp;CF50&amp;CG50&amp;CH50&amp;CI50</f>
        <v/>
      </c>
      <c r="CA50" s="405">
        <f>IF(AND(D50&gt;0,J50=""),"*No olvide digitar el campo TRANS Masculino (Digite CERO si no tiene).", IF(J50&gt;D50," * El Número de TRANS Masculino no puede superar el Total Mujeres. ",""))</f>
        <v/>
      </c>
      <c r="CB50" s="405">
        <f>IF(AND(C50&gt;0,OR(K50=""))," *No olvide digitar el campo TRANS Femenino (Digite CERO si no tiene).",IF(K50&gt;$C50," * El Número de TRANS Femenino no puede superar el Total Hombres. ",""))</f>
        <v/>
      </c>
      <c r="CC50" s="405">
        <f>IF(AND($B50&gt;0,OR(L50=""))," *No olvide digitar el campo "&amp;L$9&amp;""&amp;". Digite CERO si no tiene.", IF(L50&gt;$B50," * La variable "&amp;L$9&amp;""&amp;" no puede superar el Total Ambos Sexos. ",""))</f>
        <v/>
      </c>
      <c r="CD50" s="405">
        <f>IF(AND($B50&gt;0,OR(M50=""))," *No olvide digitar el campo "&amp;M$9&amp;""&amp;". Digite CERO si no tiene.", IF(M50&gt;$B50," * La variable "&amp;M$9&amp;""&amp;" no puede superar el Total Ambos Sexos. ",""))</f>
        <v/>
      </c>
      <c r="CE50" s="405">
        <f>IF(AND($B50&gt;0,OR(N50=""))," *No olvide digitar el campo "&amp;N$9&amp;""&amp;". Digite CERO si no tiene.", IF(N50&gt;$B50," * La variable "&amp;N$9&amp;""&amp;" no puede superar el Total Ambos Sexos. ",""))</f>
        <v/>
      </c>
      <c r="CF50" s="405">
        <f>IF(AND($B50&gt;0,OR(O50=""))," *No olvide digitar el campo "&amp;O$9&amp;""&amp;". Digite CERO si no tiene.", IF(O50&gt;$B50," * La variable "&amp;O$9&amp;""&amp;" no puede superar el Total Ambos Sexos. ",""))</f>
        <v/>
      </c>
      <c r="CG50" s="405">
        <f>IF(AND($B50&gt;0,OR(P50=""))," *No olvide digitar el campo "&amp;P$9&amp;""&amp;". Digite CERO si no tiene.", IF(P50&gt;$B50," * La variable "&amp;P$9&amp;""&amp;" no puede superar el Total Ambos Sexos. ",""))</f>
        <v/>
      </c>
      <c r="CH50" s="405">
        <f>IF(AND($B50&gt;0,OR(Q50=""))," *No olvide digitar el campo "&amp;Q$9&amp;""&amp;". Niños, niñas y adolescentes. Digite CERO si no tiene.", IF(Q50&gt;$B50," * La variable "&amp;Q$9&amp;""&amp;" no puede superar el Total Ambos Sexos. ",""))</f>
        <v/>
      </c>
      <c r="CI50" s="405">
        <f>IF(AND($D50&gt;0,OR(R50=""))," *No olvide digitar el campo "&amp;Q$9&amp;""&amp;" Gestantes. Digite CERO si no tiene.", IF(R50&gt;$D50," * La variable "&amp;Q$9&amp;""&amp;" no puede superar el Total Mujeres. ",""))</f>
        <v/>
      </c>
      <c r="CM50" s="197">
        <f>IF(AND(D50&gt;0,OR(J50="")),1,IF(J50&gt;D50,1,0))</f>
        <v/>
      </c>
      <c r="CN50" s="197">
        <f>IF(AND(C50&gt;0,OR(K50="")),1,IF(K50&gt;C50,1,0))</f>
        <v/>
      </c>
      <c r="CO50" s="197">
        <f>IF(AND($B50&gt;0,OR(L50="")),1,IF(L50&gt;$B50,1,0))</f>
        <v/>
      </c>
      <c r="CP50" s="197">
        <f>IF(AND($B50&gt;0,OR(M50="")),1,IF(M50&gt;$B50,1,0))</f>
        <v/>
      </c>
      <c r="CQ50" s="197">
        <f>IF(AND($B50&gt;0,OR(N50="")),1,IF(N50&gt;$B50,1,0))</f>
        <v/>
      </c>
      <c r="CR50" s="197">
        <f>IF(AND($B50&gt;0,OR(O50="")),1,IF(O50&gt;$B50,1,0))</f>
        <v/>
      </c>
      <c r="CS50" s="197">
        <f>IF(AND($B50&gt;0,OR(P50="")),1,IF(P50&gt;$B50,1,0))</f>
        <v/>
      </c>
      <c r="CT50" s="221">
        <f>IF(AND($B50&gt;0,OR(Q50="")),1,IF(Q50&gt;$B50,1,0))</f>
        <v/>
      </c>
      <c r="CU50" s="221">
        <f>IF(AND($D50&gt;0,OR(R50="")),1,IF(R50&gt;$D50,1,0))</f>
        <v/>
      </c>
    </row>
    <row r="51">
      <c r="A51" s="1117" t="inlineStr">
        <is>
          <t>Incumplimiento de garantías FOFAR</t>
        </is>
      </c>
      <c r="B51" s="3230">
        <f>SUM(C51:D51)</f>
        <v/>
      </c>
      <c r="C51" s="1137" t="n"/>
      <c r="D51" s="1138" t="n"/>
      <c r="E51" s="1137" t="n"/>
      <c r="F51" s="1138" t="n"/>
      <c r="G51" s="1138" t="n"/>
      <c r="H51" s="1140" t="n"/>
      <c r="I51" s="1143" t="n"/>
      <c r="J51" s="1152" t="n"/>
      <c r="K51" s="1138" t="n"/>
      <c r="L51" s="1137" t="n"/>
      <c r="M51" s="3681" t="n"/>
      <c r="N51" s="1299" t="n"/>
      <c r="O51" s="1299" t="n"/>
      <c r="P51" s="1138" t="n"/>
      <c r="Q51" s="1137" t="n"/>
      <c r="R51" s="1138" t="n"/>
      <c r="S51" s="226">
        <f>CA51&amp;CB51&amp;CC51&amp;CD51&amp;CE51&amp;CF51&amp;CG51&amp;CH51&amp;CI51</f>
        <v/>
      </c>
      <c r="CA51" s="405">
        <f>IF(AND(D51&gt;0,J51=""),"*No olvide digitar el campo TRANS Masculino (Digite CERO si no tiene).", IF(J51&gt;D51," * El Número de TRANS Masculino no puede superar el Total Mujeres. ",""))</f>
        <v/>
      </c>
      <c r="CB51" s="405">
        <f>IF(AND(C51&gt;0,OR(K51=""))," *No olvide digitar el campo TRANS Femenino (Digite CERO si no tiene).",IF(K51&gt;$C51," * El Número de TRANS Femenino no puede superar el Total Hombres. ",""))</f>
        <v/>
      </c>
      <c r="CC51" s="405">
        <f>IF(AND($B51&gt;0,OR(L51=""))," *No olvide digitar el campo "&amp;L$9&amp;""&amp;". Digite CERO si no tiene.", IF(L51&gt;$B51," * La variable "&amp;L$9&amp;""&amp;" no puede superar el Total Ambos Sexos. ",""))</f>
        <v/>
      </c>
      <c r="CD51" s="405">
        <f>IF(AND($B51&gt;0,OR(M51=""))," *No olvide digitar el campo "&amp;M$9&amp;""&amp;". Digite CERO si no tiene.", IF(M51&gt;$B51," * La variable "&amp;M$9&amp;""&amp;" no puede superar el Total Ambos Sexos. ",""))</f>
        <v/>
      </c>
      <c r="CE51" s="405">
        <f>IF(AND($B51&gt;0,OR(N51=""))," *No olvide digitar el campo "&amp;N$9&amp;""&amp;". Digite CERO si no tiene.", IF(N51&gt;$B51," * La variable "&amp;N$9&amp;""&amp;" no puede superar el Total Ambos Sexos. ",""))</f>
        <v/>
      </c>
      <c r="CF51" s="405">
        <f>IF(AND($B51&gt;0,OR(O51=""))," *No olvide digitar el campo "&amp;O$9&amp;""&amp;". Digite CERO si no tiene.", IF(O51&gt;$B51," * La variable "&amp;O$9&amp;""&amp;" no puede superar el Total Ambos Sexos. ",""))</f>
        <v/>
      </c>
      <c r="CG51" s="405">
        <f>IF(AND($B51&gt;0,OR(P51=""))," *No olvide digitar el campo "&amp;P$9&amp;""&amp;". Digite CERO si no tiene.", IF(P51&gt;$B51," * La variable "&amp;P$9&amp;""&amp;" no puede superar el Total Ambos Sexos. ",""))</f>
        <v/>
      </c>
      <c r="CH51" s="405">
        <f>IF(AND($B51&gt;0,OR(Q51=""))," *No olvide digitar el campo "&amp;Q$9&amp;""&amp;". Niños, niñas y adolescentes. Digite CERO si no tiene.", IF(Q51&gt;$B51," * La variable "&amp;Q$9&amp;""&amp;" no puede superar el Total Ambos Sexos. ",""))</f>
        <v/>
      </c>
      <c r="CI51" s="405">
        <f>IF(AND($D51&gt;0,OR(R51=""))," *No olvide digitar el campo "&amp;Q$9&amp;""&amp;" Gestantes. Digite CERO si no tiene.", IF(R51&gt;$D51," * La variable "&amp;Q$9&amp;""&amp;" no puede superar el Total Mujeres. ",""))</f>
        <v/>
      </c>
      <c r="CM51" s="197">
        <f>IF(AND(D51&gt;0,OR(J51="")),1,IF(J51&gt;D51,1,0))</f>
        <v/>
      </c>
      <c r="CN51" s="197">
        <f>IF(AND(C51&gt;0,OR(K51="")),1,IF(K51&gt;C51,1,0))</f>
        <v/>
      </c>
      <c r="CO51" s="197">
        <f>IF(AND($B51&gt;0,OR(L51="")),1,IF(L51&gt;$B51,1,0))</f>
        <v/>
      </c>
      <c r="CP51" s="197">
        <f>IF(AND($B51&gt;0,OR(M51="")),1,IF(M51&gt;$B51,1,0))</f>
        <v/>
      </c>
      <c r="CQ51" s="197">
        <f>IF(AND($B51&gt;0,OR(N51="")),1,IF(N51&gt;$B51,1,0))</f>
        <v/>
      </c>
      <c r="CR51" s="197">
        <f>IF(AND($B51&gt;0,OR(O51="")),1,IF(O51&gt;$B51,1,0))</f>
        <v/>
      </c>
      <c r="CS51" s="197">
        <f>IF(AND($B51&gt;0,OR(P51="")),1,IF(P51&gt;$B51,1,0))</f>
        <v/>
      </c>
      <c r="CT51" s="221">
        <f>IF(AND($B51&gt;0,OR(Q51="")),1,IF(Q51&gt;$B51,1,0))</f>
        <v/>
      </c>
      <c r="CU51" s="221">
        <f>IF(AND($D51&gt;0,OR(R51="")),1,IF(R51&gt;$D51,1,0))</f>
        <v/>
      </c>
    </row>
    <row r="52">
      <c r="A52" s="8524" t="inlineStr">
        <is>
          <t>TOTAL CONSULTAS, FELICITACIONES O SUGERENCIAS</t>
        </is>
      </c>
      <c r="B52" s="3349">
        <f>SUM(B53:B57)</f>
        <v/>
      </c>
      <c r="C52" s="3349">
        <f>SUM(C53:C57)</f>
        <v/>
      </c>
      <c r="D52" s="3350">
        <f>SUM(D53:D57)</f>
        <v/>
      </c>
      <c r="E52" s="3349" t="n"/>
      <c r="F52" s="3350" t="n"/>
      <c r="G52" s="3358" t="n"/>
      <c r="H52" s="3359" t="n"/>
      <c r="I52" s="3353" t="n"/>
      <c r="J52" s="3351">
        <f>SUM(J53:J57)</f>
        <v/>
      </c>
      <c r="K52" s="3358">
        <f>SUM(K53:K57)</f>
        <v/>
      </c>
      <c r="L52" s="3360">
        <f>SUM(L53:L57)</f>
        <v/>
      </c>
      <c r="M52" s="5439">
        <f>SUM(M53:M57)</f>
        <v/>
      </c>
      <c r="N52" s="5440">
        <f>SUM(N53:N57)</f>
        <v/>
      </c>
      <c r="O52" s="5440">
        <f>SUM(O53:O57)</f>
        <v/>
      </c>
      <c r="P52" s="5441">
        <f>SUM(P53:P57)</f>
        <v/>
      </c>
      <c r="Q52" s="3360">
        <f>SUM(Q53:Q57)</f>
        <v/>
      </c>
      <c r="R52" s="3350">
        <f>SUM(R53:R57)</f>
        <v/>
      </c>
      <c r="S52" s="226" t="n"/>
      <c r="CA52" s="406" t="n"/>
      <c r="CB52" s="406" t="n"/>
      <c r="CC52" s="406" t="n"/>
      <c r="CD52" s="406" t="n"/>
      <c r="CE52" s="406" t="n"/>
      <c r="CF52" s="406" t="n"/>
      <c r="CG52" s="406" t="n"/>
      <c r="CH52" s="406" t="n"/>
      <c r="CI52" s="406" t="n"/>
      <c r="CM52" s="202" t="n"/>
      <c r="CN52" s="202" t="n"/>
      <c r="CO52" s="202" t="n"/>
      <c r="CP52" s="202" t="n"/>
      <c r="CQ52" s="202" t="n"/>
      <c r="CR52" s="202" t="n"/>
      <c r="CS52" s="202" t="n"/>
      <c r="CT52" s="252" t="n"/>
      <c r="CU52" s="252" t="n"/>
    </row>
    <row r="53">
      <c r="A53" s="1930" t="inlineStr">
        <is>
          <t>Consultas</t>
        </is>
      </c>
      <c r="B53" s="3355">
        <f>SUM(C53:D53)</f>
        <v/>
      </c>
      <c r="C53" s="1971" t="n">
        <v>5432</v>
      </c>
      <c r="D53" s="1122" t="n">
        <v>8632</v>
      </c>
      <c r="E53" s="3096" t="n"/>
      <c r="F53" s="749" t="n"/>
      <c r="G53" s="1196" t="n"/>
      <c r="H53" s="748" t="n"/>
      <c r="I53" s="789" t="n"/>
      <c r="J53" s="3156" t="n"/>
      <c r="K53" s="1122" t="n"/>
      <c r="L53" s="1971" t="n"/>
      <c r="M53" s="2660" t="n"/>
      <c r="N53" s="3227" t="n"/>
      <c r="O53" s="3227" t="n"/>
      <c r="P53" s="1122" t="n"/>
      <c r="Q53" s="1452" t="n"/>
      <c r="R53" s="750" t="n"/>
      <c r="S53" s="226">
        <f>CA53&amp;CB53&amp;CC53&amp;CD53&amp;CE53&amp;CF53&amp;CG53&amp;CH53&amp;CI53</f>
        <v/>
      </c>
      <c r="CA53" s="405">
        <f>IF(AND(D53&gt;0,J53=""),"*No olvide digitar el campo TRANS Masculino (Digite CERO si no tiene).", IF(J53&gt;D53," * El Número de TRANS Masculino no puede superar el Total Mujeres. ",""))</f>
        <v/>
      </c>
      <c r="CB53" s="405">
        <f>IF(AND(C53&gt;0,OR(K53=""))," *No olvide digitar el campo TRANS Femenino (Digite CERO si no tiene).",IF(K53&gt;$C53," * El Número de TRANS Femenino no puede superar el Total Hombres. ",""))</f>
        <v/>
      </c>
      <c r="CC53" s="405">
        <f>IF(AND($B53&gt;0,OR(L53=""))," *No olvide digitar el campo "&amp;L$9&amp;""&amp;". Digite CERO si no tiene.", IF(L53&gt;$B53," * La variable "&amp;L$9&amp;""&amp;" no puede superar el Total Ambos Sexos. ",""))</f>
        <v/>
      </c>
      <c r="CD53" s="405">
        <f>IF(AND($B53&gt;0,OR(M53=""))," *No olvide digitar el campo "&amp;M$9&amp;""&amp;". Digite CERO si no tiene.", IF(M53&gt;$B53," * La variable "&amp;M$9&amp;""&amp;" no puede superar el Total Ambos Sexos. ",""))</f>
        <v/>
      </c>
      <c r="CE53" s="405">
        <f>IF(AND($B53&gt;0,OR(N53=""))," *No olvide digitar el campo "&amp;N$9&amp;""&amp;". Digite CERO si no tiene.", IF(N53&gt;$B53," * La variable "&amp;N$9&amp;""&amp;" no puede superar el Total Ambos Sexos. ",""))</f>
        <v/>
      </c>
      <c r="CF53" s="405">
        <f>IF(AND($B53&gt;0,OR(O53=""))," *No olvide digitar el campo "&amp;O$9&amp;""&amp;". Digite CERO si no tiene.", IF(O53&gt;$B53," * La variable "&amp;O$9&amp;""&amp;" no puede superar el Total Ambos Sexos. ",""))</f>
        <v/>
      </c>
      <c r="CG53" s="405">
        <f>IF(AND($B53&gt;0,OR(P53=""))," *No olvide digitar el campo "&amp;P$9&amp;""&amp;". Digite CERO si no tiene.", IF(P53&gt;$B53," * La variable "&amp;P$9&amp;""&amp;" no puede superar el Total Ambos Sexos. ",""))</f>
        <v/>
      </c>
      <c r="CH53" s="405">
        <f>IF(AND($B53&gt;0,OR(Q53=""))," *No olvide digitar el campo "&amp;Q$9&amp;""&amp;". Niños, niñas y adolescentes. Digite CERO si no tiene.", IF(Q53&gt;$B53," * La variable "&amp;Q$9&amp;""&amp;" no puede superar el Total Ambos Sexos. ",""))</f>
        <v/>
      </c>
      <c r="CI53" s="405">
        <f>IF(AND($D53&gt;0,OR(R53=""))," *No olvide digitar el campo "&amp;Q$9&amp;""&amp;" Gestantes. Digite CERO si no tiene.", IF(R53&gt;$D53," * La variable "&amp;Q$9&amp;""&amp;" no puede superar el Total Mujeres. ",""))</f>
        <v/>
      </c>
      <c r="CM53" s="197">
        <f>IF(AND(D53&gt;0,OR(J53="")),1,IF(J53&gt;D53,1,0))</f>
        <v/>
      </c>
      <c r="CN53" s="197">
        <f>IF(AND(C53&gt;0,OR(K53="")),1,IF(K53&gt;C53,1,0))</f>
        <v/>
      </c>
      <c r="CO53" s="197">
        <f>IF(AND($B53&gt;0,OR(L53="")),1,IF(L53&gt;$B53,1,0))</f>
        <v/>
      </c>
      <c r="CP53" s="197">
        <f>IF(AND($B53&gt;0,OR(M53="")),1,IF(M53&gt;$B53,1,0))</f>
        <v/>
      </c>
      <c r="CQ53" s="197">
        <f>IF(AND($B53&gt;0,OR(N53="")),1,IF(N53&gt;$B53,1,0))</f>
        <v/>
      </c>
      <c r="CR53" s="197">
        <f>IF(AND($B53&gt;0,OR(O53="")),1,IF(O53&gt;$B53,1,0))</f>
        <v/>
      </c>
      <c r="CS53" s="197">
        <f>IF(AND($B53&gt;0,OR(P53="")),1,IF(P53&gt;$B53,1,0))</f>
        <v/>
      </c>
      <c r="CT53" s="221">
        <f>IF(AND($B53&gt;0,OR(Q53="")),1,IF(Q53&gt;$B53,1,0))</f>
        <v/>
      </c>
      <c r="CU53" s="221">
        <f>IF(AND($D53&gt;0,OR(R53="")),1,IF(R53&gt;$D53,1,0))</f>
        <v/>
      </c>
    </row>
    <row r="54">
      <c r="A54" s="3345" t="inlineStr">
        <is>
          <t>Sugerencias</t>
        </is>
      </c>
      <c r="B54" s="3356">
        <f>SUM(C54:D54)</f>
        <v/>
      </c>
      <c r="C54" s="1971" t="n">
        <v>0</v>
      </c>
      <c r="D54" s="878" t="n">
        <v>0</v>
      </c>
      <c r="E54" s="1133" t="n"/>
      <c r="F54" s="883" t="n"/>
      <c r="G54" s="1134" t="n"/>
      <c r="H54" s="1081" t="n"/>
      <c r="I54" s="884" t="n"/>
      <c r="J54" s="881" t="n"/>
      <c r="K54" s="1125" t="n"/>
      <c r="L54" s="3108" t="n"/>
      <c r="M54" s="3659" t="n"/>
      <c r="N54" s="4008" t="n"/>
      <c r="O54" s="4008" t="n"/>
      <c r="P54" s="3656" t="n"/>
      <c r="Q54" s="3100" t="n"/>
      <c r="R54" s="878" t="n"/>
      <c r="S54" s="226">
        <f>CA54&amp;CB54&amp;CC54&amp;CD54&amp;CE54&amp;CF54&amp;CG54&amp;CH54&amp;CI54</f>
        <v/>
      </c>
      <c r="CA54" s="405">
        <f>IF(AND(D54&gt;0,J54=""),"*No olvide digitar el campo TRANS Masculino (Digite CERO si no tiene).", IF(J54&gt;D54," * El Número de TRANS Masculino no puede superar el Total Mujeres. ",""))</f>
        <v/>
      </c>
      <c r="CB54" s="405">
        <f>IF(AND(C54&gt;0,OR(K54=""))," *No olvide digitar el campo TRANS Femenino (Digite CERO si no tiene).",IF(K54&gt;$C54," * El Número de TRANS Femenino no puede superar el Total Hombres. ",""))</f>
        <v/>
      </c>
      <c r="CC54" s="405">
        <f>IF(AND($B54&gt;0,OR(L54=""))," *No olvide digitar el campo "&amp;L$9&amp;""&amp;". Digite CERO si no tiene.", IF(L54&gt;$B54," * La variable "&amp;L$9&amp;""&amp;" no puede superar el Total Ambos Sexos. ",""))</f>
        <v/>
      </c>
      <c r="CD54" s="405">
        <f>IF(AND($B54&gt;0,OR(M54=""))," *No olvide digitar el campo "&amp;M$9&amp;""&amp;". Digite CERO si no tiene.", IF(M54&gt;$B54," * La variable "&amp;M$9&amp;""&amp;" no puede superar el Total Ambos Sexos. ",""))</f>
        <v/>
      </c>
      <c r="CE54" s="405">
        <f>IF(AND($B54&gt;0,OR(N54=""))," *No olvide digitar el campo "&amp;N$9&amp;""&amp;". Digite CERO si no tiene.", IF(N54&gt;$B54," * La variable "&amp;N$9&amp;""&amp;" no puede superar el Total Ambos Sexos. ",""))</f>
        <v/>
      </c>
      <c r="CF54" s="405">
        <f>IF(AND($B54&gt;0,OR(O54=""))," *No olvide digitar el campo "&amp;O$9&amp;""&amp;". Digite CERO si no tiene.", IF(O54&gt;$B54," * La variable "&amp;O$9&amp;""&amp;" no puede superar el Total Ambos Sexos. ",""))</f>
        <v/>
      </c>
      <c r="CG54" s="405">
        <f>IF(AND($B54&gt;0,OR(P54=""))," *No olvide digitar el campo "&amp;P$9&amp;""&amp;". Digite CERO si no tiene.", IF(P54&gt;$B54," * La variable "&amp;P$9&amp;""&amp;" no puede superar el Total Ambos Sexos. ",""))</f>
        <v/>
      </c>
      <c r="CH54" s="405">
        <f>IF(AND($B54&gt;0,OR(Q54=""))," *No olvide digitar el campo "&amp;Q$9&amp;""&amp;". Niños, niñas y adolescentes. Digite CERO si no tiene.", IF(Q54&gt;$B54," * La variable "&amp;Q$9&amp;""&amp;" no puede superar el Total Ambos Sexos. ",""))</f>
        <v/>
      </c>
      <c r="CI54" s="405">
        <f>IF(AND($D54&gt;0,OR(R54=""))," *No olvide digitar el campo "&amp;Q$9&amp;""&amp;" Gestantes. Digite CERO si no tiene.", IF(R54&gt;$D54," * La variable "&amp;Q$9&amp;""&amp;" no puede superar el Total Mujeres. ",""))</f>
        <v/>
      </c>
      <c r="CM54" s="197">
        <f>IF(AND(D54&gt;0,OR(J54="")),1,IF(J54&gt;D54,1,0))</f>
        <v/>
      </c>
      <c r="CN54" s="197">
        <f>IF(AND(C54&gt;0,OR(K54="")),1,IF(K54&gt;C54,1,0))</f>
        <v/>
      </c>
      <c r="CO54" s="197">
        <f>IF(AND($B54&gt;0,OR(L54="")),1,IF(L54&gt;$B54,1,0))</f>
        <v/>
      </c>
      <c r="CP54" s="197">
        <f>IF(AND($B54&gt;0,OR(M54="")),1,IF(M54&gt;$B54,1,0))</f>
        <v/>
      </c>
      <c r="CQ54" s="197">
        <f>IF(AND($B54&gt;0,OR(N54="")),1,IF(N54&gt;$B54,1,0))</f>
        <v/>
      </c>
      <c r="CR54" s="197">
        <f>IF(AND($B54&gt;0,OR(O54="")),1,IF(O54&gt;$B54,1,0))</f>
        <v/>
      </c>
      <c r="CS54" s="197">
        <f>IF(AND($B54&gt;0,OR(P54="")),1,IF(P54&gt;$B54,1,0))</f>
        <v/>
      </c>
      <c r="CT54" s="221">
        <f>IF(AND($B54&gt;0,OR(Q54="")),1,IF(Q54&gt;$B54,1,0))</f>
        <v/>
      </c>
      <c r="CU54" s="221">
        <f>IF(AND($D54&gt;0,OR(R54="")),1,IF(R54&gt;$D54,1,0))</f>
        <v/>
      </c>
    </row>
    <row r="55">
      <c r="A55" s="3345" t="inlineStr">
        <is>
          <t>Felicitaciones</t>
        </is>
      </c>
      <c r="B55" s="3356">
        <f>SUM(C55:D55)</f>
        <v/>
      </c>
      <c r="C55" s="3108" t="n">
        <v>5</v>
      </c>
      <c r="D55" s="878" t="n">
        <v>7</v>
      </c>
      <c r="E55" s="1133" t="n"/>
      <c r="F55" s="883" t="n"/>
      <c r="G55" s="1134" t="n"/>
      <c r="H55" s="1081" t="n"/>
      <c r="I55" s="884" t="n"/>
      <c r="J55" s="881" t="n"/>
      <c r="K55" s="1125" t="n"/>
      <c r="L55" s="3108" t="n"/>
      <c r="M55" s="3659" t="n"/>
      <c r="N55" s="4008" t="n"/>
      <c r="O55" s="4008" t="n"/>
      <c r="P55" s="3656" t="n"/>
      <c r="Q55" s="3100" t="n"/>
      <c r="R55" s="878" t="n"/>
      <c r="S55" s="226">
        <f>CA55&amp;CB55&amp;CC55&amp;CD55&amp;CE55&amp;CF55&amp;CG55&amp;CH55&amp;CI55</f>
        <v/>
      </c>
      <c r="CA55" s="405">
        <f>IF(AND(D55&gt;0,J55=""),"*No olvide digitar el campo TRANS Masculino (Digite CERO si no tiene).", IF(J55&gt;D55," * El Número de TRANS Masculino no puede superar el Total Mujeres. ",""))</f>
        <v/>
      </c>
      <c r="CB55" s="405">
        <f>IF(AND(C55&gt;0,OR(K55=""))," *No olvide digitar el campo TRANS Femenino (Digite CERO si no tiene).",IF(K55&gt;$C55," * El Número de TRANS Femenino no puede superar el Total Hombres. ",""))</f>
        <v/>
      </c>
      <c r="CC55" s="405">
        <f>IF(AND($B55&gt;0,OR(L55=""))," *No olvide digitar el campo "&amp;L$9&amp;""&amp;". Digite CERO si no tiene.", IF(L55&gt;$B55," * La variable "&amp;L$9&amp;""&amp;" no puede superar el Total Ambos Sexos. ",""))</f>
        <v/>
      </c>
      <c r="CD55" s="405">
        <f>IF(AND($B55&gt;0,OR(M55=""))," *No olvide digitar el campo "&amp;M$9&amp;""&amp;". Digite CERO si no tiene.", IF(M55&gt;$B55," * La variable "&amp;M$9&amp;""&amp;" no puede superar el Total Ambos Sexos. ",""))</f>
        <v/>
      </c>
      <c r="CE55" s="405">
        <f>IF(AND($B55&gt;0,OR(N55=""))," *No olvide digitar el campo "&amp;N$9&amp;""&amp;". Digite CERO si no tiene.", IF(N55&gt;$B55," * La variable "&amp;N$9&amp;""&amp;" no puede superar el Total Ambos Sexos. ",""))</f>
        <v/>
      </c>
      <c r="CF55" s="405">
        <f>IF(AND($B55&gt;0,OR(O55=""))," *No olvide digitar el campo "&amp;O$9&amp;""&amp;". Digite CERO si no tiene.", IF(O55&gt;$B55," * La variable "&amp;O$9&amp;""&amp;" no puede superar el Total Ambos Sexos. ",""))</f>
        <v/>
      </c>
      <c r="CG55" s="405">
        <f>IF(AND($B55&gt;0,OR(P55=""))," *No olvide digitar el campo "&amp;P$9&amp;""&amp;". Digite CERO si no tiene.", IF(P55&gt;$B55," * La variable "&amp;P$9&amp;""&amp;" no puede superar el Total Ambos Sexos. ",""))</f>
        <v/>
      </c>
      <c r="CH55" s="405">
        <f>IF(AND($B55&gt;0,OR(Q55=""))," *No olvide digitar el campo "&amp;Q$9&amp;""&amp;". Niños, niñas y adolescentes. Digite CERO si no tiene.", IF(Q55&gt;$B55," * La variable "&amp;Q$9&amp;""&amp;" no puede superar el Total Ambos Sexos. ",""))</f>
        <v/>
      </c>
      <c r="CI55" s="405">
        <f>IF(AND($D55&gt;0,OR(R55=""))," *No olvide digitar el campo "&amp;Q$9&amp;""&amp;" Gestantes. Digite CERO si no tiene.", IF(R55&gt;$D55," * La variable "&amp;Q$9&amp;""&amp;" no puede superar el Total Mujeres. ",""))</f>
        <v/>
      </c>
      <c r="CM55" s="197">
        <f>IF(AND(D55&gt;0,OR(J55="")),1,IF(J55&gt;D55,1,0))</f>
        <v/>
      </c>
      <c r="CN55" s="197">
        <f>IF(AND(C55&gt;0,OR(K55="")),1,IF(K55&gt;C55,1,0))</f>
        <v/>
      </c>
      <c r="CO55" s="197">
        <f>IF(AND($B55&gt;0,OR(L55="")),1,IF(L55&gt;$B55,1,0))</f>
        <v/>
      </c>
      <c r="CP55" s="197">
        <f>IF(AND($B55&gt;0,OR(M55="")),1,IF(M55&gt;$B55,1,0))</f>
        <v/>
      </c>
      <c r="CQ55" s="197">
        <f>IF(AND($B55&gt;0,OR(N55="")),1,IF(N55&gt;$B55,1,0))</f>
        <v/>
      </c>
      <c r="CR55" s="197">
        <f>IF(AND($B55&gt;0,OR(O55="")),1,IF(O55&gt;$B55,1,0))</f>
        <v/>
      </c>
      <c r="CS55" s="197">
        <f>IF(AND($B55&gt;0,OR(P55="")),1,IF(P55&gt;$B55,1,0))</f>
        <v/>
      </c>
      <c r="CT55" s="221">
        <f>IF(AND($B55&gt;0,OR(Q55="")),1,IF(Q55&gt;$B55,1,0))</f>
        <v/>
      </c>
      <c r="CU55" s="221">
        <f>IF(AND($D55&gt;0,OR(R55="")),1,IF(R55&gt;$D55,1,0))</f>
        <v/>
      </c>
    </row>
    <row r="56">
      <c r="A56" s="3345" t="inlineStr">
        <is>
          <t>Solicitudes</t>
        </is>
      </c>
      <c r="B56" s="3356">
        <f>SUM(C56:D56)</f>
        <v/>
      </c>
      <c r="C56" s="3108" t="n">
        <v>0</v>
      </c>
      <c r="D56" s="878" t="n">
        <v>6</v>
      </c>
      <c r="E56" s="3096" t="n"/>
      <c r="F56" s="749" t="n"/>
      <c r="G56" s="1196" t="n"/>
      <c r="H56" s="748" t="n"/>
      <c r="I56" s="789" t="n"/>
      <c r="J56" s="881" t="n"/>
      <c r="K56" s="1125" t="n"/>
      <c r="L56" s="3108" t="n"/>
      <c r="M56" s="3659" t="n"/>
      <c r="N56" s="4008" t="n"/>
      <c r="O56" s="4008" t="n"/>
      <c r="P56" s="3656" t="n"/>
      <c r="Q56" s="3100" t="n"/>
      <c r="R56" s="878" t="n"/>
      <c r="S56" s="226">
        <f>CA56&amp;CB56&amp;CC56&amp;CD56&amp;CE56&amp;CF56&amp;CG56&amp;CH56&amp;CI56</f>
        <v/>
      </c>
      <c r="CA56" s="405">
        <f>IF(AND(D56&gt;0,J56=""),"*No olvide digitar el campo TRANS Masculino (Digite CERO si no tiene).", IF(J56&gt;D56," * El Número de TRANS Masculino no puede superar el Total Mujeres. ",""))</f>
        <v/>
      </c>
      <c r="CB56" s="405">
        <f>IF(AND(C56&gt;0,OR(K56=""))," *No olvide digitar el campo TRANS Femenino (Digite CERO si no tiene).",IF(K56&gt;$C56," * El Número de TRANS Femenino no puede superar el Total Hombres. ",""))</f>
        <v/>
      </c>
      <c r="CC56" s="405">
        <f>IF(AND($B56&gt;0,OR(L56=""))," *No olvide digitar el campo "&amp;L$9&amp;""&amp;". Digite CERO si no tiene.", IF(L56&gt;$B56," * La variable "&amp;L$9&amp;""&amp;" no puede superar el Total Ambos Sexos. ",""))</f>
        <v/>
      </c>
      <c r="CD56" s="405">
        <f>IF(AND($B56&gt;0,OR(M56=""))," *No olvide digitar el campo "&amp;M$9&amp;""&amp;". Digite CERO si no tiene.", IF(M56&gt;$B56," * La variable "&amp;M$9&amp;""&amp;" no puede superar el Total Ambos Sexos. ",""))</f>
        <v/>
      </c>
      <c r="CE56" s="405">
        <f>IF(AND($B56&gt;0,OR(N56=""))," *No olvide digitar el campo "&amp;N$9&amp;""&amp;". Digite CERO si no tiene.", IF(N56&gt;$B56," * La variable "&amp;N$9&amp;""&amp;" no puede superar el Total Ambos Sexos. ",""))</f>
        <v/>
      </c>
      <c r="CF56" s="405">
        <f>IF(AND($B56&gt;0,OR(O56=""))," *No olvide digitar el campo "&amp;O$9&amp;""&amp;". Digite CERO si no tiene.", IF(O56&gt;$B56," * La variable "&amp;O$9&amp;""&amp;" no puede superar el Total Ambos Sexos. ",""))</f>
        <v/>
      </c>
      <c r="CG56" s="405">
        <f>IF(AND($B56&gt;0,OR(P56=""))," *No olvide digitar el campo "&amp;P$9&amp;""&amp;". Digite CERO si no tiene.", IF(P56&gt;$B56," * La variable "&amp;P$9&amp;""&amp;" no puede superar el Total Ambos Sexos. ",""))</f>
        <v/>
      </c>
      <c r="CH56" s="405">
        <f>IF(AND($B56&gt;0,OR(Q56=""))," *No olvide digitar el campo "&amp;Q$9&amp;""&amp;". Niños, niñas y adolescentes. Digite CERO si no tiene.", IF(Q56&gt;$B56," * La variable "&amp;Q$9&amp;""&amp;" no puede superar el Total Ambos Sexos. ",""))</f>
        <v/>
      </c>
      <c r="CI56" s="405">
        <f>IF(AND($D56&gt;0,OR(R56=""))," *No olvide digitar el campo "&amp;Q$9&amp;""&amp;" Gestantes. Digite CERO si no tiene.", IF(R56&gt;$D56," * La variable "&amp;Q$9&amp;""&amp;" no puede superar el Total Mujeres. ",""))</f>
        <v/>
      </c>
      <c r="CM56" s="197">
        <f>IF(AND(D56&gt;0,OR(J56="")),1,IF(J56&gt;D56,1,0))</f>
        <v/>
      </c>
      <c r="CN56" s="197">
        <f>IF(AND(C56&gt;0,OR(K56="")),1,IF(K56&gt;C56,1,0))</f>
        <v/>
      </c>
      <c r="CO56" s="197">
        <f>IF(AND($B56&gt;0,OR(L56="")),1,IF(L56&gt;$B56,1,0))</f>
        <v/>
      </c>
      <c r="CP56" s="197">
        <f>IF(AND($B56&gt;0,OR(M56="")),1,IF(M56&gt;$B56,1,0))</f>
        <v/>
      </c>
      <c r="CQ56" s="197">
        <f>IF(AND($B56&gt;0,OR(N56="")),1,IF(N56&gt;$B56,1,0))</f>
        <v/>
      </c>
      <c r="CR56" s="197">
        <f>IF(AND($B56&gt;0,OR(O56="")),1,IF(O56&gt;$B56,1,0))</f>
        <v/>
      </c>
      <c r="CS56" s="197">
        <f>IF(AND($B56&gt;0,OR(P56="")),1,IF(P56&gt;$B56,1,0))</f>
        <v/>
      </c>
      <c r="CT56" s="221">
        <f>IF(AND($B56&gt;0,OR(Q56="")),1,IF(Q56&gt;$B56,1,0))</f>
        <v/>
      </c>
      <c r="CU56" s="221">
        <f>IF(AND($D56&gt;0,OR(R56="")),1,IF(R56&gt;$D56,1,0))</f>
        <v/>
      </c>
    </row>
    <row r="57">
      <c r="A57" s="8359" t="inlineStr">
        <is>
          <t>Solicitudes Ley 20.285 (Ley de Transparencia)</t>
        </is>
      </c>
      <c r="B57" s="3341">
        <f>SUM(C57:D57)</f>
        <v/>
      </c>
      <c r="C57" s="1137" t="n">
        <v>0</v>
      </c>
      <c r="D57" s="1139" t="n">
        <v>6</v>
      </c>
      <c r="E57" s="1154" t="n"/>
      <c r="F57" s="1155" t="n"/>
      <c r="G57" s="1467" t="n"/>
      <c r="H57" s="1456" t="n"/>
      <c r="I57" s="1457" t="n"/>
      <c r="J57" s="1152" t="n"/>
      <c r="K57" s="1138" t="n"/>
      <c r="L57" s="1137" t="n"/>
      <c r="M57" s="3681" t="n"/>
      <c r="N57" s="1299" t="n"/>
      <c r="O57" s="1299" t="n"/>
      <c r="P57" s="1138" t="n"/>
      <c r="Q57" s="1140" t="n"/>
      <c r="R57" s="1139" t="n"/>
      <c r="S57" s="226">
        <f>CA57&amp;CB57&amp;CC57&amp;CD57&amp;CE57&amp;CF57&amp;CG57&amp;CH57&amp;CI57</f>
        <v/>
      </c>
      <c r="CA57" s="405">
        <f>IF(AND(D57&gt;0,J57=""),"*No olvide digitar el campo TRANS Masculino (Digite CERO si no tiene).", IF(J57&gt;D57," * El Número de TRANS Masculino no puede superar el Total Mujeres. ",""))</f>
        <v/>
      </c>
      <c r="CB57" s="405">
        <f>IF(AND(C57&gt;0,OR(K57=""))," *No olvide digitar el campo TRANS Femenino (Digite CERO si no tiene).",IF(K57&gt;$C57," * El Número de TRANS Femenino no puede superar el Total Hombres. ",""))</f>
        <v/>
      </c>
      <c r="CC57" s="405">
        <f>IF(AND($B57&gt;0,OR(L57=""))," *No olvide digitar el campo "&amp;L$9&amp;""&amp;". Digite CERO si no tiene.", IF(L57&gt;$B57," * La variable "&amp;L$9&amp;""&amp;" no puede superar el Total Ambos Sexos. ",""))</f>
        <v/>
      </c>
      <c r="CD57" s="405">
        <f>IF(AND($B57&gt;0,OR(M57=""))," *No olvide digitar el campo "&amp;M$9&amp;""&amp;". Digite CERO si no tiene.", IF(M57&gt;$B57," * La variable "&amp;M$9&amp;""&amp;" no puede superar el Total Ambos Sexos. ",""))</f>
        <v/>
      </c>
      <c r="CE57" s="405">
        <f>IF(AND($B57&gt;0,OR(N57=""))," *No olvide digitar el campo "&amp;N$9&amp;""&amp;". Digite CERO si no tiene.", IF(N57&gt;$B57," * La variable "&amp;N$9&amp;""&amp;" no puede superar el Total Ambos Sexos. ",""))</f>
        <v/>
      </c>
      <c r="CF57" s="405">
        <f>IF(AND($B57&gt;0,OR(O57=""))," *No olvide digitar el campo "&amp;O$9&amp;""&amp;". Digite CERO si no tiene.", IF(O57&gt;$B57," * La variable "&amp;O$9&amp;""&amp;" no puede superar el Total Ambos Sexos. ",""))</f>
        <v/>
      </c>
      <c r="CG57" s="405">
        <f>IF(AND($B57&gt;0,OR(P57=""))," *No olvide digitar el campo "&amp;P$9&amp;""&amp;". Digite CERO si no tiene.", IF(P57&gt;$B57," * La variable "&amp;P$9&amp;""&amp;" no puede superar el Total Ambos Sexos. ",""))</f>
        <v/>
      </c>
      <c r="CH57" s="405">
        <f>IF(AND($B57&gt;0,OR(Q57=""))," *No olvide digitar el campo "&amp;Q$9&amp;""&amp;". Niños, niñas y adolescentes. Digite CERO si no tiene.", IF(Q57&gt;$B57," * La variable "&amp;Q$9&amp;""&amp;" no puede superar el Total Ambos Sexos. ",""))</f>
        <v/>
      </c>
      <c r="CI57" s="405">
        <f>IF(AND($D57&gt;0,OR(R57=""))," *No olvide digitar el campo "&amp;Q$9&amp;""&amp;" Gestantes. Digite CERO si no tiene.", IF(R57&gt;$D57," * La variable "&amp;Q$9&amp;""&amp;" no puede superar el Total Mujeres. ",""))</f>
        <v/>
      </c>
      <c r="CM57" s="197">
        <f>IF(AND(D57&gt;0,OR(J57="")),1,IF(J57&gt;D57,1,0))</f>
        <v/>
      </c>
      <c r="CN57" s="197">
        <f>IF(AND(C57&gt;0,OR(K57="")),1,IF(K57&gt;C57,1,0))</f>
        <v/>
      </c>
      <c r="CO57" s="197">
        <f>IF(AND($B57&gt;0,OR(L57="")),1,IF(L57&gt;$B57,1,0))</f>
        <v/>
      </c>
      <c r="CP57" s="197">
        <f>IF(AND($B57&gt;0,OR(M57="")),1,IF(M57&gt;$B57,1,0))</f>
        <v/>
      </c>
      <c r="CQ57" s="197">
        <f>IF(AND($B57&gt;0,OR(N57="")),1,IF(N57&gt;$B57,1,0))</f>
        <v/>
      </c>
      <c r="CR57" s="197">
        <f>IF(AND($B57&gt;0,OR(O57="")),1,IF(O57&gt;$B57,1,0))</f>
        <v/>
      </c>
      <c r="CS57" s="197">
        <f>IF(AND($B57&gt;0,OR(P57="")),1,IF(P57&gt;$B57,1,0))</f>
        <v/>
      </c>
      <c r="CT57" s="221">
        <f>IF(AND($B57&gt;0,OR(Q57="")),1,IF(Q57&gt;$B57,1,0))</f>
        <v/>
      </c>
      <c r="CU57" s="221">
        <f>IF(AND($D57&gt;0,OR(R57="")),1,IF(R57&gt;$D57,1,0))</f>
        <v/>
      </c>
    </row>
    <row r="58" ht="18" customHeight="1" s="8286">
      <c r="A58" s="8616" t="inlineStr">
        <is>
          <t xml:space="preserve">SECCIÓN B: ACTIVIDADES DE PARTICIPACIÓN SOCIAL </t>
        </is>
      </c>
    </row>
    <row r="59" ht="18" customHeight="1" s="8286">
      <c r="A59" s="1" t="inlineStr">
        <is>
          <t xml:space="preserve">SECCIÓN B.1: ACTIVIDADES SEGÚN INSTANCIAS DE PARTICIPACIÓN SOCIAL </t>
        </is>
      </c>
      <c r="B59" s="1" t="n"/>
      <c r="C59" s="1" t="n"/>
      <c r="D59" s="1" t="n"/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</row>
    <row r="60" ht="15" customHeight="1" s="8286">
      <c r="A60" s="9690" t="inlineStr">
        <is>
          <t>TIPO DE ACTIVIDADES</t>
        </is>
      </c>
      <c r="B60" s="9690" t="inlineStr">
        <is>
          <t>TOTAL</t>
        </is>
      </c>
      <c r="C60" s="9976" t="inlineStr">
        <is>
          <t>INSTANCIAS DE PARTICIPACIÓN SOCIAL</t>
        </is>
      </c>
      <c r="D60" s="9584" t="n"/>
      <c r="E60" s="9584" t="n"/>
      <c r="F60" s="9584" t="n"/>
      <c r="G60" s="9584" t="n"/>
      <c r="H60" s="9584" t="n"/>
      <c r="I60" s="9584" t="n"/>
      <c r="J60" s="9584" t="n"/>
      <c r="K60" s="9584" t="n"/>
      <c r="L60" s="9595" t="n"/>
      <c r="M60" s="9920" t="inlineStr">
        <is>
          <t>Uso de TICS y/o Redes Sociales</t>
        </is>
      </c>
      <c r="N60" s="10006" t="inlineStr">
        <is>
          <t>PARTICIPANTES</t>
        </is>
      </c>
      <c r="O60" s="9584" t="n"/>
      <c r="P60" s="9584" t="n"/>
      <c r="Q60" s="9584" t="n"/>
      <c r="R60" s="9584" t="n"/>
      <c r="S60" s="9584" t="n"/>
      <c r="T60" s="9584" t="n"/>
      <c r="U60" s="9584" t="n"/>
      <c r="V60" s="9584" t="n"/>
      <c r="W60" s="9584" t="n"/>
      <c r="X60" s="407" t="n"/>
    </row>
    <row r="61" ht="42" customHeight="1" s="8286">
      <c r="A61" s="9589" t="n"/>
      <c r="B61" s="9589" t="n"/>
      <c r="C61" s="7672" t="inlineStr">
        <is>
          <t>Consejos de la Sociedad Civil (COSOC)</t>
        </is>
      </c>
      <c r="D61" s="3089" t="inlineStr">
        <is>
          <t>Instancias de participación de Adolescentes y Jóvenes</t>
        </is>
      </c>
      <c r="E61" s="7672" t="inlineStr">
        <is>
          <t xml:space="preserve">Consejos Consultivos de Usuarios </t>
        </is>
      </c>
      <c r="F61" s="3361" t="inlineStr">
        <is>
          <t>Consejo de Desarrollo Local</t>
        </is>
      </c>
      <c r="G61" s="3089" t="inlineStr">
        <is>
          <t>Consejo de Integración de la Red Asistencial (CIRA)</t>
        </is>
      </c>
      <c r="H61" s="7672" t="inlineStr">
        <is>
          <t>Comités o Mesas de Trabajo</t>
        </is>
      </c>
      <c r="I61" s="3361" t="inlineStr">
        <is>
          <t>Cabildos Ciudadanos Territoriales y Sectoriales</t>
        </is>
      </c>
      <c r="J61" s="3361" t="inlineStr">
        <is>
          <t>Instancias de Participación Indígena en Salud</t>
        </is>
      </c>
      <c r="K61" s="3089" t="inlineStr">
        <is>
          <t>Consejo Interreligioso</t>
        </is>
      </c>
      <c r="L61" s="8519" t="inlineStr">
        <is>
          <t>Otras Instancias de participación</t>
        </is>
      </c>
      <c r="M61" s="9641" t="n"/>
      <c r="N61" s="5421" t="inlineStr">
        <is>
          <t>Total Ambos Sexos</t>
        </is>
      </c>
      <c r="O61" s="3091" t="inlineStr">
        <is>
          <t>Hombres</t>
        </is>
      </c>
      <c r="P61" s="3092" t="inlineStr">
        <is>
          <t>Mujeres</t>
        </is>
      </c>
      <c r="Q61" s="3141" t="inlineStr">
        <is>
          <t>Trans Masculino</t>
        </is>
      </c>
      <c r="R61" s="3089" t="inlineStr">
        <is>
          <t>Trans Femenina</t>
        </is>
      </c>
      <c r="S61" s="3089" t="inlineStr">
        <is>
          <t>No Binarie</t>
        </is>
      </c>
      <c r="T61" s="5442" t="inlineStr">
        <is>
          <t>No revelado</t>
        </is>
      </c>
      <c r="U61" s="5421" t="inlineStr">
        <is>
          <t>Pueblos Originarios</t>
        </is>
      </c>
      <c r="V61" s="5421" t="inlineStr">
        <is>
          <t>Migrantes</t>
        </is>
      </c>
      <c r="W61" s="8525" t="inlineStr">
        <is>
          <t>PRAIS</t>
        </is>
      </c>
      <c r="X61" s="7672" t="n"/>
    </row>
    <row r="62">
      <c r="A62" s="3362" t="inlineStr">
        <is>
          <t>Administración y/o gestión</t>
        </is>
      </c>
      <c r="B62" s="3363">
        <f>SUM(C62:L62)</f>
        <v/>
      </c>
      <c r="C62" s="841" t="n"/>
      <c r="D62" s="841" t="n"/>
      <c r="E62" s="841" t="n"/>
      <c r="F62" s="841" t="n">
        <v>2</v>
      </c>
      <c r="G62" s="3158" t="n"/>
      <c r="H62" s="841" t="n"/>
      <c r="I62" s="841" t="n"/>
      <c r="J62" s="3158" t="n"/>
      <c r="K62" s="841" t="n"/>
      <c r="L62" s="3157" t="n"/>
      <c r="M62" s="3130" t="n"/>
      <c r="N62" s="5445">
        <f>SUM(O62:P62)</f>
        <v/>
      </c>
      <c r="O62" s="3158" t="n"/>
      <c r="P62" s="1465" t="n">
        <v>3</v>
      </c>
      <c r="Q62" s="3156" t="n">
        <v>0</v>
      </c>
      <c r="R62" s="841" t="n">
        <v>0</v>
      </c>
      <c r="S62" s="841" t="n">
        <v>0</v>
      </c>
      <c r="T62" s="5437" t="n">
        <v>0</v>
      </c>
      <c r="U62" s="5286" t="n">
        <v>0</v>
      </c>
      <c r="V62" s="5286" t="n">
        <v>0</v>
      </c>
      <c r="W62" s="3130" t="n">
        <v>0</v>
      </c>
      <c r="X62" s="226">
        <f>CA62&amp;CB62&amp;CC62&amp;CD62&amp;CE62&amp;CF62&amp;CG62</f>
        <v/>
      </c>
      <c r="CA62" s="405">
        <f>IF(AND(P62&gt;0,Q62=""),"*No olvide digitar el campo "&amp;Q$61&amp;""&amp;". Digite CERO si no tiene.", IF(Q62&gt;P62," * El Número de "&amp;Q$61&amp;""&amp;" no puede superar el Total Mujeres. ",""))</f>
        <v/>
      </c>
      <c r="CB62" s="405">
        <f>IF(AND(O62&gt;0,R62=""),"*No olvide digitar el campo "&amp;R$61&amp;""&amp;". Digite CERO si no tiene.", IF(R62&gt;O62," * El Número de "&amp;R$61&amp;""&amp;" no puede superar el Total hOMBRES. ",""))</f>
        <v/>
      </c>
      <c r="CC62" s="405">
        <f>IF(AND($N62&gt;0,S62=""),"*No olvide digitar el campo "&amp;S$61&amp;""&amp;". Digite CERO si no tiene.", IF(S62&gt;$N62," * La variable "&amp;S$61&amp;""&amp;" no puede superar el Total Ambos Sexos. ",""))</f>
        <v/>
      </c>
      <c r="CD62" s="405">
        <f>IF(AND($N62&gt;0,T62=""),"*No olvide digitar el campo "&amp;T$61&amp;""&amp;". Digite CERO si no tiene.", IF(T62&gt;$N62," * La variable "&amp;T$61&amp;""&amp;" no puede superar el Total Ambos Sexos. ",""))</f>
        <v/>
      </c>
      <c r="CE62" s="405">
        <f>IF(AND($N62&gt;0,U62=""),"*No olvide digitar el campo "&amp;U$61&amp;""&amp;". Digite CERO si no tiene.", IF(U62&gt;$N62," * La variable "&amp;U$61&amp;""&amp;" no puede superar el Total Ambos Sexos. ",""))</f>
        <v/>
      </c>
      <c r="CF62" s="405">
        <f>IF(AND($N62&gt;0,V62=""),"*No olvide digitar el campo "&amp;V$61&amp;""&amp;". Digite CERO si no tiene.", IF(V62&gt;$N62," * La variable "&amp;V$61&amp;""&amp;" no puede superar el Total Ambos Sexos. ",""))</f>
        <v/>
      </c>
      <c r="CG62" s="405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/>
      </c>
      <c r="CN62" s="197">
        <f>IF(AND(O62&gt;0,OR(R62="")),1,IF(R62&gt;O62,1,0))</f>
        <v/>
      </c>
      <c r="CO62" s="197">
        <f>IF(AND($N62&gt;0,OR(S62="")),1,IF(S62&gt;$N62,1,0))</f>
        <v/>
      </c>
      <c r="CP62" s="197">
        <f>IF(AND($N62&gt;0,OR(T62="")),1,IF(T62&gt;$N62,1,0))</f>
        <v/>
      </c>
      <c r="CQ62" s="197">
        <f>IF(AND($N62&gt;0,OR(U62="")),1,IF(U62&gt;$N62,1,0))</f>
        <v/>
      </c>
      <c r="CR62" s="197">
        <f>IF(AND($N62&gt;0,OR(V62="")),1,IF(V62&gt;$N62,1,0))</f>
        <v/>
      </c>
      <c r="CS62" s="197">
        <f>IF(AND($N62&gt;0,OR(W62="")),1,IF(W62&gt;$N62,1,0))</f>
        <v/>
      </c>
    </row>
    <row r="63">
      <c r="A63" s="1209" t="inlineStr">
        <is>
          <t>Entrevistas</t>
        </is>
      </c>
      <c r="B63" s="7750">
        <f>SUM(C63:L63)</f>
        <v/>
      </c>
      <c r="C63" s="882" t="n"/>
      <c r="D63" s="882" t="n"/>
      <c r="E63" s="882" t="n"/>
      <c r="F63" s="882" t="n"/>
      <c r="G63" s="3100" t="n"/>
      <c r="H63" s="882" t="n"/>
      <c r="I63" s="882" t="n"/>
      <c r="J63" s="3100" t="n"/>
      <c r="K63" s="882" t="n"/>
      <c r="L63" s="3149" t="n"/>
      <c r="M63" s="1125" t="n"/>
      <c r="N63" s="5446">
        <f>SUM(O63:P63)</f>
        <v/>
      </c>
      <c r="O63" s="3100" t="n"/>
      <c r="P63" s="880" t="n"/>
      <c r="Q63" s="881" t="n">
        <v>0</v>
      </c>
      <c r="R63" s="882" t="n">
        <v>0</v>
      </c>
      <c r="S63" s="882" t="n">
        <v>0</v>
      </c>
      <c r="T63" s="3659" t="n">
        <v>0</v>
      </c>
      <c r="U63" s="4008" t="n">
        <v>0</v>
      </c>
      <c r="V63" s="4008" t="n">
        <v>0</v>
      </c>
      <c r="W63" s="1125" t="n">
        <v>0</v>
      </c>
      <c r="X63" s="226">
        <f>CA63&amp;CB63&amp;CC63&amp;CD63&amp;CE63&amp;CF63&amp;CG63</f>
        <v/>
      </c>
      <c r="CA63" s="405">
        <f>IF(AND(P63&gt;0,Q63=""),"*No olvide digitar el campo "&amp;Q$61&amp;""&amp;". Digite CERO si no tiene.", IF(Q63&gt;P63," * El Número de "&amp;Q$61&amp;""&amp;" no puede superar el Total Mujeres. ",""))</f>
        <v/>
      </c>
      <c r="CB63" s="405">
        <f>IF(AND(O63&gt;0,R63=""),"*No olvide digitar el campo "&amp;R$61&amp;""&amp;". Digite CERO si no tiene.", IF(R63&gt;O63," * El Número de "&amp;R$61&amp;""&amp;" no puede superar el Total hOMBRES. ",""))</f>
        <v/>
      </c>
      <c r="CC63" s="405">
        <f>IF(AND($N63&gt;0,S63=""),"*No olvide digitar el campo "&amp;S$61&amp;""&amp;". Digite CERO si no tiene.", IF(S63&gt;$N63," * La variable "&amp;S$61&amp;""&amp;" no puede superar el Total Ambos Sexos. ",""))</f>
        <v/>
      </c>
      <c r="CD63" s="405">
        <f>IF(AND($N63&gt;0,T63=""),"*No olvide digitar el campo "&amp;T$61&amp;""&amp;". Digite CERO si no tiene.", IF(T63&gt;$N63," * La variable "&amp;T$61&amp;""&amp;" no puede superar el Total Ambos Sexos. ",""))</f>
        <v/>
      </c>
      <c r="CE63" s="405">
        <f>IF(AND($N63&gt;0,U63=""),"*No olvide digitar el campo "&amp;U$61&amp;""&amp;". Digite CERO si no tiene.", IF(U63&gt;$N63," * La variable "&amp;U$61&amp;""&amp;" no puede superar el Total Ambos Sexos. ",""))</f>
        <v/>
      </c>
      <c r="CF63" s="405">
        <f>IF(AND($N63&gt;0,V63=""),"*No olvide digitar el campo "&amp;V$61&amp;""&amp;". Digite CERO si no tiene.", IF(V63&gt;$N63," * La variable "&amp;V$61&amp;""&amp;" no puede superar el Total Ambos Sexos. ",""))</f>
        <v/>
      </c>
      <c r="CG63" s="405">
        <f>IF(AND($N63&gt;0,W63=""),"*No olvide digitar el campo "&amp;W$61&amp;""&amp;". Digite CERO si no tiene.", IF(W63&gt;$N63," * La variable "&amp;W$61&amp;""&amp;" no puede superar el Total Ambos Sexos. ",""))</f>
        <v/>
      </c>
      <c r="CM63" s="197">
        <f>IF(AND(P63&gt;0,OR(Q63="")),1,IF(Q63&gt;P63,1,0))</f>
        <v/>
      </c>
      <c r="CN63" s="197">
        <f>IF(AND(O63&gt;0,OR(R63="")),1,IF(R63&gt;O63,1,0))</f>
        <v/>
      </c>
      <c r="CO63" s="197">
        <f>IF(AND($N63&gt;0,OR(S63="")),1,IF(S63&gt;$N63,1,0))</f>
        <v/>
      </c>
      <c r="CP63" s="197">
        <f>IF(AND($N63&gt;0,OR(T63="")),1,IF(T63&gt;$N63,1,0))</f>
        <v/>
      </c>
      <c r="CQ63" s="197">
        <f>IF(AND($N63&gt;0,OR(U63="")),1,IF(U63&gt;$N63,1,0))</f>
        <v/>
      </c>
      <c r="CR63" s="197">
        <f>IF(AND($N63&gt;0,OR(V63="")),1,IF(V63&gt;$N63,1,0))</f>
        <v/>
      </c>
      <c r="CS63" s="197">
        <f>IF(AND($N63&gt;0,OR(W63="")),1,IF(W63&gt;$N63,1,0))</f>
        <v/>
      </c>
    </row>
    <row r="64">
      <c r="A64" s="1209" t="inlineStr">
        <is>
          <t>Reuniones con el intrasector</t>
        </is>
      </c>
      <c r="B64" s="7750">
        <f>SUM(C64:L64)</f>
        <v/>
      </c>
      <c r="C64" s="882" t="n"/>
      <c r="D64" s="882" t="n"/>
      <c r="E64" s="882" t="n"/>
      <c r="F64" s="882" t="n"/>
      <c r="G64" s="3100" t="n"/>
      <c r="H64" s="882" t="n">
        <v>2</v>
      </c>
      <c r="I64" s="882" t="n"/>
      <c r="J64" s="3100" t="n"/>
      <c r="K64" s="882" t="n"/>
      <c r="L64" s="3149" t="n"/>
      <c r="M64" s="1125" t="n"/>
      <c r="N64" s="703">
        <f>SUM(O64:P64)</f>
        <v/>
      </c>
      <c r="O64" s="3100" t="n"/>
      <c r="P64" s="880" t="n">
        <v>3</v>
      </c>
      <c r="Q64" s="881" t="n">
        <v>0</v>
      </c>
      <c r="R64" s="882" t="n">
        <v>0</v>
      </c>
      <c r="S64" s="882" t="n">
        <v>0</v>
      </c>
      <c r="T64" s="3659" t="n">
        <v>0</v>
      </c>
      <c r="U64" s="4008" t="n">
        <v>0</v>
      </c>
      <c r="V64" s="4008" t="n">
        <v>0</v>
      </c>
      <c r="W64" s="1125" t="n">
        <v>0</v>
      </c>
      <c r="X64" s="226">
        <f>CA64&amp;CB64&amp;CC64&amp;CD64&amp;CE64&amp;CF64&amp;CG64</f>
        <v/>
      </c>
      <c r="CA64" s="405">
        <f>IF(AND(P64&gt;0,Q64=""),"*No olvide digitar el campo "&amp;Q$61&amp;""&amp;". Digite CERO si no tiene.", IF(Q64&gt;P64," * El Número de "&amp;Q$61&amp;""&amp;" no puede superar el Total Mujeres. ",""))</f>
        <v/>
      </c>
      <c r="CB64" s="405">
        <f>IF(AND(O64&gt;0,R64=""),"*No olvide digitar el campo "&amp;R$61&amp;""&amp;". Digite CERO si no tiene.", IF(R64&gt;O64," * El Número de "&amp;R$61&amp;""&amp;" no puede superar el Total hOMBRES. ",""))</f>
        <v/>
      </c>
      <c r="CC64" s="405">
        <f>IF(AND($N64&gt;0,S64=""),"*No olvide digitar el campo "&amp;S$61&amp;""&amp;". Digite CERO si no tiene.", IF(S64&gt;$N64," * La variable "&amp;S$61&amp;""&amp;" no puede superar el Total Ambos Sexos. ",""))</f>
        <v/>
      </c>
      <c r="CD64" s="405">
        <f>IF(AND($N64&gt;0,T64=""),"*No olvide digitar el campo "&amp;T$61&amp;""&amp;". Digite CERO si no tiene.", IF(T64&gt;$N64," * La variable "&amp;T$61&amp;""&amp;" no puede superar el Total Ambos Sexos. ",""))</f>
        <v/>
      </c>
      <c r="CE64" s="405">
        <f>IF(AND($N64&gt;0,U64=""),"*No olvide digitar el campo "&amp;U$61&amp;""&amp;". Digite CERO si no tiene.", IF(U64&gt;$N64," * La variable "&amp;U$61&amp;""&amp;" no puede superar el Total Ambos Sexos. ",""))</f>
        <v/>
      </c>
      <c r="CF64" s="405">
        <f>IF(AND($N64&gt;0,V64=""),"*No olvide digitar el campo "&amp;V$61&amp;""&amp;". Digite CERO si no tiene.", IF(V64&gt;$N64," * La variable "&amp;V$61&amp;""&amp;" no puede superar el Total Ambos Sexos. ",""))</f>
        <v/>
      </c>
      <c r="CG64" s="405">
        <f>IF(AND($N64&gt;0,W64=""),"*No olvide digitar el campo "&amp;W$61&amp;""&amp;". Digite CERO si no tiene.", IF(W64&gt;$N64," * La variable "&amp;W$61&amp;""&amp;" no puede superar el Total Ambos Sexos. ",""))</f>
        <v/>
      </c>
      <c r="CM64" s="197">
        <f>IF(AND(P64&gt;0,OR(Q64="")),1,IF(Q64&gt;P64,1,0))</f>
        <v/>
      </c>
      <c r="CN64" s="197">
        <f>IF(AND(O64&gt;0,OR(R64="")),1,IF(R64&gt;O64,1,0))</f>
        <v/>
      </c>
      <c r="CO64" s="197">
        <f>IF(AND($N64&gt;0,OR(S64="")),1,IF(S64&gt;$N64,1,0))</f>
        <v/>
      </c>
      <c r="CP64" s="197">
        <f>IF(AND($N64&gt;0,OR(T64="")),1,IF(T64&gt;$N64,1,0))</f>
        <v/>
      </c>
      <c r="CQ64" s="197">
        <f>IF(AND($N64&gt;0,OR(U64="")),1,IF(U64&gt;$N64,1,0))</f>
        <v/>
      </c>
      <c r="CR64" s="197">
        <f>IF(AND($N64&gt;0,OR(V64="")),1,IF(V64&gt;$N64,1,0))</f>
        <v/>
      </c>
      <c r="CS64" s="197">
        <f>IF(AND($N64&gt;0,OR(W64="")),1,IF(W64&gt;$N64,1,0))</f>
        <v/>
      </c>
    </row>
    <row r="65">
      <c r="A65" s="1209" t="inlineStr">
        <is>
          <t>Reuniones con el intersector</t>
        </is>
      </c>
      <c r="B65" s="7750">
        <f>SUM(C65:L65)</f>
        <v/>
      </c>
      <c r="C65" s="882" t="n"/>
      <c r="D65" s="882" t="n">
        <v>2</v>
      </c>
      <c r="E65" s="882" t="n"/>
      <c r="F65" s="882" t="n"/>
      <c r="G65" s="3100" t="n"/>
      <c r="H65" s="882" t="n">
        <v>1</v>
      </c>
      <c r="I65" s="882" t="n"/>
      <c r="J65" s="3100" t="n">
        <v>1</v>
      </c>
      <c r="K65" s="882" t="n"/>
      <c r="L65" s="3149" t="n"/>
      <c r="M65" s="1125" t="n"/>
      <c r="N65" s="3327">
        <f>SUM(O65:P65)</f>
        <v/>
      </c>
      <c r="O65" s="3100" t="n">
        <v>2</v>
      </c>
      <c r="P65" s="880" t="n">
        <v>5</v>
      </c>
      <c r="Q65" s="881" t="n">
        <v>0</v>
      </c>
      <c r="R65" s="882" t="n">
        <v>0</v>
      </c>
      <c r="S65" s="882" t="n">
        <v>0</v>
      </c>
      <c r="T65" s="3659" t="n">
        <v>0</v>
      </c>
      <c r="U65" s="4008" t="n">
        <v>12</v>
      </c>
      <c r="V65" s="4008" t="n">
        <v>0</v>
      </c>
      <c r="W65" s="1125" t="n">
        <v>0</v>
      </c>
      <c r="X65" s="226">
        <f>CA65&amp;CB65&amp;CC65&amp;CD65&amp;CE65&amp;CF65&amp;CG65</f>
        <v/>
      </c>
      <c r="CA65" s="405">
        <f>IF(AND(P65&gt;0,Q65=""),"*No olvide digitar el campo "&amp;Q$61&amp;""&amp;". Digite CERO si no tiene.", IF(Q65&gt;P65," * El Número de "&amp;Q$61&amp;""&amp;" no puede superar el Total Mujeres. ",""))</f>
        <v/>
      </c>
      <c r="CB65" s="405">
        <f>IF(AND(O65&gt;0,R65=""),"*No olvide digitar el campo "&amp;R$61&amp;""&amp;". Digite CERO si no tiene.", IF(R65&gt;O65," * El Número de "&amp;R$61&amp;""&amp;" no puede superar el Total hOMBRES. ",""))</f>
        <v/>
      </c>
      <c r="CC65" s="405">
        <f>IF(AND($N65&gt;0,S65=""),"*No olvide digitar el campo "&amp;S$61&amp;""&amp;". Digite CERO si no tiene.", IF(S65&gt;$N65," * La variable "&amp;S$61&amp;""&amp;" no puede superar el Total Ambos Sexos. ",""))</f>
        <v/>
      </c>
      <c r="CD65" s="405">
        <f>IF(AND($N65&gt;0,T65=""),"*No olvide digitar el campo "&amp;T$61&amp;""&amp;". Digite CERO si no tiene.", IF(T65&gt;$N65," * La variable "&amp;T$61&amp;""&amp;" no puede superar el Total Ambos Sexos. ",""))</f>
        <v/>
      </c>
      <c r="CE65" s="405">
        <f>IF(AND($N65&gt;0,U65=""),"*No olvide digitar el campo "&amp;U$61&amp;""&amp;". Digite CERO si no tiene.", IF(U65&gt;$N65," * La variable "&amp;U$61&amp;""&amp;" no puede superar el Total Ambos Sexos. ",""))</f>
        <v/>
      </c>
      <c r="CF65" s="405">
        <f>IF(AND($N65&gt;0,V65=""),"*No olvide digitar el campo "&amp;V$61&amp;""&amp;". Digite CERO si no tiene.", IF(V65&gt;$N65," * La variable "&amp;V$61&amp;""&amp;" no puede superar el Total Ambos Sexos. ",""))</f>
        <v/>
      </c>
      <c r="CG65" s="405">
        <f>IF(AND($N65&gt;0,W65=""),"*No olvide digitar el campo "&amp;W$61&amp;""&amp;". Digite CERO si no tiene.", IF(W65&gt;$N65," * La variable "&amp;W$61&amp;""&amp;" no puede superar el Total Ambos Sexos. ",""))</f>
        <v/>
      </c>
      <c r="CM65" s="197">
        <f>IF(AND(P65&gt;0,OR(Q65="")),1,IF(Q65&gt;P65,1,0))</f>
        <v/>
      </c>
      <c r="CN65" s="197">
        <f>IF(AND(O65&gt;0,OR(R65="")),1,IF(R65&gt;O65,1,0))</f>
        <v/>
      </c>
      <c r="CO65" s="197">
        <f>IF(AND($N65&gt;0,OR(S65="")),1,IF(S65&gt;$N65,1,0))</f>
        <v/>
      </c>
      <c r="CP65" s="197">
        <f>IF(AND($N65&gt;0,OR(T65="")),1,IF(T65&gt;$N65,1,0))</f>
        <v/>
      </c>
      <c r="CQ65" s="197">
        <f>IF(AND($N65&gt;0,OR(U65="")),1,IF(U65&gt;$N65,1,0))</f>
        <v/>
      </c>
      <c r="CR65" s="197">
        <f>IF(AND($N65&gt;0,OR(V65="")),1,IF(V65&gt;$N65,1,0))</f>
        <v/>
      </c>
      <c r="CS65" s="197">
        <f>IF(AND($N65&gt;0,OR(W65="")),1,IF(W65&gt;$N65,1,0))</f>
        <v/>
      </c>
    </row>
    <row r="66">
      <c r="A66" s="1209" t="inlineStr">
        <is>
          <t>Asesoría técnica</t>
        </is>
      </c>
      <c r="B66" s="7750">
        <f>SUM(C66:L66)</f>
        <v/>
      </c>
      <c r="C66" s="882" t="n"/>
      <c r="D66" s="882" t="n"/>
      <c r="E66" s="882" t="n"/>
      <c r="F66" s="882" t="n"/>
      <c r="G66" s="3100" t="n"/>
      <c r="H66" s="882" t="n"/>
      <c r="I66" s="882" t="n"/>
      <c r="J66" s="3100" t="n"/>
      <c r="K66" s="882" t="n"/>
      <c r="L66" s="3149" t="n"/>
      <c r="M66" s="1125" t="n"/>
      <c r="N66" s="5446">
        <f>SUM(O66:P66)</f>
        <v/>
      </c>
      <c r="O66" s="3100" t="n"/>
      <c r="P66" s="880" t="n"/>
      <c r="Q66" s="881" t="n"/>
      <c r="R66" s="882" t="n"/>
      <c r="S66" s="882" t="n"/>
      <c r="T66" s="3659" t="n"/>
      <c r="U66" s="4008" t="n"/>
      <c r="V66" s="4008" t="n"/>
      <c r="W66" s="1125" t="n"/>
      <c r="X66" s="226">
        <f>CA66&amp;CB66&amp;CC66&amp;CD66&amp;CE66&amp;CF66&amp;CG66</f>
        <v/>
      </c>
      <c r="CA66" s="405">
        <f>IF(AND(P66&gt;0,Q66=""),"*No olvide digitar el campo "&amp;Q$61&amp;""&amp;". Digite CERO si no tiene.", IF(Q66&gt;P66," * El Número de "&amp;Q$61&amp;""&amp;" no puede superar el Total Mujeres. ",""))</f>
        <v/>
      </c>
      <c r="CB66" s="405">
        <f>IF(AND(O66&gt;0,R66=""),"*No olvide digitar el campo "&amp;R$61&amp;""&amp;". Digite CERO si no tiene.", IF(R66&gt;O66," * El Número de "&amp;R$61&amp;""&amp;" no puede superar el Total hOMBRES. ",""))</f>
        <v/>
      </c>
      <c r="CC66" s="405">
        <f>IF(AND($N66&gt;0,S66=""),"*No olvide digitar el campo "&amp;S$61&amp;""&amp;". Digite CERO si no tiene.", IF(S66&gt;$N66," * La variable "&amp;S$61&amp;""&amp;" no puede superar el Total Ambos Sexos. ",""))</f>
        <v/>
      </c>
      <c r="CD66" s="405">
        <f>IF(AND($N66&gt;0,T66=""),"*No olvide digitar el campo "&amp;T$61&amp;""&amp;". Digite CERO si no tiene.", IF(T66&gt;$N66," * La variable "&amp;T$61&amp;""&amp;" no puede superar el Total Ambos Sexos. ",""))</f>
        <v/>
      </c>
      <c r="CE66" s="405">
        <f>IF(AND($N66&gt;0,U66=""),"*No olvide digitar el campo "&amp;U$61&amp;""&amp;". Digite CERO si no tiene.", IF(U66&gt;$N66," * La variable "&amp;U$61&amp;""&amp;" no puede superar el Total Ambos Sexos. ",""))</f>
        <v/>
      </c>
      <c r="CF66" s="405">
        <f>IF(AND($N66&gt;0,V66=""),"*No olvide digitar el campo "&amp;V$61&amp;""&amp;". Digite CERO si no tiene.", IF(V66&gt;$N66," * La variable "&amp;V$61&amp;""&amp;" no puede superar el Total Ambos Sexos. ",""))</f>
        <v/>
      </c>
      <c r="CG66" s="405">
        <f>IF(AND($N66&gt;0,W66=""),"*No olvide digitar el campo "&amp;W$61&amp;""&amp;". Digite CERO si no tiene.", IF(W66&gt;$N66," * La variable "&amp;W$61&amp;""&amp;" no puede superar el Total Ambos Sexos. ",""))</f>
        <v/>
      </c>
      <c r="CM66" s="197">
        <f>IF(AND(P66&gt;0,OR(Q66="")),1,IF(Q66&gt;P66,1,0))</f>
        <v/>
      </c>
      <c r="CN66" s="197">
        <f>IF(AND(O66&gt;0,OR(R66="")),1,IF(R66&gt;O66,1,0))</f>
        <v/>
      </c>
      <c r="CO66" s="197">
        <f>IF(AND($N66&gt;0,OR(S66="")),1,IF(S66&gt;$N66,1,0))</f>
        <v/>
      </c>
      <c r="CP66" s="197">
        <f>IF(AND($N66&gt;0,OR(T66="")),1,IF(T66&gt;$N66,1,0))</f>
        <v/>
      </c>
      <c r="CQ66" s="197">
        <f>IF(AND($N66&gt;0,OR(U66="")),1,IF(U66&gt;$N66,1,0))</f>
        <v/>
      </c>
      <c r="CR66" s="197">
        <f>IF(AND($N66&gt;0,OR(V66="")),1,IF(V66&gt;$N66,1,0))</f>
        <v/>
      </c>
      <c r="CS66" s="197">
        <f>IF(AND($N66&gt;0,OR(W66="")),1,IF(W66&gt;$N66,1,0))</f>
        <v/>
      </c>
    </row>
    <row r="67">
      <c r="A67" s="1209" t="inlineStr">
        <is>
          <t>Jornadas de intercambio de experiencias</t>
        </is>
      </c>
      <c r="B67" s="7750">
        <f>SUM(C67:L67)</f>
        <v/>
      </c>
      <c r="C67" s="882" t="n"/>
      <c r="D67" s="882" t="n"/>
      <c r="E67" s="882" t="n"/>
      <c r="F67" s="882" t="n"/>
      <c r="G67" s="3100" t="n"/>
      <c r="H67" s="882" t="n"/>
      <c r="I67" s="882" t="n"/>
      <c r="J67" s="3100" t="n"/>
      <c r="K67" s="882" t="n"/>
      <c r="L67" s="3149" t="n"/>
      <c r="M67" s="1125" t="n"/>
      <c r="N67" s="3327">
        <f>SUM(O67:P67)</f>
        <v/>
      </c>
      <c r="O67" s="3100" t="n"/>
      <c r="P67" s="880" t="n"/>
      <c r="Q67" s="881" t="n"/>
      <c r="R67" s="882" t="n"/>
      <c r="S67" s="882" t="n"/>
      <c r="T67" s="3659" t="n"/>
      <c r="U67" s="4008" t="n"/>
      <c r="V67" s="4008" t="n"/>
      <c r="W67" s="1125" t="n"/>
      <c r="X67" s="226">
        <f>CA67&amp;CB67&amp;CC67&amp;CD67&amp;CE67&amp;CF67&amp;CG67</f>
        <v/>
      </c>
      <c r="CA67" s="405">
        <f>IF(AND(P67&gt;0,Q67=""),"*No olvide digitar el campo "&amp;Q$61&amp;""&amp;". Digite CERO si no tiene.", IF(Q67&gt;P67," * El Número de "&amp;Q$61&amp;""&amp;" no puede superar el Total Mujeres. ",""))</f>
        <v/>
      </c>
      <c r="CB67" s="405">
        <f>IF(AND(O67&gt;0,R67=""),"*No olvide digitar el campo "&amp;R$61&amp;""&amp;". Digite CERO si no tiene.", IF(R67&gt;O67," * El Número de "&amp;R$61&amp;""&amp;" no puede superar el Total hOMBRES. ",""))</f>
        <v/>
      </c>
      <c r="CC67" s="405">
        <f>IF(AND($N67&gt;0,S67=""),"*No olvide digitar el campo "&amp;S$61&amp;""&amp;". Digite CERO si no tiene.", IF(S67&gt;$N67," * La variable "&amp;S$61&amp;""&amp;" no puede superar el Total Ambos Sexos. ",""))</f>
        <v/>
      </c>
      <c r="CD67" s="405">
        <f>IF(AND($N67&gt;0,T67=""),"*No olvide digitar el campo "&amp;T$61&amp;""&amp;". Digite CERO si no tiene.", IF(T67&gt;$N67," * La variable "&amp;T$61&amp;""&amp;" no puede superar el Total Ambos Sexos. ",""))</f>
        <v/>
      </c>
      <c r="CE67" s="405">
        <f>IF(AND($N67&gt;0,U67=""),"*No olvide digitar el campo "&amp;U$61&amp;""&amp;". Digite CERO si no tiene.", IF(U67&gt;$N67," * La variable "&amp;U$61&amp;""&amp;" no puede superar el Total Ambos Sexos. ",""))</f>
        <v/>
      </c>
      <c r="CF67" s="405">
        <f>IF(AND($N67&gt;0,V67=""),"*No olvide digitar el campo "&amp;V$61&amp;""&amp;". Digite CERO si no tiene.", IF(V67&gt;$N67," * La variable "&amp;V$61&amp;""&amp;" no puede superar el Total Ambos Sexos. ",""))</f>
        <v/>
      </c>
      <c r="CG67" s="405">
        <f>IF(AND($N67&gt;0,W67=""),"*No olvide digitar el campo "&amp;W$61&amp;""&amp;". Digite CERO si no tiene.", IF(W67&gt;$N67," * La variable "&amp;W$61&amp;""&amp;" no puede superar el Total Ambos Sexos. ",""))</f>
        <v/>
      </c>
      <c r="CM67" s="197">
        <f>IF(AND(P67&gt;0,OR(Q67="")),1,IF(Q67&gt;P67,1,0))</f>
        <v/>
      </c>
      <c r="CN67" s="197">
        <f>IF(AND(O67&gt;0,OR(R67="")),1,IF(R67&gt;O67,1,0))</f>
        <v/>
      </c>
      <c r="CO67" s="197">
        <f>IF(AND($N67&gt;0,OR(S67="")),1,IF(S67&gt;$N67,1,0))</f>
        <v/>
      </c>
      <c r="CP67" s="197">
        <f>IF(AND($N67&gt;0,OR(T67="")),1,IF(T67&gt;$N67,1,0))</f>
        <v/>
      </c>
      <c r="CQ67" s="197">
        <f>IF(AND($N67&gt;0,OR(U67="")),1,IF(U67&gt;$N67,1,0))</f>
        <v/>
      </c>
      <c r="CR67" s="197">
        <f>IF(AND($N67&gt;0,OR(V67="")),1,IF(V67&gt;$N67,1,0))</f>
        <v/>
      </c>
      <c r="CS67" s="197">
        <f>IF(AND($N67&gt;0,OR(W67="")),1,IF(W67&gt;$N67,1,0))</f>
        <v/>
      </c>
    </row>
    <row r="68">
      <c r="A68" s="1209" t="inlineStr">
        <is>
          <t>Actividades de difusión y comunicación</t>
        </is>
      </c>
      <c r="B68" s="7750">
        <f>SUM(C68:L68)</f>
        <v/>
      </c>
      <c r="C68" s="882" t="n"/>
      <c r="D68" s="882" t="n"/>
      <c r="E68" s="882" t="n"/>
      <c r="F68" s="882" t="n">
        <v>3</v>
      </c>
      <c r="G68" s="3100" t="n"/>
      <c r="H68" s="882" t="n"/>
      <c r="I68" s="882" t="n"/>
      <c r="J68" s="3100" t="n"/>
      <c r="K68" s="882" t="n"/>
      <c r="L68" s="3149" t="n">
        <v>2</v>
      </c>
      <c r="M68" s="1125" t="n">
        <v>3</v>
      </c>
      <c r="N68" s="3327">
        <f>SUM(O68:P68)</f>
        <v/>
      </c>
      <c r="O68" s="3100" t="n">
        <v>12</v>
      </c>
      <c r="P68" s="880" t="n">
        <v>24</v>
      </c>
      <c r="Q68" s="881" t="n">
        <v>0</v>
      </c>
      <c r="R68" s="882" t="n">
        <v>0</v>
      </c>
      <c r="S68" s="882" t="n">
        <v>0</v>
      </c>
      <c r="T68" s="3659" t="n">
        <v>0</v>
      </c>
      <c r="U68" s="4008" t="n">
        <v>0</v>
      </c>
      <c r="V68" s="4008" t="n">
        <v>0</v>
      </c>
      <c r="W68" s="1125" t="n">
        <v>0</v>
      </c>
      <c r="X68" s="226">
        <f>CA68&amp;CB68&amp;CC68&amp;CD68&amp;CE68&amp;CF68&amp;CG68</f>
        <v/>
      </c>
      <c r="CA68" s="405">
        <f>IF(AND(P68&gt;0,Q68=""),"*No olvide digitar el campo "&amp;Q$61&amp;""&amp;". Digite CERO si no tiene.", IF(Q68&gt;P68," * El Número de "&amp;Q$61&amp;""&amp;" no puede superar el Total Mujeres. ",""))</f>
        <v/>
      </c>
      <c r="CB68" s="405">
        <f>IF(AND(O68&gt;0,R68=""),"*No olvide digitar el campo "&amp;R$61&amp;""&amp;". Digite CERO si no tiene.", IF(R68&gt;O68," * El Número de "&amp;R$61&amp;""&amp;" no puede superar el Total hOMBRES. ",""))</f>
        <v/>
      </c>
      <c r="CC68" s="405">
        <f>IF(AND($N68&gt;0,S68=""),"*No olvide digitar el campo "&amp;S$61&amp;""&amp;". Digite CERO si no tiene.", IF(S68&gt;$N68," * La variable "&amp;S$61&amp;""&amp;" no puede superar el Total Ambos Sexos. ",""))</f>
        <v/>
      </c>
      <c r="CD68" s="405">
        <f>IF(AND($N68&gt;0,T68=""),"*No olvide digitar el campo "&amp;T$61&amp;""&amp;". Digite CERO si no tiene.", IF(T68&gt;$N68," * La variable "&amp;T$61&amp;""&amp;" no puede superar el Total Ambos Sexos. ",""))</f>
        <v/>
      </c>
      <c r="CE68" s="405">
        <f>IF(AND($N68&gt;0,U68=""),"*No olvide digitar el campo "&amp;U$61&amp;""&amp;". Digite CERO si no tiene.", IF(U68&gt;$N68," * La variable "&amp;U$61&amp;""&amp;" no puede superar el Total Ambos Sexos. ",""))</f>
        <v/>
      </c>
      <c r="CF68" s="405">
        <f>IF(AND($N68&gt;0,V68=""),"*No olvide digitar el campo "&amp;V$61&amp;""&amp;". Digite CERO si no tiene.", IF(V68&gt;$N68," * La variable "&amp;V$61&amp;""&amp;" no puede superar el Total Ambos Sexos. ",""))</f>
        <v/>
      </c>
      <c r="CG68" s="405">
        <f>IF(AND($N68&gt;0,W68=""),"*No olvide digitar el campo "&amp;W$61&amp;""&amp;". Digite CERO si no tiene.", IF(W68&gt;$N68," * La variable "&amp;W$61&amp;""&amp;" no puede superar el Total Ambos Sexos. ",""))</f>
        <v/>
      </c>
      <c r="CM68" s="197">
        <f>IF(AND(P68&gt;0,OR(Q68="")),1,IF(Q68&gt;P68,1,0))</f>
        <v/>
      </c>
      <c r="CN68" s="197">
        <f>IF(AND(O68&gt;0,OR(R68="")),1,IF(R68&gt;O68,1,0))</f>
        <v/>
      </c>
      <c r="CO68" s="197">
        <f>IF(AND($N68&gt;0,OR(S68="")),1,IF(S68&gt;$N68,1,0))</f>
        <v/>
      </c>
      <c r="CP68" s="197">
        <f>IF(AND($N68&gt;0,OR(T68="")),1,IF(T68&gt;$N68,1,0))</f>
        <v/>
      </c>
      <c r="CQ68" s="197">
        <f>IF(AND($N68&gt;0,OR(U68="")),1,IF(U68&gt;$N68,1,0))</f>
        <v/>
      </c>
      <c r="CR68" s="197">
        <f>IF(AND($N68&gt;0,OR(V68="")),1,IF(V68&gt;$N68,1,0))</f>
        <v/>
      </c>
      <c r="CS68" s="197">
        <f>IF(AND($N68&gt;0,OR(W68="")),1,IF(W68&gt;$N68,1,0))</f>
        <v/>
      </c>
    </row>
    <row r="69">
      <c r="A69" s="1209" t="inlineStr">
        <is>
          <t>Educación y capacitación comunitaria</t>
        </is>
      </c>
      <c r="B69" s="7750">
        <f>SUM(C69:L69)</f>
        <v/>
      </c>
      <c r="C69" s="882" t="n"/>
      <c r="D69" s="882" t="n"/>
      <c r="E69" s="882" t="n"/>
      <c r="F69" s="882" t="n"/>
      <c r="G69" s="3100" t="n"/>
      <c r="H69" s="882" t="n"/>
      <c r="I69" s="882" t="n"/>
      <c r="J69" s="3100" t="n"/>
      <c r="K69" s="882" t="n"/>
      <c r="L69" s="3149" t="n"/>
      <c r="M69" s="1125" t="n"/>
      <c r="N69" s="3327">
        <f>SUM(O69:P69)</f>
        <v/>
      </c>
      <c r="O69" s="3100" t="n"/>
      <c r="P69" s="880" t="n"/>
      <c r="Q69" s="881" t="n"/>
      <c r="R69" s="882" t="n"/>
      <c r="S69" s="882" t="n"/>
      <c r="T69" s="3659" t="n"/>
      <c r="U69" s="4008" t="n"/>
      <c r="V69" s="4008" t="n"/>
      <c r="W69" s="1125" t="n"/>
      <c r="X69" s="226">
        <f>CA69&amp;CB69&amp;CC69&amp;CD69&amp;CE69&amp;CF69&amp;CG69</f>
        <v/>
      </c>
      <c r="CA69" s="405">
        <f>IF(AND(P69&gt;0,Q69=""),"*No olvide digitar el campo "&amp;Q$61&amp;""&amp;". Digite CERO si no tiene.", IF(Q69&gt;P69," * El Número de "&amp;Q$61&amp;""&amp;" no puede superar el Total Mujeres. ",""))</f>
        <v/>
      </c>
      <c r="CB69" s="405">
        <f>IF(AND(O69&gt;0,R69=""),"*No olvide digitar el campo "&amp;R$61&amp;""&amp;". Digite CERO si no tiene.", IF(R69&gt;O69," * El Número de "&amp;R$61&amp;""&amp;" no puede superar el Total hOMBRES. ",""))</f>
        <v/>
      </c>
      <c r="CC69" s="405">
        <f>IF(AND($N69&gt;0,S69=""),"*No olvide digitar el campo "&amp;S$61&amp;""&amp;". Digite CERO si no tiene.", IF(S69&gt;$N69," * La variable "&amp;S$61&amp;""&amp;" no puede superar el Total Ambos Sexos. ",""))</f>
        <v/>
      </c>
      <c r="CD69" s="405">
        <f>IF(AND($N69&gt;0,T69=""),"*No olvide digitar el campo "&amp;T$61&amp;""&amp;". Digite CERO si no tiene.", IF(T69&gt;$N69," * La variable "&amp;T$61&amp;""&amp;" no puede superar el Total Ambos Sexos. ",""))</f>
        <v/>
      </c>
      <c r="CE69" s="405">
        <f>IF(AND($N69&gt;0,U69=""),"*No olvide digitar el campo "&amp;U$61&amp;""&amp;". Digite CERO si no tiene.", IF(U69&gt;$N69," * La variable "&amp;U$61&amp;""&amp;" no puede superar el Total Ambos Sexos. ",""))</f>
        <v/>
      </c>
      <c r="CF69" s="405">
        <f>IF(AND($N69&gt;0,V69=""),"*No olvide digitar el campo "&amp;V$61&amp;""&amp;". Digite CERO si no tiene.", IF(V69&gt;$N69," * La variable "&amp;V$61&amp;""&amp;" no puede superar el Total Ambos Sexos. ",""))</f>
        <v/>
      </c>
      <c r="CG69" s="405">
        <f>IF(AND($N69&gt;0,W69=""),"*No olvide digitar el campo "&amp;W$61&amp;""&amp;". Digite CERO si no tiene.", IF(W69&gt;$N69," * La variable "&amp;W$61&amp;""&amp;" no puede superar el Total Ambos Sexos. ",""))</f>
        <v/>
      </c>
      <c r="CM69" s="197">
        <f>IF(AND(P69&gt;0,OR(Q69="")),1,IF(Q69&gt;P69,1,0))</f>
        <v/>
      </c>
      <c r="CN69" s="197">
        <f>IF(AND(O69&gt;0,OR(R69="")),1,IF(R69&gt;O69,1,0))</f>
        <v/>
      </c>
      <c r="CO69" s="197">
        <f>IF(AND($N69&gt;0,OR(S69="")),1,IF(S69&gt;$N69,1,0))</f>
        <v/>
      </c>
      <c r="CP69" s="197">
        <f>IF(AND($N69&gt;0,OR(T69="")),1,IF(T69&gt;$N69,1,0))</f>
        <v/>
      </c>
      <c r="CQ69" s="197">
        <f>IF(AND($N69&gt;0,OR(U69="")),1,IF(U69&gt;$N69,1,0))</f>
        <v/>
      </c>
      <c r="CR69" s="197">
        <f>IF(AND($N69&gt;0,OR(V69="")),1,IF(V69&gt;$N69,1,0))</f>
        <v/>
      </c>
      <c r="CS69" s="197">
        <f>IF(AND($N69&gt;0,OR(W69="")),1,IF(W69&gt;$N69,1,0))</f>
        <v/>
      </c>
    </row>
    <row r="70">
      <c r="A70" s="1209" t="inlineStr">
        <is>
          <t>Eventos masivos (asambleas, cabildos, otros)</t>
        </is>
      </c>
      <c r="B70" s="7750">
        <f>SUM(C70:L70)</f>
        <v/>
      </c>
      <c r="C70" s="1147" t="n"/>
      <c r="D70" s="1147" t="n"/>
      <c r="E70" s="1147" t="n"/>
      <c r="F70" s="1147" t="n"/>
      <c r="G70" s="1200" t="n"/>
      <c r="H70" s="1147" t="n"/>
      <c r="I70" s="1147" t="n"/>
      <c r="J70" s="1200" t="n"/>
      <c r="K70" s="1147" t="n"/>
      <c r="L70" s="2689" t="n"/>
      <c r="M70" s="1125" t="n"/>
      <c r="N70" s="5446">
        <f>SUM(O70:P70)</f>
        <v/>
      </c>
      <c r="O70" s="3100" t="n"/>
      <c r="P70" s="880" t="n"/>
      <c r="Q70" s="881" t="n"/>
      <c r="R70" s="882" t="n"/>
      <c r="S70" s="882" t="n"/>
      <c r="T70" s="3659" t="n"/>
      <c r="U70" s="4008" t="n"/>
      <c r="V70" s="4008" t="n"/>
      <c r="W70" s="1125" t="n"/>
      <c r="X70" s="226">
        <f>CA70&amp;CB70&amp;CC70&amp;CD70&amp;CE70&amp;CF70&amp;CG70</f>
        <v/>
      </c>
      <c r="CA70" s="405">
        <f>IF(AND(P70&gt;0,Q70=""),"*No olvide digitar el campo "&amp;Q$61&amp;""&amp;". Digite CERO si no tiene.", IF(Q70&gt;P70," * El Número de "&amp;Q$61&amp;""&amp;" no puede superar el Total Mujeres. ",""))</f>
        <v/>
      </c>
      <c r="CB70" s="405">
        <f>IF(AND(O70&gt;0,R70=""),"*No olvide digitar el campo "&amp;R$61&amp;""&amp;". Digite CERO si no tiene.", IF(R70&gt;O70," * El Número de "&amp;R$61&amp;""&amp;" no puede superar el Total hOMBRES. ",""))</f>
        <v/>
      </c>
      <c r="CC70" s="405">
        <f>IF(AND($N70&gt;0,S70=""),"*No olvide digitar el campo "&amp;S$61&amp;""&amp;". Digite CERO si no tiene.", IF(S70&gt;$N70," * La variable "&amp;S$61&amp;""&amp;" no puede superar el Total Ambos Sexos. ",""))</f>
        <v/>
      </c>
      <c r="CD70" s="405">
        <f>IF(AND($N70&gt;0,T70=""),"*No olvide digitar el campo "&amp;T$61&amp;""&amp;". Digite CERO si no tiene.", IF(T70&gt;$N70," * La variable "&amp;T$61&amp;""&amp;" no puede superar el Total Ambos Sexos. ",""))</f>
        <v/>
      </c>
      <c r="CE70" s="405">
        <f>IF(AND($N70&gt;0,U70=""),"*No olvide digitar el campo "&amp;U$61&amp;""&amp;". Digite CERO si no tiene.", IF(U70&gt;$N70," * La variable "&amp;U$61&amp;""&amp;" no puede superar el Total Ambos Sexos. ",""))</f>
        <v/>
      </c>
      <c r="CF70" s="405">
        <f>IF(AND($N70&gt;0,V70=""),"*No olvide digitar el campo "&amp;V$61&amp;""&amp;". Digite CERO si no tiene.", IF(V70&gt;$N70," * La variable "&amp;V$61&amp;""&amp;" no puede superar el Total Ambos Sexos. ",""))</f>
        <v/>
      </c>
      <c r="CG70" s="405">
        <f>IF(AND($N70&gt;0,W70=""),"*No olvide digitar el campo "&amp;W$61&amp;""&amp;". Digite CERO si no tiene.", IF(W70&gt;$N70," * La variable "&amp;W$61&amp;""&amp;" no puede superar el Total Ambos Sexos. ",""))</f>
        <v/>
      </c>
      <c r="CM70" s="197">
        <f>IF(AND(P70&gt;0,OR(Q70="")),1,IF(Q70&gt;P70,1,0))</f>
        <v/>
      </c>
      <c r="CN70" s="197">
        <f>IF(AND(O70&gt;0,OR(R70="")),1,IF(R70&gt;O70,1,0))</f>
        <v/>
      </c>
      <c r="CO70" s="197">
        <f>IF(AND($N70&gt;0,OR(S70="")),1,IF(S70&gt;$N70,1,0))</f>
        <v/>
      </c>
      <c r="CP70" s="197">
        <f>IF(AND($N70&gt;0,OR(T70="")),1,IF(T70&gt;$N70,1,0))</f>
        <v/>
      </c>
      <c r="CQ70" s="197">
        <f>IF(AND($N70&gt;0,OR(U70="")),1,IF(U70&gt;$N70,1,0))</f>
        <v/>
      </c>
      <c r="CR70" s="197">
        <f>IF(AND($N70&gt;0,OR(V70="")),1,IF(V70&gt;$N70,1,0))</f>
        <v/>
      </c>
      <c r="CS70" s="197">
        <f>IF(AND($N70&gt;0,OR(W70="")),1,IF(W70&gt;$N70,1,0))</f>
        <v/>
      </c>
    </row>
    <row r="71">
      <c r="A71" s="1361" t="inlineStr">
        <is>
          <t>Pasantías</t>
        </is>
      </c>
      <c r="B71" s="7750">
        <f>SUM(C71:L71)</f>
        <v/>
      </c>
      <c r="C71" s="1147" t="n"/>
      <c r="D71" s="1147" t="n"/>
      <c r="E71" s="1147" t="n"/>
      <c r="F71" s="1147" t="n"/>
      <c r="G71" s="1200" t="n"/>
      <c r="H71" s="882" t="n"/>
      <c r="I71" s="1147" t="n"/>
      <c r="J71" s="3100" t="n"/>
      <c r="K71" s="1147" t="n"/>
      <c r="L71" s="2689" t="n"/>
      <c r="M71" s="1125" t="n"/>
      <c r="N71" s="5446">
        <f>SUM(O71:P71)</f>
        <v/>
      </c>
      <c r="O71" s="3100" t="n"/>
      <c r="P71" s="880" t="n"/>
      <c r="Q71" s="881" t="n"/>
      <c r="R71" s="882" t="n"/>
      <c r="S71" s="882" t="n"/>
      <c r="T71" s="3659" t="n"/>
      <c r="U71" s="4008" t="n"/>
      <c r="V71" s="4008" t="n"/>
      <c r="W71" s="1125" t="n"/>
      <c r="X71" s="226">
        <f>CA71&amp;CB71&amp;CC71&amp;CD71&amp;CE71&amp;CF71&amp;CG71</f>
        <v/>
      </c>
      <c r="CA71" s="405">
        <f>IF(AND(P71&gt;0,Q71=""),"*No olvide digitar el campo "&amp;Q$61&amp;""&amp;". Digite CERO si no tiene.", IF(Q71&gt;P71," * El Número de "&amp;Q$61&amp;""&amp;" no puede superar el Total Mujeres. ",""))</f>
        <v/>
      </c>
      <c r="CB71" s="405">
        <f>IF(AND(O71&gt;0,R71=""),"*No olvide digitar el campo "&amp;R$61&amp;""&amp;". Digite CERO si no tiene.", IF(R71&gt;O71," * El Número de "&amp;R$61&amp;""&amp;" no puede superar el Total hOMBRES. ",""))</f>
        <v/>
      </c>
      <c r="CC71" s="405">
        <f>IF(AND($N71&gt;0,S71=""),"*No olvide digitar el campo "&amp;S$61&amp;""&amp;". Digite CERO si no tiene.", IF(S71&gt;$N71," * La variable "&amp;S$61&amp;""&amp;" no puede superar el Total Ambos Sexos. ",""))</f>
        <v/>
      </c>
      <c r="CD71" s="405">
        <f>IF(AND($N71&gt;0,T71=""),"*No olvide digitar el campo "&amp;T$61&amp;""&amp;". Digite CERO si no tiene.", IF(T71&gt;$N71," * La variable "&amp;T$61&amp;""&amp;" no puede superar el Total Ambos Sexos. ",""))</f>
        <v/>
      </c>
      <c r="CE71" s="405">
        <f>IF(AND($N71&gt;0,U71=""),"*No olvide digitar el campo "&amp;U$61&amp;""&amp;". Digite CERO si no tiene.", IF(U71&gt;$N71," * La variable "&amp;U$61&amp;""&amp;" no puede superar el Total Ambos Sexos. ",""))</f>
        <v/>
      </c>
      <c r="CF71" s="405">
        <f>IF(AND($N71&gt;0,V71=""),"*No olvide digitar el campo "&amp;V$61&amp;""&amp;". Digite CERO si no tiene.", IF(V71&gt;$N71," * La variable "&amp;V$61&amp;""&amp;" no puede superar el Total Ambos Sexos. ",""))</f>
        <v/>
      </c>
      <c r="CG71" s="405">
        <f>IF(AND($N71&gt;0,W71=""),"*No olvide digitar el campo "&amp;W$61&amp;""&amp;". Digite CERO si no tiene.", IF(W71&gt;$N71," * La variable "&amp;W$61&amp;""&amp;" no puede superar el Total Ambos Sexos. ",""))</f>
        <v/>
      </c>
      <c r="CM71" s="197">
        <f>IF(AND(P71&gt;0,OR(Q71="")),1,IF(Q71&gt;P71,1,0))</f>
        <v/>
      </c>
      <c r="CN71" s="197">
        <f>IF(AND(O71&gt;0,OR(R71="")),1,IF(R71&gt;O71,1,0))</f>
        <v/>
      </c>
      <c r="CO71" s="197">
        <f>IF(AND($N71&gt;0,OR(S71="")),1,IF(S71&gt;$N71,1,0))</f>
        <v/>
      </c>
      <c r="CP71" s="197">
        <f>IF(AND($N71&gt;0,OR(T71="")),1,IF(T71&gt;$N71,1,0))</f>
        <v/>
      </c>
      <c r="CQ71" s="197">
        <f>IF(AND($N71&gt;0,OR(U71="")),1,IF(U71&gt;$N71,1,0))</f>
        <v/>
      </c>
      <c r="CR71" s="197">
        <f>IF(AND($N71&gt;0,OR(V71="")),1,IF(V71&gt;$N71,1,0))</f>
        <v/>
      </c>
      <c r="CS71" s="197">
        <f>IF(AND($N71&gt;0,OR(W71="")),1,IF(W71&gt;$N71,1,0))</f>
        <v/>
      </c>
    </row>
    <row r="72">
      <c r="A72" s="1361" t="inlineStr">
        <is>
          <t>Comunidades de aprendizaje</t>
        </is>
      </c>
      <c r="B72" s="7750">
        <f>SUM(C72:L72)</f>
        <v/>
      </c>
      <c r="C72" s="1147" t="n"/>
      <c r="D72" s="1147" t="n"/>
      <c r="E72" s="1147" t="n"/>
      <c r="F72" s="1147" t="n"/>
      <c r="G72" s="1200" t="n"/>
      <c r="H72" s="1147" t="n"/>
      <c r="I72" s="1147" t="n"/>
      <c r="J72" s="1200" t="n"/>
      <c r="K72" s="1147" t="n"/>
      <c r="L72" s="2689" t="n"/>
      <c r="M72" s="1125" t="n"/>
      <c r="N72" s="703">
        <f>SUM(O72:P72)</f>
        <v/>
      </c>
      <c r="O72" s="3100" t="n"/>
      <c r="P72" s="880" t="n"/>
      <c r="Q72" s="881" t="n"/>
      <c r="R72" s="882" t="n"/>
      <c r="S72" s="882" t="n"/>
      <c r="T72" s="3659" t="n"/>
      <c r="U72" s="4008" t="n"/>
      <c r="V72" s="4008" t="n"/>
      <c r="W72" s="1125" t="n"/>
      <c r="X72" s="226">
        <f>CA72&amp;CB72&amp;CC72&amp;CD72&amp;CE72&amp;CF72&amp;CG72</f>
        <v/>
      </c>
      <c r="CA72" s="405">
        <f>IF(AND(P72&gt;0,Q72=""),"*No olvide digitar el campo "&amp;Q$61&amp;""&amp;". Digite CERO si no tiene.", IF(Q72&gt;P72," * El Número de "&amp;Q$61&amp;""&amp;" no puede superar el Total Mujeres. ",""))</f>
        <v/>
      </c>
      <c r="CB72" s="405">
        <f>IF(AND(O72&gt;0,R72=""),"*No olvide digitar el campo "&amp;R$61&amp;""&amp;". Digite CERO si no tiene.", IF(R72&gt;O72," * El Número de "&amp;R$61&amp;""&amp;" no puede superar el Total hOMBRES. ",""))</f>
        <v/>
      </c>
      <c r="CC72" s="405">
        <f>IF(AND($N72&gt;0,S72=""),"*No olvide digitar el campo "&amp;S$61&amp;""&amp;". Digite CERO si no tiene.", IF(S72&gt;$N72," * La variable "&amp;S$61&amp;""&amp;" no puede superar el Total Ambos Sexos. ",""))</f>
        <v/>
      </c>
      <c r="CD72" s="405">
        <f>IF(AND($N72&gt;0,T72=""),"*No olvide digitar el campo "&amp;T$61&amp;""&amp;". Digite CERO si no tiene.", IF(T72&gt;$N72," * La variable "&amp;T$61&amp;""&amp;" no puede superar el Total Ambos Sexos. ",""))</f>
        <v/>
      </c>
      <c r="CE72" s="405">
        <f>IF(AND($N72&gt;0,U72=""),"*No olvide digitar el campo "&amp;U$61&amp;""&amp;". Digite CERO si no tiene.", IF(U72&gt;$N72," * La variable "&amp;U$61&amp;""&amp;" no puede superar el Total Ambos Sexos. ",""))</f>
        <v/>
      </c>
      <c r="CF72" s="405">
        <f>IF(AND($N72&gt;0,V72=""),"*No olvide digitar el campo "&amp;V$61&amp;""&amp;". Digite CERO si no tiene.", IF(V72&gt;$N72," * La variable "&amp;V$61&amp;""&amp;" no puede superar el Total Ambos Sexos. ",""))</f>
        <v/>
      </c>
      <c r="CG72" s="405">
        <f>IF(AND($N72&gt;0,W72=""),"*No olvide digitar el campo "&amp;W$61&amp;""&amp;". Digite CERO si no tiene.", IF(W72&gt;$N72," * La variable "&amp;W$61&amp;""&amp;" no puede superar el Total Ambos Sexos. ",""))</f>
        <v/>
      </c>
      <c r="CM72" s="197">
        <f>IF(AND(P72&gt;0,OR(Q72="")),1,IF(Q72&gt;P72,1,0))</f>
        <v/>
      </c>
      <c r="CN72" s="197">
        <f>IF(AND(O72&gt;0,OR(R72="")),1,IF(R72&gt;O72,1,0))</f>
        <v/>
      </c>
      <c r="CO72" s="197">
        <f>IF(AND($N72&gt;0,OR(S72="")),1,IF(S72&gt;$N72,1,0))</f>
        <v/>
      </c>
      <c r="CP72" s="197">
        <f>IF(AND($N72&gt;0,OR(T72="")),1,IF(T72&gt;$N72,1,0))</f>
        <v/>
      </c>
      <c r="CQ72" s="197">
        <f>IF(AND($N72&gt;0,OR(U72="")),1,IF(U72&gt;$N72,1,0))</f>
        <v/>
      </c>
      <c r="CR72" s="197">
        <f>IF(AND($N72&gt;0,OR(V72="")),1,IF(V72&gt;$N72,1,0))</f>
        <v/>
      </c>
      <c r="CS72" s="197">
        <f>IF(AND($N72&gt;0,OR(W72="")),1,IF(W72&gt;$N72,1,0))</f>
        <v/>
      </c>
    </row>
    <row r="73">
      <c r="A73" s="1240" t="inlineStr">
        <is>
          <t>Mentorías</t>
        </is>
      </c>
      <c r="B73" s="7752">
        <f>SUM(C73:L73)</f>
        <v/>
      </c>
      <c r="C73" s="1147" t="n"/>
      <c r="D73" s="1147" t="n"/>
      <c r="E73" s="1147" t="n"/>
      <c r="F73" s="1147" t="n"/>
      <c r="G73" s="1200" t="n"/>
      <c r="H73" s="1147" t="n"/>
      <c r="I73" s="1147" t="n"/>
      <c r="J73" s="1200" t="n"/>
      <c r="K73" s="1147" t="n"/>
      <c r="L73" s="2689" t="n"/>
      <c r="M73" s="1148" t="n"/>
      <c r="N73" s="3230">
        <f>SUM(O73:P73)</f>
        <v/>
      </c>
      <c r="O73" s="1200" t="n"/>
      <c r="P73" s="1414" t="n"/>
      <c r="Q73" s="881" t="n"/>
      <c r="R73" s="1147" t="n"/>
      <c r="S73" s="1147" t="n"/>
      <c r="T73" s="1201" t="n"/>
      <c r="U73" s="4008" t="n"/>
      <c r="V73" s="1418" t="n"/>
      <c r="W73" s="1148" t="n"/>
      <c r="X73" s="226">
        <f>CA73&amp;CB73&amp;CC73&amp;CD73&amp;CE73&amp;CF73&amp;CG73</f>
        <v/>
      </c>
      <c r="CA73" s="405">
        <f>IF(AND(P73&gt;0,Q73=""),"*No olvide digitar el campo "&amp;Q$61&amp;""&amp;". Digite CERO si no tiene.", IF(Q73&gt;P73," * El Número de "&amp;Q$61&amp;""&amp;" no puede superar el Total Mujeres. ",""))</f>
        <v/>
      </c>
      <c r="CB73" s="405">
        <f>IF(AND(O73&gt;0,R73=""),"*No olvide digitar el campo "&amp;R$61&amp;""&amp;". Digite CERO si no tiene.", IF(R73&gt;O73," * El Número de "&amp;R$61&amp;""&amp;" no puede superar el Total hOMBRES. ",""))</f>
        <v/>
      </c>
      <c r="CC73" s="405">
        <f>IF(AND($N73&gt;0,S73=""),"*No olvide digitar el campo "&amp;S$61&amp;""&amp;". Digite CERO si no tiene.", IF(S73&gt;$N73," * La variable "&amp;S$61&amp;""&amp;" no puede superar el Total Ambos Sexos. ",""))</f>
        <v/>
      </c>
      <c r="CD73" s="405">
        <f>IF(AND($N73&gt;0,T73=""),"*No olvide digitar el campo "&amp;T$61&amp;""&amp;". Digite CERO si no tiene.", IF(T73&gt;$N73," * La variable "&amp;T$61&amp;""&amp;" no puede superar el Total Ambos Sexos. ",""))</f>
        <v/>
      </c>
      <c r="CE73" s="405">
        <f>IF(AND($N73&gt;0,U73=""),"*No olvide digitar el campo "&amp;U$61&amp;""&amp;". Digite CERO si no tiene.", IF(U73&gt;$N73," * La variable "&amp;U$61&amp;""&amp;" no puede superar el Total Ambos Sexos. ",""))</f>
        <v/>
      </c>
      <c r="CF73" s="405">
        <f>IF(AND($N73&gt;0,V73=""),"*No olvide digitar el campo "&amp;V$61&amp;""&amp;". Digite CERO si no tiene.", IF(V73&gt;$N73," * La variable "&amp;V$61&amp;""&amp;" no puede superar el Total Ambos Sexos. ",""))</f>
        <v/>
      </c>
      <c r="CG73" s="405">
        <f>IF(AND($N73&gt;0,W73=""),"*No olvide digitar el campo "&amp;W$61&amp;""&amp;". Digite CERO si no tiene.", IF(W73&gt;$N73," * La variable "&amp;W$61&amp;""&amp;" no puede superar el Total Ambos Sexos. ",""))</f>
        <v/>
      </c>
      <c r="CM73" s="197">
        <f>IF(AND(P73&gt;0,OR(Q73="")),1,IF(Q73&gt;P73,1,0))</f>
        <v/>
      </c>
      <c r="CN73" s="197">
        <f>IF(AND(O73&gt;0,OR(R73="")),1,IF(R73&gt;O73,1,0))</f>
        <v/>
      </c>
      <c r="CO73" s="197">
        <f>IF(AND($N73&gt;0,OR(S73="")),1,IF(S73&gt;$N73,1,0))</f>
        <v/>
      </c>
      <c r="CP73" s="197">
        <f>IF(AND($N73&gt;0,OR(T73="")),1,IF(T73&gt;$N73,1,0))</f>
        <v/>
      </c>
      <c r="CQ73" s="197">
        <f>IF(AND($N73&gt;0,OR(U73="")),1,IF(U73&gt;$N73,1,0))</f>
        <v/>
      </c>
      <c r="CR73" s="197">
        <f>IF(AND($N73&gt;0,OR(V73="")),1,IF(V73&gt;$N73,1,0))</f>
        <v/>
      </c>
      <c r="CS73" s="197">
        <f>IF(AND($N73&gt;0,OR(W73="")),1,IF(W73&gt;$N73,1,0))</f>
        <v/>
      </c>
    </row>
    <row r="74">
      <c r="A74" s="3365" t="inlineStr">
        <is>
          <t>TOTAL</t>
        </is>
      </c>
      <c r="B74" s="3366">
        <f>SUM(C74:L74)</f>
        <v/>
      </c>
      <c r="C74" s="3367">
        <f>SUM(C62:C73)</f>
        <v/>
      </c>
      <c r="D74" s="3367">
        <f>SUM(D62:D73)</f>
        <v/>
      </c>
      <c r="E74" s="3367">
        <f>SUM(E62:E73)</f>
        <v/>
      </c>
      <c r="F74" s="3367">
        <f>SUM(F62:F73)</f>
        <v/>
      </c>
      <c r="G74" s="3368">
        <f>SUM(G62:G73)</f>
        <v/>
      </c>
      <c r="H74" s="3367">
        <f>SUM(H62:H73)</f>
        <v/>
      </c>
      <c r="I74" s="3367">
        <f>SUM(I62:I73)</f>
        <v/>
      </c>
      <c r="J74" s="3368">
        <f>SUM(J62:J73)</f>
        <v/>
      </c>
      <c r="K74" s="3367">
        <f>SUM(K62:K73)</f>
        <v/>
      </c>
      <c r="L74" s="3369">
        <f>SUM(L62:L73)</f>
        <v/>
      </c>
      <c r="M74" s="3370">
        <f>SUM(M62:M73)</f>
        <v/>
      </c>
      <c r="N74" s="5444">
        <f>SUM(O74:P74)</f>
        <v/>
      </c>
      <c r="O74" s="3370">
        <f>SUM(O62:O73)</f>
        <v/>
      </c>
      <c r="P74" s="3371">
        <f>SUM(P62:P73)</f>
        <v/>
      </c>
      <c r="Q74" s="3372">
        <f>SUM(Q62:Q73)</f>
        <v/>
      </c>
      <c r="R74" s="3367">
        <f>SUM(R62:R73)</f>
        <v/>
      </c>
      <c r="S74" s="3367">
        <f>SUM(S62:S73)</f>
        <v/>
      </c>
      <c r="T74" s="5443">
        <f>SUM(T62:T73)</f>
        <v/>
      </c>
      <c r="U74" s="5444">
        <f>SUM(U62:U73)</f>
        <v/>
      </c>
      <c r="V74" s="5444">
        <f>SUM(V62:V73)</f>
        <v/>
      </c>
      <c r="W74" s="3373">
        <f>SUM(W62:W73)</f>
        <v/>
      </c>
    </row>
    <row r="75" ht="18" customHeight="1" s="8286">
      <c r="A75" s="10323" t="inlineStr">
        <is>
          <t>SECCIÓN B.2: TOTAL DE SESIONES SEGÚN LÍNEAS DE ACCIÓN Y PARTICIPANTES</t>
        </is>
      </c>
      <c r="B75" s="10190" t="n"/>
      <c r="C75" s="10190" t="n"/>
      <c r="D75" s="10190" t="n"/>
      <c r="E75" s="10190" t="n"/>
      <c r="F75" s="10190" t="n"/>
      <c r="G75" s="10190" t="n"/>
      <c r="H75" s="10190" t="n"/>
      <c r="I75" s="10190" t="n"/>
      <c r="J75" s="10190" t="n"/>
      <c r="K75" s="10190" t="n"/>
      <c r="L75" s="10190" t="n"/>
      <c r="M75" s="10190" t="n"/>
      <c r="N75" s="10190" t="n"/>
    </row>
    <row r="76" ht="15" customHeight="1" s="8286">
      <c r="A76" s="10348" t="inlineStr">
        <is>
          <t>LÍNEAS DE ACCIÓN</t>
        </is>
      </c>
      <c r="B76" s="7676" t="inlineStr">
        <is>
          <t>N° DE SESIONES</t>
        </is>
      </c>
      <c r="C76" s="9976" t="inlineStr">
        <is>
          <t>PARTICIPANTES</t>
        </is>
      </c>
      <c r="D76" s="9584" t="n"/>
      <c r="E76" s="9584" t="n"/>
      <c r="F76" s="9584" t="n"/>
      <c r="G76" s="9584" t="n"/>
      <c r="H76" s="9584" t="n"/>
      <c r="I76" s="9584" t="n"/>
      <c r="J76" s="9584" t="n"/>
      <c r="K76" s="9584" t="n"/>
      <c r="L76" s="9595" t="n"/>
      <c r="M76" s="10349" t="inlineStr">
        <is>
          <t>REPRESENTANTES</t>
        </is>
      </c>
      <c r="N76" s="10190" t="n"/>
      <c r="O76" s="10190" t="n"/>
      <c r="P76" s="10190" t="n"/>
      <c r="Q76" s="10190" t="n"/>
      <c r="R76" s="10321" t="n"/>
    </row>
    <row r="77" ht="37.5" customHeight="1" s="8286">
      <c r="A77" s="10350" t="n"/>
      <c r="B77" s="9610" t="n"/>
      <c r="C77" s="3088" t="inlineStr">
        <is>
          <t>Total Ambos Sexos</t>
        </is>
      </c>
      <c r="D77" s="3091" t="inlineStr">
        <is>
          <t>Hombres</t>
        </is>
      </c>
      <c r="E77" s="3092" t="inlineStr">
        <is>
          <t>Mujeres</t>
        </is>
      </c>
      <c r="F77" s="3141" t="inlineStr">
        <is>
          <t>Trans Masculino</t>
        </is>
      </c>
      <c r="G77" s="3089" t="inlineStr">
        <is>
          <t>Trans Femenina</t>
        </is>
      </c>
      <c r="H77" s="3089" t="inlineStr">
        <is>
          <t>No binarie</t>
        </is>
      </c>
      <c r="I77" s="3089" t="inlineStr">
        <is>
          <t>No revelado</t>
        </is>
      </c>
      <c r="J77" s="3089" t="inlineStr">
        <is>
          <t>Pueblos Originarios</t>
        </is>
      </c>
      <c r="K77" s="3089" t="inlineStr">
        <is>
          <t>Migrantes</t>
        </is>
      </c>
      <c r="L77" s="3092" t="inlineStr">
        <is>
          <t>PRAIS</t>
        </is>
      </c>
      <c r="M77" s="3091" t="inlineStr">
        <is>
          <t>Consejos de la Sociedad Civil (COSOC)</t>
        </is>
      </c>
      <c r="N77" s="8292" t="inlineStr">
        <is>
          <t xml:space="preserve">Consejos Consultivos de Usuarios </t>
        </is>
      </c>
      <c r="O77" s="3089" t="inlineStr">
        <is>
          <t>Consejo de Desarrollo Local (CDL)</t>
        </is>
      </c>
      <c r="P77" s="8292" t="inlineStr">
        <is>
          <t>Organizaciones sociales</t>
        </is>
      </c>
      <c r="Q77" s="3089" t="inlineStr">
        <is>
          <t>Instancias de Participación Indígena</t>
        </is>
      </c>
      <c r="R77" s="7976" t="inlineStr">
        <is>
          <t>Consejo Interreligioso</t>
        </is>
      </c>
    </row>
    <row r="78">
      <c r="A78" s="3374" t="inlineStr">
        <is>
          <t>Cuentas públicas participativas</t>
        </is>
      </c>
      <c r="B78" s="3325" t="n"/>
      <c r="C78" s="3364">
        <f>SUM(D78:E78)</f>
        <v/>
      </c>
      <c r="D78" s="3158" t="n"/>
      <c r="E78" s="1465" t="n"/>
      <c r="F78" s="3156" t="n"/>
      <c r="G78" s="841" t="n"/>
      <c r="H78" s="841" t="n"/>
      <c r="I78" s="841" t="n"/>
      <c r="J78" s="841" t="n"/>
      <c r="K78" s="841" t="n"/>
      <c r="L78" s="1465" t="n"/>
      <c r="M78" s="3158" t="n"/>
      <c r="N78" s="841" t="n"/>
      <c r="O78" s="841" t="n"/>
      <c r="P78" s="841" t="n"/>
      <c r="Q78" s="841" t="n"/>
      <c r="R78" s="3130" t="n"/>
      <c r="S78" s="226">
        <f>CA78&amp;CB78&amp;CC78&amp;CD78&amp;CE78&amp;CF78&amp;CG78</f>
        <v/>
      </c>
      <c r="CA78" s="405">
        <f>IF(AND(E78&gt;0,F78=""),"*No olvide digitar el campo "&amp;F$77&amp;""&amp;". Digite CERO si no tiene.", IF(F78&gt;E78," * El Número de "&amp;F$77&amp;""&amp;" no puede superar el Total Mujeres. ",""))</f>
        <v/>
      </c>
      <c r="CB78" s="405">
        <f>IF(AND(D78&gt;0,G78=""),"*No olvide digitar el campo "&amp;G$77&amp;""&amp;". Digite CERO si no tiene.", IF(G78&gt;D78," * El Número de "&amp;G$77&amp;""&amp;" no puede superar el Total Hombres. ",""))</f>
        <v/>
      </c>
      <c r="CC78" s="405">
        <f>IF(AND($C78&gt;0,H78=""),"*No olvide digitar el campo "&amp;H$77&amp;""&amp;". Digite CERO si no tiene.", IF(H78&gt;$C78," * La variable "&amp;H$77&amp;""&amp;" no puede superar el Total Ambos Sexos. ",""))</f>
        <v/>
      </c>
      <c r="CD78" s="405">
        <f>IF(AND($C78&gt;0,I78=""),"*No olvide digitar el campo "&amp;I$77&amp;""&amp;". Digite CERO si no tiene.", IF(I78&gt;$C78," * La variable "&amp;I$77&amp;""&amp;" no puede superar el Total Ambos Sexos. ",""))</f>
        <v/>
      </c>
      <c r="CE78" s="405">
        <f>IF(AND($C78&gt;0,J78=""),"*No olvide digitar el campo "&amp;J$77&amp;""&amp;". Digite CERO si no tiene.", IF(J78&gt;$C78," * La variable "&amp;J$77&amp;""&amp;" no puede superar el Total Ambos Sexos. ",""))</f>
        <v/>
      </c>
      <c r="CF78" s="405">
        <f>IF(AND($C78&gt;0,K78=""),"*No olvide digitar el campo "&amp;K$77&amp;""&amp;". Digite CERO si no tiene.", IF(K78&gt;$C78," * La variable "&amp;K$77&amp;""&amp;" no puede superar el Total Ambos Sexos. ",""))</f>
        <v/>
      </c>
      <c r="CG78" s="405">
        <f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/>
      </c>
      <c r="CN78" s="197">
        <f>IF(AND(D78&gt;0,OR(G78="")),1,IF(G78&gt;D78,1,0))</f>
        <v/>
      </c>
      <c r="CO78" s="197">
        <f>IF(AND($C78&gt;0,OR(H78="")),1,IF(H78&gt;$C78,1,0))</f>
        <v/>
      </c>
      <c r="CP78" s="197">
        <f>IF(AND($C78&gt;0,OR(I78="")),1,IF(I78&gt;$C78,1,0))</f>
        <v/>
      </c>
      <c r="CQ78" s="197">
        <f>IF(AND($C78&gt;0,OR(J78="")),1,IF(J78&gt;$C78,1,0))</f>
        <v/>
      </c>
      <c r="CR78" s="197">
        <f>IF(AND($C78&gt;0,OR(K78="")),1,IF(K78&gt;$C78,1,0))</f>
        <v/>
      </c>
      <c r="CS78" s="197">
        <f>IF(AND($C78&gt;0,OR(L78="")),1,IF(L78&gt;$C78,1,0))</f>
        <v/>
      </c>
    </row>
    <row r="79">
      <c r="A79" s="3284" t="inlineStr">
        <is>
          <t>Presupuestos participativos</t>
        </is>
      </c>
      <c r="B79" s="1298" t="n"/>
      <c r="C79" s="1162">
        <f>SUM(D79:E79)</f>
        <v/>
      </c>
      <c r="D79" s="3100" t="n"/>
      <c r="E79" s="880" t="n"/>
      <c r="F79" s="881" t="n"/>
      <c r="G79" s="882" t="n"/>
      <c r="H79" s="882" t="n"/>
      <c r="I79" s="882" t="n"/>
      <c r="J79" s="882" t="n"/>
      <c r="K79" s="882" t="n"/>
      <c r="L79" s="880" t="n"/>
      <c r="M79" s="3100" t="n"/>
      <c r="N79" s="882" t="n"/>
      <c r="O79" s="882" t="n"/>
      <c r="P79" s="882" t="n"/>
      <c r="Q79" s="882" t="n"/>
      <c r="R79" s="1125" t="n"/>
      <c r="S79" s="226">
        <f>CA79&amp;CB79&amp;CC79&amp;CD79&amp;CE79&amp;CF79&amp;CG79</f>
        <v/>
      </c>
      <c r="CA79" s="405">
        <f>IF(AND(E79&gt;0,F79=""),"*No olvide digitar el campo "&amp;F$77&amp;""&amp;". Digite CERO si no tiene.", IF(F79&gt;E79," * El Número de "&amp;F$77&amp;""&amp;" no puede superar el Total Mujeres. ",""))</f>
        <v/>
      </c>
      <c r="CB79" s="405">
        <f>IF(AND(D79&gt;0,G79=""),"*No olvide digitar el campo "&amp;G$77&amp;""&amp;". Digite CERO si no tiene.", IF(G79&gt;D79," * El Número de "&amp;G$77&amp;""&amp;" no puede superar el Total Hombres. ",""))</f>
        <v/>
      </c>
      <c r="CC79" s="405">
        <f>IF(AND($C79&gt;0,H79=""),"*No olvide digitar el campo "&amp;H$77&amp;""&amp;". Digite CERO si no tiene.", IF(H79&gt;$C79," * La variable "&amp;H$77&amp;""&amp;" no puede superar el Total Ambos Sexos. ",""))</f>
        <v/>
      </c>
      <c r="CD79" s="405">
        <f>IF(AND($C79&gt;0,I79=""),"*No olvide digitar el campo "&amp;I$77&amp;""&amp;". Digite CERO si no tiene.", IF(I79&gt;$C79," * La variable "&amp;I$77&amp;""&amp;" no puede superar el Total Ambos Sexos. ",""))</f>
        <v/>
      </c>
      <c r="CE79" s="405">
        <f>IF(AND($C79&gt;0,J79=""),"*No olvide digitar el campo "&amp;J$77&amp;""&amp;". Digite CERO si no tiene.", IF(J79&gt;$C79," * La variable "&amp;J$77&amp;""&amp;" no puede superar el Total Ambos Sexos. ",""))</f>
        <v/>
      </c>
      <c r="CF79" s="405">
        <f>IF(AND($C79&gt;0,K79=""),"*No olvide digitar el campo "&amp;K$77&amp;""&amp;". Digite CERO si no tiene.", IF(K79&gt;$C79," * La variable "&amp;K$77&amp;""&amp;" no puede superar el Total Ambos Sexos. ",""))</f>
        <v/>
      </c>
      <c r="CG79" s="405">
        <f>IF(AND($C79&gt;0,L79=""),"*No olvide digitar el campo "&amp;L$77&amp;""&amp;". Digite CERO si no tiene.", IF(L79&gt;$C79," * La variable "&amp;L$77&amp;""&amp;" no puede superar el Total Ambos Sexos. ",""))</f>
        <v/>
      </c>
      <c r="CM79" s="197">
        <f>IF(AND(E79&gt;0,OR(F79="")),1,IF(F79&gt;E79,1,0))</f>
        <v/>
      </c>
      <c r="CN79" s="197">
        <f>IF(AND(D79&gt;0,OR(G79="")),1,IF(G79&gt;D79,1,0))</f>
        <v/>
      </c>
      <c r="CO79" s="197">
        <f>IF(AND($C79&gt;0,OR(H79="")),1,IF(H79&gt;$C79,1,0))</f>
        <v/>
      </c>
      <c r="CP79" s="197">
        <f>IF(AND($C79&gt;0,OR(I79="")),1,IF(I79&gt;$C79,1,0))</f>
        <v/>
      </c>
      <c r="CQ79" s="197">
        <f>IF(AND($C79&gt;0,OR(J79="")),1,IF(J79&gt;$C79,1,0))</f>
        <v/>
      </c>
      <c r="CR79" s="197">
        <f>IF(AND($C79&gt;0,OR(K79="")),1,IF(K79&gt;$C79,1,0))</f>
        <v/>
      </c>
      <c r="CS79" s="197">
        <f>IF(AND($C79&gt;0,OR(L79="")),1,IF(L79&gt;$C79,1,0))</f>
        <v/>
      </c>
    </row>
    <row r="80">
      <c r="A80" s="3284" t="inlineStr">
        <is>
          <t>Consultas y/o Diálogos ciudadanos</t>
        </is>
      </c>
      <c r="B80" s="1298" t="n"/>
      <c r="C80" s="1926">
        <f>SUM(D80:E80)</f>
        <v/>
      </c>
      <c r="D80" s="3100" t="n"/>
      <c r="E80" s="880" t="n"/>
      <c r="F80" s="881" t="n"/>
      <c r="G80" s="882" t="n"/>
      <c r="H80" s="882" t="n"/>
      <c r="I80" s="882" t="n"/>
      <c r="J80" s="882" t="n"/>
      <c r="K80" s="882" t="n"/>
      <c r="L80" s="880" t="n"/>
      <c r="M80" s="3100" t="n"/>
      <c r="N80" s="882" t="n"/>
      <c r="O80" s="882" t="n"/>
      <c r="P80" s="882" t="n"/>
      <c r="Q80" s="882" t="n"/>
      <c r="R80" s="1125" t="n"/>
      <c r="S80" s="226">
        <f>CA80&amp;CB80&amp;CC80&amp;CD80&amp;CE80&amp;CF80&amp;CG80</f>
        <v/>
      </c>
      <c r="CA80" s="405">
        <f>IF(AND(E80&gt;0,F80=""),"*No olvide digitar el campo "&amp;F$77&amp;""&amp;". Digite CERO si no tiene.", IF(F80&gt;E80," * El Número de "&amp;F$77&amp;""&amp;" no puede superar el Total Mujeres. ",""))</f>
        <v/>
      </c>
      <c r="CB80" s="405">
        <f>IF(AND(D80&gt;0,G80=""),"*No olvide digitar el campo "&amp;G$77&amp;""&amp;". Digite CERO si no tiene.", IF(G80&gt;D80," * El Número de "&amp;G$77&amp;""&amp;" no puede superar el Total Hombres. ",""))</f>
        <v/>
      </c>
      <c r="CC80" s="405">
        <f>IF(AND($C80&gt;0,H80=""),"*No olvide digitar el campo "&amp;H$77&amp;""&amp;". Digite CERO si no tiene.", IF(H80&gt;$C80," * La variable "&amp;H$77&amp;""&amp;" no puede superar el Total Ambos Sexos. ",""))</f>
        <v/>
      </c>
      <c r="CD80" s="405">
        <f>IF(AND($C80&gt;0,I80=""),"*No olvide digitar el campo "&amp;I$77&amp;""&amp;". Digite CERO si no tiene.", IF(I80&gt;$C80," * La variable "&amp;I$77&amp;""&amp;" no puede superar el Total Ambos Sexos. ",""))</f>
        <v/>
      </c>
      <c r="CE80" s="405">
        <f>IF(AND($C80&gt;0,J80=""),"*No olvide digitar el campo "&amp;J$77&amp;""&amp;". Digite CERO si no tiene.", IF(J80&gt;$C80," * La variable "&amp;J$77&amp;""&amp;" no puede superar el Total Ambos Sexos. ",""))</f>
        <v/>
      </c>
      <c r="CF80" s="405">
        <f>IF(AND($C80&gt;0,K80=""),"*No olvide digitar el campo "&amp;K$77&amp;""&amp;". Digite CERO si no tiene.", IF(K80&gt;$C80," * La variable "&amp;K$77&amp;""&amp;" no puede superar el Total Ambos Sexos. ",""))</f>
        <v/>
      </c>
      <c r="CG80" s="405">
        <f>IF(AND($C80&gt;0,L80=""),"*No olvide digitar el campo "&amp;L$77&amp;""&amp;". Digite CERO si no tiene.", IF(L80&gt;$C80," * La variable "&amp;L$77&amp;""&amp;" no puede superar el Total Ambos Sexos. ",""))</f>
        <v/>
      </c>
      <c r="CM80" s="197">
        <f>IF(AND(E80&gt;0,OR(F80="")),1,IF(F80&gt;E80,1,0))</f>
        <v/>
      </c>
      <c r="CN80" s="197">
        <f>IF(AND(D80&gt;0,OR(G80="")),1,IF(G80&gt;D80,1,0))</f>
        <v/>
      </c>
      <c r="CO80" s="197">
        <f>IF(AND($C80&gt;0,OR(H80="")),1,IF(H80&gt;$C80,1,0))</f>
        <v/>
      </c>
      <c r="CP80" s="197">
        <f>IF(AND($C80&gt;0,OR(I80="")),1,IF(I80&gt;$C80,1,0))</f>
        <v/>
      </c>
      <c r="CQ80" s="197">
        <f>IF(AND($C80&gt;0,OR(J80="")),1,IF(J80&gt;$C80,1,0))</f>
        <v/>
      </c>
      <c r="CR80" s="197">
        <f>IF(AND($C80&gt;0,OR(K80="")),1,IF(K80&gt;$C80,1,0))</f>
        <v/>
      </c>
      <c r="CS80" s="197">
        <f>IF(AND($C80&gt;0,OR(L80="")),1,IF(L80&gt;$C80,1,0))</f>
        <v/>
      </c>
    </row>
    <row r="81">
      <c r="A81" s="3284" t="inlineStr">
        <is>
          <t>Participación en Proyectos de Inversión</t>
        </is>
      </c>
      <c r="B81" s="702" t="n"/>
      <c r="C81" s="1926">
        <f>SUM(D81:E81)</f>
        <v/>
      </c>
      <c r="D81" s="3100" t="n"/>
      <c r="E81" s="880" t="n"/>
      <c r="F81" s="881" t="n"/>
      <c r="G81" s="882" t="n"/>
      <c r="H81" s="882" t="n"/>
      <c r="I81" s="882" t="n"/>
      <c r="J81" s="882" t="n"/>
      <c r="K81" s="882" t="n"/>
      <c r="L81" s="880" t="n"/>
      <c r="M81" s="3100" t="n"/>
      <c r="N81" s="882" t="n"/>
      <c r="O81" s="882" t="n"/>
      <c r="P81" s="882" t="n"/>
      <c r="Q81" s="882" t="n"/>
      <c r="R81" s="1125" t="n"/>
      <c r="S81" s="226">
        <f>CA81&amp;CB81&amp;CC81&amp;CD81&amp;CE81&amp;CF81&amp;CG81</f>
        <v/>
      </c>
      <c r="CA81" s="405">
        <f>IF(AND(E81&gt;0,F81=""),"*No olvide digitar el campo "&amp;F$77&amp;""&amp;". Digite CERO si no tiene.", IF(F81&gt;E81," * El Número de "&amp;F$77&amp;""&amp;" no puede superar el Total Mujeres. ",""))</f>
        <v/>
      </c>
      <c r="CB81" s="405">
        <f>IF(AND(D81&gt;0,G81=""),"*No olvide digitar el campo "&amp;G$77&amp;""&amp;". Digite CERO si no tiene.", IF(G81&gt;D81," * El Número de "&amp;G$77&amp;""&amp;" no puede superar el Total Hombres. ",""))</f>
        <v/>
      </c>
      <c r="CC81" s="405">
        <f>IF(AND($C81&gt;0,H81=""),"*No olvide digitar el campo "&amp;H$77&amp;""&amp;". Digite CERO si no tiene.", IF(H81&gt;$C81," * La variable "&amp;H$77&amp;""&amp;" no puede superar el Total Ambos Sexos. ",""))</f>
        <v/>
      </c>
      <c r="CD81" s="405">
        <f>IF(AND($C81&gt;0,I81=""),"*No olvide digitar el campo "&amp;I$77&amp;""&amp;". Digite CERO si no tiene.", IF(I81&gt;$C81," * La variable "&amp;I$77&amp;""&amp;" no puede superar el Total Ambos Sexos. ",""))</f>
        <v/>
      </c>
      <c r="CE81" s="405">
        <f>IF(AND($C81&gt;0,J81=""),"*No olvide digitar el campo "&amp;J$77&amp;""&amp;". Digite CERO si no tiene.", IF(J81&gt;$C81," * La variable "&amp;J$77&amp;""&amp;" no puede superar el Total Ambos Sexos. ",""))</f>
        <v/>
      </c>
      <c r="CF81" s="405">
        <f>IF(AND($C81&gt;0,K81=""),"*No olvide digitar el campo "&amp;K$77&amp;""&amp;". Digite CERO si no tiene.", IF(K81&gt;$C81," * La variable "&amp;K$77&amp;""&amp;" no puede superar el Total Ambos Sexos. ",""))</f>
        <v/>
      </c>
      <c r="CG81" s="405">
        <f>IF(AND($C81&gt;0,L81=""),"*No olvide digitar el campo "&amp;L$77&amp;""&amp;". Digite CERO si no tiene.", IF(L81&gt;$C81," * La variable "&amp;L$77&amp;""&amp;" no puede superar el Total Ambos Sexos. ",""))</f>
        <v/>
      </c>
      <c r="CM81" s="197">
        <f>IF(AND(E81&gt;0,OR(F81="")),1,IF(F81&gt;E81,1,0))</f>
        <v/>
      </c>
      <c r="CN81" s="197">
        <f>IF(AND(D81&gt;0,OR(G81="")),1,IF(G81&gt;D81,1,0))</f>
        <v/>
      </c>
      <c r="CO81" s="197">
        <f>IF(AND($C81&gt;0,OR(H81="")),1,IF(H81&gt;$C81,1,0))</f>
        <v/>
      </c>
      <c r="CP81" s="197">
        <f>IF(AND($C81&gt;0,OR(I81="")),1,IF(I81&gt;$C81,1,0))</f>
        <v/>
      </c>
      <c r="CQ81" s="197">
        <f>IF(AND($C81&gt;0,OR(J81="")),1,IF(J81&gt;$C81,1,0))</f>
        <v/>
      </c>
      <c r="CR81" s="197">
        <f>IF(AND($C81&gt;0,OR(K81="")),1,IF(K81&gt;$C81,1,0))</f>
        <v/>
      </c>
      <c r="CS81" s="197">
        <f>IF(AND($C81&gt;0,OR(L81="")),1,IF(L81&gt;$C81,1,0))</f>
        <v/>
      </c>
    </row>
    <row r="82">
      <c r="A82" s="3284" t="inlineStr">
        <is>
          <t>Apoyo al Voluntariado</t>
        </is>
      </c>
      <c r="B82" s="1298" t="n"/>
      <c r="C82" s="640">
        <f>SUM(D82:E82)</f>
        <v/>
      </c>
      <c r="D82" s="3100" t="n"/>
      <c r="E82" s="880" t="n"/>
      <c r="F82" s="881" t="n"/>
      <c r="G82" s="882" t="n"/>
      <c r="H82" s="882" t="n"/>
      <c r="I82" s="882" t="n"/>
      <c r="J82" s="882" t="n"/>
      <c r="K82" s="882" t="n"/>
      <c r="L82" s="880" t="n"/>
      <c r="M82" s="3100" t="n"/>
      <c r="N82" s="882" t="n"/>
      <c r="O82" s="882" t="n"/>
      <c r="P82" s="882" t="n"/>
      <c r="Q82" s="882" t="n"/>
      <c r="R82" s="1125" t="n"/>
      <c r="S82" s="226">
        <f>CA82&amp;CB82&amp;CC82&amp;CD82&amp;CE82&amp;CF82&amp;CG82</f>
        <v/>
      </c>
      <c r="CA82" s="405">
        <f>IF(AND(E82&gt;0,F82=""),"*No olvide digitar el campo "&amp;F$77&amp;""&amp;". Digite CERO si no tiene.", IF(F82&gt;E82," * El Número de "&amp;F$77&amp;""&amp;" no puede superar el Total Mujeres. ",""))</f>
        <v/>
      </c>
      <c r="CB82" s="405">
        <f>IF(AND(D82&gt;0,G82=""),"*No olvide digitar el campo "&amp;G$77&amp;""&amp;". Digite CERO si no tiene.", IF(G82&gt;D82," * El Número de "&amp;G$77&amp;""&amp;" no puede superar el Total Hombres. ",""))</f>
        <v/>
      </c>
      <c r="CC82" s="405">
        <f>IF(AND($C82&gt;0,H82=""),"*No olvide digitar el campo "&amp;H$77&amp;""&amp;". Digite CERO si no tiene.", IF(H82&gt;$C82," * La variable "&amp;H$77&amp;""&amp;" no puede superar el Total Ambos Sexos. ",""))</f>
        <v/>
      </c>
      <c r="CD82" s="405">
        <f>IF(AND($C82&gt;0,I82=""),"*No olvide digitar el campo "&amp;I$77&amp;""&amp;". Digite CERO si no tiene.", IF(I82&gt;$C82," * La variable "&amp;I$77&amp;""&amp;" no puede superar el Total Ambos Sexos. ",""))</f>
        <v/>
      </c>
      <c r="CE82" s="405">
        <f>IF(AND($C82&gt;0,J82=""),"*No olvide digitar el campo "&amp;J$77&amp;""&amp;". Digite CERO si no tiene.", IF(J82&gt;$C82," * La variable "&amp;J$77&amp;""&amp;" no puede superar el Total Ambos Sexos. ",""))</f>
        <v/>
      </c>
      <c r="CF82" s="405">
        <f>IF(AND($C82&gt;0,K82=""),"*No olvide digitar el campo "&amp;K$77&amp;""&amp;". Digite CERO si no tiene.", IF(K82&gt;$C82," * La variable "&amp;K$77&amp;""&amp;" no puede superar el Total Ambos Sexos. ",""))</f>
        <v/>
      </c>
      <c r="CG82" s="405">
        <f>IF(AND($C82&gt;0,L82=""),"*No olvide digitar el campo "&amp;L$77&amp;""&amp;". Digite CERO si no tiene.", IF(L82&gt;$C82," * La variable "&amp;L$77&amp;""&amp;" no puede superar el Total Ambos Sexos. ",""))</f>
        <v/>
      </c>
      <c r="CM82" s="197">
        <f>IF(AND(E82&gt;0,OR(F82="")),1,IF(F82&gt;E82,1,0))</f>
        <v/>
      </c>
      <c r="CN82" s="197">
        <f>IF(AND(D82&gt;0,OR(G82="")),1,IF(G82&gt;D82,1,0))</f>
        <v/>
      </c>
      <c r="CO82" s="197">
        <f>IF(AND($C82&gt;0,OR(H82="")),1,IF(H82&gt;$C82,1,0))</f>
        <v/>
      </c>
      <c r="CP82" s="197">
        <f>IF(AND($C82&gt;0,OR(I82="")),1,IF(I82&gt;$C82,1,0))</f>
        <v/>
      </c>
      <c r="CQ82" s="197">
        <f>IF(AND($C82&gt;0,OR(J82="")),1,IF(J82&gt;$C82,1,0))</f>
        <v/>
      </c>
      <c r="CR82" s="197">
        <f>IF(AND($C82&gt;0,OR(K82="")),1,IF(K82&gt;$C82,1,0))</f>
        <v/>
      </c>
      <c r="CS82" s="197">
        <f>IF(AND($C82&gt;0,OR(L82="")),1,IF(L82&gt;$C82,1,0))</f>
        <v/>
      </c>
    </row>
    <row r="83">
      <c r="A83" s="3284" t="inlineStr">
        <is>
          <t>Diagnóstico Participativo</t>
        </is>
      </c>
      <c r="B83" s="3227" t="n"/>
      <c r="C83" s="1162">
        <f>SUM(D83:E83)</f>
        <v/>
      </c>
      <c r="D83" s="3100" t="n"/>
      <c r="E83" s="880" t="n"/>
      <c r="F83" s="881" t="n"/>
      <c r="G83" s="882" t="n"/>
      <c r="H83" s="882" t="n"/>
      <c r="I83" s="882" t="n"/>
      <c r="J83" s="882" t="n"/>
      <c r="K83" s="882" t="n"/>
      <c r="L83" s="880" t="n"/>
      <c r="M83" s="3100" t="n"/>
      <c r="N83" s="882" t="n"/>
      <c r="O83" s="882" t="n"/>
      <c r="P83" s="882" t="n"/>
      <c r="Q83" s="882" t="n"/>
      <c r="R83" s="1125" t="n"/>
      <c r="S83" s="226">
        <f>CA83&amp;CB83&amp;CC83&amp;CD83&amp;CE83&amp;CF83&amp;CG83</f>
        <v/>
      </c>
      <c r="CA83" s="405">
        <f>IF(AND(E83&gt;0,F83=""),"*No olvide digitar el campo "&amp;F$77&amp;""&amp;". Digite CERO si no tiene.", IF(F83&gt;E83," * El Número de "&amp;F$77&amp;""&amp;" no puede superar el Total Mujeres. ",""))</f>
        <v/>
      </c>
      <c r="CB83" s="405">
        <f>IF(AND(D83&gt;0,G83=""),"*No olvide digitar el campo "&amp;G$77&amp;""&amp;". Digite CERO si no tiene.", IF(G83&gt;D83," * El Número de "&amp;G$77&amp;""&amp;" no puede superar el Total Hombres. ",""))</f>
        <v/>
      </c>
      <c r="CC83" s="405">
        <f>IF(AND($C83&gt;0,H83=""),"*No olvide digitar el campo "&amp;H$77&amp;""&amp;". Digite CERO si no tiene.", IF(H83&gt;$C83," * La variable "&amp;H$77&amp;""&amp;" no puede superar el Total Ambos Sexos. ",""))</f>
        <v/>
      </c>
      <c r="CD83" s="405">
        <f>IF(AND($C83&gt;0,I83=""),"*No olvide digitar el campo "&amp;I$77&amp;""&amp;". Digite CERO si no tiene.", IF(I83&gt;$C83," * La variable "&amp;I$77&amp;""&amp;" no puede superar el Total Ambos Sexos. ",""))</f>
        <v/>
      </c>
      <c r="CE83" s="405">
        <f>IF(AND($C83&gt;0,J83=""),"*No olvide digitar el campo "&amp;J$77&amp;""&amp;". Digite CERO si no tiene.", IF(J83&gt;$C83," * La variable "&amp;J$77&amp;""&amp;" no puede superar el Total Ambos Sexos. ",""))</f>
        <v/>
      </c>
      <c r="CF83" s="405">
        <f>IF(AND($C83&gt;0,K83=""),"*No olvide digitar el campo "&amp;K$77&amp;""&amp;". Digite CERO si no tiene.", IF(K83&gt;$C83," * La variable "&amp;K$77&amp;""&amp;" no puede superar el Total Ambos Sexos. ",""))</f>
        <v/>
      </c>
      <c r="CG83" s="405">
        <f>IF(AND($C83&gt;0,L83=""),"*No olvide digitar el campo "&amp;L$77&amp;""&amp;". Digite CERO si no tiene.", IF(L83&gt;$C83," * La variable "&amp;L$77&amp;""&amp;" no puede superar el Total Ambos Sexos. ",""))</f>
        <v/>
      </c>
      <c r="CM83" s="197">
        <f>IF(AND(E83&gt;0,OR(F83="")),1,IF(F83&gt;E83,1,0))</f>
        <v/>
      </c>
      <c r="CN83" s="197">
        <f>IF(AND(D83&gt;0,OR(G83="")),1,IF(G83&gt;D83,1,0))</f>
        <v/>
      </c>
      <c r="CO83" s="197">
        <f>IF(AND($C83&gt;0,OR(H83="")),1,IF(H83&gt;$C83,1,0))</f>
        <v/>
      </c>
      <c r="CP83" s="197">
        <f>IF(AND($C83&gt;0,OR(I83="")),1,IF(I83&gt;$C83,1,0))</f>
        <v/>
      </c>
      <c r="CQ83" s="197">
        <f>IF(AND($C83&gt;0,OR(J83="")),1,IF(J83&gt;$C83,1,0))</f>
        <v/>
      </c>
      <c r="CR83" s="197">
        <f>IF(AND($C83&gt;0,OR(K83="")),1,IF(K83&gt;$C83,1,0))</f>
        <v/>
      </c>
      <c r="CS83" s="197">
        <f>IF(AND($C83&gt;0,OR(L83="")),1,IF(L83&gt;$C83,1,0))</f>
        <v/>
      </c>
    </row>
    <row r="84">
      <c r="A84" s="3284" t="inlineStr">
        <is>
          <t>Planificación Participativa</t>
        </is>
      </c>
      <c r="B84" s="3227" t="n"/>
      <c r="C84" s="1162">
        <f>SUM(D84:E84)</f>
        <v/>
      </c>
      <c r="D84" s="3100" t="n"/>
      <c r="E84" s="880" t="n"/>
      <c r="F84" s="881" t="n"/>
      <c r="G84" s="882" t="n"/>
      <c r="H84" s="882" t="n"/>
      <c r="I84" s="882" t="n"/>
      <c r="J84" s="882" t="n"/>
      <c r="K84" s="882" t="n"/>
      <c r="L84" s="880" t="n"/>
      <c r="M84" s="3100" t="n"/>
      <c r="N84" s="882" t="n"/>
      <c r="O84" s="882" t="n"/>
      <c r="P84" s="882" t="n"/>
      <c r="Q84" s="882" t="n"/>
      <c r="R84" s="1125" t="n"/>
      <c r="S84" s="226">
        <f>CA84&amp;CB84&amp;CC84&amp;CD84&amp;CE84&amp;CF84&amp;CG84</f>
        <v/>
      </c>
      <c r="CA84" s="405">
        <f>IF(AND(E84&gt;0,F84=""),"*No olvide digitar el campo "&amp;F$77&amp;""&amp;". Digite CERO si no tiene.", IF(F84&gt;E84," * El Número de "&amp;F$77&amp;""&amp;" no puede superar el Total Mujeres. ",""))</f>
        <v/>
      </c>
      <c r="CB84" s="405">
        <f>IF(AND(D84&gt;0,G84=""),"*No olvide digitar el campo "&amp;G$77&amp;""&amp;". Digite CERO si no tiene.", IF(G84&gt;D84," * El Número de "&amp;G$77&amp;""&amp;" no puede superar el Total Hombres. ",""))</f>
        <v/>
      </c>
      <c r="CC84" s="405">
        <f>IF(AND($C84&gt;0,H84=""),"*No olvide digitar el campo "&amp;H$77&amp;""&amp;". Digite CERO si no tiene.", IF(H84&gt;$C84," * La variable "&amp;H$77&amp;""&amp;" no puede superar el Total Ambos Sexos. ",""))</f>
        <v/>
      </c>
      <c r="CD84" s="405">
        <f>IF(AND($C84&gt;0,I84=""),"*No olvide digitar el campo "&amp;I$77&amp;""&amp;". Digite CERO si no tiene.", IF(I84&gt;$C84," * La variable "&amp;I$77&amp;""&amp;" no puede superar el Total Ambos Sexos. ",""))</f>
        <v/>
      </c>
      <c r="CE84" s="405">
        <f>IF(AND($C84&gt;0,J84=""),"*No olvide digitar el campo "&amp;J$77&amp;""&amp;". Digite CERO si no tiene.", IF(J84&gt;$C84," * La variable "&amp;J$77&amp;""&amp;" no puede superar el Total Ambos Sexos. ",""))</f>
        <v/>
      </c>
      <c r="CF84" s="405">
        <f>IF(AND($C84&gt;0,K84=""),"*No olvide digitar el campo "&amp;K$77&amp;""&amp;". Digite CERO si no tiene.", IF(K84&gt;$C84," * La variable "&amp;K$77&amp;""&amp;" no puede superar el Total Ambos Sexos. ",""))</f>
        <v/>
      </c>
      <c r="CG84" s="405">
        <f>IF(AND($C84&gt;0,L84=""),"*No olvide digitar el campo "&amp;L$77&amp;""&amp;". Digite CERO si no tiene.", IF(L84&gt;$C84," * La variable "&amp;L$77&amp;""&amp;" no puede superar el Total Ambos Sexos. ",""))</f>
        <v/>
      </c>
      <c r="CM84" s="197">
        <f>IF(AND(E84&gt;0,OR(F84="")),1,IF(F84&gt;E84,1,0))</f>
        <v/>
      </c>
      <c r="CN84" s="197">
        <f>IF(AND(D84&gt;0,OR(G84="")),1,IF(G84&gt;D84,1,0))</f>
        <v/>
      </c>
      <c r="CO84" s="197">
        <f>IF(AND($C84&gt;0,OR(H84="")),1,IF(H84&gt;$C84,1,0))</f>
        <v/>
      </c>
      <c r="CP84" s="197">
        <f>IF(AND($C84&gt;0,OR(I84="")),1,IF(I84&gt;$C84,1,0))</f>
        <v/>
      </c>
      <c r="CQ84" s="197">
        <f>IF(AND($C84&gt;0,OR(J84="")),1,IF(J84&gt;$C84,1,0))</f>
        <v/>
      </c>
      <c r="CR84" s="197">
        <f>IF(AND($C84&gt;0,OR(K84="")),1,IF(K84&gt;$C84,1,0))</f>
        <v/>
      </c>
      <c r="CS84" s="197">
        <f>IF(AND($C84&gt;0,OR(L84="")),1,IF(L84&gt;$C84,1,0))</f>
        <v/>
      </c>
    </row>
    <row r="85">
      <c r="A85" s="3284" t="inlineStr">
        <is>
          <t>Ejecución Participativa</t>
        </is>
      </c>
      <c r="B85" s="702" t="n"/>
      <c r="C85" s="1162">
        <f>SUM(D85:E85)</f>
        <v/>
      </c>
      <c r="D85" s="3100" t="n"/>
      <c r="E85" s="880" t="n"/>
      <c r="F85" s="881" t="n"/>
      <c r="G85" s="882" t="n"/>
      <c r="H85" s="882" t="n"/>
      <c r="I85" s="882" t="n"/>
      <c r="J85" s="882" t="n"/>
      <c r="K85" s="882" t="n"/>
      <c r="L85" s="880" t="n"/>
      <c r="M85" s="3100" t="n"/>
      <c r="N85" s="882" t="n"/>
      <c r="O85" s="882" t="n"/>
      <c r="P85" s="882" t="n"/>
      <c r="Q85" s="882" t="n"/>
      <c r="R85" s="1125" t="n"/>
      <c r="S85" s="226">
        <f>CA85&amp;CB85&amp;CC85&amp;CD85&amp;CE85&amp;CF85&amp;CG85</f>
        <v/>
      </c>
      <c r="CA85" s="405">
        <f>IF(AND(E85&gt;0,F85=""),"*No olvide digitar el campo "&amp;F$77&amp;""&amp;". Digite CERO si no tiene.", IF(F85&gt;E85," * El Número de "&amp;F$77&amp;""&amp;" no puede superar el Total Mujeres. ",""))</f>
        <v/>
      </c>
      <c r="CB85" s="405">
        <f>IF(AND(D85&gt;0,G85=""),"*No olvide digitar el campo "&amp;G$77&amp;""&amp;". Digite CERO si no tiene.", IF(G85&gt;D85," * El Número de "&amp;G$77&amp;""&amp;" no puede superar el Total Hombres. ",""))</f>
        <v/>
      </c>
      <c r="CC85" s="405">
        <f>IF(AND($C85&gt;0,H85=""),"*No olvide digitar el campo "&amp;H$77&amp;""&amp;". Digite CERO si no tiene.", IF(H85&gt;$C85," * La variable "&amp;H$77&amp;""&amp;" no puede superar el Total Ambos Sexos. ",""))</f>
        <v/>
      </c>
      <c r="CD85" s="405">
        <f>IF(AND($C85&gt;0,I85=""),"*No olvide digitar el campo "&amp;I$77&amp;""&amp;". Digite CERO si no tiene.", IF(I85&gt;$C85," * La variable "&amp;I$77&amp;""&amp;" no puede superar el Total Ambos Sexos. ",""))</f>
        <v/>
      </c>
      <c r="CE85" s="405">
        <f>IF(AND($C85&gt;0,J85=""),"*No olvide digitar el campo "&amp;J$77&amp;""&amp;". Digite CERO si no tiene.", IF(J85&gt;$C85," * La variable "&amp;J$77&amp;""&amp;" no puede superar el Total Ambos Sexos. ",""))</f>
        <v/>
      </c>
      <c r="CF85" s="405">
        <f>IF(AND($C85&gt;0,K85=""),"*No olvide digitar el campo "&amp;K$77&amp;""&amp;". Digite CERO si no tiene.", IF(K85&gt;$C85," * La variable "&amp;K$77&amp;""&amp;" no puede superar el Total Ambos Sexos. ",""))</f>
        <v/>
      </c>
      <c r="CG85" s="405">
        <f>IF(AND($C85&gt;0,L85=""),"*No olvide digitar el campo "&amp;L$77&amp;""&amp;". Digite CERO si no tiene.", IF(L85&gt;$C85," * La variable "&amp;L$77&amp;""&amp;" no puede superar el Total Ambos Sexos. ",""))</f>
        <v/>
      </c>
      <c r="CM85" s="197">
        <f>IF(AND(E85&gt;0,OR(F85="")),1,IF(F85&gt;E85,1,0))</f>
        <v/>
      </c>
      <c r="CN85" s="197">
        <f>IF(AND(D85&gt;0,OR(G85="")),1,IF(G85&gt;D85,1,0))</f>
        <v/>
      </c>
      <c r="CO85" s="197">
        <f>IF(AND($C85&gt;0,OR(H85="")),1,IF(H85&gt;$C85,1,0))</f>
        <v/>
      </c>
      <c r="CP85" s="197">
        <f>IF(AND($C85&gt;0,OR(I85="")),1,IF(I85&gt;$C85,1,0))</f>
        <v/>
      </c>
      <c r="CQ85" s="197">
        <f>IF(AND($C85&gt;0,OR(J85="")),1,IF(J85&gt;$C85,1,0))</f>
        <v/>
      </c>
      <c r="CR85" s="197">
        <f>IF(AND($C85&gt;0,OR(K85="")),1,IF(K85&gt;$C85,1,0))</f>
        <v/>
      </c>
      <c r="CS85" s="197">
        <f>IF(AND($C85&gt;0,OR(L85="")),1,IF(L85&gt;$C85,1,0))</f>
        <v/>
      </c>
    </row>
    <row r="86">
      <c r="A86" s="3284" t="inlineStr">
        <is>
          <t>Monitoreo y/o Evaluación Participativa</t>
        </is>
      </c>
      <c r="B86" s="1298" t="n"/>
      <c r="C86" s="1162">
        <f>SUM(D86:E86)</f>
        <v/>
      </c>
      <c r="D86" s="3100" t="n"/>
      <c r="E86" s="880" t="n"/>
      <c r="F86" s="881" t="n"/>
      <c r="G86" s="882" t="n"/>
      <c r="H86" s="882" t="n"/>
      <c r="I86" s="882" t="n"/>
      <c r="J86" s="882" t="n"/>
      <c r="K86" s="882" t="n"/>
      <c r="L86" s="880" t="n"/>
      <c r="M86" s="3100" t="n"/>
      <c r="N86" s="882" t="n"/>
      <c r="O86" s="882" t="n"/>
      <c r="P86" s="882" t="n"/>
      <c r="Q86" s="882" t="n"/>
      <c r="R86" s="1125" t="n"/>
      <c r="S86" s="226">
        <f>CA86&amp;CB86&amp;CC86&amp;CD86&amp;CE86&amp;CF86&amp;CG86</f>
        <v/>
      </c>
      <c r="CA86" s="405">
        <f>IF(AND(E86&gt;0,F86=""),"*No olvide digitar el campo "&amp;F$77&amp;""&amp;". Digite CERO si no tiene.", IF(F86&gt;E86," * El Número de "&amp;F$77&amp;""&amp;" no puede superar el Total Mujeres. ",""))</f>
        <v/>
      </c>
      <c r="CB86" s="405">
        <f>IF(AND(D86&gt;0,G86=""),"*No olvide digitar el campo "&amp;G$77&amp;""&amp;". Digite CERO si no tiene.", IF(G86&gt;D86," * El Número de "&amp;G$77&amp;""&amp;" no puede superar el Total Hombres. ",""))</f>
        <v/>
      </c>
      <c r="CC86" s="405">
        <f>IF(AND($C86&gt;0,H86=""),"*No olvide digitar el campo "&amp;H$77&amp;""&amp;". Digite CERO si no tiene.", IF(H86&gt;$C86," * La variable "&amp;H$77&amp;""&amp;" no puede superar el Total Ambos Sexos. ",""))</f>
        <v/>
      </c>
      <c r="CD86" s="405">
        <f>IF(AND($C86&gt;0,I86=""),"*No olvide digitar el campo "&amp;I$77&amp;""&amp;". Digite CERO si no tiene.", IF(I86&gt;$C86," * La variable "&amp;I$77&amp;""&amp;" no puede superar el Total Ambos Sexos. ",""))</f>
        <v/>
      </c>
      <c r="CE86" s="405">
        <f>IF(AND($C86&gt;0,J86=""),"*No olvide digitar el campo "&amp;J$77&amp;""&amp;". Digite CERO si no tiene.", IF(J86&gt;$C86," * La variable "&amp;J$77&amp;""&amp;" no puede superar el Total Ambos Sexos. ",""))</f>
        <v/>
      </c>
      <c r="CF86" s="405">
        <f>IF(AND($C86&gt;0,K86=""),"*No olvide digitar el campo "&amp;K$77&amp;""&amp;". Digite CERO si no tiene.", IF(K86&gt;$C86," * La variable "&amp;K$77&amp;""&amp;" no puede superar el Total Ambos Sexos. ",""))</f>
        <v/>
      </c>
      <c r="CG86" s="405">
        <f>IF(AND($C86&gt;0,L86=""),"*No olvide digitar el campo "&amp;L$77&amp;""&amp;". Digite CERO si no tiene.", IF(L86&gt;$C86," * La variable "&amp;L$77&amp;""&amp;" no puede superar el Total Ambos Sexos. ",""))</f>
        <v/>
      </c>
      <c r="CM86" s="197">
        <f>IF(AND(E86&gt;0,OR(F86="")),1,IF(F86&gt;E86,1,0))</f>
        <v/>
      </c>
      <c r="CN86" s="197">
        <f>IF(AND(D86&gt;0,OR(G86="")),1,IF(G86&gt;D86,1,0))</f>
        <v/>
      </c>
      <c r="CO86" s="197">
        <f>IF(AND($C86&gt;0,OR(H86="")),1,IF(H86&gt;$C86,1,0))</f>
        <v/>
      </c>
      <c r="CP86" s="197">
        <f>IF(AND($C86&gt;0,OR(I86="")),1,IF(I86&gt;$C86,1,0))</f>
        <v/>
      </c>
      <c r="CQ86" s="197">
        <f>IF(AND($C86&gt;0,OR(J86="")),1,IF(J86&gt;$C86,1,0))</f>
        <v/>
      </c>
      <c r="CR86" s="197">
        <f>IF(AND($C86&gt;0,OR(K86="")),1,IF(K86&gt;$C86,1,0))</f>
        <v/>
      </c>
      <c r="CS86" s="197">
        <f>IF(AND($C86&gt;0,OR(L86="")),1,IF(L86&gt;$C86,1,0))</f>
        <v/>
      </c>
    </row>
    <row r="87">
      <c r="A87" s="3375" t="inlineStr">
        <is>
          <t>Sistematización Participativa</t>
        </is>
      </c>
      <c r="B87" s="702" t="n"/>
      <c r="C87" s="1926">
        <f>SUM(D87:E87)</f>
        <v/>
      </c>
      <c r="D87" s="3100" t="n"/>
      <c r="E87" s="880" t="n"/>
      <c r="F87" s="881" t="n"/>
      <c r="G87" s="882" t="n"/>
      <c r="H87" s="882" t="n"/>
      <c r="I87" s="882" t="n"/>
      <c r="J87" s="882" t="n"/>
      <c r="K87" s="882" t="n"/>
      <c r="L87" s="880" t="n"/>
      <c r="M87" s="3100" t="n"/>
      <c r="N87" s="882" t="n"/>
      <c r="O87" s="882" t="n"/>
      <c r="P87" s="882" t="n"/>
      <c r="Q87" s="882" t="n"/>
      <c r="R87" s="1125" t="n"/>
      <c r="S87" s="226">
        <f>CA87&amp;CB87&amp;CC87&amp;CD87&amp;CE87&amp;CF87&amp;CG87</f>
        <v/>
      </c>
      <c r="CA87" s="405">
        <f>IF(AND(E87&gt;0,F87=""),"*No olvide digitar el campo "&amp;F$77&amp;""&amp;". Digite CERO si no tiene.", IF(F87&gt;E87," * El Número de "&amp;F$77&amp;""&amp;" no puede superar el Total Mujeres. ",""))</f>
        <v/>
      </c>
      <c r="CB87" s="405">
        <f>IF(AND(D87&gt;0,G87=""),"*No olvide digitar el campo "&amp;G$77&amp;""&amp;". Digite CERO si no tiene.", IF(G87&gt;D87," * El Número de "&amp;G$77&amp;""&amp;" no puede superar el Total Hombres. ",""))</f>
        <v/>
      </c>
      <c r="CC87" s="405">
        <f>IF(AND($C87&gt;0,H87=""),"*No olvide digitar el campo "&amp;H$77&amp;""&amp;". Digite CERO si no tiene.", IF(H87&gt;$C87," * La variable "&amp;H$77&amp;""&amp;" no puede superar el Total Ambos Sexos. ",""))</f>
        <v/>
      </c>
      <c r="CD87" s="405">
        <f>IF(AND($C87&gt;0,I87=""),"*No olvide digitar el campo "&amp;I$77&amp;""&amp;". Digite CERO si no tiene.", IF(I87&gt;$C87," * La variable "&amp;I$77&amp;""&amp;" no puede superar el Total Ambos Sexos. ",""))</f>
        <v/>
      </c>
      <c r="CE87" s="405">
        <f>IF(AND($C87&gt;0,J87=""),"*No olvide digitar el campo "&amp;J$77&amp;""&amp;". Digite CERO si no tiene.", IF(J87&gt;$C87," * La variable "&amp;J$77&amp;""&amp;" no puede superar el Total Ambos Sexos. ",""))</f>
        <v/>
      </c>
      <c r="CF87" s="405">
        <f>IF(AND($C87&gt;0,K87=""),"*No olvide digitar el campo "&amp;K$77&amp;""&amp;". Digite CERO si no tiene.", IF(K87&gt;$C87," * La variable "&amp;K$77&amp;""&amp;" no puede superar el Total Ambos Sexos. ",""))</f>
        <v/>
      </c>
      <c r="CG87" s="405">
        <f>IF(AND($C87&gt;0,L87=""),"*No olvide digitar el campo "&amp;L$77&amp;""&amp;". Digite CERO si no tiene.", IF(L87&gt;$C87," * La variable "&amp;L$77&amp;""&amp;" no puede superar el Total Ambos Sexos. ",""))</f>
        <v/>
      </c>
      <c r="CM87" s="197">
        <f>IF(AND(E87&gt;0,OR(F87="")),1,IF(F87&gt;E87,1,0))</f>
        <v/>
      </c>
      <c r="CN87" s="197">
        <f>IF(AND(D87&gt;0,OR(G87="")),1,IF(G87&gt;D87,1,0))</f>
        <v/>
      </c>
      <c r="CO87" s="197">
        <f>IF(AND($C87&gt;0,OR(H87="")),1,IF(H87&gt;$C87,1,0))</f>
        <v/>
      </c>
      <c r="CP87" s="197">
        <f>IF(AND($C87&gt;0,OR(I87="")),1,IF(I87&gt;$C87,1,0))</f>
        <v/>
      </c>
      <c r="CQ87" s="197">
        <f>IF(AND($C87&gt;0,OR(J87="")),1,IF(J87&gt;$C87,1,0))</f>
        <v/>
      </c>
      <c r="CR87" s="197">
        <f>IF(AND($C87&gt;0,OR(K87="")),1,IF(K87&gt;$C87,1,0))</f>
        <v/>
      </c>
      <c r="CS87" s="197">
        <f>IF(AND($C87&gt;0,OR(L87="")),1,IF(L87&gt;$C87,1,0))</f>
        <v/>
      </c>
    </row>
    <row r="88">
      <c r="A88" s="1209" t="inlineStr">
        <is>
          <t>Capacitación y/o Formación de equipos y directivos de salud</t>
        </is>
      </c>
      <c r="B88" s="1298" t="n"/>
      <c r="C88" s="1926">
        <f>SUM(D88:E88)</f>
        <v/>
      </c>
      <c r="D88" s="3100" t="n"/>
      <c r="E88" s="880" t="n"/>
      <c r="F88" s="881" t="n"/>
      <c r="G88" s="882" t="n"/>
      <c r="H88" s="882" t="n"/>
      <c r="I88" s="882" t="n"/>
      <c r="J88" s="882" t="n"/>
      <c r="K88" s="882" t="n"/>
      <c r="L88" s="880" t="n"/>
      <c r="M88" s="3100" t="n"/>
      <c r="N88" s="882" t="n"/>
      <c r="O88" s="882" t="n"/>
      <c r="P88" s="882" t="n"/>
      <c r="Q88" s="882" t="n"/>
      <c r="R88" s="1125" t="n"/>
      <c r="S88" s="226">
        <f>CA88&amp;CB88&amp;CC88&amp;CD88&amp;CE88&amp;CF88&amp;CG88</f>
        <v/>
      </c>
      <c r="CA88" s="405">
        <f>IF(AND(E88&gt;0,F88=""),"*No olvide digitar el campo "&amp;F$77&amp;""&amp;". Digite CERO si no tiene.", IF(F88&gt;E88," * El Número de "&amp;F$77&amp;""&amp;" no puede superar el Total Mujeres. ",""))</f>
        <v/>
      </c>
      <c r="CB88" s="405">
        <f>IF(AND(D88&gt;0,G88=""),"*No olvide digitar el campo "&amp;G$77&amp;""&amp;". Digite CERO si no tiene.", IF(G88&gt;D88," * El Número de "&amp;G$77&amp;""&amp;" no puede superar el Total Hombres. ",""))</f>
        <v/>
      </c>
      <c r="CC88" s="405">
        <f>IF(AND($C88&gt;0,H88=""),"*No olvide digitar el campo "&amp;H$77&amp;""&amp;". Digite CERO si no tiene.", IF(H88&gt;$C88," * La variable "&amp;H$77&amp;""&amp;" no puede superar el Total Ambos Sexos. ",""))</f>
        <v/>
      </c>
      <c r="CD88" s="405">
        <f>IF(AND($C88&gt;0,I88=""),"*No olvide digitar el campo "&amp;I$77&amp;""&amp;". Digite CERO si no tiene.", IF(I88&gt;$C88," * La variable "&amp;I$77&amp;""&amp;" no puede superar el Total Ambos Sexos. ",""))</f>
        <v/>
      </c>
      <c r="CE88" s="405">
        <f>IF(AND($C88&gt;0,J88=""),"*No olvide digitar el campo "&amp;J$77&amp;""&amp;". Digite CERO si no tiene.", IF(J88&gt;$C88," * La variable "&amp;J$77&amp;""&amp;" no puede superar el Total Ambos Sexos. ",""))</f>
        <v/>
      </c>
      <c r="CF88" s="405">
        <f>IF(AND($C88&gt;0,K88=""),"*No olvide digitar el campo "&amp;K$77&amp;""&amp;". Digite CERO si no tiene.", IF(K88&gt;$C88," * La variable "&amp;K$77&amp;""&amp;" no puede superar el Total Ambos Sexos. ",""))</f>
        <v/>
      </c>
      <c r="CG88" s="405">
        <f>IF(AND($C88&gt;0,L88=""),"*No olvide digitar el campo "&amp;L$77&amp;""&amp;". Digite CERO si no tiene.", IF(L88&gt;$C88," * La variable "&amp;L$77&amp;""&amp;" no puede superar el Total Ambos Sexos. ",""))</f>
        <v/>
      </c>
      <c r="CM88" s="197">
        <f>IF(AND(E88&gt;0,OR(F88="")),1,IF(F88&gt;E88,1,0))</f>
        <v/>
      </c>
      <c r="CN88" s="197">
        <f>IF(AND(D88&gt;0,OR(G88="")),1,IF(G88&gt;D88,1,0))</f>
        <v/>
      </c>
      <c r="CO88" s="197">
        <f>IF(AND($C88&gt;0,OR(H88="")),1,IF(H88&gt;$C88,1,0))</f>
        <v/>
      </c>
      <c r="CP88" s="197">
        <f>IF(AND($C88&gt;0,OR(I88="")),1,IF(I88&gt;$C88,1,0))</f>
        <v/>
      </c>
      <c r="CQ88" s="197">
        <f>IF(AND($C88&gt;0,OR(J88="")),1,IF(J88&gt;$C88,1,0))</f>
        <v/>
      </c>
      <c r="CR88" s="197">
        <f>IF(AND($C88&gt;0,OR(K88="")),1,IF(K88&gt;$C88,1,0))</f>
        <v/>
      </c>
      <c r="CS88" s="197">
        <f>IF(AND($C88&gt;0,OR(L88="")),1,IF(L88&gt;$C88,1,0))</f>
        <v/>
      </c>
    </row>
    <row r="89" ht="21" customHeight="1" s="8286">
      <c r="A89" s="332" t="inlineStr">
        <is>
          <t>Capacitación y/o Formación de Dirigentes, Comunidad y representantes de la Sociedad Civil</t>
        </is>
      </c>
      <c r="B89" s="1298" t="n"/>
      <c r="C89" s="640">
        <f>SUM(D89:E89)</f>
        <v/>
      </c>
      <c r="D89" s="3100" t="n"/>
      <c r="E89" s="880" t="n"/>
      <c r="F89" s="881" t="n"/>
      <c r="G89" s="882" t="n"/>
      <c r="H89" s="1147" t="n"/>
      <c r="I89" s="882" t="n"/>
      <c r="J89" s="1147" t="n"/>
      <c r="K89" s="882" t="n"/>
      <c r="L89" s="1414" t="n"/>
      <c r="M89" s="3100" t="n"/>
      <c r="N89" s="882" t="n"/>
      <c r="O89" s="1147" t="n"/>
      <c r="P89" s="882" t="n"/>
      <c r="Q89" s="882" t="n"/>
      <c r="R89" s="1148" t="n"/>
      <c r="S89" s="226">
        <f>CA89&amp;CB89&amp;CC89&amp;CD89&amp;CE89&amp;CF89&amp;CG89</f>
        <v/>
      </c>
      <c r="CA89" s="405">
        <f>IF(AND(E89&gt;0,F89=""),"*No olvide digitar el campo "&amp;F$77&amp;""&amp;". Digite CERO si no tiene.", IF(F89&gt;E89," * El Número de "&amp;F$77&amp;""&amp;" no puede superar el Total Mujeres. ",""))</f>
        <v/>
      </c>
      <c r="CB89" s="405">
        <f>IF(AND(D89&gt;0,G89=""),"*No olvide digitar el campo "&amp;G$77&amp;""&amp;". Digite CERO si no tiene.", IF(G89&gt;D89," * El Número de "&amp;G$77&amp;""&amp;" no puede superar el Total Hombres. ",""))</f>
        <v/>
      </c>
      <c r="CC89" s="405">
        <f>IF(AND($C89&gt;0,H89=""),"*No olvide digitar el campo "&amp;H$77&amp;""&amp;". Digite CERO si no tiene.", IF(H89&gt;$C89," * La variable "&amp;H$77&amp;""&amp;" no puede superar el Total Ambos Sexos. ",""))</f>
        <v/>
      </c>
      <c r="CD89" s="405">
        <f>IF(AND($C89&gt;0,I89=""),"*No olvide digitar el campo "&amp;I$77&amp;""&amp;". Digite CERO si no tiene.", IF(I89&gt;$C89," * La variable "&amp;I$77&amp;""&amp;" no puede superar el Total Ambos Sexos. ",""))</f>
        <v/>
      </c>
      <c r="CE89" s="405">
        <f>IF(AND($C89&gt;0,J89=""),"*No olvide digitar el campo "&amp;J$77&amp;""&amp;". Digite CERO si no tiene.", IF(J89&gt;$C89," * La variable "&amp;J$77&amp;""&amp;" no puede superar el Total Ambos Sexos. ",""))</f>
        <v/>
      </c>
      <c r="CF89" s="405">
        <f>IF(AND($C89&gt;0,K89=""),"*No olvide digitar el campo "&amp;K$77&amp;""&amp;". Digite CERO si no tiene.", IF(K89&gt;$C89," * La variable "&amp;K$77&amp;""&amp;" no puede superar el Total Ambos Sexos. ",""))</f>
        <v/>
      </c>
      <c r="CG89" s="405">
        <f>IF(AND($C89&gt;0,L89=""),"*No olvide digitar el campo "&amp;L$77&amp;""&amp;". Digite CERO si no tiene.", IF(L89&gt;$C89," * La variable "&amp;L$77&amp;""&amp;" no puede superar el Total Ambos Sexos. ",""))</f>
        <v/>
      </c>
      <c r="CM89" s="197">
        <f>IF(AND(E89&gt;0,OR(F89="")),1,IF(F89&gt;E89,1,0))</f>
        <v/>
      </c>
      <c r="CN89" s="197">
        <f>IF(AND(D89&gt;0,OR(G89="")),1,IF(G89&gt;D89,1,0))</f>
        <v/>
      </c>
      <c r="CO89" s="197">
        <f>IF(AND($C89&gt;0,OR(H89="")),1,IF(H89&gt;$C89,1,0))</f>
        <v/>
      </c>
      <c r="CP89" s="197">
        <f>IF(AND($C89&gt;0,OR(I89="")),1,IF(I89&gt;$C89,1,0))</f>
        <v/>
      </c>
      <c r="CQ89" s="197">
        <f>IF(AND($C89&gt;0,OR(J89="")),1,IF(J89&gt;$C89,1,0))</f>
        <v/>
      </c>
      <c r="CR89" s="197">
        <f>IF(AND($C89&gt;0,OR(K89="")),1,IF(K89&gt;$C89,1,0))</f>
        <v/>
      </c>
      <c r="CS89" s="197">
        <f>IF(AND($C89&gt;0,OR(L89="")),1,IF(L89&gt;$C89,1,0))</f>
        <v/>
      </c>
    </row>
    <row r="90">
      <c r="A90" s="1308" t="inlineStr">
        <is>
          <t>Actividades con pueblos originarios</t>
        </is>
      </c>
      <c r="B90" s="1298" t="n"/>
      <c r="C90" s="1162">
        <f>SUM(D90:E90)</f>
        <v/>
      </c>
      <c r="D90" s="1128" t="n"/>
      <c r="E90" s="880" t="n"/>
      <c r="F90" s="881" t="n"/>
      <c r="G90" s="1147" t="n"/>
      <c r="H90" s="1147" t="n"/>
      <c r="I90" s="1147" t="n"/>
      <c r="J90" s="1147" t="n"/>
      <c r="K90" s="1147" t="n"/>
      <c r="L90" s="1414" t="n"/>
      <c r="M90" s="3100" t="n"/>
      <c r="N90" s="1147" t="n"/>
      <c r="O90" s="1147" t="n"/>
      <c r="P90" s="882" t="n"/>
      <c r="Q90" s="1147" t="n"/>
      <c r="R90" s="1148" t="n"/>
      <c r="S90" s="226">
        <f>CA90&amp;CB90&amp;CC90&amp;CD90&amp;CE90&amp;CF90&amp;CG90</f>
        <v/>
      </c>
      <c r="CA90" s="405">
        <f>IF(AND(E90&gt;0,F90=""),"*No olvide digitar el campo "&amp;F$77&amp;""&amp;". Digite CERO si no tiene.", IF(F90&gt;E90," * El Número de "&amp;F$77&amp;""&amp;" no puede superar el Total Mujeres. ",""))</f>
        <v/>
      </c>
      <c r="CB90" s="405">
        <f>IF(AND(D90&gt;0,G90=""),"*No olvide digitar el campo "&amp;G$77&amp;""&amp;". Digite CERO si no tiene.", IF(G90&gt;D90," * El Número de "&amp;G$77&amp;""&amp;" no puede superar el Total Hombres. ",""))</f>
        <v/>
      </c>
      <c r="CC90" s="405">
        <f>IF(AND($C90&gt;0,H90=""),"*No olvide digitar el campo "&amp;H$77&amp;""&amp;". Digite CERO si no tiene.", IF(H90&gt;$C90," * La variable "&amp;H$77&amp;""&amp;" no puede superar el Total Ambos Sexos. ",""))</f>
        <v/>
      </c>
      <c r="CD90" s="405">
        <f>IF(AND($C90&gt;0,I90=""),"*No olvide digitar el campo "&amp;I$77&amp;""&amp;". Digite CERO si no tiene.", IF(I90&gt;$C90," * La variable "&amp;I$77&amp;""&amp;" no puede superar el Total Ambos Sexos. ",""))</f>
        <v/>
      </c>
      <c r="CE90" s="405">
        <f>IF(AND($C90&gt;0,J90=""),"*No olvide digitar el campo "&amp;J$77&amp;""&amp;". Digite CERO si no tiene.", IF(J90&gt;$C90," * La variable "&amp;J$77&amp;""&amp;" no puede superar el Total Ambos Sexos. ",""))</f>
        <v/>
      </c>
      <c r="CF90" s="405">
        <f>IF(AND($C90&gt;0,K90=""),"*No olvide digitar el campo "&amp;K$77&amp;""&amp;". Digite CERO si no tiene.", IF(K90&gt;$C90," * La variable "&amp;K$77&amp;""&amp;" no puede superar el Total Ambos Sexos. ",""))</f>
        <v/>
      </c>
      <c r="CG90" s="405">
        <f>IF(AND($C90&gt;0,L90=""),"*No olvide digitar el campo "&amp;L$77&amp;""&amp;". Digite CERO si no tiene.", IF(L90&gt;$C90," * La variable "&amp;L$77&amp;""&amp;" no puede superar el Total Ambos Sexos. ",""))</f>
        <v/>
      </c>
      <c r="CM90" s="197">
        <f>IF(AND(E90&gt;0,OR(F90="")),1,IF(F90&gt;E90,1,0))</f>
        <v/>
      </c>
      <c r="CN90" s="197">
        <f>IF(AND(D90&gt;0,OR(G90="")),1,IF(G90&gt;D90,1,0))</f>
        <v/>
      </c>
      <c r="CO90" s="197">
        <f>IF(AND($C90&gt;0,OR(H90="")),1,IF(H90&gt;$C90,1,0))</f>
        <v/>
      </c>
      <c r="CP90" s="197">
        <f>IF(AND($C90&gt;0,OR(I90="")),1,IF(I90&gt;$C90,1,0))</f>
        <v/>
      </c>
      <c r="CQ90" s="197">
        <f>IF(AND($C90&gt;0,OR(J90="")),1,IF(J90&gt;$C90,1,0))</f>
        <v/>
      </c>
      <c r="CR90" s="197">
        <f>IF(AND($C90&gt;0,OR(K90="")),1,IF(K90&gt;$C90,1,0))</f>
        <v/>
      </c>
      <c r="CS90" s="197">
        <f>IF(AND($C90&gt;0,OR(L90="")),1,IF(L90&gt;$C90,1,0))</f>
        <v/>
      </c>
    </row>
    <row r="91">
      <c r="A91" s="1117" t="inlineStr">
        <is>
          <t>Actividades con migrantes</t>
        </is>
      </c>
      <c r="B91" s="1299" t="n"/>
      <c r="C91" s="1176">
        <f>SUM(D91:E91)</f>
        <v/>
      </c>
      <c r="D91" s="2664" t="n"/>
      <c r="E91" s="1143" t="n"/>
      <c r="F91" s="230" t="n"/>
      <c r="G91" s="1153" t="n"/>
      <c r="H91" s="1153" t="n"/>
      <c r="I91" s="1153" t="n"/>
      <c r="J91" s="1153" t="n"/>
      <c r="K91" s="1153" t="n"/>
      <c r="L91" s="1143" t="n"/>
      <c r="M91" s="2664" t="n"/>
      <c r="N91" s="1153" t="n"/>
      <c r="O91" s="1153" t="n"/>
      <c r="P91" s="224" t="n"/>
      <c r="Q91" s="1153" t="n"/>
      <c r="R91" s="1138" t="n"/>
      <c r="S91" s="226">
        <f>CA91&amp;CB91&amp;CC91&amp;CD91&amp;CE91&amp;CF91&amp;CG91</f>
        <v/>
      </c>
      <c r="CA91" s="405">
        <f>IF(AND(E91&gt;0,F91=""),"*No olvide digitar el campo "&amp;F$77&amp;""&amp;". Digite CERO si no tiene.", IF(F91&gt;E91," * El Número de "&amp;F$77&amp;""&amp;" no puede superar el Total Mujeres. ",""))</f>
        <v/>
      </c>
      <c r="CB91" s="405">
        <f>IF(AND(D91&gt;0,G91=""),"*No olvide digitar el campo "&amp;G$77&amp;""&amp;". Digite CERO si no tiene.", IF(G91&gt;D91," * El Número de "&amp;G$77&amp;""&amp;" no puede superar el Total Hombres. ",""))</f>
        <v/>
      </c>
      <c r="CC91" s="405">
        <f>IF(AND($C91&gt;0,H91=""),"*No olvide digitar el campo "&amp;H$77&amp;""&amp;". Digite CERO si no tiene.", IF(H91&gt;$C91," * La variable "&amp;H$77&amp;""&amp;" no puede superar el Total Ambos Sexos. ",""))</f>
        <v/>
      </c>
      <c r="CD91" s="405">
        <f>IF(AND($C91&gt;0,I91=""),"*No olvide digitar el campo "&amp;I$77&amp;""&amp;". Digite CERO si no tiene.", IF(I91&gt;$C91," * La variable "&amp;I$77&amp;""&amp;" no puede superar el Total Ambos Sexos. ",""))</f>
        <v/>
      </c>
      <c r="CE91" s="405">
        <f>IF(AND($C91&gt;0,J91=""),"*No olvide digitar el campo "&amp;J$77&amp;""&amp;". Digite CERO si no tiene.", IF(J91&gt;$C91," * La variable "&amp;J$77&amp;""&amp;" no puede superar el Total Ambos Sexos. ",""))</f>
        <v/>
      </c>
      <c r="CF91" s="405">
        <f>IF(AND($C91&gt;0,K91=""),"*No olvide digitar el campo "&amp;K$77&amp;""&amp;". Digite CERO si no tiene.", IF(K91&gt;$C91," * La variable "&amp;K$77&amp;""&amp;" no puede superar el Total Ambos Sexos. ",""))</f>
        <v/>
      </c>
      <c r="CG91" s="405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>IF(AND(E91&gt;0,OR(F91="")),1,IF(F91&gt;E91,1,0))</f>
        <v/>
      </c>
      <c r="CN91" s="197">
        <f>IF(AND(D91&gt;0,OR(G91="")),1,IF(G91&gt;D91,1,0))</f>
        <v/>
      </c>
      <c r="CO91" s="197">
        <f>IF(AND($C91&gt;0,OR(H91="")),1,IF(H91&gt;$C91,1,0))</f>
        <v/>
      </c>
      <c r="CP91" s="197">
        <f>IF(AND($C91&gt;0,OR(I91="")),1,IF(I91&gt;$C91,1,0))</f>
        <v/>
      </c>
      <c r="CQ91" s="197">
        <f>IF(AND($C91&gt;0,OR(J91="")),1,IF(J91&gt;$C91,1,0))</f>
        <v/>
      </c>
      <c r="CR91" s="197">
        <f>IF(AND($C91&gt;0,OR(K91="")),1,IF(K91&gt;$C91,1,0))</f>
        <v/>
      </c>
      <c r="CS91" s="197">
        <f>IF(AND($C91&gt;0,OR(L91="")),1,IF(L91&gt;$C91,1,0))</f>
        <v/>
      </c>
    </row>
    <row r="92">
      <c r="A92" s="3365" t="inlineStr">
        <is>
          <t>TOTAL</t>
        </is>
      </c>
      <c r="B92" s="3376">
        <f>SUM(B78:B91)</f>
        <v/>
      </c>
      <c r="C92" s="3342">
        <f>SUM(C78:C91)</f>
        <v/>
      </c>
      <c r="D92" s="3370">
        <f>SUM(D78:D91)</f>
        <v/>
      </c>
      <c r="E92" s="3377">
        <f>SUM(E78:E91)</f>
        <v/>
      </c>
      <c r="F92" s="3372">
        <f>SUM(F78:F91)</f>
        <v/>
      </c>
      <c r="G92" s="3367">
        <f>SUM(G78:G91)</f>
        <v/>
      </c>
      <c r="H92" s="3367">
        <f>SUM(H78:H91)</f>
        <v/>
      </c>
      <c r="I92" s="3367">
        <f>SUM(I78:I91)</f>
        <v/>
      </c>
      <c r="J92" s="3367">
        <f>SUM(J78:J91)</f>
        <v/>
      </c>
      <c r="K92" s="3367">
        <f>SUM(K78:K91)</f>
        <v/>
      </c>
      <c r="L92" s="3371">
        <f>SUM(L78:L91)</f>
        <v/>
      </c>
      <c r="M92" s="3368">
        <f>SUM(M78:M91)</f>
        <v/>
      </c>
      <c r="N92" s="3367">
        <f>SUM(N78:N91)</f>
        <v/>
      </c>
      <c r="O92" s="3367">
        <f>SUM(O78:O91)</f>
        <v/>
      </c>
      <c r="P92" s="3367">
        <f>SUM(P78:P91)</f>
        <v/>
      </c>
      <c r="Q92" s="3367">
        <f>SUM(Q78:Q91)</f>
        <v/>
      </c>
      <c r="R92" s="3373">
        <f>SUM(R78:R91)</f>
        <v/>
      </c>
    </row>
    <row r="93" ht="18" customHeight="1" s="8286">
      <c r="A93" s="8616" t="inlineStr">
        <is>
          <t xml:space="preserve">SECCIÓN C: ACTIVIDADES DE SATISFACCIÓN USUARIA Y HUMANIZACIÓN DE LA ATENCIÓN </t>
        </is>
      </c>
    </row>
    <row r="94" ht="18" customHeight="1" s="8286">
      <c r="A94" s="9689" t="inlineStr">
        <is>
          <t xml:space="preserve">SECCIÓN C.1: ACTIVIDADES DE GESTIÓN DE LA SATISFACCIÓN USUARIA Y HUMANIZACIÓN DE LA ATENCIÓN </t>
        </is>
      </c>
      <c r="B94" s="9591" t="n"/>
      <c r="C94" s="9591" t="n"/>
      <c r="D94" s="9591" t="n"/>
      <c r="E94" s="9591" t="n"/>
      <c r="F94" s="9591" t="n"/>
      <c r="G94" s="9591" t="n"/>
      <c r="H94" s="9591" t="n"/>
      <c r="I94" s="9591" t="n"/>
      <c r="J94" s="9591" t="n"/>
      <c r="K94" s="9591" t="n"/>
      <c r="L94" s="9591" t="n"/>
      <c r="M94" s="9591" t="n"/>
      <c r="N94" s="9591" t="n"/>
    </row>
    <row r="95" ht="15" customHeight="1" s="8286">
      <c r="A95" s="7676" t="inlineStr">
        <is>
          <t>TIPO DE ACTIVIDADES</t>
        </is>
      </c>
      <c r="B95" s="9290" t="inlineStr">
        <is>
          <t>TOTAL</t>
        </is>
      </c>
      <c r="C95" s="10248" t="inlineStr">
        <is>
          <t>Comités Gestión Usuaria: Análisis de reclamos</t>
        </is>
      </c>
      <c r="D95" s="9981" t="inlineStr">
        <is>
          <t>Comités Gestión Usuaria: Planes de mejora</t>
        </is>
      </c>
      <c r="E95" s="10351" t="inlineStr">
        <is>
          <t>Medición de Satisfacción Usuaria</t>
        </is>
      </c>
      <c r="F95" s="9981" t="inlineStr">
        <is>
          <t>Acompañamiento Espiritual</t>
        </is>
      </c>
      <c r="G95" s="9981" t="inlineStr">
        <is>
          <t>Asistencia Religiosa</t>
        </is>
      </c>
      <c r="H95" s="9981" t="inlineStr">
        <is>
          <t>Asistencia Espiritual Indígena</t>
        </is>
      </c>
      <c r="I95" s="7829" t="inlineStr">
        <is>
          <t>Hospital Amigo</t>
        </is>
      </c>
      <c r="J95" s="10341" t="inlineStr">
        <is>
          <t>Uso de TICS y/o Redes Sociales</t>
        </is>
      </c>
      <c r="K95" s="8400" t="inlineStr">
        <is>
          <t>PARTICIPANTES</t>
        </is>
      </c>
      <c r="L95" s="9584" t="n"/>
      <c r="M95" s="9584" t="n"/>
      <c r="N95" s="9584" t="n"/>
      <c r="O95" s="9584" t="n"/>
      <c r="P95" s="9584" t="n"/>
      <c r="Q95" s="9584" t="n"/>
      <c r="R95" s="9584" t="n"/>
      <c r="S95" s="9584" t="n"/>
      <c r="T95" s="9582" t="n"/>
    </row>
    <row r="96" ht="31.5" customHeight="1" s="8286">
      <c r="A96" s="9610" t="n"/>
      <c r="B96" s="9639" t="n"/>
      <c r="C96" s="9800" t="n"/>
      <c r="D96" s="9912" t="n"/>
      <c r="E96" s="9912" t="n"/>
      <c r="F96" s="9912" t="n"/>
      <c r="G96" s="9912" t="n"/>
      <c r="H96" s="9912" t="n"/>
      <c r="I96" s="9591" t="n"/>
      <c r="J96" s="10088" t="n"/>
      <c r="K96" s="8525" t="inlineStr">
        <is>
          <t>Total Ambos Sexos</t>
        </is>
      </c>
      <c r="L96" s="3088" t="inlineStr">
        <is>
          <t>Hombres</t>
        </is>
      </c>
      <c r="M96" s="3092" t="inlineStr">
        <is>
          <t>Mujeres</t>
        </is>
      </c>
      <c r="N96" s="3141" t="inlineStr">
        <is>
          <t>Trans Masculino</t>
        </is>
      </c>
      <c r="O96" s="3089" t="inlineStr">
        <is>
          <t>Trans Femenina</t>
        </is>
      </c>
      <c r="P96" s="3089" t="inlineStr">
        <is>
          <t>No Binarie</t>
        </is>
      </c>
      <c r="Q96" s="5442" t="inlineStr">
        <is>
          <t>No revelado</t>
        </is>
      </c>
      <c r="R96" s="5421" t="inlineStr">
        <is>
          <t>Pueblos Originarios</t>
        </is>
      </c>
      <c r="S96" s="5448" t="inlineStr">
        <is>
          <t>Migrantes</t>
        </is>
      </c>
      <c r="T96" s="5421" t="inlineStr">
        <is>
          <t>PRAIS</t>
        </is>
      </c>
    </row>
    <row r="97">
      <c r="A97" s="3362" t="inlineStr">
        <is>
          <t>Administración y gestión</t>
        </is>
      </c>
      <c r="B97" s="672">
        <f>SUM(C97:I97)</f>
        <v/>
      </c>
      <c r="C97" s="3108" t="n"/>
      <c r="D97" s="841" t="n"/>
      <c r="E97" s="841" t="n"/>
      <c r="F97" s="747" t="n"/>
      <c r="G97" s="747" t="n"/>
      <c r="H97" s="141" t="n"/>
      <c r="I97" s="3378" t="n"/>
      <c r="J97" s="1122" t="n"/>
      <c r="K97" s="3379">
        <f>SUM(L97:M97)</f>
        <v/>
      </c>
      <c r="L97" s="638" t="n"/>
      <c r="M97" s="778" t="n"/>
      <c r="N97" s="1972" t="n"/>
      <c r="O97" s="141" t="n"/>
      <c r="P97" s="841" t="n"/>
      <c r="Q97" s="2660" t="n"/>
      <c r="R97" s="3227" t="n"/>
      <c r="S97" s="22" t="n"/>
      <c r="T97" s="3227" t="n"/>
      <c r="U97" s="226">
        <f>CA97&amp;CB97&amp;CC97&amp;CD97&amp;CE97&amp;CF97&amp;CG97</f>
        <v/>
      </c>
      <c r="CA97" s="405">
        <f>IF(AND(M97&gt;0,N97=""),"*No olvide digitar el campo "&amp;N$96&amp;""&amp;". Digite CERO si no tiene.", IF(N97&gt;M97," * El Número de "&amp;N$96&amp;""&amp;" no puede superar el Total Mujeres. ",""))</f>
        <v/>
      </c>
      <c r="CB97" s="405">
        <f>IF(AND(L97&gt;0,O97=""),"*No olvide digitar el campo "&amp;O$96&amp;""&amp;". Digite CERO si no tiene.", IF(O97&gt;L97," * El Número de "&amp;O$96&amp;""&amp;" no puede superar el Total Hombres. ",""))</f>
        <v/>
      </c>
      <c r="CC97" s="405">
        <f>IF(AND($K97&gt;0,P97=""),"*No olvide digitar el campo "&amp;P$96&amp;""&amp;". Digite CERO si no tiene.", IF(P97&gt;$K97," * La variable "&amp;P$96&amp;""&amp;" no puede superar el Total Ambos Sexos. ",""))</f>
        <v/>
      </c>
      <c r="CD97" s="405">
        <f>IF(AND($K97&gt;0,Q97=""),"*No olvide digitar el campo "&amp;Q$96&amp;""&amp;". Digite CERO si no tiene.", IF(Q97&gt;$K97," * La variable "&amp;Q$96&amp;""&amp;" no puede superar el Total Ambos Sexos. ",""))</f>
        <v/>
      </c>
      <c r="CE97" s="405">
        <f>IF(AND($K97&gt;0,R97=""),"*No olvide digitar el campo "&amp;R$96&amp;""&amp;". Digite CERO si no tiene.", IF(R97&gt;$K97," * La variable "&amp;R$96&amp;""&amp;" no puede superar el Total Ambos Sexos. ",""))</f>
        <v/>
      </c>
      <c r="CF97" s="405">
        <f>IF(AND($K97&gt;0,S97=""),"*No olvide digitar el campo "&amp;S$96&amp;""&amp;". Digite CERO si no tiene.", IF(S97&gt;$K97," * La variable "&amp;S$96&amp;""&amp;" no puede superar el Total Ambos Sexos. ",""))</f>
        <v/>
      </c>
      <c r="CG97" s="405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/>
      </c>
      <c r="CN97" s="197">
        <f>IF(AND(L97&gt;0,OR(O97="")),1,IF(O97&gt;L97,1,0))</f>
        <v/>
      </c>
      <c r="CO97" s="197">
        <f>IF(AND($K97&gt;0,OR(P97="")),1,IF(P97&gt;$K97,1,0))</f>
        <v/>
      </c>
      <c r="CP97" s="197">
        <f>IF(AND($K97&gt;0,OR(Q97="")),1,IF(Q97&gt;$K97,1,0))</f>
        <v/>
      </c>
      <c r="CQ97" s="197">
        <f>IF(AND($K97&gt;0,OR(R97="")),1,IF(R97&gt;$K97,1,0))</f>
        <v/>
      </c>
      <c r="CR97" s="197">
        <f>IF(AND($K97&gt;0,OR(S97="")),1,IF(S97&gt;$K97,1,0))</f>
        <v/>
      </c>
      <c r="CS97" s="197">
        <f>IF(AND($K97&gt;0,OR(T97="")),1,IF(T97&gt;$K97,1,0))</f>
        <v/>
      </c>
    </row>
    <row r="98">
      <c r="A98" s="1209" t="inlineStr">
        <is>
          <t>Entrevistas</t>
        </is>
      </c>
      <c r="B98" s="1209">
        <f>SUM(C98:I98)</f>
        <v/>
      </c>
      <c r="C98" s="3108" t="n"/>
      <c r="D98" s="882" t="n"/>
      <c r="E98" s="882" t="n"/>
      <c r="F98" s="882" t="n"/>
      <c r="G98" s="882" t="n"/>
      <c r="H98" s="1147" t="n"/>
      <c r="I98" s="2689" t="n"/>
      <c r="J98" s="1125" t="n"/>
      <c r="K98" s="3357">
        <f>SUM(L98:M98)</f>
        <v/>
      </c>
      <c r="L98" s="3108" t="n"/>
      <c r="M98" s="3380" t="n"/>
      <c r="N98" s="881" t="n"/>
      <c r="O98" s="1147" t="n"/>
      <c r="P98" s="1147" t="n"/>
      <c r="Q98" s="5447" t="n"/>
      <c r="R98" s="702" t="n"/>
      <c r="S98" s="5158" t="n"/>
      <c r="T98" s="702" t="n"/>
      <c r="U98" s="226">
        <f>CA98&amp;CB98&amp;CC98&amp;CD98&amp;CE98&amp;CF98&amp;CG98</f>
        <v/>
      </c>
      <c r="CA98" s="405">
        <f>IF(AND(M98&gt;0,N98=""),"*No olvide digitar el campo "&amp;N$96&amp;""&amp;". Digite CERO si no tiene.", IF(N98&gt;M98," * El Número de "&amp;N$96&amp;""&amp;" no puede superar el Total Mujeres. ",""))</f>
        <v/>
      </c>
      <c r="CB98" s="405">
        <f>IF(AND(L98&gt;0,O98=""),"*No olvide digitar el campo "&amp;O$96&amp;""&amp;". Digite CERO si no tiene.", IF(O98&gt;L98," * El Número de "&amp;O$96&amp;""&amp;" no puede superar el Total Hombres. ",""))</f>
        <v/>
      </c>
      <c r="CC98" s="405">
        <f>IF(AND($K98&gt;0,P98=""),"*No olvide digitar el campo "&amp;P$96&amp;""&amp;". Digite CERO si no tiene.", IF(P98&gt;$K98," * La variable "&amp;P$96&amp;""&amp;" no puede superar el Total Ambos Sexos. ",""))</f>
        <v/>
      </c>
      <c r="CD98" s="405">
        <f>IF(AND($K98&gt;0,Q98=""),"*No olvide digitar el campo "&amp;Q$96&amp;""&amp;". Digite CERO si no tiene.", IF(Q98&gt;$K98," * La variable "&amp;Q$96&amp;""&amp;" no puede superar el Total Ambos Sexos. ",""))</f>
        <v/>
      </c>
      <c r="CE98" s="405">
        <f>IF(AND($K98&gt;0,R98=""),"*No olvide digitar el campo "&amp;R$96&amp;""&amp;". Digite CERO si no tiene.", IF(R98&gt;$K98," * La variable "&amp;R$96&amp;""&amp;" no puede superar el Total Ambos Sexos. ",""))</f>
        <v/>
      </c>
      <c r="CF98" s="405">
        <f>IF(AND($K98&gt;0,S98=""),"*No olvide digitar el campo "&amp;S$96&amp;""&amp;". Digite CERO si no tiene.", IF(S98&gt;$K98," * La variable "&amp;S$96&amp;""&amp;" no puede superar el Total Ambos Sexos. ",""))</f>
        <v/>
      </c>
      <c r="CG98" s="405">
        <f>IF(AND($K98&gt;0,T98=""),"*No olvide digitar el campo "&amp;T$96&amp;""&amp;". Digite CERO si no tiene.", IF(T98&gt;$K98," * La variable "&amp;T$96&amp;""&amp;" no puede superar el Total Ambos Sexos. ",""))</f>
        <v/>
      </c>
      <c r="CM98" s="197">
        <f>IF(AND(M98&gt;0,OR(N98="")),1,IF(N98&gt;M98,1,0))</f>
        <v/>
      </c>
      <c r="CN98" s="197">
        <f>IF(AND(L98&gt;0,OR(O98="")),1,IF(O98&gt;L98,1,0))</f>
        <v/>
      </c>
      <c r="CO98" s="197">
        <f>IF(AND($K98&gt;0,OR(P98="")),1,IF(P98&gt;$K98,1,0))</f>
        <v/>
      </c>
      <c r="CP98" s="197">
        <f>IF(AND($K98&gt;0,OR(Q98="")),1,IF(Q98&gt;$K98,1,0))</f>
        <v/>
      </c>
      <c r="CQ98" s="197">
        <f>IF(AND($K98&gt;0,OR(R98="")),1,IF(R98&gt;$K98,1,0))</f>
        <v/>
      </c>
      <c r="CR98" s="197">
        <f>IF(AND($K98&gt;0,OR(S98="")),1,IF(S98&gt;$K98,1,0))</f>
        <v/>
      </c>
      <c r="CS98" s="197">
        <f>IF(AND($K98&gt;0,OR(T98="")),1,IF(T98&gt;$K98,1,0))</f>
        <v/>
      </c>
    </row>
    <row r="99">
      <c r="A99" s="1209" t="inlineStr">
        <is>
          <t>Reuniones intrasector</t>
        </is>
      </c>
      <c r="B99" s="1209">
        <f>SUM(C99:I99)</f>
        <v/>
      </c>
      <c r="C99" s="3108" t="n"/>
      <c r="D99" s="141" t="n"/>
      <c r="E99" s="141" t="n"/>
      <c r="F99" s="882" t="n"/>
      <c r="G99" s="882" t="n"/>
      <c r="H99" s="1147" t="n"/>
      <c r="I99" s="3149" t="n"/>
      <c r="J99" s="1125" t="n"/>
      <c r="K99" s="3357">
        <f>SUM(L99:M99)</f>
        <v/>
      </c>
      <c r="L99" s="3108" t="n"/>
      <c r="M99" s="1414" t="n"/>
      <c r="N99" s="881" t="n"/>
      <c r="O99" s="1147" t="n"/>
      <c r="P99" s="882" t="n"/>
      <c r="Q99" s="3659" t="n"/>
      <c r="R99" s="1418" t="n"/>
      <c r="S99" s="3660" t="n"/>
      <c r="T99" s="1418" t="n"/>
      <c r="U99" s="226">
        <f>CA99&amp;CB99&amp;CC99&amp;CD99&amp;CE99&amp;CF99&amp;CG99</f>
        <v/>
      </c>
      <c r="CA99" s="405">
        <f>IF(AND(M99&gt;0,N99=""),"*No olvide digitar el campo "&amp;N$96&amp;""&amp;". Digite CERO si no tiene.", IF(N99&gt;M99," * El Número de "&amp;N$96&amp;""&amp;" no puede superar el Total Mujeres. ",""))</f>
        <v/>
      </c>
      <c r="CB99" s="405">
        <f>IF(AND(L99&gt;0,O99=""),"*No olvide digitar el campo "&amp;O$96&amp;""&amp;". Digite CERO si no tiene.", IF(O99&gt;L99," * El Número de "&amp;O$96&amp;""&amp;" no puede superar el Total Hombres. ",""))</f>
        <v/>
      </c>
      <c r="CC99" s="405">
        <f>IF(AND($K99&gt;0,P99=""),"*No olvide digitar el campo "&amp;P$96&amp;""&amp;". Digite CERO si no tiene.", IF(P99&gt;$K99," * La variable "&amp;P$96&amp;""&amp;" no puede superar el Total Ambos Sexos. ",""))</f>
        <v/>
      </c>
      <c r="CD99" s="405">
        <f>IF(AND($K99&gt;0,Q99=""),"*No olvide digitar el campo "&amp;Q$96&amp;""&amp;". Digite CERO si no tiene.", IF(Q99&gt;$K99," * La variable "&amp;Q$96&amp;""&amp;" no puede superar el Total Ambos Sexos. ",""))</f>
        <v/>
      </c>
      <c r="CE99" s="405">
        <f>IF(AND($K99&gt;0,R99=""),"*No olvide digitar el campo "&amp;R$96&amp;""&amp;". Digite CERO si no tiene.", IF(R99&gt;$K99," * La variable "&amp;R$96&amp;""&amp;" no puede superar el Total Ambos Sexos. ",""))</f>
        <v/>
      </c>
      <c r="CF99" s="405">
        <f>IF(AND($K99&gt;0,S99=""),"*No olvide digitar el campo "&amp;S$96&amp;""&amp;". Digite CERO si no tiene.", IF(S99&gt;$K99," * La variable "&amp;S$96&amp;""&amp;" no puede superar el Total Ambos Sexos. ",""))</f>
        <v/>
      </c>
      <c r="CG99" s="405">
        <f>IF(AND($K99&gt;0,T99=""),"*No olvide digitar el campo "&amp;T$96&amp;""&amp;". Digite CERO si no tiene.", IF(T99&gt;$K99," * La variable "&amp;T$96&amp;""&amp;" no puede superar el Total Ambos Sexos. ",""))</f>
        <v/>
      </c>
      <c r="CM99" s="197">
        <f>IF(AND(M99&gt;0,OR(N99="")),1,IF(N99&gt;M99,1,0))</f>
        <v/>
      </c>
      <c r="CN99" s="197">
        <f>IF(AND(L99&gt;0,OR(O99="")),1,IF(O99&gt;L99,1,0))</f>
        <v/>
      </c>
      <c r="CO99" s="197">
        <f>IF(AND($K99&gt;0,OR(P99="")),1,IF(P99&gt;$K99,1,0))</f>
        <v/>
      </c>
      <c r="CP99" s="197">
        <f>IF(AND($K99&gt;0,OR(Q99="")),1,IF(Q99&gt;$K99,1,0))</f>
        <v/>
      </c>
      <c r="CQ99" s="197">
        <f>IF(AND($K99&gt;0,OR(R99="")),1,IF(R99&gt;$K99,1,0))</f>
        <v/>
      </c>
      <c r="CR99" s="197">
        <f>IF(AND($K99&gt;0,OR(S99="")),1,IF(S99&gt;$K99,1,0))</f>
        <v/>
      </c>
      <c r="CS99" s="197">
        <f>IF(AND($K99&gt;0,OR(T99="")),1,IF(T99&gt;$K99,1,0))</f>
        <v/>
      </c>
    </row>
    <row r="100">
      <c r="A100" s="1209" t="inlineStr">
        <is>
          <t>Reuniones intersector</t>
        </is>
      </c>
      <c r="B100" s="1209">
        <f>SUM(C100:I100)</f>
        <v/>
      </c>
      <c r="C100" s="3108" t="n"/>
      <c r="D100" s="1147" t="n"/>
      <c r="E100" s="1147" t="n"/>
      <c r="F100" s="882" t="n"/>
      <c r="G100" s="141" t="n"/>
      <c r="H100" s="882" t="n"/>
      <c r="I100" s="408" t="n"/>
      <c r="J100" s="1125" t="n"/>
      <c r="K100" s="3357">
        <f>SUM(L100:M100)</f>
        <v/>
      </c>
      <c r="L100" s="638" t="n"/>
      <c r="M100" s="880" t="n"/>
      <c r="N100" s="881" t="n"/>
      <c r="O100" s="1147" t="n"/>
      <c r="P100" s="141" t="n"/>
      <c r="Q100" s="3659" t="n"/>
      <c r="R100" s="1418" t="n"/>
      <c r="S100" s="3660" t="n"/>
      <c r="T100" s="1418" t="n"/>
      <c r="U100" s="226">
        <f>CA100&amp;CB100&amp;CC100&amp;CD100&amp;CE100&amp;CF100&amp;CG100</f>
        <v/>
      </c>
      <c r="CA100" s="405">
        <f>IF(AND(M100&gt;0,N100=""),"*No olvide digitar el campo "&amp;N$96&amp;""&amp;". Digite CERO si no tiene.", IF(N100&gt;M100," * El Número de "&amp;N$96&amp;""&amp;" no puede superar el Total Mujeres. ",""))</f>
        <v/>
      </c>
      <c r="CB100" s="405">
        <f>IF(AND(L100&gt;0,O100=""),"*No olvide digitar el campo "&amp;O$96&amp;""&amp;". Digite CERO si no tiene.", IF(O100&gt;L100," * El Número de "&amp;O$96&amp;""&amp;" no puede superar el Total Hombres. ",""))</f>
        <v/>
      </c>
      <c r="CC100" s="405">
        <f>IF(AND($K100&gt;0,P100=""),"*No olvide digitar el campo "&amp;P$96&amp;""&amp;". Digite CERO si no tiene.", IF(P100&gt;$K100," * La variable "&amp;P$96&amp;""&amp;" no puede superar el Total Ambos Sexos. ",""))</f>
        <v/>
      </c>
      <c r="CD100" s="405">
        <f>IF(AND($K100&gt;0,Q100=""),"*No olvide digitar el campo "&amp;Q$96&amp;""&amp;". Digite CERO si no tiene.", IF(Q100&gt;$K100," * La variable "&amp;Q$96&amp;""&amp;" no puede superar el Total Ambos Sexos. ",""))</f>
        <v/>
      </c>
      <c r="CE100" s="405">
        <f>IF(AND($K100&gt;0,R100=""),"*No olvide digitar el campo "&amp;R$96&amp;""&amp;". Digite CERO si no tiene.", IF(R100&gt;$K100," * La variable "&amp;R$96&amp;""&amp;" no puede superar el Total Ambos Sexos. ",""))</f>
        <v/>
      </c>
      <c r="CF100" s="405">
        <f>IF(AND($K100&gt;0,S100=""),"*No olvide digitar el campo "&amp;S$96&amp;""&amp;". Digite CERO si no tiene.", IF(S100&gt;$K100," * La variable "&amp;S$96&amp;""&amp;" no puede superar el Total Ambos Sexos. ",""))</f>
        <v/>
      </c>
      <c r="CG100" s="405">
        <f>IF(AND($K100&gt;0,T100=""),"*No olvide digitar el campo "&amp;T$96&amp;""&amp;". Digite CERO si no tiene.", IF(T100&gt;$K100," * La variable "&amp;T$96&amp;""&amp;" no puede superar el Total Ambos Sexos. ",""))</f>
        <v/>
      </c>
      <c r="CM100" s="197">
        <f>IF(AND(M100&gt;0,OR(N100="")),1,IF(N100&gt;M100,1,0))</f>
        <v/>
      </c>
      <c r="CN100" s="197">
        <f>IF(AND(L100&gt;0,OR(O100="")),1,IF(O100&gt;L100,1,0))</f>
        <v/>
      </c>
      <c r="CO100" s="197">
        <f>IF(AND($K100&gt;0,OR(P100="")),1,IF(P100&gt;$K100,1,0))</f>
        <v/>
      </c>
      <c r="CP100" s="197">
        <f>IF(AND($K100&gt;0,OR(Q100="")),1,IF(Q100&gt;$K100,1,0))</f>
        <v/>
      </c>
      <c r="CQ100" s="197">
        <f>IF(AND($K100&gt;0,OR(R100="")),1,IF(R100&gt;$K100,1,0))</f>
        <v/>
      </c>
      <c r="CR100" s="197">
        <f>IF(AND($K100&gt;0,OR(S100="")),1,IF(S100&gt;$K100,1,0))</f>
        <v/>
      </c>
      <c r="CS100" s="197">
        <f>IF(AND($K100&gt;0,OR(T100="")),1,IF(T100&gt;$K100,1,0))</f>
        <v/>
      </c>
    </row>
    <row r="101">
      <c r="A101" s="1209" t="inlineStr">
        <is>
          <t>Asesoría técnica</t>
        </is>
      </c>
      <c r="B101" s="1209">
        <f>SUM(C101:I101)</f>
        <v/>
      </c>
      <c r="C101" s="3108" t="n"/>
      <c r="D101" s="882" t="n"/>
      <c r="E101" s="882" t="n"/>
      <c r="F101" s="141" t="n"/>
      <c r="G101" s="1147" t="n"/>
      <c r="H101" s="141" t="n"/>
      <c r="I101" s="2689" t="n"/>
      <c r="J101" s="1125" t="n"/>
      <c r="K101" s="3357">
        <f>SUM(L101:M101)</f>
        <v/>
      </c>
      <c r="L101" s="3108" t="n"/>
      <c r="M101" s="880" t="n"/>
      <c r="N101" s="881" t="n"/>
      <c r="O101" s="882" t="n"/>
      <c r="P101" s="1147" t="n"/>
      <c r="Q101" s="3659" t="n"/>
      <c r="R101" s="1418" t="n"/>
      <c r="S101" s="3660" t="n"/>
      <c r="T101" s="1418" t="n"/>
      <c r="U101" s="226">
        <f>CA101&amp;CB101&amp;CC101&amp;CD101&amp;CE101&amp;CF101&amp;CG101</f>
        <v/>
      </c>
      <c r="CA101" s="405">
        <f>IF(AND(M101&gt;0,N101=""),"*No olvide digitar el campo "&amp;N$96&amp;""&amp;". Digite CERO si no tiene.", IF(N101&gt;M101," * El Número de "&amp;N$96&amp;""&amp;" no puede superar el Total Mujeres. ",""))</f>
        <v/>
      </c>
      <c r="CB101" s="405">
        <f>IF(AND(L101&gt;0,O101=""),"*No olvide digitar el campo "&amp;O$96&amp;""&amp;". Digite CERO si no tiene.", IF(O101&gt;L101," * El Número de "&amp;O$96&amp;""&amp;" no puede superar el Total Hombres. ",""))</f>
        <v/>
      </c>
      <c r="CC101" s="405">
        <f>IF(AND($K101&gt;0,P101=""),"*No olvide digitar el campo "&amp;P$96&amp;""&amp;". Digite CERO si no tiene.", IF(P101&gt;$K101," * La variable "&amp;P$96&amp;""&amp;" no puede superar el Total Ambos Sexos. ",""))</f>
        <v/>
      </c>
      <c r="CD101" s="405">
        <f>IF(AND($K101&gt;0,Q101=""),"*No olvide digitar el campo "&amp;Q$96&amp;""&amp;". Digite CERO si no tiene.", IF(Q101&gt;$K101," * La variable "&amp;Q$96&amp;""&amp;" no puede superar el Total Ambos Sexos. ",""))</f>
        <v/>
      </c>
      <c r="CE101" s="405">
        <f>IF(AND($K101&gt;0,R101=""),"*No olvide digitar el campo "&amp;R$96&amp;""&amp;". Digite CERO si no tiene.", IF(R101&gt;$K101," * La variable "&amp;R$96&amp;""&amp;" no puede superar el Total Ambos Sexos. ",""))</f>
        <v/>
      </c>
      <c r="CF101" s="405">
        <f>IF(AND($K101&gt;0,S101=""),"*No olvide digitar el campo "&amp;S$96&amp;""&amp;". Digite CERO si no tiene.", IF(S101&gt;$K101," * La variable "&amp;S$96&amp;""&amp;" no puede superar el Total Ambos Sexos. ",""))</f>
        <v/>
      </c>
      <c r="CG101" s="405">
        <f>IF(AND($K101&gt;0,T101=""),"*No olvide digitar el campo "&amp;T$96&amp;""&amp;". Digite CERO si no tiene.", IF(T101&gt;$K101," * La variable "&amp;T$96&amp;""&amp;" no puede superar el Total Ambos Sexos. ",""))</f>
        <v/>
      </c>
      <c r="CM101" s="197">
        <f>IF(AND(M101&gt;0,OR(N101="")),1,IF(N101&gt;M101,1,0))</f>
        <v/>
      </c>
      <c r="CN101" s="197">
        <f>IF(AND(L101&gt;0,OR(O101="")),1,IF(O101&gt;L101,1,0))</f>
        <v/>
      </c>
      <c r="CO101" s="197">
        <f>IF(AND($K101&gt;0,OR(P101="")),1,IF(P101&gt;$K101,1,0))</f>
        <v/>
      </c>
      <c r="CP101" s="197">
        <f>IF(AND($K101&gt;0,OR(Q101="")),1,IF(Q101&gt;$K101,1,0))</f>
        <v/>
      </c>
      <c r="CQ101" s="197">
        <f>IF(AND($K101&gt;0,OR(R101="")),1,IF(R101&gt;$K101,1,0))</f>
        <v/>
      </c>
      <c r="CR101" s="197">
        <f>IF(AND($K101&gt;0,OR(S101="")),1,IF(S101&gt;$K101,1,0))</f>
        <v/>
      </c>
      <c r="CS101" s="197">
        <f>IF(AND($K101&gt;0,OR(T101="")),1,IF(T101&gt;$K101,1,0))</f>
        <v/>
      </c>
    </row>
    <row r="102">
      <c r="A102" s="1209" t="inlineStr">
        <is>
          <t>Jornadas de intercambio de experiencias</t>
        </is>
      </c>
      <c r="B102" s="1209">
        <f>SUM(C102:I102)</f>
        <v/>
      </c>
      <c r="C102" s="3108" t="n"/>
      <c r="D102" s="141" t="n"/>
      <c r="E102" s="141" t="n"/>
      <c r="F102" s="882" t="n"/>
      <c r="G102" s="882" t="n"/>
      <c r="H102" s="882" t="n"/>
      <c r="I102" s="3149" t="n"/>
      <c r="J102" s="1125" t="n"/>
      <c r="K102" s="3357">
        <f>SUM(L102:M102)</f>
        <v/>
      </c>
      <c r="L102" s="3108" t="n"/>
      <c r="M102" s="3380" t="n"/>
      <c r="N102" s="881" t="n"/>
      <c r="O102" s="141" t="n"/>
      <c r="P102" s="1147" t="n"/>
      <c r="Q102" s="3659" t="n"/>
      <c r="R102" s="1418" t="n"/>
      <c r="S102" s="3660" t="n"/>
      <c r="T102" s="1418" t="n"/>
      <c r="U102" s="226">
        <f>CA102&amp;CB102&amp;CC102&amp;CD102&amp;CE102&amp;CF102&amp;CG102</f>
        <v/>
      </c>
      <c r="CA102" s="405">
        <f>IF(AND(M102&gt;0,N102=""),"*No olvide digitar el campo "&amp;N$96&amp;""&amp;". Digite CERO si no tiene.", IF(N102&gt;M102," * El Número de "&amp;N$96&amp;""&amp;" no puede superar el Total Mujeres. ",""))</f>
        <v/>
      </c>
      <c r="CB102" s="405">
        <f>IF(AND(L102&gt;0,O102=""),"*No olvide digitar el campo "&amp;O$96&amp;""&amp;". Digite CERO si no tiene.", IF(O102&gt;L102," * El Número de "&amp;O$96&amp;""&amp;" no puede superar el Total Hombres. ",""))</f>
        <v/>
      </c>
      <c r="CC102" s="405">
        <f>IF(AND($K102&gt;0,P102=""),"*No olvide digitar el campo "&amp;P$96&amp;""&amp;". Digite CERO si no tiene.", IF(P102&gt;$K102," * La variable "&amp;P$96&amp;""&amp;" no puede superar el Total Ambos Sexos. ",""))</f>
        <v/>
      </c>
      <c r="CD102" s="405">
        <f>IF(AND($K102&gt;0,Q102=""),"*No olvide digitar el campo "&amp;Q$96&amp;""&amp;". Digite CERO si no tiene.", IF(Q102&gt;$K102," * La variable "&amp;Q$96&amp;""&amp;" no puede superar el Total Ambos Sexos. ",""))</f>
        <v/>
      </c>
      <c r="CE102" s="405">
        <f>IF(AND($K102&gt;0,R102=""),"*No olvide digitar el campo "&amp;R$96&amp;""&amp;". Digite CERO si no tiene.", IF(R102&gt;$K102," * La variable "&amp;R$96&amp;""&amp;" no puede superar el Total Ambos Sexos. ",""))</f>
        <v/>
      </c>
      <c r="CF102" s="405">
        <f>IF(AND($K102&gt;0,S102=""),"*No olvide digitar el campo "&amp;S$96&amp;""&amp;". Digite CERO si no tiene.", IF(S102&gt;$K102," * La variable "&amp;S$96&amp;""&amp;" no puede superar el Total Ambos Sexos. ",""))</f>
        <v/>
      </c>
      <c r="CG102" s="405">
        <f>IF(AND($K102&gt;0,T102=""),"*No olvide digitar el campo "&amp;T$96&amp;""&amp;". Digite CERO si no tiene.", IF(T102&gt;$K102," * La variable "&amp;T$96&amp;""&amp;" no puede superar el Total Ambos Sexos. ",""))</f>
        <v/>
      </c>
      <c r="CM102" s="197">
        <f>IF(AND(M102&gt;0,OR(N102="")),1,IF(N102&gt;M102,1,0))</f>
        <v/>
      </c>
      <c r="CN102" s="197">
        <f>IF(AND(L102&gt;0,OR(O102="")),1,IF(O102&gt;L102,1,0))</f>
        <v/>
      </c>
      <c r="CO102" s="197">
        <f>IF(AND($K102&gt;0,OR(P102="")),1,IF(P102&gt;$K102,1,0))</f>
        <v/>
      </c>
      <c r="CP102" s="197">
        <f>IF(AND($K102&gt;0,OR(Q102="")),1,IF(Q102&gt;$K102,1,0))</f>
        <v/>
      </c>
      <c r="CQ102" s="197">
        <f>IF(AND($K102&gt;0,OR(R102="")),1,IF(R102&gt;$K102,1,0))</f>
        <v/>
      </c>
      <c r="CR102" s="197">
        <f>IF(AND($K102&gt;0,OR(S102="")),1,IF(S102&gt;$K102,1,0))</f>
        <v/>
      </c>
      <c r="CS102" s="197">
        <f>IF(AND($K102&gt;0,OR(T102="")),1,IF(T102&gt;$K102,1,0))</f>
        <v/>
      </c>
    </row>
    <row r="103">
      <c r="A103" s="1209" t="inlineStr">
        <is>
          <t>Actividades de difusión y comunicación</t>
        </is>
      </c>
      <c r="B103" s="1209">
        <f>SUM(C103:I103)</f>
        <v/>
      </c>
      <c r="C103" s="3108" t="n"/>
      <c r="D103" s="882" t="n"/>
      <c r="E103" s="882" t="n"/>
      <c r="F103" s="882" t="n"/>
      <c r="G103" s="882" t="n"/>
      <c r="H103" s="882" t="n"/>
      <c r="I103" s="1458" t="n"/>
      <c r="J103" s="1125" t="n"/>
      <c r="K103" s="3357">
        <f>SUM(L103:M103)</f>
        <v/>
      </c>
      <c r="L103" s="3108" t="n"/>
      <c r="M103" s="1414" t="n"/>
      <c r="N103" s="229" t="n"/>
      <c r="O103" s="1147" t="n"/>
      <c r="P103" s="882" t="n"/>
      <c r="Q103" s="3659" t="n"/>
      <c r="R103" s="4008" t="n"/>
      <c r="S103" s="3660" t="n"/>
      <c r="T103" s="4008" t="n"/>
      <c r="U103" s="226">
        <f>CA103&amp;CB103&amp;CC103&amp;CD103&amp;CE103&amp;CF103&amp;CG103</f>
        <v/>
      </c>
      <c r="CA103" s="405">
        <f>IF(AND(M103&gt;0,N103=""),"*No olvide digitar el campo "&amp;N$96&amp;""&amp;". Digite CERO si no tiene.", IF(N103&gt;M103," * El Número de "&amp;N$96&amp;""&amp;" no puede superar el Total Mujeres. ",""))</f>
        <v/>
      </c>
      <c r="CB103" s="405">
        <f>IF(AND(L103&gt;0,O103=""),"*No olvide digitar el campo "&amp;O$96&amp;""&amp;". Digite CERO si no tiene.", IF(O103&gt;L103," * El Número de "&amp;O$96&amp;""&amp;" no puede superar el Total Hombres. ",""))</f>
        <v/>
      </c>
      <c r="CC103" s="405">
        <f>IF(AND($K103&gt;0,P103=""),"*No olvide digitar el campo "&amp;P$96&amp;""&amp;". Digite CERO si no tiene.", IF(P103&gt;$K103," * La variable "&amp;P$96&amp;""&amp;" no puede superar el Total Ambos Sexos. ",""))</f>
        <v/>
      </c>
      <c r="CD103" s="405">
        <f>IF(AND($K103&gt;0,Q103=""),"*No olvide digitar el campo "&amp;Q$96&amp;""&amp;". Digite CERO si no tiene.", IF(Q103&gt;$K103," * La variable "&amp;Q$96&amp;""&amp;" no puede superar el Total Ambos Sexos. ",""))</f>
        <v/>
      </c>
      <c r="CE103" s="405">
        <f>IF(AND($K103&gt;0,R103=""),"*No olvide digitar el campo "&amp;R$96&amp;""&amp;". Digite CERO si no tiene.", IF(R103&gt;$K103," * La variable "&amp;R$96&amp;""&amp;" no puede superar el Total Ambos Sexos. ",""))</f>
        <v/>
      </c>
      <c r="CF103" s="405">
        <f>IF(AND($K103&gt;0,S103=""),"*No olvide digitar el campo "&amp;S$96&amp;""&amp;". Digite CERO si no tiene.", IF(S103&gt;$K103," * La variable "&amp;S$96&amp;""&amp;" no puede superar el Total Ambos Sexos. ",""))</f>
        <v/>
      </c>
      <c r="CG103" s="405">
        <f>IF(AND($K103&gt;0,T103=""),"*No olvide digitar el campo "&amp;T$96&amp;""&amp;". Digite CERO si no tiene.", IF(T103&gt;$K103," * La variable "&amp;T$96&amp;""&amp;" no puede superar el Total Ambos Sexos. ",""))</f>
        <v/>
      </c>
      <c r="CM103" s="197">
        <f>IF(AND(M103&gt;0,OR(N103="")),1,IF(N103&gt;M103,1,0))</f>
        <v/>
      </c>
      <c r="CN103" s="197">
        <f>IF(AND(L103&gt;0,OR(O103="")),1,IF(O103&gt;L103,1,0))</f>
        <v/>
      </c>
      <c r="CO103" s="197">
        <f>IF(AND($K103&gt;0,OR(P103="")),1,IF(P103&gt;$K103,1,0))</f>
        <v/>
      </c>
      <c r="CP103" s="197">
        <f>IF(AND($K103&gt;0,OR(Q103="")),1,IF(Q103&gt;$K103,1,0))</f>
        <v/>
      </c>
      <c r="CQ103" s="197">
        <f>IF(AND($K103&gt;0,OR(R103="")),1,IF(R103&gt;$K103,1,0))</f>
        <v/>
      </c>
      <c r="CR103" s="197">
        <f>IF(AND($K103&gt;0,OR(S103="")),1,IF(S103&gt;$K103,1,0))</f>
        <v/>
      </c>
      <c r="CS103" s="197">
        <f>IF(AND($K103&gt;0,OR(T103="")),1,IF(T103&gt;$K103,1,0))</f>
        <v/>
      </c>
    </row>
    <row r="104">
      <c r="A104" s="1209" t="inlineStr">
        <is>
          <t>Educación y capacitación comunitaria</t>
        </is>
      </c>
      <c r="B104" s="1209">
        <f>SUM(C104:I104)</f>
        <v/>
      </c>
      <c r="C104" s="3108" t="n"/>
      <c r="D104" s="141" t="n"/>
      <c r="E104" s="141" t="n"/>
      <c r="F104" s="882" t="n"/>
      <c r="G104" s="882" t="n"/>
      <c r="H104" s="141" t="n"/>
      <c r="I104" s="408" t="n"/>
      <c r="J104" s="1125" t="n"/>
      <c r="K104" s="3357">
        <f>SUM(L104:M104)</f>
        <v/>
      </c>
      <c r="L104" s="638" t="n"/>
      <c r="M104" s="1414" t="n"/>
      <c r="N104" s="881" t="n"/>
      <c r="O104" s="882" t="n"/>
      <c r="P104" s="141" t="n"/>
      <c r="Q104" s="3659" t="n"/>
      <c r="R104" s="702" t="n"/>
      <c r="S104" s="3660" t="n"/>
      <c r="T104" s="702" t="n"/>
      <c r="U104" s="226">
        <f>CA104&amp;CB104&amp;CC104&amp;CD104&amp;CE104&amp;CF104&amp;CG104</f>
        <v/>
      </c>
      <c r="CA104" s="405">
        <f>IF(AND(M104&gt;0,N104=""),"*No olvide digitar el campo "&amp;N$96&amp;""&amp;". Digite CERO si no tiene.", IF(N104&gt;M104," * El Número de "&amp;N$96&amp;""&amp;" no puede superar el Total Mujeres. ",""))</f>
        <v/>
      </c>
      <c r="CB104" s="405">
        <f>IF(AND(L104&gt;0,O104=""),"*No olvide digitar el campo "&amp;O$96&amp;""&amp;". Digite CERO si no tiene.", IF(O104&gt;L104," * El Número de "&amp;O$96&amp;""&amp;" no puede superar el Total Hombres. ",""))</f>
        <v/>
      </c>
      <c r="CC104" s="405">
        <f>IF(AND($K104&gt;0,P104=""),"*No olvide digitar el campo "&amp;P$96&amp;""&amp;". Digite CERO si no tiene.", IF(P104&gt;$K104," * La variable "&amp;P$96&amp;""&amp;" no puede superar el Total Ambos Sexos. ",""))</f>
        <v/>
      </c>
      <c r="CD104" s="405">
        <f>IF(AND($K104&gt;0,Q104=""),"*No olvide digitar el campo "&amp;Q$96&amp;""&amp;". Digite CERO si no tiene.", IF(Q104&gt;$K104," * La variable "&amp;Q$96&amp;""&amp;" no puede superar el Total Ambos Sexos. ",""))</f>
        <v/>
      </c>
      <c r="CE104" s="405">
        <f>IF(AND($K104&gt;0,R104=""),"*No olvide digitar el campo "&amp;R$96&amp;""&amp;". Digite CERO si no tiene.", IF(R104&gt;$K104," * La variable "&amp;R$96&amp;""&amp;" no puede superar el Total Ambos Sexos. ",""))</f>
        <v/>
      </c>
      <c r="CF104" s="405">
        <f>IF(AND($K104&gt;0,S104=""),"*No olvide digitar el campo "&amp;S$96&amp;""&amp;". Digite CERO si no tiene.", IF(S104&gt;$K104," * La variable "&amp;S$96&amp;""&amp;" no puede superar el Total Ambos Sexos. ",""))</f>
        <v/>
      </c>
      <c r="CG104" s="405">
        <f>IF(AND($K104&gt;0,T104=""),"*No olvide digitar el campo "&amp;T$96&amp;""&amp;". Digite CERO si no tiene.", IF(T104&gt;$K104," * La variable "&amp;T$96&amp;""&amp;" no puede superar el Total Ambos Sexos. ",""))</f>
        <v/>
      </c>
      <c r="CM104" s="197">
        <f>IF(AND(M104&gt;0,OR(N104="")),1,IF(N104&gt;M104,1,0))</f>
        <v/>
      </c>
      <c r="CN104" s="197">
        <f>IF(AND(L104&gt;0,OR(O104="")),1,IF(O104&gt;L104,1,0))</f>
        <v/>
      </c>
      <c r="CO104" s="197">
        <f>IF(AND($K104&gt;0,OR(P104="")),1,IF(P104&gt;$K104,1,0))</f>
        <v/>
      </c>
      <c r="CP104" s="197">
        <f>IF(AND($K104&gt;0,OR(Q104="")),1,IF(Q104&gt;$K104,1,0))</f>
        <v/>
      </c>
      <c r="CQ104" s="197">
        <f>IF(AND($K104&gt;0,OR(R104="")),1,IF(R104&gt;$K104,1,0))</f>
        <v/>
      </c>
      <c r="CR104" s="197">
        <f>IF(AND($K104&gt;0,OR(S104="")),1,IF(S104&gt;$K104,1,0))</f>
        <v/>
      </c>
      <c r="CS104" s="197">
        <f>IF(AND($K104&gt;0,OR(T104="")),1,IF(T104&gt;$K104,1,0))</f>
        <v/>
      </c>
    </row>
    <row r="105">
      <c r="A105" s="1209" t="inlineStr">
        <is>
          <t>Eventos masivos (asambleas, cabildos, otros)</t>
        </is>
      </c>
      <c r="B105" s="1209">
        <f>SUM(C105:I105)</f>
        <v/>
      </c>
      <c r="C105" s="3108" t="n"/>
      <c r="D105" s="1147" t="n"/>
      <c r="E105" s="1147" t="n"/>
      <c r="F105" s="882" t="n"/>
      <c r="G105" s="882" t="n"/>
      <c r="H105" s="882" t="n"/>
      <c r="I105" s="3149" t="n"/>
      <c r="J105" s="1125" t="n"/>
      <c r="K105" s="3357">
        <f>SUM(L105:M105)</f>
        <v/>
      </c>
      <c r="L105" s="3108" t="n"/>
      <c r="M105" s="1414" t="n"/>
      <c r="N105" s="881" t="n"/>
      <c r="O105" s="141" t="n"/>
      <c r="P105" s="882" t="n"/>
      <c r="Q105" s="3659" t="n"/>
      <c r="R105" s="1418" t="n"/>
      <c r="S105" s="3660" t="n"/>
      <c r="T105" s="1418" t="n"/>
      <c r="U105" s="226">
        <f>CA105&amp;CB105&amp;CC105&amp;CD105&amp;CE105&amp;CF105&amp;CG105</f>
        <v/>
      </c>
      <c r="CA105" s="405">
        <f>IF(AND(M105&gt;0,N105=""),"*No olvide digitar el campo "&amp;N$96&amp;""&amp;". Digite CERO si no tiene.", IF(N105&gt;M105," * El Número de "&amp;N$96&amp;""&amp;" no puede superar el Total Mujeres. ",""))</f>
        <v/>
      </c>
      <c r="CB105" s="405">
        <f>IF(AND(L105&gt;0,O105=""),"*No olvide digitar el campo "&amp;O$96&amp;""&amp;". Digite CERO si no tiene.", IF(O105&gt;L105," * El Número de "&amp;O$96&amp;""&amp;" no puede superar el Total Hombres. ",""))</f>
        <v/>
      </c>
      <c r="CC105" s="405">
        <f>IF(AND($K105&gt;0,P105=""),"*No olvide digitar el campo "&amp;P$96&amp;""&amp;". Digite CERO si no tiene.", IF(P105&gt;$K105," * La variable "&amp;P$96&amp;""&amp;" no puede superar el Total Ambos Sexos. ",""))</f>
        <v/>
      </c>
      <c r="CD105" s="405">
        <f>IF(AND($K105&gt;0,Q105=""),"*No olvide digitar el campo "&amp;Q$96&amp;""&amp;". Digite CERO si no tiene.", IF(Q105&gt;$K105," * La variable "&amp;Q$96&amp;""&amp;" no puede superar el Total Ambos Sexos. ",""))</f>
        <v/>
      </c>
      <c r="CE105" s="405">
        <f>IF(AND($K105&gt;0,R105=""),"*No olvide digitar el campo "&amp;R$96&amp;""&amp;". Digite CERO si no tiene.", IF(R105&gt;$K105," * La variable "&amp;R$96&amp;""&amp;" no puede superar el Total Ambos Sexos. ",""))</f>
        <v/>
      </c>
      <c r="CF105" s="405">
        <f>IF(AND($K105&gt;0,S105=""),"*No olvide digitar el campo "&amp;S$96&amp;""&amp;". Digite CERO si no tiene.", IF(S105&gt;$K105," * La variable "&amp;S$96&amp;""&amp;" no puede superar el Total Ambos Sexos. ",""))</f>
        <v/>
      </c>
      <c r="CG105" s="405">
        <f>IF(AND($K105&gt;0,T105=""),"*No olvide digitar el campo "&amp;T$96&amp;""&amp;". Digite CERO si no tiene.", IF(T105&gt;$K105," * La variable "&amp;T$96&amp;""&amp;" no puede superar el Total Ambos Sexos. ",""))</f>
        <v/>
      </c>
      <c r="CM105" s="197">
        <f>IF(AND(M105&gt;0,OR(N105="")),1,IF(N105&gt;M105,1,0))</f>
        <v/>
      </c>
      <c r="CN105" s="197">
        <f>IF(AND(L105&gt;0,OR(O105="")),1,IF(O105&gt;L105,1,0))</f>
        <v/>
      </c>
      <c r="CO105" s="197">
        <f>IF(AND($K105&gt;0,OR(P105="")),1,IF(P105&gt;$K105,1,0))</f>
        <v/>
      </c>
      <c r="CP105" s="197">
        <f>IF(AND($K105&gt;0,OR(Q105="")),1,IF(Q105&gt;$K105,1,0))</f>
        <v/>
      </c>
      <c r="CQ105" s="197">
        <f>IF(AND($K105&gt;0,OR(R105="")),1,IF(R105&gt;$K105,1,0))</f>
        <v/>
      </c>
      <c r="CR105" s="197">
        <f>IF(AND($K105&gt;0,OR(S105="")),1,IF(S105&gt;$K105,1,0))</f>
        <v/>
      </c>
      <c r="CS105" s="197">
        <f>IF(AND($K105&gt;0,OR(T105="")),1,IF(T105&gt;$K105,1,0))</f>
        <v/>
      </c>
    </row>
    <row r="106">
      <c r="A106" s="1361" t="inlineStr">
        <is>
          <t>Pasantías</t>
        </is>
      </c>
      <c r="B106" s="1209">
        <f>SUM(C106:I106)</f>
        <v/>
      </c>
      <c r="C106" s="3281" t="n"/>
      <c r="D106" s="882" t="n"/>
      <c r="E106" s="882" t="n"/>
      <c r="F106" s="882" t="n"/>
      <c r="G106" s="882" t="n"/>
      <c r="H106" s="141" t="n"/>
      <c r="I106" s="408" t="n"/>
      <c r="J106" s="1125" t="n"/>
      <c r="K106" s="3357">
        <f>SUM(L106:M106)</f>
        <v/>
      </c>
      <c r="L106" s="3108" t="n"/>
      <c r="M106" s="1414" t="n"/>
      <c r="N106" s="229" t="n"/>
      <c r="O106" s="1147" t="n"/>
      <c r="P106" s="882" t="n"/>
      <c r="Q106" s="3659" t="n"/>
      <c r="R106" s="4008" t="n"/>
      <c r="S106" s="3660" t="n"/>
      <c r="T106" s="4008" t="n"/>
      <c r="U106" s="226">
        <f>CA106&amp;CB106&amp;CC106&amp;CD106&amp;CE106&amp;CF106&amp;CG106</f>
        <v/>
      </c>
      <c r="CA106" s="405">
        <f>IF(AND(M106&gt;0,N106=""),"*No olvide digitar el campo "&amp;N$96&amp;""&amp;". Digite CERO si no tiene.", IF(N106&gt;M106," * El Número de "&amp;N$96&amp;""&amp;" no puede superar el Total Mujeres. ",""))</f>
        <v/>
      </c>
      <c r="CB106" s="405">
        <f>IF(AND(L106&gt;0,O106=""),"*No olvide digitar el campo "&amp;O$96&amp;""&amp;". Digite CERO si no tiene.", IF(O106&gt;L106," * El Número de "&amp;O$96&amp;""&amp;" no puede superar el Total Hombres. ",""))</f>
        <v/>
      </c>
      <c r="CC106" s="405">
        <f>IF(AND($K106&gt;0,P106=""),"*No olvide digitar el campo "&amp;P$96&amp;""&amp;". Digite CERO si no tiene.", IF(P106&gt;$K106," * La variable "&amp;P$96&amp;""&amp;" no puede superar el Total Ambos Sexos. ",""))</f>
        <v/>
      </c>
      <c r="CD106" s="405">
        <f>IF(AND($K106&gt;0,Q106=""),"*No olvide digitar el campo "&amp;Q$96&amp;""&amp;". Digite CERO si no tiene.", IF(Q106&gt;$K106," * La variable "&amp;Q$96&amp;""&amp;" no puede superar el Total Ambos Sexos. ",""))</f>
        <v/>
      </c>
      <c r="CE106" s="405">
        <f>IF(AND($K106&gt;0,R106=""),"*No olvide digitar el campo "&amp;R$96&amp;""&amp;". Digite CERO si no tiene.", IF(R106&gt;$K106," * La variable "&amp;R$96&amp;""&amp;" no puede superar el Total Ambos Sexos. ",""))</f>
        <v/>
      </c>
      <c r="CF106" s="405">
        <f>IF(AND($K106&gt;0,S106=""),"*No olvide digitar el campo "&amp;S$96&amp;""&amp;". Digite CERO si no tiene.", IF(S106&gt;$K106," * La variable "&amp;S$96&amp;""&amp;" no puede superar el Total Ambos Sexos. ",""))</f>
        <v/>
      </c>
      <c r="CG106" s="405">
        <f>IF(AND($K106&gt;0,T106=""),"*No olvide digitar el campo "&amp;T$96&amp;""&amp;". Digite CERO si no tiene.", IF(T106&gt;$K106," * La variable "&amp;T$96&amp;""&amp;" no puede superar el Total Ambos Sexos. ",""))</f>
        <v/>
      </c>
      <c r="CM106" s="197">
        <f>IF(AND(M106&gt;0,OR(N106="")),1,IF(N106&gt;M106,1,0))</f>
        <v/>
      </c>
      <c r="CN106" s="197">
        <f>IF(AND(L106&gt;0,OR(O106="")),1,IF(O106&gt;L106,1,0))</f>
        <v/>
      </c>
      <c r="CO106" s="197">
        <f>IF(AND($K106&gt;0,OR(P106="")),1,IF(P106&gt;$K106,1,0))</f>
        <v/>
      </c>
      <c r="CP106" s="197">
        <f>IF(AND($K106&gt;0,OR(Q106="")),1,IF(Q106&gt;$K106,1,0))</f>
        <v/>
      </c>
      <c r="CQ106" s="197">
        <f>IF(AND($K106&gt;0,OR(R106="")),1,IF(R106&gt;$K106,1,0))</f>
        <v/>
      </c>
      <c r="CR106" s="197">
        <f>IF(AND($K106&gt;0,OR(S106="")),1,IF(S106&gt;$K106,1,0))</f>
        <v/>
      </c>
      <c r="CS106" s="197">
        <f>IF(AND($K106&gt;0,OR(T106="")),1,IF(T106&gt;$K106,1,0))</f>
        <v/>
      </c>
    </row>
    <row r="107">
      <c r="A107" s="1361" t="inlineStr">
        <is>
          <t>Comunidades de aprendizaje</t>
        </is>
      </c>
      <c r="B107" s="1209">
        <f>SUM(C107:I107)</f>
        <v/>
      </c>
      <c r="C107" s="3108" t="n"/>
      <c r="D107" s="882" t="n"/>
      <c r="E107" s="882" t="n"/>
      <c r="F107" s="141" t="n"/>
      <c r="G107" s="882" t="n"/>
      <c r="H107" s="1147" t="n"/>
      <c r="I107" s="3149" t="n"/>
      <c r="J107" s="1125" t="n"/>
      <c r="K107" s="3357">
        <f>SUM(L107:M107)</f>
        <v/>
      </c>
      <c r="L107" s="3108" t="n"/>
      <c r="M107" s="880" t="n"/>
      <c r="N107" s="881" t="n"/>
      <c r="O107" s="882" t="n"/>
      <c r="P107" s="882" t="n"/>
      <c r="Q107" s="3659" t="n"/>
      <c r="R107" s="702" t="n"/>
      <c r="S107" s="3660" t="n"/>
      <c r="T107" s="702" t="n"/>
      <c r="U107" s="226">
        <f>CA107&amp;CB107&amp;CC107&amp;CD107&amp;CE107&amp;CF107&amp;CG107</f>
        <v/>
      </c>
      <c r="CA107" s="405">
        <f>IF(AND(M107&gt;0,N107=""),"*No olvide digitar el campo "&amp;N$96&amp;""&amp;". Digite CERO si no tiene.", IF(N107&gt;M107," * El Número de "&amp;N$96&amp;""&amp;" no puede superar el Total Mujeres. ",""))</f>
        <v/>
      </c>
      <c r="CB107" s="405">
        <f>IF(AND(L107&gt;0,O107=""),"*No olvide digitar el campo "&amp;O$96&amp;""&amp;". Digite CERO si no tiene.", IF(O107&gt;L107," * El Número de "&amp;O$96&amp;""&amp;" no puede superar el Total Hombres. ",""))</f>
        <v/>
      </c>
      <c r="CC107" s="405">
        <f>IF(AND($K107&gt;0,P107=""),"*No olvide digitar el campo "&amp;P$96&amp;""&amp;". Digite CERO si no tiene.", IF(P107&gt;$K107," * La variable "&amp;P$96&amp;""&amp;" no puede superar el Total Ambos Sexos. ",""))</f>
        <v/>
      </c>
      <c r="CD107" s="405">
        <f>IF(AND($K107&gt;0,Q107=""),"*No olvide digitar el campo "&amp;Q$96&amp;""&amp;". Digite CERO si no tiene.", IF(Q107&gt;$K107," * La variable "&amp;Q$96&amp;""&amp;" no puede superar el Total Ambos Sexos. ",""))</f>
        <v/>
      </c>
      <c r="CE107" s="405">
        <f>IF(AND($K107&gt;0,R107=""),"*No olvide digitar el campo "&amp;R$96&amp;""&amp;". Digite CERO si no tiene.", IF(R107&gt;$K107," * La variable "&amp;R$96&amp;""&amp;" no puede superar el Total Ambos Sexos. ",""))</f>
        <v/>
      </c>
      <c r="CF107" s="405">
        <f>IF(AND($K107&gt;0,S107=""),"*No olvide digitar el campo "&amp;S$96&amp;""&amp;". Digite CERO si no tiene.", IF(S107&gt;$K107," * La variable "&amp;S$96&amp;""&amp;" no puede superar el Total Ambos Sexos. ",""))</f>
        <v/>
      </c>
      <c r="CG107" s="405">
        <f>IF(AND($K107&gt;0,T107=""),"*No olvide digitar el campo "&amp;T$96&amp;""&amp;". Digite CERO si no tiene.", IF(T107&gt;$K107," * La variable "&amp;T$96&amp;""&amp;" no puede superar el Total Ambos Sexos. ",""))</f>
        <v/>
      </c>
      <c r="CM107" s="197">
        <f>IF(AND(M107&gt;0,OR(N107="")),1,IF(N107&gt;M107,1,0))</f>
        <v/>
      </c>
      <c r="CN107" s="197">
        <f>IF(AND(L107&gt;0,OR(O107="")),1,IF(O107&gt;L107,1,0))</f>
        <v/>
      </c>
      <c r="CO107" s="197">
        <f>IF(AND($K107&gt;0,OR(P107="")),1,IF(P107&gt;$K107,1,0))</f>
        <v/>
      </c>
      <c r="CP107" s="197">
        <f>IF(AND($K107&gt;0,OR(Q107="")),1,IF(Q107&gt;$K107,1,0))</f>
        <v/>
      </c>
      <c r="CQ107" s="197">
        <f>IF(AND($K107&gt;0,OR(R107="")),1,IF(R107&gt;$K107,1,0))</f>
        <v/>
      </c>
      <c r="CR107" s="197">
        <f>IF(AND($K107&gt;0,OR(S107="")),1,IF(S107&gt;$K107,1,0))</f>
        <v/>
      </c>
      <c r="CS107" s="197">
        <f>IF(AND($K107&gt;0,OR(T107="")),1,IF(T107&gt;$K107,1,0))</f>
        <v/>
      </c>
    </row>
    <row r="108">
      <c r="A108" s="1240" t="inlineStr">
        <is>
          <t>Mentorías</t>
        </is>
      </c>
      <c r="B108" s="1209">
        <f>SUM(C108:I108)</f>
        <v/>
      </c>
      <c r="C108" s="1971" t="n"/>
      <c r="D108" s="141" t="n"/>
      <c r="E108" s="141" t="n"/>
      <c r="F108" s="1153" t="n"/>
      <c r="G108" s="141" t="n"/>
      <c r="H108" s="1153" t="n"/>
      <c r="I108" s="2662" t="n"/>
      <c r="J108" s="1125" t="n"/>
      <c r="K108" s="3357">
        <f>SUM(L108:M108)</f>
        <v/>
      </c>
      <c r="L108" s="1137" t="n"/>
      <c r="M108" s="3380" t="n"/>
      <c r="N108" s="229" t="n"/>
      <c r="O108" s="141" t="n"/>
      <c r="P108" s="141" t="n"/>
      <c r="Q108" s="5447" t="n"/>
      <c r="R108" s="1299" t="n"/>
      <c r="S108" s="5158" t="n"/>
      <c r="T108" s="1299" t="n"/>
      <c r="U108" s="226">
        <f>CA108&amp;CB108&amp;CC108&amp;CD108&amp;CE108&amp;CF108&amp;CG108</f>
        <v/>
      </c>
      <c r="CA108" s="405">
        <f>IF(AND(M108&gt;0,N108=""),"*No olvide digitar el campo "&amp;N$96&amp;""&amp;". Digite CERO si no tiene.", IF(N108&gt;M108," * El Número de "&amp;N$96&amp;""&amp;" no puede superar el Total Mujeres. ",""))</f>
        <v/>
      </c>
      <c r="CB108" s="405">
        <f>IF(AND(L108&gt;0,O108=""),"*No olvide digitar el campo "&amp;O$96&amp;""&amp;". Digite CERO si no tiene.", IF(O108&gt;L108," * El Número de "&amp;O$96&amp;""&amp;" no puede superar el Total Hombres. ",""))</f>
        <v/>
      </c>
      <c r="CC108" s="405">
        <f>IF(AND($K108&gt;0,P108=""),"*No olvide digitar el campo "&amp;P$96&amp;""&amp;". Digite CERO si no tiene.", IF(P108&gt;$K108," * La variable "&amp;P$96&amp;""&amp;" no puede superar el Total Ambos Sexos. ",""))</f>
        <v/>
      </c>
      <c r="CD108" s="405">
        <f>IF(AND($K108&gt;0,Q108=""),"*No olvide digitar el campo "&amp;Q$96&amp;""&amp;". Digite CERO si no tiene.", IF(Q108&gt;$K108," * La variable "&amp;Q$96&amp;""&amp;" no puede superar el Total Ambos Sexos. ",""))</f>
        <v/>
      </c>
      <c r="CE108" s="405">
        <f>IF(AND($K108&gt;0,R108=""),"*No olvide digitar el campo "&amp;R$96&amp;""&amp;". Digite CERO si no tiene.", IF(R108&gt;$K108," * La variable "&amp;R$96&amp;""&amp;" no puede superar el Total Ambos Sexos. ",""))</f>
        <v/>
      </c>
      <c r="CF108" s="405">
        <f>IF(AND($K108&gt;0,S108=""),"*No olvide digitar el campo "&amp;S$96&amp;""&amp;". Digite CERO si no tiene.", IF(S108&gt;$K108," * La variable "&amp;S$96&amp;""&amp;" no puede superar el Total Ambos Sexos. ",""))</f>
        <v/>
      </c>
      <c r="CG108" s="405">
        <f>IF(AND($K108&gt;0,T108=""),"*No olvide digitar el campo "&amp;T$96&amp;""&amp;". Digite CERO si no tiene.", IF(T108&gt;$K108," * La variable "&amp;T$96&amp;""&amp;" no puede superar el Total Ambos Sexos. ",""))</f>
        <v/>
      </c>
      <c r="CM108" s="197">
        <f>IF(AND(M108&gt;0,OR(N108="")),1,IF(N108&gt;M108,1,0))</f>
        <v/>
      </c>
      <c r="CN108" s="197">
        <f>IF(AND(L108&gt;0,OR(O108="")),1,IF(O108&gt;L108,1,0))</f>
        <v/>
      </c>
      <c r="CO108" s="197">
        <f>IF(AND($K108&gt;0,OR(P108="")),1,IF(P108&gt;$K108,1,0))</f>
        <v/>
      </c>
      <c r="CP108" s="197">
        <f>IF(AND($K108&gt;0,OR(Q108="")),1,IF(Q108&gt;$K108,1,0))</f>
        <v/>
      </c>
      <c r="CQ108" s="197">
        <f>IF(AND($K108&gt;0,OR(R108="")),1,IF(R108&gt;$K108,1,0))</f>
        <v/>
      </c>
      <c r="CR108" s="197">
        <f>IF(AND($K108&gt;0,OR(S108="")),1,IF(S108&gt;$K108,1,0))</f>
        <v/>
      </c>
      <c r="CS108" s="197">
        <f>IF(AND($K108&gt;0,OR(T108="")),1,IF(T108&gt;$K108,1,0))</f>
        <v/>
      </c>
    </row>
    <row r="109">
      <c r="A109" s="3365" t="inlineStr">
        <is>
          <t>TOTAL</t>
        </is>
      </c>
      <c r="B109" s="3381">
        <f>SUM(B97:B108)</f>
        <v/>
      </c>
      <c r="C109" s="3382">
        <f>SUM(C97:C108)</f>
        <v/>
      </c>
      <c r="D109" s="3382">
        <f>SUM(D97:D108)</f>
        <v/>
      </c>
      <c r="E109" s="3382">
        <f>SUM(E97:E108)</f>
        <v/>
      </c>
      <c r="F109" s="3382">
        <f>SUM(F97:F108)</f>
        <v/>
      </c>
      <c r="G109" s="3382">
        <f>SUM(G97:G108)</f>
        <v/>
      </c>
      <c r="H109" s="3382">
        <f>SUM(H97:H108)</f>
        <v/>
      </c>
      <c r="I109" s="3383">
        <f>SUM(I97:I108)</f>
        <v/>
      </c>
      <c r="J109" s="3368">
        <f>SUM(J97:J108)</f>
        <v/>
      </c>
      <c r="K109" s="3376">
        <f>SUM(K97:K108)</f>
        <v/>
      </c>
      <c r="L109" s="3342">
        <f>SUM(L97:L108)</f>
        <v/>
      </c>
      <c r="M109" s="3370">
        <f>SUM(M97:M108)</f>
        <v/>
      </c>
      <c r="N109" s="3372">
        <f>SUM(N97:N108)</f>
        <v/>
      </c>
      <c r="O109" s="3367">
        <f>SUM(O97:O108)</f>
        <v/>
      </c>
      <c r="P109" s="3367">
        <f>SUM(P97:P108)</f>
        <v/>
      </c>
      <c r="Q109" s="5443">
        <f>SUM(Q97:Q108)</f>
        <v/>
      </c>
      <c r="R109" s="5444">
        <f>SUM(R97:R108)</f>
        <v/>
      </c>
      <c r="S109" s="5449">
        <f>SUM(S97:S108)</f>
        <v/>
      </c>
      <c r="T109" s="5444">
        <f>SUM(T97:T108)</f>
        <v/>
      </c>
      <c r="CA109" s="3" t="n"/>
      <c r="CB109" s="3" t="n"/>
      <c r="CC109" s="3" t="n"/>
      <c r="CD109" s="3" t="n"/>
      <c r="CE109" s="3" t="n"/>
      <c r="CF109" s="3" t="n"/>
      <c r="CG109" s="3" t="n"/>
    </row>
    <row r="110" ht="18" customHeight="1" s="8286">
      <c r="A110" s="9689" t="inlineStr">
        <is>
          <t>SECCIÓN C.2: TOTAL DE SESIONES SEGÚN LÍNEAS DE ACCIÓN Y PARTICIPANTES</t>
        </is>
      </c>
      <c r="B110" s="9591" t="n"/>
      <c r="C110" s="9591" t="n"/>
      <c r="D110" s="9591" t="n"/>
      <c r="E110" s="9591" t="n"/>
      <c r="F110" s="9591" t="n"/>
      <c r="G110" s="9591" t="n"/>
      <c r="H110" s="9591" t="n"/>
      <c r="I110" s="9591" t="n"/>
      <c r="J110" s="9591" t="n"/>
      <c r="K110" s="9591" t="n"/>
      <c r="L110" s="9591" t="n"/>
      <c r="M110" s="9591" t="n"/>
      <c r="N110" s="9591" t="n"/>
    </row>
    <row r="111" ht="15" customHeight="1" s="8286">
      <c r="A111" s="10006" t="inlineStr">
        <is>
          <t>LÍNEAS DE ACCIÓN</t>
        </is>
      </c>
      <c r="B111" s="9690" t="inlineStr">
        <is>
          <t>N° DE SESIONES</t>
        </is>
      </c>
      <c r="C111" s="8400" t="inlineStr">
        <is>
          <t>PARTICIPANTES</t>
        </is>
      </c>
      <c r="D111" s="9584" t="n"/>
      <c r="E111" s="9584" t="n"/>
      <c r="F111" s="9584" t="n"/>
      <c r="G111" s="9584" t="n"/>
      <c r="H111" s="9584" t="n"/>
      <c r="I111" s="9584" t="n"/>
      <c r="J111" s="9584" t="n"/>
      <c r="K111" s="9584" t="n"/>
      <c r="L111" s="9582" t="n"/>
      <c r="M111" s="10349" t="inlineStr">
        <is>
          <t>REPRESENTANTES</t>
        </is>
      </c>
      <c r="N111" s="10190" t="n"/>
      <c r="O111" s="10190" t="n"/>
      <c r="P111" s="10190" t="n"/>
      <c r="Q111" s="10190" t="n"/>
      <c r="R111" s="10321" t="n"/>
    </row>
    <row r="112" ht="42" customHeight="1" s="8286">
      <c r="A112" s="9698" t="n"/>
      <c r="B112" s="9589" t="n"/>
      <c r="C112" s="3088" t="inlineStr">
        <is>
          <t>Total Ambos Sexos</t>
        </is>
      </c>
      <c r="D112" s="3091" t="inlineStr">
        <is>
          <t>Hombres</t>
        </is>
      </c>
      <c r="E112" s="3092" t="inlineStr">
        <is>
          <t>Mujeres</t>
        </is>
      </c>
      <c r="F112" s="3141" t="inlineStr">
        <is>
          <t>Trans Masculino</t>
        </is>
      </c>
      <c r="G112" s="3089" t="inlineStr">
        <is>
          <t>Trans Femenina</t>
        </is>
      </c>
      <c r="H112" s="3089" t="inlineStr">
        <is>
          <t>No binarie</t>
        </is>
      </c>
      <c r="I112" s="3089" t="inlineStr">
        <is>
          <t>No revelado</t>
        </is>
      </c>
      <c r="J112" s="3089" t="inlineStr">
        <is>
          <t>Pueblos Originarios</t>
        </is>
      </c>
      <c r="K112" s="3089" t="inlineStr">
        <is>
          <t>Migrantes</t>
        </is>
      </c>
      <c r="L112" s="3090" t="inlineStr">
        <is>
          <t>PRAIS</t>
        </is>
      </c>
      <c r="M112" s="3091" t="inlineStr">
        <is>
          <t>Consejos de la Sociedad Civil (COSOC)</t>
        </is>
      </c>
      <c r="N112" s="3089" t="inlineStr">
        <is>
          <t xml:space="preserve">Consejos Consultivos de Usuarios </t>
        </is>
      </c>
      <c r="O112" s="3089" t="inlineStr">
        <is>
          <t>Consejo de Desarrollo Local (CDL)</t>
        </is>
      </c>
      <c r="P112" s="3089" t="inlineStr">
        <is>
          <t>Organizaciones sociales</t>
        </is>
      </c>
      <c r="Q112" s="3089" t="inlineStr">
        <is>
          <t>Instancias de Participación Indígena</t>
        </is>
      </c>
      <c r="R112" s="7976" t="inlineStr">
        <is>
          <t>Consejo Interreligioso</t>
        </is>
      </c>
    </row>
    <row r="113">
      <c r="A113" s="3284" t="inlineStr">
        <is>
          <t>Consultas y/o Diálogos ciudadanos</t>
        </is>
      </c>
      <c r="B113" s="1298" t="n"/>
      <c r="C113" s="1926">
        <f>SUM(D113:E113)</f>
        <v/>
      </c>
      <c r="D113" s="3100" t="n"/>
      <c r="E113" s="880" t="n"/>
      <c r="F113" s="881" t="n"/>
      <c r="G113" s="882" t="n"/>
      <c r="H113" s="882" t="n"/>
      <c r="I113" s="882" t="n"/>
      <c r="J113" s="882" t="n"/>
      <c r="K113" s="882" t="n"/>
      <c r="L113" s="878" t="n"/>
      <c r="M113" s="3100" t="n"/>
      <c r="N113" s="747" t="n"/>
      <c r="O113" s="747" t="n"/>
      <c r="P113" s="747" t="n"/>
      <c r="Q113" s="882" t="n"/>
      <c r="R113" s="1125" t="n"/>
      <c r="CA113" s="405">
        <f>IF(AND(E113&gt;0,F113=""),"*No olvide digitar el campo "&amp;F$112&amp;""&amp;". Digite CERO si no tiene.", IF(F113&gt;E113," * El Número de "&amp;F$112&amp;""&amp;" no puede superar el Total Mujeres. ",""))</f>
        <v/>
      </c>
      <c r="CB113" s="405">
        <f>IF(AND(D113&gt;0,G113=""),"*No olvide digitar el campo "&amp;G$112&amp;""&amp;". Digite CERO si no tiene.", IF(G113&gt;D113," * El Número de "&amp;G$112&amp;""&amp;" no puede superar el Total Hombres. ",""))</f>
        <v/>
      </c>
      <c r="CC113" s="405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/>
      </c>
      <c r="CN113" s="197">
        <f>IF(AND(D113&gt;0,OR(G113="")),1,IF(G113&gt;D113,1,0))</f>
        <v/>
      </c>
      <c r="CO113" s="197">
        <f>IF(AND($C113&gt;0,OR(H113="")),1,IF(H113&gt;$C113,1,0))</f>
        <v/>
      </c>
      <c r="CP113" s="197">
        <f>IF(AND($C113&gt;0,OR(I113="")),1,IF(I113&gt;$C113,1,0))</f>
        <v/>
      </c>
      <c r="CQ113" s="197">
        <f>IF(AND($C113&gt;0,OR(J113="")),1,IF(J113&gt;$C113,1,0))</f>
        <v/>
      </c>
      <c r="CR113" s="197">
        <f>IF(AND($C113&gt;0,OR(K113="")),1,IF(K113&gt;$C113,1,0))</f>
        <v/>
      </c>
      <c r="CS113" s="197">
        <f>IF(AND($C113&gt;0,OR(L113="")),1,IF(L113&gt;$C113,1,0))</f>
        <v/>
      </c>
    </row>
    <row r="114">
      <c r="A114" s="3284" t="inlineStr">
        <is>
          <t>Diagnóstico Participativo</t>
        </is>
      </c>
      <c r="B114" s="1298" t="n"/>
      <c r="C114" s="1162">
        <f>SUM(D114:E114)</f>
        <v/>
      </c>
      <c r="D114" s="3100" t="n"/>
      <c r="E114" s="880" t="n"/>
      <c r="F114" s="881" t="n"/>
      <c r="G114" s="882" t="n"/>
      <c r="H114" s="882" t="n"/>
      <c r="I114" s="882" t="n"/>
      <c r="J114" s="882" t="n"/>
      <c r="K114" s="882" t="n"/>
      <c r="L114" s="878" t="n"/>
      <c r="M114" s="3100" t="n"/>
      <c r="N114" s="882" t="n"/>
      <c r="O114" s="882" t="n"/>
      <c r="P114" s="882" t="n"/>
      <c r="Q114" s="882" t="n"/>
      <c r="R114" s="1125" t="n"/>
      <c r="CA114" s="405">
        <f>IF(AND(E114&gt;0,F114=""),"*No olvide digitar el campo "&amp;F$112&amp;""&amp;". Digite CERO si no tiene.", IF(F114&gt;E114," * El Número de "&amp;F$112&amp;""&amp;" no puede superar el Total Mujeres. ",""))</f>
        <v/>
      </c>
      <c r="CB114" s="405">
        <f>IF(AND(D114&gt;0,G114=""),"*No olvide digitar el campo "&amp;G$112&amp;""&amp;". Digite CERO si no tiene.", IF(G114&gt;D114," * El Número de "&amp;G$112&amp;""&amp;" no puede superar el Total Hombres. ",""))</f>
        <v/>
      </c>
      <c r="CC114" s="405">
        <f>IF(AND($C114&gt;0,H114=""),"*No olvide digitar el campo "&amp;H$112&amp;""&amp;". Digite CERO si no tiene.", IF(H114&gt;$C114," * La variable "&amp;H$112&amp;""&amp;" no puede superar el Total Ambos Sexos. ",""))</f>
        <v/>
      </c>
      <c r="CD114" s="405">
        <f>IF(AND($C114&gt;0,I114=""),"*No olvide digitar el campo "&amp;I$112&amp;""&amp;". Digite CERO si no tiene.", IF(I114&gt;$C114," * La variable "&amp;I$112&amp;""&amp;" no puede superar el Total Ambos Sexos. ",""))</f>
        <v/>
      </c>
      <c r="CE114" s="405">
        <f>IF(AND($C114&gt;0,J114=""),"*No olvide digitar el campo "&amp;J$112&amp;""&amp;". Digite CERO si no tiene.", IF(J114&gt;$C114," * La variable "&amp;J$112&amp;""&amp;" no puede superar el Total Ambos Sexos. ",""))</f>
        <v/>
      </c>
      <c r="CF114" s="405">
        <f>IF(AND($C114&gt;0,K114=""),"*No olvide digitar el campo "&amp;K$112&amp;""&amp;". Digite CERO si no tiene.", IF(K114&gt;$C114," * La variable "&amp;K$112&amp;""&amp;" no puede superar el Total Ambos Sexos. ",""))</f>
        <v/>
      </c>
      <c r="CG114" s="405">
        <f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>IF(AND(E114&gt;0,OR(F114="")),1,IF(F114&gt;E114,1,0))</f>
        <v/>
      </c>
      <c r="CN114" s="197">
        <f>IF(AND(D114&gt;0,OR(G114="")),1,IF(G114&gt;D114,1,0))</f>
        <v/>
      </c>
      <c r="CO114" s="197">
        <f>IF(AND($C114&gt;0,OR(H114="")),1,IF(H114&gt;$C114,1,0))</f>
        <v/>
      </c>
      <c r="CP114" s="197">
        <f>IF(AND($C114&gt;0,OR(I114="")),1,IF(I114&gt;$C114,1,0))</f>
        <v/>
      </c>
      <c r="CQ114" s="197">
        <f>IF(AND($C114&gt;0,OR(J114="")),1,IF(J114&gt;$C114,1,0))</f>
        <v/>
      </c>
      <c r="CR114" s="197">
        <f>IF(AND($C114&gt;0,OR(K114="")),1,IF(K114&gt;$C114,1,0))</f>
        <v/>
      </c>
      <c r="CS114" s="197">
        <f>IF(AND($C114&gt;0,OR(L114="")),1,IF(L114&gt;$C114,1,0))</f>
        <v/>
      </c>
    </row>
    <row r="115">
      <c r="A115" s="3284" t="inlineStr">
        <is>
          <t>Planificación Participativa</t>
        </is>
      </c>
      <c r="B115" s="3227" t="n"/>
      <c r="C115" s="1162">
        <f>SUM(D115:E115)</f>
        <v/>
      </c>
      <c r="D115" s="3100" t="n"/>
      <c r="E115" s="880" t="n"/>
      <c r="F115" s="881" t="n"/>
      <c r="G115" s="882" t="n"/>
      <c r="H115" s="882" t="n"/>
      <c r="I115" s="882" t="n"/>
      <c r="J115" s="882" t="n"/>
      <c r="K115" s="882" t="n"/>
      <c r="L115" s="878" t="n"/>
      <c r="M115" s="3100" t="n"/>
      <c r="N115" s="882" t="n"/>
      <c r="O115" s="882" t="n"/>
      <c r="P115" s="882" t="n"/>
      <c r="Q115" s="882" t="n"/>
      <c r="R115" s="1125" t="n"/>
      <c r="CA115" s="405">
        <f>IF(AND(E115&gt;0,F115=""),"*No olvide digitar el campo "&amp;F$112&amp;""&amp;". Digite CERO si no tiene.", IF(F115&gt;E115," * El Número de "&amp;F$112&amp;""&amp;" no puede superar el Total Mujeres. ",""))</f>
        <v/>
      </c>
      <c r="CB115" s="405">
        <f>IF(AND(D115&gt;0,G115=""),"*No olvide digitar el campo "&amp;G$112&amp;""&amp;". Digite CERO si no tiene.", IF(G115&gt;D115," * El Número de "&amp;G$112&amp;""&amp;" no puede superar el Total Hombres. ",""))</f>
        <v/>
      </c>
      <c r="CC115" s="405">
        <f>IF(AND($C115&gt;0,H115=""),"*No olvide digitar el campo "&amp;H$112&amp;""&amp;". Digite CERO si no tiene.", IF(H115&gt;$C115," * La variable "&amp;H$112&amp;""&amp;" no puede superar el Total Ambos Sexos. ",""))</f>
        <v/>
      </c>
      <c r="CD115" s="405">
        <f>IF(AND($C115&gt;0,I115=""),"*No olvide digitar el campo "&amp;I$112&amp;""&amp;". Digite CERO si no tiene.", IF(I115&gt;$C115," * La variable "&amp;I$112&amp;""&amp;" no puede superar el Total Ambos Sexos. ",""))</f>
        <v/>
      </c>
      <c r="CE115" s="405">
        <f>IF(AND($C115&gt;0,J115=""),"*No olvide digitar el campo "&amp;J$112&amp;""&amp;". Digite CERO si no tiene.", IF(J115&gt;$C115," * La variable "&amp;J$112&amp;""&amp;" no puede superar el Total Ambos Sexos. ",""))</f>
        <v/>
      </c>
      <c r="CF115" s="405">
        <f>IF(AND($C115&gt;0,K115=""),"*No olvide digitar el campo "&amp;K$112&amp;""&amp;". Digite CERO si no tiene.", IF(K115&gt;$C115," * La variable "&amp;K$112&amp;""&amp;" no puede superar el Total Ambos Sexos. ",""))</f>
        <v/>
      </c>
      <c r="CG115" s="405">
        <f>IF(AND($C115&gt;0,L115=""),"*No olvide digitar el campo "&amp;L$112&amp;""&amp;". Digite CERO si no tiene.", IF(L115&gt;$C115," * La variable "&amp;L$112&amp;""&amp;" no puede superar el Total Ambos Sexos. ",""))</f>
        <v/>
      </c>
      <c r="CM115" s="197">
        <f>IF(AND(E115&gt;0,OR(F115="")),1,IF(F115&gt;E115,1,0))</f>
        <v/>
      </c>
      <c r="CN115" s="197">
        <f>IF(AND(D115&gt;0,OR(G115="")),1,IF(G115&gt;D115,1,0))</f>
        <v/>
      </c>
      <c r="CO115" s="197">
        <f>IF(AND($C115&gt;0,OR(H115="")),1,IF(H115&gt;$C115,1,0))</f>
        <v/>
      </c>
      <c r="CP115" s="197">
        <f>IF(AND($C115&gt;0,OR(I115="")),1,IF(I115&gt;$C115,1,0))</f>
        <v/>
      </c>
      <c r="CQ115" s="197">
        <f>IF(AND($C115&gt;0,OR(J115="")),1,IF(J115&gt;$C115,1,0))</f>
        <v/>
      </c>
      <c r="CR115" s="197">
        <f>IF(AND($C115&gt;0,OR(K115="")),1,IF(K115&gt;$C115,1,0))</f>
        <v/>
      </c>
      <c r="CS115" s="197">
        <f>IF(AND($C115&gt;0,OR(L115="")),1,IF(L115&gt;$C115,1,0))</f>
        <v/>
      </c>
    </row>
    <row r="116">
      <c r="A116" s="3284" t="inlineStr">
        <is>
          <t>Ejecución Participativa</t>
        </is>
      </c>
      <c r="B116" s="702" t="n"/>
      <c r="C116" s="1162">
        <f>SUM(D116:E116)</f>
        <v/>
      </c>
      <c r="D116" s="3100" t="n"/>
      <c r="E116" s="880" t="n"/>
      <c r="F116" s="881" t="n"/>
      <c r="G116" s="882" t="n"/>
      <c r="H116" s="882" t="n"/>
      <c r="I116" s="882" t="n"/>
      <c r="J116" s="882" t="n"/>
      <c r="K116" s="882" t="n"/>
      <c r="L116" s="878" t="n"/>
      <c r="M116" s="3100" t="n"/>
      <c r="N116" s="882" t="n"/>
      <c r="O116" s="882" t="n"/>
      <c r="P116" s="882" t="n"/>
      <c r="Q116" s="882" t="n"/>
      <c r="R116" s="1125" t="n"/>
      <c r="CA116" s="405">
        <f>IF(AND(E116&gt;0,F116=""),"*No olvide digitar el campo "&amp;F$112&amp;""&amp;". Digite CERO si no tiene.", IF(F116&gt;E116," * El Número de "&amp;F$112&amp;""&amp;" no puede superar el Total Mujeres. ",""))</f>
        <v/>
      </c>
      <c r="CB116" s="405">
        <f>IF(AND(D116&gt;0,G116=""),"*No olvide digitar el campo "&amp;G$112&amp;""&amp;". Digite CERO si no tiene.", IF(G116&gt;D116," * El Número de "&amp;G$112&amp;""&amp;" no puede superar el Total Hombres. ",""))</f>
        <v/>
      </c>
      <c r="CC116" s="405">
        <f>IF(AND($C116&gt;0,H116=""),"*No olvide digitar el campo "&amp;H$112&amp;""&amp;". Digite CERO si no tiene.", IF(H116&gt;$C116," * La variable "&amp;H$112&amp;""&amp;" no puede superar el Total Ambos Sexos. ",""))</f>
        <v/>
      </c>
      <c r="CD116" s="405">
        <f>IF(AND($C116&gt;0,I116=""),"*No olvide digitar el campo "&amp;I$112&amp;""&amp;". Digite CERO si no tiene.", IF(I116&gt;$C116," * La variable "&amp;I$112&amp;""&amp;" no puede superar el Total Ambos Sexos. ",""))</f>
        <v/>
      </c>
      <c r="CE116" s="405">
        <f>IF(AND($C116&gt;0,J116=""),"*No olvide digitar el campo "&amp;J$112&amp;""&amp;". Digite CERO si no tiene.", IF(J116&gt;$C116," * La variable "&amp;J$112&amp;""&amp;" no puede superar el Total Ambos Sexos. ",""))</f>
        <v/>
      </c>
      <c r="CF116" s="405">
        <f>IF(AND($C116&gt;0,K116=""),"*No olvide digitar el campo "&amp;K$112&amp;""&amp;". Digite CERO si no tiene.", IF(K116&gt;$C116," * La variable "&amp;K$112&amp;""&amp;" no puede superar el Total Ambos Sexos. ",""))</f>
        <v/>
      </c>
      <c r="CG116" s="405">
        <f>IF(AND($C116&gt;0,L116=""),"*No olvide digitar el campo "&amp;L$112&amp;""&amp;". Digite CERO si no tiene.", IF(L116&gt;$C116," * La variable "&amp;L$112&amp;""&amp;" no puede superar el Total Ambos Sexos. ",""))</f>
        <v/>
      </c>
      <c r="CM116" s="197">
        <f>IF(AND(E116&gt;0,OR(F116="")),1,IF(F116&gt;E116,1,0))</f>
        <v/>
      </c>
      <c r="CN116" s="197">
        <f>IF(AND(D116&gt;0,OR(G116="")),1,IF(G116&gt;D116,1,0))</f>
        <v/>
      </c>
      <c r="CO116" s="197">
        <f>IF(AND($C116&gt;0,OR(H116="")),1,IF(H116&gt;$C116,1,0))</f>
        <v/>
      </c>
      <c r="CP116" s="197">
        <f>IF(AND($C116&gt;0,OR(I116="")),1,IF(I116&gt;$C116,1,0))</f>
        <v/>
      </c>
      <c r="CQ116" s="197">
        <f>IF(AND($C116&gt;0,OR(J116="")),1,IF(J116&gt;$C116,1,0))</f>
        <v/>
      </c>
      <c r="CR116" s="197">
        <f>IF(AND($C116&gt;0,OR(K116="")),1,IF(K116&gt;$C116,1,0))</f>
        <v/>
      </c>
      <c r="CS116" s="197">
        <f>IF(AND($C116&gt;0,OR(L116="")),1,IF(L116&gt;$C116,1,0))</f>
        <v/>
      </c>
    </row>
    <row r="117">
      <c r="A117" s="3284" t="inlineStr">
        <is>
          <t>Monitoreo y/o Evaluación Participativa</t>
        </is>
      </c>
      <c r="B117" s="1298" t="n"/>
      <c r="C117" s="1162">
        <f>SUM(D117:E117)</f>
        <v/>
      </c>
      <c r="D117" s="3100" t="n"/>
      <c r="E117" s="880" t="n"/>
      <c r="F117" s="881" t="n"/>
      <c r="G117" s="882" t="n"/>
      <c r="H117" s="882" t="n"/>
      <c r="I117" s="882" t="n"/>
      <c r="J117" s="882" t="n"/>
      <c r="K117" s="882" t="n"/>
      <c r="L117" s="878" t="n"/>
      <c r="M117" s="3100" t="n"/>
      <c r="N117" s="882" t="n"/>
      <c r="O117" s="882" t="n"/>
      <c r="P117" s="882" t="n"/>
      <c r="Q117" s="882" t="n"/>
      <c r="R117" s="1125" t="n"/>
      <c r="CA117" s="405">
        <f>IF(AND(E117&gt;0,F117=""),"*No olvide digitar el campo "&amp;F$112&amp;""&amp;". Digite CERO si no tiene.", IF(F117&gt;E117," * El Número de "&amp;F$112&amp;""&amp;" no puede superar el Total Mujeres. ",""))</f>
        <v/>
      </c>
      <c r="CB117" s="405">
        <f>IF(AND(D117&gt;0,G117=""),"*No olvide digitar el campo "&amp;G$112&amp;""&amp;". Digite CERO si no tiene.", IF(G117&gt;D117," * El Número de "&amp;G$112&amp;""&amp;" no puede superar el Total Hombres. ",""))</f>
        <v/>
      </c>
      <c r="CC117" s="405">
        <f>IF(AND($C117&gt;0,H117=""),"*No olvide digitar el campo "&amp;H$112&amp;""&amp;". Digite CERO si no tiene.", IF(H117&gt;$C117," * La variable "&amp;H$112&amp;""&amp;" no puede superar el Total Ambos Sexos. ",""))</f>
        <v/>
      </c>
      <c r="CD117" s="405">
        <f>IF(AND($C117&gt;0,I117=""),"*No olvide digitar el campo "&amp;I$112&amp;""&amp;". Digite CERO si no tiene.", IF(I117&gt;$C117," * La variable "&amp;I$112&amp;""&amp;" no puede superar el Total Ambos Sexos. ",""))</f>
        <v/>
      </c>
      <c r="CE117" s="405">
        <f>IF(AND($C117&gt;0,J117=""),"*No olvide digitar el campo "&amp;J$112&amp;""&amp;". Digite CERO si no tiene.", IF(J117&gt;$C117," * La variable "&amp;J$112&amp;""&amp;" no puede superar el Total Ambos Sexos. ",""))</f>
        <v/>
      </c>
      <c r="CF117" s="405">
        <f>IF(AND($C117&gt;0,K117=""),"*No olvide digitar el campo "&amp;K$112&amp;""&amp;". Digite CERO si no tiene.", IF(K117&gt;$C117," * La variable "&amp;K$112&amp;""&amp;" no puede superar el Total Ambos Sexos. ",""))</f>
        <v/>
      </c>
      <c r="CG117" s="405">
        <f>IF(AND($C117&gt;0,L117=""),"*No olvide digitar el campo "&amp;L$112&amp;""&amp;". Digite CERO si no tiene.", IF(L117&gt;$C117," * La variable "&amp;L$112&amp;""&amp;" no puede superar el Total Ambos Sexos. ",""))</f>
        <v/>
      </c>
      <c r="CM117" s="197">
        <f>IF(AND(E117&gt;0,OR(F117="")),1,IF(F117&gt;E117,1,0))</f>
        <v/>
      </c>
      <c r="CN117" s="197">
        <f>IF(AND(D117&gt;0,OR(G117="")),1,IF(G117&gt;D117,1,0))</f>
        <v/>
      </c>
      <c r="CO117" s="197">
        <f>IF(AND($C117&gt;0,OR(H117="")),1,IF(H117&gt;$C117,1,0))</f>
        <v/>
      </c>
      <c r="CP117" s="197">
        <f>IF(AND($C117&gt;0,OR(I117="")),1,IF(I117&gt;$C117,1,0))</f>
        <v/>
      </c>
      <c r="CQ117" s="197">
        <f>IF(AND($C117&gt;0,OR(J117="")),1,IF(J117&gt;$C117,1,0))</f>
        <v/>
      </c>
      <c r="CR117" s="197">
        <f>IF(AND($C117&gt;0,OR(K117="")),1,IF(K117&gt;$C117,1,0))</f>
        <v/>
      </c>
      <c r="CS117" s="197">
        <f>IF(AND($C117&gt;0,OR(L117="")),1,IF(L117&gt;$C117,1,0))</f>
        <v/>
      </c>
    </row>
    <row r="118">
      <c r="A118" s="3375" t="inlineStr">
        <is>
          <t>Sistematización Participativa</t>
        </is>
      </c>
      <c r="B118" s="702" t="n"/>
      <c r="C118" s="1926">
        <f>SUM(D118:E118)</f>
        <v/>
      </c>
      <c r="D118" s="3100" t="n"/>
      <c r="E118" s="880" t="n"/>
      <c r="F118" s="881" t="n"/>
      <c r="G118" s="882" t="n"/>
      <c r="H118" s="882" t="n"/>
      <c r="I118" s="882" t="n"/>
      <c r="J118" s="882" t="n"/>
      <c r="K118" s="882" t="n"/>
      <c r="L118" s="878" t="n"/>
      <c r="M118" s="3100" t="n"/>
      <c r="N118" s="882" t="n"/>
      <c r="O118" s="882" t="n"/>
      <c r="P118" s="882" t="n"/>
      <c r="Q118" s="882" t="n"/>
      <c r="R118" s="1125" t="n"/>
      <c r="CA118" s="405">
        <f>IF(AND(E118&gt;0,F118=""),"*No olvide digitar el campo "&amp;F$112&amp;""&amp;". Digite CERO si no tiene.", IF(F118&gt;E118," * El Número de "&amp;F$112&amp;""&amp;" no puede superar el Total Mujeres. ",""))</f>
        <v/>
      </c>
      <c r="CB118" s="405">
        <f>IF(AND(D118&gt;0,G118=""),"*No olvide digitar el campo "&amp;G$112&amp;""&amp;". Digite CERO si no tiene.", IF(G118&gt;D118," * El Número de "&amp;G$112&amp;""&amp;" no puede superar el Total Hombres. ",""))</f>
        <v/>
      </c>
      <c r="CC118" s="405">
        <f>IF(AND($C118&gt;0,H118=""),"*No olvide digitar el campo "&amp;H$112&amp;""&amp;". Digite CERO si no tiene.", IF(H118&gt;$C118," * La variable "&amp;H$112&amp;""&amp;" no puede superar el Total Ambos Sexos. ",""))</f>
        <v/>
      </c>
      <c r="CD118" s="405">
        <f>IF(AND($C118&gt;0,I118=""),"*No olvide digitar el campo "&amp;I$112&amp;""&amp;". Digite CERO si no tiene.", IF(I118&gt;$C118," * La variable "&amp;I$112&amp;""&amp;" no puede superar el Total Ambos Sexos. ",""))</f>
        <v/>
      </c>
      <c r="CE118" s="405">
        <f>IF(AND($C118&gt;0,J118=""),"*No olvide digitar el campo "&amp;J$112&amp;""&amp;". Digite CERO si no tiene.", IF(J118&gt;$C118," * La variable "&amp;J$112&amp;""&amp;" no puede superar el Total Ambos Sexos. ",""))</f>
        <v/>
      </c>
      <c r="CF118" s="405">
        <f>IF(AND($C118&gt;0,K118=""),"*No olvide digitar el campo "&amp;K$112&amp;""&amp;". Digite CERO si no tiene.", IF(K118&gt;$C118," * La variable "&amp;K$112&amp;""&amp;" no puede superar el Total Ambos Sexos. ",""))</f>
        <v/>
      </c>
      <c r="CG118" s="405">
        <f>IF(AND($C118&gt;0,L118=""),"*No olvide digitar el campo "&amp;L$112&amp;""&amp;". Digite CERO si no tiene.", IF(L118&gt;$C118," * La variable "&amp;L$112&amp;""&amp;" no puede superar el Total Ambos Sexos. ",""))</f>
        <v/>
      </c>
      <c r="CM118" s="197">
        <f>IF(AND(E118&gt;0,OR(F118="")),1,IF(F118&gt;E118,1,0))</f>
        <v/>
      </c>
      <c r="CN118" s="197">
        <f>IF(AND(D118&gt;0,OR(G118="")),1,IF(G118&gt;D118,1,0))</f>
        <v/>
      </c>
      <c r="CO118" s="197">
        <f>IF(AND($C118&gt;0,OR(H118="")),1,IF(H118&gt;$C118,1,0))</f>
        <v/>
      </c>
      <c r="CP118" s="197">
        <f>IF(AND($C118&gt;0,OR(I118="")),1,IF(I118&gt;$C118,1,0))</f>
        <v/>
      </c>
      <c r="CQ118" s="197">
        <f>IF(AND($C118&gt;0,OR(J118="")),1,IF(J118&gt;$C118,1,0))</f>
        <v/>
      </c>
      <c r="CR118" s="197">
        <f>IF(AND($C118&gt;0,OR(K118="")),1,IF(K118&gt;$C118,1,0))</f>
        <v/>
      </c>
      <c r="CS118" s="197">
        <f>IF(AND($C118&gt;0,OR(L118="")),1,IF(L118&gt;$C118,1,0))</f>
        <v/>
      </c>
    </row>
    <row r="119">
      <c r="A119" s="1209" t="inlineStr">
        <is>
          <t>Capacitación y/o Formación de equipos y directivos de salud</t>
        </is>
      </c>
      <c r="B119" s="1298" t="n"/>
      <c r="C119" s="1926">
        <f>SUM(D119:E119)</f>
        <v/>
      </c>
      <c r="D119" s="3100" t="n"/>
      <c r="E119" s="880" t="n"/>
      <c r="F119" s="881" t="n"/>
      <c r="G119" s="882" t="n"/>
      <c r="H119" s="882" t="n"/>
      <c r="I119" s="882" t="n"/>
      <c r="J119" s="882" t="n"/>
      <c r="K119" s="882" t="n"/>
      <c r="L119" s="878" t="n"/>
      <c r="M119" s="3100" t="n"/>
      <c r="N119" s="882" t="n"/>
      <c r="O119" s="882" t="n"/>
      <c r="P119" s="882" t="n"/>
      <c r="Q119" s="882" t="n"/>
      <c r="R119" s="1125" t="n"/>
      <c r="CA119" s="405">
        <f>IF(AND(E119&gt;0,F119=""),"*No olvide digitar el campo "&amp;F$112&amp;""&amp;". Digite CERO si no tiene.", IF(F119&gt;E119," * El Número de "&amp;F$112&amp;""&amp;" no puede superar el Total Mujeres. ",""))</f>
        <v/>
      </c>
      <c r="CB119" s="405">
        <f>IF(AND(D119&gt;0,G119=""),"*No olvide digitar el campo "&amp;G$112&amp;""&amp;". Digite CERO si no tiene.", IF(G119&gt;D119," * El Número de "&amp;G$112&amp;""&amp;" no puede superar el Total Hombres. ",""))</f>
        <v/>
      </c>
      <c r="CC119" s="405">
        <f>IF(AND($C119&gt;0,H119=""),"*No olvide digitar el campo "&amp;H$112&amp;""&amp;". Digite CERO si no tiene.", IF(H119&gt;$C119," * La variable "&amp;H$112&amp;""&amp;" no puede superar el Total Ambos Sexos. ",""))</f>
        <v/>
      </c>
      <c r="CD119" s="405">
        <f>IF(AND($C119&gt;0,I119=""),"*No olvide digitar el campo "&amp;I$112&amp;""&amp;". Digite CERO si no tiene.", IF(I119&gt;$C119," * La variable "&amp;I$112&amp;""&amp;" no puede superar el Total Ambos Sexos. ",""))</f>
        <v/>
      </c>
      <c r="CE119" s="405">
        <f>IF(AND($C119&gt;0,J119=""),"*No olvide digitar el campo "&amp;J$112&amp;""&amp;". Digite CERO si no tiene.", IF(J119&gt;$C119," * La variable "&amp;J$112&amp;""&amp;" no puede superar el Total Ambos Sexos. ",""))</f>
        <v/>
      </c>
      <c r="CF119" s="405">
        <f>IF(AND($C119&gt;0,K119=""),"*No olvide digitar el campo "&amp;K$112&amp;""&amp;". Digite CERO si no tiene.", IF(K119&gt;$C119," * La variable "&amp;K$112&amp;""&amp;" no puede superar el Total Ambos Sexos. ",""))</f>
        <v/>
      </c>
      <c r="CG119" s="405">
        <f>IF(AND($C119&gt;0,L119=""),"*No olvide digitar el campo "&amp;L$112&amp;""&amp;". Digite CERO si no tiene.", IF(L119&gt;$C119," * La variable "&amp;L$112&amp;""&amp;" no puede superar el Total Ambos Sexos. ",""))</f>
        <v/>
      </c>
      <c r="CM119" s="197">
        <f>IF(AND(E119&gt;0,OR(F119="")),1,IF(F119&gt;E119,1,0))</f>
        <v/>
      </c>
      <c r="CN119" s="197">
        <f>IF(AND(D119&gt;0,OR(G119="")),1,IF(G119&gt;D119,1,0))</f>
        <v/>
      </c>
      <c r="CO119" s="197">
        <f>IF(AND($C119&gt;0,OR(H119="")),1,IF(H119&gt;$C119,1,0))</f>
        <v/>
      </c>
      <c r="CP119" s="197">
        <f>IF(AND($C119&gt;0,OR(I119="")),1,IF(I119&gt;$C119,1,0))</f>
        <v/>
      </c>
      <c r="CQ119" s="197">
        <f>IF(AND($C119&gt;0,OR(J119="")),1,IF(J119&gt;$C119,1,0))</f>
        <v/>
      </c>
      <c r="CR119" s="197">
        <f>IF(AND($C119&gt;0,OR(K119="")),1,IF(K119&gt;$C119,1,0))</f>
        <v/>
      </c>
      <c r="CS119" s="197">
        <f>IF(AND($C119&gt;0,OR(L119="")),1,IF(L119&gt;$C119,1,0))</f>
        <v/>
      </c>
    </row>
    <row r="120" ht="21" customHeight="1" s="8286">
      <c r="A120" s="332" t="inlineStr">
        <is>
          <t>Capacitación y/o Formación de Dirigentes, Comunidad y representantes de la Sociedad Civil</t>
        </is>
      </c>
      <c r="B120" s="1298" t="n"/>
      <c r="C120" s="640">
        <f>SUM(D120:E120)</f>
        <v/>
      </c>
      <c r="D120" s="3100" t="n"/>
      <c r="E120" s="880" t="n"/>
      <c r="F120" s="881" t="n"/>
      <c r="G120" s="882" t="n"/>
      <c r="H120" s="1147" t="n"/>
      <c r="I120" s="882" t="n"/>
      <c r="J120" s="1147" t="n"/>
      <c r="K120" s="882" t="n"/>
      <c r="L120" s="1199" t="n"/>
      <c r="M120" s="3100" t="n"/>
      <c r="N120" s="882" t="n"/>
      <c r="O120" s="1147" t="n"/>
      <c r="P120" s="882" t="n"/>
      <c r="Q120" s="882" t="n"/>
      <c r="R120" s="1148" t="n"/>
      <c r="CA120" s="405">
        <f>IF(AND(E120&gt;0,F120=""),"*No olvide digitar el campo "&amp;F$112&amp;""&amp;". Digite CERO si no tiene.", IF(F120&gt;E120," * El Número de "&amp;F$112&amp;""&amp;" no puede superar el Total Mujeres. ",""))</f>
        <v/>
      </c>
      <c r="CB120" s="405">
        <f>IF(AND(D120&gt;0,G120=""),"*No olvide digitar el campo "&amp;G$112&amp;""&amp;". Digite CERO si no tiene.", IF(G120&gt;D120," * El Número de "&amp;G$112&amp;""&amp;" no puede superar el Total Hombres. ",""))</f>
        <v/>
      </c>
      <c r="CC120" s="405">
        <f>IF(AND($C120&gt;0,H120=""),"*No olvide digitar el campo "&amp;H$112&amp;""&amp;". Digite CERO si no tiene.", IF(H120&gt;$C120," * La variable "&amp;H$112&amp;""&amp;" no puede superar el Total Ambos Sexos. ",""))</f>
        <v/>
      </c>
      <c r="CD120" s="405">
        <f>IF(AND($C120&gt;0,I120=""),"*No olvide digitar el campo "&amp;I$112&amp;""&amp;". Digite CERO si no tiene.", IF(I120&gt;$C120," * La variable "&amp;I$112&amp;""&amp;" no puede superar el Total Ambos Sexos. ",""))</f>
        <v/>
      </c>
      <c r="CE120" s="405">
        <f>IF(AND($C120&gt;0,J120=""),"*No olvide digitar el campo "&amp;J$112&amp;""&amp;". Digite CERO si no tiene.", IF(J120&gt;$C120," * La variable "&amp;J$112&amp;""&amp;" no puede superar el Total Ambos Sexos. ",""))</f>
        <v/>
      </c>
      <c r="CF120" s="405">
        <f>IF(AND($C120&gt;0,K120=""),"*No olvide digitar el campo "&amp;K$112&amp;""&amp;". Digite CERO si no tiene.", IF(K120&gt;$C120," * La variable "&amp;K$112&amp;""&amp;" no puede superar el Total Ambos Sexos. ",""))</f>
        <v/>
      </c>
      <c r="CG120" s="405">
        <f>IF(AND($C120&gt;0,L120=""),"*No olvide digitar el campo "&amp;L$112&amp;""&amp;". Digite CERO si no tiene.", IF(L120&gt;$C120," * La variable "&amp;L$112&amp;""&amp;" no puede superar el Total Ambos Sexos. ",""))</f>
        <v/>
      </c>
      <c r="CM120" s="197">
        <f>IF(AND(E120&gt;0,OR(F120="")),1,IF(F120&gt;E120,1,0))</f>
        <v/>
      </c>
      <c r="CN120" s="197">
        <f>IF(AND(D120&gt;0,OR(G120="")),1,IF(G120&gt;D120,1,0))</f>
        <v/>
      </c>
      <c r="CO120" s="197">
        <f>IF(AND($C120&gt;0,OR(H120="")),1,IF(H120&gt;$C120,1,0))</f>
        <v/>
      </c>
      <c r="CP120" s="197">
        <f>IF(AND($C120&gt;0,OR(I120="")),1,IF(I120&gt;$C120,1,0))</f>
        <v/>
      </c>
      <c r="CQ120" s="197">
        <f>IF(AND($C120&gt;0,OR(J120="")),1,IF(J120&gt;$C120,1,0))</f>
        <v/>
      </c>
      <c r="CR120" s="197">
        <f>IF(AND($C120&gt;0,OR(K120="")),1,IF(K120&gt;$C120,1,0))</f>
        <v/>
      </c>
      <c r="CS120" s="197">
        <f>IF(AND($C120&gt;0,OR(L120="")),1,IF(L120&gt;$C120,1,0))</f>
        <v/>
      </c>
    </row>
    <row r="121">
      <c r="A121" s="1308" t="inlineStr">
        <is>
          <t>Actividades con pueblos originarios</t>
        </is>
      </c>
      <c r="B121" s="1298" t="n"/>
      <c r="C121" s="1162">
        <f>SUM(D121:E121)</f>
        <v/>
      </c>
      <c r="D121" s="1128" t="n"/>
      <c r="E121" s="880" t="n"/>
      <c r="F121" s="881" t="n"/>
      <c r="G121" s="1147" t="n"/>
      <c r="H121" s="1147" t="n"/>
      <c r="I121" s="1147" t="n"/>
      <c r="J121" s="1147" t="n"/>
      <c r="K121" s="1147" t="n"/>
      <c r="L121" s="1199" t="n"/>
      <c r="M121" s="3100" t="n"/>
      <c r="N121" s="1147" t="n"/>
      <c r="O121" s="1147" t="n"/>
      <c r="P121" s="882" t="n"/>
      <c r="Q121" s="1147" t="n"/>
      <c r="R121" s="1148" t="n"/>
      <c r="CA121" s="405">
        <f>IF(AND(E121&gt;0,F121=""),"*No olvide digitar el campo "&amp;F$112&amp;""&amp;". Digite CERO si no tiene.", IF(F121&gt;E121," * El Número de "&amp;F$112&amp;""&amp;" no puede superar el Total Mujeres. ",""))</f>
        <v/>
      </c>
      <c r="CB121" s="405">
        <f>IF(AND(D121&gt;0,G121=""),"*No olvide digitar el campo "&amp;G$112&amp;""&amp;". Digite CERO si no tiene.", IF(G121&gt;D121," * El Número de "&amp;G$112&amp;""&amp;" no puede superar el Total Hombres. ",""))</f>
        <v/>
      </c>
      <c r="CC121" s="405">
        <f>IF(AND($C121&gt;0,H121=""),"*No olvide digitar el campo "&amp;H$112&amp;""&amp;". Digite CERO si no tiene.", IF(H121&gt;$C121," * La variable "&amp;H$112&amp;""&amp;" no puede superar el Total Ambos Sexos. ",""))</f>
        <v/>
      </c>
      <c r="CD121" s="405">
        <f>IF(AND($C121&gt;0,I121=""),"*No olvide digitar el campo "&amp;I$112&amp;""&amp;". Digite CERO si no tiene.", IF(I121&gt;$C121," * La variable "&amp;I$112&amp;""&amp;" no puede superar el Total Ambos Sexos. ",""))</f>
        <v/>
      </c>
      <c r="CE121" s="405">
        <f>IF(AND($C121&gt;0,J121=""),"*No olvide digitar el campo "&amp;J$112&amp;""&amp;". Digite CERO si no tiene.", IF(J121&gt;$C121," * La variable "&amp;J$112&amp;""&amp;" no puede superar el Total Ambos Sexos. ",""))</f>
        <v/>
      </c>
      <c r="CF121" s="405">
        <f>IF(AND($C121&gt;0,K121=""),"*No olvide digitar el campo "&amp;K$112&amp;""&amp;". Digite CERO si no tiene.", IF(K121&gt;$C121," * La variable "&amp;K$112&amp;""&amp;" no puede superar el Total Ambos Sexos. ",""))</f>
        <v/>
      </c>
      <c r="CG121" s="405">
        <f>IF(AND($C121&gt;0,L121=""),"*No olvide digitar el campo "&amp;L$112&amp;""&amp;". Digite CERO si no tiene.", IF(L121&gt;$C121," * La variable "&amp;L$112&amp;""&amp;" no puede superar el Total Ambos Sexos. ",""))</f>
        <v/>
      </c>
      <c r="CM121" s="197">
        <f>IF(AND(E121&gt;0,OR(F121="")),1,IF(F121&gt;E121,1,0))</f>
        <v/>
      </c>
      <c r="CN121" s="197">
        <f>IF(AND(D121&gt;0,OR(G121="")),1,IF(G121&gt;D121,1,0))</f>
        <v/>
      </c>
      <c r="CO121" s="197">
        <f>IF(AND($C121&gt;0,OR(H121="")),1,IF(H121&gt;$C121,1,0))</f>
        <v/>
      </c>
      <c r="CP121" s="197">
        <f>IF(AND($C121&gt;0,OR(I121="")),1,IF(I121&gt;$C121,1,0))</f>
        <v/>
      </c>
      <c r="CQ121" s="197">
        <f>IF(AND($C121&gt;0,OR(J121="")),1,IF(J121&gt;$C121,1,0))</f>
        <v/>
      </c>
      <c r="CR121" s="197">
        <f>IF(AND($C121&gt;0,OR(K121="")),1,IF(K121&gt;$C121,1,0))</f>
        <v/>
      </c>
      <c r="CS121" s="197">
        <f>IF(AND($C121&gt;0,OR(L121="")),1,IF(L121&gt;$C121,1,0))</f>
        <v/>
      </c>
    </row>
    <row r="122">
      <c r="A122" s="1117" t="inlineStr">
        <is>
          <t>Actividades con migrantes</t>
        </is>
      </c>
      <c r="B122" s="1299" t="n"/>
      <c r="C122" s="1176">
        <f>SUM(D122:E122)</f>
        <v/>
      </c>
      <c r="D122" s="2664" t="n"/>
      <c r="E122" s="1143" t="n"/>
      <c r="F122" s="230" t="n"/>
      <c r="G122" s="1153" t="n"/>
      <c r="H122" s="1153" t="n"/>
      <c r="I122" s="1153" t="n"/>
      <c r="J122" s="1153" t="n"/>
      <c r="K122" s="1153" t="n"/>
      <c r="L122" s="1139" t="n"/>
      <c r="M122" s="2664" t="n"/>
      <c r="N122" s="1153" t="n"/>
      <c r="O122" s="1153" t="n"/>
      <c r="P122" s="224" t="n"/>
      <c r="Q122" s="1153" t="n"/>
      <c r="R122" s="1138" t="n"/>
      <c r="CA122" s="405">
        <f>IF(AND(E122&gt;0,F122=""),"*No olvide digitar el campo "&amp;F$112&amp;""&amp;". Digite CERO si no tiene.", IF(F122&gt;E122," * El Número de "&amp;F$112&amp;""&amp;" no puede superar el Total Mujeres. ",""))</f>
        <v/>
      </c>
      <c r="CB122" s="405">
        <f>IF(AND(D122&gt;0,G122=""),"*No olvide digitar el campo "&amp;G$112&amp;""&amp;". Digite CERO si no tiene.", IF(G122&gt;D122," * El Número de "&amp;G$112&amp;""&amp;" no puede superar el Total Hombres. ",""))</f>
        <v/>
      </c>
      <c r="CC122" s="405">
        <f>IF(AND($C122&gt;0,H122=""),"*No olvide digitar el campo "&amp;H$112&amp;""&amp;". Digite CERO si no tiene.", IF(H122&gt;$C122," * La variable "&amp;H$112&amp;""&amp;" no puede superar el Total Ambos Sexos. ",""))</f>
        <v/>
      </c>
      <c r="CD122" s="405">
        <f>IF(AND($C122&gt;0,I122=""),"*No olvide digitar el campo "&amp;I$112&amp;""&amp;". Digite CERO si no tiene.", IF(I122&gt;$C122," * La variable "&amp;I$112&amp;""&amp;" no puede superar el Total Ambos Sexos. ",""))</f>
        <v/>
      </c>
      <c r="CE122" s="405">
        <f>IF(AND($C122&gt;0,J122=""),"*No olvide digitar el campo "&amp;J$112&amp;""&amp;". Digite CERO si no tiene.", IF(J122&gt;$C122," * La variable "&amp;J$112&amp;""&amp;" no puede superar el Total Ambos Sexos. ",""))</f>
        <v/>
      </c>
      <c r="CF122" s="405">
        <f>IF(AND($C122&gt;0,K122=""),"*No olvide digitar el campo "&amp;K$112&amp;""&amp;". Digite CERO si no tiene.", IF(K122&gt;$C122," * La variable "&amp;K$112&amp;""&amp;" no puede superar el Total Ambos Sexos. ",""))</f>
        <v/>
      </c>
      <c r="CG122" s="405">
        <f>IF(AND($C122&gt;0,L122=""),"*No olvide digitar el campo "&amp;L$112&amp;""&amp;". Digite CERO si no tiene.", IF(L122&gt;$C122," * La variable "&amp;L$112&amp;""&amp;" no puede superar el Total Ambos Sexos. ",""))</f>
        <v/>
      </c>
      <c r="CM122" s="197">
        <f>IF(AND(E122&gt;0,OR(F122="")),1,IF(F122&gt;E122,1,0))</f>
        <v/>
      </c>
      <c r="CN122" s="197">
        <f>IF(AND(D122&gt;0,OR(G122="")),1,IF(G122&gt;D122,1,0))</f>
        <v/>
      </c>
      <c r="CO122" s="197">
        <f>IF(AND($C122&gt;0,OR(H122="")),1,IF(H122&gt;$C122,1,0))</f>
        <v/>
      </c>
      <c r="CP122" s="197">
        <f>IF(AND($C122&gt;0,OR(I122="")),1,IF(I122&gt;$C122,1,0))</f>
        <v/>
      </c>
      <c r="CQ122" s="197">
        <f>IF(AND($C122&gt;0,OR(J122="")),1,IF(J122&gt;$C122,1,0))</f>
        <v/>
      </c>
      <c r="CR122" s="197">
        <f>IF(AND($C122&gt;0,OR(K122="")),1,IF(K122&gt;$C122,1,0))</f>
        <v/>
      </c>
      <c r="CS122" s="197">
        <f>IF(AND($C122&gt;0,OR(L122="")),1,IF(L122&gt;$C122,1,0))</f>
        <v/>
      </c>
    </row>
    <row r="123">
      <c r="A123" s="3365" t="inlineStr">
        <is>
          <t>TOTAL</t>
        </is>
      </c>
      <c r="B123" s="3376">
        <f>SUM(B113:B122)</f>
        <v/>
      </c>
      <c r="C123" s="3342">
        <f>SUM(C113:C122)</f>
        <v/>
      </c>
      <c r="D123" s="3370">
        <f>SUM(D113:D122)</f>
        <v/>
      </c>
      <c r="E123" s="3371">
        <f>SUM(E113:E122)</f>
        <v/>
      </c>
      <c r="F123" s="3372">
        <f>SUM(F113:F122)</f>
        <v/>
      </c>
      <c r="G123" s="3367">
        <f>SUM(G113:G122)</f>
        <v/>
      </c>
      <c r="H123" s="3367">
        <f>SUM(H113:H122)</f>
        <v/>
      </c>
      <c r="I123" s="3367">
        <f>SUM(I113:I122)</f>
        <v/>
      </c>
      <c r="J123" s="3367">
        <f>SUM(J113:J122)</f>
        <v/>
      </c>
      <c r="K123" s="3367">
        <f>SUM(K113:K122)</f>
        <v/>
      </c>
      <c r="L123" s="3340">
        <f>SUM(L113:L122)</f>
        <v/>
      </c>
      <c r="M123" s="3368">
        <f>SUM(M113:M122)</f>
        <v/>
      </c>
      <c r="N123" s="3367">
        <f>SUM(N113:N122)</f>
        <v/>
      </c>
      <c r="O123" s="3367">
        <f>SUM(O113:O122)</f>
        <v/>
      </c>
      <c r="P123" s="3367">
        <f>SUM(P113:P122)</f>
        <v/>
      </c>
      <c r="Q123" s="3367">
        <f>SUM(Q113:Q122)</f>
        <v/>
      </c>
      <c r="R123" s="3373">
        <f>SUM(R113:R122)</f>
        <v/>
      </c>
    </row>
    <row r="199" hidden="1" s="8286"/>
    <row r="200" hidden="1" s="8286">
      <c r="A200" s="68">
        <f>SUM(B12:B51,B53:B57,B62:B73,B78:C91,B97:B108,B113:C122)</f>
        <v/>
      </c>
      <c r="B200" s="68">
        <f>SUM(CM12:CU122)</f>
        <v/>
      </c>
    </row>
    <row r="201" hidden="1" s="8286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lxrOwikFRo4rrfwTinc7qw==" formatRows="1" sort="1" spinCount="100000" hashValue="EMM/P4t8Ako6MQWzYXAeEGMcGf3Q6nmATfrBEQCXqY9lUvE9+QdIhq7Jlreza1hxge/PGS+0U2y2I359zN2agw=="/>
  <mergeCells count="43">
    <mergeCell ref="C76:L76"/>
    <mergeCell ref="P9:P10"/>
    <mergeCell ref="I95:I96"/>
    <mergeCell ref="A60:A61"/>
    <mergeCell ref="N60:W60"/>
    <mergeCell ref="M60:M61"/>
    <mergeCell ref="B111:B112"/>
    <mergeCell ref="F95:F96"/>
    <mergeCell ref="H9:I9"/>
    <mergeCell ref="J9:K9"/>
    <mergeCell ref="A94:N94"/>
    <mergeCell ref="A110:N110"/>
    <mergeCell ref="A6:N6"/>
    <mergeCell ref="D95:D96"/>
    <mergeCell ref="C111:L111"/>
    <mergeCell ref="J95:J96"/>
    <mergeCell ref="B60:B61"/>
    <mergeCell ref="B9:D9"/>
    <mergeCell ref="A95:A96"/>
    <mergeCell ref="A75:N75"/>
    <mergeCell ref="E9:F9"/>
    <mergeCell ref="G95:G96"/>
    <mergeCell ref="A76:A77"/>
    <mergeCell ref="K95:T95"/>
    <mergeCell ref="M76:R76"/>
    <mergeCell ref="C95:C96"/>
    <mergeCell ref="L9:L10"/>
    <mergeCell ref="E95:E96"/>
    <mergeCell ref="N9:N10"/>
    <mergeCell ref="Q9:R9"/>
    <mergeCell ref="B95:B96"/>
    <mergeCell ref="B76:B77"/>
    <mergeCell ref="A8:K8"/>
    <mergeCell ref="G9:G10"/>
    <mergeCell ref="H95:H96"/>
    <mergeCell ref="M111:R111"/>
    <mergeCell ref="A9:A10"/>
    <mergeCell ref="M9:M10"/>
    <mergeCell ref="O9:O10"/>
    <mergeCell ref="A111:A112"/>
    <mergeCell ref="A93:N93"/>
    <mergeCell ref="C60:L60"/>
    <mergeCell ref="A58:N58"/>
  </mergeCells>
  <dataValidations count="3">
    <dataValidation sqref="B113:R122 C12:R51 C62:M73 C78:R91 C97:J108 K97:K109 L97:T108 N62:N74 O62:W73" showDropDown="0" showInputMessage="1" showErrorMessage="1" allowBlank="0" type="whole" operator="greaterThanOrEqual">
      <formula1>0</formula1>
    </dataValidation>
    <dataValidation sqref="B78:B91" showDropDown="0" showInputMessage="1" showErrorMessage="1" allowBlank="0" type="whole" operator="greaterThan">
      <formula1>0</formula1>
    </dataValidation>
    <dataValidation sqref="C53:R57" showDropDown="0" showInputMessage="1" showErrorMessage="1" allowBlank="0" type="whole">
      <formula1>0</formula1>
      <formula2>9.99999999999999E+39</formula2>
    </dataValidation>
  </dataValidations>
  <pageMargins left="0.2362204724409449" right="0.2362204724409449" top="0.7480314960629921" bottom="0.7480314960629921" header="0.3149606299212598" footer="0.3149606299212598"/>
  <pageSetup orientation="landscape" paperSize="9" scale="50"/>
</worksheet>
</file>

<file path=xl/worksheets/sheet15.xml><?xml version="1.0" encoding="utf-8"?>
<worksheet xmlns="http://schemas.openxmlformats.org/spreadsheetml/2006/main">
  <sheetPr codeName="Hoja15">
    <outlinePr summaryBelow="1" summaryRight="1"/>
    <pageSetUpPr/>
  </sheetPr>
  <dimension ref="A1:CF204"/>
  <sheetViews>
    <sheetView showGridLines="0" zoomScaleNormal="100" workbookViewId="0">
      <selection activeCell="D1" sqref="D1"/>
    </sheetView>
  </sheetViews>
  <sheetFormatPr baseColWidth="10" defaultColWidth="11.42578125" defaultRowHeight="15"/>
  <cols>
    <col width="75.42578125" customWidth="1" style="8286" min="1" max="1"/>
    <col width="16.5703125" customWidth="1" style="8286" min="2" max="2"/>
    <col width="16.7109375" customWidth="1" style="8286" min="3" max="4"/>
    <col width="16.5703125" customWidth="1" style="8286" min="5" max="5"/>
    <col width="15.140625" customWidth="1" style="8286" min="6" max="6"/>
    <col width="15.85546875" customWidth="1" style="8286" min="7" max="8"/>
    <col width="14.85546875" customWidth="1" style="8286" min="9" max="9"/>
    <col width="21.28515625" customWidth="1" style="8286" min="10" max="10"/>
    <col width="14.28515625" customWidth="1" style="8286" min="11" max="11"/>
    <col width="12.85546875" customWidth="1" style="8286" min="12" max="12"/>
    <col width="13" customWidth="1" style="8286" min="13" max="13"/>
    <col width="10" customWidth="1" style="8286" min="14" max="14"/>
    <col width="11.42578125" customWidth="1" style="8286" min="15" max="26"/>
    <col width="14.140625" customWidth="1" style="8286" min="27" max="27"/>
    <col width="15.7109375" customWidth="1" style="8286" min="28" max="28"/>
    <col width="11.42578125" customWidth="1" style="8286" min="29" max="29"/>
    <col width="12.28515625" customWidth="1" style="8286" min="30" max="30"/>
    <col width="13.5703125" customWidth="1" style="8286" min="31" max="31"/>
    <col width="11.42578125" customWidth="1" style="8286" min="32" max="42"/>
    <col width="16" customWidth="1" style="8286" min="43" max="43"/>
    <col width="11.42578125" customWidth="1" style="8286" min="44" max="46"/>
    <col hidden="1" width="11.42578125" customWidth="1" style="8286" min="47" max="67"/>
    <col hidden="1" style="8286" min="68" max="69"/>
    <col width="11.7109375" customWidth="1" style="8286" min="84" max="84"/>
    <col width="12.28515625" customWidth="1" style="8286" min="85" max="85"/>
    <col width="11.42578125" customWidth="1" style="8286" min="86" max="112"/>
  </cols>
  <sheetData>
    <row r="1">
      <c r="A1" s="25" t="inlineStr">
        <is>
          <t>SERVICIO DE SALUD</t>
        </is>
      </c>
      <c r="E1" t="inlineStr">
        <is>
          <t xml:space="preserve">               </t>
        </is>
      </c>
      <c r="K1" t="inlineStr">
        <is>
          <t xml:space="preserve">                                                                             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25">
        <f>CONCATENATE("AÑO: ",NOMBRE!B7)</f>
        <v/>
      </c>
    </row>
    <row r="6" ht="18" customFormat="1" customHeight="1" s="8">
      <c r="A6" s="8680" t="inlineStr">
        <is>
          <t>REM-21.   QUIRÓFANOS Y OTROS RECURSOS HOSPITALARIOS</t>
        </is>
      </c>
      <c r="K6" s="370" t="n"/>
      <c r="L6" s="370" t="n"/>
      <c r="M6" s="370" t="n"/>
      <c r="N6" s="370" t="n"/>
      <c r="O6" s="370" t="n"/>
      <c r="P6" s="370" t="n"/>
      <c r="Q6" s="370" t="n"/>
      <c r="R6" s="370" t="n"/>
      <c r="S6" s="370" t="n"/>
      <c r="T6" s="370" t="n"/>
      <c r="U6" s="370" t="n"/>
      <c r="V6" s="370" t="n"/>
      <c r="W6" s="370" t="n"/>
      <c r="X6" s="370" t="n"/>
      <c r="Y6" s="370" t="n"/>
      <c r="Z6" s="370" t="n"/>
      <c r="AA6" s="370" t="n"/>
      <c r="AB6" s="370" t="n"/>
      <c r="AC6" s="370" t="n"/>
      <c r="AD6" s="370" t="n"/>
      <c r="AE6" s="370" t="n"/>
    </row>
    <row r="8" ht="18" customFormat="1" customHeight="1" s="5">
      <c r="A8" s="3384" t="inlineStr">
        <is>
          <t>SECCIÓN A:  CAPACIDAD INSTALADA Y UTILIZACIÓN DE LOS QUIRÓFANOS CIRUGÍA MAYOR</t>
        </is>
      </c>
      <c r="B8" s="7" t="n"/>
      <c r="C8" s="7" t="n"/>
      <c r="D8" s="7" t="n"/>
      <c r="E8" s="7" t="n"/>
      <c r="F8" s="7" t="n"/>
      <c r="G8" s="7" t="n"/>
      <c r="H8" s="7" t="n"/>
      <c r="I8" s="7" t="n"/>
      <c r="J8" s="7" t="n"/>
      <c r="K8" s="7" t="n"/>
      <c r="L8" s="7" t="n"/>
      <c r="M8" s="7" t="n"/>
      <c r="N8" s="7" t="n"/>
      <c r="O8" s="7" t="n"/>
      <c r="P8" s="7" t="n"/>
      <c r="Q8" s="7" t="n"/>
      <c r="R8" s="7" t="n"/>
      <c r="S8" s="7" t="n"/>
      <c r="T8" s="7" t="n"/>
      <c r="U8" s="7" t="n"/>
      <c r="V8" s="7" t="n"/>
      <c r="W8" s="7" t="n"/>
      <c r="X8" s="7" t="n"/>
      <c r="Y8" s="7" t="n"/>
      <c r="Z8" s="7" t="n"/>
      <c r="AA8" s="7" t="n"/>
      <c r="AB8" s="7" t="n"/>
      <c r="AC8" s="7" t="n"/>
      <c r="AD8" s="7" t="n"/>
      <c r="AE8" s="7" t="n"/>
    </row>
    <row r="9" ht="15" customHeight="1" s="8286">
      <c r="A9" s="10352" t="inlineStr">
        <is>
          <t>TIPO DE QUIRÓFANOS</t>
        </is>
      </c>
      <c r="B9" s="10353" t="inlineStr">
        <is>
          <t>Número de Quirófanos en Dotación</t>
        </is>
      </c>
      <c r="C9" s="10354" t="inlineStr">
        <is>
          <t>Promedio Mensual de Quirófanos Habilitados</t>
        </is>
      </c>
      <c r="D9" s="10354" t="inlineStr">
        <is>
          <t>Promedio Mensual de Quirófanos en Trabajo</t>
        </is>
      </c>
      <c r="E9" s="10354" t="inlineStr">
        <is>
          <t>Total de Horas Mensuales de Quirófanos Habilitados (Horario Hábil)</t>
        </is>
      </c>
      <c r="F9" s="10215" t="inlineStr">
        <is>
          <t>Total de Horas Mensuales de Quirófanos en Trabajo (Horario Hábil)</t>
        </is>
      </c>
      <c r="G9" s="10355" t="inlineStr">
        <is>
          <t>QUIRÓFANOS CIRUGIA MAYOR</t>
        </is>
      </c>
      <c r="H9" s="9602" t="n"/>
      <c r="I9" s="9602" t="n"/>
      <c r="J9" s="9602" t="n"/>
      <c r="K9" s="9602" t="n"/>
      <c r="L9" s="9602" t="n"/>
      <c r="M9" s="9602" t="n"/>
      <c r="N9" s="9602" t="n"/>
      <c r="O9" s="9602" t="n"/>
      <c r="P9" s="9602" t="n"/>
      <c r="Q9" s="9602" t="n"/>
      <c r="R9" s="9602" t="n"/>
      <c r="S9" s="9602" t="n"/>
      <c r="T9" s="9602" t="n"/>
      <c r="U9" s="9602" t="n"/>
      <c r="V9" s="9602" t="n"/>
      <c r="W9" s="9602" t="n"/>
      <c r="X9" s="9602" t="n"/>
      <c r="Y9" s="9886" t="n"/>
      <c r="Z9" s="10356" t="inlineStr">
        <is>
          <t>CIRUGIAS MENORES Y PROCEDIMIENTOS *</t>
        </is>
      </c>
      <c r="AA9" s="10190" t="n"/>
      <c r="AB9" s="10190" t="n"/>
      <c r="AC9" s="10190" t="n"/>
      <c r="AD9" s="10190" t="n"/>
      <c r="AE9" s="10321" t="n"/>
    </row>
    <row r="10" ht="15" customHeight="1" s="8286">
      <c r="A10" s="9718" t="n"/>
      <c r="B10" s="9687" t="n"/>
      <c r="C10" s="10017" t="n"/>
      <c r="D10" s="10017" t="n"/>
      <c r="E10" s="10017" t="n"/>
      <c r="F10" s="9625" t="n"/>
      <c r="G10" s="10253" t="inlineStr">
        <is>
          <t>Horas Mensuales Programadas de Tabla Quirúrgica de Quirófanos en Trabajo, Horario Hábil</t>
        </is>
      </c>
      <c r="H10" s="9602" t="n"/>
      <c r="I10" s="9602" t="n"/>
      <c r="J10" s="9630" t="n"/>
      <c r="K10" s="10253" t="inlineStr">
        <is>
          <t>Horas Mensuales Ocupadas de Quirófanos en Trabajo Horario Hábil</t>
        </is>
      </c>
      <c r="L10" s="9602" t="n"/>
      <c r="M10" s="9602" t="n"/>
      <c r="N10" s="9602" t="n"/>
      <c r="O10" s="9630" t="n"/>
      <c r="P10" s="10253" t="inlineStr">
        <is>
          <t>Horas Mensuales Ocupadas de Quirófanos en Trabajo Horario Inhábil de Lunes a Viernes</t>
        </is>
      </c>
      <c r="Q10" s="9602" t="n"/>
      <c r="R10" s="9602" t="n"/>
      <c r="S10" s="9602" t="n"/>
      <c r="T10" s="9630" t="n"/>
      <c r="U10" s="10357" t="inlineStr">
        <is>
          <t>Horas Mensuales Ocupadas de Quirófanos en Trabajo Horario Sábado, Domingo y Festivo</t>
        </is>
      </c>
      <c r="V10" s="9602" t="n"/>
      <c r="W10" s="9602" t="n"/>
      <c r="X10" s="9602" t="n"/>
      <c r="Y10" s="9886" t="n"/>
      <c r="Z10" s="10358" t="inlineStr">
        <is>
          <t>Total Horas Mensuales Ocupadas de Quirófanos en Trabajo, Horario Hábil</t>
        </is>
      </c>
      <c r="AA10" s="9602" t="n"/>
      <c r="AB10" s="9630" t="n"/>
      <c r="AC10" s="10253" t="inlineStr">
        <is>
          <t>Total Horas Mensuales Ocupadas de Quirófanos en Trabajo, Horario Inhábil</t>
        </is>
      </c>
      <c r="AD10" s="9602" t="n"/>
      <c r="AE10" s="9630" t="n"/>
    </row>
    <row r="11">
      <c r="A11" s="9718" t="n"/>
      <c r="B11" s="9687" t="n"/>
      <c r="C11" s="10017" t="n"/>
      <c r="D11" s="10017" t="n"/>
      <c r="E11" s="10017" t="n"/>
      <c r="F11" s="9625" t="n"/>
      <c r="G11" s="9638" t="n"/>
      <c r="H11" s="9697" t="n"/>
      <c r="I11" s="9697" t="n"/>
      <c r="J11" s="9639" t="n"/>
      <c r="K11" s="9638" t="n"/>
      <c r="L11" s="9697" t="n"/>
      <c r="M11" s="9697" t="n"/>
      <c r="N11" s="9697" t="n"/>
      <c r="O11" s="9639" t="n"/>
      <c r="P11" s="9638" t="n"/>
      <c r="Q11" s="9697" t="n"/>
      <c r="R11" s="9697" t="n"/>
      <c r="S11" s="9697" t="n"/>
      <c r="T11" s="9639" t="n"/>
      <c r="U11" s="9698" t="n"/>
      <c r="V11" s="9591" t="n"/>
      <c r="W11" s="9591" t="n"/>
      <c r="X11" s="9591" t="n"/>
      <c r="Y11" s="9865" t="n"/>
      <c r="Z11" s="9697" t="n"/>
      <c r="AA11" s="9697" t="n"/>
      <c r="AB11" s="9639" t="n"/>
      <c r="AC11" s="9638" t="n"/>
      <c r="AD11" s="9697" t="n"/>
      <c r="AE11" s="9639" t="n"/>
      <c r="CF11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ht="21" customHeight="1" s="8286">
      <c r="A12" s="9639" t="n"/>
      <c r="B12" s="9688" t="n"/>
      <c r="C12" s="9912" t="n"/>
      <c r="D12" s="9912" t="n"/>
      <c r="E12" s="9912" t="n"/>
      <c r="F12" s="9641" t="n"/>
      <c r="G12" s="3386" t="inlineStr">
        <is>
          <t>Total</t>
        </is>
      </c>
      <c r="H12" s="3387" t="inlineStr">
        <is>
          <t>Beneficiarios MAI</t>
        </is>
      </c>
      <c r="I12" s="3387" t="inlineStr">
        <is>
          <t>Beneficiarios MLE</t>
        </is>
      </c>
      <c r="J12" s="3388" t="inlineStr">
        <is>
          <t>Otros</t>
        </is>
      </c>
      <c r="K12" s="3386" t="inlineStr">
        <is>
          <t>Total</t>
        </is>
      </c>
      <c r="L12" s="3387" t="inlineStr">
        <is>
          <t>Beneficiarios MAI</t>
        </is>
      </c>
      <c r="M12" s="3387" t="inlineStr">
        <is>
          <t>Beneficiarios MLE</t>
        </is>
      </c>
      <c r="N12" s="3387" t="inlineStr">
        <is>
          <t>Otros</t>
        </is>
      </c>
      <c r="O12" s="3388" t="inlineStr">
        <is>
          <t>De recambio</t>
        </is>
      </c>
      <c r="P12" s="3386" t="inlineStr">
        <is>
          <t>Total</t>
        </is>
      </c>
      <c r="Q12" s="3387" t="inlineStr">
        <is>
          <t>Beneficiarios MAI</t>
        </is>
      </c>
      <c r="R12" s="3387" t="inlineStr">
        <is>
          <t>Beneficiarios MLE</t>
        </is>
      </c>
      <c r="S12" s="3387" t="inlineStr">
        <is>
          <t>Otros</t>
        </is>
      </c>
      <c r="T12" s="3388" t="inlineStr">
        <is>
          <t>De recambio</t>
        </is>
      </c>
      <c r="U12" s="3386" t="inlineStr">
        <is>
          <t>Total</t>
        </is>
      </c>
      <c r="V12" s="3387" t="inlineStr">
        <is>
          <t>Beneficiarios MAI</t>
        </is>
      </c>
      <c r="W12" s="3387" t="inlineStr">
        <is>
          <t>Beneficiarios MLE</t>
        </is>
      </c>
      <c r="X12" s="3387" t="inlineStr">
        <is>
          <t>Otros</t>
        </is>
      </c>
      <c r="Y12" s="3389" t="inlineStr">
        <is>
          <t>De recambio</t>
        </is>
      </c>
      <c r="Z12" s="3390" t="inlineStr">
        <is>
          <t>Total</t>
        </is>
      </c>
      <c r="AA12" s="3387" t="inlineStr">
        <is>
          <t>Cirugía Menor</t>
        </is>
      </c>
      <c r="AB12" s="3391" t="inlineStr">
        <is>
          <t>Otros Procedimientos</t>
        </is>
      </c>
      <c r="AC12" s="3386" t="inlineStr">
        <is>
          <t>Total</t>
        </is>
      </c>
      <c r="AD12" s="3387" t="inlineStr">
        <is>
          <t>Cirugía Menor</t>
        </is>
      </c>
      <c r="AE12" s="3391" t="inlineStr">
        <is>
          <t>Otros Procedimientos</t>
        </is>
      </c>
    </row>
    <row r="13">
      <c r="A13" s="3392" t="inlineStr">
        <is>
          <t>TOTAL QUIRÓFANOS</t>
        </is>
      </c>
      <c r="B13" s="3393">
        <f>SUM(B14:B17)</f>
        <v/>
      </c>
      <c r="C13" s="3394">
        <f>SUM(C14:C17)</f>
        <v/>
      </c>
      <c r="D13" s="3395">
        <f>SUM(D14:D17)</f>
        <v/>
      </c>
      <c r="E13" s="3395">
        <f>SUM(E14:E17)</f>
        <v/>
      </c>
      <c r="F13" s="3396">
        <f>SUM(F14:F17)</f>
        <v/>
      </c>
      <c r="G13" s="3397">
        <f>SUM(G14:G17)</f>
        <v/>
      </c>
      <c r="H13" s="3395">
        <f>SUM(H14:H17)</f>
        <v/>
      </c>
      <c r="I13" s="3395">
        <f>SUM(I14:I17)</f>
        <v/>
      </c>
      <c r="J13" s="3396">
        <f>SUM(J14:J17)</f>
        <v/>
      </c>
      <c r="K13" s="3397">
        <f>SUM(K14:K17)</f>
        <v/>
      </c>
      <c r="L13" s="3395">
        <f>SUM(L14:L17)</f>
        <v/>
      </c>
      <c r="M13" s="3395">
        <f>SUM(M14:M17)</f>
        <v/>
      </c>
      <c r="N13" s="3395">
        <f>SUM(N14:N17)</f>
        <v/>
      </c>
      <c r="O13" s="3396">
        <f>SUM(O14:O17)</f>
        <v/>
      </c>
      <c r="P13" s="3397">
        <f>SUM(P14:P17)</f>
        <v/>
      </c>
      <c r="Q13" s="3395">
        <f>SUM(Q14:Q17)</f>
        <v/>
      </c>
      <c r="R13" s="3395">
        <f>SUM(R14:R17)</f>
        <v/>
      </c>
      <c r="S13" s="3395">
        <f>SUM(S14:S17)</f>
        <v/>
      </c>
      <c r="T13" s="3396">
        <f>SUM(T14:T17)</f>
        <v/>
      </c>
      <c r="U13" s="3397">
        <f>SUM(U14:U17)</f>
        <v/>
      </c>
      <c r="V13" s="3395">
        <f>SUM(V14:V17)</f>
        <v/>
      </c>
      <c r="W13" s="3395">
        <f>SUM(W14:W17)</f>
        <v/>
      </c>
      <c r="X13" s="3395">
        <f>SUM(X14:X17)</f>
        <v/>
      </c>
      <c r="Y13" s="3398">
        <f>SUM(Y14:Y17)</f>
        <v/>
      </c>
      <c r="Z13" s="3394">
        <f>SUM(Z14:Z17)</f>
        <v/>
      </c>
      <c r="AA13" s="3395">
        <f>SUM(AA14:AA17)</f>
        <v/>
      </c>
      <c r="AB13" s="3399">
        <f>SUM(AB14:AB17)</f>
        <v/>
      </c>
      <c r="AC13" s="3397">
        <f>SUM(AC14:AC17)</f>
        <v/>
      </c>
      <c r="AD13" s="3395">
        <f>SUM(AD14:AD17)</f>
        <v/>
      </c>
      <c r="AE13" s="3399">
        <f>SUM(AE14:AE17)</f>
        <v/>
      </c>
    </row>
    <row r="14">
      <c r="A14" s="3400" t="inlineStr">
        <is>
          <t>De Cirugía Electiva</t>
        </is>
      </c>
      <c r="B14" s="3401" t="n"/>
      <c r="C14" s="3402" t="n"/>
      <c r="D14" s="3402" t="n"/>
      <c r="E14" s="3402" t="n"/>
      <c r="F14" s="3402" t="n"/>
      <c r="G14" s="3403">
        <f>SUM(H14:J14)</f>
        <v/>
      </c>
      <c r="H14" s="3404" t="n"/>
      <c r="I14" s="3402" t="n"/>
      <c r="J14" s="3402" t="n"/>
      <c r="K14" s="3405">
        <f>SUM(L14:O14)</f>
        <v/>
      </c>
      <c r="L14" s="3404" t="n"/>
      <c r="M14" s="3402" t="n"/>
      <c r="N14" s="3406" t="n"/>
      <c r="O14" s="3407" t="n"/>
      <c r="P14" s="3405">
        <f>SUM(Q14:T14)</f>
        <v/>
      </c>
      <c r="Q14" s="3404" t="n"/>
      <c r="R14" s="3402" t="n"/>
      <c r="S14" s="3406" t="n"/>
      <c r="T14" s="3407" t="n"/>
      <c r="U14" s="3405">
        <f>SUM(V14:Y14)</f>
        <v/>
      </c>
      <c r="V14" s="3404" t="n"/>
      <c r="W14" s="3402" t="n"/>
      <c r="X14" s="3406" t="n"/>
      <c r="Y14" s="3408" t="n"/>
      <c r="Z14" s="3409">
        <f>SUM(AA14:AB14)</f>
        <v/>
      </c>
      <c r="AA14" s="3402" t="n"/>
      <c r="AB14" s="3410" t="n"/>
      <c r="AC14" s="3405">
        <f>SUM(AD14:AE14)</f>
        <v/>
      </c>
      <c r="AD14" s="3402" t="n"/>
      <c r="AE14" s="3410" t="n"/>
    </row>
    <row r="15">
      <c r="A15" s="3411" t="inlineStr">
        <is>
          <t>De Urgencia</t>
        </is>
      </c>
      <c r="B15" s="409" t="n"/>
      <c r="C15" s="410" t="n"/>
      <c r="D15" s="410" t="n"/>
      <c r="E15" s="410" t="n"/>
      <c r="F15" s="410" t="n"/>
      <c r="G15" s="3412">
        <f>SUM(H15:J15)</f>
        <v/>
      </c>
      <c r="H15" s="411" t="n"/>
      <c r="I15" s="410" t="n"/>
      <c r="J15" s="411" t="n"/>
      <c r="K15" s="3412">
        <f>SUM(L15:O15)</f>
        <v/>
      </c>
      <c r="L15" s="411" t="n"/>
      <c r="M15" s="411" t="n"/>
      <c r="N15" s="3413" t="n"/>
      <c r="O15" s="3414" t="n"/>
      <c r="P15" s="3412">
        <f>SUM(Q15:T15)</f>
        <v/>
      </c>
      <c r="Q15" s="411" t="n"/>
      <c r="R15" s="410" t="n"/>
      <c r="S15" s="3413" t="n"/>
      <c r="T15" s="3414" t="n"/>
      <c r="U15" s="3412">
        <f>SUM(V15:Y15)</f>
        <v/>
      </c>
      <c r="V15" s="411" t="n"/>
      <c r="W15" s="410" t="n"/>
      <c r="X15" s="3413" t="n"/>
      <c r="Y15" s="3415" t="n"/>
      <c r="Z15" s="3416">
        <f>SUM(AA15:AB15)</f>
        <v/>
      </c>
      <c r="AA15" s="410" t="n"/>
      <c r="AB15" s="412" t="n"/>
      <c r="AC15" s="3412">
        <f>SUM(AD15:AE15)</f>
        <v/>
      </c>
      <c r="AD15" s="410" t="n"/>
      <c r="AE15" s="412" t="n"/>
    </row>
    <row r="16">
      <c r="A16" s="3417" t="inlineStr">
        <is>
          <t>Obstétrico</t>
        </is>
      </c>
      <c r="B16" s="409" t="n"/>
      <c r="C16" s="410" t="n"/>
      <c r="D16" s="410" t="n"/>
      <c r="E16" s="410" t="n"/>
      <c r="F16" s="410" t="n"/>
      <c r="G16" s="3412">
        <f>SUM(H16:J16)</f>
        <v/>
      </c>
      <c r="H16" s="411" t="n"/>
      <c r="I16" s="410" t="n"/>
      <c r="J16" s="413" t="n"/>
      <c r="K16" s="3412">
        <f>SUM(L16:O16)</f>
        <v/>
      </c>
      <c r="L16" s="411" t="n"/>
      <c r="M16" s="413" t="n"/>
      <c r="N16" s="3418" t="n"/>
      <c r="O16" s="3419" t="n"/>
      <c r="P16" s="3412">
        <f>SUM(Q16:T16)</f>
        <v/>
      </c>
      <c r="Q16" s="411" t="n"/>
      <c r="R16" s="413" t="n"/>
      <c r="S16" s="3418" t="n"/>
      <c r="T16" s="3419" t="n"/>
      <c r="U16" s="3412">
        <f>SUM(V16:Y16)</f>
        <v/>
      </c>
      <c r="V16" s="411" t="n"/>
      <c r="W16" s="413" t="n"/>
      <c r="X16" s="3418" t="n"/>
      <c r="Y16" s="3420" t="n"/>
      <c r="Z16" s="3416">
        <f>SUM(AA16:AB16)</f>
        <v/>
      </c>
      <c r="AA16" s="410" t="n"/>
      <c r="AB16" s="412" t="n"/>
      <c r="AC16" s="3412">
        <f>SUM(AD16:AE16)</f>
        <v/>
      </c>
      <c r="AD16" s="410" t="n"/>
      <c r="AE16" s="412" t="n"/>
    </row>
    <row r="17">
      <c r="A17" s="3421" t="inlineStr">
        <is>
          <t>Indiferenciado</t>
        </is>
      </c>
      <c r="B17" s="3422" t="n"/>
      <c r="C17" s="3423" t="n"/>
      <c r="D17" s="414" t="n"/>
      <c r="E17" s="414" t="n"/>
      <c r="F17" s="415" t="n"/>
      <c r="G17" s="3424">
        <f>SUM(H17:J17)</f>
        <v/>
      </c>
      <c r="H17" s="416" t="n"/>
      <c r="I17" s="417" t="n"/>
      <c r="J17" s="3425" t="n"/>
      <c r="K17" s="3426">
        <f>SUM(L17:O17)</f>
        <v/>
      </c>
      <c r="L17" s="416" t="n"/>
      <c r="M17" s="3427" t="n"/>
      <c r="N17" s="3428" t="n"/>
      <c r="O17" s="3425" t="n"/>
      <c r="P17" s="3426">
        <f>SUM(Q17:T17)</f>
        <v/>
      </c>
      <c r="Q17" s="3427" t="n"/>
      <c r="R17" s="3423" t="n"/>
      <c r="S17" s="3428" t="n"/>
      <c r="T17" s="3425" t="n"/>
      <c r="U17" s="3426">
        <f>SUM(V17:Y17)</f>
        <v/>
      </c>
      <c r="V17" s="3427" t="n"/>
      <c r="W17" s="3423" t="n"/>
      <c r="X17" s="3428" t="n"/>
      <c r="Y17" s="3429" t="n"/>
      <c r="Z17" s="3430">
        <f>SUM(AA17:AB17)</f>
        <v/>
      </c>
      <c r="AA17" s="3423" t="n"/>
      <c r="AB17" s="3431" t="n"/>
      <c r="AC17" s="3424">
        <f>SUM(AD17:AE17)</f>
        <v/>
      </c>
      <c r="AD17" s="3423" t="n"/>
      <c r="AE17" s="3431" t="n"/>
    </row>
    <row r="18">
      <c r="A18" s="418" t="inlineStr">
        <is>
          <t>* Las horas informadas en cirugía menores y procedimientos, deben estar contenidas en las horas ocupadas, en quirófanos para cirugía mayor.</t>
        </is>
      </c>
    </row>
    <row r="19" ht="18" customFormat="1" customHeight="1" s="5">
      <c r="A19" s="419" t="inlineStr">
        <is>
          <t>SECCIÓN B:  PROCEDIMIENTOS COMPLEJOS AMBULATORIOS</t>
        </is>
      </c>
      <c r="B19" s="420" t="n"/>
      <c r="C19" s="3432" t="n"/>
      <c r="D19" s="3432" t="n"/>
      <c r="E19" s="3432" t="n"/>
      <c r="F19" s="3432" t="n"/>
      <c r="G19" s="420" t="n"/>
    </row>
    <row r="20" ht="32.25" customHeight="1" s="8286">
      <c r="A20" s="3433" t="inlineStr">
        <is>
          <t>COMPONENTES</t>
        </is>
      </c>
      <c r="B20" s="8692" t="inlineStr">
        <is>
          <t>TOTAL</t>
        </is>
      </c>
      <c r="C20" s="3435" t="inlineStr">
        <is>
          <t>Hemodiálisis</t>
        </is>
      </c>
      <c r="D20" s="3435" t="inlineStr">
        <is>
          <t>Cirugía Mayor Ambulatoria</t>
        </is>
      </c>
      <c r="E20" s="3435" t="inlineStr">
        <is>
          <t>Coronariografía</t>
        </is>
      </c>
      <c r="F20" s="3436" t="inlineStr">
        <is>
          <t>Otras</t>
        </is>
      </c>
    </row>
    <row r="21" ht="15" customHeight="1" s="8286">
      <c r="A21" s="3437" t="inlineStr">
        <is>
          <t>Recurso Disponible</t>
        </is>
      </c>
      <c r="B21" s="3438">
        <f>SUM(C21:F21)</f>
        <v/>
      </c>
      <c r="C21" s="850" t="n"/>
      <c r="D21" s="850" t="n"/>
      <c r="E21" s="850" t="n"/>
      <c r="F21" s="3439" t="n"/>
    </row>
    <row r="22" ht="15" customHeight="1" s="8286">
      <c r="A22" s="3440" t="inlineStr">
        <is>
          <t>Ingresos</t>
        </is>
      </c>
      <c r="B22" s="3441">
        <f>SUM(C22:F22)</f>
        <v/>
      </c>
      <c r="C22" s="3442" t="n"/>
      <c r="D22" s="3442" t="n"/>
      <c r="E22" s="3442" t="n"/>
      <c r="F22" s="3443" t="n"/>
    </row>
    <row r="23" ht="15" customHeight="1" s="8286">
      <c r="A23" s="3440" t="inlineStr">
        <is>
          <t>Personas Atendidas</t>
        </is>
      </c>
      <c r="B23" s="3441">
        <f>SUM(C23:F23)</f>
        <v/>
      </c>
      <c r="C23" s="3442" t="n"/>
      <c r="D23" s="3442" t="n"/>
      <c r="E23" s="3442" t="n"/>
      <c r="F23" s="3443" t="n"/>
    </row>
    <row r="24" ht="15" customHeight="1" s="8286">
      <c r="A24" s="3440" t="inlineStr">
        <is>
          <t>Días Personas Atendidas</t>
        </is>
      </c>
      <c r="B24" s="3441">
        <f>SUM(C24:F24)</f>
        <v/>
      </c>
      <c r="C24" s="3442" t="n"/>
      <c r="D24" s="3442" t="n"/>
      <c r="E24" s="3442" t="n"/>
      <c r="F24" s="3443" t="n"/>
    </row>
    <row r="25" ht="15" customHeight="1" s="8286">
      <c r="A25" s="3444" t="inlineStr">
        <is>
          <t>Altas</t>
        </is>
      </c>
      <c r="B25" s="3445">
        <f>SUM(C25:F25)</f>
        <v/>
      </c>
      <c r="C25" s="421" t="n"/>
      <c r="D25" s="421" t="n"/>
      <c r="E25" s="421" t="n"/>
      <c r="F25" s="422" t="n"/>
    </row>
    <row r="26" ht="18" customFormat="1" customHeight="1" s="5">
      <c r="A26" s="419" t="inlineStr">
        <is>
          <t xml:space="preserve">SECCIÓN C:  HOSPITALIZACIÓN DOMICILIARIA Y ATENCIÓN VENTILATORIA EN DOMICILIO </t>
        </is>
      </c>
    </row>
    <row r="27" ht="18" customFormat="1" customHeight="1" s="5">
      <c r="A27" s="419" t="inlineStr">
        <is>
          <t xml:space="preserve">SECCIÓN C.1:HOSPITALIZACIÓN DOMICILIARIA </t>
        </is>
      </c>
    </row>
    <row r="28" ht="18" customFormat="1" customHeight="1" s="5">
      <c r="A28" s="419" t="inlineStr">
        <is>
          <t>SECCIÓN C.1.1:  PERSONAS ATENDIDAS EN EL PROGRAMA</t>
        </is>
      </c>
      <c r="B28" s="423" t="n"/>
      <c r="C28" s="3446" t="n"/>
      <c r="D28" s="3446" t="n"/>
      <c r="E28" s="3446" t="n"/>
      <c r="F28" s="3446" t="n"/>
      <c r="G28" s="3446" t="n"/>
      <c r="H28" s="3446" t="n"/>
      <c r="I28" s="3447" t="n"/>
      <c r="J28" s="3447" t="n"/>
      <c r="K28" s="3448" t="n"/>
      <c r="L28" s="3448" t="n"/>
    </row>
    <row r="29">
      <c r="A29" s="10359" t="inlineStr">
        <is>
          <t>COMPONENTES</t>
        </is>
      </c>
      <c r="B29" s="9630" t="n"/>
      <c r="C29" s="10360" t="inlineStr">
        <is>
          <t>TOTAL</t>
        </is>
      </c>
      <c r="D29" s="10361" t="inlineStr">
        <is>
          <t>RANGO ETARIO</t>
        </is>
      </c>
      <c r="E29" s="9584" t="n"/>
      <c r="F29" s="9584" t="n"/>
      <c r="G29" s="9595" t="n"/>
      <c r="H29" s="10362" t="inlineStr">
        <is>
          <t xml:space="preserve">ORIGEN DE LA DERIVACIÓN </t>
        </is>
      </c>
      <c r="I29" s="9617" t="n"/>
      <c r="J29" s="9617" t="n"/>
      <c r="K29" s="9617" t="n"/>
      <c r="L29" s="9617" t="n"/>
      <c r="M29" s="9648" t="n"/>
      <c r="N29" s="10363" t="inlineStr">
        <is>
          <t>SEXO</t>
        </is>
      </c>
      <c r="O29" s="9582" t="n"/>
    </row>
    <row r="30" ht="21" customHeight="1" s="8286">
      <c r="A30" s="9697" t="n"/>
      <c r="B30" s="9639" t="n"/>
      <c r="C30" s="9610" t="n"/>
      <c r="D30" s="3452" t="inlineStr">
        <is>
          <t>Menor de 15 años</t>
        </is>
      </c>
      <c r="E30" s="3453" t="inlineStr">
        <is>
          <t>15 - 19 años</t>
        </is>
      </c>
      <c r="F30" s="3453" t="inlineStr">
        <is>
          <t>20 - 59 años</t>
        </is>
      </c>
      <c r="G30" s="3454" t="inlineStr">
        <is>
          <t>60 y más años</t>
        </is>
      </c>
      <c r="H30" s="8661" t="inlineStr">
        <is>
          <t>APS</t>
        </is>
      </c>
      <c r="I30" s="8647" t="inlineStr">
        <is>
          <t>Urgencia</t>
        </is>
      </c>
      <c r="J30" s="8647" t="inlineStr">
        <is>
          <t>Hospitalización</t>
        </is>
      </c>
      <c r="K30" s="8647" t="inlineStr">
        <is>
          <t>Ambulatorio</t>
        </is>
      </c>
      <c r="L30" s="8647" t="inlineStr">
        <is>
          <t>Ley de Urgencia</t>
        </is>
      </c>
      <c r="M30" s="8647" t="inlineStr">
        <is>
          <t>UGCC</t>
        </is>
      </c>
      <c r="N30" s="8647" t="inlineStr">
        <is>
          <t>Hombres</t>
        </is>
      </c>
      <c r="O30" s="8647" t="inlineStr">
        <is>
          <t>Mujeres</t>
        </is>
      </c>
    </row>
    <row r="31" ht="15" customHeight="1" s="8286">
      <c r="A31" s="10364" t="inlineStr">
        <is>
          <t>Ingresos</t>
        </is>
      </c>
      <c r="B31" s="9643" t="n"/>
      <c r="C31" s="3457">
        <f>SUM(D31:G31)</f>
        <v/>
      </c>
      <c r="D31" s="3458" t="n"/>
      <c r="E31" s="807" t="n"/>
      <c r="F31" s="807" t="n"/>
      <c r="G31" s="808" t="n"/>
      <c r="H31" s="3459" t="n"/>
      <c r="I31" s="3460" t="n"/>
      <c r="J31" s="3460" t="n"/>
      <c r="K31" s="3460" t="n"/>
      <c r="L31" s="3460" t="n"/>
      <c r="M31" s="3460" t="n"/>
      <c r="N31" s="3460" t="n"/>
      <c r="O31" s="3460" t="n"/>
      <c r="P31">
        <f>AW31&amp;AX31&amp;AY31&amp;AZ31&amp;BA31&amp;BB31&amp;BC31&amp;BD31</f>
        <v/>
      </c>
      <c r="AW31" s="194">
        <f>IF(AND($C31&gt;0,H31="")," * No olvide digitar la variable "&amp;H$29&amp;""&amp;" APS. Digite CERO si no tiene.","")</f>
        <v/>
      </c>
      <c r="AX31" s="194">
        <f>IF(AND($C31&gt;0,I31="")," * No olvide digitar la variable "&amp;$H$29&amp;""&amp;" Urgencia. Digite CERO si no tiene.","")</f>
        <v/>
      </c>
      <c r="AY31" s="194">
        <f>IF(AND($C31&gt;0,J31="")," * No olvide digitar la variable "&amp;$H$29&amp;""&amp;" Hospitalización. Digite CERO si no tiene.","")</f>
        <v/>
      </c>
      <c r="AZ31" s="194">
        <f>IF(AND($C31&gt;0,K31="")," * No olvide digitar la variable "&amp;$H$29&amp;""&amp;" Ambulatorio. Digite CERO si no tiene.","")</f>
        <v/>
      </c>
      <c r="BA31" s="194">
        <f>IF(AND($C31&gt;0,L31="")," * No olvide digitar la variable "&amp;$H$29&amp;""&amp;" Ley de Urgencia. Digite CERO si no tiene.","")</f>
        <v/>
      </c>
      <c r="BB31" s="194">
        <f>IF(AND($C31&gt;0,M31="")," * No olvide digitar la variable "&amp;$H$29&amp;""&amp;" UGCC. Digite CERO si no tiene.","")</f>
        <v/>
      </c>
      <c r="BC31" s="194">
        <f>IF(AND(H31+I31+J31+K31+L31+M31&gt;$C31)," * La variable "&amp;$H$29&amp;""&amp;" No puede ser mayor al Total.","")</f>
        <v/>
      </c>
      <c r="BD31" s="194">
        <f>IF(AND(N31+O31&gt;$C31)," * La variable "&amp;$N$29&amp;""&amp;" No puede ser mayor al Total.","")</f>
        <v/>
      </c>
      <c r="BF31" s="125">
        <f>IF(AND($C31&gt;0,H31=""),1,0)</f>
        <v/>
      </c>
      <c r="BG31" s="125">
        <f>IF(AND($C31&gt;0,I31=""),1,0)</f>
        <v/>
      </c>
      <c r="BH31" s="125">
        <f>IF(AND($C31&gt;0,J31=""),1,0)</f>
        <v/>
      </c>
      <c r="BI31" s="125">
        <f>IF(AND($C31&gt;0,K31=""),1,0)</f>
        <v/>
      </c>
      <c r="BJ31" s="125">
        <f>IF(AND($C31&gt;0,L31=""),1,0)</f>
        <v/>
      </c>
      <c r="BK31" s="125">
        <f>IF(AND($C31&gt;0,M31=""),1,0)</f>
        <v/>
      </c>
      <c r="BL31" s="125">
        <f>IF(AND(H31+I31+J31+K31+L31+M31&gt;$C31),1,0)</f>
        <v/>
      </c>
      <c r="BM31" s="125">
        <f>IF(AND(N31+O31&gt;$C31),1,0)</f>
        <v/>
      </c>
    </row>
    <row r="32" ht="15" customHeight="1" s="8286">
      <c r="A32" s="10365" t="inlineStr">
        <is>
          <t>Personas Atendidas</t>
        </is>
      </c>
      <c r="B32" s="9644" t="n"/>
      <c r="C32" s="3457">
        <f>SUM(D32:G32)</f>
        <v/>
      </c>
      <c r="D32" s="3461" t="n"/>
      <c r="E32" s="3462" t="n"/>
      <c r="F32" s="3462" t="n"/>
      <c r="G32" s="3463" t="n"/>
      <c r="H32" s="3464" t="n"/>
      <c r="I32" s="3465" t="n"/>
      <c r="J32" s="3465" t="n"/>
      <c r="K32" s="3465" t="n"/>
      <c r="L32" s="3465" t="n"/>
      <c r="M32" s="3465" t="n"/>
      <c r="N32" s="3460" t="n"/>
      <c r="O32" s="3460" t="n"/>
      <c r="P32">
        <f>BD32</f>
        <v/>
      </c>
      <c r="BD32" s="194">
        <f>IF(AND(N32+O32&gt;$C32)," * La variable "&amp;$N$29&amp;""&amp;" No puede ser mayor al Total.","")</f>
        <v/>
      </c>
      <c r="BM32" s="125">
        <f>IF(AND(N32+O32&gt;$C32),1,0)</f>
        <v/>
      </c>
    </row>
    <row r="33" ht="15" customHeight="1" s="8286">
      <c r="A33" s="10365" t="inlineStr">
        <is>
          <t>Días Personas Atendidas</t>
        </is>
      </c>
      <c r="B33" s="9644" t="n"/>
      <c r="C33" s="3457">
        <f>SUM(D33:G33)</f>
        <v/>
      </c>
      <c r="D33" s="3461" t="n"/>
      <c r="E33" s="3462" t="n"/>
      <c r="F33" s="3462" t="n"/>
      <c r="G33" s="3463" t="n"/>
      <c r="H33" s="3464" t="n"/>
      <c r="I33" s="3465" t="n"/>
      <c r="J33" s="3465" t="n"/>
      <c r="K33" s="3465" t="n"/>
      <c r="L33" s="3465" t="n"/>
      <c r="M33" s="3465" t="n"/>
      <c r="N33" s="3460" t="n"/>
      <c r="O33" s="3460" t="n"/>
      <c r="P33">
        <f>BD33</f>
        <v/>
      </c>
      <c r="BD33" s="194">
        <f>IF(AND(N33+O33&gt;$C33)," * La variable "&amp;$N$29&amp;""&amp;" No puede ser mayor al Total.","")</f>
        <v/>
      </c>
      <c r="BM33" s="125">
        <f>IF(AND(N33+O33&gt;$C33),1,0)</f>
        <v/>
      </c>
    </row>
    <row r="34" ht="15" customHeight="1" s="8286">
      <c r="A34" s="10366" t="inlineStr">
        <is>
          <t>Altas</t>
        </is>
      </c>
      <c r="B34" s="9720" t="n"/>
      <c r="C34" s="425">
        <f>SUM(D34:G34)</f>
        <v/>
      </c>
      <c r="D34" s="3467" t="n"/>
      <c r="E34" s="3468" t="n"/>
      <c r="F34" s="3468" t="n"/>
      <c r="G34" s="3469" t="n"/>
      <c r="H34" s="3470" t="n"/>
      <c r="I34" s="3471" t="n"/>
      <c r="J34" s="3471" t="n"/>
      <c r="K34" s="3471" t="n"/>
      <c r="L34" s="3471" t="n"/>
      <c r="M34" s="3471" t="n"/>
      <c r="N34" s="3472" t="n"/>
      <c r="O34" s="3472" t="n"/>
      <c r="P34">
        <f>BD34</f>
        <v/>
      </c>
      <c r="BD34" s="194">
        <f>IF(AND(N34+O34&gt;$C34)," * La variable "&amp;$N$29&amp;""&amp;" No puede ser mayor al Total.","")</f>
        <v/>
      </c>
      <c r="BM34" s="125">
        <f>IF(AND(N34+O34&gt;$C34),1,0)</f>
        <v/>
      </c>
    </row>
    <row r="35" ht="15" customHeight="1" s="8286">
      <c r="A35" s="10367" t="inlineStr">
        <is>
          <t>Fallecidos</t>
        </is>
      </c>
      <c r="B35" s="424" t="inlineStr">
        <is>
          <t>Esperados</t>
        </is>
      </c>
      <c r="C35" s="3438">
        <f>SUM(D35:G35)</f>
        <v/>
      </c>
      <c r="D35" s="3458" t="n"/>
      <c r="E35" s="807" t="n"/>
      <c r="F35" s="807" t="n"/>
      <c r="G35" s="808" t="n"/>
      <c r="H35" s="3464" t="n"/>
      <c r="I35" s="3465" t="n"/>
      <c r="J35" s="3465" t="n"/>
      <c r="K35" s="3465" t="n"/>
      <c r="L35" s="3465" t="n"/>
      <c r="M35" s="3465" t="n"/>
      <c r="N35" s="3460" t="n"/>
      <c r="O35" s="3460" t="n"/>
      <c r="P35">
        <f>BD35</f>
        <v/>
      </c>
      <c r="BD35" s="194">
        <f>IF(AND(N35+O35&gt;$C35)," * La variable "&amp;$N$29&amp;""&amp;" No puede ser mayor al Total.","")</f>
        <v/>
      </c>
      <c r="BM35" s="125">
        <f>IF(AND(N35+O35&gt;$C35),1,0)</f>
        <v/>
      </c>
    </row>
    <row r="36" ht="15" customHeight="1" s="8286">
      <c r="A36" s="9589" t="n"/>
      <c r="B36" s="8698" t="inlineStr">
        <is>
          <t xml:space="preserve">No esperados </t>
        </is>
      </c>
      <c r="C36" s="3473">
        <f>SUM(D36:G36)</f>
        <v/>
      </c>
      <c r="D36" s="3467" t="n"/>
      <c r="E36" s="3468" t="n"/>
      <c r="F36" s="3468" t="n"/>
      <c r="G36" s="3469" t="n"/>
      <c r="H36" s="3474" t="n"/>
      <c r="I36" s="3475" t="n"/>
      <c r="J36" s="3475" t="n"/>
      <c r="K36" s="3475" t="n"/>
      <c r="L36" s="3475" t="n"/>
      <c r="M36" s="3475" t="n"/>
      <c r="N36" s="3472" t="n"/>
      <c r="O36" s="3472" t="n"/>
      <c r="P36">
        <f>BD36</f>
        <v/>
      </c>
      <c r="BD36" s="194">
        <f>IF(AND(N36+O36&gt;$C36)," * La variable "&amp;$N$29&amp;""&amp;" No puede ser mayor al Total.","")</f>
        <v/>
      </c>
      <c r="BM36" s="125">
        <f>IF(AND(N36+O36&gt;$C36),1,0)</f>
        <v/>
      </c>
    </row>
    <row r="37" ht="15" customHeight="1" s="8286">
      <c r="A37" s="10368" t="inlineStr">
        <is>
          <t xml:space="preserve">Reingresos a Hospitalización Tradicional	</t>
        </is>
      </c>
      <c r="B37" s="9582" t="n"/>
      <c r="C37" s="3476">
        <f>SUM(D37:G37)</f>
        <v/>
      </c>
      <c r="D37" s="3477" t="n"/>
      <c r="E37" s="619" t="n"/>
      <c r="F37" s="619" t="n"/>
      <c r="G37" s="620" t="n"/>
      <c r="H37" s="3474" t="n"/>
      <c r="I37" s="3475" t="n"/>
      <c r="J37" s="3475" t="n"/>
      <c r="K37" s="3475" t="n"/>
      <c r="L37" s="3475" t="n"/>
      <c r="M37" s="3475" t="n"/>
      <c r="N37" s="3478" t="n"/>
      <c r="O37" s="3478" t="n"/>
      <c r="P37">
        <f>BD37</f>
        <v/>
      </c>
      <c r="BD37" s="194">
        <f>IF(AND(N37+O37&gt;$C37)," * La variable "&amp;$N$29&amp;""&amp;" No puede ser mayor al Total.","")</f>
        <v/>
      </c>
      <c r="BM37" s="125">
        <f>IF(AND(N37+O37&gt;$C37),1,0)</f>
        <v/>
      </c>
    </row>
    <row r="38" ht="18" customFormat="1" customHeight="1" s="5">
      <c r="A38" s="3479" t="inlineStr">
        <is>
          <t xml:space="preserve">SECCIÓN C.1.2:  VISITAS REALIZADAS </t>
        </is>
      </c>
      <c r="B38" s="3480" t="n"/>
    </row>
    <row r="39" ht="30" customHeight="1" s="8286">
      <c r="A39" s="8647" t="inlineStr">
        <is>
          <t>PROFESIONALES</t>
        </is>
      </c>
      <c r="B39" s="8647" t="inlineStr">
        <is>
          <t>Total de Visitas</t>
        </is>
      </c>
    </row>
    <row r="40" ht="15" customHeight="1" s="8286">
      <c r="A40" s="3457" t="inlineStr">
        <is>
          <t>Médico</t>
        </is>
      </c>
      <c r="B40" s="3460" t="n"/>
    </row>
    <row r="41" ht="15" customHeight="1" s="8286">
      <c r="A41" s="3457" t="inlineStr">
        <is>
          <t>Enfermera</t>
        </is>
      </c>
      <c r="B41" s="3460" t="n"/>
    </row>
    <row r="42" ht="15" customHeight="1" s="8286">
      <c r="A42" s="3457" t="inlineStr">
        <is>
          <t>Técnico en Enfermería</t>
        </is>
      </c>
      <c r="B42" s="3460" t="n"/>
    </row>
    <row r="43" ht="15" customHeight="1" s="8286">
      <c r="A43" s="3457" t="inlineStr">
        <is>
          <t>Matrona</t>
        </is>
      </c>
      <c r="B43" s="3460" t="n"/>
    </row>
    <row r="44" ht="15" customHeight="1" s="8286">
      <c r="A44" s="3457" t="inlineStr">
        <is>
          <t>Kinesiólogo</t>
        </is>
      </c>
      <c r="B44" s="3460" t="n"/>
    </row>
    <row r="45" ht="15" customHeight="1" s="8286">
      <c r="A45" s="3457" t="inlineStr">
        <is>
          <t>Psicólogo</t>
        </is>
      </c>
      <c r="B45" s="3460" t="n"/>
    </row>
    <row r="46" ht="15" customHeight="1" s="8286">
      <c r="A46" s="3457" t="inlineStr">
        <is>
          <t>Fonoaudiólogo/a</t>
        </is>
      </c>
      <c r="B46" s="3460" t="n"/>
    </row>
    <row r="47" ht="15" customHeight="1" s="8286">
      <c r="A47" s="425" t="inlineStr">
        <is>
          <t>Trabajador/a Social</t>
        </is>
      </c>
      <c r="B47" s="704" t="n"/>
    </row>
    <row r="48" ht="15" customHeight="1" s="8286">
      <c r="A48" s="3481" t="inlineStr">
        <is>
          <t>Terapeuta Ocupacional</t>
        </is>
      </c>
      <c r="B48" s="3472" t="n"/>
    </row>
    <row r="49" ht="18" customFormat="1" customHeight="1" s="5">
      <c r="A49" s="3482" t="inlineStr">
        <is>
          <t>SECCIÓN C.1.3:  CUPOS DISPONIBLES EN UNIDAD DE HOSPITALIZACIÓN DOMICILIARIA</t>
        </is>
      </c>
      <c r="B49" s="423" t="n"/>
      <c r="C49" s="7" t="n"/>
      <c r="D49" s="3483" t="n"/>
      <c r="E49" s="3484" t="n"/>
    </row>
    <row r="50" ht="31.5" customHeight="1" s="8286">
      <c r="A50" s="8659" t="inlineStr">
        <is>
          <t>COMPONENTES</t>
        </is>
      </c>
      <c r="B50" s="8647" t="inlineStr">
        <is>
          <t>TOTAL</t>
        </is>
      </c>
      <c r="C50" s="8647" t="inlineStr">
        <is>
          <t>N° de Cupos</t>
        </is>
      </c>
      <c r="D50" s="8659" t="inlineStr">
        <is>
          <t>N° de cupos Campaña Invierno Adicionales</t>
        </is>
      </c>
      <c r="E50" s="3485" t="inlineStr">
        <is>
          <t>N° de cupos Campaña de Invierno</t>
        </is>
      </c>
      <c r="F50" s="8661" t="inlineStr">
        <is>
          <t xml:space="preserve">N° de cupos pediátricos </t>
        </is>
      </c>
      <c r="G50" s="8647" t="inlineStr">
        <is>
          <t>N° de cupos Adultos</t>
        </is>
      </c>
      <c r="H50" s="8647" t="inlineStr">
        <is>
          <t>N° de cupos Salud Mental</t>
        </is>
      </c>
    </row>
    <row r="51">
      <c r="A51" s="3457" t="inlineStr">
        <is>
          <t>Número Cupos Programados</t>
        </is>
      </c>
      <c r="B51" s="3486">
        <f>SUM(C51+E51)</f>
        <v/>
      </c>
      <c r="C51" s="3487" t="n"/>
      <c r="D51" s="3488" t="n"/>
      <c r="E51" s="3489" t="n"/>
      <c r="F51" s="3490" t="n"/>
      <c r="G51" s="3487" t="n"/>
      <c r="H51" s="3487" t="n"/>
    </row>
    <row r="52">
      <c r="A52" s="3457" t="inlineStr">
        <is>
          <t>Número Cupos Utilizados</t>
        </is>
      </c>
      <c r="B52" s="3486">
        <f>SUM(C52)+E52</f>
        <v/>
      </c>
      <c r="C52" s="3487" t="n"/>
      <c r="D52" s="3488" t="n"/>
      <c r="E52" s="3489" t="n"/>
      <c r="F52" s="3490" t="n"/>
      <c r="G52" s="3487" t="n"/>
      <c r="H52" s="3487" t="n"/>
    </row>
    <row r="53">
      <c r="A53" s="3481" t="inlineStr">
        <is>
          <t>Número de Cupos Disponibles</t>
        </is>
      </c>
      <c r="B53" s="3491">
        <f>SUM(C53)+E53</f>
        <v/>
      </c>
      <c r="C53" s="3492" t="n"/>
      <c r="D53" s="3493" t="n"/>
      <c r="E53" s="3494" t="n"/>
      <c r="F53" s="3495" t="n"/>
      <c r="G53" s="3492" t="n"/>
      <c r="H53" s="3492" t="n"/>
    </row>
    <row r="54" ht="18" customHeight="1" s="8286">
      <c r="A54" s="3496" t="inlineStr">
        <is>
          <t xml:space="preserve">SECCIÓN C.2 ATENCIÓN VENTILATORIA EN DOMICILIO </t>
        </is>
      </c>
      <c r="B54" s="426" t="n"/>
    </row>
    <row r="55" ht="18" customFormat="1" customHeight="1" s="5">
      <c r="A55" s="3496" t="inlineStr">
        <is>
          <t>SECCIÓN C.2.1: ASISTENCIA VENTILATORIA Y OXÍGENO EN DOMICILIO</t>
        </is>
      </c>
      <c r="B55" s="427" t="n"/>
      <c r="C55" s="428" t="n"/>
      <c r="D55" s="428" t="n"/>
      <c r="E55" s="3497" t="n"/>
      <c r="F55" s="3497" t="n"/>
    </row>
    <row r="56" ht="31.5" customHeight="1" s="8286">
      <c r="A56" s="8649" t="inlineStr">
        <is>
          <t>TIPO DE ESTRATEGIA</t>
        </is>
      </c>
      <c r="B56" s="8649" t="inlineStr">
        <is>
          <t>TOTAL</t>
        </is>
      </c>
      <c r="C56" s="3452" t="inlineStr">
        <is>
          <t>0-9 años</t>
        </is>
      </c>
      <c r="D56" s="3499" t="inlineStr">
        <is>
          <t>10 - 19 años</t>
        </is>
      </c>
      <c r="E56" s="3454" t="inlineStr">
        <is>
          <t>20 y más años</t>
        </is>
      </c>
      <c r="F56" s="8661" t="inlineStr">
        <is>
          <t>N° de cupos Campaña de Invierno</t>
        </is>
      </c>
    </row>
    <row r="57">
      <c r="A57" s="3500" t="inlineStr">
        <is>
          <t>Estrategia de Asistencia Ventilatoria Invasiva en Domicilio</t>
        </is>
      </c>
      <c r="B57" s="3501">
        <f>SUM(C57:E57)</f>
        <v/>
      </c>
      <c r="C57" s="3502" t="n"/>
      <c r="D57" s="3503" t="n"/>
      <c r="E57" s="1940" t="n"/>
      <c r="F57" s="3490" t="n"/>
    </row>
    <row r="58">
      <c r="A58" s="3504" t="inlineStr">
        <is>
          <t>Estrategia de Asistencia Ventilatoria no Invasiva en Domicilio</t>
        </is>
      </c>
      <c r="B58" s="3505">
        <f>SUM(C58:E58)</f>
        <v/>
      </c>
      <c r="C58" s="3506" t="n"/>
      <c r="D58" s="3507" t="n"/>
      <c r="E58" s="3508" t="n"/>
      <c r="F58" s="3490" t="n"/>
    </row>
    <row r="59">
      <c r="A59" s="3239" t="inlineStr">
        <is>
          <t>Estrategia Oxígeno Domiciliario para pacientes Crónicos</t>
        </is>
      </c>
      <c r="B59" s="3509">
        <f>SUM(C59:E59)</f>
        <v/>
      </c>
      <c r="C59" s="3510" t="n"/>
      <c r="D59" s="1193" t="n"/>
      <c r="E59" s="3511" t="n"/>
      <c r="F59" s="3495" t="n"/>
    </row>
    <row r="60" ht="18" customFormat="1" customHeight="1" s="5">
      <c r="A60" s="3512" t="inlineStr">
        <is>
          <t>SECCIÓN C.2.2: INGRESOS Y EGRESOS AL PROGRAMA ASISTENCIA VENTILATORIA  EN DOMICILIO</t>
        </is>
      </c>
    </row>
    <row r="61" ht="18" customFormat="1" customHeight="1" s="5">
      <c r="A61" s="9278" t="inlineStr">
        <is>
          <t>ACTIVIDAD</t>
        </is>
      </c>
      <c r="B61" s="10369" t="inlineStr">
        <is>
          <t xml:space="preserve">INGRESOS </t>
        </is>
      </c>
      <c r="C61" s="9584" t="n"/>
      <c r="D61" s="9595" t="n"/>
      <c r="E61" s="9920" t="inlineStr">
        <is>
          <t xml:space="preserve">Número de egresos </t>
        </is>
      </c>
      <c r="F61" s="9240" t="inlineStr">
        <is>
          <t>Número de personas activas</t>
        </is>
      </c>
      <c r="G61" s="9240" t="inlineStr">
        <is>
          <t>Número de controles médicos</t>
        </is>
      </c>
    </row>
    <row r="62" ht="29.25" customHeight="1" s="8286">
      <c r="A62" s="9621" t="n"/>
      <c r="B62" s="3513" t="inlineStr">
        <is>
          <t>TOTAL
 (Ambos sexos)</t>
        </is>
      </c>
      <c r="C62" s="429" t="inlineStr">
        <is>
          <t>Hombres</t>
        </is>
      </c>
      <c r="D62" s="430" t="inlineStr">
        <is>
          <t>Mujeres</t>
        </is>
      </c>
      <c r="E62" s="9641" t="n"/>
      <c r="F62" s="9621" t="n"/>
      <c r="G62" s="9621" t="n"/>
    </row>
    <row r="63">
      <c r="A63" s="3514" t="inlineStr">
        <is>
          <t>Asistencia Ventilatoria Invasiva Infantil (AVI)</t>
        </is>
      </c>
      <c r="B63" s="3515">
        <f>SUM(C63:D63)</f>
        <v/>
      </c>
      <c r="C63" s="3516" t="n"/>
      <c r="D63" s="3517" t="n"/>
      <c r="E63" s="3518" t="n"/>
      <c r="F63" s="3519" t="n"/>
      <c r="G63" s="3520" t="n"/>
    </row>
    <row r="64">
      <c r="A64" s="3521" t="inlineStr">
        <is>
          <t>Asistencia Ventilatoria Invasiva Del Adulto (AVIA)</t>
        </is>
      </c>
      <c r="B64" s="3522">
        <f>SUM(C64:D64)</f>
        <v/>
      </c>
      <c r="C64" s="3523" t="n"/>
      <c r="D64" s="3524" t="n"/>
      <c r="E64" s="3525" t="n"/>
      <c r="F64" s="3526" t="n"/>
      <c r="G64" s="3527" t="n"/>
    </row>
    <row r="65">
      <c r="A65" s="3521" t="inlineStr">
        <is>
          <t>Asistencia Ventilatoria no Invasiva Infantil (AVNI)</t>
        </is>
      </c>
      <c r="B65" s="3522">
        <f>SUM(C65:D65)</f>
        <v/>
      </c>
      <c r="C65" s="3523" t="n"/>
      <c r="D65" s="3524" t="n"/>
      <c r="E65" s="3525" t="n"/>
      <c r="F65" s="3526" t="n"/>
      <c r="G65" s="3527" t="n"/>
    </row>
    <row r="66">
      <c r="A66" s="3521" t="inlineStr">
        <is>
          <t>Asistencia Ventilatoria no Invasiva Adulto (AVNIA)</t>
        </is>
      </c>
      <c r="B66" s="3522">
        <f>SUM(C66:D66)</f>
        <v/>
      </c>
      <c r="C66" s="3523" t="n"/>
      <c r="D66" s="3524" t="n"/>
      <c r="E66" s="3525" t="n"/>
      <c r="F66" s="3526" t="n"/>
      <c r="G66" s="3527" t="n"/>
    </row>
    <row r="67">
      <c r="A67" s="3521" t="inlineStr">
        <is>
          <t>Oxigenoterapia Ambulatorio Crónico Respiratorio Infantil</t>
        </is>
      </c>
      <c r="B67" s="3522">
        <f>SUM(C67:D67)</f>
        <v/>
      </c>
      <c r="C67" s="3523" t="n"/>
      <c r="D67" s="3524" t="n"/>
      <c r="E67" s="3525" t="n"/>
      <c r="F67" s="3526" t="n"/>
      <c r="G67" s="3527" t="n"/>
    </row>
    <row r="68">
      <c r="A68" s="3528" t="inlineStr">
        <is>
          <t>Oxigenoterapia Ambulatorio Crónico Respiratorio Adulto</t>
        </is>
      </c>
      <c r="B68" s="1354">
        <f>SUM(C68:D68)</f>
        <v/>
      </c>
      <c r="C68" s="3529" t="n"/>
      <c r="D68" s="1226" t="n"/>
      <c r="E68" s="1227" t="n"/>
      <c r="F68" s="1223" t="n"/>
      <c r="G68" s="1192" t="n"/>
    </row>
    <row r="69">
      <c r="A69" s="8710" t="inlineStr">
        <is>
          <t>TOTAL</t>
        </is>
      </c>
      <c r="B69" s="8543">
        <f>SUM(B63:B68)</f>
        <v/>
      </c>
      <c r="C69" s="3531">
        <f>SUM(C63:C68)</f>
        <v/>
      </c>
      <c r="D69" s="2542">
        <f>SUM(D63:D68)</f>
        <v/>
      </c>
      <c r="E69" s="2540">
        <f>SUM(E63:E68)</f>
        <v/>
      </c>
      <c r="F69" s="2669">
        <f>SUM(F63:F68)</f>
        <v/>
      </c>
      <c r="G69" s="3532">
        <f>SUM(G63:G68)</f>
        <v/>
      </c>
    </row>
    <row r="70">
      <c r="A70" s="431" t="inlineStr">
        <is>
          <t>SECCIÓN C.2.3: INGRESO PROGRAMA ASISTENCIA VENTILATORIA Y OXÍGENO EN DOMICILIO SEGÚN DIAGNÓSTICO</t>
        </is>
      </c>
    </row>
    <row r="71" ht="52.5" customHeight="1" s="8286">
      <c r="A71" s="432" t="inlineStr">
        <is>
          <t xml:space="preserve">CAUSAS DE INGRESO </t>
        </is>
      </c>
      <c r="B71" s="433" t="inlineStr">
        <is>
          <t>Asistencia Ventilatoria  Invasiva Infantil (AVI)</t>
        </is>
      </c>
      <c r="C71" s="434" t="inlineStr">
        <is>
          <t>Asistencia Ventilatoria  Invasiva Del Adulto (AVIA)</t>
        </is>
      </c>
      <c r="D71" s="435" t="inlineStr">
        <is>
          <t>Asistencia Ventilatoria no Invasiva Infantil (AVNI)</t>
        </is>
      </c>
      <c r="E71" s="435" t="inlineStr">
        <is>
          <t>Asistencia Ventilatoria no Invasiva Adulto (AVNIA)</t>
        </is>
      </c>
      <c r="F71" s="435" t="inlineStr">
        <is>
          <t>Oxigenoterapia Ambulatorio Crónico Respiratorio Infantil</t>
        </is>
      </c>
      <c r="G71" s="436" t="inlineStr">
        <is>
          <t>Oxigenoterapia Ambulatorio Crónico Respiratorio Adulto</t>
        </is>
      </c>
      <c r="H71" s="437" t="inlineStr">
        <is>
          <t>Pueblos originarios</t>
        </is>
      </c>
      <c r="I71" s="438" t="inlineStr">
        <is>
          <t xml:space="preserve">Migrantes </t>
        </is>
      </c>
    </row>
    <row r="72">
      <c r="A72" s="1978" t="inlineStr">
        <is>
          <t>Enfermedad neuromuscular</t>
        </is>
      </c>
      <c r="B72" s="3516" t="n"/>
      <c r="C72" s="3533" t="n"/>
      <c r="D72" s="874" t="n"/>
      <c r="E72" s="874" t="n"/>
      <c r="F72" s="874" t="n"/>
      <c r="G72" s="3534" t="n"/>
      <c r="H72" s="3490" t="n"/>
      <c r="I72" s="3535" t="n"/>
      <c r="AT72" s="5" t="n"/>
    </row>
    <row r="73">
      <c r="A73" s="3521" t="inlineStr">
        <is>
          <t>Daño pulmonar crónico</t>
        </is>
      </c>
      <c r="B73" s="3523" t="n"/>
      <c r="C73" s="3536" t="n"/>
      <c r="D73" s="3537" t="n"/>
      <c r="E73" s="3537" t="n"/>
      <c r="F73" s="3537" t="n"/>
      <c r="G73" s="3538" t="n"/>
      <c r="H73" s="3490" t="n"/>
      <c r="I73" s="3539" t="n"/>
    </row>
    <row r="74">
      <c r="A74" s="3521" t="inlineStr">
        <is>
          <t>Daño sistema nervioso central</t>
        </is>
      </c>
      <c r="B74" s="3523" t="n"/>
      <c r="C74" s="3536" t="n"/>
      <c r="D74" s="3537" t="n"/>
      <c r="E74" s="3537" t="n"/>
      <c r="F74" s="3537" t="n"/>
      <c r="G74" s="3538" t="n"/>
      <c r="H74" s="3490" t="n"/>
      <c r="I74" s="3539" t="n"/>
    </row>
    <row r="75">
      <c r="A75" s="3521" t="inlineStr">
        <is>
          <t>Sindrome genético</t>
        </is>
      </c>
      <c r="B75" s="3523" t="n"/>
      <c r="C75" s="3536" t="n"/>
      <c r="D75" s="3537" t="n"/>
      <c r="E75" s="3537" t="n"/>
      <c r="F75" s="3537" t="n"/>
      <c r="G75" s="3538" t="n"/>
      <c r="H75" s="3490" t="n"/>
      <c r="I75" s="3539" t="n"/>
    </row>
    <row r="76">
      <c r="A76" s="3528" t="inlineStr">
        <is>
          <t>Displasia Broncopulmonar</t>
        </is>
      </c>
      <c r="B76" s="3529" t="n"/>
      <c r="C76" s="875" t="n"/>
      <c r="D76" s="3540" t="n"/>
      <c r="E76" s="3540" t="n"/>
      <c r="F76" s="3540" t="n"/>
      <c r="G76" s="876" t="n"/>
      <c r="H76" s="3495" t="n"/>
      <c r="I76" s="3541" t="n"/>
    </row>
    <row r="77" ht="18" customFormat="1" customHeight="1" s="5">
      <c r="A77" s="10370" t="inlineStr">
        <is>
          <t>SECCIÓN D: APOYO PSICOSOCIAL EN NIÑOS, NIÑAS Y ADOLESCENTES HOSPITALIZADOS</t>
        </is>
      </c>
      <c r="B77" s="9628" t="n"/>
      <c r="C77" s="9628" t="n"/>
      <c r="D77" s="9628" t="n"/>
      <c r="E77" s="10371" t="n"/>
      <c r="F77" s="3542" t="n"/>
      <c r="G77" s="3542" t="n"/>
      <c r="H77" s="3542" t="n"/>
      <c r="I77" s="3542" t="n"/>
    </row>
    <row r="78" ht="18" customFormat="1" customHeight="1" s="5">
      <c r="A78" s="10372" t="inlineStr">
        <is>
          <t>CONCEPTO</t>
        </is>
      </c>
      <c r="B78" s="10373" t="inlineStr">
        <is>
          <t>INTERVENCIÓN</t>
        </is>
      </c>
      <c r="C78" s="10372" t="inlineStr">
        <is>
          <t>TOTAL</t>
        </is>
      </c>
      <c r="D78" s="10374" t="inlineStr">
        <is>
          <t>RANGO ETARIO</t>
        </is>
      </c>
      <c r="E78" s="9584" t="n"/>
      <c r="F78" s="9584" t="n"/>
      <c r="G78" s="9584" t="n"/>
      <c r="H78" s="9584" t="n"/>
      <c r="I78" s="9582" t="n"/>
    </row>
    <row r="79" ht="24.75" customHeight="1" s="8286">
      <c r="A79" s="9591" t="n"/>
      <c r="B79" s="9621" t="n"/>
      <c r="C79" s="9591" t="n"/>
      <c r="D79" s="3543" t="inlineStr">
        <is>
          <t>Hasta 28 días</t>
        </is>
      </c>
      <c r="E79" s="3544" t="inlineStr">
        <is>
          <t xml:space="preserve">29 días hasta menor de 1 año </t>
        </is>
      </c>
      <c r="F79" s="3545" t="inlineStr">
        <is>
          <t>1 - 4 años</t>
        </is>
      </c>
      <c r="G79" s="3545" t="inlineStr">
        <is>
          <t>5 - 9 años</t>
        </is>
      </c>
      <c r="H79" s="3545" t="inlineStr">
        <is>
          <t>10 - 14 años</t>
        </is>
      </c>
      <c r="I79" s="3546" t="inlineStr">
        <is>
          <t>15 - 19 años</t>
        </is>
      </c>
    </row>
    <row r="80">
      <c r="A80" s="10375" t="inlineStr">
        <is>
          <t>TOTAL DE EGRESOS (en el período)</t>
        </is>
      </c>
      <c r="B80" s="9582" t="n"/>
      <c r="C80" s="3547">
        <f>SUM(D80:I80)</f>
        <v/>
      </c>
      <c r="D80" s="3548" t="n"/>
      <c r="E80" s="3549" t="n"/>
      <c r="F80" s="3549" t="n"/>
      <c r="G80" s="3549" t="n"/>
      <c r="H80" s="3549" t="n"/>
      <c r="I80" s="3550" t="n"/>
    </row>
    <row r="81" ht="24.95" customHeight="1" s="8286">
      <c r="A81" s="10376" t="inlineStr">
        <is>
          <t>Egresados con Apoyo Psicosocial (en el período)</t>
        </is>
      </c>
      <c r="B81" s="3551" t="inlineStr">
        <is>
          <t>Intervención Psicosocial</t>
        </is>
      </c>
      <c r="C81" s="3552">
        <f>SUM(D81:I81)</f>
        <v/>
      </c>
      <c r="D81" s="3458" t="n"/>
      <c r="E81" s="807" t="n"/>
      <c r="F81" s="807" t="n"/>
      <c r="G81" s="807" t="n"/>
      <c r="H81" s="807" t="n"/>
      <c r="I81" s="3459" t="n"/>
    </row>
    <row r="82" ht="24.95" customHeight="1" s="8286">
      <c r="A82" s="9589" t="n"/>
      <c r="B82" s="439" t="inlineStr">
        <is>
          <t>Estimulación del Desarrollo</t>
        </is>
      </c>
      <c r="C82" s="705">
        <f>SUM(D82:I82)</f>
        <v/>
      </c>
      <c r="D82" s="667" t="n"/>
      <c r="E82" s="440" t="n"/>
      <c r="F82" s="440" t="n"/>
      <c r="G82" s="440" t="n"/>
      <c r="H82" s="440" t="n"/>
      <c r="I82" s="3553" t="n"/>
    </row>
    <row r="83" ht="24.95" customHeight="1" s="8286">
      <c r="A83" s="10376" t="inlineStr">
        <is>
          <t>Nº de Atenciones (en el mes)</t>
        </is>
      </c>
      <c r="B83" s="3551" t="inlineStr">
        <is>
          <t>Intervención Psicosocial</t>
        </is>
      </c>
      <c r="C83" s="3552">
        <f>SUM(D83:I83)</f>
        <v/>
      </c>
      <c r="D83" s="3554" t="n"/>
      <c r="E83" s="851" t="n"/>
      <c r="F83" s="851" t="n"/>
      <c r="G83" s="851" t="n"/>
      <c r="H83" s="851" t="n"/>
      <c r="I83" s="3555" t="n"/>
    </row>
    <row r="84" ht="24.95" customHeight="1" s="8286">
      <c r="A84" s="9589" t="n"/>
      <c r="B84" s="3556" t="inlineStr">
        <is>
          <t>Estimulación del Desarrollo</t>
        </is>
      </c>
      <c r="C84" s="3557">
        <f>SUM(D84:I84)</f>
        <v/>
      </c>
      <c r="D84" s="3558" t="n"/>
      <c r="E84" s="3559" t="n"/>
      <c r="F84" s="3559" t="n"/>
      <c r="G84" s="3559" t="n"/>
      <c r="H84" s="3559" t="n"/>
      <c r="I84" s="1116" t="n"/>
    </row>
    <row r="85" ht="18" customFormat="1" customHeight="1" s="5">
      <c r="A85" s="3496" t="inlineStr">
        <is>
          <t>SECCIÓN E: GESTIÓN DE PROCESOS DE PACIENTES QUIRÚRGICOS CON CIRUGÍA ELECTIVA</t>
        </is>
      </c>
      <c r="B85" s="3483" t="n"/>
      <c r="C85" s="3483" t="n"/>
      <c r="D85" s="3480" t="n"/>
      <c r="E85" s="3480" t="n"/>
      <c r="F85" s="3480" t="n"/>
      <c r="G85" s="3480" t="n"/>
      <c r="H85" s="3560" t="n"/>
      <c r="I85" s="3560" t="n"/>
    </row>
    <row r="86" ht="15" customHeight="1" s="8286">
      <c r="A86" s="10377" t="inlineStr">
        <is>
          <t>ESPECIALIDAD</t>
        </is>
      </c>
      <c r="B86" s="10378" t="inlineStr">
        <is>
          <t>DÍAS DE ESTADA PREQUIRÚRGICOS</t>
        </is>
      </c>
      <c r="C86" s="9630" t="n"/>
      <c r="D86" s="10378" t="inlineStr">
        <is>
          <t>PACIENTES INTERVENIDOS</t>
        </is>
      </c>
      <c r="E86" s="9630" t="n"/>
      <c r="F86" s="10360" t="inlineStr">
        <is>
          <t>HORARIO HÁBIL</t>
        </is>
      </c>
      <c r="G86" s="9584" t="n"/>
      <c r="H86" s="9584" t="n"/>
      <c r="I86" s="9582" t="n"/>
      <c r="J86" s="10360" t="inlineStr">
        <is>
          <t>INHABIL DE LUNES A VIERNES</t>
        </is>
      </c>
      <c r="K86" s="9584" t="n"/>
      <c r="L86" s="9584" t="n"/>
      <c r="M86" s="9582" t="n"/>
      <c r="N86" s="10360" t="inlineStr">
        <is>
          <t>SÁBADO, DOMINGO Y FESTIVO</t>
        </is>
      </c>
      <c r="O86" s="9584" t="n"/>
      <c r="P86" s="9584" t="n"/>
      <c r="Q86" s="9582" t="n"/>
    </row>
    <row r="87" ht="15" customHeight="1" s="8286">
      <c r="A87" s="9625" t="n"/>
      <c r="B87" s="9638" t="n"/>
      <c r="C87" s="9639" t="n"/>
      <c r="D87" s="9638" t="n"/>
      <c r="E87" s="9639" t="n"/>
      <c r="F87" s="10360" t="inlineStr">
        <is>
          <t>Pacientes Programados</t>
        </is>
      </c>
      <c r="G87" s="9582" t="n"/>
      <c r="H87" s="10360" t="inlineStr">
        <is>
          <t>Pacientes Suspendidos</t>
        </is>
      </c>
      <c r="I87" s="9582" t="n"/>
      <c r="J87" s="10360" t="inlineStr">
        <is>
          <t>Pacientes Programados</t>
        </is>
      </c>
      <c r="K87" s="9582" t="n"/>
      <c r="L87" s="10360" t="inlineStr">
        <is>
          <t>Pacientes Suspendidos</t>
        </is>
      </c>
      <c r="M87" s="9582" t="n"/>
      <c r="N87" s="10360" t="inlineStr">
        <is>
          <t>Pacientes Programados</t>
        </is>
      </c>
      <c r="O87" s="9582" t="n"/>
      <c r="P87" s="10360" t="inlineStr">
        <is>
          <t>Pacientes Suspendidos</t>
        </is>
      </c>
      <c r="Q87" s="9582" t="n"/>
    </row>
    <row r="88" ht="27.75" customHeight="1" s="8286">
      <c r="A88" s="9641" t="n"/>
      <c r="B88" s="3452" t="inlineStr">
        <is>
          <t>Menor de 15 años</t>
        </is>
      </c>
      <c r="C88" s="8660" t="inlineStr">
        <is>
          <t>15 y más años</t>
        </is>
      </c>
      <c r="D88" s="3452" t="inlineStr">
        <is>
          <t>Menor de 15 años</t>
        </is>
      </c>
      <c r="E88" s="8660" t="inlineStr">
        <is>
          <t>15 y más años</t>
        </is>
      </c>
      <c r="F88" s="3452" t="inlineStr">
        <is>
          <t>Menor de 15 años</t>
        </is>
      </c>
      <c r="G88" s="8660" t="inlineStr">
        <is>
          <t>15 y más años</t>
        </is>
      </c>
      <c r="H88" s="3452" t="inlineStr">
        <is>
          <t>Menor de 15 años</t>
        </is>
      </c>
      <c r="I88" s="3561" t="inlineStr">
        <is>
          <t>15 y más años</t>
        </is>
      </c>
      <c r="J88" s="3452" t="inlineStr">
        <is>
          <t>Menor de 15 años</t>
        </is>
      </c>
      <c r="K88" s="8660" t="inlineStr">
        <is>
          <t>15 y más años</t>
        </is>
      </c>
      <c r="L88" s="3452" t="inlineStr">
        <is>
          <t>Menor de 15 años</t>
        </is>
      </c>
      <c r="M88" s="3561" t="inlineStr">
        <is>
          <t>15 y más años</t>
        </is>
      </c>
      <c r="N88" s="3452" t="inlineStr">
        <is>
          <t>Menor de 15 años</t>
        </is>
      </c>
      <c r="O88" s="8660" t="inlineStr">
        <is>
          <t>15 y más años</t>
        </is>
      </c>
      <c r="P88" s="3452" t="inlineStr">
        <is>
          <t>Menor de 15 años</t>
        </is>
      </c>
      <c r="Q88" s="3561" t="inlineStr">
        <is>
          <t>15 y más años</t>
        </is>
      </c>
    </row>
    <row r="89">
      <c r="A89" s="3562" t="inlineStr">
        <is>
          <t>Cirugía General</t>
        </is>
      </c>
      <c r="B89" s="3458" t="n"/>
      <c r="C89" s="3459" t="n"/>
      <c r="D89" s="3458" t="n"/>
      <c r="E89" s="3459" t="n"/>
      <c r="F89" s="3563" t="n"/>
      <c r="G89" s="3490" t="n"/>
      <c r="H89" s="3563" t="n"/>
      <c r="I89" s="3490" t="n"/>
      <c r="J89" s="3563" t="n"/>
      <c r="K89" s="3490" t="n"/>
      <c r="L89" s="3563" t="n"/>
      <c r="M89" s="3490" t="n"/>
      <c r="N89" s="3563" t="n"/>
      <c r="O89" s="3490" t="n"/>
      <c r="P89" s="3563" t="n"/>
      <c r="Q89" s="3490" t="n"/>
      <c r="R89">
        <f>AW89&amp;AX89&amp;AY89</f>
        <v/>
      </c>
      <c r="AW89" s="923">
        <f>IF((D89+E89)&lt;((F89+G89)-(H89+I89)),"* La suma de "&amp;D$86&amp;""&amp;" debe ser mayor o igual a la Diferencia de "&amp;F$87&amp;""&amp;" menos Pacientes Suspendidos","")</f>
        <v/>
      </c>
      <c r="BF89" s="221">
        <f>IF((D89+E89)&lt;((F89+G89)-(H89+I89)),1,0)</f>
        <v/>
      </c>
    </row>
    <row r="90">
      <c r="A90" s="3564" t="inlineStr">
        <is>
          <t>Cirugía Cardiovascular</t>
        </is>
      </c>
      <c r="B90" s="3565" t="n"/>
      <c r="C90" s="3566" t="n"/>
      <c r="D90" s="3565" t="n"/>
      <c r="E90" s="3566" t="n"/>
      <c r="F90" s="3567" t="n"/>
      <c r="G90" s="3568" t="n"/>
      <c r="H90" s="3567" t="n"/>
      <c r="I90" s="3568" t="n"/>
      <c r="J90" s="3567" t="n"/>
      <c r="K90" s="3568" t="n"/>
      <c r="L90" s="3567" t="n"/>
      <c r="M90" s="3568" t="n"/>
      <c r="N90" s="3567" t="n"/>
      <c r="O90" s="3568" t="n"/>
      <c r="P90" s="3567" t="n"/>
      <c r="Q90" s="3568" t="n"/>
      <c r="R90">
        <f>AW90&amp;AX90&amp;AY90</f>
        <v/>
      </c>
      <c r="AW90" s="923">
        <f>IF((D90+E90)&lt;((F90+G90)-(H90+I90)),"* La suma de "&amp;D$86&amp;""&amp;" debe ser mayor o igual a la Diferencia de "&amp;F$87&amp;""&amp;" menos Pacientes Suspendidos","")</f>
        <v/>
      </c>
      <c r="BF90" s="221">
        <f>IF((D90+E90)&lt;((F90+G90)-(H90+I90)),1,0)</f>
        <v/>
      </c>
    </row>
    <row r="91">
      <c r="A91" s="3564" t="inlineStr">
        <is>
          <t>Cirugía Maxilofacial</t>
        </is>
      </c>
      <c r="B91" s="3565" t="n"/>
      <c r="C91" s="3566" t="n"/>
      <c r="D91" s="3565" t="n"/>
      <c r="E91" s="3566" t="n"/>
      <c r="F91" s="3567" t="n"/>
      <c r="G91" s="3568" t="n"/>
      <c r="H91" s="3567" t="n"/>
      <c r="I91" s="3568" t="n"/>
      <c r="J91" s="3567" t="n"/>
      <c r="K91" s="3568" t="n"/>
      <c r="L91" s="3567" t="n"/>
      <c r="M91" s="3568" t="n"/>
      <c r="N91" s="3567" t="n"/>
      <c r="O91" s="3568" t="n"/>
      <c r="P91" s="3567" t="n"/>
      <c r="Q91" s="3568" t="n"/>
      <c r="R91">
        <f>AW91&amp;AX91&amp;AY91</f>
        <v/>
      </c>
      <c r="AW91" s="923">
        <f>IF((D91+E91)&lt;((F91+G91)-(H91+I91)),"* La suma de "&amp;D$86&amp;""&amp;" debe ser mayor o igual a la Diferencia de "&amp;F$87&amp;""&amp;" menos Pacientes Suspendidos","")</f>
        <v/>
      </c>
      <c r="BF91" s="221">
        <f>IF((D91+E91)&lt;((F91+G91)-(H91+I91)),1,0)</f>
        <v/>
      </c>
    </row>
    <row r="92">
      <c r="A92" s="3564" t="inlineStr">
        <is>
          <t>Cirugía Tórax</t>
        </is>
      </c>
      <c r="B92" s="3565" t="n"/>
      <c r="C92" s="3566" t="n"/>
      <c r="D92" s="3565" t="n"/>
      <c r="E92" s="3566" t="n"/>
      <c r="F92" s="3567" t="n"/>
      <c r="G92" s="3568" t="n"/>
      <c r="H92" s="3567" t="n"/>
      <c r="I92" s="3568" t="n"/>
      <c r="J92" s="3567" t="n"/>
      <c r="K92" s="3568" t="n"/>
      <c r="L92" s="3567" t="n"/>
      <c r="M92" s="3568" t="n"/>
      <c r="N92" s="3567" t="n"/>
      <c r="O92" s="3568" t="n"/>
      <c r="P92" s="3567" t="n"/>
      <c r="Q92" s="3568" t="n"/>
      <c r="R92">
        <f>AW92&amp;AX92&amp;AY92</f>
        <v/>
      </c>
      <c r="AW92" s="923">
        <f>IF((D92+E92)&lt;((F92+G92)-(H92+I92)),"* La suma de "&amp;D$86&amp;""&amp;" debe ser mayor o igual a la Diferencia de "&amp;F$87&amp;""&amp;" menos Pacientes Suspendidos","")</f>
        <v/>
      </c>
      <c r="BF92" s="221">
        <f>IF((D92+E92)&lt;((F92+G92)-(H92+I92)),1,0)</f>
        <v/>
      </c>
    </row>
    <row r="93">
      <c r="A93" s="3564" t="inlineStr">
        <is>
          <t>Traumatología</t>
        </is>
      </c>
      <c r="B93" s="3565" t="n"/>
      <c r="C93" s="3566" t="n"/>
      <c r="D93" s="3565" t="n"/>
      <c r="E93" s="3566" t="n"/>
      <c r="F93" s="3567" t="n"/>
      <c r="G93" s="3568" t="n"/>
      <c r="H93" s="3567" t="n"/>
      <c r="I93" s="3568" t="n"/>
      <c r="J93" s="3567" t="n"/>
      <c r="K93" s="3568" t="n"/>
      <c r="L93" s="3567" t="n"/>
      <c r="M93" s="3568" t="n"/>
      <c r="N93" s="3567" t="n"/>
      <c r="O93" s="3568" t="n"/>
      <c r="P93" s="3567" t="n"/>
      <c r="Q93" s="3568" t="n"/>
      <c r="R93">
        <f>AW93&amp;AX93&amp;AY93</f>
        <v/>
      </c>
      <c r="AW93" s="923">
        <f>IF((D93+E93)&lt;((F93+G93)-(H93+I93)),"* La suma de "&amp;D$86&amp;""&amp;" debe ser mayor o igual a la Diferencia de "&amp;F$87&amp;""&amp;" menos Pacientes Suspendidos","")</f>
        <v/>
      </c>
      <c r="BF93" s="221">
        <f>IF((D93+E93)&lt;((F93+G93)-(H93+I93)),1,0)</f>
        <v/>
      </c>
    </row>
    <row r="94">
      <c r="A94" s="3564" t="inlineStr">
        <is>
          <t>Neurocirugía</t>
        </is>
      </c>
      <c r="B94" s="3565" t="n"/>
      <c r="C94" s="3566" t="n"/>
      <c r="D94" s="3565" t="n"/>
      <c r="E94" s="3566" t="n"/>
      <c r="F94" s="3567" t="n"/>
      <c r="G94" s="3568" t="n"/>
      <c r="H94" s="3567" t="n"/>
      <c r="I94" s="3568" t="n"/>
      <c r="J94" s="3567" t="n"/>
      <c r="K94" s="3568" t="n"/>
      <c r="L94" s="3567" t="n"/>
      <c r="M94" s="3568" t="n"/>
      <c r="N94" s="3567" t="n"/>
      <c r="O94" s="3568" t="n"/>
      <c r="P94" s="3567" t="n"/>
      <c r="Q94" s="3568" t="n"/>
      <c r="R94">
        <f>AW94&amp;AX94&amp;AY94</f>
        <v/>
      </c>
      <c r="AW94" s="923">
        <f>IF((D94+E94)&lt;((F94+G94)-(H94+I94)),"* La suma de "&amp;D$86&amp;""&amp;" debe ser mayor o igual a la Diferencia de "&amp;F$87&amp;""&amp;" menos Pacientes Suspendidos","")</f>
        <v/>
      </c>
      <c r="BF94" s="221">
        <f>IF((D94+E94)&lt;((F94+G94)-(H94+I94)),1,0)</f>
        <v/>
      </c>
    </row>
    <row r="95">
      <c r="A95" s="3564" t="inlineStr">
        <is>
          <t>Otorrinolaringología</t>
        </is>
      </c>
      <c r="B95" s="3565" t="n"/>
      <c r="C95" s="3566" t="n"/>
      <c r="D95" s="3565" t="n"/>
      <c r="E95" s="3566" t="n"/>
      <c r="F95" s="3567" t="n"/>
      <c r="G95" s="3568" t="n"/>
      <c r="H95" s="3567" t="n"/>
      <c r="I95" s="3568" t="n"/>
      <c r="J95" s="3567" t="n"/>
      <c r="K95" s="3568" t="n"/>
      <c r="L95" s="3567" t="n"/>
      <c r="M95" s="3568" t="n"/>
      <c r="N95" s="3567" t="n"/>
      <c r="O95" s="3568" t="n"/>
      <c r="P95" s="3567" t="n"/>
      <c r="Q95" s="3568" t="n"/>
      <c r="R95">
        <f>AW95&amp;AX95&amp;AY95</f>
        <v/>
      </c>
      <c r="AW95" s="923">
        <f>IF((D95+E95)&lt;((F95+G95)-(H95+I95)),"* La suma de "&amp;D$86&amp;""&amp;" debe ser mayor o igual a la Diferencia de "&amp;F$87&amp;""&amp;" menos Pacientes Suspendidos","")</f>
        <v/>
      </c>
      <c r="BF95" s="221">
        <f>IF((D95+E95)&lt;((F95+G95)-(H95+I95)),1,0)</f>
        <v/>
      </c>
    </row>
    <row r="96">
      <c r="A96" s="3564" t="inlineStr">
        <is>
          <t>Oftalmología</t>
        </is>
      </c>
      <c r="B96" s="3565" t="n"/>
      <c r="C96" s="3566" t="n"/>
      <c r="D96" s="3565" t="n"/>
      <c r="E96" s="3566" t="n"/>
      <c r="F96" s="3567" t="n"/>
      <c r="G96" s="3568" t="n"/>
      <c r="H96" s="3567" t="n"/>
      <c r="I96" s="3568" t="n"/>
      <c r="J96" s="3567" t="n"/>
      <c r="K96" s="3568" t="n"/>
      <c r="L96" s="3567" t="n"/>
      <c r="M96" s="3568" t="n"/>
      <c r="N96" s="3567" t="n"/>
      <c r="O96" s="3568" t="n"/>
      <c r="P96" s="3567" t="n"/>
      <c r="Q96" s="3568" t="n"/>
      <c r="R96">
        <f>AW96&amp;AX96&amp;AY96</f>
        <v/>
      </c>
      <c r="AW96" s="923">
        <f>IF((D96+E96)&lt;((F96+G96)-(H96+I96)),"* La suma de "&amp;D$86&amp;""&amp;" debe ser mayor o igual a la Diferencia de "&amp;F$87&amp;""&amp;" menos Pacientes Suspendidos","")</f>
        <v/>
      </c>
      <c r="BF96" s="221">
        <f>IF((D96+E96)&lt;((F96+G96)-(H96+I96)),1,0)</f>
        <v/>
      </c>
    </row>
    <row r="97">
      <c r="A97" s="3564" t="inlineStr">
        <is>
          <t>Obstetricia Y Ginecología</t>
        </is>
      </c>
      <c r="B97" s="3565" t="n"/>
      <c r="C97" s="3566" t="n"/>
      <c r="D97" s="3565" t="n"/>
      <c r="E97" s="3566" t="n"/>
      <c r="F97" s="3567" t="n"/>
      <c r="G97" s="3568" t="n"/>
      <c r="H97" s="3567" t="n"/>
      <c r="I97" s="3568" t="n"/>
      <c r="J97" s="3567" t="n"/>
      <c r="K97" s="3568" t="n"/>
      <c r="L97" s="3567" t="n"/>
      <c r="M97" s="3568" t="n"/>
      <c r="N97" s="3567" t="n"/>
      <c r="O97" s="3568" t="n"/>
      <c r="P97" s="3567" t="n"/>
      <c r="Q97" s="3568" t="n"/>
      <c r="R97">
        <f>AW97&amp;AX97&amp;AY97</f>
        <v/>
      </c>
      <c r="AW97" s="923">
        <f>IF((D97+E97)&lt;((F97+G97)-(H97+I97)),"* La suma de "&amp;D$86&amp;""&amp;" debe ser mayor o igual a la Diferencia de "&amp;F$87&amp;""&amp;" menos Pacientes Suspendidos","")</f>
        <v/>
      </c>
      <c r="BF97" s="221">
        <f>IF((D97+E97)&lt;((F97+G97)-(H97+I97)),1,0)</f>
        <v/>
      </c>
    </row>
    <row r="98">
      <c r="A98" s="3564" t="inlineStr">
        <is>
          <t>Ginecología</t>
        </is>
      </c>
      <c r="B98" s="3565" t="n"/>
      <c r="C98" s="3566" t="n"/>
      <c r="D98" s="3565" t="n"/>
      <c r="E98" s="3566" t="n"/>
      <c r="F98" s="3567" t="n"/>
      <c r="G98" s="3568" t="n"/>
      <c r="H98" s="3567" t="n"/>
      <c r="I98" s="3568" t="n"/>
      <c r="J98" s="3567" t="n"/>
      <c r="K98" s="3568" t="n"/>
      <c r="L98" s="3567" t="n"/>
      <c r="M98" s="3568" t="n"/>
      <c r="N98" s="3567" t="n"/>
      <c r="O98" s="3568" t="n"/>
      <c r="P98" s="3567" t="n"/>
      <c r="Q98" s="3568" t="n"/>
      <c r="R98">
        <f>AW98&amp;AX98&amp;AY98</f>
        <v/>
      </c>
      <c r="AW98" s="923">
        <f>IF((D98+E98)&lt;((F98+G98)-(H98+I98)),"* La suma de "&amp;D$86&amp;""&amp;" debe ser mayor o igual a la Diferencia de "&amp;F$87&amp;""&amp;" menos Pacientes Suspendidos","")</f>
        <v/>
      </c>
      <c r="BF98" s="221">
        <f>IF((D98+E98)&lt;((F98+G98)-(H98+I98)),1,0)</f>
        <v/>
      </c>
    </row>
    <row r="99">
      <c r="A99" s="3564" t="inlineStr">
        <is>
          <t>Urología</t>
        </is>
      </c>
      <c r="B99" s="3565" t="n"/>
      <c r="C99" s="3566" t="n"/>
      <c r="D99" s="3565" t="n"/>
      <c r="E99" s="3566" t="n"/>
      <c r="F99" s="3567" t="n"/>
      <c r="G99" s="3568" t="n"/>
      <c r="H99" s="3567" t="n"/>
      <c r="I99" s="3568" t="n"/>
      <c r="J99" s="3567" t="n"/>
      <c r="K99" s="3568" t="n"/>
      <c r="L99" s="3567" t="n"/>
      <c r="M99" s="3568" t="n"/>
      <c r="N99" s="3567" t="n"/>
      <c r="O99" s="3568" t="n"/>
      <c r="P99" s="3567" t="n"/>
      <c r="Q99" s="3568" t="n"/>
      <c r="R99">
        <f>AW99&amp;AX99&amp;AY99</f>
        <v/>
      </c>
      <c r="AW99" s="923">
        <f>IF((D99+E99)&lt;((F99+G99)-(H99+I99)),"* La suma de "&amp;D$86&amp;""&amp;" debe ser mayor o igual a la Diferencia de "&amp;F$87&amp;""&amp;" menos Pacientes Suspendidos","")</f>
        <v/>
      </c>
      <c r="BF99" s="221">
        <f>IF((D99+E99)&lt;((F99+G99)-(H99+I99)),1,0)</f>
        <v/>
      </c>
    </row>
    <row r="100">
      <c r="A100" s="3564" t="inlineStr">
        <is>
          <t>Otras Especialidades</t>
        </is>
      </c>
      <c r="B100" s="3565" t="n"/>
      <c r="C100" s="3566" t="n"/>
      <c r="D100" s="3565" t="n"/>
      <c r="E100" s="3566" t="n"/>
      <c r="F100" s="3567" t="n"/>
      <c r="G100" s="3568" t="n"/>
      <c r="H100" s="3567" t="n"/>
      <c r="I100" s="3568" t="n"/>
      <c r="J100" s="3567" t="n"/>
      <c r="K100" s="3568" t="n"/>
      <c r="L100" s="3567" t="n"/>
      <c r="M100" s="3568" t="n"/>
      <c r="N100" s="3567" t="n"/>
      <c r="O100" s="3568" t="n"/>
      <c r="P100" s="3567" t="n"/>
      <c r="Q100" s="3568" t="n"/>
      <c r="R100">
        <f>AW100&amp;AX100&amp;AY100</f>
        <v/>
      </c>
      <c r="AW100" s="923">
        <f>IF((D100+E100)&lt;((F100+G100)-(H100+I100)),"* La suma de "&amp;D$86&amp;""&amp;" debe ser mayor o igual a la Diferencia de "&amp;F$87&amp;""&amp;" menos Pacientes Suspendidos","")</f>
        <v/>
      </c>
      <c r="BF100" s="221">
        <f>IF((D100+E100)&lt;((F100+G100)-(H100+I100)),1,0)</f>
        <v/>
      </c>
    </row>
    <row r="101">
      <c r="A101" s="3564" t="inlineStr">
        <is>
          <t>Odontología</t>
        </is>
      </c>
      <c r="B101" s="3565" t="n"/>
      <c r="C101" s="3566" t="n"/>
      <c r="D101" s="3565" t="n"/>
      <c r="E101" s="3566" t="n"/>
      <c r="F101" s="3567" t="n"/>
      <c r="G101" s="3568" t="n"/>
      <c r="H101" s="3567" t="n"/>
      <c r="I101" s="3568" t="n"/>
      <c r="J101" s="3567" t="n"/>
      <c r="K101" s="3568" t="n"/>
      <c r="L101" s="3567" t="n"/>
      <c r="M101" s="3568" t="n"/>
      <c r="N101" s="3567" t="n"/>
      <c r="O101" s="3568" t="n"/>
      <c r="P101" s="3567" t="n"/>
      <c r="Q101" s="3568" t="n"/>
      <c r="R101">
        <f>AW101&amp;AX101&amp;AY101</f>
        <v/>
      </c>
      <c r="AW101" s="923">
        <f>IF((D101+E101)&lt;((F101+G101)-(H101+I101)),"* La suma de "&amp;D$86&amp;""&amp;" debe ser mayor o igual a la Diferencia de "&amp;F$87&amp;""&amp;" menos Pacientes Suspendidos","")</f>
        <v/>
      </c>
      <c r="BF101" s="221">
        <f>IF((D101+E101)&lt;((F101+G101)-(H101+I101)),1,0)</f>
        <v/>
      </c>
    </row>
    <row r="102">
      <c r="A102" s="3569" t="inlineStr">
        <is>
          <t>TOTAL</t>
        </is>
      </c>
      <c r="B102" s="3570">
        <f>SUM(B89:B101)</f>
        <v/>
      </c>
      <c r="C102" s="3571">
        <f>SUM(C89:C101)</f>
        <v/>
      </c>
      <c r="D102" s="3570">
        <f>SUM(D89:D101)</f>
        <v/>
      </c>
      <c r="E102" s="3571">
        <f>SUM(E89:E101)</f>
        <v/>
      </c>
      <c r="F102" s="3570">
        <f>SUM(F89:F101)</f>
        <v/>
      </c>
      <c r="G102" s="3571">
        <f>SUM(G89:G101)</f>
        <v/>
      </c>
      <c r="H102" s="3570">
        <f>SUM(H89:H101)</f>
        <v/>
      </c>
      <c r="I102" s="3572">
        <f>SUM(I89:I101)</f>
        <v/>
      </c>
      <c r="J102" s="3570">
        <f>SUM(J89:J101)</f>
        <v/>
      </c>
      <c r="K102" s="3571">
        <f>SUM(K89:K101)</f>
        <v/>
      </c>
      <c r="L102" s="3570">
        <f>SUM(L89:L101)</f>
        <v/>
      </c>
      <c r="M102" s="3572">
        <f>SUM(M89:M101)</f>
        <v/>
      </c>
      <c r="N102" s="3570">
        <f>SUM(N89:N101)</f>
        <v/>
      </c>
      <c r="O102" s="3571">
        <f>SUM(O89:O101)</f>
        <v/>
      </c>
      <c r="P102" s="3570">
        <f>SUM(P89:P101)</f>
        <v/>
      </c>
      <c r="Q102" s="3572">
        <f>SUM(Q89:Q101)</f>
        <v/>
      </c>
    </row>
    <row r="103" ht="18" customFormat="1" customHeight="1" s="5">
      <c r="A103" s="10379" t="inlineStr">
        <is>
          <t>SECCIÓN F: CAUSAS DE SUSPENSIÓN DE CIRUGÍAS ELECTIVAS</t>
        </is>
      </c>
      <c r="B103" s="9617" t="n"/>
      <c r="C103" s="9617" t="n"/>
      <c r="D103" s="9617" t="n"/>
      <c r="E103" s="9617" t="n"/>
      <c r="F103" s="9617" t="n"/>
      <c r="G103" s="9617" t="n"/>
    </row>
    <row r="104">
      <c r="A104" s="10380" t="inlineStr">
        <is>
          <t xml:space="preserve">CAUSAS DE SUSPENSIÓN ATRIBUIBLES A:
</t>
        </is>
      </c>
      <c r="B104" s="10360" t="inlineStr">
        <is>
          <t>Nº DE PERSONAS</t>
        </is>
      </c>
      <c r="C104" s="9584" t="n"/>
      <c r="D104" s="9584" t="n"/>
      <c r="E104" s="9584" t="n"/>
      <c r="F104" s="9584" t="n"/>
      <c r="G104" s="9582" t="n"/>
    </row>
    <row r="105">
      <c r="A105" s="9589" t="n"/>
      <c r="B105" s="8649" t="inlineStr">
        <is>
          <t>TOTALES</t>
        </is>
      </c>
      <c r="C105" s="3452" t="inlineStr">
        <is>
          <t>Menor de 15 años</t>
        </is>
      </c>
      <c r="D105" s="8702" t="inlineStr">
        <is>
          <t>15 y más años</t>
        </is>
      </c>
      <c r="E105" s="3499" t="inlineStr">
        <is>
          <t>Beneficiarios MAI</t>
        </is>
      </c>
      <c r="F105" s="3561" t="inlineStr">
        <is>
          <t>Beneficiarios MLE</t>
        </is>
      </c>
      <c r="G105" s="3561" t="inlineStr">
        <is>
          <t>Otros</t>
        </is>
      </c>
    </row>
    <row r="106">
      <c r="A106" s="3562" t="inlineStr">
        <is>
          <t>Paciente</t>
        </is>
      </c>
      <c r="B106" s="3438">
        <f>SUM(C106+D106)</f>
        <v/>
      </c>
      <c r="C106" s="3563" t="n"/>
      <c r="D106" s="3573" t="n"/>
      <c r="E106" s="3574" t="n"/>
      <c r="F106" s="769" t="n"/>
      <c r="G106" s="769" t="n"/>
      <c r="H106">
        <f>AW106</f>
        <v/>
      </c>
      <c r="AW106" s="923">
        <f>IF(SUM(E106:G106)&lt;&gt;B106,"* La Suma de los Beneficiarios MAI, MLE y Otros debe ser igual al Total.","")</f>
        <v/>
      </c>
      <c r="BF106" s="252">
        <f>IF(SUM(E106:G106)&lt;&gt;B106,1,0)</f>
        <v/>
      </c>
    </row>
    <row r="107">
      <c r="A107" s="3575" t="inlineStr">
        <is>
          <t>Administrativas</t>
        </is>
      </c>
      <c r="B107" s="3441">
        <f>SUM(C107+D107)</f>
        <v/>
      </c>
      <c r="C107" s="3567" t="n"/>
      <c r="D107" s="3576" t="n"/>
      <c r="E107" s="3577" t="n"/>
      <c r="F107" s="3443" t="n"/>
      <c r="G107" s="3443" t="n"/>
      <c r="H107">
        <f>AW107</f>
        <v/>
      </c>
      <c r="AW107" s="923">
        <f>IF(SUM(E107:G107)&lt;&gt;B107,"* La Suma de los Beneficiarios MAI, MLE y Otros debe ser igual al Total.","")</f>
        <v/>
      </c>
      <c r="BF107" s="252">
        <f>IF(SUM(E107:G107)&lt;&gt;B107,1,0)</f>
        <v/>
      </c>
    </row>
    <row r="108">
      <c r="A108" s="3564" t="inlineStr">
        <is>
          <t>Unidad de Apoyo Clínico</t>
        </is>
      </c>
      <c r="B108" s="3441">
        <f>SUM(C108+D108)</f>
        <v/>
      </c>
      <c r="C108" s="3567" t="n"/>
      <c r="D108" s="3576" t="n"/>
      <c r="E108" s="3577" t="n"/>
      <c r="F108" s="3443" t="n"/>
      <c r="G108" s="3443" t="n"/>
      <c r="H108">
        <f>AW108</f>
        <v/>
      </c>
      <c r="AW108" s="923">
        <f>IF(SUM(E108:G108)&lt;&gt;B108,"* La Suma de los Beneficiarios MAI, MLE y Otros debe ser igual al Total.","")</f>
        <v/>
      </c>
      <c r="BF108" s="252">
        <f>IF(SUM(E108:G108)&lt;&gt;B108,1,0)</f>
        <v/>
      </c>
    </row>
    <row r="109">
      <c r="A109" s="3564" t="inlineStr">
        <is>
          <t>Unidad de Apoyo Logístico</t>
        </is>
      </c>
      <c r="B109" s="3441">
        <f>SUM(C109+D109)</f>
        <v/>
      </c>
      <c r="C109" s="3567" t="n"/>
      <c r="D109" s="3576" t="n"/>
      <c r="E109" s="3577" t="n"/>
      <c r="F109" s="3443" t="n"/>
      <c r="G109" s="3443" t="n"/>
      <c r="H109">
        <f>AW109</f>
        <v/>
      </c>
      <c r="AW109" s="923">
        <f>IF(SUM(E109:G109)&lt;&gt;B109,"* La Suma de los Beneficiarios MAI, MLE y Otros debe ser igual al Total.","")</f>
        <v/>
      </c>
      <c r="BF109" s="252">
        <f>IF(SUM(E109:G109)&lt;&gt;B109,1,0)</f>
        <v/>
      </c>
    </row>
    <row r="110">
      <c r="A110" s="3564" t="inlineStr">
        <is>
          <t>Equipo Quirúrgico</t>
        </is>
      </c>
      <c r="B110" s="3441">
        <f>SUM(C110+D110)</f>
        <v/>
      </c>
      <c r="C110" s="3567" t="n"/>
      <c r="D110" s="3576" t="n"/>
      <c r="E110" s="3577" t="n"/>
      <c r="F110" s="3443" t="n"/>
      <c r="G110" s="3443" t="n"/>
      <c r="H110">
        <f>AW110</f>
        <v/>
      </c>
      <c r="AW110" s="923">
        <f>IF(SUM(E110:G110)&lt;&gt;B110,"* La Suma de los Beneficiarios MAI, MLE y Otros debe ser igual al Total.","")</f>
        <v/>
      </c>
      <c r="BF110" s="252">
        <f>IF(SUM(E110:G110)&lt;&gt;B110,1,0)</f>
        <v/>
      </c>
    </row>
    <row r="111">
      <c r="A111" s="3564" t="inlineStr">
        <is>
          <t>Infraestructura</t>
        </is>
      </c>
      <c r="B111" s="3441">
        <f>SUM(C111+D111)</f>
        <v/>
      </c>
      <c r="C111" s="3567" t="n"/>
      <c r="D111" s="3576" t="n"/>
      <c r="E111" s="3577" t="n"/>
      <c r="F111" s="3443" t="n"/>
      <c r="G111" s="3443" t="n"/>
      <c r="H111">
        <f>AW111</f>
        <v/>
      </c>
      <c r="AW111" s="923">
        <f>IF(SUM(E111:G111)&lt;&gt;B111,"* La Suma de los Beneficiarios MAI, MLE y Otros debe ser igual al Total.","")</f>
        <v/>
      </c>
      <c r="BF111" s="252">
        <f>IF(SUM(E111:G111)&lt;&gt;B111,1,0)</f>
        <v/>
      </c>
    </row>
    <row r="112">
      <c r="A112" s="3575" t="inlineStr">
        <is>
          <t>Emergencias</t>
        </is>
      </c>
      <c r="B112" s="3441">
        <f>SUM(C112+D112)</f>
        <v/>
      </c>
      <c r="C112" s="3567" t="n"/>
      <c r="D112" s="3576" t="n"/>
      <c r="E112" s="3577" t="n"/>
      <c r="F112" s="3443" t="n"/>
      <c r="G112" s="3443" t="n"/>
      <c r="H112">
        <f>AW112</f>
        <v/>
      </c>
      <c r="AW112" s="923">
        <f>IF(SUM(E112:G112)&lt;&gt;B112,"* La Suma de los Beneficiarios MAI, MLE y Otros debe ser igual al Total.","")</f>
        <v/>
      </c>
      <c r="BF112" s="252">
        <f>IF(SUM(E112:G112)&lt;&gt;B112,1,0)</f>
        <v/>
      </c>
    </row>
    <row r="113">
      <c r="A113" s="3578" t="inlineStr">
        <is>
          <t>Gremiales</t>
        </is>
      </c>
      <c r="B113" s="3473">
        <f>SUM(C113+D113)</f>
        <v/>
      </c>
      <c r="C113" s="3567" t="n"/>
      <c r="D113" s="3576" t="n"/>
      <c r="E113" s="3577" t="n"/>
      <c r="F113" s="3579" t="n"/>
      <c r="G113" s="3579" t="n"/>
      <c r="H113">
        <f>AW113</f>
        <v/>
      </c>
      <c r="AW113" s="923">
        <f>IF(SUM(E113:G113)&lt;&gt;B113,"* La Suma de los Beneficiarios MAI, MLE y Otros debe ser igual al Total.","")</f>
        <v/>
      </c>
      <c r="BF113" s="252">
        <f>IF(SUM(E113:G113)&lt;&gt;B113,1,0)</f>
        <v/>
      </c>
    </row>
    <row r="114">
      <c r="A114" s="3580" t="inlineStr">
        <is>
          <t>TOTAL</t>
        </is>
      </c>
      <c r="B114" s="3476">
        <f>SUM(B106:B113)</f>
        <v/>
      </c>
      <c r="C114" s="3581">
        <f>SUM(C106:C113)</f>
        <v/>
      </c>
      <c r="D114" s="3582">
        <f>SUM(D106:D113)</f>
        <v/>
      </c>
      <c r="E114" s="3583">
        <f>SUM(E106:E113)</f>
        <v/>
      </c>
      <c r="F114" s="3584">
        <f>SUM(F106:F113)</f>
        <v/>
      </c>
      <c r="G114" s="3584">
        <f>SUM(G106:G113)</f>
        <v/>
      </c>
      <c r="H114" s="441">
        <f>AW114</f>
        <v/>
      </c>
      <c r="AW114" s="923">
        <f>IF((H102+I102+L102+M102+P102+Q102)&lt;&gt;B114," * El total de Causas de suspensión debe coincidir con la suma de Pacientes suspendidos de la Sección E","")</f>
        <v/>
      </c>
      <c r="AX114" s="5" t="n"/>
      <c r="AY114" s="5" t="n"/>
      <c r="BF114" s="28">
        <f>IF((H102+I102+L102+M102+P102+Q102)&lt;&gt;B114,1,0)</f>
        <v/>
      </c>
      <c r="BG114" s="5" t="n"/>
    </row>
    <row r="115" ht="18" customFormat="1" customHeight="1" s="5">
      <c r="A115" s="8744" t="inlineStr">
        <is>
          <t>SECCIÓN G: ESTERILIZACIONES QUIRÚRGICAS</t>
        </is>
      </c>
      <c r="E115" s="2451" t="n"/>
      <c r="F115" s="3" t="n"/>
      <c r="G115" s="3" t="n"/>
    </row>
    <row r="116">
      <c r="A116" s="9690" t="inlineStr">
        <is>
          <t>SEXO</t>
        </is>
      </c>
      <c r="B116" s="9690" t="inlineStr">
        <is>
          <t xml:space="preserve">TOTAL      </t>
        </is>
      </c>
      <c r="C116" s="9976" t="inlineStr">
        <is>
          <t>RANGO ETARIO</t>
        </is>
      </c>
      <c r="D116" s="9584" t="n"/>
      <c r="E116" s="9595" t="n"/>
      <c r="F116" s="10381" t="inlineStr">
        <is>
          <t>TRANS</t>
        </is>
      </c>
      <c r="G116" s="9648" t="n"/>
    </row>
    <row r="117" ht="21" customHeight="1" s="8286">
      <c r="A117" s="9589" t="n"/>
      <c r="B117" s="9589" t="n"/>
      <c r="C117" s="3589" t="inlineStr">
        <is>
          <t>Menor 
de 20 años</t>
        </is>
      </c>
      <c r="D117" s="3590" t="inlineStr">
        <is>
          <t>20 - 34 años</t>
        </is>
      </c>
      <c r="E117" s="8716" t="inlineStr">
        <is>
          <t>35 y más años</t>
        </is>
      </c>
      <c r="F117" s="3592" t="inlineStr">
        <is>
          <t>Masculino</t>
        </is>
      </c>
      <c r="G117" s="3593" t="inlineStr">
        <is>
          <t>Femenino</t>
        </is>
      </c>
    </row>
    <row r="118">
      <c r="A118" s="3594" t="inlineStr">
        <is>
          <t>Mujer</t>
        </is>
      </c>
      <c r="B118" s="3595">
        <f>SUM(C118:E118)</f>
        <v/>
      </c>
      <c r="C118" s="3502" t="n"/>
      <c r="D118" s="835" t="n"/>
      <c r="E118" s="3518" t="n"/>
      <c r="F118" s="3263" t="n"/>
      <c r="G118" s="3596" t="n"/>
      <c r="H118">
        <f>AW118</f>
        <v/>
      </c>
      <c r="AW118" s="923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/>
      </c>
    </row>
    <row r="119">
      <c r="A119" s="3597" t="inlineStr">
        <is>
          <t>Hombre</t>
        </is>
      </c>
      <c r="B119" s="3598">
        <f>SUM(C119:E119)</f>
        <v/>
      </c>
      <c r="C119" s="3510" t="n"/>
      <c r="D119" s="3599" t="n"/>
      <c r="E119" s="1227" t="n"/>
      <c r="F119" s="3600" t="n"/>
      <c r="G119" s="3601" t="n"/>
      <c r="H119">
        <f>AX119</f>
        <v/>
      </c>
      <c r="AX119" s="923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/>
      </c>
    </row>
    <row r="120">
      <c r="A120" s="442" t="inlineStr">
        <is>
          <t>SECCIÓN H : CAPACIDAD INSTALADA DE  QUIRÓFANOS DE CIRUGÍA MENOR</t>
        </is>
      </c>
    </row>
    <row r="121" ht="52.5" customHeight="1" s="8286">
      <c r="A121" s="8692" t="inlineStr">
        <is>
          <t>ESPECIALIDAD</t>
        </is>
      </c>
      <c r="B121" s="3602" t="inlineStr">
        <is>
          <t>Número de Quirófanos en Dotación</t>
        </is>
      </c>
      <c r="C121" s="3603" t="inlineStr">
        <is>
          <t xml:space="preserve">  Horas Mensuales de Quirófanos Programadas   en Horario Hábil  </t>
        </is>
      </c>
      <c r="D121" s="3604" t="inlineStr">
        <is>
          <t>Horas Mensuales de Quirófanos Programadas   en   Horario Inhábil de Lunes a Viernes</t>
        </is>
      </c>
      <c r="E121" s="3605" t="inlineStr">
        <is>
          <t>Horas Mensuales Programadas    Sabado, Domingo, Festivo.</t>
        </is>
      </c>
      <c r="F121" s="3603" t="inlineStr">
        <is>
          <t xml:space="preserve">  Horas Mensuales de Quirófanos Ocupadas   en Horario Hábil  </t>
        </is>
      </c>
      <c r="G121" s="3604" t="inlineStr">
        <is>
          <t>Horas Mensuales de Quirófanos Ocupadas   en   Horario Inhábil de Lunes a Viernes</t>
        </is>
      </c>
      <c r="H121" s="3605" t="inlineStr">
        <is>
          <t>Horas Mensuales Ocupadas Sabado, Domingo, Festivo.</t>
        </is>
      </c>
      <c r="I121" s="8477" t="n"/>
    </row>
    <row r="122">
      <c r="A122" s="8647" t="inlineStr">
        <is>
          <t>TOTAL</t>
        </is>
      </c>
      <c r="B122" s="3606">
        <f>SUM(B123:B124)</f>
        <v/>
      </c>
      <c r="C122" s="3607">
        <f>SUM(C123:C124)</f>
        <v/>
      </c>
      <c r="D122" s="3608">
        <f>SUM(D123:D124)</f>
        <v/>
      </c>
      <c r="E122" s="3609">
        <f>SUM(E123:E124)</f>
        <v/>
      </c>
      <c r="F122" s="3607">
        <f>SUM(F123:F124)</f>
        <v/>
      </c>
      <c r="G122" s="3608">
        <f>SUM(G123:G124)</f>
        <v/>
      </c>
      <c r="H122" s="3609">
        <f>SUM(H123:H124)</f>
        <v/>
      </c>
      <c r="I122" s="234" t="n"/>
    </row>
    <row r="123">
      <c r="A123" s="3610" t="inlineStr">
        <is>
          <t>Medicina</t>
        </is>
      </c>
      <c r="B123" s="3611" t="n"/>
      <c r="C123" s="3612" t="n"/>
      <c r="D123" s="852" t="n"/>
      <c r="E123" s="3613" t="n"/>
      <c r="F123" s="3612" t="n"/>
      <c r="G123" s="852" t="n"/>
      <c r="H123" s="3613" t="n"/>
      <c r="I123" s="632">
        <f>AW123&amp;AX123&amp;AY123&amp;AZ123</f>
        <v/>
      </c>
      <c r="AW123" s="923">
        <f>IF(AND(B123&gt;0,C123=""),"* No olvide digitar la variable Horas mensuales de quirófano programado en horario hábil. Digite cero si no tiene horas programadas.","")</f>
        <v/>
      </c>
      <c r="AX123" s="923">
        <f>IF(AND(B123&gt;0,D123=""),"* No olvide digitar la variable "&amp;D$121&amp;". Digite cero si no tiene horas programadas.","")</f>
        <v/>
      </c>
      <c r="AY123" s="923">
        <f>IF(AND(B123&gt;0,E123=""),"* No olvide digitar la variable "&amp;E$121&amp;". Digite cero si no tiene horas programadas.","")</f>
        <v/>
      </c>
      <c r="AZ123" s="923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/>
      </c>
      <c r="BG123" s="252">
        <f>IF(AND(B123&gt;0,D123=""),1,IF(D123&gt;B123,1,0))</f>
        <v/>
      </c>
      <c r="BH123" s="252">
        <f>IF(AND(B123&gt;0,E123=""),1,IF(E123&gt;B123,1,0))</f>
        <v/>
      </c>
      <c r="BI123" s="252">
        <f>IF(AND(F123&gt;0,OR(C123="",C123=0,)),1,0)</f>
        <v/>
      </c>
    </row>
    <row r="124">
      <c r="A124" s="3614" t="inlineStr">
        <is>
          <t>Odontología (quirófanos exclusivos de odontología)</t>
        </is>
      </c>
      <c r="B124" s="3615" t="n"/>
      <c r="C124" s="3616" t="n"/>
      <c r="D124" s="3617" t="n"/>
      <c r="E124" s="3618" t="n"/>
      <c r="F124" s="3616" t="n"/>
      <c r="G124" s="3617" t="n"/>
      <c r="H124" s="3619" t="n"/>
      <c r="I124" s="632">
        <f>AW124&amp;AX124&amp;AY124&amp;AZ124</f>
        <v/>
      </c>
      <c r="AW124" s="923">
        <f>IF(AND(B124&gt;0,C124=""),"* No olvide digitar la variable Horas mensuales de quirófano programado en horario hábil. Digite cero si no tiene horas programadas.","")</f>
        <v/>
      </c>
      <c r="AX124" s="923">
        <f>IF(AND(C124&gt;0,D124=""),"* No olvide digitar la variable Horas mensuales de quirófano programado en horario hábil. Digite cero si no tiene horas programadas.","")</f>
        <v/>
      </c>
      <c r="AY124" s="923">
        <f>IF(AND(B124&gt;0,E124=""),"* No olvide digitar la variable "&amp;E$121&amp;". Digite cero si no tiene horas programadas.","")</f>
        <v/>
      </c>
      <c r="AZ124" s="923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/>
      </c>
      <c r="BG124" s="252">
        <f>IF(AND(B124&gt;0,D124=""),1,IF(D124&gt;B124,1,0))</f>
        <v/>
      </c>
      <c r="BH124" s="252">
        <f>IF(AND(B124&gt;0,E124=""),1,IF(E124&gt;B124,1,0))</f>
        <v/>
      </c>
      <c r="BI124" s="252">
        <f>IF(AND(F124&gt;0,OR(C124="",C124=0,)),1,0)</f>
        <v/>
      </c>
    </row>
    <row r="125">
      <c r="A125" s="924" t="inlineStr">
        <is>
          <t>SECCIÓN I: GESTIÓN DE PROCESOS DE PACIENTES QUIRÚRGICOS CON CIRUGÍA MENOR</t>
        </is>
      </c>
      <c r="B125" s="444" t="n"/>
      <c r="C125" s="444" t="n"/>
      <c r="D125" s="329" t="n"/>
      <c r="E125" s="329" t="n"/>
      <c r="F125" s="329" t="n"/>
      <c r="G125" s="329" t="n"/>
      <c r="H125" s="329" t="n"/>
      <c r="I125" s="329" t="n"/>
    </row>
    <row r="126" ht="52.5" customHeight="1" s="8286">
      <c r="A126" s="3620" t="inlineStr">
        <is>
          <t>ESPECIALIDAD</t>
        </is>
      </c>
      <c r="B126" s="3621" t="inlineStr">
        <is>
          <t>Personas menor de 15 años Intervenidas  en Horario Hábil</t>
        </is>
      </c>
      <c r="C126" s="3622" t="inlineStr">
        <is>
          <t>Personas mayores de  15 años y más Intervenidas en Horario Hábil</t>
        </is>
      </c>
      <c r="D126" s="3621" t="inlineStr">
        <is>
          <t>Personas Programadas  Horario Hábil</t>
        </is>
      </c>
      <c r="E126" s="3622" t="inlineStr">
        <is>
          <t>Personas Suspendidas Horario Hábil</t>
        </is>
      </c>
      <c r="F126" s="3621" t="inlineStr">
        <is>
          <t>Personas Programadas  horario Inhábil de Lunes a Viernes</t>
        </is>
      </c>
      <c r="G126" s="3622" t="inlineStr">
        <is>
          <t>Personas Suspendidas horario Inhábil de Lunes a Viernes</t>
        </is>
      </c>
      <c r="H126" s="3621" t="inlineStr">
        <is>
          <t>Personas Programadas  Sábado, Domingo y Festivo</t>
        </is>
      </c>
      <c r="I126" s="3623" t="inlineStr">
        <is>
          <t>Personas Suspendidas Sábado, Domingo y Festivo</t>
        </is>
      </c>
    </row>
    <row r="127">
      <c r="A127" s="3562" t="inlineStr">
        <is>
          <t>Cirugía General</t>
        </is>
      </c>
      <c r="B127" s="3458" t="n"/>
      <c r="C127" s="3459" t="n"/>
      <c r="D127" s="3563" t="n"/>
      <c r="E127" s="3490" t="n"/>
      <c r="F127" s="3563" t="n"/>
      <c r="G127" s="3490" t="n"/>
      <c r="H127" s="3563" t="n"/>
      <c r="I127" s="3490" t="n"/>
      <c r="J127">
        <f>AW127&amp;AX127&amp;AY127</f>
        <v/>
      </c>
      <c r="AW127" s="923">
        <f>IF(AND(ISBLANK(B127),B127+C127&gt;0), "*No olvide digitar datos en la variable " &amp; B$126 &amp; ".Digite cero si no tiene.", "")</f>
        <v/>
      </c>
      <c r="AX127" s="923">
        <f>IF(AND(ISBLANK(C127),B127+C127&gt;0), "*No olvide digitar datos en la variable " &amp; C$126 &amp; ". Digite cero si no tiene.", "")</f>
        <v/>
      </c>
      <c r="AY127" s="923">
        <f>IF(AND(B127+C127&gt;0, OR(ISBLANK(D127), D127=0)), "*No olvide digitar datos en la variable "&amp;D$126&amp;", ya que registra personas intervenidas.", "")</f>
        <v/>
      </c>
      <c r="BF127" s="252">
        <f>IF(AND(ISBLANK(B127), B127+C127&gt;0), 1, 0)</f>
        <v/>
      </c>
      <c r="BG127" s="252">
        <f>IF(AND(ISBLANK(C127), B127+C127&gt;0), 1, 0)</f>
        <v/>
      </c>
      <c r="BH127" s="252">
        <f>IF(AND(B127+C127&gt;0, OR(ISBLANK(D127), D127=0)), 1, 0)</f>
        <v/>
      </c>
    </row>
    <row r="128">
      <c r="A128" s="3564" t="inlineStr">
        <is>
          <t>Cirugía Maxilofacial</t>
        </is>
      </c>
      <c r="B128" s="3565" t="n"/>
      <c r="C128" s="3566" t="n"/>
      <c r="D128" s="3567" t="n"/>
      <c r="E128" s="3568" t="n"/>
      <c r="F128" s="3567" t="n"/>
      <c r="G128" s="3568" t="n"/>
      <c r="H128" s="3567" t="n"/>
      <c r="I128" s="3624" t="n"/>
      <c r="J128">
        <f>AW128&amp;AX128&amp;AY128</f>
        <v/>
      </c>
      <c r="AW128" s="923">
        <f>IF(AND(ISBLANK(B128),B128+C128&gt;0), "*No olvide digitar datos en la variable " &amp; B$126 &amp; ".Digite cero si no tiene.", "")</f>
        <v/>
      </c>
      <c r="AX128" s="923">
        <f>IF(AND(ISBLANK(C128),B128+C128&gt;0), "*No olvide digitar datos en la variable " &amp; C$126 &amp; ". Digite cero si no tiene.", "")</f>
        <v/>
      </c>
      <c r="AY128" s="923">
        <f>IF(AND(B128+C128&gt;0, OR(ISBLANK(D128), D128=0)), "*No olvide digitar datos en la variable "&amp;D$126&amp;", ya que registra personas intervenidas.", "")</f>
        <v/>
      </c>
      <c r="BF128" s="252">
        <f>IF(AND(ISBLANK(B128), B128+C128&gt;0), 1, 0)</f>
        <v/>
      </c>
      <c r="BG128" s="252">
        <f>IF(AND(ISBLANK(C128), B128+C128&gt;0), 1, 0)</f>
        <v/>
      </c>
      <c r="BH128" s="252">
        <f>IF(AND(B128+C128&gt;0, OR(ISBLANK(D128), D128=0)), 1, 0)</f>
        <v/>
      </c>
    </row>
    <row r="129">
      <c r="A129" s="3564" t="inlineStr">
        <is>
          <t>Cirugía Tórax</t>
        </is>
      </c>
      <c r="B129" s="3565" t="n"/>
      <c r="C129" s="3566" t="n"/>
      <c r="D129" s="3567" t="n"/>
      <c r="E129" s="3568" t="n"/>
      <c r="F129" s="3567" t="n"/>
      <c r="G129" s="3568" t="n"/>
      <c r="H129" s="3567" t="n"/>
      <c r="I129" s="3490" t="n"/>
      <c r="J129">
        <f>AW129&amp;AX129&amp;AY129</f>
        <v/>
      </c>
      <c r="AW129" s="923">
        <f>IF(AND(ISBLANK(B129),B129+C129&gt;0), "*No olvide digitar datos en la variable " &amp; B$126 &amp; ".Digite cero si no tiene.", "")</f>
        <v/>
      </c>
      <c r="AX129" s="923">
        <f>IF(AND(ISBLANK(C129),B129+C129&gt;0), "*No olvide digitar datos en la variable " &amp; C$126 &amp; ". Digite cero si no tiene.", "")</f>
        <v/>
      </c>
      <c r="AY129" s="923">
        <f>IF(AND(B129+C129&gt;0, OR(ISBLANK(D129), D129=0)), "*No olvide digitar datos en la variable "&amp;D$126&amp;", ya que registra personas intervenidas.", "")</f>
        <v/>
      </c>
      <c r="BF129" s="252">
        <f>IF(AND(ISBLANK(B129), B129+C129&gt;0), 1, 0)</f>
        <v/>
      </c>
      <c r="BG129" s="252">
        <f>IF(AND(ISBLANK(C129), B129+C129&gt;0), 1, 0)</f>
        <v/>
      </c>
      <c r="BH129" s="252">
        <f>IF(AND(B129+C129&gt;0, OR(ISBLANK(D129), D129=0)), 1, 0)</f>
        <v/>
      </c>
    </row>
    <row r="130">
      <c r="A130" s="3564" t="inlineStr">
        <is>
          <t>Dermatología</t>
        </is>
      </c>
      <c r="B130" s="3565" t="n"/>
      <c r="C130" s="3566" t="n"/>
      <c r="D130" s="3567" t="n"/>
      <c r="E130" s="3568" t="n"/>
      <c r="F130" s="3567" t="n"/>
      <c r="G130" s="3568" t="n"/>
      <c r="H130" s="3567" t="n"/>
      <c r="I130" s="3490" t="n"/>
      <c r="J130">
        <f>AW130&amp;AX130&amp;AY130</f>
        <v/>
      </c>
      <c r="AW130" s="923">
        <f>IF(AND(ISBLANK(B130),B130+C130&gt;0), "*No olvide digitar datos en la variable " &amp; B$126 &amp; ".Digite cero si no tiene.", "")</f>
        <v/>
      </c>
      <c r="AX130" s="923">
        <f>IF(AND(ISBLANK(C130),B130+C130&gt;0), "*No olvide digitar datos en la variable " &amp; C$126 &amp; ". Digite cero si no tiene.", "")</f>
        <v/>
      </c>
      <c r="AY130" s="923">
        <f>IF(AND(B130+C130&gt;0, OR(ISBLANK(D130), D130=0)), "*No olvide digitar datos en la variable "&amp;D$126&amp;", ya que registra personas intervenidas.", "")</f>
        <v/>
      </c>
      <c r="BF130" s="252">
        <f>IF(AND(ISBLANK(B130), B130+C130&gt;0), 1, 0)</f>
        <v/>
      </c>
      <c r="BG130" s="252">
        <f>IF(AND(ISBLANK(C130), B130+C130&gt;0), 1, 0)</f>
        <v/>
      </c>
      <c r="BH130" s="252">
        <f>IF(AND(B130+C130&gt;0, OR(ISBLANK(D130), D130=0)), 1, 0)</f>
        <v/>
      </c>
    </row>
    <row r="131">
      <c r="A131" s="3564" t="inlineStr">
        <is>
          <t>Traumatología</t>
        </is>
      </c>
      <c r="B131" s="3565" t="n"/>
      <c r="C131" s="3566" t="n"/>
      <c r="D131" s="3567" t="n"/>
      <c r="E131" s="3568" t="n"/>
      <c r="F131" s="3567" t="n"/>
      <c r="G131" s="3568" t="n"/>
      <c r="H131" s="3567" t="n"/>
      <c r="I131" s="3490" t="n"/>
      <c r="J131">
        <f>AW131&amp;AX131&amp;AY131</f>
        <v/>
      </c>
      <c r="AW131" s="923">
        <f>IF(AND(ISBLANK(B131),B131+C131&gt;0), "*No olvide digitar datos en la variable " &amp; B$126 &amp; ".Digite cero si no tiene.", "")</f>
        <v/>
      </c>
      <c r="AX131" s="923">
        <f>IF(AND(ISBLANK(C131),B131+C131&gt;0), "*No olvide digitar datos en la variable " &amp; C$126 &amp; ". Digite cero si no tiene.", "")</f>
        <v/>
      </c>
      <c r="AY131" s="923">
        <f>IF(AND(B131+C131&gt;0, OR(ISBLANK(D131), D131=0)), "*No olvide digitar datos en la variable "&amp;D$126&amp;", ya que registra personas intervenidas.", "")</f>
        <v/>
      </c>
      <c r="BF131" s="252">
        <f>IF(AND(ISBLANK(B131), B131+C131&gt;0), 1, 0)</f>
        <v/>
      </c>
      <c r="BG131" s="252">
        <f>IF(AND(ISBLANK(C131), B131+C131&gt;0), 1, 0)</f>
        <v/>
      </c>
      <c r="BH131" s="252">
        <f>IF(AND(B131+C131&gt;0, OR(ISBLANK(D131), D131=0)), 1, 0)</f>
        <v/>
      </c>
    </row>
    <row r="132">
      <c r="A132" s="3564" t="inlineStr">
        <is>
          <t>Otorrinolaringología</t>
        </is>
      </c>
      <c r="B132" s="3565" t="n"/>
      <c r="C132" s="3566" t="n"/>
      <c r="D132" s="3567" t="n"/>
      <c r="E132" s="3568" t="n"/>
      <c r="F132" s="3567" t="n"/>
      <c r="G132" s="3568" t="n"/>
      <c r="H132" s="3567" t="n"/>
      <c r="I132" s="3490" t="n"/>
      <c r="J132">
        <f>AW132&amp;AX132&amp;AY132</f>
        <v/>
      </c>
      <c r="AW132" s="923">
        <f>IF(AND(ISBLANK(B132),B132+C132&gt;0), "*No olvide digitar datos en la variable " &amp; B$126 &amp; ".Digite cero si no tiene.", "")</f>
        <v/>
      </c>
      <c r="AX132" s="923">
        <f>IF(AND(ISBLANK(C132),B132+C132&gt;0), "*No olvide digitar datos en la variable " &amp; C$126 &amp; ". Digite cero si no tiene.", "")</f>
        <v/>
      </c>
      <c r="AY132" s="923">
        <f>IF(AND(B132+C132&gt;0, OR(ISBLANK(D132), D132=0)), "*No olvide digitar datos en la variable "&amp;D$126&amp;", ya que registra personas intervenidas.", "")</f>
        <v/>
      </c>
      <c r="BF132" s="252">
        <f>IF(AND(ISBLANK(B132), B132+C132&gt;0), 1, 0)</f>
        <v/>
      </c>
      <c r="BG132" s="252">
        <f>IF(AND(ISBLANK(C132), B132+C132&gt;0), 1, 0)</f>
        <v/>
      </c>
      <c r="BH132" s="252">
        <f>IF(AND(B132+C132&gt;0, OR(ISBLANK(D132), D132=0)), 1, 0)</f>
        <v/>
      </c>
    </row>
    <row r="133">
      <c r="A133" s="3564" t="inlineStr">
        <is>
          <t>Oftalmología</t>
        </is>
      </c>
      <c r="B133" s="3565" t="n"/>
      <c r="C133" s="3566" t="n"/>
      <c r="D133" s="3567" t="n"/>
      <c r="E133" s="3568" t="n"/>
      <c r="F133" s="3567" t="n"/>
      <c r="G133" s="3568" t="n"/>
      <c r="H133" s="3567" t="n"/>
      <c r="I133" s="3490" t="n"/>
      <c r="J133">
        <f>AW133&amp;AX133&amp;AY133</f>
        <v/>
      </c>
      <c r="AW133" s="923">
        <f>IF(AND(ISBLANK(B133),B133+C133&gt;0), "*No olvide digitar datos en la variable " &amp; B$126 &amp; ".Digite cero si no tiene.", "")</f>
        <v/>
      </c>
      <c r="AX133" s="923">
        <f>IF(AND(ISBLANK(C133),B133+C133&gt;0), "*No olvide digitar datos en la variable " &amp; C$126 &amp; ". Digite cero si no tiene.", "")</f>
        <v/>
      </c>
      <c r="AY133" s="923">
        <f>IF(AND(B133+C133&gt;0, OR(ISBLANK(D133), D133=0)), "*No olvide digitar datos en la variable "&amp;D$126&amp;", ya que registra personas intervenidas.", "")</f>
        <v/>
      </c>
      <c r="BF133" s="252">
        <f>IF(AND(ISBLANK(B133), B133+C133&gt;0), 1, 0)</f>
        <v/>
      </c>
      <c r="BG133" s="252">
        <f>IF(AND(ISBLANK(C133), B133+C133&gt;0), 1, 0)</f>
        <v/>
      </c>
      <c r="BH133" s="252">
        <f>IF(AND(B133+C133&gt;0, OR(ISBLANK(D133), D133=0)), 1, 0)</f>
        <v/>
      </c>
    </row>
    <row r="134">
      <c r="A134" s="3564" t="inlineStr">
        <is>
          <t>Obstetricia Y Ginecología</t>
        </is>
      </c>
      <c r="B134" s="3565" t="n"/>
      <c r="C134" s="3566" t="n"/>
      <c r="D134" s="3567" t="n"/>
      <c r="E134" s="3568" t="n"/>
      <c r="F134" s="3567" t="n"/>
      <c r="G134" s="3568" t="n"/>
      <c r="H134" s="3567" t="n"/>
      <c r="I134" s="3490" t="n"/>
      <c r="J134">
        <f>AW134&amp;AX134&amp;AY134</f>
        <v/>
      </c>
      <c r="AW134" s="923">
        <f>IF(AND(ISBLANK(B134),B134+C134&gt;0), "*No olvide digitar datos en la variable " &amp; B$126 &amp; ".Digite cero si no tiene.", "")</f>
        <v/>
      </c>
      <c r="AX134" s="923">
        <f>IF(AND(ISBLANK(C134),B134+C134&gt;0), "*No olvide digitar datos en la variable " &amp; C$126 &amp; ". Digite cero si no tiene.", "")</f>
        <v/>
      </c>
      <c r="AY134" s="923">
        <f>IF(AND(B134+C134&gt;0, OR(ISBLANK(D134), D134=0)), "*No olvide digitar datos en la variable "&amp;D$126&amp;", ya que registra personas intervenidas.", "")</f>
        <v/>
      </c>
      <c r="BF134" s="252">
        <f>IF(AND(ISBLANK(B134), B134+C134&gt;0), 1, 0)</f>
        <v/>
      </c>
      <c r="BG134" s="252">
        <f>IF(AND(ISBLANK(C134), B134+C134&gt;0), 1, 0)</f>
        <v/>
      </c>
      <c r="BH134" s="252">
        <f>IF(AND(B134+C134&gt;0, OR(ISBLANK(D134), D134=0)), 1, 0)</f>
        <v/>
      </c>
    </row>
    <row r="135">
      <c r="A135" s="3564" t="inlineStr">
        <is>
          <t>Ginecología</t>
        </is>
      </c>
      <c r="B135" s="3565" t="n"/>
      <c r="C135" s="3566" t="n"/>
      <c r="D135" s="3567" t="n"/>
      <c r="E135" s="3568" t="n"/>
      <c r="F135" s="3567" t="n"/>
      <c r="G135" s="3568" t="n"/>
      <c r="H135" s="3567" t="n"/>
      <c r="I135" s="3490" t="n"/>
      <c r="J135">
        <f>AW135&amp;AX135&amp;AY135</f>
        <v/>
      </c>
      <c r="AW135" s="923">
        <f>IF(AND(ISBLANK(B135),B135+C135&gt;0), "*No olvide digitar datos en la variable " &amp; B$126 &amp; ".Digite cero si no tiene.", "")</f>
        <v/>
      </c>
      <c r="AX135" s="923">
        <f>IF(AND(ISBLANK(C135),B135+C135&gt;0), "*No olvide digitar datos en la variable " &amp; C$126 &amp; ". Digite cero si no tiene.", "")</f>
        <v/>
      </c>
      <c r="AY135" s="923">
        <f>IF(AND(B135+C135&gt;0, OR(ISBLANK(D135), D135=0)), "*No olvide digitar datos en la variable "&amp;D$126&amp;", ya que registra personas intervenidas.", "")</f>
        <v/>
      </c>
      <c r="BF135" s="252">
        <f>IF(AND(ISBLANK(B135), B135+C135&gt;0), 1, 0)</f>
        <v/>
      </c>
      <c r="BG135" s="252">
        <f>IF(AND(ISBLANK(C135), B135+C135&gt;0), 1, 0)</f>
        <v/>
      </c>
      <c r="BH135" s="252">
        <f>IF(AND(B135+C135&gt;0, OR(ISBLANK(D135), D135=0)), 1, 0)</f>
        <v/>
      </c>
    </row>
    <row r="136">
      <c r="A136" s="3564" t="inlineStr">
        <is>
          <t>Urología</t>
        </is>
      </c>
      <c r="B136" s="3565" t="n"/>
      <c r="C136" s="3566" t="n"/>
      <c r="D136" s="3567" t="n"/>
      <c r="E136" s="3568" t="n"/>
      <c r="F136" s="3567" t="n"/>
      <c r="G136" s="3568" t="n"/>
      <c r="H136" s="3567" t="n"/>
      <c r="I136" s="3490" t="n"/>
      <c r="J136">
        <f>AW136&amp;AX136&amp;AY136</f>
        <v/>
      </c>
      <c r="AW136" s="923">
        <f>IF(AND(ISBLANK(B136),B136+C136&gt;0), "*No olvide digitar datos en la variable " &amp; B$126 &amp; ".Digite cero si no tiene.", "")</f>
        <v/>
      </c>
      <c r="AX136" s="923">
        <f>IF(AND(ISBLANK(C136),B136+C136&gt;0), "*No olvide digitar datos en la variable " &amp; C$126 &amp; ". Digite cero si no tiene.", "")</f>
        <v/>
      </c>
      <c r="AY136" s="923">
        <f>IF(AND(B136+C136&gt;0, OR(ISBLANK(D136), D136=0)), "*No olvide digitar datos en la variable "&amp;D$126&amp;", ya que registra personas intervenidas.", "")</f>
        <v/>
      </c>
      <c r="BF136" s="252">
        <f>IF(AND(ISBLANK(B136), B136+C136&gt;0), 1, 0)</f>
        <v/>
      </c>
      <c r="BG136" s="252">
        <f>IF(AND(ISBLANK(C136), B136+C136&gt;0), 1, 0)</f>
        <v/>
      </c>
      <c r="BH136" s="252">
        <f>IF(AND(B136+C136&gt;0, OR(ISBLANK(D136), D136=0)), 1, 0)</f>
        <v/>
      </c>
    </row>
    <row r="137">
      <c r="A137" s="3564" t="inlineStr">
        <is>
          <t>Odontología</t>
        </is>
      </c>
      <c r="B137" s="3565" t="n"/>
      <c r="C137" s="3566" t="n"/>
      <c r="D137" s="3567" t="n"/>
      <c r="E137" s="3568" t="n"/>
      <c r="F137" s="3567" t="n"/>
      <c r="G137" s="3568" t="n"/>
      <c r="H137" s="3567" t="n"/>
      <c r="I137" s="3490" t="n"/>
      <c r="J137">
        <f>AW137&amp;AX137&amp;AY137</f>
        <v/>
      </c>
      <c r="AW137" s="923">
        <f>IF(AND(ISBLANK(B137),B137+C137&gt;0), "*No olvide digitar datos en la variable " &amp; B$126 &amp; ".Digite cero si no tiene.", "")</f>
        <v/>
      </c>
      <c r="AX137" s="923">
        <f>IF(AND(ISBLANK(C137),B137+C137&gt;0), "*No olvide digitar datos en la variable " &amp; C$126 &amp; ". Digite cero si no tiene.", "")</f>
        <v/>
      </c>
      <c r="AY137" s="923">
        <f>IF(AND(B137+C137&gt;0, OR(ISBLANK(D137), D137=0)), "*No olvide digitar datos en la variable "&amp;D$126&amp;", ya que registra personas intervenidas.", "")</f>
        <v/>
      </c>
      <c r="BF137" s="252">
        <f>IF(AND(ISBLANK(B137), B137+C137&gt;0), 1, 0)</f>
        <v/>
      </c>
      <c r="BG137" s="252">
        <f>IF(AND(ISBLANK(C137), B137+C137&gt;0), 1, 0)</f>
        <v/>
      </c>
      <c r="BH137" s="252">
        <f>IF(AND(B137+C137&gt;0, OR(ISBLANK(D137), D137=0)), 1, 0)</f>
        <v/>
      </c>
    </row>
    <row r="138">
      <c r="A138" s="3564" t="inlineStr">
        <is>
          <t xml:space="preserve">Otras Especialidades </t>
        </is>
      </c>
      <c r="B138" s="3565" t="n"/>
      <c r="C138" s="3566" t="n"/>
      <c r="D138" s="3567" t="n"/>
      <c r="E138" s="3568" t="n"/>
      <c r="F138" s="3567" t="n"/>
      <c r="G138" s="3568" t="n"/>
      <c r="H138" s="3567" t="n"/>
      <c r="I138" s="3625" t="n"/>
      <c r="J138">
        <f>AW138&amp;AX138&amp;AY138</f>
        <v/>
      </c>
      <c r="AW138" s="923">
        <f>IF(AND(ISBLANK(B138),B138+C138&gt;0), "*No olvide digitar datos en la variable " &amp; B$126 &amp; ".Digite cero si no tiene.", "")</f>
        <v/>
      </c>
      <c r="AX138" s="923">
        <f>IF(AND(ISBLANK(C138),B138+C138&gt;0), "*No olvide digitar datos en la variable " &amp; C$126 &amp; ". Digite cero si no tiene.", "")</f>
        <v/>
      </c>
      <c r="AY138" s="923">
        <f>IF(AND(B138+C138&gt;0, OR(ISBLANK(D138), D138=0)), "*No olvide digitar datos en la variable "&amp;D$126&amp;", ya que registra personas intervenidas.", "")</f>
        <v/>
      </c>
      <c r="BF138" s="252">
        <f>IF(AND(ISBLANK(B138), B138+C138&gt;0), 1, 0)</f>
        <v/>
      </c>
      <c r="BG138" s="252">
        <f>IF(AND(ISBLANK(C138), B138+C138&gt;0), 1, 0)</f>
        <v/>
      </c>
      <c r="BH138" s="252">
        <f>IF(AND(B138+C138&gt;0, OR(ISBLANK(D138), D138=0)), 1, 0)</f>
        <v/>
      </c>
    </row>
    <row r="139">
      <c r="A139" s="3626" t="inlineStr">
        <is>
          <t>TOTAL</t>
        </is>
      </c>
      <c r="B139" s="3627">
        <f>SUM(B127:B138)</f>
        <v/>
      </c>
      <c r="C139" s="3628">
        <f>SUM(C127:C138)</f>
        <v/>
      </c>
      <c r="D139" s="3627">
        <f>SUM(D127:D138)</f>
        <v/>
      </c>
      <c r="E139" s="3628">
        <f>SUM(E127:E138)</f>
        <v/>
      </c>
      <c r="F139" s="3627">
        <f>SUM(F127:F138)</f>
        <v/>
      </c>
      <c r="G139" s="3628">
        <f>SUM(G127:G138)</f>
        <v/>
      </c>
      <c r="H139" s="3627">
        <f>SUM(H127:H138)</f>
        <v/>
      </c>
      <c r="I139" s="3628">
        <f>SUM(I127:I138)</f>
        <v/>
      </c>
      <c r="AT139">
        <f>IF(AND(ISBLANK(B139),B139+C139&gt;0), "*No olvide digitar datos en la variable " &amp; B$126 &amp; ", de no poseer datos digite cero.", "")</f>
        <v/>
      </c>
    </row>
    <row r="140">
      <c r="A140" s="419" t="inlineStr">
        <is>
          <t xml:space="preserve">SECCIÓN J: PROCEDIMIENTO ONCOLOGICOS </t>
        </is>
      </c>
      <c r="B140" s="441" t="n"/>
      <c r="C140" s="441" t="n"/>
      <c r="D140" s="441" t="n"/>
      <c r="E140" s="441" t="n"/>
      <c r="F140" s="441" t="n"/>
      <c r="G140" s="441" t="n"/>
      <c r="H140" s="441" t="n"/>
      <c r="I140" s="441" t="n"/>
      <c r="J140" s="441" t="n"/>
    </row>
    <row r="141">
      <c r="A141" s="10373" t="inlineStr">
        <is>
          <t>INTERVENCIONES</t>
        </is>
      </c>
      <c r="B141" s="10382" t="inlineStr">
        <is>
          <t>TOTAL
 (Ambos sexos)</t>
        </is>
      </c>
      <c r="C141" s="10383" t="inlineStr">
        <is>
          <t xml:space="preserve">Menores de 18 años </t>
        </is>
      </c>
      <c r="D141" s="9582" t="n"/>
      <c r="E141" s="10384" t="inlineStr">
        <is>
          <t>18 años y más</t>
        </is>
      </c>
      <c r="F141" s="9647" t="n"/>
      <c r="G141" s="10385" t="inlineStr">
        <is>
          <t>Personas Atendidas</t>
        </is>
      </c>
      <c r="H141" s="9240" t="inlineStr">
        <is>
          <t>Ingresos</t>
        </is>
      </c>
      <c r="I141" s="10386" t="inlineStr">
        <is>
          <t>Egresos</t>
        </is>
      </c>
      <c r="J141" s="10387" t="inlineStr">
        <is>
          <t>Recurso Disponible</t>
        </is>
      </c>
    </row>
    <row r="142">
      <c r="A142" s="9621" t="n"/>
      <c r="B142" s="9611" t="n"/>
      <c r="C142" s="8467" t="inlineStr">
        <is>
          <t xml:space="preserve"> Hombres</t>
        </is>
      </c>
      <c r="D142" s="7778" t="inlineStr">
        <is>
          <t>Mujeres</t>
        </is>
      </c>
      <c r="E142" s="8467" t="inlineStr">
        <is>
          <t xml:space="preserve"> Hombres</t>
        </is>
      </c>
      <c r="F142" s="8007" t="inlineStr">
        <is>
          <t>Mujeres</t>
        </is>
      </c>
      <c r="G142" s="10388" t="n"/>
      <c r="H142" s="9621" t="n"/>
      <c r="I142" s="9879" t="n"/>
      <c r="J142" s="10389" t="n"/>
    </row>
    <row r="143">
      <c r="A143" s="1946" t="inlineStr">
        <is>
          <t xml:space="preserve">Quimioterapia oral </t>
        </is>
      </c>
      <c r="B143" s="446">
        <f>SUM(C143:F143)</f>
        <v/>
      </c>
      <c r="C143" s="447" t="n"/>
      <c r="D143" s="448" t="n"/>
      <c r="E143" s="447" t="n"/>
      <c r="F143" s="449" t="n"/>
      <c r="G143" s="3490" t="n"/>
      <c r="H143" s="3629" t="n"/>
      <c r="I143" s="3630" t="n"/>
      <c r="J143" s="3631" t="n"/>
    </row>
    <row r="144">
      <c r="A144" s="3632" t="inlineStr">
        <is>
          <t>Quimioterapias en Pacientes Ambulatorios</t>
        </is>
      </c>
      <c r="B144" s="446">
        <f>SUM(C144:F144)</f>
        <v/>
      </c>
      <c r="C144" s="3633" t="n"/>
      <c r="D144" s="3634" t="n"/>
      <c r="E144" s="3633" t="n"/>
      <c r="F144" s="3576" t="n"/>
      <c r="G144" s="3490" t="n"/>
      <c r="H144" s="3635" t="n"/>
      <c r="I144" s="3636" t="n"/>
      <c r="J144" s="3490" t="n"/>
    </row>
    <row r="145">
      <c r="A145" s="3632" t="inlineStr">
        <is>
          <t>Quimioterapias en Pacientes Hospitalizados</t>
        </is>
      </c>
      <c r="B145" s="446">
        <f>SUM(C145:F145)</f>
        <v/>
      </c>
      <c r="C145" s="3633" t="n"/>
      <c r="D145" s="3634" t="n"/>
      <c r="E145" s="3633" t="n"/>
      <c r="F145" s="3576" t="n"/>
      <c r="G145" s="3490" t="n"/>
      <c r="H145" s="3635" t="n"/>
      <c r="I145" s="3637" t="n"/>
      <c r="J145" s="3631" t="n"/>
    </row>
    <row r="146">
      <c r="A146" s="3632" t="inlineStr">
        <is>
          <t>Teleterapia por tratamiento</t>
        </is>
      </c>
      <c r="B146" s="446">
        <f>SUM(C146:F146)</f>
        <v/>
      </c>
      <c r="C146" s="3633" t="n"/>
      <c r="D146" s="3634" t="n"/>
      <c r="E146" s="3633" t="n"/>
      <c r="F146" s="3576" t="n"/>
      <c r="G146" s="3490" t="n"/>
      <c r="H146" s="3635" t="n"/>
      <c r="I146" s="3637" t="n"/>
      <c r="J146" s="3631" t="n"/>
    </row>
    <row r="147">
      <c r="A147" s="3632" t="inlineStr">
        <is>
          <t>Braquiterapia por sesión</t>
        </is>
      </c>
      <c r="B147" s="446">
        <f>SUM(C147:F147)</f>
        <v/>
      </c>
      <c r="C147" s="3633" t="n"/>
      <c r="D147" s="3634" t="n"/>
      <c r="E147" s="3633" t="n"/>
      <c r="F147" s="3576" t="n"/>
      <c r="G147" s="3490" t="n"/>
      <c r="H147" s="3635" t="n"/>
      <c r="I147" s="3637" t="n"/>
      <c r="J147" s="3631" t="n"/>
    </row>
    <row r="148">
      <c r="A148" s="3632" t="inlineStr">
        <is>
          <t>PET CT</t>
        </is>
      </c>
      <c r="B148" s="446">
        <f>SUM(C148:F148)</f>
        <v/>
      </c>
      <c r="C148" s="3633" t="n"/>
      <c r="D148" s="3634" t="n"/>
      <c r="E148" s="3633" t="n"/>
      <c r="F148" s="3576" t="n"/>
      <c r="G148" s="3490" t="n"/>
      <c r="H148" s="3635" t="n"/>
      <c r="I148" s="3637" t="n"/>
      <c r="J148" s="3631" t="n"/>
    </row>
    <row r="149">
      <c r="A149" s="3632" t="inlineStr">
        <is>
          <t>SPECT CT/SPECT/Gamma cámara</t>
        </is>
      </c>
      <c r="B149" s="446">
        <f>SUM(C149:F149)</f>
        <v/>
      </c>
      <c r="C149" s="3633" t="n"/>
      <c r="D149" s="3634" t="n"/>
      <c r="E149" s="3633" t="n"/>
      <c r="F149" s="3576" t="n"/>
      <c r="G149" s="3490" t="n"/>
      <c r="H149" s="3635" t="n"/>
      <c r="I149" s="3637" t="n"/>
      <c r="J149" s="3631" t="n"/>
    </row>
    <row r="150">
      <c r="A150" s="3632" t="inlineStr">
        <is>
          <t>Yodoterapia en pacientes ambulatorios</t>
        </is>
      </c>
      <c r="B150" s="446">
        <f>SUM(C150:F150)</f>
        <v/>
      </c>
      <c r="C150" s="3633" t="n"/>
      <c r="D150" s="3634" t="n"/>
      <c r="E150" s="3633" t="n"/>
      <c r="F150" s="3576" t="n"/>
      <c r="G150" s="3490" t="n"/>
      <c r="H150" s="3638" t="n"/>
      <c r="I150" s="3637" t="n"/>
      <c r="J150" s="3631" t="n"/>
    </row>
    <row r="151">
      <c r="A151" s="3632" t="inlineStr">
        <is>
          <t xml:space="preserve">Yodoterapia Hospitalaria en paciente hospitalizadas </t>
        </is>
      </c>
      <c r="B151" s="446">
        <f>SUM(C151:F151)</f>
        <v/>
      </c>
      <c r="C151" s="3633" t="n"/>
      <c r="D151" s="3634" t="n"/>
      <c r="E151" s="3633" t="n"/>
      <c r="F151" s="3576" t="n"/>
      <c r="G151" s="3490" t="n"/>
      <c r="H151" s="3638" t="n"/>
      <c r="I151" s="3637" t="n"/>
      <c r="J151" s="3631" t="n"/>
    </row>
    <row r="152">
      <c r="A152" s="3626" t="inlineStr">
        <is>
          <t>TOTAL</t>
        </is>
      </c>
      <c r="B152" s="3628">
        <f>SUM(B143:B151)</f>
        <v/>
      </c>
      <c r="C152" s="3627">
        <f>SUM(C143:C151)</f>
        <v/>
      </c>
      <c r="D152" s="3628">
        <f>SUM(D143:D151)</f>
        <v/>
      </c>
      <c r="E152" s="3627">
        <f>SUM(E143:E151)</f>
        <v/>
      </c>
      <c r="F152" s="3639">
        <f>SUM(F143:F151)</f>
        <v/>
      </c>
      <c r="G152" s="3640">
        <f>SUM(G143:G151)</f>
        <v/>
      </c>
      <c r="H152" s="450">
        <f>SUM(H143:H151)</f>
        <v/>
      </c>
      <c r="I152" s="3641">
        <f>I144</f>
        <v/>
      </c>
      <c r="J152" s="3628">
        <f>J144</f>
        <v/>
      </c>
    </row>
    <row r="204" hidden="1" ht="41.25" customHeight="1" s="8286">
      <c r="A204" s="282">
        <f>SUM(B13:F13,G13:J13,G14:G17,K13:AE13,K14:K17,P14:P17,U14:U17,Z14:Z17,AC14:AC17,B21:B25,C31:C37,B40:B48,B51:B53,B57:B59,F57:F59,B69:G69,B72:G76,C80:C84,B89:Q101,B106:B113,B118:B119,B123:H124,B127:I138,B143:B151)</f>
        <v/>
      </c>
      <c r="B204" s="283">
        <f>SUM(BC31:BN140)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HAJMhqG9mnsB5HfJ0Gghgg==" formatRows="1" sort="1" spinCount="100000" hashValue="jNRMxRl3HAtRlJOArzBU9OLM7fgImpjp6hdNz7rMbtUSEpugK0Zm96JCgPa+djeRJPxkeyvLA4RmAhkaoxVABw=="/>
  <mergeCells count="66">
    <mergeCell ref="A77:E77"/>
    <mergeCell ref="F87:G87"/>
    <mergeCell ref="A61:A62"/>
    <mergeCell ref="G61:G62"/>
    <mergeCell ref="F116:G116"/>
    <mergeCell ref="G141:G142"/>
    <mergeCell ref="B61:D61"/>
    <mergeCell ref="A78:A79"/>
    <mergeCell ref="C29:C30"/>
    <mergeCell ref="C141:D141"/>
    <mergeCell ref="E141:F141"/>
    <mergeCell ref="D29:G29"/>
    <mergeCell ref="I141:I142"/>
    <mergeCell ref="D78:I78"/>
    <mergeCell ref="G10:J11"/>
    <mergeCell ref="J87:K87"/>
    <mergeCell ref="L87:M87"/>
    <mergeCell ref="C9:C12"/>
    <mergeCell ref="A29:B30"/>
    <mergeCell ref="E9:E12"/>
    <mergeCell ref="N86:Q86"/>
    <mergeCell ref="B116:B117"/>
    <mergeCell ref="A37:B37"/>
    <mergeCell ref="G9:Y9"/>
    <mergeCell ref="B78:B79"/>
    <mergeCell ref="K10:O11"/>
    <mergeCell ref="A80:B80"/>
    <mergeCell ref="U10:Y11"/>
    <mergeCell ref="A103:G103"/>
    <mergeCell ref="B104:G104"/>
    <mergeCell ref="A141:A142"/>
    <mergeCell ref="B9:B12"/>
    <mergeCell ref="N29:O29"/>
    <mergeCell ref="A6:J6"/>
    <mergeCell ref="A104:A105"/>
    <mergeCell ref="A33:B33"/>
    <mergeCell ref="E61:E62"/>
    <mergeCell ref="F61:F62"/>
    <mergeCell ref="A116:A117"/>
    <mergeCell ref="A32:B32"/>
    <mergeCell ref="Z9:AE9"/>
    <mergeCell ref="A81:A82"/>
    <mergeCell ref="C78:C79"/>
    <mergeCell ref="F86:I86"/>
    <mergeCell ref="P10:T11"/>
    <mergeCell ref="N87:O87"/>
    <mergeCell ref="H29:M29"/>
    <mergeCell ref="P87:Q87"/>
    <mergeCell ref="D9:D12"/>
    <mergeCell ref="H87:I87"/>
    <mergeCell ref="A35:A36"/>
    <mergeCell ref="F9:F12"/>
    <mergeCell ref="C116:E116"/>
    <mergeCell ref="A9:A12"/>
    <mergeCell ref="B141:B142"/>
    <mergeCell ref="AC10:AE11"/>
    <mergeCell ref="H141:H142"/>
    <mergeCell ref="J141:J142"/>
    <mergeCell ref="J86:M86"/>
    <mergeCell ref="B86:C87"/>
    <mergeCell ref="Z10:AB11"/>
    <mergeCell ref="A83:A84"/>
    <mergeCell ref="D86:E87"/>
    <mergeCell ref="A86:A88"/>
    <mergeCell ref="A31:B31"/>
    <mergeCell ref="A34:B34"/>
  </mergeCells>
  <dataValidations count="9">
    <dataValidation sqref="B14:B17 B40:B48 B63:G68 C21:F25 C51:H53 C54:E54 C57:F59 C143:J151 D31:O37 E140:J140" showDropDown="0" showInputMessage="1" showErrorMessage="1" allowBlank="0" type="whole" operator="greaterThanOrEqual">
      <formula1>0</formula1>
    </dataValidation>
    <dataValidation sqref="A69 A71:A76 B56 B69:G71 C60:D60 C62:D62 C115:D115 E61:F61 E70:H70 H72:I76" showDropDown="0" showInputMessage="1" showErrorMessage="1" allowBlank="0" type="whole">
      <formula1>0</formula1>
      <formula2>1E+27</formula2>
    </dataValidation>
    <dataValidation sqref="D102:Q102" showDropDown="0" showInputMessage="1" showErrorMessage="1" allowBlank="0" type="whole">
      <formula1>0</formula1>
      <formula2>10000000</formula2>
    </dataValidation>
    <dataValidation sqref="A115:A116 A118 B115:B119 C115:E115" showDropDown="0" showInputMessage="1" showErrorMessage="1" allowBlank="0" error="Valor no Permitido"/>
    <dataValidation sqref="B122 B123:H124 C14:F17 H14:J17 L14:O17 Q14:T17 V14:Y17 AA14:AB17 AD14:AE17" showDropDown="0" showInputMessage="1" showErrorMessage="1" allowBlank="0" type="decimal" operator="greaterThanOrEqual">
      <formula1>0</formula1>
    </dataValidation>
    <dataValidation sqref="A70" showDropDown="0" showInputMessage="1" showErrorMessage="1" allowBlank="0"/>
    <dataValidation sqref="B127:I138" showDropDown="0" showInputMessage="1" showErrorMessage="1" allowBlank="0" type="whole">
      <formula1>0</formula1>
      <formula2>9.99999999999999E+37</formula2>
    </dataValidation>
    <dataValidation sqref="B72:I76 B89:Q101 D80:I84" showDropDown="0" showInputMessage="1" showErrorMessage="1" allowBlank="0" type="whole">
      <formula1>0</formula1>
      <formula2>9.99999999999999E+34</formula2>
    </dataValidation>
    <dataValidation sqref="C106:G113 C118:G119" showDropDown="0" showInputMessage="1" showErrorMessage="1" allowBlank="0" type="whole">
      <formula1>0</formula1>
      <formula2>9.99999999999999E+35</formula2>
    </dataValidation>
  </dataValidation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>
  <sheetPr codeName="Hoja16">
    <outlinePr summaryBelow="1" summaryRight="1"/>
    <pageSetUpPr/>
  </sheetPr>
  <dimension ref="A1:CH215"/>
  <sheetViews>
    <sheetView showGridLines="0" zoomScaleNormal="100" workbookViewId="0">
      <selection activeCell="B1" sqref="B1"/>
    </sheetView>
  </sheetViews>
  <sheetFormatPr baseColWidth="10" defaultColWidth="11.42578125" defaultRowHeight="15"/>
  <cols>
    <col width="56.140625" customWidth="1" style="8286" min="1" max="1"/>
    <col width="32.7109375" customWidth="1" style="8286" min="2" max="2"/>
    <col width="19.85546875" customWidth="1" style="8286" min="3" max="3"/>
    <col width="15.7109375" customWidth="1" style="8286" min="4" max="4"/>
    <col width="13.42578125" customWidth="1" style="8286" min="5" max="5"/>
    <col width="11.85546875" customWidth="1" style="8286" min="38" max="38"/>
    <col width="14.28515625" customWidth="1" style="8286" min="41" max="41"/>
    <col width="11.42578125" customWidth="1" style="8286" min="76" max="78"/>
    <col hidden="1" width="11.42578125" customWidth="1" style="8286" min="79" max="86"/>
    <col width="11.42578125" customWidth="1" style="8286" min="87" max="89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25">
        <f>CONCATENATE("AÑO: ",NOMBRE!B7)</f>
        <v/>
      </c>
    </row>
    <row r="6" ht="18" customHeight="1" s="8286">
      <c r="A6" s="7256" t="inlineStr">
        <is>
          <t>REM-23.   SALAS: IRA, ERA Y MIXTAS EN APS</t>
        </is>
      </c>
    </row>
    <row r="7" ht="15" customHeight="1" s="8286"/>
    <row r="8" ht="18" customFormat="1" customHeight="1" s="20">
      <c r="A8" s="1" t="inlineStr">
        <is>
          <t>SECCIÓN A: INGRESOS AGUDOS SEGÚN DIAGNOSTICO DERIVADOS A SALA</t>
        </is>
      </c>
      <c r="B8" s="7" t="n"/>
    </row>
    <row r="9" ht="15" customFormat="1" customHeight="1" s="17">
      <c r="A9" s="10250" t="inlineStr">
        <is>
          <t>DIAGNÓSTICOS</t>
        </is>
      </c>
      <c r="B9" s="10390" t="inlineStr">
        <is>
          <t>TOTAL</t>
        </is>
      </c>
      <c r="C9" s="9602" t="n"/>
      <c r="D9" s="9602" t="n"/>
      <c r="E9" s="10391" t="inlineStr">
        <is>
          <t>RANGO ETARIO Y SEXO</t>
        </is>
      </c>
      <c r="F9" s="9584" t="n"/>
      <c r="G9" s="9584" t="n"/>
      <c r="H9" s="9584" t="n"/>
      <c r="I9" s="9584" t="n"/>
      <c r="J9" s="9584" t="n"/>
      <c r="K9" s="9584" t="n"/>
      <c r="L9" s="9584" t="n"/>
      <c r="M9" s="9584" t="n"/>
      <c r="N9" s="9584" t="n"/>
      <c r="O9" s="9584" t="n"/>
      <c r="P9" s="9584" t="n"/>
      <c r="Q9" s="9584" t="n"/>
      <c r="R9" s="9584" t="n"/>
      <c r="S9" s="9584" t="n"/>
      <c r="T9" s="9584" t="n"/>
      <c r="U9" s="9584" t="n"/>
      <c r="V9" s="9584" t="n"/>
      <c r="W9" s="9584" t="n"/>
      <c r="X9" s="9584" t="n"/>
      <c r="Y9" s="9584" t="n"/>
      <c r="Z9" s="9584" t="n"/>
      <c r="AA9" s="9584" t="n"/>
      <c r="AB9" s="9584" t="n"/>
      <c r="AC9" s="9584" t="n"/>
      <c r="AD9" s="9584" t="n"/>
      <c r="AE9" s="9584" t="n"/>
      <c r="AF9" s="9584" t="n"/>
      <c r="AG9" s="9584" t="n"/>
      <c r="AH9" s="9584" t="n"/>
      <c r="AI9" s="9584" t="n"/>
      <c r="AJ9" s="9584" t="n"/>
      <c r="AK9" s="9584" t="n"/>
      <c r="AL9" s="9584" t="n"/>
      <c r="AM9" s="9584" t="n"/>
      <c r="AN9" s="9873" t="n"/>
      <c r="AO9" s="7829" t="inlineStr">
        <is>
          <t>Pueblos Originarios</t>
        </is>
      </c>
      <c r="AP9" s="8400" t="inlineStr">
        <is>
          <t>Migrantes</t>
        </is>
      </c>
      <c r="AQ9" s="9920" t="inlineStr">
        <is>
          <t>Por Campaña de Invierno</t>
        </is>
      </c>
    </row>
    <row r="10" ht="15" customFormat="1" customHeight="1" s="17">
      <c r="A10" s="9625" t="n"/>
      <c r="B10" s="9698" t="n"/>
      <c r="C10" s="9591" t="n"/>
      <c r="D10" s="9591" t="n"/>
      <c r="E10" s="7674" t="inlineStr">
        <is>
          <t>Menor de 1 año</t>
        </is>
      </c>
      <c r="F10" s="9603" t="n"/>
      <c r="G10" s="10046" t="inlineStr">
        <is>
          <t>1 - 4 
años</t>
        </is>
      </c>
      <c r="H10" s="9603" t="n"/>
      <c r="I10" s="10046" t="inlineStr">
        <is>
          <t>5 - 9 
años</t>
        </is>
      </c>
      <c r="J10" s="9603" t="n"/>
      <c r="K10" s="7671" t="inlineStr">
        <is>
          <t>10 - 14 años</t>
        </is>
      </c>
      <c r="L10" s="9602" t="n"/>
      <c r="M10" s="7674" t="inlineStr">
        <is>
          <t>15 - 19 años</t>
        </is>
      </c>
      <c r="N10" s="9603" t="n"/>
      <c r="O10" s="7671" t="inlineStr">
        <is>
          <t>20 - 24 años</t>
        </is>
      </c>
      <c r="P10" s="9602" t="n"/>
      <c r="Q10" s="10046" t="inlineStr">
        <is>
          <t>25 - 29 años</t>
        </is>
      </c>
      <c r="R10" s="9603" t="n"/>
      <c r="S10" s="10046" t="inlineStr">
        <is>
          <t>30 - 34 años</t>
        </is>
      </c>
      <c r="T10" s="9603" t="n"/>
      <c r="U10" s="10046" t="inlineStr">
        <is>
          <t>35 - 39 años</t>
        </is>
      </c>
      <c r="V10" s="9603" t="n"/>
      <c r="W10" s="10392" t="inlineStr">
        <is>
          <t>40 - 44 años</t>
        </is>
      </c>
      <c r="X10" s="9602" t="n"/>
      <c r="Y10" s="10046" t="inlineStr">
        <is>
          <t>45 - 49 años</t>
        </is>
      </c>
      <c r="Z10" s="9603" t="n"/>
      <c r="AA10" s="10392" t="inlineStr">
        <is>
          <t>50 - 54 años</t>
        </is>
      </c>
      <c r="AB10" s="9602" t="n"/>
      <c r="AC10" s="10046" t="inlineStr">
        <is>
          <t>55 - 59 años</t>
        </is>
      </c>
      <c r="AD10" s="9603" t="n"/>
      <c r="AE10" s="10392" t="inlineStr">
        <is>
          <t>60 - 64 años</t>
        </is>
      </c>
      <c r="AF10" s="9602" t="n"/>
      <c r="AG10" s="10046" t="inlineStr">
        <is>
          <t>65 - 69 años</t>
        </is>
      </c>
      <c r="AH10" s="9603" t="n"/>
      <c r="AI10" s="10392" t="inlineStr">
        <is>
          <t>70 - 74 años</t>
        </is>
      </c>
      <c r="AJ10" s="9602" t="n"/>
      <c r="AK10" s="10046" t="inlineStr">
        <is>
          <t>75 - 79 años</t>
        </is>
      </c>
      <c r="AL10" s="9603" t="n"/>
      <c r="AM10" s="10393" t="inlineStr">
        <is>
          <t>80 y más años</t>
        </is>
      </c>
      <c r="AN10" s="10394" t="n"/>
      <c r="AP10" s="9614" t="n"/>
      <c r="AQ10" s="9625" t="n"/>
    </row>
    <row r="11" ht="15" customFormat="1" customHeight="1" s="17">
      <c r="A11" s="9641" t="n"/>
      <c r="B11" s="3346" t="inlineStr">
        <is>
          <t>Ambos Sexos</t>
        </is>
      </c>
      <c r="C11" s="698" t="inlineStr">
        <is>
          <t>Hombres</t>
        </is>
      </c>
      <c r="D11" s="8287" t="inlineStr">
        <is>
          <t>Mujeres</t>
        </is>
      </c>
      <c r="E11" s="3642" t="inlineStr">
        <is>
          <t>Hombres</t>
        </is>
      </c>
      <c r="F11" s="8658" t="inlineStr">
        <is>
          <t>Mujeres</t>
        </is>
      </c>
      <c r="G11" s="3642" t="inlineStr">
        <is>
          <t>Hombres</t>
        </is>
      </c>
      <c r="H11" s="8658" t="inlineStr">
        <is>
          <t>Mujeres</t>
        </is>
      </c>
      <c r="I11" s="3642" t="inlineStr">
        <is>
          <t>Hombres</t>
        </is>
      </c>
      <c r="J11" s="8658" t="inlineStr">
        <is>
          <t>Mujeres</t>
        </is>
      </c>
      <c r="K11" s="3643" t="inlineStr">
        <is>
          <t>Hombres</t>
        </is>
      </c>
      <c r="L11" s="8716" t="inlineStr">
        <is>
          <t>Mujeres</t>
        </is>
      </c>
      <c r="M11" s="3642" t="inlineStr">
        <is>
          <t>Hombres</t>
        </is>
      </c>
      <c r="N11" s="8658" t="inlineStr">
        <is>
          <t>Mujeres</t>
        </is>
      </c>
      <c r="O11" s="3643" t="inlineStr">
        <is>
          <t>Hombres</t>
        </is>
      </c>
      <c r="P11" s="8716" t="inlineStr">
        <is>
          <t>Mujeres</t>
        </is>
      </c>
      <c r="Q11" s="3642" t="inlineStr">
        <is>
          <t>Hombres</t>
        </is>
      </c>
      <c r="R11" s="8658" t="inlineStr">
        <is>
          <t>Mujeres</t>
        </is>
      </c>
      <c r="S11" s="3642" t="inlineStr">
        <is>
          <t>Hombres</t>
        </is>
      </c>
      <c r="T11" s="8658" t="inlineStr">
        <is>
          <t>Mujeres</t>
        </is>
      </c>
      <c r="U11" s="3642" t="inlineStr">
        <is>
          <t>Hombres</t>
        </is>
      </c>
      <c r="V11" s="8658" t="inlineStr">
        <is>
          <t>Mujeres</t>
        </is>
      </c>
      <c r="W11" s="3643" t="inlineStr">
        <is>
          <t>Hombres</t>
        </is>
      </c>
      <c r="X11" s="8716" t="inlineStr">
        <is>
          <t>Mujeres</t>
        </is>
      </c>
      <c r="Y11" s="3642" t="inlineStr">
        <is>
          <t>Hombres</t>
        </is>
      </c>
      <c r="Z11" s="8658" t="inlineStr">
        <is>
          <t>Mujeres</t>
        </is>
      </c>
      <c r="AA11" s="3643" t="inlineStr">
        <is>
          <t>Hombres</t>
        </is>
      </c>
      <c r="AB11" s="8716" t="inlineStr">
        <is>
          <t>Mujeres</t>
        </is>
      </c>
      <c r="AC11" s="3642" t="inlineStr">
        <is>
          <t>Hombres</t>
        </is>
      </c>
      <c r="AD11" s="8658" t="inlineStr">
        <is>
          <t>Mujeres</t>
        </is>
      </c>
      <c r="AE11" s="3643" t="inlineStr">
        <is>
          <t>Hombres</t>
        </is>
      </c>
      <c r="AF11" s="8716" t="inlineStr">
        <is>
          <t>Mujeres</t>
        </is>
      </c>
      <c r="AG11" s="3642" t="inlineStr">
        <is>
          <t>Hombres</t>
        </is>
      </c>
      <c r="AH11" s="8658" t="inlineStr">
        <is>
          <t>Mujeres</t>
        </is>
      </c>
      <c r="AI11" s="3643" t="inlineStr">
        <is>
          <t>Hombres</t>
        </is>
      </c>
      <c r="AJ11" s="8716" t="inlineStr">
        <is>
          <t>Mujeres</t>
        </is>
      </c>
      <c r="AK11" s="3642" t="inlineStr">
        <is>
          <t>Hombres</t>
        </is>
      </c>
      <c r="AL11" s="8658" t="inlineStr">
        <is>
          <t>Mujeres</t>
        </is>
      </c>
      <c r="AM11" s="3643" t="inlineStr">
        <is>
          <t>Hombres</t>
        </is>
      </c>
      <c r="AN11" s="3644" t="inlineStr">
        <is>
          <t>Mujeres</t>
        </is>
      </c>
      <c r="AO11" s="9591" t="n"/>
      <c r="AP11" s="9610" t="n"/>
      <c r="AQ11" s="9641" t="n"/>
    </row>
    <row r="12" ht="15" customFormat="1" customHeight="1" s="17">
      <c r="A12" s="3645" t="inlineStr">
        <is>
          <t>I.R.A. alta</t>
        </is>
      </c>
      <c r="B12" s="3646">
        <f>SUM(C12+D12)</f>
        <v/>
      </c>
      <c r="C12" s="3647">
        <f>SUM(E12+G12+I12+K12+M12+O12+Q12+S12+U12+W12+Y12+AA12+AC12+AE12+AG12+AI12+AK12+AM12)</f>
        <v/>
      </c>
      <c r="D12" s="3648">
        <f>SUM(F12+H12+J12+L12+N12+P12+R12+T12+V12+X12+Z12+AB12+AD12+AF12+AH12+AJ12+AL12+AN12)</f>
        <v/>
      </c>
      <c r="E12" s="1971" t="n"/>
      <c r="F12" s="3649" t="n"/>
      <c r="G12" s="1971" t="n"/>
      <c r="H12" s="750" t="n"/>
      <c r="I12" s="1971" t="n"/>
      <c r="J12" s="750" t="n"/>
      <c r="K12" s="1452" t="n"/>
      <c r="L12" s="2660" t="n"/>
      <c r="M12" s="1971" t="n"/>
      <c r="N12" s="750" t="n"/>
      <c r="O12" s="1452" t="n"/>
      <c r="P12" s="2660" t="n"/>
      <c r="Q12" s="1971" t="n"/>
      <c r="R12" s="750" t="n"/>
      <c r="S12" s="1971" t="n"/>
      <c r="T12" s="750" t="n"/>
      <c r="U12" s="1971" t="n"/>
      <c r="V12" s="750" t="n"/>
      <c r="W12" s="1452" t="n"/>
      <c r="X12" s="2660" t="n"/>
      <c r="Y12" s="1971" t="n"/>
      <c r="Z12" s="750" t="n"/>
      <c r="AA12" s="1452" t="n"/>
      <c r="AB12" s="2660" t="n"/>
      <c r="AC12" s="1971" t="n"/>
      <c r="AD12" s="750" t="n"/>
      <c r="AE12" s="1452" t="n"/>
      <c r="AF12" s="2660" t="n"/>
      <c r="AG12" s="1971" t="n"/>
      <c r="AH12" s="750" t="n"/>
      <c r="AI12" s="1452" t="n"/>
      <c r="AJ12" s="2660" t="n"/>
      <c r="AK12" s="1971" t="n"/>
      <c r="AL12" s="750" t="n"/>
      <c r="AM12" s="22" t="n"/>
      <c r="AN12" s="778" t="n"/>
      <c r="AO12" s="5284" t="n">
        <v>0</v>
      </c>
      <c r="AP12" s="5286" t="n">
        <v>0</v>
      </c>
      <c r="AQ12" s="3650" t="n">
        <v>0</v>
      </c>
      <c r="AR12" s="17">
        <f>CA12&amp;CB12&amp;CC12</f>
        <v/>
      </c>
      <c r="CA12" s="90">
        <f>IF(AND(B12&gt;0,AO12="")," * No olvide digitar la variable Pueblos Originarios. Digite Cero si no tiene.",IF(AO12&gt;B12," * La variable Pueblos Originarios no puede ser mayor al Total Ambos Sexos.",""))</f>
        <v/>
      </c>
      <c r="CB12" s="90">
        <f>IF(AND(B12&gt;0,AP12="")," * No olvide digitar la variable Migrantes. Digite Cero si no tiene.",IF(AP12&gt;B12," * La variable Migrantes no puede ser mayor al Total Ambos Sexos.",""))</f>
        <v/>
      </c>
      <c r="CC12" s="90">
        <f>IF(AND(B12&gt;0,AQ12="")," * No olvide digitar la variable Por Campaña de Invierno. Digite Cero si no tiene.",IF(AQ12&gt;B12," * La variable Por Campaña de Invierno no puede ser mayor al Total Ambos Sexos.",""))</f>
        <v/>
      </c>
      <c r="CF12" s="52">
        <f>IF(AND(B12&gt;0,AO12=""),1,IF(AO12&gt;B12,1,0))</f>
        <v/>
      </c>
      <c r="CG12" s="52">
        <f>IF(AND(B12&gt;0,AP12=""),1,IF(AP12&gt;B12,1,0))</f>
        <v/>
      </c>
      <c r="CH12" s="52">
        <f>IF(AND(B12&gt;0,AQ12=""),1,IF(AQ12&gt;B12,1,0))</f>
        <v/>
      </c>
    </row>
    <row r="13" ht="15" customFormat="1" customHeight="1" s="17">
      <c r="A13" s="3651" t="inlineStr">
        <is>
          <t>Influenza</t>
        </is>
      </c>
      <c r="B13" s="3652">
        <f>SUM(C13+D13)</f>
        <v/>
      </c>
      <c r="C13" s="3653">
        <f>SUM(E13+G13+I13+K13+M13+O13+Q13+S13+U13+W13+Y13+AA13+AC13+AE13+AG13+AI13+AK13+AM13)</f>
        <v/>
      </c>
      <c r="D13" s="3654">
        <f>SUM(F13+H13+J13+L13+N13+P13+R13+T13+V13+X13+Z13+AB13+AD13+AF13+AH13+AJ13+AL13+AN13)</f>
        <v/>
      </c>
      <c r="E13" s="3655" t="n"/>
      <c r="F13" s="3656" t="n"/>
      <c r="G13" s="3655" t="n"/>
      <c r="H13" s="3657" t="n"/>
      <c r="I13" s="3655" t="n"/>
      <c r="J13" s="3657" t="n"/>
      <c r="K13" s="3658" t="n"/>
      <c r="L13" s="3659" t="n"/>
      <c r="M13" s="3655" t="n"/>
      <c r="N13" s="3657" t="n"/>
      <c r="O13" s="3658" t="n"/>
      <c r="P13" s="3659" t="n"/>
      <c r="Q13" s="3655" t="n"/>
      <c r="R13" s="3657" t="n"/>
      <c r="S13" s="3655" t="n"/>
      <c r="T13" s="3657" t="n"/>
      <c r="U13" s="3655" t="n"/>
      <c r="V13" s="3657" t="n"/>
      <c r="W13" s="3658" t="n"/>
      <c r="X13" s="3659" t="n"/>
      <c r="Y13" s="3655" t="n"/>
      <c r="Z13" s="3657" t="n"/>
      <c r="AA13" s="3658" t="n"/>
      <c r="AB13" s="3659" t="n"/>
      <c r="AC13" s="3655" t="n"/>
      <c r="AD13" s="3657" t="n"/>
      <c r="AE13" s="3658" t="n"/>
      <c r="AF13" s="3659" t="n"/>
      <c r="AG13" s="3655" t="n"/>
      <c r="AH13" s="3657" t="n"/>
      <c r="AI13" s="3658" t="n"/>
      <c r="AJ13" s="3659" t="n"/>
      <c r="AK13" s="3655" t="n"/>
      <c r="AL13" s="3657" t="n"/>
      <c r="AM13" s="3660" t="n"/>
      <c r="AN13" s="3661" t="n"/>
      <c r="AO13" s="3960" t="n">
        <v>0</v>
      </c>
      <c r="AP13" s="4008" t="n">
        <v>0</v>
      </c>
      <c r="AQ13" s="3656" t="n">
        <v>0</v>
      </c>
      <c r="AR13" s="17">
        <f>CA13&amp;CB13&amp;CC13</f>
        <v/>
      </c>
      <c r="CA13" s="90">
        <f>IF(AND(B13&gt;0,AO13="")," * No olvide digitar la variable Pueblos Originarios. Digite Cero si no tiene.",IF(AO13&gt;B13," * La variable Pueblos Originarios no puede ser mayor al Total Ambos Sexos.",""))</f>
        <v/>
      </c>
      <c r="CB13" s="90">
        <f>IF(AND(B13&gt;0,AP13="")," * No olvide digitar la variable Migrantes. Digite Cero si no tiene.",IF(AP13&gt;B13," * La variable Migrantes no puede ser mayor al Total Ambos Sexos.",""))</f>
        <v/>
      </c>
      <c r="CC13" s="90">
        <f>IF(AND(B13&gt;0,AQ13="")," * No olvide digitar la variable Por Campaña de Invierno. Digite Cero si no tiene.",IF(AQ13&gt;B13," * La variable Por Campaña de Invierno no puede ser mayor al Total Ambos Sexos.",""))</f>
        <v/>
      </c>
      <c r="CF13" s="52">
        <f>IF(AND(B13&gt;0,AO13=""),1,IF(AO13&gt;B13,1,0))</f>
        <v/>
      </c>
      <c r="CG13" s="52">
        <f>IF(AND(B13&gt;0,AP13=""),1,IF(AP13&gt;B13,1,0))</f>
        <v/>
      </c>
      <c r="CH13" s="52">
        <f>IF(AND(B13&gt;0,AQ13=""),1,IF(AQ13&gt;B13,1,0))</f>
        <v/>
      </c>
    </row>
    <row r="14" ht="15" customFormat="1" customHeight="1" s="17">
      <c r="A14" s="3651" t="inlineStr">
        <is>
          <t xml:space="preserve">Neumonía </t>
        </is>
      </c>
      <c r="B14" s="3652">
        <f>SUM(C14+D14)</f>
        <v/>
      </c>
      <c r="C14" s="3653">
        <f>SUM(E14+G14+I14+K14+M14+O14+Q14+S14+U14+W14+Y14+AA14+AC14+AE14+AG14+AI14+AK14+AM14)</f>
        <v/>
      </c>
      <c r="D14" s="3654">
        <f>SUM(F14+H14+J14+L14+N14+P14+R14+T14+V14+X14+Z14+AB14+AD14+AF14+AH14+AJ14+AL14+AN14)</f>
        <v/>
      </c>
      <c r="E14" s="3655" t="n"/>
      <c r="F14" s="3656" t="n"/>
      <c r="G14" s="3655" t="n"/>
      <c r="H14" s="3657" t="n">
        <v>1</v>
      </c>
      <c r="I14" s="3655" t="n"/>
      <c r="J14" s="3657" t="n"/>
      <c r="K14" s="3658" t="n"/>
      <c r="L14" s="3659" t="n"/>
      <c r="M14" s="3655" t="n"/>
      <c r="N14" s="3657" t="n"/>
      <c r="O14" s="3658" t="n"/>
      <c r="P14" s="3659" t="n"/>
      <c r="Q14" s="3655" t="n"/>
      <c r="R14" s="3657" t="n"/>
      <c r="S14" s="3655" t="n"/>
      <c r="T14" s="3657" t="n"/>
      <c r="U14" s="3655" t="n"/>
      <c r="V14" s="3657" t="n"/>
      <c r="W14" s="3658" t="n"/>
      <c r="X14" s="3659" t="n"/>
      <c r="Y14" s="3655" t="n"/>
      <c r="Z14" s="3657" t="n"/>
      <c r="AA14" s="3658" t="n"/>
      <c r="AB14" s="3659" t="n"/>
      <c r="AC14" s="3655" t="n"/>
      <c r="AD14" s="3657" t="n"/>
      <c r="AE14" s="3658" t="n"/>
      <c r="AF14" s="3659" t="n"/>
      <c r="AG14" s="3655" t="n"/>
      <c r="AH14" s="3657" t="n"/>
      <c r="AI14" s="3658" t="n"/>
      <c r="AJ14" s="3659" t="n">
        <v>1</v>
      </c>
      <c r="AK14" s="3655" t="n"/>
      <c r="AL14" s="3657" t="n"/>
      <c r="AM14" s="3660" t="n"/>
      <c r="AN14" s="3661" t="n"/>
      <c r="AO14" s="3960" t="n">
        <v>0</v>
      </c>
      <c r="AP14" s="4008" t="n">
        <v>0</v>
      </c>
      <c r="AQ14" s="3656" t="n">
        <v>0</v>
      </c>
      <c r="AR14" s="17">
        <f>CA14&amp;CB14&amp;CC14</f>
        <v/>
      </c>
      <c r="CA14" s="90">
        <f>IF(AND(B14&gt;0,AO14="")," * No olvide digitar la variable Pueblos Originarios. Digite Cero si no tiene.",IF(AO14&gt;B14," * La variable Pueblos Originarios no puede ser mayor al Total Ambos Sexos.",""))</f>
        <v/>
      </c>
      <c r="CB14" s="90">
        <f>IF(AND(B14&gt;0,AP14="")," * No olvide digitar la variable Migrantes. Digite Cero si no tiene.",IF(AP14&gt;B14," * La variable Migrantes no puede ser mayor al Total Ambos Sexos.",""))</f>
        <v/>
      </c>
      <c r="CC14" s="90">
        <f>IF(AND(B14&gt;0,AQ14="")," * No olvide digitar la variable Por Campaña de Invierno. Digite Cero si no tiene.",IF(AQ14&gt;B14," * La variable Por Campaña de Invierno no puede ser mayor al Total Ambos Sexos.",""))</f>
        <v/>
      </c>
      <c r="CF14" s="52">
        <f>IF(AND(B14&gt;0,AO14=""),1,IF(AO14&gt;B14,1,0))</f>
        <v/>
      </c>
      <c r="CG14" s="52">
        <f>IF(AND(B14&gt;0,AP14=""),1,IF(AP14&gt;B14,1,0))</f>
        <v/>
      </c>
      <c r="CH14" s="52">
        <f>IF(AND(B14&gt;0,AQ14=""),1,IF(AQ14&gt;B14,1,0))</f>
        <v/>
      </c>
    </row>
    <row r="15" ht="15" customFormat="1" customHeight="1" s="17">
      <c r="A15" s="3651" t="inlineStr">
        <is>
          <t>Coqueluche</t>
        </is>
      </c>
      <c r="B15" s="3652">
        <f>SUM(C15+D15)</f>
        <v/>
      </c>
      <c r="C15" s="3653">
        <f>SUM(E15+G15+I15+K15+M15+O15+Q15+S15+U15+W15+Y15+AA15+AC15+AE15+AG15+AI15+AK15+AM15)</f>
        <v/>
      </c>
      <c r="D15" s="3654">
        <f>SUM(F15+H15+J15+L15+N15+P15+R15+T15+V15+X15+Z15+AB15+AD15+AF15+AH15+AJ15+AL15+AN15)</f>
        <v/>
      </c>
      <c r="E15" s="3655" t="n"/>
      <c r="F15" s="3656" t="n"/>
      <c r="G15" s="3655" t="n"/>
      <c r="H15" s="3657" t="n"/>
      <c r="I15" s="3655" t="n"/>
      <c r="J15" s="3657" t="n"/>
      <c r="K15" s="3658" t="n"/>
      <c r="L15" s="3659" t="n"/>
      <c r="M15" s="3655" t="n"/>
      <c r="N15" s="3657" t="n"/>
      <c r="O15" s="3658" t="n"/>
      <c r="P15" s="3659" t="n"/>
      <c r="Q15" s="3655" t="n"/>
      <c r="R15" s="3657" t="n"/>
      <c r="S15" s="3655" t="n"/>
      <c r="T15" s="3657" t="n"/>
      <c r="U15" s="3655" t="n"/>
      <c r="V15" s="3657" t="n"/>
      <c r="W15" s="3658" t="n"/>
      <c r="X15" s="3659" t="n"/>
      <c r="Y15" s="3655" t="n"/>
      <c r="Z15" s="3657" t="n"/>
      <c r="AA15" s="3658" t="n"/>
      <c r="AB15" s="3659" t="n"/>
      <c r="AC15" s="3655" t="n"/>
      <c r="AD15" s="3657" t="n"/>
      <c r="AE15" s="3658" t="n"/>
      <c r="AF15" s="3659" t="n"/>
      <c r="AG15" s="3655" t="n"/>
      <c r="AH15" s="3657" t="n"/>
      <c r="AI15" s="3658" t="n"/>
      <c r="AJ15" s="3659" t="n"/>
      <c r="AK15" s="3655" t="n"/>
      <c r="AL15" s="3657" t="n"/>
      <c r="AM15" s="3660" t="n"/>
      <c r="AN15" s="3661" t="n"/>
      <c r="AO15" s="3960" t="n">
        <v>0</v>
      </c>
      <c r="AP15" s="4008" t="n">
        <v>0</v>
      </c>
      <c r="AQ15" s="3656" t="n">
        <v>0</v>
      </c>
      <c r="AR15" s="17">
        <f>CA15&amp;CB15&amp;CC15</f>
        <v/>
      </c>
      <c r="CA15" s="90">
        <f>IF(AND(B15&gt;0,AO15="")," * No olvide digitar la variable Pueblos Originarios. Digite Cero si no tiene.",IF(AO15&gt;B15," * La variable Pueblos Originarios no puede ser mayor al Total Ambos Sexos.",""))</f>
        <v/>
      </c>
      <c r="CB15" s="90">
        <f>IF(AND(B15&gt;0,AP15="")," * No olvide digitar la variable Migrantes. Digite Cero si no tiene.",IF(AP15&gt;B15," * La variable Migrantes no puede ser mayor al Total Ambos Sexos.",""))</f>
        <v/>
      </c>
      <c r="CC15" s="90">
        <f>IF(AND(B15&gt;0,AQ15="")," * No olvide digitar la variable Por Campaña de Invierno. Digite Cero si no tiene.",IF(AQ15&gt;B15," * La variable Por Campaña de Invierno no puede ser mayor al Total Ambos Sexos.",""))</f>
        <v/>
      </c>
      <c r="CF15" s="52">
        <f>IF(AND(B15&gt;0,AO15=""),1,IF(AO15&gt;B15,1,0))</f>
        <v/>
      </c>
      <c r="CG15" s="52">
        <f>IF(AND(B15&gt;0,AP15=""),1,IF(AP15&gt;B15,1,0))</f>
        <v/>
      </c>
      <c r="CH15" s="52">
        <f>IF(AND(B15&gt;0,AQ15=""),1,IF(AQ15&gt;B15,1,0))</f>
        <v/>
      </c>
    </row>
    <row r="16" ht="15" customFormat="1" customHeight="1" s="17">
      <c r="A16" s="3663" t="inlineStr">
        <is>
          <t>Bronquitis obstructiva aguda</t>
        </is>
      </c>
      <c r="B16" s="3664">
        <f>SUM(C16+D16)</f>
        <v/>
      </c>
      <c r="C16" s="3665">
        <f>SUM(E16+G16+I16+K16+M16+O16+Q16+S16+U16+W16+Y16+AA16+AC16+AE16+AG16+AI16+AK16+AM16)</f>
        <v/>
      </c>
      <c r="D16" s="3654">
        <f>SUM(F16+H16+J16+L16+N16+P16+R16+T16+V16+X16+Z16+AB16+AD16+AF16+AH16+AJ16+AL16+AN16)</f>
        <v/>
      </c>
      <c r="E16" s="3655" t="n"/>
      <c r="F16" s="3656" t="n">
        <v>1</v>
      </c>
      <c r="G16" s="3655" t="n">
        <v>2</v>
      </c>
      <c r="H16" s="3657" t="n">
        <v>3</v>
      </c>
      <c r="I16" s="3655" t="n"/>
      <c r="J16" s="3657" t="n"/>
      <c r="K16" s="3658" t="n"/>
      <c r="L16" s="3659" t="n"/>
      <c r="M16" s="3655" t="n"/>
      <c r="N16" s="3657" t="n"/>
      <c r="O16" s="3658" t="n"/>
      <c r="P16" s="3659" t="n"/>
      <c r="Q16" s="3655" t="n"/>
      <c r="R16" s="3657" t="n"/>
      <c r="S16" s="3655" t="n"/>
      <c r="T16" s="3657" t="n"/>
      <c r="U16" s="3655" t="n"/>
      <c r="V16" s="3657" t="n"/>
      <c r="W16" s="3658" t="n"/>
      <c r="X16" s="3659" t="n"/>
      <c r="Y16" s="3655" t="n"/>
      <c r="Z16" s="3657" t="n"/>
      <c r="AA16" s="3658" t="n"/>
      <c r="AB16" s="3659" t="n"/>
      <c r="AC16" s="3655" t="n"/>
      <c r="AD16" s="3657" t="n"/>
      <c r="AE16" s="3658" t="n"/>
      <c r="AF16" s="3659" t="n"/>
      <c r="AG16" s="3655" t="n"/>
      <c r="AH16" s="3657" t="n"/>
      <c r="AI16" s="3658" t="n"/>
      <c r="AJ16" s="3659" t="n"/>
      <c r="AK16" s="3655" t="n"/>
      <c r="AL16" s="3657" t="n"/>
      <c r="AM16" s="3660" t="n"/>
      <c r="AN16" s="3661" t="n"/>
      <c r="AO16" s="3960" t="n">
        <v>0</v>
      </c>
      <c r="AP16" s="4008" t="n">
        <v>0</v>
      </c>
      <c r="AQ16" s="3656" t="n">
        <v>0</v>
      </c>
      <c r="AR16" s="17">
        <f>CA16&amp;CB16&amp;CC16</f>
        <v/>
      </c>
      <c r="CA16" s="90">
        <f>IF(AND(B16&gt;0,AO16="")," * No olvide digitar la variable Pueblos Originarios. Digite Cero si no tiene.",IF(AO16&gt;B16," * La variable Pueblos Originarios no puede ser mayor al Total Ambos Sexos.",""))</f>
        <v/>
      </c>
      <c r="CB16" s="90">
        <f>IF(AND(B16&gt;0,AP16="")," * No olvide digitar la variable Migrantes. Digite Cero si no tiene.",IF(AP16&gt;B16," * La variable Migrantes no puede ser mayor al Total Ambos Sexos.",""))</f>
        <v/>
      </c>
      <c r="CC16" s="90">
        <f>IF(AND(B16&gt;0,AQ16="")," * No olvide digitar la variable Por Campaña de Invierno. Digite Cero si no tiene.",IF(AQ16&gt;B16," * La variable Por Campaña de Invierno no puede ser mayor al Total Ambos Sexos.",""))</f>
        <v/>
      </c>
      <c r="CF16" s="52">
        <f>IF(AND(B16&gt;0,AO16=""),1,IF(AO16&gt;B16,1,0))</f>
        <v/>
      </c>
      <c r="CG16" s="52">
        <f>IF(AND(B16&gt;0,AP16=""),1,IF(AP16&gt;B16,1,0))</f>
        <v/>
      </c>
      <c r="CH16" s="52">
        <f>IF(AND(B16&gt;0,AQ16=""),1,IF(AQ16&gt;B16,1,0))</f>
        <v/>
      </c>
    </row>
    <row r="17" ht="15" customFormat="1" customHeight="1" s="17">
      <c r="A17" s="3666" t="inlineStr">
        <is>
          <t>Otras IRAS bajas</t>
        </is>
      </c>
      <c r="B17" s="3652">
        <f>SUM(C17+D17)</f>
        <v/>
      </c>
      <c r="C17" s="3653">
        <f>SUM(E17+G17+I17+K17+M17+O17+Q17+S17+U17+W17+Y17+AA17+AC17+AE17+AG17+AI17+AK17+AM17)</f>
        <v/>
      </c>
      <c r="D17" s="3654">
        <f>SUM(F17+H17+J17+L17+N17+P17+R17+T17+V17+X17+Z17+AB17+AD17+AF17+AH17+AJ17+AL17+AN17)</f>
        <v/>
      </c>
      <c r="E17" s="3655" t="n"/>
      <c r="F17" s="3656" t="n"/>
      <c r="G17" s="3655" t="n">
        <v>1</v>
      </c>
      <c r="H17" s="3657" t="n"/>
      <c r="I17" s="3655" t="n"/>
      <c r="J17" s="3657" t="n"/>
      <c r="K17" s="3658" t="n"/>
      <c r="L17" s="3659" t="n"/>
      <c r="M17" s="3655" t="n"/>
      <c r="N17" s="3657" t="n"/>
      <c r="O17" s="3658" t="n"/>
      <c r="P17" s="3659" t="n"/>
      <c r="Q17" s="3655" t="n"/>
      <c r="R17" s="3657" t="n"/>
      <c r="S17" s="3655" t="n"/>
      <c r="T17" s="3657" t="n"/>
      <c r="U17" s="3655" t="n"/>
      <c r="V17" s="3657" t="n"/>
      <c r="W17" s="3658" t="n"/>
      <c r="X17" s="3659" t="n"/>
      <c r="Y17" s="3655" t="n"/>
      <c r="Z17" s="3657" t="n"/>
      <c r="AA17" s="3658" t="n"/>
      <c r="AB17" s="3659" t="n"/>
      <c r="AC17" s="3655" t="n"/>
      <c r="AD17" s="3657" t="n"/>
      <c r="AE17" s="3658" t="n"/>
      <c r="AF17" s="3659" t="n"/>
      <c r="AG17" s="3655" t="n"/>
      <c r="AH17" s="3657" t="n"/>
      <c r="AI17" s="3658" t="n"/>
      <c r="AJ17" s="3659" t="n"/>
      <c r="AK17" s="3655" t="n"/>
      <c r="AL17" s="3657" t="n"/>
      <c r="AM17" s="3660" t="n"/>
      <c r="AN17" s="3661" t="n"/>
      <c r="AO17" s="3960" t="n">
        <v>0</v>
      </c>
      <c r="AP17" s="4008" t="n">
        <v>0</v>
      </c>
      <c r="AQ17" s="3656" t="n">
        <v>0</v>
      </c>
      <c r="AR17" s="17">
        <f>CA17&amp;CB17&amp;CC17</f>
        <v/>
      </c>
      <c r="CA17" s="90">
        <f>IF(AND(B17&gt;0,AO17="")," * No olvide digitar la variable Pueblos Originarios. Digite Cero si no tiene.",IF(AO17&gt;B17," * La variable Pueblos Originarios no puede ser mayor al Total Ambos Sexos.",""))</f>
        <v/>
      </c>
      <c r="CB17" s="90">
        <f>IF(AND(B17&gt;0,AP17="")," * No olvide digitar la variable Migrantes. Digite Cero si no tiene.",IF(AP17&gt;B17," * La variable Migrantes no puede ser mayor al Total Ambos Sexos.",""))</f>
        <v/>
      </c>
      <c r="CC17" s="90">
        <f>IF(AND(B17&gt;0,AQ17="")," * No olvide digitar la variable Por Campaña de Invierno. Digite Cero si no tiene.",IF(AQ17&gt;B17," * La variable Por Campaña de Invierno no puede ser mayor al Total Ambos Sexos.",""))</f>
        <v/>
      </c>
      <c r="CF17" s="52">
        <f>IF(AND(B17&gt;0,AO17=""),1,IF(AO17&gt;B17,1,0))</f>
        <v/>
      </c>
      <c r="CG17" s="52">
        <f>IF(AND(B17&gt;0,AP17=""),1,IF(AP17&gt;B17,1,0))</f>
        <v/>
      </c>
      <c r="CH17" s="52">
        <f>IF(AND(B17&gt;0,AQ17=""),1,IF(AQ17&gt;B17,1,0))</f>
        <v/>
      </c>
    </row>
    <row r="18" ht="15" customFormat="1" customHeight="1" s="17">
      <c r="A18" s="3667" t="inlineStr">
        <is>
          <t>Exacerbación síndrome bronquial obstructivo recurrente (SBOR)</t>
        </is>
      </c>
      <c r="B18" s="3664">
        <f>SUM(C18+D18)</f>
        <v/>
      </c>
      <c r="C18" s="3665">
        <f>SUM(E18+G18)</f>
        <v/>
      </c>
      <c r="D18" s="3654">
        <f>SUM(F18+H18)</f>
        <v/>
      </c>
      <c r="E18" s="3655" t="n"/>
      <c r="F18" s="3656" t="n"/>
      <c r="G18" s="3655" t="n"/>
      <c r="H18" s="3657" t="n"/>
      <c r="I18" s="3668" t="n"/>
      <c r="J18" s="3669" t="n"/>
      <c r="K18" s="3670" t="n"/>
      <c r="L18" s="3671" t="n"/>
      <c r="M18" s="3668" t="n"/>
      <c r="N18" s="3669" t="n"/>
      <c r="O18" s="3670" t="n"/>
      <c r="P18" s="3671" t="n"/>
      <c r="Q18" s="3668" t="n"/>
      <c r="R18" s="3669" t="n"/>
      <c r="S18" s="3668" t="n"/>
      <c r="T18" s="3669" t="n"/>
      <c r="U18" s="3668" t="n"/>
      <c r="V18" s="3669" t="n"/>
      <c r="W18" s="3670" t="n"/>
      <c r="X18" s="3671" t="n"/>
      <c r="Y18" s="3668" t="n"/>
      <c r="Z18" s="3669" t="n"/>
      <c r="AA18" s="3670" t="n"/>
      <c r="AB18" s="3671" t="n"/>
      <c r="AC18" s="3668" t="n"/>
      <c r="AD18" s="3669" t="n"/>
      <c r="AE18" s="3670" t="n"/>
      <c r="AF18" s="3671" t="n"/>
      <c r="AG18" s="3668" t="n"/>
      <c r="AH18" s="3669" t="n"/>
      <c r="AI18" s="3670" t="n"/>
      <c r="AJ18" s="3671" t="n"/>
      <c r="AK18" s="3668" t="n"/>
      <c r="AL18" s="3669" t="n"/>
      <c r="AM18" s="3672" t="n"/>
      <c r="AN18" s="3673" t="n"/>
      <c r="AO18" s="3960" t="n">
        <v>0</v>
      </c>
      <c r="AP18" s="4008" t="n">
        <v>0</v>
      </c>
      <c r="AQ18" s="3656" t="n">
        <v>0</v>
      </c>
      <c r="AR18" s="17">
        <f>CA18&amp;CB18&amp;CC18</f>
        <v/>
      </c>
      <c r="CA18" s="90">
        <f>IF(AND(B18&gt;0,AO18="")," * No olvide digitar la variable Pueblos Originarios. Digite Cero si no tiene.",IF(AO18&gt;B18," * La variable Pueblos Originarios no puede ser mayor al Total Ambos Sexos.",""))</f>
        <v/>
      </c>
      <c r="CB18" s="90">
        <f>IF(AND(B18&gt;0,AP18="")," * No olvide digitar la variable Migrantes. Digite Cero si no tiene.",IF(AP18&gt;B18," * La variable Migrantes no puede ser mayor al Total Ambos Sexos.",""))</f>
        <v/>
      </c>
      <c r="CC18" s="90">
        <f>IF(AND(B18&gt;0,AQ18="")," * No olvide digitar la variable Por Campaña de Invierno. Digite Cero si no tiene.",IF(AQ18&gt;B18," * La variable Por Campaña de Invierno no puede ser mayor al Total Ambos Sexos.",""))</f>
        <v/>
      </c>
      <c r="CF18" s="52">
        <f>IF(AND(B18&gt;0,AO18=""),1,IF(AO18&gt;B18,1,0))</f>
        <v/>
      </c>
      <c r="CG18" s="52">
        <f>IF(AND(B18&gt;0,AP18=""),1,IF(AP18&gt;B18,1,0))</f>
        <v/>
      </c>
      <c r="CH18" s="52">
        <f>IF(AND(B18&gt;0,AQ18=""),1,IF(AQ18&gt;B18,1,0))</f>
        <v/>
      </c>
    </row>
    <row r="19" ht="15" customFormat="1" customHeight="1" s="17">
      <c r="A19" s="3666" t="inlineStr">
        <is>
          <t>Exacerbación Asma</t>
        </is>
      </c>
      <c r="B19" s="3652">
        <f>SUM(C19+D19)</f>
        <v/>
      </c>
      <c r="C19" s="3653">
        <f>SUM(G19+I19+K19+M19+O19+Q19+S19+U19+W19+Y19+AA19+AC19+AE19+AG19+AI19+AK19+AM19)</f>
        <v/>
      </c>
      <c r="D19" s="3654">
        <f>SUM(H19+J19+L19+N19+P19+R19+T19+V19+X19+Z19+AB19+AD19+AF19+AH19+AJ19+AL19+AN19)</f>
        <v/>
      </c>
      <c r="E19" s="3668" t="n"/>
      <c r="F19" s="3674" t="n"/>
      <c r="G19" s="3655" t="n"/>
      <c r="H19" s="3657" t="n">
        <v>1</v>
      </c>
      <c r="I19" s="3655" t="n"/>
      <c r="J19" s="3657" t="n"/>
      <c r="K19" s="3658" t="n">
        <v>2</v>
      </c>
      <c r="L19" s="3659" t="n"/>
      <c r="M19" s="3655" t="n"/>
      <c r="N19" s="3657" t="n"/>
      <c r="O19" s="3658" t="n"/>
      <c r="P19" s="3659" t="n"/>
      <c r="Q19" s="3655" t="n"/>
      <c r="R19" s="3657" t="n"/>
      <c r="S19" s="3655" t="n"/>
      <c r="T19" s="3657" t="n"/>
      <c r="U19" s="3655" t="n"/>
      <c r="V19" s="3657" t="n"/>
      <c r="W19" s="3658" t="n"/>
      <c r="X19" s="3659" t="n"/>
      <c r="Y19" s="3655" t="n"/>
      <c r="Z19" s="3657" t="n"/>
      <c r="AA19" s="3658" t="n"/>
      <c r="AB19" s="3659" t="n"/>
      <c r="AC19" s="3655" t="n"/>
      <c r="AD19" s="3657" t="n"/>
      <c r="AE19" s="3658" t="n"/>
      <c r="AF19" s="3659" t="n"/>
      <c r="AG19" s="3655" t="n"/>
      <c r="AH19" s="3657" t="n"/>
      <c r="AI19" s="3658" t="n"/>
      <c r="AJ19" s="3659" t="n"/>
      <c r="AK19" s="3655" t="n"/>
      <c r="AL19" s="3657" t="n"/>
      <c r="AM19" s="3660" t="n"/>
      <c r="AN19" s="3661" t="n"/>
      <c r="AO19" s="3960" t="n">
        <v>0</v>
      </c>
      <c r="AP19" s="4008" t="n">
        <v>0</v>
      </c>
      <c r="AQ19" s="3656" t="n">
        <v>0</v>
      </c>
      <c r="AR19" s="17">
        <f>CA19&amp;CB19&amp;CC19</f>
        <v/>
      </c>
      <c r="CA19" s="90">
        <f>IF(AND(B19&gt;0,AO19="")," * No olvide digitar la variable Pueblos Originarios. Digite Cero si no tiene.",IF(AO19&gt;B19," * La variable Pueblos Originarios no puede ser mayor al Total Ambos Sexos.",""))</f>
        <v/>
      </c>
      <c r="CB19" s="90">
        <f>IF(AND(B19&gt;0,AP19="")," * No olvide digitar la variable Migrantes. Digite Cero si no tiene.",IF(AP19&gt;B19," * La variable Migrantes no puede ser mayor al Total Ambos Sexos.",""))</f>
        <v/>
      </c>
      <c r="CC19" s="90">
        <f>IF(AND(B19&gt;0,AQ19="")," * No olvide digitar la variable Por Campaña de Invierno. Digite Cero si no tiene.",IF(AQ19&gt;B19," * La variable Por Campaña de Invierno no puede ser mayor al Total Ambos Sexos.",""))</f>
        <v/>
      </c>
      <c r="CF19" s="52">
        <f>IF(AND(B19&gt;0,AO19=""),1,IF(AO19&gt;B19,1,0))</f>
        <v/>
      </c>
      <c r="CG19" s="52">
        <f>IF(AND(B19&gt;0,AP19=""),1,IF(AP19&gt;B19,1,0))</f>
        <v/>
      </c>
      <c r="CH19" s="52">
        <f>IF(AND(B19&gt;0,AQ19=""),1,IF(AQ19&gt;B19,1,0))</f>
        <v/>
      </c>
    </row>
    <row r="20" ht="15" customFormat="1" customHeight="1" s="17">
      <c r="A20" s="3667" t="inlineStr">
        <is>
          <t>Exacerbación de enfermedad pulmonar obstructiva crónica (EPOC)</t>
        </is>
      </c>
      <c r="B20" s="3664">
        <f>SUM(C20+D20)</f>
        <v/>
      </c>
      <c r="C20" s="3665">
        <f>SUM(W20+Y20+AA20+AC20+AE20+AG20+AI20+AK20+AM20)</f>
        <v/>
      </c>
      <c r="D20" s="3654">
        <f>SUM(X20+Z20+AB20+AD20+AF20+AH20+AJ20+AL20+AN20)</f>
        <v/>
      </c>
      <c r="E20" s="3668" t="n"/>
      <c r="F20" s="3674" t="n"/>
      <c r="G20" s="3668" t="n"/>
      <c r="H20" s="3669" t="n"/>
      <c r="I20" s="3668" t="n"/>
      <c r="J20" s="3669" t="n"/>
      <c r="K20" s="3670" t="n"/>
      <c r="L20" s="3671" t="n"/>
      <c r="M20" s="3668" t="n"/>
      <c r="N20" s="3669" t="n"/>
      <c r="O20" s="3670" t="n"/>
      <c r="P20" s="3671" t="n"/>
      <c r="Q20" s="3668" t="n"/>
      <c r="R20" s="3669" t="n"/>
      <c r="S20" s="3668" t="n"/>
      <c r="T20" s="3669" t="n"/>
      <c r="U20" s="3668" t="n"/>
      <c r="V20" s="3669" t="n"/>
      <c r="W20" s="3658" t="n"/>
      <c r="X20" s="3659" t="n"/>
      <c r="Y20" s="3655" t="n"/>
      <c r="Z20" s="3657" t="n"/>
      <c r="AA20" s="3658" t="n"/>
      <c r="AB20" s="3659" t="n"/>
      <c r="AC20" s="3655" t="n"/>
      <c r="AD20" s="3657" t="n"/>
      <c r="AE20" s="3658" t="n"/>
      <c r="AF20" s="3659" t="n"/>
      <c r="AG20" s="3655" t="n"/>
      <c r="AH20" s="3657" t="n"/>
      <c r="AI20" s="3658" t="n"/>
      <c r="AJ20" s="3659" t="n"/>
      <c r="AK20" s="3655" t="n"/>
      <c r="AL20" s="3657" t="n"/>
      <c r="AM20" s="3660" t="n"/>
      <c r="AN20" s="3661" t="n"/>
      <c r="AO20" s="3960" t="n">
        <v>0</v>
      </c>
      <c r="AP20" s="4008" t="n">
        <v>0</v>
      </c>
      <c r="AQ20" s="3656" t="n">
        <v>0</v>
      </c>
      <c r="AR20" s="17">
        <f>CA20&amp;CB20&amp;CC20</f>
        <v/>
      </c>
      <c r="CA20" s="90">
        <f>IF(AND(B20&gt;0,AO20="")," * No olvide digitar la variable Pueblos Originarios. Digite Cero si no tiene.",IF(AO20&gt;B20," * La variable Pueblos Originarios no puede ser mayor al Total Ambos Sexos.",""))</f>
        <v/>
      </c>
      <c r="CB20" s="90">
        <f>IF(AND(B20&gt;0,AP20="")," * No olvide digitar la variable Migrantes. Digite Cero si no tiene.",IF(AP20&gt;B20," * La variable Migrantes no puede ser mayor al Total Ambos Sexos.",""))</f>
        <v/>
      </c>
      <c r="CC20" s="90">
        <f>IF(AND(B20&gt;0,AQ20="")," * No olvide digitar la variable Por Campaña de Invierno. Digite Cero si no tiene.",IF(AQ20&gt;B20," * La variable Por Campaña de Invierno no puede ser mayor al Total Ambos Sexos.",""))</f>
        <v/>
      </c>
      <c r="CF20" s="52">
        <f>IF(AND(B20&gt;0,AO20=""),1,IF(AO20&gt;B20,1,0))</f>
        <v/>
      </c>
      <c r="CG20" s="52">
        <f>IF(AND(B20&gt;0,AP20=""),1,IF(AP20&gt;B20,1,0))</f>
        <v/>
      </c>
      <c r="CH20" s="52">
        <f>IF(AND(B20&gt;0,AQ20=""),1,IF(AQ20&gt;B20,1,0))</f>
        <v/>
      </c>
    </row>
    <row r="21" ht="15" customFormat="1" customHeight="1" s="17">
      <c r="A21" s="3666" t="inlineStr">
        <is>
          <t>Exacerbación fibrosis quística</t>
        </is>
      </c>
      <c r="B21" s="3652">
        <f>SUM(C21+D21)</f>
        <v/>
      </c>
      <c r="C21" s="3653">
        <f>SUM(E21+G21+I21+K21+M21+O21+Q21+S21+U21+W21+Y21+AA21+AC21+AE21+AG21+AI21+AK21+AM21)</f>
        <v/>
      </c>
      <c r="D21" s="3654">
        <f>SUM(F21+H21+J21+L21+N21+P21+R21+T21+V21+X21+Z21+AB21+AD21+AF21+AH21+AJ21+AL21+AN21)</f>
        <v/>
      </c>
      <c r="E21" s="3655" t="n"/>
      <c r="F21" s="3656" t="n"/>
      <c r="G21" s="3655" t="n"/>
      <c r="H21" s="3657" t="n"/>
      <c r="I21" s="3655" t="n"/>
      <c r="J21" s="3657" t="n"/>
      <c r="K21" s="3658" t="n"/>
      <c r="L21" s="3659" t="n"/>
      <c r="M21" s="3655" t="n"/>
      <c r="N21" s="3657" t="n"/>
      <c r="O21" s="3658" t="n"/>
      <c r="P21" s="3659" t="n"/>
      <c r="Q21" s="3655" t="n"/>
      <c r="R21" s="3657" t="n"/>
      <c r="S21" s="3655" t="n"/>
      <c r="T21" s="3657" t="n"/>
      <c r="U21" s="3655" t="n"/>
      <c r="V21" s="3657" t="n"/>
      <c r="W21" s="3658" t="n"/>
      <c r="X21" s="3659" t="n"/>
      <c r="Y21" s="3655" t="n"/>
      <c r="Z21" s="3657" t="n"/>
      <c r="AA21" s="3658" t="n"/>
      <c r="AB21" s="3659" t="n"/>
      <c r="AC21" s="3655" t="n"/>
      <c r="AD21" s="3657" t="n"/>
      <c r="AE21" s="3658" t="n"/>
      <c r="AF21" s="3659" t="n"/>
      <c r="AG21" s="3655" t="n"/>
      <c r="AH21" s="3657" t="n"/>
      <c r="AI21" s="3658" t="n"/>
      <c r="AJ21" s="3659" t="n"/>
      <c r="AK21" s="3655" t="n"/>
      <c r="AL21" s="3657" t="n"/>
      <c r="AM21" s="3660" t="n"/>
      <c r="AN21" s="3661" t="n"/>
      <c r="AO21" s="3960" t="n">
        <v>0</v>
      </c>
      <c r="AP21" s="4008" t="n">
        <v>0</v>
      </c>
      <c r="AQ21" s="3656" t="n">
        <v>0</v>
      </c>
      <c r="AR21" s="17">
        <f>CA21&amp;CB21&amp;CC21</f>
        <v/>
      </c>
      <c r="CA21" s="90">
        <f>IF(AND(B21&gt;0,AO21="")," * No olvide digitar la variable Pueblos Originarios. Digite Cero si no tiene.",IF(AO21&gt;B21," * La variable Pueblos Originarios no puede ser mayor al Total Ambos Sexos.",""))</f>
        <v/>
      </c>
      <c r="CB21" s="90">
        <f>IF(AND(B21&gt;0,AP21="")," * No olvide digitar la variable Migrantes. Digite Cero si no tiene.",IF(AP21&gt;B21," * La variable Migrantes no puede ser mayor al Total Ambos Sexos.",""))</f>
        <v/>
      </c>
      <c r="CC21" s="90">
        <f>IF(AND(B21&gt;0,AQ21="")," * No olvide digitar la variable Por Campaña de Invierno. Digite Cero si no tiene.",IF(AQ21&gt;B21," * La variable Por Campaña de Invierno no puede ser mayor al Total Ambos Sexos.",""))</f>
        <v/>
      </c>
      <c r="CF21" s="52">
        <f>IF(AND(B21&gt;0,AO21=""),1,IF(AO21&gt;B21,1,0))</f>
        <v/>
      </c>
      <c r="CG21" s="52">
        <f>IF(AND(B21&gt;0,AP21=""),1,IF(AP21&gt;B21,1,0))</f>
        <v/>
      </c>
      <c r="CH21" s="52">
        <f>IF(AND(B21&gt;0,AQ21=""),1,IF(AQ21&gt;B21,1,0))</f>
        <v/>
      </c>
    </row>
    <row r="22" ht="15" customFormat="1" customHeight="1" s="17">
      <c r="A22" s="3675" t="inlineStr">
        <is>
          <t>Exacerbación otras respiratorias crónicas</t>
        </is>
      </c>
      <c r="B22" s="3676">
        <f>SUM(C22+D22)</f>
        <v/>
      </c>
      <c r="C22" s="3677">
        <f>SUM(E22+G22+I22+K22+M22+O22+Q22+S22+U22+W22+Y22+AA22+AC22+AE22+AG22+AI22+AK22+AM22)</f>
        <v/>
      </c>
      <c r="D22" s="1136">
        <f>SUM(F22+H22+J22+L22+N22+P22+R22+T22+V22+X22+Z22+AB22+AD22+AF22+AH22+AJ22+AL22+AN22)</f>
        <v/>
      </c>
      <c r="E22" s="3678" t="n"/>
      <c r="F22" s="1138" t="n"/>
      <c r="G22" s="3678" t="n"/>
      <c r="H22" s="3679" t="n"/>
      <c r="I22" s="3678" t="n"/>
      <c r="J22" s="3679" t="n"/>
      <c r="K22" s="3680" t="n"/>
      <c r="L22" s="3681" t="n"/>
      <c r="M22" s="3678" t="n"/>
      <c r="N22" s="3679" t="n"/>
      <c r="O22" s="3680" t="n"/>
      <c r="P22" s="3681" t="n"/>
      <c r="Q22" s="3678" t="n"/>
      <c r="R22" s="3679" t="n"/>
      <c r="S22" s="3678" t="n"/>
      <c r="T22" s="3679" t="n"/>
      <c r="U22" s="3678" t="n"/>
      <c r="V22" s="3679" t="n"/>
      <c r="W22" s="3680" t="n"/>
      <c r="X22" s="3681" t="n"/>
      <c r="Y22" s="3678" t="n"/>
      <c r="Z22" s="3679" t="n"/>
      <c r="AA22" s="3680" t="n"/>
      <c r="AB22" s="3681" t="n"/>
      <c r="AC22" s="3678" t="n"/>
      <c r="AD22" s="3679" t="n"/>
      <c r="AE22" s="3680" t="n"/>
      <c r="AF22" s="3681" t="n"/>
      <c r="AG22" s="3678" t="n"/>
      <c r="AH22" s="3679" t="n"/>
      <c r="AI22" s="3680" t="n"/>
      <c r="AJ22" s="3681" t="n"/>
      <c r="AK22" s="3678" t="n"/>
      <c r="AL22" s="3679" t="n"/>
      <c r="AM22" s="1142" t="n"/>
      <c r="AN22" s="3682" t="n"/>
      <c r="AO22" s="3960" t="n">
        <v>0</v>
      </c>
      <c r="AP22" s="4008" t="n">
        <v>0</v>
      </c>
      <c r="AQ22" s="3656" t="n">
        <v>0</v>
      </c>
      <c r="AR22" s="17">
        <f>CA22&amp;CB22&amp;CC22</f>
        <v/>
      </c>
      <c r="CA22" s="90">
        <f>IF(AND(B22&gt;0,AO22="")," * No olvide digitar la variable Pueblos Originarios. Digite Cero si no tiene.",IF(AO22&gt;B22," * La variable Pueblos Originarios no puede ser mayor al Total Ambos Sexos.",""))</f>
        <v/>
      </c>
      <c r="CB22" s="90">
        <f>IF(AND(B22&gt;0,AP22="")," * No olvide digitar la variable Migrantes. Digite Cero si no tiene.",IF(AP22&gt;B22," * La variable Migrantes no puede ser mayor al Total Ambos Sexos.",""))</f>
        <v/>
      </c>
      <c r="CC22" s="90">
        <f>IF(AND(B22&gt;0,AQ22="")," * No olvide digitar la variable Por Campaña de Invierno. Digite Cero si no tiene.",IF(AQ22&gt;B22," * La variable Por Campaña de Invierno no puede ser mayor al Total Ambos Sexos.",""))</f>
        <v/>
      </c>
      <c r="CF22" s="52">
        <f>IF(AND(B22&gt;0,AO22=""),1,IF(AO22&gt;B22,1,0))</f>
        <v/>
      </c>
      <c r="CG22" s="52">
        <f>IF(AND(B22&gt;0,AP22=""),1,IF(AP22&gt;B22,1,0))</f>
        <v/>
      </c>
      <c r="CH22" s="52">
        <f>IF(AND(B22&gt;0,AQ22=""),1,IF(AQ22&gt;B22,1,0))</f>
        <v/>
      </c>
    </row>
    <row r="23" ht="15" customHeight="1" s="8286">
      <c r="A23" s="8462" t="inlineStr">
        <is>
          <t>TOTAL</t>
        </is>
      </c>
      <c r="B23" s="2684">
        <f>SUM(B12:B22)</f>
        <v/>
      </c>
      <c r="C23" s="3683">
        <f>SUM(C12:C22)</f>
        <v/>
      </c>
      <c r="D23" s="3684">
        <f>SUM(D12:D22)</f>
        <v/>
      </c>
      <c r="E23" s="3685">
        <f>SUM(E12:E22)</f>
        <v/>
      </c>
      <c r="F23" s="3686">
        <f>SUM(F12:F22)</f>
        <v/>
      </c>
      <c r="G23" s="3685">
        <f>SUM(G12:G22)</f>
        <v/>
      </c>
      <c r="H23" s="3687">
        <f>SUM(H12:H22)</f>
        <v/>
      </c>
      <c r="I23" s="3685">
        <f>SUM(I12:I22)</f>
        <v/>
      </c>
      <c r="J23" s="3687">
        <f>SUM(J12:J22)</f>
        <v/>
      </c>
      <c r="K23" s="3688">
        <f>SUM(K12:K22)</f>
        <v/>
      </c>
      <c r="L23" s="3689">
        <f>SUM(L12:L22)</f>
        <v/>
      </c>
      <c r="M23" s="3685">
        <f>SUM(M12:M22)</f>
        <v/>
      </c>
      <c r="N23" s="3687">
        <f>SUM(N12:N22)</f>
        <v/>
      </c>
      <c r="O23" s="3688">
        <f>SUM(O12:O22)</f>
        <v/>
      </c>
      <c r="P23" s="3689">
        <f>SUM(P12:P22)</f>
        <v/>
      </c>
      <c r="Q23" s="3685">
        <f>SUM(Q12:Q22)</f>
        <v/>
      </c>
      <c r="R23" s="3687">
        <f>SUM(R12:R22)</f>
        <v/>
      </c>
      <c r="S23" s="3685">
        <f>SUM(S12:S22)</f>
        <v/>
      </c>
      <c r="T23" s="3687">
        <f>SUM(T12:T22)</f>
        <v/>
      </c>
      <c r="U23" s="3685">
        <f>SUM(U12:U22)</f>
        <v/>
      </c>
      <c r="V23" s="3687">
        <f>SUM(V12:V22)</f>
        <v/>
      </c>
      <c r="W23" s="3688">
        <f>SUM(W12:W22)</f>
        <v/>
      </c>
      <c r="X23" s="3689">
        <f>SUM(X12:X22)</f>
        <v/>
      </c>
      <c r="Y23" s="3685">
        <f>SUM(Y12:Y22)</f>
        <v/>
      </c>
      <c r="Z23" s="3687">
        <f>SUM(Z12:Z22)</f>
        <v/>
      </c>
      <c r="AA23" s="3688">
        <f>SUM(AA12:AA22)</f>
        <v/>
      </c>
      <c r="AB23" s="3689">
        <f>SUM(AB12:AB22)</f>
        <v/>
      </c>
      <c r="AC23" s="3685">
        <f>SUM(AC12:AC22)</f>
        <v/>
      </c>
      <c r="AD23" s="3687">
        <f>SUM(AD12:AD22)</f>
        <v/>
      </c>
      <c r="AE23" s="3688">
        <f>SUM(AE12:AE22)</f>
        <v/>
      </c>
      <c r="AF23" s="3689">
        <f>SUM(AF12:AF22)</f>
        <v/>
      </c>
      <c r="AG23" s="3685">
        <f>SUM(AG12:AG22)</f>
        <v/>
      </c>
      <c r="AH23" s="3687">
        <f>SUM(AH12:AH22)</f>
        <v/>
      </c>
      <c r="AI23" s="3688">
        <f>SUM(AI12:AI22)</f>
        <v/>
      </c>
      <c r="AJ23" s="3689">
        <f>SUM(AJ12:AJ22)</f>
        <v/>
      </c>
      <c r="AK23" s="3685">
        <f>SUM(AK12:AK22)</f>
        <v/>
      </c>
      <c r="AL23" s="3687">
        <f>SUM(AL12:AL22)</f>
        <v/>
      </c>
      <c r="AM23" s="3688">
        <f>SUM(AM12:AM22)</f>
        <v/>
      </c>
      <c r="AN23" s="3690">
        <f>SUM(AN12:AN22)</f>
        <v/>
      </c>
      <c r="AO23" s="5450">
        <f>SUM(AO12:AO22)</f>
        <v/>
      </c>
      <c r="AP23" s="5444">
        <f>SUM(AP12:AP22)</f>
        <v/>
      </c>
      <c r="AQ23" s="3686">
        <f>SUM(AQ12:AQ22)</f>
        <v/>
      </c>
    </row>
    <row r="24" ht="18" customFormat="1" customHeight="1" s="20">
      <c r="A24" s="1" t="inlineStr">
        <is>
          <t>SECCIÓN B: INGRESO CRÓNICO SEGÚN DIAGNÓSTICO (SÓLO MÉDICO)</t>
        </is>
      </c>
    </row>
    <row r="25" ht="15" customFormat="1" customHeight="1" s="17">
      <c r="A25" s="10199" t="inlineStr">
        <is>
          <t>DIAGNÓSTICO O PROGRAMA</t>
        </is>
      </c>
      <c r="B25" s="9630" t="n"/>
      <c r="C25" s="10395" t="inlineStr">
        <is>
          <t>TOTAL</t>
        </is>
      </c>
      <c r="D25" s="9602" t="n"/>
      <c r="E25" s="9630" t="n"/>
      <c r="F25" s="10396" t="inlineStr">
        <is>
          <t>RANGO ETARIO Y SEXO</t>
        </is>
      </c>
      <c r="G25" s="9584" t="n"/>
      <c r="H25" s="9584" t="n"/>
      <c r="I25" s="9584" t="n"/>
      <c r="J25" s="9584" t="n"/>
      <c r="K25" s="9584" t="n"/>
      <c r="L25" s="9584" t="n"/>
      <c r="M25" s="9584" t="n"/>
      <c r="N25" s="9584" t="n"/>
      <c r="O25" s="9584" t="n"/>
      <c r="P25" s="9584" t="n"/>
      <c r="Q25" s="9584" t="n"/>
      <c r="R25" s="9584" t="n"/>
      <c r="S25" s="9584" t="n"/>
      <c r="T25" s="9584" t="n"/>
      <c r="U25" s="9584" t="n"/>
      <c r="V25" s="9584" t="n"/>
      <c r="W25" s="9584" t="n"/>
      <c r="X25" s="9584" t="n"/>
      <c r="Y25" s="9584" t="n"/>
      <c r="Z25" s="9584" t="n"/>
      <c r="AA25" s="9584" t="n"/>
      <c r="AB25" s="9584" t="n"/>
      <c r="AC25" s="9584" t="n"/>
      <c r="AD25" s="9584" t="n"/>
      <c r="AE25" s="9584" t="n"/>
      <c r="AF25" s="9584" t="n"/>
      <c r="AG25" s="9584" t="n"/>
      <c r="AH25" s="9584" t="n"/>
      <c r="AI25" s="9584" t="n"/>
      <c r="AJ25" s="9584" t="n"/>
      <c r="AK25" s="9584" t="n"/>
      <c r="AL25" s="9584" t="n"/>
      <c r="AM25" s="9584" t="n"/>
      <c r="AN25" s="9584" t="n"/>
      <c r="AO25" s="9595" t="n"/>
      <c r="AP25" s="9916" t="inlineStr">
        <is>
          <t>Reingresos</t>
        </is>
      </c>
      <c r="AQ25" s="8400" t="inlineStr">
        <is>
          <t>Pueblos Originarios</t>
        </is>
      </c>
      <c r="AR25" s="9920" t="inlineStr">
        <is>
          <t>Migrantes</t>
        </is>
      </c>
    </row>
    <row r="26" ht="15" customFormat="1" customHeight="1" s="17">
      <c r="B26" s="9718" t="n"/>
      <c r="C26" s="642" t="n"/>
      <c r="E26" s="9718" t="n"/>
      <c r="F26" s="7674" t="inlineStr">
        <is>
          <t>Menor de 1 año</t>
        </is>
      </c>
      <c r="G26" s="9603" t="n"/>
      <c r="H26" s="10046" t="inlineStr">
        <is>
          <t>1 - 4 
años</t>
        </is>
      </c>
      <c r="I26" s="9603" t="n"/>
      <c r="J26" s="10046" t="inlineStr">
        <is>
          <t>5 - 9 
años</t>
        </is>
      </c>
      <c r="K26" s="9603" t="n"/>
      <c r="L26" s="7674" t="inlineStr">
        <is>
          <t>10 - 14 años</t>
        </is>
      </c>
      <c r="M26" s="9603" t="n"/>
      <c r="N26" s="7674" t="inlineStr">
        <is>
          <t>15 - 19 años</t>
        </is>
      </c>
      <c r="O26" s="9603" t="n"/>
      <c r="P26" s="7674" t="inlineStr">
        <is>
          <t>20 - 24 años</t>
        </is>
      </c>
      <c r="Q26" s="9603" t="n"/>
      <c r="R26" s="10046" t="inlineStr">
        <is>
          <t>25 - 29 años</t>
        </is>
      </c>
      <c r="S26" s="9603" t="n"/>
      <c r="T26" s="10046" t="inlineStr">
        <is>
          <t>30 - 34 años</t>
        </is>
      </c>
      <c r="U26" s="9603" t="n"/>
      <c r="V26" s="10046" t="inlineStr">
        <is>
          <t>35 - 39 años</t>
        </is>
      </c>
      <c r="W26" s="9603" t="n"/>
      <c r="X26" s="10046" t="inlineStr">
        <is>
          <t>40 - 44 años</t>
        </is>
      </c>
      <c r="Y26" s="9603" t="n"/>
      <c r="Z26" s="10046" t="inlineStr">
        <is>
          <t>45 - 49 años</t>
        </is>
      </c>
      <c r="AA26" s="9603" t="n"/>
      <c r="AB26" s="10046" t="inlineStr">
        <is>
          <t>50 - 54 años</t>
        </is>
      </c>
      <c r="AC26" s="9603" t="n"/>
      <c r="AD26" s="10046" t="inlineStr">
        <is>
          <t>55 - 59 años</t>
        </is>
      </c>
      <c r="AE26" s="9603" t="n"/>
      <c r="AF26" s="10046" t="inlineStr">
        <is>
          <t>60 - 64 años</t>
        </is>
      </c>
      <c r="AG26" s="9603" t="n"/>
      <c r="AH26" s="10046" t="inlineStr">
        <is>
          <t>65 - 69 años</t>
        </is>
      </c>
      <c r="AI26" s="9603" t="n"/>
      <c r="AJ26" s="10046" t="inlineStr">
        <is>
          <t>70 - 74 años</t>
        </is>
      </c>
      <c r="AK26" s="9603" t="n"/>
      <c r="AL26" s="10046" t="inlineStr">
        <is>
          <t>75 - 79 años</t>
        </is>
      </c>
      <c r="AM26" s="9603" t="n"/>
      <c r="AN26" s="10397" t="inlineStr">
        <is>
          <t>80 y más años</t>
        </is>
      </c>
      <c r="AO26" s="9886" t="n"/>
      <c r="AP26" s="9978" t="n"/>
      <c r="AQ26" s="9614" t="n"/>
      <c r="AR26" s="9625" t="n"/>
    </row>
    <row r="27" ht="15" customFormat="1" customHeight="1" s="17">
      <c r="A27" s="9697" t="n"/>
      <c r="B27" s="9639" t="n"/>
      <c r="C27" s="3642" t="inlineStr">
        <is>
          <t>Ambos Sexos</t>
        </is>
      </c>
      <c r="D27" s="3590" t="inlineStr">
        <is>
          <t>Hombres</t>
        </is>
      </c>
      <c r="E27" s="8658" t="inlineStr">
        <is>
          <t>Mujeres</t>
        </is>
      </c>
      <c r="F27" s="3642" t="inlineStr">
        <is>
          <t>Hombres</t>
        </is>
      </c>
      <c r="G27" s="8658" t="inlineStr">
        <is>
          <t>Mujeres</t>
        </is>
      </c>
      <c r="H27" s="3642" t="inlineStr">
        <is>
          <t>Hombres</t>
        </is>
      </c>
      <c r="I27" s="8658" t="inlineStr">
        <is>
          <t>Mujeres</t>
        </is>
      </c>
      <c r="J27" s="3642" t="inlineStr">
        <is>
          <t>Hombres</t>
        </is>
      </c>
      <c r="K27" s="8658" t="inlineStr">
        <is>
          <t>Mujeres</t>
        </is>
      </c>
      <c r="L27" s="3642" t="inlineStr">
        <is>
          <t>Hombres</t>
        </is>
      </c>
      <c r="M27" s="8658" t="inlineStr">
        <is>
          <t>Mujeres</t>
        </is>
      </c>
      <c r="N27" s="3642" t="inlineStr">
        <is>
          <t>Hombres</t>
        </is>
      </c>
      <c r="O27" s="8658" t="inlineStr">
        <is>
          <t>Mujeres</t>
        </is>
      </c>
      <c r="P27" s="3642" t="inlineStr">
        <is>
          <t>Hombres</t>
        </is>
      </c>
      <c r="Q27" s="8658" t="inlineStr">
        <is>
          <t>Mujeres</t>
        </is>
      </c>
      <c r="R27" s="3346" t="inlineStr">
        <is>
          <t>Hombres</t>
        </is>
      </c>
      <c r="S27" s="8514" t="inlineStr">
        <is>
          <t>Mujeres</t>
        </is>
      </c>
      <c r="T27" s="3346" t="inlineStr">
        <is>
          <t>Hombres</t>
        </is>
      </c>
      <c r="U27" s="8514" t="inlineStr">
        <is>
          <t>Mujeres</t>
        </is>
      </c>
      <c r="V27" s="3346" t="inlineStr">
        <is>
          <t>Hombres</t>
        </is>
      </c>
      <c r="W27" s="8514" t="inlineStr">
        <is>
          <t>Mujeres</t>
        </is>
      </c>
      <c r="X27" s="3642" t="inlineStr">
        <is>
          <t>Hombres</t>
        </is>
      </c>
      <c r="Y27" s="8658" t="inlineStr">
        <is>
          <t>Mujeres</t>
        </is>
      </c>
      <c r="Z27" s="3642" t="inlineStr">
        <is>
          <t>Hombres</t>
        </is>
      </c>
      <c r="AA27" s="8658" t="inlineStr">
        <is>
          <t>Mujeres</t>
        </is>
      </c>
      <c r="AB27" s="3642" t="inlineStr">
        <is>
          <t>Hombres</t>
        </is>
      </c>
      <c r="AC27" s="8658" t="inlineStr">
        <is>
          <t>Mujeres</t>
        </is>
      </c>
      <c r="AD27" s="3642" t="inlineStr">
        <is>
          <t>Hombres</t>
        </is>
      </c>
      <c r="AE27" s="8658" t="inlineStr">
        <is>
          <t>Mujeres</t>
        </is>
      </c>
      <c r="AF27" s="3642" t="inlineStr">
        <is>
          <t>Hombres</t>
        </is>
      </c>
      <c r="AG27" s="8658" t="inlineStr">
        <is>
          <t>Mujeres</t>
        </is>
      </c>
      <c r="AH27" s="3642" t="inlineStr">
        <is>
          <t>Hombres</t>
        </is>
      </c>
      <c r="AI27" s="8658" t="inlineStr">
        <is>
          <t>Mujeres</t>
        </is>
      </c>
      <c r="AJ27" s="3642" t="inlineStr">
        <is>
          <t>Hombres</t>
        </is>
      </c>
      <c r="AK27" s="8658" t="inlineStr">
        <is>
          <t>Mujeres</t>
        </is>
      </c>
      <c r="AL27" s="3642" t="inlineStr">
        <is>
          <t>Hombres</t>
        </is>
      </c>
      <c r="AM27" s="8658" t="inlineStr">
        <is>
          <t>Mujeres</t>
        </is>
      </c>
      <c r="AN27" s="3642" t="inlineStr">
        <is>
          <t>Hombres</t>
        </is>
      </c>
      <c r="AO27" s="8750" t="inlineStr">
        <is>
          <t>Mujeres</t>
        </is>
      </c>
      <c r="AP27" s="9890" t="n"/>
      <c r="AQ27" s="9610" t="n"/>
      <c r="AR27" s="9641" t="n"/>
    </row>
    <row r="28" ht="15" customFormat="1" customHeight="1" s="17">
      <c r="A28" s="9173" t="inlineStr">
        <is>
          <t>Síndrome bronquial obstructivo recurrente (SBOR)</t>
        </is>
      </c>
      <c r="B28" s="3694" t="inlineStr">
        <is>
          <t>Leve</t>
        </is>
      </c>
      <c r="C28" s="2165">
        <f>SUM(D28+E28)</f>
        <v/>
      </c>
      <c r="D28" s="798">
        <f>SUM(F28+H28)</f>
        <v/>
      </c>
      <c r="E28" s="3695">
        <f>SUM(G28+I28)</f>
        <v/>
      </c>
      <c r="F28" s="1971" t="n"/>
      <c r="G28" s="3649" t="n"/>
      <c r="H28" s="1971" t="n"/>
      <c r="I28" s="750" t="n">
        <v>1</v>
      </c>
      <c r="J28" s="3096" t="n"/>
      <c r="K28" s="749" t="n"/>
      <c r="L28" s="3096" t="n"/>
      <c r="M28" s="749" t="n"/>
      <c r="N28" s="3096" t="n"/>
      <c r="O28" s="749" t="n"/>
      <c r="P28" s="3096" t="n"/>
      <c r="Q28" s="749" t="n"/>
      <c r="R28" s="3096" t="n"/>
      <c r="S28" s="749" t="n"/>
      <c r="T28" s="3096" t="n"/>
      <c r="U28" s="749" t="n"/>
      <c r="V28" s="3096" t="n"/>
      <c r="W28" s="749" t="n"/>
      <c r="X28" s="3096" t="n"/>
      <c r="Y28" s="749" t="n"/>
      <c r="Z28" s="3096" t="n"/>
      <c r="AA28" s="749" t="n"/>
      <c r="AB28" s="3096" t="n"/>
      <c r="AC28" s="749" t="n"/>
      <c r="AD28" s="3096" t="n"/>
      <c r="AE28" s="749" t="n"/>
      <c r="AF28" s="3096" t="n"/>
      <c r="AG28" s="749" t="n"/>
      <c r="AH28" s="3096" t="n"/>
      <c r="AI28" s="749" t="n"/>
      <c r="AJ28" s="3096" t="n"/>
      <c r="AK28" s="749" t="n"/>
      <c r="AL28" s="3154" t="n"/>
      <c r="AM28" s="749" t="n"/>
      <c r="AN28" s="3696" t="n"/>
      <c r="AO28" s="1462" t="n"/>
      <c r="AP28" s="5284" t="n">
        <v>0</v>
      </c>
      <c r="AQ28" s="5286" t="n">
        <v>0</v>
      </c>
      <c r="AR28" s="3650" t="n">
        <v>0</v>
      </c>
      <c r="AS28" s="17">
        <f>CA28&amp;CB28&amp;CC28</f>
        <v/>
      </c>
      <c r="CA28" s="90">
        <f>IF(AND(C28&gt;0,AP28="")," * No olvide digitar la variable Reingresos. Digite Cero si no tiene.",IF(AP28&gt;C28," * La variable Reingresos no puede ser mayor al Total Ambos Sexos.",""))</f>
        <v/>
      </c>
      <c r="CB28" s="90">
        <f>IF(AND(C28&gt;0,AQ28="")," * No olvide digitar la variable Pueblos Originarios.  Digite Cero si no tiene.",IF(AQ28&gt;C28," * La variable Pueblos originarios no puede ser mayor al Total Ambos Sexos.",""))</f>
        <v/>
      </c>
      <c r="CC28" s="90">
        <f>IF(AND(C28&gt;0,AR28="")," * No olvide digitar la variable Migrantes. Digite Cero si no tiene.",IF(AR28&gt;C28," * La variable Migrantes no puede ser mayor al Total Ambos Sexos.",""))</f>
        <v/>
      </c>
      <c r="CD28" s="101" t="n"/>
      <c r="CF28" s="52">
        <f>IF(AND(C28&gt;0,AP28=""),1,IF(AP28&gt;C28,1,0))</f>
        <v/>
      </c>
      <c r="CG28" s="52">
        <f>IF(AND(C28&gt;0,AQ28=""),1,IF(AQ28&gt;C28,1,0))</f>
        <v/>
      </c>
      <c r="CH28" s="52">
        <f>IF(AND(C28&gt;0,AR28=""),1,IF(AR28&gt;C28,1,0))</f>
        <v/>
      </c>
    </row>
    <row r="29" ht="15" customFormat="1" customHeight="1" s="17">
      <c r="A29" s="9588" t="n"/>
      <c r="B29" s="3697" t="inlineStr">
        <is>
          <t>Moderado</t>
        </is>
      </c>
      <c r="C29" s="2165">
        <f>SUM(D29+E29)</f>
        <v/>
      </c>
      <c r="D29" s="798">
        <f>SUM(F29+H29)</f>
        <v/>
      </c>
      <c r="E29" s="3695">
        <f>SUM(G29+I29)</f>
        <v/>
      </c>
      <c r="F29" s="1971" t="n"/>
      <c r="G29" s="3649" t="n">
        <v>1</v>
      </c>
      <c r="H29" s="1971" t="n">
        <v>1</v>
      </c>
      <c r="I29" s="750" t="n">
        <v>1</v>
      </c>
      <c r="J29" s="3096" t="n"/>
      <c r="K29" s="749" t="n"/>
      <c r="L29" s="3096" t="n"/>
      <c r="M29" s="749" t="n"/>
      <c r="N29" s="3096" t="n"/>
      <c r="O29" s="749" t="n"/>
      <c r="P29" s="3096" t="n"/>
      <c r="Q29" s="749" t="n"/>
      <c r="R29" s="3096" t="n"/>
      <c r="S29" s="749" t="n"/>
      <c r="T29" s="3096" t="n"/>
      <c r="U29" s="749" t="n"/>
      <c r="V29" s="3096" t="n"/>
      <c r="W29" s="749" t="n"/>
      <c r="X29" s="3096" t="n"/>
      <c r="Y29" s="749" t="n"/>
      <c r="Z29" s="3096" t="n"/>
      <c r="AA29" s="749" t="n"/>
      <c r="AB29" s="3096" t="n"/>
      <c r="AC29" s="749" t="n"/>
      <c r="AD29" s="3096" t="n"/>
      <c r="AE29" s="749" t="n"/>
      <c r="AF29" s="3096" t="n"/>
      <c r="AG29" s="749" t="n"/>
      <c r="AH29" s="3096" t="n"/>
      <c r="AI29" s="749" t="n"/>
      <c r="AJ29" s="3096" t="n"/>
      <c r="AK29" s="749" t="n"/>
      <c r="AL29" s="3668" t="n"/>
      <c r="AM29" s="749" t="n"/>
      <c r="AN29" s="3696" t="n"/>
      <c r="AO29" s="789" t="n"/>
      <c r="AP29" s="3960" t="n">
        <v>0</v>
      </c>
      <c r="AQ29" s="4008" t="n">
        <v>0</v>
      </c>
      <c r="AR29" s="3656" t="n">
        <v>0</v>
      </c>
      <c r="AS29" s="17">
        <f>CA29&amp;CB29&amp;CC29</f>
        <v/>
      </c>
      <c r="CA29" s="90">
        <f>IF(AND(C29&gt;0,AP29="")," * No olvide digitar la variable Reingresos. Digite Cero si no tiene.",IF(AP29&gt;C29," * La variable Reingresos no puede ser mayor al Total Ambos Sexos.",""))</f>
        <v/>
      </c>
      <c r="CB29" s="90">
        <f>IF(AND(C29&gt;0,AQ29="")," * No olvide digitar la variable Pueblos Originarios.  Digite Cero si no tiene.",IF(AQ29&gt;C29," * La variable Pueblos originarios no puede ser mayor al Total Ambos Sexos.",""))</f>
        <v/>
      </c>
      <c r="CC29" s="90">
        <f>IF(AND(C29&gt;0,AR29="")," * No olvide digitar la variable Migrantes. Digite Cero si no tiene.",IF(AR29&gt;C29," * La variable Migrantes no puede ser mayor al Total Ambos Sexos.",""))</f>
        <v/>
      </c>
      <c r="CD29" s="101" t="n"/>
      <c r="CF29" s="52">
        <f>IF(AND(C29&gt;0,AP29=""),1,IF(AP29&gt;C29,1,0))</f>
        <v/>
      </c>
      <c r="CG29" s="52">
        <f>IF(AND(C29&gt;0,AQ29=""),1,IF(AQ29&gt;C29,1,0))</f>
        <v/>
      </c>
      <c r="CH29" s="52">
        <f>IF(AND(C29&gt;0,AR29=""),1,IF(AR29&gt;C29,1,0))</f>
        <v/>
      </c>
    </row>
    <row r="30" ht="15" customFormat="1" customHeight="1" s="17">
      <c r="A30" s="9588" t="n"/>
      <c r="B30" s="1145" t="inlineStr">
        <is>
          <t>Severo</t>
        </is>
      </c>
      <c r="C30" s="663">
        <f>SUM(D30+E30)</f>
        <v/>
      </c>
      <c r="D30" s="21">
        <f>SUM(F30+H30)</f>
        <v/>
      </c>
      <c r="E30" s="3698">
        <f>SUM(G30+I30)</f>
        <v/>
      </c>
      <c r="F30" s="638" t="n"/>
      <c r="G30" s="3125" t="n"/>
      <c r="H30" s="638" t="n"/>
      <c r="I30" s="3329" t="n"/>
      <c r="J30" s="668" t="n"/>
      <c r="K30" s="3699" t="n"/>
      <c r="L30" s="668" t="n"/>
      <c r="M30" s="3699" t="n"/>
      <c r="N30" s="668" t="n"/>
      <c r="O30" s="3699" t="n"/>
      <c r="P30" s="668" t="n"/>
      <c r="Q30" s="3699" t="n"/>
      <c r="R30" s="668" t="n"/>
      <c r="S30" s="3699" t="n"/>
      <c r="T30" s="668" t="n"/>
      <c r="U30" s="3699" t="n"/>
      <c r="V30" s="668" t="n"/>
      <c r="W30" s="3699" t="n"/>
      <c r="X30" s="668" t="n"/>
      <c r="Y30" s="3699" t="n"/>
      <c r="Z30" s="668" t="n"/>
      <c r="AA30" s="3699" t="n"/>
      <c r="AB30" s="668" t="n"/>
      <c r="AC30" s="3699" t="n"/>
      <c r="AD30" s="668" t="n"/>
      <c r="AE30" s="3699" t="n"/>
      <c r="AF30" s="668" t="n"/>
      <c r="AG30" s="3699" t="n"/>
      <c r="AH30" s="668" t="n"/>
      <c r="AI30" s="3699" t="n"/>
      <c r="AJ30" s="668" t="n"/>
      <c r="AK30" s="3699" t="n"/>
      <c r="AL30" s="668" t="n"/>
      <c r="AM30" s="3699" t="n"/>
      <c r="AN30" s="191" t="n"/>
      <c r="AO30" s="3700" t="n"/>
      <c r="AP30" s="5351" t="n">
        <v>0</v>
      </c>
      <c r="AQ30" s="1418" t="n">
        <v>0</v>
      </c>
      <c r="AR30" s="1148" t="n">
        <v>0</v>
      </c>
      <c r="AS30" s="17">
        <f>CA30&amp;CB30&amp;CC30</f>
        <v/>
      </c>
      <c r="CA30" s="90">
        <f>IF(AND(C30&gt;0,AP30="")," * No olvide digitar la variable Reingresos. Digite Cero si no tiene.",IF(AP30&gt;C30," * La variable Reingresos no puede ser mayor al Total Ambos Sexos.",""))</f>
        <v/>
      </c>
      <c r="CB30" s="90">
        <f>IF(AND(C30&gt;0,AQ30="")," * No olvide digitar la variable Pueblos Originarios.  Digite Cero si no tiene.",IF(AQ30&gt;C30," * La variable Pueblos originarios no puede ser mayor al Total Ambos Sexos.",""))</f>
        <v/>
      </c>
      <c r="CC30" s="90">
        <f>IF(AND(C30&gt;0,AR30="")," * No olvide digitar la variable Migrantes. Digite Cero si no tiene.",IF(AR30&gt;C30," * La variable Migrantes no puede ser mayor al Total Ambos Sexos.",""))</f>
        <v/>
      </c>
      <c r="CD30" s="101" t="n"/>
      <c r="CF30" s="52">
        <f>IF(AND(C30&gt;0,AP30=""),1,IF(AP30&gt;C30,1,0))</f>
        <v/>
      </c>
      <c r="CG30" s="52">
        <f>IF(AND(C30&gt;0,AQ30=""),1,IF(AQ30&gt;C30,1,0))</f>
        <v/>
      </c>
      <c r="CH30" s="52">
        <f>IF(AND(C30&gt;0,AR30=""),1,IF(AR30&gt;C30,1,0))</f>
        <v/>
      </c>
    </row>
    <row r="31" ht="15" customFormat="1" customHeight="1" s="17">
      <c r="A31" s="10398" t="inlineStr">
        <is>
          <t>Asma bronquial</t>
        </is>
      </c>
      <c r="B31" s="3694" t="inlineStr">
        <is>
          <t>Leve</t>
        </is>
      </c>
      <c r="C31" s="3701">
        <f>SUM(D31+E31)</f>
        <v/>
      </c>
      <c r="D31" s="843">
        <f>SUM(H31+J31+L31+N31+P31+R31+T31+V31+X31+Z31+AB31+AD31+AF31+AH31+AJ31+AL31+AN31)</f>
        <v/>
      </c>
      <c r="E31" s="3648">
        <f>SUM(I31+K31+M31+O31+Q31+S31+U31+W31+Y31+AA31+AC31+AE31+AG31+AI31+AK31+AM31+AO31)</f>
        <v/>
      </c>
      <c r="F31" s="3702" t="n"/>
      <c r="G31" s="3703" t="n"/>
      <c r="H31" s="3704" t="n"/>
      <c r="I31" s="2455" t="n"/>
      <c r="J31" s="3704" t="n"/>
      <c r="K31" s="3650" t="n"/>
      <c r="L31" s="3704" t="n"/>
      <c r="M31" s="3650" t="n">
        <v>1</v>
      </c>
      <c r="N31" s="3704" t="n"/>
      <c r="O31" s="2455" t="n"/>
      <c r="P31" s="3704" t="n"/>
      <c r="Q31" s="3650" t="n"/>
      <c r="R31" s="3704" t="n">
        <v>1</v>
      </c>
      <c r="S31" s="3650" t="n"/>
      <c r="T31" s="3704" t="n"/>
      <c r="U31" s="3650" t="n"/>
      <c r="V31" s="3704" t="n"/>
      <c r="W31" s="3650" t="n"/>
      <c r="X31" s="3704" t="n"/>
      <c r="Y31" s="3650" t="n"/>
      <c r="Z31" s="3704" t="n"/>
      <c r="AA31" s="2455" t="n"/>
      <c r="AB31" s="3704" t="n"/>
      <c r="AC31" s="3650" t="n"/>
      <c r="AD31" s="3704" t="n"/>
      <c r="AE31" s="3650" t="n"/>
      <c r="AF31" s="3704" t="n"/>
      <c r="AG31" s="2455" t="n"/>
      <c r="AH31" s="3704" t="n"/>
      <c r="AI31" s="3650" t="n"/>
      <c r="AJ31" s="3704" t="n"/>
      <c r="AK31" s="3650" t="n"/>
      <c r="AL31" s="3704" t="n"/>
      <c r="AM31" s="2455" t="n"/>
      <c r="AN31" s="3705" t="n"/>
      <c r="AO31" s="1465" t="n"/>
      <c r="AP31" s="5284" t="n">
        <v>0</v>
      </c>
      <c r="AQ31" s="5286" t="n">
        <v>0</v>
      </c>
      <c r="AR31" s="3650" t="n">
        <v>0</v>
      </c>
      <c r="AS31" s="17">
        <f>CA31&amp;CB31&amp;CC31</f>
        <v/>
      </c>
      <c r="CA31" s="90">
        <f>IF(AND(C31&gt;0,AP31="")," * No olvide digitar la variable Reingresos. Digite Cero si no tiene.",IF(AP31&gt;C31," * La variable Reingresos no puede ser mayor al Total Ambos Sexos.",""))</f>
        <v/>
      </c>
      <c r="CB31" s="90">
        <f>IF(AND(C31&gt;0,AQ31="")," * No olvide digitar la variable Pueblos Originarios.  Digite Cero si no tiene.",IF(AQ31&gt;C31," * La variable Pueblos originarios no puede ser mayor al Total Ambos Sexos.",""))</f>
        <v/>
      </c>
      <c r="CC31" s="90">
        <f>IF(AND(C31&gt;0,AR31="")," * No olvide digitar la variable Migrantes. Digite Cero si no tiene.",IF(AR31&gt;C31," * La variable Migrantes no puede ser mayor al Total Ambos Sexos.",""))</f>
        <v/>
      </c>
      <c r="CD31" s="101" t="n"/>
      <c r="CF31" s="52">
        <f>IF(AND(C31&gt;0,AP31=""),1,IF(AP31&gt;C31,1,0))</f>
        <v/>
      </c>
      <c r="CG31" s="52">
        <f>IF(AND(C31&gt;0,AQ31=""),1,IF(AQ31&gt;C31,1,0))</f>
        <v/>
      </c>
      <c r="CH31" s="52">
        <f>IF(AND(C31&gt;0,AR31=""),1,IF(AR31&gt;C31,1,0))</f>
        <v/>
      </c>
    </row>
    <row r="32" ht="15" customFormat="1" customHeight="1" s="17">
      <c r="A32" s="9588" t="n"/>
      <c r="B32" s="3697" t="inlineStr">
        <is>
          <t>Moderado</t>
        </is>
      </c>
      <c r="C32" s="2165">
        <f>SUM(D32+E32)</f>
        <v/>
      </c>
      <c r="D32" s="798">
        <f>SUM(H32+J32+L32+N32+P32+R32+T32+V32+X32+Z32+AB32+AD32+AF32+AH32+AJ32+AL32+AN32)</f>
        <v/>
      </c>
      <c r="E32" s="3695">
        <f>SUM(I32+K32+M32+O32+Q32+S32+U32+W32+Y32+AA32+AC32+AE32+AG32+AI32+AK32+AM32+AO32)</f>
        <v/>
      </c>
      <c r="F32" s="3706" t="n"/>
      <c r="G32" s="3707" t="n"/>
      <c r="H32" s="3655" t="n">
        <v>2</v>
      </c>
      <c r="I32" s="750" t="n">
        <v>2</v>
      </c>
      <c r="J32" s="1971" t="n">
        <v>2</v>
      </c>
      <c r="K32" s="3649" t="n">
        <v>2</v>
      </c>
      <c r="L32" s="1971" t="n"/>
      <c r="M32" s="3649" t="n"/>
      <c r="N32" s="1971" t="n"/>
      <c r="O32" s="750" t="n">
        <v>1</v>
      </c>
      <c r="P32" s="1971" t="n"/>
      <c r="Q32" s="3649" t="n"/>
      <c r="R32" s="1971" t="n"/>
      <c r="S32" s="3649" t="n"/>
      <c r="T32" s="1971" t="n"/>
      <c r="U32" s="3649" t="n">
        <v>2</v>
      </c>
      <c r="V32" s="1971" t="n"/>
      <c r="W32" s="3649" t="n">
        <v>2</v>
      </c>
      <c r="X32" s="1971" t="n"/>
      <c r="Y32" s="3649" t="n"/>
      <c r="Z32" s="1971" t="n"/>
      <c r="AA32" s="750" t="n"/>
      <c r="AB32" s="1971" t="n"/>
      <c r="AC32" s="3649" t="n"/>
      <c r="AD32" s="1971" t="n"/>
      <c r="AE32" s="3649" t="n">
        <v>2</v>
      </c>
      <c r="AF32" s="1971" t="n"/>
      <c r="AG32" s="750" t="n"/>
      <c r="AH32" s="1971" t="n"/>
      <c r="AI32" s="3649" t="n">
        <v>1</v>
      </c>
      <c r="AJ32" s="1971" t="n"/>
      <c r="AK32" s="3649" t="n"/>
      <c r="AL32" s="1971" t="n"/>
      <c r="AM32" s="750" t="n"/>
      <c r="AN32" s="3708" t="n"/>
      <c r="AO32" s="778" t="n"/>
      <c r="AP32" s="3960" t="n">
        <v>0</v>
      </c>
      <c r="AQ32" s="4008" t="n">
        <v>0</v>
      </c>
      <c r="AR32" s="3656" t="n">
        <v>0</v>
      </c>
      <c r="AS32" s="17">
        <f>CA32&amp;CB32&amp;CC32</f>
        <v/>
      </c>
      <c r="CA32" s="90">
        <f>IF(AND(C32&gt;0,AP32="")," * No olvide digitar la variable Reingresos. Digite Cero si no tiene.",IF(AP32&gt;C32," * La variable Reingresos no puede ser mayor al Total Ambos Sexos.",""))</f>
        <v/>
      </c>
      <c r="CB32" s="90">
        <f>IF(AND(C32&gt;0,AQ32="")," * No olvide digitar la variable Pueblos Originarios.  Digite Cero si no tiene.",IF(AQ32&gt;C32," * La variable Pueblos originarios no puede ser mayor al Total Ambos Sexos.",""))</f>
        <v/>
      </c>
      <c r="CC32" s="90">
        <f>IF(AND(C32&gt;0,AR32="")," * No olvide digitar la variable Migrantes. Digite Cero si no tiene.",IF(AR32&gt;C32," * La variable Migrantes no puede ser mayor al Total Ambos Sexos.",""))</f>
        <v/>
      </c>
      <c r="CD32" s="101" t="n"/>
      <c r="CF32" s="52">
        <f>IF(AND(C32&gt;0,AP32=""),1,IF(AP32&gt;C32,1,0))</f>
        <v/>
      </c>
      <c r="CG32" s="52">
        <f>IF(AND(C32&gt;0,AQ32=""),1,IF(AQ32&gt;C32,1,0))</f>
        <v/>
      </c>
      <c r="CH32" s="52">
        <f>IF(AND(C32&gt;0,AR32=""),1,IF(AR32&gt;C32,1,0))</f>
        <v/>
      </c>
    </row>
    <row r="33" ht="15" customFormat="1" customHeight="1" s="17">
      <c r="A33" s="9589" t="n"/>
      <c r="B33" s="3709" t="inlineStr">
        <is>
          <t>Severo</t>
        </is>
      </c>
      <c r="C33" s="663">
        <f>SUM(D33+E33)</f>
        <v/>
      </c>
      <c r="D33" s="21">
        <f>SUM(H33+J33+L33+N33+P33+R33+T33+V33+X33+Z33+AB33+AD33+AF33+AH33+AJ33+AL33+AN33)</f>
        <v/>
      </c>
      <c r="E33" s="3695">
        <f>SUM(I33+K33+M33+O33+Q33+S33+U33+W33+Y33+AA33+AC33+AE33+AG33+AI33+AK33+AM33+AO33)</f>
        <v/>
      </c>
      <c r="F33" s="3706" t="n"/>
      <c r="G33" s="1150" t="n"/>
      <c r="H33" s="3678" t="n"/>
      <c r="I33" s="3679" t="n"/>
      <c r="J33" s="3678" t="n"/>
      <c r="K33" s="3679" t="n"/>
      <c r="L33" s="3678" t="n"/>
      <c r="M33" s="3679" t="n"/>
      <c r="N33" s="3678" t="n"/>
      <c r="O33" s="3679" t="n"/>
      <c r="P33" s="3678" t="n"/>
      <c r="Q33" s="3679" t="n"/>
      <c r="R33" s="3678" t="n"/>
      <c r="S33" s="3679" t="n"/>
      <c r="T33" s="3678" t="n"/>
      <c r="U33" s="3679" t="n"/>
      <c r="V33" s="3678" t="n"/>
      <c r="W33" s="3679" t="n"/>
      <c r="X33" s="3678" t="n"/>
      <c r="Y33" s="3679" t="n"/>
      <c r="Z33" s="3678" t="n"/>
      <c r="AA33" s="3679" t="n"/>
      <c r="AB33" s="3678" t="n"/>
      <c r="AC33" s="3679" t="n"/>
      <c r="AD33" s="3678" t="n"/>
      <c r="AE33" s="3679" t="n"/>
      <c r="AF33" s="3678" t="n"/>
      <c r="AG33" s="3679" t="n"/>
      <c r="AH33" s="3678" t="n"/>
      <c r="AI33" s="3679" t="n"/>
      <c r="AJ33" s="3678" t="n"/>
      <c r="AK33" s="3679" t="n"/>
      <c r="AL33" s="3678" t="n"/>
      <c r="AM33" s="3679" t="n"/>
      <c r="AN33" s="3710" t="n"/>
      <c r="AO33" s="3682" t="n"/>
      <c r="AP33" s="3963" t="n">
        <v>0</v>
      </c>
      <c r="AQ33" s="1299" t="n">
        <v>0</v>
      </c>
      <c r="AR33" s="1138" t="n">
        <v>0</v>
      </c>
      <c r="AS33" s="17">
        <f>CA33&amp;CB33&amp;CC33</f>
        <v/>
      </c>
      <c r="CA33" s="90">
        <f>IF(AND(C33&gt;0,AP33="")," * No olvide digitar la variable Reingresos. Digite Cero si no tiene.",IF(AP33&gt;C33," * La variable Reingresos no puede ser mayor al Total Ambos Sexos.",""))</f>
        <v/>
      </c>
      <c r="CB33" s="90">
        <f>IF(AND(C33&gt;0,AQ33="")," * No olvide digitar la variable Pueblos Originarios.  Digite Cero si no tiene.",IF(AQ33&gt;C33," * La variable Pueblos originarios no puede ser mayor al Total Ambos Sexos.",""))</f>
        <v/>
      </c>
      <c r="CC33" s="90">
        <f>IF(AND(C33&gt;0,AR33="")," * No olvide digitar la variable Migrantes. Digite Cero si no tiene.",IF(AR33&gt;C33," * La variable Migrantes no puede ser mayor al Total Ambos Sexos.",""))</f>
        <v/>
      </c>
      <c r="CD33" s="101" t="n"/>
      <c r="CF33" s="52">
        <f>IF(AND(C33&gt;0,AP33=""),1,IF(AP33&gt;C33,1,0))</f>
        <v/>
      </c>
      <c r="CG33" s="52">
        <f>IF(AND(C33&gt;0,AQ33=""),1,IF(AQ33&gt;C33,1,0))</f>
        <v/>
      </c>
      <c r="CH33" s="52">
        <f>IF(AND(C33&gt;0,AR33=""),1,IF(AR33&gt;C33,1,0))</f>
        <v/>
      </c>
    </row>
    <row r="34" ht="15" customFormat="1" customHeight="1" s="17">
      <c r="A34" s="10269" t="inlineStr">
        <is>
          <t>Enfermedad pulmonar obstructiva crónica (EPOC)</t>
        </is>
      </c>
      <c r="B34" s="3694" t="inlineStr">
        <is>
          <t>Tipo A</t>
        </is>
      </c>
      <c r="C34" s="3701">
        <f>SUM(D34+E34)</f>
        <v/>
      </c>
      <c r="D34" s="843">
        <f>SUM(X34+Z34+AB34+AD34+AF34+AH34+AJ34+AL34+AN34)</f>
        <v/>
      </c>
      <c r="E34" s="3648">
        <f>SUM(Y34+AA34+AC34+AE34+AG34+AI34+AK34+AM34+AO34)</f>
        <v/>
      </c>
      <c r="F34" s="3713" t="n"/>
      <c r="G34" s="2574" t="n"/>
      <c r="H34" s="3713" t="n"/>
      <c r="I34" s="2574" t="n"/>
      <c r="J34" s="3713" t="n"/>
      <c r="K34" s="2574" t="n"/>
      <c r="L34" s="3713" t="n"/>
      <c r="M34" s="2574" t="n"/>
      <c r="N34" s="3713" t="n"/>
      <c r="O34" s="2574" t="n"/>
      <c r="P34" s="3713" t="n"/>
      <c r="Q34" s="2574" t="n"/>
      <c r="R34" s="3713" t="n"/>
      <c r="S34" s="2574" t="n"/>
      <c r="T34" s="3713" t="n"/>
      <c r="U34" s="2574" t="n"/>
      <c r="V34" s="3713" t="n"/>
      <c r="W34" s="2574" t="n"/>
      <c r="X34" s="3704" t="n">
        <v>1</v>
      </c>
      <c r="Y34" s="2455" t="n"/>
      <c r="Z34" s="3704" t="n"/>
      <c r="AA34" s="2455" t="n"/>
      <c r="AB34" s="3704" t="n"/>
      <c r="AC34" s="2455" t="n"/>
      <c r="AD34" s="3704" t="n"/>
      <c r="AE34" s="2455" t="n">
        <v>2</v>
      </c>
      <c r="AF34" s="3704" t="n"/>
      <c r="AG34" s="2455" t="n">
        <v>1</v>
      </c>
      <c r="AH34" s="3704" t="n">
        <v>1</v>
      </c>
      <c r="AI34" s="2455" t="n"/>
      <c r="AJ34" s="3704" t="n"/>
      <c r="AK34" s="2455" t="n"/>
      <c r="AL34" s="3704" t="n">
        <v>1</v>
      </c>
      <c r="AM34" s="2455" t="n"/>
      <c r="AN34" s="3705" t="n"/>
      <c r="AO34" s="1465" t="n"/>
      <c r="AP34" s="5284" t="n">
        <v>0</v>
      </c>
      <c r="AQ34" s="5286" t="n">
        <v>0</v>
      </c>
      <c r="AR34" s="3650" t="n">
        <v>0</v>
      </c>
      <c r="AS34" s="17">
        <f>CA34&amp;CB34&amp;CC34</f>
        <v/>
      </c>
      <c r="CA34" s="90">
        <f>IF(AND(C34&gt;0,AP34="")," * No olvide digitar la variable Reingresos. Digite Cero si no tiene.",IF(AP34&gt;C34," * La variable Reingresos no puede ser mayor al Total Ambos Sexos.",""))</f>
        <v/>
      </c>
      <c r="CB34" s="90">
        <f>IF(AND(C34&gt;0,AQ34="")," * No olvide digitar la variable Pueblos Originarios.  Digite Cero si no tiene.",IF(AQ34&gt;C34," * La variable Pueblos originarios no puede ser mayor al Total Ambos Sexos.",""))</f>
        <v/>
      </c>
      <c r="CC34" s="90">
        <f>IF(AND(C34&gt;0,AR34="")," * No olvide digitar la variable Migrantes. Digite Cero si no tiene.",IF(AR34&gt;C34," * La variable Migrantes no puede ser mayor al Total Ambos Sexos.",""))</f>
        <v/>
      </c>
      <c r="CD34" s="101" t="n"/>
      <c r="CF34" s="52">
        <f>IF(AND(C34&gt;0,AP34=""),1,IF(AP34&gt;C34,1,0))</f>
        <v/>
      </c>
      <c r="CG34" s="52">
        <f>IF(AND(C34&gt;0,AQ34=""),1,IF(AQ34&gt;C34,1,0))</f>
        <v/>
      </c>
      <c r="CH34" s="52">
        <f>IF(AND(C34&gt;0,AR34=""),1,IF(AR34&gt;C34,1,0))</f>
        <v/>
      </c>
    </row>
    <row r="35" ht="15" customFormat="1" customHeight="1" s="17">
      <c r="A35" s="9698" t="n"/>
      <c r="B35" s="3709" t="inlineStr">
        <is>
          <t>Tipo B</t>
        </is>
      </c>
      <c r="C35" s="3676">
        <f>SUM(D35+E35)</f>
        <v/>
      </c>
      <c r="D35" s="3714">
        <f>SUM(F35+H35+J35+L35+N35+P35+R35+X35+Z35+AB35+AD35+AF35+AH35+AJ35+AL35+AN35)</f>
        <v/>
      </c>
      <c r="E35" s="1136">
        <f>SUM(G35+I35+K35+M35+O35+Q35+S35+Y35+AA35+AC35+AE35+AG35+AI35+AK35+AM35+AO35)</f>
        <v/>
      </c>
      <c r="F35" s="3715" t="n"/>
      <c r="G35" s="3716" t="n"/>
      <c r="H35" s="3715" t="n"/>
      <c r="I35" s="3716" t="n"/>
      <c r="J35" s="3715" t="n"/>
      <c r="K35" s="3716" t="n"/>
      <c r="L35" s="3715" t="n"/>
      <c r="M35" s="3716" t="n"/>
      <c r="N35" s="3715" t="n"/>
      <c r="O35" s="3716" t="n"/>
      <c r="P35" s="3715" t="n"/>
      <c r="Q35" s="3716" t="n"/>
      <c r="R35" s="3715" t="n"/>
      <c r="S35" s="3716" t="n"/>
      <c r="T35" s="3715" t="n"/>
      <c r="U35" s="3716" t="n"/>
      <c r="V35" s="3715" t="n"/>
      <c r="W35" s="3716" t="n"/>
      <c r="X35" s="3678" t="n"/>
      <c r="Y35" s="3679" t="n"/>
      <c r="Z35" s="3678" t="n"/>
      <c r="AA35" s="3679" t="n"/>
      <c r="AB35" s="3678" t="n"/>
      <c r="AC35" s="3679" t="n"/>
      <c r="AD35" s="3678" t="n"/>
      <c r="AE35" s="3679" t="n"/>
      <c r="AF35" s="3678" t="n"/>
      <c r="AG35" s="3679" t="n"/>
      <c r="AH35" s="3678" t="n"/>
      <c r="AI35" s="3679" t="n"/>
      <c r="AJ35" s="3678" t="n"/>
      <c r="AK35" s="3679" t="n"/>
      <c r="AL35" s="3678" t="n"/>
      <c r="AM35" s="3679" t="n"/>
      <c r="AN35" s="3710" t="n"/>
      <c r="AO35" s="3682" t="n"/>
      <c r="AP35" s="3963" t="n">
        <v>0</v>
      </c>
      <c r="AQ35" s="1299" t="n">
        <v>0</v>
      </c>
      <c r="AR35" s="1138" t="n">
        <v>0</v>
      </c>
      <c r="AS35" s="17">
        <f>CA35&amp;CB35&amp;CC35</f>
        <v/>
      </c>
      <c r="CA35" s="90">
        <f>IF(AND(C35&gt;0,AP35="")," * No olvide digitar la variable Reingresos. Digite Cero si no tiene.",IF(AP35&gt;C35," * La variable Reingresos no puede ser mayor al Total Ambos Sexos.",""))</f>
        <v/>
      </c>
      <c r="CB35" s="90">
        <f>IF(AND(C35&gt;0,AQ35="")," * No olvide digitar la variable Pueblos Originarios.  Digite Cero si no tiene.",IF(AQ35&gt;C35," * La variable Pueblos originarios no puede ser mayor al Total Ambos Sexos.",""))</f>
        <v/>
      </c>
      <c r="CC35" s="90">
        <f>IF(AND(C35&gt;0,AR35="")," * No olvide digitar la variable Migrantes. Digite Cero si no tiene.",IF(AR35&gt;C35," * La variable Migrantes no puede ser mayor al Total Ambos Sexos.",""))</f>
        <v/>
      </c>
      <c r="CD35" s="101" t="n"/>
      <c r="CF35" s="52">
        <f>IF(AND(C35&gt;0,AP35=""),1,IF(AP35&gt;C35,1,0))</f>
        <v/>
      </c>
      <c r="CG35" s="52">
        <f>IF(AND(C35&gt;0,AQ35=""),1,IF(AQ35&gt;C35,1,0))</f>
        <v/>
      </c>
      <c r="CH35" s="52">
        <f>IF(AND(C35&gt;0,AR35=""),1,IF(AR35&gt;C35,1,0))</f>
        <v/>
      </c>
    </row>
    <row r="36" ht="15" customFormat="1" customHeight="1" s="17">
      <c r="A36" s="10112" t="inlineStr">
        <is>
          <t>Displasia broncopulmonar</t>
        </is>
      </c>
      <c r="B36" s="9643" t="n"/>
      <c r="C36" s="1924">
        <f>SUM(D36+E36)</f>
        <v/>
      </c>
      <c r="D36" s="809">
        <f>SUM(F36+H36+J36+L36+N36+P36+R36+T36+V36+X36+Z36+AB36+AD36+AF36+AH36+AJ36+AL36+AN36)</f>
        <v/>
      </c>
      <c r="E36" s="3695">
        <f>SUM(G36+I36+K36+M36+O36+Q36+S36+U36+W36+Y36+AA36+AC36+AE36+AG36+AI36+AK36+AM36+AO36)</f>
        <v/>
      </c>
      <c r="F36" s="1971" t="n"/>
      <c r="G36" s="3649" t="n"/>
      <c r="H36" s="1971" t="n"/>
      <c r="I36" s="750" t="n"/>
      <c r="J36" s="1971" t="n"/>
      <c r="K36" s="750" t="n"/>
      <c r="L36" s="1971" t="n"/>
      <c r="M36" s="750" t="n"/>
      <c r="N36" s="1971" t="n"/>
      <c r="O36" s="750" t="n"/>
      <c r="P36" s="1971" t="n"/>
      <c r="Q36" s="750" t="n"/>
      <c r="R36" s="1971" t="n"/>
      <c r="S36" s="750" t="n"/>
      <c r="T36" s="1971" t="n"/>
      <c r="U36" s="750" t="n"/>
      <c r="V36" s="1971" t="n"/>
      <c r="W36" s="750" t="n"/>
      <c r="X36" s="1971" t="n"/>
      <c r="Y36" s="750" t="n"/>
      <c r="Z36" s="1971" t="n"/>
      <c r="AA36" s="750" t="n"/>
      <c r="AB36" s="1971" t="n"/>
      <c r="AC36" s="750" t="n"/>
      <c r="AD36" s="1971" t="n"/>
      <c r="AE36" s="750" t="n"/>
      <c r="AF36" s="1971" t="n"/>
      <c r="AG36" s="750" t="n"/>
      <c r="AH36" s="1971" t="n"/>
      <c r="AI36" s="750" t="n"/>
      <c r="AJ36" s="1971" t="n"/>
      <c r="AK36" s="750" t="n"/>
      <c r="AL36" s="1971" t="n"/>
      <c r="AM36" s="750" t="n"/>
      <c r="AN36" s="3708" t="n"/>
      <c r="AO36" s="778" t="n"/>
      <c r="AP36" s="5283" t="n">
        <v>0</v>
      </c>
      <c r="AQ36" s="3227" t="n">
        <v>0</v>
      </c>
      <c r="AR36" s="3649" t="n">
        <v>0</v>
      </c>
      <c r="AS36" s="17">
        <f>CA36&amp;CB36&amp;CC36</f>
        <v/>
      </c>
      <c r="CA36" s="90">
        <f>IF(AND(C36&gt;0,AP36="")," * No olvide digitar la variable Reingresos. Digite Cero si no tiene.",IF(AP36&gt;C36," * La variable Reingresos no puede ser mayor al Total Ambos Sexos.",""))</f>
        <v/>
      </c>
      <c r="CB36" s="90">
        <f>IF(AND(C36&gt;0,AQ36="")," * No olvide digitar la variable Pueblos Originarios.  Digite Cero si no tiene.",IF(AQ36&gt;C36," * La variable Pueblos originarios no puede ser mayor al Total Ambos Sexos.",""))</f>
        <v/>
      </c>
      <c r="CC36" s="90">
        <f>IF(AND(C36&gt;0,AR36="")," * No olvide digitar la variable Migrantes. Digite Cero si no tiene.",IF(AR36&gt;C36," * La variable Migrantes no puede ser mayor al Total Ambos Sexos.",""))</f>
        <v/>
      </c>
      <c r="CD36" s="101" t="n"/>
      <c r="CF36" s="52">
        <f>IF(AND(C36&gt;0,AP36=""),1,IF(AP36&gt;C36,1,0))</f>
        <v/>
      </c>
      <c r="CG36" s="52">
        <f>IF(AND(C36&gt;0,AQ36=""),1,IF(AQ36&gt;C36,1,0))</f>
        <v/>
      </c>
      <c r="CH36" s="52">
        <f>IF(AND(C36&gt;0,AR36=""),1,IF(AR36&gt;C36,1,0))</f>
        <v/>
      </c>
    </row>
    <row r="37" ht="15" customFormat="1" customHeight="1" s="17">
      <c r="A37" s="3911" t="inlineStr">
        <is>
          <t>Fibrosis quística</t>
        </is>
      </c>
      <c r="B37" s="9644" t="n"/>
      <c r="C37" s="3652">
        <f>SUM(D37+E37)</f>
        <v/>
      </c>
      <c r="D37" s="3719">
        <f>SUM(F37+H37+J37+L37+N37+P37+R37+T37+V37+X37+Z37+AB37+AD37+AF37+AH37+AJ37+AL37+AN37)</f>
        <v/>
      </c>
      <c r="E37" s="3654">
        <f>SUM(G37+I37+K37+M37+O37+Q37+S37+U37+W37+Y37+AA37+AC37+AE37+AG37+AI37+AK37+AM37+AO37)</f>
        <v/>
      </c>
      <c r="F37" s="3655" t="n"/>
      <c r="G37" s="3656" t="n"/>
      <c r="H37" s="3655" t="n"/>
      <c r="I37" s="3657" t="n"/>
      <c r="J37" s="3655" t="n"/>
      <c r="K37" s="3657" t="n"/>
      <c r="L37" s="3655" t="n"/>
      <c r="M37" s="3657" t="n"/>
      <c r="N37" s="3655" t="n"/>
      <c r="O37" s="3657" t="n"/>
      <c r="P37" s="3655" t="n"/>
      <c r="Q37" s="3657" t="n"/>
      <c r="R37" s="3655" t="n"/>
      <c r="S37" s="3657" t="n"/>
      <c r="T37" s="3655" t="n"/>
      <c r="U37" s="3657" t="n"/>
      <c r="V37" s="3655" t="n"/>
      <c r="W37" s="3657" t="n"/>
      <c r="X37" s="3655" t="n"/>
      <c r="Y37" s="3657" t="n"/>
      <c r="Z37" s="3655" t="n"/>
      <c r="AA37" s="3657" t="n"/>
      <c r="AB37" s="3655" t="n"/>
      <c r="AC37" s="3657" t="n"/>
      <c r="AD37" s="3655" t="n"/>
      <c r="AE37" s="3657" t="n"/>
      <c r="AF37" s="3655" t="n"/>
      <c r="AG37" s="3657" t="n"/>
      <c r="AH37" s="3655" t="n"/>
      <c r="AI37" s="3657" t="n"/>
      <c r="AJ37" s="3655" t="n"/>
      <c r="AK37" s="3657" t="n"/>
      <c r="AL37" s="3655" t="n"/>
      <c r="AM37" s="3657" t="n"/>
      <c r="AN37" s="3720" t="n"/>
      <c r="AO37" s="3661" t="n"/>
      <c r="AP37" s="3960" t="n">
        <v>0</v>
      </c>
      <c r="AQ37" s="4008" t="n">
        <v>0</v>
      </c>
      <c r="AR37" s="3656" t="n">
        <v>0</v>
      </c>
      <c r="AS37" s="17">
        <f>CA37&amp;CB37&amp;CC37</f>
        <v/>
      </c>
      <c r="CA37" s="90">
        <f>IF(AND(C37&gt;0,AP37="")," * No olvide digitar la variable Reingresos. Digite Cero si no tiene.",IF(AP37&gt;C37," * La variable Reingresos no puede ser mayor al Total Ambos Sexos.",""))</f>
        <v/>
      </c>
      <c r="CB37" s="90">
        <f>IF(AND(C37&gt;0,AQ37="")," * No olvide digitar la variable Pueblos Originarios.  Digite Cero si no tiene.",IF(AQ37&gt;C37," * La variable Pueblos originarios no puede ser mayor al Total Ambos Sexos.",""))</f>
        <v/>
      </c>
      <c r="CC37" s="90">
        <f>IF(AND(C37&gt;0,AR37="")," * No olvide digitar la variable Migrantes. Digite Cero si no tiene.",IF(AR37&gt;C37," * La variable Migrantes no puede ser mayor al Total Ambos Sexos.",""))</f>
        <v/>
      </c>
      <c r="CD37" s="101" t="n"/>
      <c r="CF37" s="52">
        <f>IF(AND(C37&gt;0,AP37=""),1,IF(AP37&gt;C37,1,0))</f>
        <v/>
      </c>
      <c r="CG37" s="52">
        <f>IF(AND(C37&gt;0,AQ37=""),1,IF(AQ37&gt;C37,1,0))</f>
        <v/>
      </c>
      <c r="CH37" s="52">
        <f>IF(AND(C37&gt;0,AR37=""),1,IF(AR37&gt;C37,1,0))</f>
        <v/>
      </c>
    </row>
    <row r="38" ht="15" customFormat="1" customHeight="1" s="17">
      <c r="A38" s="3877" t="inlineStr">
        <is>
          <t>Oxígeno dependiente</t>
        </is>
      </c>
      <c r="B38" s="9644" t="n"/>
      <c r="C38" s="3664">
        <f>SUM(D38+E38)</f>
        <v/>
      </c>
      <c r="D38" s="3723">
        <f>SUM(F38+H38+J38+L38+N38+P38+R38+T38+V38+X38+Z38+AB38+AD38+AF38+AH38+AJ38+AL38+AN38)</f>
        <v/>
      </c>
      <c r="E38" s="3654">
        <f>SUM(G38+I38+K38+M38+O38+Q38+S38+U38+W38+Y38+AA38+AC38+AE38+AG38+AI38+AK38+AM38+AO38)</f>
        <v/>
      </c>
      <c r="F38" s="3655" t="n"/>
      <c r="G38" s="3656" t="n"/>
      <c r="H38" s="3655" t="n"/>
      <c r="I38" s="3657" t="n"/>
      <c r="J38" s="3655" t="n"/>
      <c r="K38" s="3657" t="n"/>
      <c r="L38" s="3655" t="n"/>
      <c r="M38" s="3657" t="n"/>
      <c r="N38" s="3655" t="n"/>
      <c r="O38" s="3657" t="n"/>
      <c r="P38" s="3655" t="n"/>
      <c r="Q38" s="3657" t="n"/>
      <c r="R38" s="3655" t="n"/>
      <c r="S38" s="3657" t="n"/>
      <c r="T38" s="3655" t="n"/>
      <c r="U38" s="3657" t="n"/>
      <c r="V38" s="3655" t="n"/>
      <c r="W38" s="3657" t="n"/>
      <c r="X38" s="3655" t="n"/>
      <c r="Y38" s="3657" t="n"/>
      <c r="Z38" s="3655" t="n"/>
      <c r="AA38" s="3657" t="n"/>
      <c r="AB38" s="3655" t="n"/>
      <c r="AC38" s="3657" t="n"/>
      <c r="AD38" s="3655" t="n"/>
      <c r="AE38" s="3657" t="n"/>
      <c r="AF38" s="3655" t="n"/>
      <c r="AG38" s="3657" t="n"/>
      <c r="AH38" s="3655" t="n"/>
      <c r="AI38" s="3657" t="n"/>
      <c r="AJ38" s="3655" t="n"/>
      <c r="AK38" s="3657" t="n"/>
      <c r="AL38" s="3655" t="n"/>
      <c r="AM38" s="3657" t="n"/>
      <c r="AN38" s="3720" t="n"/>
      <c r="AO38" s="3661" t="n"/>
      <c r="AP38" s="3960" t="n">
        <v>0</v>
      </c>
      <c r="AQ38" s="4008" t="n">
        <v>0</v>
      </c>
      <c r="AR38" s="3656" t="n">
        <v>0</v>
      </c>
      <c r="AS38" s="17">
        <f>CA38&amp;CB38&amp;CC38</f>
        <v/>
      </c>
      <c r="CA38" s="90">
        <f>IF(AND(C38&gt;0,AP38="")," * No olvide digitar la variable Reingresos. Digite Cero si no tiene.",IF(AP38&gt;C38," * La variable Reingresos no puede ser mayor al Total Ambos Sexos.",""))</f>
        <v/>
      </c>
      <c r="CB38" s="90">
        <f>IF(AND(C38&gt;0,AQ38="")," * No olvide digitar la variable Pueblos Originarios.  Digite Cero si no tiene.",IF(AQ38&gt;C38," * La variable Pueblos originarios no puede ser mayor al Total Ambos Sexos.",""))</f>
        <v/>
      </c>
      <c r="CC38" s="90">
        <f>IF(AND(C38&gt;0,AR38="")," * No olvide digitar la variable Migrantes. Digite Cero si no tiene.",IF(AR38&gt;C38," * La variable Migrantes no puede ser mayor al Total Ambos Sexos.",""))</f>
        <v/>
      </c>
      <c r="CD38" s="101" t="n"/>
      <c r="CF38" s="52">
        <f>IF(AND(C38&gt;0,AP38=""),1,IF(AP38&gt;C38,1,0))</f>
        <v/>
      </c>
      <c r="CG38" s="52">
        <f>IF(AND(C38&gt;0,AQ38=""),1,IF(AQ38&gt;C38,1,0))</f>
        <v/>
      </c>
      <c r="CH38" s="52">
        <f>IF(AND(C38&gt;0,AR38=""),1,IF(AR38&gt;C38,1,0))</f>
        <v/>
      </c>
    </row>
    <row r="39" ht="15" customFormat="1" customHeight="1" s="17">
      <c r="A39" s="8775" t="inlineStr">
        <is>
          <t xml:space="preserve">Asistencia ventilatoria no invasiva o invasiva </t>
        </is>
      </c>
      <c r="B39" s="9644" t="n"/>
      <c r="C39" s="3652">
        <f>SUM(D39+E39)</f>
        <v/>
      </c>
      <c r="D39" s="3719">
        <f>SUM(F39+H39+J39+L39+N39+P39+R39+T39+V39+X39+Z39+AB39+AD39+AF39+AH39+AJ39+AL39+AN39)</f>
        <v/>
      </c>
      <c r="E39" s="3654">
        <f>SUM(G39+I39+K39+M39+O39+Q39+S39+U39+W39+Y39+AA39+AC39+AE39+AG39+AI39+AK39+AM39+AO39)</f>
        <v/>
      </c>
      <c r="F39" s="3655" t="n"/>
      <c r="G39" s="3656" t="n"/>
      <c r="H39" s="3655" t="n"/>
      <c r="I39" s="3657" t="n"/>
      <c r="J39" s="3655" t="n"/>
      <c r="K39" s="3657" t="n"/>
      <c r="L39" s="3655" t="n"/>
      <c r="M39" s="3657" t="n"/>
      <c r="N39" s="3655" t="n"/>
      <c r="O39" s="3657" t="n"/>
      <c r="P39" s="3655" t="n"/>
      <c r="Q39" s="3657" t="n"/>
      <c r="R39" s="3655" t="n"/>
      <c r="S39" s="3657" t="n"/>
      <c r="T39" s="3655" t="n"/>
      <c r="U39" s="3657" t="n"/>
      <c r="V39" s="3655" t="n"/>
      <c r="W39" s="3657" t="n"/>
      <c r="X39" s="3655" t="n"/>
      <c r="Y39" s="3657" t="n"/>
      <c r="Z39" s="3655" t="n"/>
      <c r="AA39" s="3657" t="n"/>
      <c r="AB39" s="3655" t="n"/>
      <c r="AC39" s="3657" t="n"/>
      <c r="AD39" s="3655" t="n"/>
      <c r="AE39" s="3657" t="n"/>
      <c r="AF39" s="3655" t="n"/>
      <c r="AG39" s="3657" t="n"/>
      <c r="AH39" s="3655" t="n"/>
      <c r="AI39" s="3657" t="n"/>
      <c r="AJ39" s="3655" t="n"/>
      <c r="AK39" s="3657" t="n"/>
      <c r="AL39" s="3655" t="n"/>
      <c r="AM39" s="3657" t="n"/>
      <c r="AN39" s="3720" t="n"/>
      <c r="AO39" s="3661" t="n"/>
      <c r="AP39" s="3960" t="n">
        <v>0</v>
      </c>
      <c r="AQ39" s="4008" t="n">
        <v>0</v>
      </c>
      <c r="AR39" s="3656" t="n">
        <v>0</v>
      </c>
      <c r="AS39" s="17">
        <f>CA39&amp;CB39&amp;CC39</f>
        <v/>
      </c>
      <c r="CA39" s="90">
        <f>IF(AND(C39&gt;0,AP39="")," * No olvide digitar la variable Reingresos. Digite Cero si no tiene.",IF(AP39&gt;C39," * La variable Reingresos no puede ser mayor al Total Ambos Sexos.",""))</f>
        <v/>
      </c>
      <c r="CB39" s="90">
        <f>IF(AND(C39&gt;0,AQ39="")," * No olvide digitar la variable Pueblos Originarios.  Digite Cero si no tiene.",IF(AQ39&gt;C39," * La variable Pueblos originarios no puede ser mayor al Total Ambos Sexos.",""))</f>
        <v/>
      </c>
      <c r="CC39" s="90">
        <f>IF(AND(C39&gt;0,AR39="")," * No olvide digitar la variable Migrantes. Digite Cero si no tiene.",IF(AR39&gt;C39," * La variable Migrantes no puede ser mayor al Total Ambos Sexos.",""))</f>
        <v/>
      </c>
      <c r="CD39" s="101" t="n"/>
      <c r="CF39" s="52">
        <f>IF(AND(C39&gt;0,AP39=""),1,IF(AP39&gt;C39,1,0))</f>
        <v/>
      </c>
      <c r="CG39" s="52">
        <f>IF(AND(C39&gt;0,AQ39=""),1,IF(AQ39&gt;C39,1,0))</f>
        <v/>
      </c>
      <c r="CH39" s="52">
        <f>IF(AND(C39&gt;0,AR39=""),1,IF(AR39&gt;C39,1,0))</f>
        <v/>
      </c>
    </row>
    <row r="40" ht="15" customFormat="1" customHeight="1" s="17">
      <c r="A40" s="10114" t="inlineStr">
        <is>
          <t>Otras respiratorias crónicas</t>
        </is>
      </c>
      <c r="B40" s="9720" t="n"/>
      <c r="C40" s="3724">
        <f>SUM(D40+E40)</f>
        <v/>
      </c>
      <c r="D40" s="1158">
        <f>SUM(F40+H40+J40+L40+N40+P40+R40+T40+V40+X40+Z40+AB40+AD40+AF40+AH40+AJ40+AL40+AN40)</f>
        <v/>
      </c>
      <c r="E40" s="3654">
        <f>SUM(G40+I40+K40+M40+O40+Q40+S40+U40+W40+Y40+AA40+AC40+AE40+AG40+AI40+AK40+AM40+AO40)</f>
        <v/>
      </c>
      <c r="F40" s="3678" t="n"/>
      <c r="G40" s="1138" t="n"/>
      <c r="H40" s="3678" t="n"/>
      <c r="I40" s="3679" t="n"/>
      <c r="J40" s="3678" t="n"/>
      <c r="K40" s="3679" t="n"/>
      <c r="L40" s="3678" t="n"/>
      <c r="M40" s="3679" t="n"/>
      <c r="N40" s="3678" t="n"/>
      <c r="O40" s="3679" t="n"/>
      <c r="P40" s="3678" t="n"/>
      <c r="Q40" s="3679" t="n"/>
      <c r="R40" s="3678" t="n"/>
      <c r="S40" s="3679" t="n"/>
      <c r="T40" s="3678" t="n"/>
      <c r="U40" s="3679" t="n"/>
      <c r="V40" s="3678" t="n"/>
      <c r="W40" s="3679" t="n"/>
      <c r="X40" s="3678" t="n"/>
      <c r="Y40" s="3679" t="n"/>
      <c r="Z40" s="3678" t="n"/>
      <c r="AA40" s="3679" t="n"/>
      <c r="AB40" s="3678" t="n"/>
      <c r="AC40" s="3679" t="n"/>
      <c r="AD40" s="3678" t="n"/>
      <c r="AE40" s="3679" t="n"/>
      <c r="AF40" s="3678" t="n"/>
      <c r="AG40" s="3679" t="n"/>
      <c r="AH40" s="3678" t="n"/>
      <c r="AI40" s="3679" t="n"/>
      <c r="AJ40" s="3678" t="n"/>
      <c r="AK40" s="3679" t="n"/>
      <c r="AL40" s="3678" t="n"/>
      <c r="AM40" s="3679" t="n"/>
      <c r="AN40" s="3710" t="n"/>
      <c r="AO40" s="3682" t="n"/>
      <c r="AP40" s="3963" t="n">
        <v>0</v>
      </c>
      <c r="AQ40" s="1299" t="n">
        <v>0</v>
      </c>
      <c r="AR40" s="1138" t="n">
        <v>0</v>
      </c>
      <c r="AS40" s="17">
        <f>CA40&amp;CB40&amp;CC40</f>
        <v/>
      </c>
      <c r="CA40" s="90">
        <f>IF(AND(C40&gt;0,AP40="")," * No olvide digitar la variable Reingresos. Digite Cero si no tiene.",IF(AP40&gt;C40," * La variable Reingresos no puede ser mayor al Total Ambos Sexos.",""))</f>
        <v/>
      </c>
      <c r="CB40" s="90">
        <f>IF(AND(C40&gt;0,AQ40="")," * No olvide digitar la variable Pueblos Originarios.  Digite Cero si no tiene.",IF(AQ40&gt;C40," * La variable Pueblos originarios no puede ser mayor al Total Ambos Sexos.",""))</f>
        <v/>
      </c>
      <c r="CC40" s="90">
        <f>IF(AND(C40&gt;0,AR40="")," * No olvide digitar la variable Migrantes. Digite Cero si no tiene.",IF(AR40&gt;C40," * La variable Migrantes no puede ser mayor al Total Ambos Sexos.",""))</f>
        <v/>
      </c>
      <c r="CD40" s="101" t="n"/>
      <c r="CF40" s="52">
        <f>IF(AND(C40&gt;0,AP40=""),1,IF(AP40&gt;C40,1,0))</f>
        <v/>
      </c>
      <c r="CG40" s="52">
        <f>IF(AND(C40&gt;0,AQ40=""),1,IF(AQ40&gt;C40,1,0))</f>
        <v/>
      </c>
      <c r="CH40" s="52">
        <f>IF(AND(C40&gt;0,AR40=""),1,IF(AR40&gt;C40,1,0))</f>
        <v/>
      </c>
    </row>
    <row r="41" ht="15" customFormat="1" customHeight="1" s="17">
      <c r="A41" s="4505" t="inlineStr">
        <is>
          <t>TOTAL</t>
        </is>
      </c>
      <c r="B41" s="9647" t="n"/>
      <c r="C41" s="3685">
        <f>SUM(C28:C40)</f>
        <v/>
      </c>
      <c r="D41" s="3691">
        <f>SUM(D28:D40)</f>
        <v/>
      </c>
      <c r="E41" s="3686">
        <f>SUM(E28:E40)</f>
        <v/>
      </c>
      <c r="F41" s="3685">
        <f>SUM(F28:F40)</f>
        <v/>
      </c>
      <c r="G41" s="3686">
        <f>SUM(G28:G40)</f>
        <v/>
      </c>
      <c r="H41" s="3685">
        <f>SUM(H28:H40)</f>
        <v/>
      </c>
      <c r="I41" s="3686">
        <f>SUM(I28:I40)</f>
        <v/>
      </c>
      <c r="J41" s="3685">
        <f>SUM(J28:J40)</f>
        <v/>
      </c>
      <c r="K41" s="3686">
        <f>SUM(K28:K40)</f>
        <v/>
      </c>
      <c r="L41" s="3725">
        <f>SUM(L28:L40)</f>
        <v/>
      </c>
      <c r="M41" s="3687">
        <f>SUM(M28:M40)</f>
        <v/>
      </c>
      <c r="N41" s="3725">
        <f>SUM(N28:N40)</f>
        <v/>
      </c>
      <c r="O41" s="3687">
        <f>SUM(O28:O40)</f>
        <v/>
      </c>
      <c r="P41" s="3726">
        <f>SUM(P28:P40)</f>
        <v/>
      </c>
      <c r="Q41" s="3687">
        <f>SUM(Q28:Q40)</f>
        <v/>
      </c>
      <c r="R41" s="3725">
        <f>SUM(R28:R40)</f>
        <v/>
      </c>
      <c r="S41" s="3687">
        <f>SUM(S28:S40)</f>
        <v/>
      </c>
      <c r="T41" s="3725">
        <f>SUM(T28:T40)</f>
        <v/>
      </c>
      <c r="U41" s="3687">
        <f>SUM(U28:U40)</f>
        <v/>
      </c>
      <c r="V41" s="3725">
        <f>SUM(V28:V40)</f>
        <v/>
      </c>
      <c r="W41" s="3687">
        <f>SUM(W28:W40)</f>
        <v/>
      </c>
      <c r="X41" s="3685">
        <f>SUM(X28:X40)</f>
        <v/>
      </c>
      <c r="Y41" s="3727">
        <f>SUM(Y28:Y40)</f>
        <v/>
      </c>
      <c r="Z41" s="3685">
        <f>SUM(Z28:Z40)</f>
        <v/>
      </c>
      <c r="AA41" s="3727">
        <f>SUM(AA28:AA40)</f>
        <v/>
      </c>
      <c r="AB41" s="3685">
        <f>SUM(AB28:AB40)</f>
        <v/>
      </c>
      <c r="AC41" s="3727">
        <f>SUM(AC28:AC40)</f>
        <v/>
      </c>
      <c r="AD41" s="3725">
        <f>SUM(AD28:AD40)</f>
        <v/>
      </c>
      <c r="AE41" s="3687">
        <f>SUM(AE28:AE40)</f>
        <v/>
      </c>
      <c r="AF41" s="3725">
        <f>SUM(AF28:AF40)</f>
        <v/>
      </c>
      <c r="AG41" s="3687">
        <f>SUM(AG28:AG40)</f>
        <v/>
      </c>
      <c r="AH41" s="3726">
        <f>SUM(AH28:AH40)</f>
        <v/>
      </c>
      <c r="AI41" s="3687">
        <f>SUM(AI28:AI40)</f>
        <v/>
      </c>
      <c r="AJ41" s="3725">
        <f>SUM(AJ28:AJ40)</f>
        <v/>
      </c>
      <c r="AK41" s="3687">
        <f>SUM(AK28:AK40)</f>
        <v/>
      </c>
      <c r="AL41" s="3725">
        <f>SUM(AL28:AL40)</f>
        <v/>
      </c>
      <c r="AM41" s="3687">
        <f>SUM(AM28:AM40)</f>
        <v/>
      </c>
      <c r="AN41" s="3725">
        <f>SUM(AN28:AN40)</f>
        <v/>
      </c>
      <c r="AO41" s="3690">
        <f>SUM(AO28:AO40)</f>
        <v/>
      </c>
      <c r="AP41" s="5450">
        <f>SUM(AP28:AP40)</f>
        <v/>
      </c>
      <c r="AQ41" s="5444">
        <f>SUM(AQ28:AQ40)</f>
        <v/>
      </c>
      <c r="AR41" s="3686">
        <f>SUM(AR28:AR40)</f>
        <v/>
      </c>
    </row>
    <row r="42" ht="18" customFormat="1" customHeight="1" s="20">
      <c r="A42" s="2" t="inlineStr">
        <is>
          <t>SECCION C: EGRESOS</t>
        </is>
      </c>
    </row>
    <row r="43" ht="15" customFormat="1" customHeight="1" s="17">
      <c r="A43" s="10399" t="inlineStr">
        <is>
          <t>DIAGNÓSTICO O PROGRAMA</t>
        </is>
      </c>
      <c r="B43" s="10400" t="inlineStr">
        <is>
          <t>TOTAL</t>
        </is>
      </c>
      <c r="C43" s="9602" t="n"/>
      <c r="D43" s="9630" t="n"/>
      <c r="E43" s="10401" t="inlineStr">
        <is>
          <t>RANGO ETARIO Y SEXO</t>
        </is>
      </c>
      <c r="F43" s="9584" t="n"/>
      <c r="G43" s="9584" t="n"/>
      <c r="H43" s="9584" t="n"/>
      <c r="I43" s="9584" t="n"/>
      <c r="J43" s="9584" t="n"/>
      <c r="K43" s="9584" t="n"/>
      <c r="L43" s="9584" t="n"/>
      <c r="M43" s="9584" t="n"/>
      <c r="N43" s="9584" t="n"/>
      <c r="O43" s="9584" t="n"/>
      <c r="P43" s="9584" t="n"/>
      <c r="Q43" s="9584" t="n"/>
      <c r="R43" s="9584" t="n"/>
      <c r="S43" s="9584" t="n"/>
      <c r="T43" s="9584" t="n"/>
      <c r="U43" s="9584" t="n"/>
      <c r="V43" s="9584" t="n"/>
      <c r="W43" s="9584" t="n"/>
      <c r="X43" s="9584" t="n"/>
      <c r="Y43" s="9584" t="n"/>
      <c r="Z43" s="9584" t="n"/>
      <c r="AA43" s="9584" t="n"/>
      <c r="AB43" s="9584" t="n"/>
      <c r="AC43" s="9584" t="n"/>
      <c r="AD43" s="9584" t="n"/>
      <c r="AE43" s="9584" t="n"/>
      <c r="AF43" s="9584" t="n"/>
      <c r="AG43" s="9584" t="n"/>
      <c r="AH43" s="9584" t="n"/>
      <c r="AI43" s="9584" t="n"/>
      <c r="AJ43" s="9584" t="n"/>
      <c r="AK43" s="9584" t="n"/>
      <c r="AL43" s="9584" t="n"/>
      <c r="AM43" s="9584" t="n"/>
      <c r="AN43" s="9873" t="n"/>
      <c r="AO43" s="10402" t="inlineStr">
        <is>
          <t>CAUSAL</t>
        </is>
      </c>
      <c r="AP43" s="10059" t="n"/>
      <c r="AQ43" s="7829" t="inlineStr">
        <is>
          <t>Pueblos Originarios</t>
        </is>
      </c>
      <c r="AR43" s="8400" t="inlineStr">
        <is>
          <t>Migrantes</t>
        </is>
      </c>
    </row>
    <row r="44" ht="15" customFormat="1" customHeight="1" s="17">
      <c r="A44" s="9625" t="n"/>
      <c r="B44" s="9638" t="n"/>
      <c r="C44" s="9697" t="n"/>
      <c r="D44" s="9639" t="n"/>
      <c r="E44" s="7674" t="inlineStr">
        <is>
          <t>Menor de 1 año</t>
        </is>
      </c>
      <c r="F44" s="9603" t="n"/>
      <c r="G44" s="10046" t="inlineStr">
        <is>
          <t>1 - 4 
años</t>
        </is>
      </c>
      <c r="H44" s="9603" t="n"/>
      <c r="I44" s="10046" t="inlineStr">
        <is>
          <t>5 - 9 
años</t>
        </is>
      </c>
      <c r="J44" s="9603" t="n"/>
      <c r="K44" s="10046" t="inlineStr">
        <is>
          <t>10 - 14 años</t>
        </is>
      </c>
      <c r="L44" s="9603" t="n"/>
      <c r="M44" s="10046" t="inlineStr">
        <is>
          <t>15 - 19 años</t>
        </is>
      </c>
      <c r="N44" s="9603" t="n"/>
      <c r="O44" s="10046" t="inlineStr">
        <is>
          <t>20 - 24 años</t>
        </is>
      </c>
      <c r="P44" s="9603" t="n"/>
      <c r="Q44" s="10046" t="inlineStr">
        <is>
          <t>25 - 29 años</t>
        </is>
      </c>
      <c r="R44" s="9603" t="n"/>
      <c r="S44" s="10046" t="inlineStr">
        <is>
          <t>30 - 34 años</t>
        </is>
      </c>
      <c r="T44" s="9603" t="n"/>
      <c r="U44" s="10046" t="inlineStr">
        <is>
          <t>35 - 39 años</t>
        </is>
      </c>
      <c r="V44" s="9603" t="n"/>
      <c r="W44" s="9977" t="inlineStr">
        <is>
          <t>40 - 44 años</t>
        </is>
      </c>
      <c r="X44" s="9582" t="n"/>
      <c r="Y44" s="10046" t="inlineStr">
        <is>
          <t>45 - 49 años</t>
        </is>
      </c>
      <c r="Z44" s="9603" t="n"/>
      <c r="AA44" s="10046" t="inlineStr">
        <is>
          <t>50 - 54 años</t>
        </is>
      </c>
      <c r="AB44" s="9603" t="n"/>
      <c r="AC44" s="10046" t="inlineStr">
        <is>
          <t>55 - 59 años</t>
        </is>
      </c>
      <c r="AD44" s="9603" t="n"/>
      <c r="AE44" s="10046" t="inlineStr">
        <is>
          <t>60 - 64 años</t>
        </is>
      </c>
      <c r="AF44" s="9603" t="n"/>
      <c r="AG44" s="10046" t="inlineStr">
        <is>
          <t>65 - 69 años</t>
        </is>
      </c>
      <c r="AH44" s="9603" t="n"/>
      <c r="AI44" s="10046" t="inlineStr">
        <is>
          <t>70 - 74 años</t>
        </is>
      </c>
      <c r="AJ44" s="9603" t="n"/>
      <c r="AK44" s="10046" t="inlineStr">
        <is>
          <t>75 - 79 años</t>
        </is>
      </c>
      <c r="AL44" s="9603" t="n"/>
      <c r="AM44" s="10393" t="inlineStr">
        <is>
          <t>80 y más años</t>
        </is>
      </c>
      <c r="AN44" s="10394" t="n"/>
      <c r="AO44" s="10065" t="n"/>
      <c r="AP44" s="10066" t="n"/>
      <c r="AR44" s="9614" t="n"/>
    </row>
    <row r="45" ht="15" customFormat="1" customHeight="1" s="17">
      <c r="A45" s="9641" t="n"/>
      <c r="B45" s="3729" t="inlineStr">
        <is>
          <t>Ambos Sexos</t>
        </is>
      </c>
      <c r="C45" s="709" t="inlineStr">
        <is>
          <t>Hombres</t>
        </is>
      </c>
      <c r="D45" s="3730" t="inlineStr">
        <is>
          <t>Mujeres</t>
        </is>
      </c>
      <c r="E45" s="3642" t="inlineStr">
        <is>
          <t>Hombres</t>
        </is>
      </c>
      <c r="F45" s="8658" t="inlineStr">
        <is>
          <t>Mujeres</t>
        </is>
      </c>
      <c r="G45" s="3642" t="inlineStr">
        <is>
          <t>Hombres</t>
        </is>
      </c>
      <c r="H45" s="8658" t="inlineStr">
        <is>
          <t>Mujeres</t>
        </is>
      </c>
      <c r="I45" s="3642" t="inlineStr">
        <is>
          <t>Hombres</t>
        </is>
      </c>
      <c r="J45" s="8658" t="inlineStr">
        <is>
          <t>Mujeres</t>
        </is>
      </c>
      <c r="K45" s="3642" t="inlineStr">
        <is>
          <t>Hombres</t>
        </is>
      </c>
      <c r="L45" s="8658" t="inlineStr">
        <is>
          <t>Mujeres</t>
        </is>
      </c>
      <c r="M45" s="3642" t="inlineStr">
        <is>
          <t>Hombres</t>
        </is>
      </c>
      <c r="N45" s="8658" t="inlineStr">
        <is>
          <t>Mujeres</t>
        </is>
      </c>
      <c r="O45" s="3642" t="inlineStr">
        <is>
          <t>Hombres</t>
        </is>
      </c>
      <c r="P45" s="8658" t="inlineStr">
        <is>
          <t>Mujeres</t>
        </is>
      </c>
      <c r="Q45" s="3346" t="inlineStr">
        <is>
          <t>Hombres</t>
        </is>
      </c>
      <c r="R45" s="8514" t="inlineStr">
        <is>
          <t>Mujeres</t>
        </is>
      </c>
      <c r="S45" s="3346" t="inlineStr">
        <is>
          <t>Hombres</t>
        </is>
      </c>
      <c r="T45" s="8514" t="inlineStr">
        <is>
          <t>Mujeres</t>
        </is>
      </c>
      <c r="U45" s="3346" t="inlineStr">
        <is>
          <t>Hombres</t>
        </is>
      </c>
      <c r="V45" s="8514" t="inlineStr">
        <is>
          <t>Mujeres</t>
        </is>
      </c>
      <c r="W45" s="3642" t="inlineStr">
        <is>
          <t>Hombres</t>
        </is>
      </c>
      <c r="X45" s="8658" t="inlineStr">
        <is>
          <t>Mujeres</t>
        </is>
      </c>
      <c r="Y45" s="3642" t="inlineStr">
        <is>
          <t>Hombres</t>
        </is>
      </c>
      <c r="Z45" s="8658" t="inlineStr">
        <is>
          <t>Mujeres</t>
        </is>
      </c>
      <c r="AA45" s="3642" t="inlineStr">
        <is>
          <t>Hombres</t>
        </is>
      </c>
      <c r="AB45" s="8658" t="inlineStr">
        <is>
          <t>Mujeres</t>
        </is>
      </c>
      <c r="AC45" s="3642" t="inlineStr">
        <is>
          <t>Hombres</t>
        </is>
      </c>
      <c r="AD45" s="8658" t="inlineStr">
        <is>
          <t>Mujeres</t>
        </is>
      </c>
      <c r="AE45" s="3642" t="inlineStr">
        <is>
          <t>Hombres</t>
        </is>
      </c>
      <c r="AF45" s="8658" t="inlineStr">
        <is>
          <t>Mujeres</t>
        </is>
      </c>
      <c r="AG45" s="3642" t="inlineStr">
        <is>
          <t>Hombres</t>
        </is>
      </c>
      <c r="AH45" s="8658" t="inlineStr">
        <is>
          <t>Mujeres</t>
        </is>
      </c>
      <c r="AI45" s="3642" t="inlineStr">
        <is>
          <t>Hombres</t>
        </is>
      </c>
      <c r="AJ45" s="8658" t="inlineStr">
        <is>
          <t>Mujeres</t>
        </is>
      </c>
      <c r="AK45" s="3642" t="inlineStr">
        <is>
          <t>Hombres</t>
        </is>
      </c>
      <c r="AL45" s="8658" t="inlineStr">
        <is>
          <t>Mujeres</t>
        </is>
      </c>
      <c r="AM45" s="3642" t="inlineStr">
        <is>
          <t>Hombres</t>
        </is>
      </c>
      <c r="AN45" s="8716" t="inlineStr">
        <is>
          <t>Mujeres</t>
        </is>
      </c>
      <c r="AO45" s="3731" t="inlineStr">
        <is>
          <t>Abandono</t>
        </is>
      </c>
      <c r="AP45" s="3732" t="inlineStr">
        <is>
          <t>Fallecimiento</t>
        </is>
      </c>
      <c r="AQ45" s="9591" t="n"/>
      <c r="AR45" s="9610" t="n"/>
    </row>
    <row r="46" ht="15" customFormat="1" customHeight="1" s="17">
      <c r="A46" s="3733" t="inlineStr">
        <is>
          <t>Síndrome bronquial obstructiva recurrente (SBOR)</t>
        </is>
      </c>
      <c r="B46" s="3734">
        <f>SUM(C46+D46)</f>
        <v/>
      </c>
      <c r="C46" s="3735">
        <f>SUM(E46+G46)</f>
        <v/>
      </c>
      <c r="D46" s="3736">
        <f>SUM(F46+H46)</f>
        <v/>
      </c>
      <c r="E46" s="3737" t="n"/>
      <c r="F46" s="3738" t="n"/>
      <c r="G46" s="3737" t="n"/>
      <c r="H46" s="3738" t="n"/>
      <c r="I46" s="3702" t="n"/>
      <c r="J46" s="3739" t="n"/>
      <c r="K46" s="3702" t="n"/>
      <c r="L46" s="3703" t="n"/>
      <c r="M46" s="3702" t="n"/>
      <c r="N46" s="3703" t="n"/>
      <c r="O46" s="3702" t="n"/>
      <c r="P46" s="3703" t="n"/>
      <c r="Q46" s="3702" t="n"/>
      <c r="R46" s="3703" t="n"/>
      <c r="S46" s="3702" t="n"/>
      <c r="T46" s="3703" t="n"/>
      <c r="U46" s="3702" t="n"/>
      <c r="V46" s="3703" t="n"/>
      <c r="W46" s="3702" t="n"/>
      <c r="X46" s="3703" t="n"/>
      <c r="Y46" s="3702" t="n"/>
      <c r="Z46" s="3703" t="n"/>
      <c r="AA46" s="3702" t="n"/>
      <c r="AB46" s="3703" t="n"/>
      <c r="AC46" s="3702" t="n"/>
      <c r="AD46" s="3703" t="n"/>
      <c r="AE46" s="3702" t="n"/>
      <c r="AF46" s="3703" t="n"/>
      <c r="AG46" s="3702" t="n"/>
      <c r="AH46" s="3703" t="n"/>
      <c r="AI46" s="3702" t="n"/>
      <c r="AJ46" s="3703" t="n"/>
      <c r="AK46" s="3702" t="n"/>
      <c r="AL46" s="3703" t="n"/>
      <c r="AM46" s="3702" t="n"/>
      <c r="AN46" s="3740" t="n"/>
      <c r="AO46" s="3741" t="n"/>
      <c r="AP46" s="770" t="n"/>
      <c r="AQ46" s="89" t="n"/>
      <c r="AR46" s="5452" t="n"/>
      <c r="AS46" s="17">
        <f>CA46&amp;CB46&amp;CC46</f>
        <v/>
      </c>
      <c r="CA46" s="90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>
        <f>IF(AND(B46&gt;0,AQ46="")," * No olvide digitar la variable Pueblos Originarios. Digite Cero si no tiene.",IF(AQ46&gt;B46," * La variable Pueblos originarios no puede ser mayor al Total Ambos Sexos.",""))</f>
        <v/>
      </c>
      <c r="CC46" s="90">
        <f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/>
      </c>
      <c r="CG46" s="127">
        <f>IF(AND($B46&gt;0,AQ46=""),1,IF((AQ46)&gt;$B46,1,0))</f>
        <v/>
      </c>
      <c r="CH46" s="127">
        <f>IF(AND($B46&gt;0,AR46=""),1,IF((AR46)&gt;$B46,1,0))</f>
        <v/>
      </c>
    </row>
    <row r="47" ht="15" customFormat="1" customHeight="1" s="17">
      <c r="A47" s="3742" t="inlineStr">
        <is>
          <t>Asma bronquial</t>
        </is>
      </c>
      <c r="B47" s="3743">
        <f>SUM(C47+D47)</f>
        <v/>
      </c>
      <c r="C47" s="3744">
        <f>SUM(G47+I47+K47+M47+O47+S47+U47+Q47+W47+Y47+AA47+AC47+AE47+AG47+AI47+AK47+AM47)</f>
        <v/>
      </c>
      <c r="D47" s="3745">
        <f>SUM(H47+J47+L47+N47+P47+R47+T47+V47+X47+Z47+AB47+AD47+AF47+AH47+AJ47+AL47+AN47)</f>
        <v/>
      </c>
      <c r="E47" s="3706" t="n"/>
      <c r="F47" s="3746" t="n"/>
      <c r="G47" s="669" t="n"/>
      <c r="H47" s="3747" t="n"/>
      <c r="I47" s="1159" t="n"/>
      <c r="J47" s="1160" t="n"/>
      <c r="K47" s="1159" t="n"/>
      <c r="L47" s="1160" t="n"/>
      <c r="M47" s="1159" t="n"/>
      <c r="N47" s="1160" t="n"/>
      <c r="O47" s="1159" t="n"/>
      <c r="P47" s="1160" t="n"/>
      <c r="Q47" s="1159" t="n"/>
      <c r="R47" s="1160" t="n"/>
      <c r="S47" s="1159" t="n"/>
      <c r="T47" s="1160" t="n"/>
      <c r="U47" s="1159" t="n"/>
      <c r="V47" s="1160" t="n"/>
      <c r="W47" s="3748" t="n"/>
      <c r="X47" s="3749" t="n"/>
      <c r="Y47" s="3748" t="n"/>
      <c r="Z47" s="3749" t="n"/>
      <c r="AA47" s="3748" t="n"/>
      <c r="AB47" s="3749" t="n"/>
      <c r="AC47" s="3748" t="n"/>
      <c r="AD47" s="3749" t="n"/>
      <c r="AE47" s="3748" t="n"/>
      <c r="AF47" s="3749" t="n"/>
      <c r="AG47" s="3748" t="n"/>
      <c r="AH47" s="3749" t="n"/>
      <c r="AI47" s="3748" t="n"/>
      <c r="AJ47" s="3749" t="n"/>
      <c r="AK47" s="3748" t="n"/>
      <c r="AL47" s="3749" t="n"/>
      <c r="AM47" s="3748" t="n"/>
      <c r="AN47" s="3750" t="n"/>
      <c r="AO47" s="3751" t="n"/>
      <c r="AP47" s="3752" t="n"/>
      <c r="AQ47" s="3750" t="n"/>
      <c r="AR47" s="5453" t="n"/>
      <c r="AS47" s="17">
        <f>CA47&amp;CB47&amp;CC47</f>
        <v/>
      </c>
      <c r="CA47" s="90">
        <f>IF(AND(B47&gt;0,AO47="",AP47="")," * No olvide registrar Causal de egresos (Abandono/Fallecimiento). Digite Cero si no tiene",IF((AO47+AP47)&gt;B47," * Egresos según causal no debe ser mayor que el Total Ambos Sexos",""))</f>
        <v/>
      </c>
      <c r="CB47" s="90">
        <f>IF(AND(B47&gt;0,AQ47="")," * No olvide digitar la variable Pueblos Originarios. Digite Cero si no tiene.",IF(AQ47&gt;B47," * La variable Pueblos originarios no puede ser mayor al Total Ambos Sexos.",""))</f>
        <v/>
      </c>
      <c r="CC47" s="90">
        <f>IF(AND(B47&gt;0,AR47="")," * No olvide digitar la variable Migrantes. Digite Cero si no tiene.",IF(AR47&gt;B47," * La variable Migrantes no puede ser mayor al Total Ambos Sexos.",""))</f>
        <v/>
      </c>
      <c r="CF47" s="127">
        <f>IF(AND($B47&gt;0,AO47="",AP47=""),1,IF((AO47+AP47)&gt;$B47,1,0))</f>
        <v/>
      </c>
      <c r="CG47" s="127">
        <f>IF(AND($B47&gt;0,AQ47=""),1,IF((AQ47)&gt;$B47,1,0))</f>
        <v/>
      </c>
      <c r="CH47" s="127">
        <f>IF(AND($B47&gt;0,AR47=""),1,IF((AR47)&gt;$B47,1,0))</f>
        <v/>
      </c>
    </row>
    <row r="48" ht="15" customFormat="1" customHeight="1" s="17">
      <c r="A48" s="3742" t="inlineStr">
        <is>
          <t>Enfermedad pulmonar obstructiva crónica (EPOC)</t>
        </is>
      </c>
      <c r="B48" s="3753">
        <f>SUM(C48+D48)</f>
        <v/>
      </c>
      <c r="C48" s="3754">
        <f>SUM(W48+Y48+AA48+AC48+AE48+AG48+AI48+AK48+AM48)</f>
        <v/>
      </c>
      <c r="D48" s="3755">
        <f>SUM(X48+Z48+AB48+AD48+AF48+AH48+AJ48+AL48+AN48)</f>
        <v/>
      </c>
      <c r="E48" s="3706" t="n"/>
      <c r="F48" s="3707" t="n"/>
      <c r="G48" s="3706" t="n"/>
      <c r="H48" s="3707" t="n"/>
      <c r="I48" s="3706" t="n"/>
      <c r="J48" s="3707" t="n"/>
      <c r="K48" s="3706" t="n"/>
      <c r="L48" s="3707" t="n"/>
      <c r="M48" s="3706" t="n"/>
      <c r="N48" s="3707" t="n"/>
      <c r="O48" s="3706" t="n"/>
      <c r="P48" s="3739" t="n"/>
      <c r="Q48" s="3756" t="n"/>
      <c r="R48" s="3739" t="n"/>
      <c r="S48" s="3756" t="n"/>
      <c r="T48" s="3739" t="n"/>
      <c r="U48" s="3756" t="n"/>
      <c r="V48" s="3739" t="n"/>
      <c r="W48" s="3757" t="n"/>
      <c r="X48" s="3758" t="n"/>
      <c r="Y48" s="3757" t="n"/>
      <c r="Z48" s="3758" t="n"/>
      <c r="AA48" s="3757" t="n"/>
      <c r="AB48" s="3758" t="n"/>
      <c r="AC48" s="3757" t="n"/>
      <c r="AD48" s="3758" t="n"/>
      <c r="AE48" s="3757" t="n"/>
      <c r="AF48" s="3758" t="n"/>
      <c r="AG48" s="3757" t="n"/>
      <c r="AH48" s="3758" t="n"/>
      <c r="AI48" s="3757" t="n"/>
      <c r="AJ48" s="3758" t="n"/>
      <c r="AK48" s="3757" t="n"/>
      <c r="AL48" s="3758" t="n"/>
      <c r="AM48" s="3757" t="n"/>
      <c r="AN48" s="89" t="n"/>
      <c r="AO48" s="3751" t="n"/>
      <c r="AP48" s="3752" t="n"/>
      <c r="AQ48" s="3750" t="n"/>
      <c r="AR48" s="5453" t="n"/>
      <c r="AS48" s="17">
        <f>CA48&amp;CB48&amp;CC48</f>
        <v/>
      </c>
      <c r="CA48" s="90">
        <f>IF(AND(B48&gt;0,AO48="",AP48="")," * No olvide registrar Causal de egresos (Abandono/Fallecimiento). Digite Cero si no tiene",IF((AO48+AP48)&gt;B48," * Egresos según causal no debe ser mayor que el Total Ambos Sexos",""))</f>
        <v/>
      </c>
      <c r="CB48" s="90">
        <f>IF(AND(B48&gt;0,AQ48="")," * No olvide digitar la variable Pueblos Originarios. Digite Cero si no tiene.",IF(AQ48&gt;B48," * La variable Pueblos originarios no puede ser mayor al Total Ambos Sexos.",""))</f>
        <v/>
      </c>
      <c r="CC48" s="90">
        <f>IF(AND(B48&gt;0,AR48="")," * No olvide digitar la variable Migrantes. Digite Cero si no tiene.",IF(AR48&gt;B48," * La variable Migrantes no puede ser mayor al Total Ambos Sexos.",""))</f>
        <v/>
      </c>
      <c r="CF48" s="127">
        <f>IF(AND($B48&gt;0,AO48="",AP48=""),1,IF((AO48+AP48)&gt;$B48,1,0))</f>
        <v/>
      </c>
      <c r="CG48" s="127">
        <f>IF(AND($B48&gt;0,AQ48=""),1,IF((AQ48)&gt;$B48,1,0))</f>
        <v/>
      </c>
      <c r="CH48" s="127">
        <f>IF(AND($B48&gt;0,AR48=""),1,IF((AR48)&gt;$B48,1,0))</f>
        <v/>
      </c>
    </row>
    <row r="49" ht="15" customFormat="1" customHeight="1" s="17">
      <c r="A49" s="3759" t="inlineStr">
        <is>
          <t>Displasia broncopulmonar</t>
        </is>
      </c>
      <c r="B49" s="1926">
        <f>SUM(C49+D49)</f>
        <v/>
      </c>
      <c r="C49" s="1970">
        <f>SUM(E49+G49+I49+K49+M49+O49+Q49+S49+U49+W49+Y49+AA49+AC49+AE49+AG49+AI49+AK49+AM49)</f>
        <v/>
      </c>
      <c r="D49" s="3760">
        <f>SUM(F49+H49+J49+L49+N49+P49+R49+T49+V49+X49+Z49+AB49+AD49+AF49+AH49+AJ49+AL49+AN49)</f>
        <v/>
      </c>
      <c r="E49" s="1971" t="n"/>
      <c r="F49" s="3649" t="n"/>
      <c r="G49" s="1971" t="n"/>
      <c r="H49" s="3649" t="n"/>
      <c r="I49" s="1971" t="n"/>
      <c r="J49" s="3649" t="n"/>
      <c r="K49" s="1971" t="n"/>
      <c r="L49" s="3649" t="n"/>
      <c r="M49" s="1971" t="n"/>
      <c r="N49" s="3649" t="n"/>
      <c r="O49" s="1971" t="n"/>
      <c r="P49" s="3649" t="n"/>
      <c r="Q49" s="1971" t="n"/>
      <c r="R49" s="3649" t="n"/>
      <c r="S49" s="1971" t="n"/>
      <c r="T49" s="3649" t="n"/>
      <c r="U49" s="1971" t="n"/>
      <c r="V49" s="3649" t="n"/>
      <c r="W49" s="1971" t="n"/>
      <c r="X49" s="3649" t="n"/>
      <c r="Y49" s="1971" t="n"/>
      <c r="Z49" s="3649" t="n"/>
      <c r="AA49" s="1971" t="n"/>
      <c r="AB49" s="3649" t="n"/>
      <c r="AC49" s="1971" t="n"/>
      <c r="AD49" s="3649" t="n"/>
      <c r="AE49" s="1971" t="n"/>
      <c r="AF49" s="3649" t="n"/>
      <c r="AG49" s="1971" t="n"/>
      <c r="AH49" s="3649" t="n"/>
      <c r="AI49" s="1971" t="n"/>
      <c r="AJ49" s="3649" t="n"/>
      <c r="AK49" s="1971" t="n"/>
      <c r="AL49" s="3649" t="n"/>
      <c r="AM49" s="1971" t="n"/>
      <c r="AN49" s="22" t="n"/>
      <c r="AO49" s="3751" t="n"/>
      <c r="AP49" s="3752" t="n"/>
      <c r="AQ49" s="3750" t="n"/>
      <c r="AR49" s="5453" t="n"/>
      <c r="AS49" s="17">
        <f>CA49&amp;CB49&amp;CC49</f>
        <v/>
      </c>
      <c r="CA49" s="90">
        <f>IF(AND(B49&gt;0,AO49="",AP49="")," * No olvide registrar Causal de egresos (Abandono/Fallecimiento). Digite Cero si no tiene",IF((AO49+AP49)&gt;B49," * Egresos según causal no debe ser mayor que el Total Ambos Sexos",""))</f>
        <v/>
      </c>
      <c r="CB49" s="90">
        <f>IF(AND(B49&gt;0,AQ49="")," * No olvide digitar la variable Pueblos Originarios. Digite Cero si no tiene.",IF(AQ49&gt;B49," * La variable Pueblos originarios no puede ser mayor al Total Ambos Sexos.",""))</f>
        <v/>
      </c>
      <c r="CC49" s="90">
        <f>IF(AND(B49&gt;0,AR49="")," * No olvide digitar la variable Migrantes. Digite Cero si no tiene.",IF(AR49&gt;B49," * La variable Migrantes no puede ser mayor al Total Ambos Sexos.",""))</f>
        <v/>
      </c>
      <c r="CF49" s="127">
        <f>IF(AND($B49&gt;0,AO49="",AP49=""),1,IF((AO49+AP49)&gt;$B49,1,0))</f>
        <v/>
      </c>
      <c r="CG49" s="127">
        <f>IF(AND($B49&gt;0,AQ49=""),1,IF((AQ49)&gt;$B49,1,0))</f>
        <v/>
      </c>
      <c r="CH49" s="127">
        <f>IF(AND($B49&gt;0,AR49=""),1,IF((AR49)&gt;$B49,1,0))</f>
        <v/>
      </c>
    </row>
    <row r="50" ht="15" customFormat="1" customHeight="1" s="17">
      <c r="A50" s="3761" t="inlineStr">
        <is>
          <t>Fibrosis quística</t>
        </is>
      </c>
      <c r="B50" s="3762">
        <f>SUM(C50+D50)</f>
        <v/>
      </c>
      <c r="C50" s="3763">
        <f>SUM(E50+G50+I50+K50+M50+O50+Q50+S50+U50+W50+Y50+AA50+AC50+AE50+AG50+AI50+AK50+AM50)</f>
        <v/>
      </c>
      <c r="D50" s="3745">
        <f>SUM(F50+H50+J50+L50+N50+P50+R50+T50+V50+X50+Z50+AB50+AD50+AF50+AH50+AJ50+AL50+AN50)</f>
        <v/>
      </c>
      <c r="E50" s="3748" t="n"/>
      <c r="F50" s="3749" t="n"/>
      <c r="G50" s="3748" t="n"/>
      <c r="H50" s="3749" t="n"/>
      <c r="I50" s="3748" t="n"/>
      <c r="J50" s="3749" t="n"/>
      <c r="K50" s="3748" t="n"/>
      <c r="L50" s="3758" t="n"/>
      <c r="M50" s="3757" t="n"/>
      <c r="N50" s="3758" t="n"/>
      <c r="O50" s="3757" t="n"/>
      <c r="P50" s="3758" t="n"/>
      <c r="Q50" s="3757" t="n"/>
      <c r="R50" s="3758" t="n"/>
      <c r="S50" s="3757" t="n"/>
      <c r="T50" s="3758" t="n"/>
      <c r="U50" s="3757" t="n"/>
      <c r="V50" s="3758" t="n"/>
      <c r="W50" s="3757" t="n"/>
      <c r="X50" s="3758" t="n"/>
      <c r="Y50" s="3757" t="n"/>
      <c r="Z50" s="3758" t="n"/>
      <c r="AA50" s="3757" t="n"/>
      <c r="AB50" s="3758" t="n"/>
      <c r="AC50" s="3757" t="n"/>
      <c r="AD50" s="3758" t="n"/>
      <c r="AE50" s="3757" t="n"/>
      <c r="AF50" s="3758" t="n"/>
      <c r="AG50" s="3757" t="n"/>
      <c r="AH50" s="3758" t="n"/>
      <c r="AI50" s="3757" t="n"/>
      <c r="AJ50" s="3758" t="n"/>
      <c r="AK50" s="3757" t="n"/>
      <c r="AL50" s="3758" t="n"/>
      <c r="AM50" s="3757" t="n"/>
      <c r="AN50" s="89" t="n"/>
      <c r="AO50" s="3751" t="n"/>
      <c r="AP50" s="3752" t="n"/>
      <c r="AQ50" s="3750" t="n"/>
      <c r="AR50" s="5453" t="n"/>
      <c r="AS50" s="17">
        <f>CA50&amp;CB50&amp;CC50</f>
        <v/>
      </c>
      <c r="CA50" s="90">
        <f>IF(AND(B50&gt;0,AO50="",AP50="")," * No olvide registrar Causal de egresos (Abandono/Fallecimiento). Digite Cero si no tiene",IF((AO50+AP50)&gt;B50," * Egresos según causal no debe ser mayor que el Total Ambos Sexos",""))</f>
        <v/>
      </c>
      <c r="CB50" s="90">
        <f>IF(AND(B50&gt;0,AQ50="")," * No olvide digitar la variable Pueblos Originarios. Digite Cero si no tiene.",IF(AQ50&gt;B50," * La variable Pueblos originarios no puede ser mayor al Total Ambos Sexos.",""))</f>
        <v/>
      </c>
      <c r="CC50" s="90">
        <f>IF(AND(B50&gt;0,AR50="")," * No olvide digitar la variable Migrantes. Digite Cero si no tiene.",IF(AR50&gt;B50," * La variable Migrantes no puede ser mayor al Total Ambos Sexos.",""))</f>
        <v/>
      </c>
      <c r="CF50" s="127">
        <f>IF(AND($B50&gt;0,AO50="",AP50=""),1,IF((AO50+AP50)&gt;$B50,1,0))</f>
        <v/>
      </c>
      <c r="CG50" s="127">
        <f>IF(AND($B50&gt;0,AQ50=""),1,IF((AQ50)&gt;$B50,1,0))</f>
        <v/>
      </c>
      <c r="CH50" s="127">
        <f>IF(AND($B50&gt;0,AR50=""),1,IF((AR50)&gt;$B50,1,0))</f>
        <v/>
      </c>
    </row>
    <row r="51" ht="15" customFormat="1" customHeight="1" s="17">
      <c r="A51" s="3764" t="inlineStr">
        <is>
          <t>Oxígeno dependiente</t>
        </is>
      </c>
      <c r="B51" s="640">
        <f>SUM(C51+D51)</f>
        <v/>
      </c>
      <c r="C51" s="708">
        <f>SUM(E51+G51+I51+K51+M51+O51+Q51+S51+U51+W51+Y51+AA51+AC51+AE51+AG51+AI51+AK51+AM51)</f>
        <v/>
      </c>
      <c r="D51" s="3755">
        <f>SUM(F51+H51+J51+L51+N51+P51+R51+T51+V51+X51+Z51+AB51+AD51+AF51+AH51+AJ51+AL51+AN51)</f>
        <v/>
      </c>
      <c r="E51" s="3748" t="n"/>
      <c r="F51" s="3749" t="n"/>
      <c r="G51" s="3748" t="n"/>
      <c r="H51" s="3749" t="n"/>
      <c r="I51" s="3748" t="n"/>
      <c r="J51" s="3749" t="n"/>
      <c r="K51" s="3748" t="n"/>
      <c r="L51" s="3749" t="n"/>
      <c r="M51" s="3748" t="n"/>
      <c r="N51" s="3749" t="n"/>
      <c r="O51" s="3748" t="n"/>
      <c r="P51" s="3749" t="n"/>
      <c r="Q51" s="3748" t="n"/>
      <c r="R51" s="3749" t="n"/>
      <c r="S51" s="3748" t="n"/>
      <c r="T51" s="3749" t="n"/>
      <c r="U51" s="3748" t="n"/>
      <c r="V51" s="3749" t="n"/>
      <c r="W51" s="3748" t="n"/>
      <c r="X51" s="3749" t="n"/>
      <c r="Y51" s="3748" t="n"/>
      <c r="Z51" s="3749" t="n"/>
      <c r="AA51" s="3748" t="n"/>
      <c r="AB51" s="3749" t="n"/>
      <c r="AC51" s="3748" t="n"/>
      <c r="AD51" s="3749" t="n"/>
      <c r="AE51" s="3748" t="n"/>
      <c r="AF51" s="3749" t="n"/>
      <c r="AG51" s="3748" t="n"/>
      <c r="AH51" s="3749" t="n"/>
      <c r="AI51" s="3748" t="n"/>
      <c r="AJ51" s="3749" t="n"/>
      <c r="AK51" s="3748" t="n"/>
      <c r="AL51" s="3749" t="n"/>
      <c r="AM51" s="3748" t="n"/>
      <c r="AN51" s="3750" t="n"/>
      <c r="AO51" s="1164" t="n"/>
      <c r="AP51" s="1165" t="n"/>
      <c r="AQ51" s="5451" t="n"/>
      <c r="AR51" s="5454" t="n"/>
      <c r="AS51" s="17">
        <f>CA51&amp;CB51&amp;CC51</f>
        <v/>
      </c>
      <c r="CA51" s="90">
        <f>IF(AND(B51&gt;0,AO51="",AP51="")," * No olvide registrar Causal de egresos (Abandono/Fallecimiento). Digite Cero si no tiene",IF((AO51+AP51)&gt;B51," * Egresos según causal no debe ser mayor que el Total Ambos Sexos",""))</f>
        <v/>
      </c>
      <c r="CB51" s="90">
        <f>IF(AND(B51&gt;0,AQ51="")," * No olvide digitar la variable Pueblos Originarios. Digite Cero si no tiene.",IF(AQ51&gt;B51," * La variable Pueblos originarios no puede ser mayor al Total Ambos Sexos.",""))</f>
        <v/>
      </c>
      <c r="CC51" s="90">
        <f>IF(AND(B51&gt;0,AR51="")," * No olvide digitar la variable Migrantes. Digite Cero si no tiene.",IF(AR51&gt;B51," * La variable Migrantes no puede ser mayor al Total Ambos Sexos.",""))</f>
        <v/>
      </c>
      <c r="CF51" s="127">
        <f>IF(AND($B51&gt;0,AO51="",AP51=""),1,IF((AO51+AP51)&gt;$B51,1,0))</f>
        <v/>
      </c>
      <c r="CG51" s="127">
        <f>IF(AND($B51&gt;0,AQ51=""),1,IF((AQ51)&gt;$B51,1,0))</f>
        <v/>
      </c>
      <c r="CH51" s="127">
        <f>IF(AND($B51&gt;0,AR51=""),1,IF((AR51)&gt;$B51,1,0))</f>
        <v/>
      </c>
    </row>
    <row r="52" ht="15" customFormat="1" customHeight="1" s="17">
      <c r="A52" s="3765" t="inlineStr">
        <is>
          <t xml:space="preserve">Asistencia ventilatoria no invasiva o invasiva </t>
        </is>
      </c>
      <c r="B52" s="3762">
        <f>SUM(C52+D52)</f>
        <v/>
      </c>
      <c r="C52" s="3763">
        <f>SUM(E52+G52+I52+K52+M52+O52+Q52+S52+U52+W52+Y52+AA52+AC52+AE52+AG52+AI52+AK52+AM52)</f>
        <v/>
      </c>
      <c r="D52" s="3745">
        <f>SUM(F52+H52+J52+L52+N52+P52+R52+T52+V52+X52+Z52+AB52+AD52+AF52+AH52+AJ52+AL52+AN52)</f>
        <v/>
      </c>
      <c r="E52" s="3748" t="n"/>
      <c r="F52" s="3749" t="n"/>
      <c r="G52" s="3748" t="n"/>
      <c r="H52" s="3749" t="n"/>
      <c r="I52" s="3748" t="n"/>
      <c r="J52" s="3749" t="n"/>
      <c r="K52" s="3748" t="n"/>
      <c r="L52" s="3749" t="n"/>
      <c r="M52" s="3748" t="n"/>
      <c r="N52" s="3749" t="n"/>
      <c r="O52" s="3748" t="n"/>
      <c r="P52" s="3749" t="n"/>
      <c r="Q52" s="3748" t="n"/>
      <c r="R52" s="3749" t="n"/>
      <c r="S52" s="3748" t="n"/>
      <c r="T52" s="3749" t="n"/>
      <c r="U52" s="3748" t="n"/>
      <c r="V52" s="3749" t="n"/>
      <c r="W52" s="3748" t="n"/>
      <c r="X52" s="3749" t="n"/>
      <c r="Y52" s="3748" t="n"/>
      <c r="Z52" s="3749" t="n"/>
      <c r="AA52" s="3748" t="n"/>
      <c r="AB52" s="3749" t="n"/>
      <c r="AC52" s="3748" t="n"/>
      <c r="AD52" s="3749" t="n"/>
      <c r="AE52" s="3748" t="n"/>
      <c r="AF52" s="3749" t="n"/>
      <c r="AG52" s="3748" t="n"/>
      <c r="AH52" s="3749" t="n"/>
      <c r="AI52" s="3748" t="n"/>
      <c r="AJ52" s="3749" t="n"/>
      <c r="AK52" s="3748" t="n"/>
      <c r="AL52" s="3749" t="n"/>
      <c r="AM52" s="3748" t="n"/>
      <c r="AN52" s="3750" t="n"/>
      <c r="AO52" s="1164" t="n"/>
      <c r="AP52" s="1165" t="n"/>
      <c r="AQ52" s="5451" t="n"/>
      <c r="AR52" s="5454" t="n"/>
      <c r="AS52" s="17">
        <f>CA52&amp;CB52&amp;CC52</f>
        <v/>
      </c>
      <c r="CA52" s="90">
        <f>IF(AND(B52&gt;0,AO52="",AP52="")," * No olvide registrar Causal de egresos (Abandono/Fallecimiento). Digite Cero si no tiene",IF((AO52+AP52)&gt;B52," * Egresos según causal no debe ser mayor que el Total Ambos Sexos",""))</f>
        <v/>
      </c>
      <c r="CB52" s="90">
        <f>IF(AND(B52&gt;0,AQ52="")," * No olvide digitar la variable Pueblos Originarios. Digite Cero si no tiene.",IF(AQ52&gt;B52," * La variable Pueblos originarios no puede ser mayor al Total Ambos Sexos.",""))</f>
        <v/>
      </c>
      <c r="CC52" s="90">
        <f>IF(AND(B52&gt;0,AR52="")," * No olvide digitar la variable Migrantes. Digite Cero si no tiene.",IF(AR52&gt;B52," * La variable Migrantes no puede ser mayor al Total Ambos Sexos.",""))</f>
        <v/>
      </c>
      <c r="CF52" s="127">
        <f>IF(AND($B52&gt;0,AO52="",AP52=""),1,IF((AO52+AP52)&gt;$B52,1,0))</f>
        <v/>
      </c>
      <c r="CG52" s="127">
        <f>IF(AND($B52&gt;0,AQ52=""),1,IF((AQ52)&gt;$B52,1,0))</f>
        <v/>
      </c>
      <c r="CH52" s="127">
        <f>IF(AND($B52&gt;0,AR52=""),1,IF((AR52)&gt;$B52,1,0))</f>
        <v/>
      </c>
    </row>
    <row r="53" ht="15" customFormat="1" customHeight="1" s="17">
      <c r="A53" s="3766" t="inlineStr">
        <is>
          <t>Otras respiratorias crónicas</t>
        </is>
      </c>
      <c r="B53" s="2576">
        <f>SUM(C53+D53)</f>
        <v/>
      </c>
      <c r="C53" s="3337">
        <f>SUM(E53+G53+I53+K53+M53+O53+Q53+S53+U53+W53+Y53+AA53+AC53+AE53+AG53+AI53+AK53+AM53)</f>
        <v/>
      </c>
      <c r="D53" s="1166">
        <f>SUM(F53+H53+J53+L53+N53+P53+R53+T53+V53+X53+Z53+AB53+AD53+AF53+AH53+AJ53+AL53+AN53)</f>
        <v/>
      </c>
      <c r="E53" s="3767" t="n"/>
      <c r="F53" s="1167" t="n"/>
      <c r="G53" s="3767" t="n"/>
      <c r="H53" s="1167" t="n"/>
      <c r="I53" s="3767" t="n"/>
      <c r="J53" s="1167" t="n"/>
      <c r="K53" s="3767" t="n"/>
      <c r="L53" s="1167" t="n"/>
      <c r="M53" s="3767" t="n"/>
      <c r="N53" s="1167" t="n"/>
      <c r="O53" s="3767" t="n"/>
      <c r="P53" s="1167" t="n"/>
      <c r="Q53" s="3767" t="n"/>
      <c r="R53" s="1167" t="n"/>
      <c r="S53" s="3767" t="n"/>
      <c r="T53" s="1167" t="n"/>
      <c r="U53" s="3767" t="n"/>
      <c r="V53" s="1167" t="n"/>
      <c r="W53" s="3767" t="n"/>
      <c r="X53" s="1167" t="n"/>
      <c r="Y53" s="3767" t="n"/>
      <c r="Z53" s="1167" t="n"/>
      <c r="AA53" s="3767" t="n"/>
      <c r="AB53" s="1167" t="n"/>
      <c r="AC53" s="3767" t="n"/>
      <c r="AD53" s="1167" t="n"/>
      <c r="AE53" s="3767" t="n"/>
      <c r="AF53" s="1167" t="n"/>
      <c r="AG53" s="3767" t="n"/>
      <c r="AH53" s="1167" t="n"/>
      <c r="AI53" s="3767" t="n"/>
      <c r="AJ53" s="1167" t="n"/>
      <c r="AK53" s="3767" t="n"/>
      <c r="AL53" s="1167" t="n"/>
      <c r="AM53" s="3767" t="n"/>
      <c r="AN53" s="1168" t="n"/>
      <c r="AO53" s="3768" t="n"/>
      <c r="AP53" s="3769" t="n"/>
      <c r="AQ53" s="1168" t="n"/>
      <c r="AR53" s="5455" t="n"/>
      <c r="AS53" s="17">
        <f>CA53&amp;CB53&amp;CC53</f>
        <v/>
      </c>
      <c r="CA53" s="90">
        <f>IF(AND(B53&gt;0,AO53="",AP53="")," * No olvide registrar Causal de egresos (Abandono/Fallecimiento). Digite Cero si no tiene",IF((AO53+AP53)&gt;B53," * Egresos según causal no debe ser mayor que el Total Ambos Sexos",""))</f>
        <v/>
      </c>
      <c r="CB53" s="90">
        <f>IF(AND(B53&gt;0,AQ53="")," * No olvide digitar la variable Pueblos Originarios. Digite Cero si no tiene.",IF(AQ53&gt;B53," * La variable Pueblos originarios no puede ser mayor al Total Ambos Sexos.",""))</f>
        <v/>
      </c>
      <c r="CC53" s="90">
        <f>IF(AND(B53&gt;0,AR53="")," * No olvide digitar la variable Migrantes. Digite Cero si no tiene.",IF(AR53&gt;B53," * La variable Migrantes no puede ser mayor al Total Ambos Sexos.",""))</f>
        <v/>
      </c>
      <c r="CF53" s="127">
        <f>IF(AND($B53&gt;0,AO53="",AP53=""),1,IF((AO53+AP53)&gt;$B53,1,0))</f>
        <v/>
      </c>
      <c r="CG53" s="127">
        <f>IF(AND($B53&gt;0,AQ53=""),1,IF((AQ53)&gt;$B53,1,0))</f>
        <v/>
      </c>
      <c r="CH53" s="127">
        <f>IF(AND($B53&gt;0,AR53=""),1,IF((AR53)&gt;$B53,1,0))</f>
        <v/>
      </c>
    </row>
    <row r="54" ht="18" customFormat="1" customHeight="1" s="20">
      <c r="A54" s="2" t="inlineStr">
        <is>
          <t>SECCIÓN D: CONSULTAS DE MORBILIDAD POR ENFERMEDADES RESPIRATORIAS EN SALAS IRA, ERA Y MIXTA</t>
        </is>
      </c>
    </row>
    <row r="55" ht="15" customFormat="1" customHeight="1" s="17">
      <c r="A55" s="10250" t="inlineStr">
        <is>
          <t>PROFESIONAL</t>
        </is>
      </c>
      <c r="B55" s="10403" t="inlineStr">
        <is>
          <t>TOTAL</t>
        </is>
      </c>
      <c r="C55" s="9602" t="n"/>
      <c r="D55" s="9630" t="n"/>
      <c r="E55" s="10404" t="inlineStr">
        <is>
          <t>RANGO ETARIO Y SEXO</t>
        </is>
      </c>
      <c r="F55" s="9584" t="n"/>
      <c r="G55" s="9584" t="n"/>
      <c r="H55" s="9584" t="n"/>
      <c r="I55" s="9584" t="n"/>
      <c r="J55" s="9584" t="n"/>
      <c r="K55" s="9584" t="n"/>
      <c r="L55" s="9584" t="n"/>
      <c r="M55" s="9584" t="n"/>
      <c r="N55" s="9584" t="n"/>
      <c r="O55" s="9584" t="n"/>
      <c r="P55" s="9584" t="n"/>
      <c r="Q55" s="9584" t="n"/>
      <c r="R55" s="9584" t="n"/>
      <c r="S55" s="9584" t="n"/>
      <c r="T55" s="9584" t="n"/>
      <c r="U55" s="9584" t="n"/>
      <c r="V55" s="9584" t="n"/>
      <c r="W55" s="9584" t="n"/>
      <c r="X55" s="9584" t="n"/>
      <c r="Y55" s="9584" t="n"/>
      <c r="Z55" s="9584" t="n"/>
      <c r="AA55" s="9584" t="n"/>
      <c r="AB55" s="9584" t="n"/>
      <c r="AC55" s="9584" t="n"/>
      <c r="AD55" s="9584" t="n"/>
      <c r="AE55" s="9584" t="n"/>
      <c r="AF55" s="9584" t="n"/>
      <c r="AG55" s="9584" t="n"/>
      <c r="AH55" s="9584" t="n"/>
      <c r="AI55" s="9584" t="n"/>
      <c r="AJ55" s="9584" t="n"/>
      <c r="AK55" s="9584" t="n"/>
      <c r="AL55" s="9584" t="n"/>
      <c r="AM55" s="9584" t="n"/>
      <c r="AN55" s="9595" t="n"/>
      <c r="AO55" s="9975" t="inlineStr">
        <is>
          <t>Beneficiarios</t>
        </is>
      </c>
    </row>
    <row r="56" ht="15" customFormat="1" customHeight="1" s="17">
      <c r="A56" s="9625" t="n"/>
      <c r="B56" s="642" t="n"/>
      <c r="D56" s="9718" t="n"/>
      <c r="E56" s="7674" t="inlineStr">
        <is>
          <t>Menor de 1 año</t>
        </is>
      </c>
      <c r="F56" s="9603" t="n"/>
      <c r="G56" s="10392" t="inlineStr">
        <is>
          <t>1 - 4 
años</t>
        </is>
      </c>
      <c r="H56" s="9602" t="n"/>
      <c r="I56" s="10046" t="inlineStr">
        <is>
          <t>5 - 9 
años</t>
        </is>
      </c>
      <c r="J56" s="9603" t="n"/>
      <c r="K56" s="10392" t="inlineStr">
        <is>
          <t>10 - 14 años</t>
        </is>
      </c>
      <c r="L56" s="9602" t="n"/>
      <c r="M56" s="10046" t="inlineStr">
        <is>
          <t>15 - 19 años</t>
        </is>
      </c>
      <c r="N56" s="9603" t="n"/>
      <c r="O56" s="10046" t="inlineStr">
        <is>
          <t>20 - 24 años</t>
        </is>
      </c>
      <c r="P56" s="9603" t="n"/>
      <c r="Q56" s="10046" t="inlineStr">
        <is>
          <t>25 - 29 años</t>
        </is>
      </c>
      <c r="R56" s="9603" t="n"/>
      <c r="S56" s="10046" t="inlineStr">
        <is>
          <t>30 - 34 años</t>
        </is>
      </c>
      <c r="T56" s="9603" t="n"/>
      <c r="U56" s="10405" t="inlineStr">
        <is>
          <t>35 - 39 años</t>
        </is>
      </c>
      <c r="V56" s="9603" t="n"/>
      <c r="W56" s="10046" t="inlineStr">
        <is>
          <t>40 - 44 años</t>
        </is>
      </c>
      <c r="X56" s="9603" t="n"/>
      <c r="Y56" s="10392" t="inlineStr">
        <is>
          <t>45 - 49 años</t>
        </is>
      </c>
      <c r="Z56" s="9602" t="n"/>
      <c r="AA56" s="10046" t="inlineStr">
        <is>
          <t>50 - 54 años</t>
        </is>
      </c>
      <c r="AB56" s="9603" t="n"/>
      <c r="AC56" s="10392" t="inlineStr">
        <is>
          <t>55 - 59 años</t>
        </is>
      </c>
      <c r="AD56" s="9602" t="n"/>
      <c r="AE56" s="10046" t="inlineStr">
        <is>
          <t>60 - 64 años</t>
        </is>
      </c>
      <c r="AF56" s="9603" t="n"/>
      <c r="AG56" s="10392" t="inlineStr">
        <is>
          <t>65 - 69 años</t>
        </is>
      </c>
      <c r="AH56" s="9602" t="n"/>
      <c r="AI56" s="10046" t="inlineStr">
        <is>
          <t>70 - 74 años</t>
        </is>
      </c>
      <c r="AJ56" s="9603" t="n"/>
      <c r="AK56" s="10392" t="inlineStr">
        <is>
          <t>75 - 79 años</t>
        </is>
      </c>
      <c r="AL56" s="9602" t="n"/>
      <c r="AM56" s="10340" t="inlineStr">
        <is>
          <t>80 y más años</t>
        </is>
      </c>
      <c r="AN56" s="9886" t="n"/>
      <c r="AO56" s="9625" t="n"/>
    </row>
    <row r="57" ht="15" customFormat="1" customHeight="1" s="17">
      <c r="A57" s="9641" t="n"/>
      <c r="B57" s="3642" t="inlineStr">
        <is>
          <t>Ambos Sexos</t>
        </is>
      </c>
      <c r="C57" s="3643" t="inlineStr">
        <is>
          <t>Hombres</t>
        </is>
      </c>
      <c r="D57" s="8658" t="inlineStr">
        <is>
          <t>Mujeres</t>
        </is>
      </c>
      <c r="E57" s="3642" t="inlineStr">
        <is>
          <t>Hombres</t>
        </is>
      </c>
      <c r="F57" s="8658" t="inlineStr">
        <is>
          <t>Mujeres</t>
        </is>
      </c>
      <c r="G57" s="3643" t="inlineStr">
        <is>
          <t>Hombres</t>
        </is>
      </c>
      <c r="H57" s="8716" t="inlineStr">
        <is>
          <t>Mujeres</t>
        </is>
      </c>
      <c r="I57" s="3642" t="inlineStr">
        <is>
          <t>Hombres</t>
        </is>
      </c>
      <c r="J57" s="8658" t="inlineStr">
        <is>
          <t>Mujeres</t>
        </is>
      </c>
      <c r="K57" s="3643" t="inlineStr">
        <is>
          <t>Hombres</t>
        </is>
      </c>
      <c r="L57" s="8716" t="inlineStr">
        <is>
          <t>Mujeres</t>
        </is>
      </c>
      <c r="M57" s="3642" t="inlineStr">
        <is>
          <t>Hombres</t>
        </is>
      </c>
      <c r="N57" s="8658" t="inlineStr">
        <is>
          <t>Mujeres</t>
        </is>
      </c>
      <c r="O57" s="3642" t="inlineStr">
        <is>
          <t>Hombres</t>
        </is>
      </c>
      <c r="P57" s="8658" t="inlineStr">
        <is>
          <t>Mujeres</t>
        </is>
      </c>
      <c r="Q57" s="3346" t="inlineStr">
        <is>
          <t>Hombres</t>
        </is>
      </c>
      <c r="R57" s="8514" t="inlineStr">
        <is>
          <t>Mujeres</t>
        </is>
      </c>
      <c r="S57" s="3346" t="inlineStr">
        <is>
          <t>Hombres</t>
        </is>
      </c>
      <c r="T57" s="8514" t="inlineStr">
        <is>
          <t>Mujeres</t>
        </is>
      </c>
      <c r="U57" s="3771" t="inlineStr">
        <is>
          <t>Hombres</t>
        </is>
      </c>
      <c r="V57" s="8514" t="inlineStr">
        <is>
          <t>Mujeres</t>
        </is>
      </c>
      <c r="W57" s="3642" t="inlineStr">
        <is>
          <t>Hombres</t>
        </is>
      </c>
      <c r="X57" s="8658" t="inlineStr">
        <is>
          <t>Mujeres</t>
        </is>
      </c>
      <c r="Y57" s="3643" t="inlineStr">
        <is>
          <t>Hombres</t>
        </is>
      </c>
      <c r="Z57" s="8716" t="inlineStr">
        <is>
          <t>Mujeres</t>
        </is>
      </c>
      <c r="AA57" s="3642" t="inlineStr">
        <is>
          <t>Hombres</t>
        </is>
      </c>
      <c r="AB57" s="8658" t="inlineStr">
        <is>
          <t>Mujeres</t>
        </is>
      </c>
      <c r="AC57" s="3643" t="inlineStr">
        <is>
          <t>Hombres</t>
        </is>
      </c>
      <c r="AD57" s="8716" t="inlineStr">
        <is>
          <t>Mujeres</t>
        </is>
      </c>
      <c r="AE57" s="3642" t="inlineStr">
        <is>
          <t>Hombres</t>
        </is>
      </c>
      <c r="AF57" s="8658" t="inlineStr">
        <is>
          <t>Mujeres</t>
        </is>
      </c>
      <c r="AG57" s="3643" t="inlineStr">
        <is>
          <t>Hombres</t>
        </is>
      </c>
      <c r="AH57" s="8716" t="inlineStr">
        <is>
          <t>Mujeres</t>
        </is>
      </c>
      <c r="AI57" s="3642" t="inlineStr">
        <is>
          <t>Hombres</t>
        </is>
      </c>
      <c r="AJ57" s="8658" t="inlineStr">
        <is>
          <t>Mujeres</t>
        </is>
      </c>
      <c r="AK57" s="3643" t="inlineStr">
        <is>
          <t>Hombres</t>
        </is>
      </c>
      <c r="AL57" s="8716" t="inlineStr">
        <is>
          <t>Mujeres</t>
        </is>
      </c>
      <c r="AM57" s="3642" t="inlineStr">
        <is>
          <t>Hombres</t>
        </is>
      </c>
      <c r="AN57" s="8750" t="inlineStr">
        <is>
          <t>Mujeres</t>
        </is>
      </c>
      <c r="AO57" s="9611" t="n"/>
    </row>
    <row r="58" ht="15" customFormat="1" customHeight="1" s="17">
      <c r="A58" s="3772" t="inlineStr">
        <is>
          <t>Médico/a</t>
        </is>
      </c>
      <c r="B58" s="3685">
        <f>SUM(C58+D58)</f>
        <v/>
      </c>
      <c r="C58" s="3688">
        <f>SUM(E58+G58+I58+K58+M58+O58+Q58+S58+U58+W58+Y58+AA58+AC58+AE58+AG58+AI58+AK58+AM58)</f>
        <v/>
      </c>
      <c r="D58" s="3686">
        <f>SUM(F58+H58+J58+L58+N58+P58+R58+T58+V58+X58+Z58+AB58+AD58+AF58+AH58+AJ58+AL58+AN58)</f>
        <v/>
      </c>
      <c r="E58" s="3773" t="n"/>
      <c r="F58" s="3774" t="n"/>
      <c r="G58" s="3775" t="n"/>
      <c r="H58" s="3776" t="n"/>
      <c r="I58" s="3773" t="n"/>
      <c r="J58" s="3777" t="n"/>
      <c r="K58" s="3775" t="n"/>
      <c r="L58" s="3776" t="n"/>
      <c r="M58" s="3773" t="n"/>
      <c r="N58" s="3777" t="n"/>
      <c r="O58" s="3773" t="n"/>
      <c r="P58" s="3777" t="n"/>
      <c r="Q58" s="3773" t="n"/>
      <c r="R58" s="3777" t="n"/>
      <c r="S58" s="3773" t="n"/>
      <c r="T58" s="3777" t="n"/>
      <c r="U58" s="3775" t="n"/>
      <c r="V58" s="3776" t="n"/>
      <c r="W58" s="3773" t="n"/>
      <c r="X58" s="3777" t="n"/>
      <c r="Y58" s="3775" t="n"/>
      <c r="Z58" s="3776" t="n"/>
      <c r="AA58" s="3773" t="n"/>
      <c r="AB58" s="3777" t="n"/>
      <c r="AC58" s="3775" t="n"/>
      <c r="AD58" s="3776" t="n"/>
      <c r="AE58" s="3773" t="n"/>
      <c r="AF58" s="3777" t="n"/>
      <c r="AG58" s="3775" t="n"/>
      <c r="AH58" s="3776" t="n"/>
      <c r="AI58" s="3773" t="n"/>
      <c r="AJ58" s="3777" t="n"/>
      <c r="AK58" s="3775" t="n"/>
      <c r="AL58" s="3776" t="n"/>
      <c r="AM58" s="3773" t="n"/>
      <c r="AN58" s="3778" t="n"/>
      <c r="AO58" s="3774" t="n"/>
      <c r="AP58" s="17">
        <f>CA58</f>
        <v/>
      </c>
      <c r="CA58" s="90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/>
      </c>
    </row>
    <row r="59" ht="18" customFormat="1" customHeight="1" s="20">
      <c r="A59" s="2" t="inlineStr">
        <is>
          <t>SECCIÓN E: CONTROLES REALIZADOS (CRONICOS)</t>
        </is>
      </c>
    </row>
    <row r="60" ht="15" customFormat="1" customHeight="1" s="17">
      <c r="A60" s="10250" t="inlineStr">
        <is>
          <t>PROFESIONAL</t>
        </is>
      </c>
      <c r="B60" s="10403" t="inlineStr">
        <is>
          <t>TOTAL</t>
        </is>
      </c>
      <c r="C60" s="9602" t="n"/>
      <c r="D60" s="9630" t="n"/>
      <c r="E60" s="10404" t="inlineStr">
        <is>
          <t>RANGO ETARIO Y SEXO</t>
        </is>
      </c>
      <c r="F60" s="9584" t="n"/>
      <c r="G60" s="9584" t="n"/>
      <c r="H60" s="9584" t="n"/>
      <c r="I60" s="9584" t="n"/>
      <c r="J60" s="9584" t="n"/>
      <c r="K60" s="9584" t="n"/>
      <c r="L60" s="9584" t="n"/>
      <c r="M60" s="9584" t="n"/>
      <c r="N60" s="9584" t="n"/>
      <c r="O60" s="9584" t="n"/>
      <c r="P60" s="9584" t="n"/>
      <c r="Q60" s="9584" t="n"/>
      <c r="R60" s="9584" t="n"/>
      <c r="S60" s="9584" t="n"/>
      <c r="T60" s="9584" t="n"/>
      <c r="U60" s="9584" t="n"/>
      <c r="V60" s="9584" t="n"/>
      <c r="W60" s="9584" t="n"/>
      <c r="X60" s="9584" t="n"/>
      <c r="Y60" s="9584" t="n"/>
      <c r="Z60" s="9584" t="n"/>
      <c r="AA60" s="9584" t="n"/>
      <c r="AB60" s="9584" t="n"/>
      <c r="AC60" s="9584" t="n"/>
      <c r="AD60" s="9584" t="n"/>
      <c r="AE60" s="9584" t="n"/>
      <c r="AF60" s="9584" t="n"/>
      <c r="AG60" s="9584" t="n"/>
      <c r="AH60" s="9584" t="n"/>
      <c r="AI60" s="9584" t="n"/>
      <c r="AJ60" s="9584" t="n"/>
      <c r="AK60" s="9584" t="n"/>
      <c r="AL60" s="9584" t="n"/>
      <c r="AM60" s="9584" t="n"/>
      <c r="AN60" s="9595" t="n"/>
      <c r="AO60" s="9920" t="inlineStr">
        <is>
          <t>Beneficiarios</t>
        </is>
      </c>
    </row>
    <row r="61" ht="15" customFormat="1" customHeight="1" s="17">
      <c r="A61" s="9625" t="n"/>
      <c r="B61" s="642" t="n"/>
      <c r="D61" s="9718" t="n"/>
      <c r="E61" s="7674" t="inlineStr">
        <is>
          <t>Menor de 1 año</t>
        </is>
      </c>
      <c r="F61" s="9603" t="n"/>
      <c r="G61" s="9446" t="inlineStr">
        <is>
          <t>1 - 4 
años</t>
        </is>
      </c>
      <c r="H61" s="9617" t="n"/>
      <c r="I61" s="9977" t="inlineStr">
        <is>
          <t>5 - 9 
años</t>
        </is>
      </c>
      <c r="J61" s="9582" t="n"/>
      <c r="K61" s="9446" t="inlineStr">
        <is>
          <t>10 - 14 años</t>
        </is>
      </c>
      <c r="L61" s="9617" t="n"/>
      <c r="M61" s="9977" t="inlineStr">
        <is>
          <t>15 - 19 años</t>
        </is>
      </c>
      <c r="N61" s="9582" t="n"/>
      <c r="O61" s="9496" t="inlineStr">
        <is>
          <t>20 - 24 años</t>
        </is>
      </c>
      <c r="P61" s="9617" t="n"/>
      <c r="Q61" s="10046" t="inlineStr">
        <is>
          <t>25 - 29 años</t>
        </is>
      </c>
      <c r="R61" s="9603" t="n"/>
      <c r="S61" s="10046" t="inlineStr">
        <is>
          <t>30 - 34 años</t>
        </is>
      </c>
      <c r="T61" s="9603" t="n"/>
      <c r="U61" s="10405" t="inlineStr">
        <is>
          <t>35 - 39 años</t>
        </is>
      </c>
      <c r="V61" s="9603" t="n"/>
      <c r="W61" s="9446" t="inlineStr">
        <is>
          <t>40 - 44 años</t>
        </is>
      </c>
      <c r="X61" s="9617" t="n"/>
      <c r="Y61" s="9977" t="inlineStr">
        <is>
          <t>45 - 49 años</t>
        </is>
      </c>
      <c r="Z61" s="9582" t="n"/>
      <c r="AA61" s="9446" t="inlineStr">
        <is>
          <t>50 - 54 años</t>
        </is>
      </c>
      <c r="AB61" s="9617" t="n"/>
      <c r="AC61" s="9977" t="inlineStr">
        <is>
          <t>55 - 59 años</t>
        </is>
      </c>
      <c r="AD61" s="9582" t="n"/>
      <c r="AE61" s="9446" t="inlineStr">
        <is>
          <t>60 - 64 años</t>
        </is>
      </c>
      <c r="AF61" s="9617" t="n"/>
      <c r="AG61" s="9977" t="inlineStr">
        <is>
          <t>65 - 69 años</t>
        </is>
      </c>
      <c r="AH61" s="9582" t="n"/>
      <c r="AI61" s="9446" t="inlineStr">
        <is>
          <t>70 - 74 años</t>
        </is>
      </c>
      <c r="AJ61" s="9617" t="n"/>
      <c r="AK61" s="9977" t="inlineStr">
        <is>
          <t>75 - 79 años</t>
        </is>
      </c>
      <c r="AL61" s="9582" t="n"/>
      <c r="AM61" s="9915" t="inlineStr">
        <is>
          <t>80 y más años</t>
        </is>
      </c>
      <c r="AN61" s="9595" t="n"/>
      <c r="AO61" s="9625" t="n"/>
    </row>
    <row r="62" ht="15" customFormat="1" customHeight="1" s="17">
      <c r="A62" s="9641" t="n"/>
      <c r="B62" s="3642" t="inlineStr">
        <is>
          <t>Ambos Sexos</t>
        </is>
      </c>
      <c r="C62" s="3643" t="inlineStr">
        <is>
          <t>Hombres</t>
        </is>
      </c>
      <c r="D62" s="8658" t="inlineStr">
        <is>
          <t>Mujeres</t>
        </is>
      </c>
      <c r="E62" s="3346" t="inlineStr">
        <is>
          <t>Hombres</t>
        </is>
      </c>
      <c r="F62" s="8514" t="inlineStr">
        <is>
          <t>Mujeres</t>
        </is>
      </c>
      <c r="G62" s="3771" t="inlineStr">
        <is>
          <t>Hombres</t>
        </is>
      </c>
      <c r="H62" s="8527" t="inlineStr">
        <is>
          <t>Mujeres</t>
        </is>
      </c>
      <c r="I62" s="3346" t="inlineStr">
        <is>
          <t>Hombres</t>
        </is>
      </c>
      <c r="J62" s="8514" t="inlineStr">
        <is>
          <t>Mujeres</t>
        </is>
      </c>
      <c r="K62" s="3771" t="inlineStr">
        <is>
          <t>Hombres</t>
        </is>
      </c>
      <c r="L62" s="8527" t="inlineStr">
        <is>
          <t>Mujeres</t>
        </is>
      </c>
      <c r="M62" s="3346" t="inlineStr">
        <is>
          <t>Hombres</t>
        </is>
      </c>
      <c r="N62" s="8514" t="inlineStr">
        <is>
          <t>Mujeres</t>
        </is>
      </c>
      <c r="O62" s="3771" t="inlineStr">
        <is>
          <t>Hombres</t>
        </is>
      </c>
      <c r="P62" s="8527" t="inlineStr">
        <is>
          <t>Mujeres</t>
        </is>
      </c>
      <c r="Q62" s="3346" t="inlineStr">
        <is>
          <t>Hombres</t>
        </is>
      </c>
      <c r="R62" s="8514" t="inlineStr">
        <is>
          <t>Mujeres</t>
        </is>
      </c>
      <c r="S62" s="3346" t="inlineStr">
        <is>
          <t>Hombres</t>
        </is>
      </c>
      <c r="T62" s="8514" t="inlineStr">
        <is>
          <t>Mujeres</t>
        </is>
      </c>
      <c r="U62" s="3771" t="inlineStr">
        <is>
          <t>Hombres</t>
        </is>
      </c>
      <c r="V62" s="8514" t="inlineStr">
        <is>
          <t>Mujeres</t>
        </is>
      </c>
      <c r="W62" s="3771" t="inlineStr">
        <is>
          <t>Hombres</t>
        </is>
      </c>
      <c r="X62" s="8527" t="inlineStr">
        <is>
          <t>Mujeres</t>
        </is>
      </c>
      <c r="Y62" s="3346" t="inlineStr">
        <is>
          <t>Hombres</t>
        </is>
      </c>
      <c r="Z62" s="8514" t="inlineStr">
        <is>
          <t>Mujeres</t>
        </is>
      </c>
      <c r="AA62" s="3771" t="inlineStr">
        <is>
          <t>Hombres</t>
        </is>
      </c>
      <c r="AB62" s="8527" t="inlineStr">
        <is>
          <t>Mujeres</t>
        </is>
      </c>
      <c r="AC62" s="3346" t="inlineStr">
        <is>
          <t>Hombres</t>
        </is>
      </c>
      <c r="AD62" s="8514" t="inlineStr">
        <is>
          <t>Mujeres</t>
        </is>
      </c>
      <c r="AE62" s="3771" t="inlineStr">
        <is>
          <t>Hombres</t>
        </is>
      </c>
      <c r="AF62" s="8527" t="inlineStr">
        <is>
          <t>Mujeres</t>
        </is>
      </c>
      <c r="AG62" s="3346" t="inlineStr">
        <is>
          <t>Hombres</t>
        </is>
      </c>
      <c r="AH62" s="8514" t="inlineStr">
        <is>
          <t>Mujeres</t>
        </is>
      </c>
      <c r="AI62" s="3771" t="inlineStr">
        <is>
          <t>Hombres</t>
        </is>
      </c>
      <c r="AJ62" s="8527" t="inlineStr">
        <is>
          <t>Mujeres</t>
        </is>
      </c>
      <c r="AK62" s="3346" t="inlineStr">
        <is>
          <t>Hombres</t>
        </is>
      </c>
      <c r="AL62" s="8514" t="inlineStr">
        <is>
          <t>Mujeres</t>
        </is>
      </c>
      <c r="AM62" s="3346" t="inlineStr">
        <is>
          <t>Hombres</t>
        </is>
      </c>
      <c r="AN62" s="8619" t="inlineStr">
        <is>
          <t>Mujeres</t>
        </is>
      </c>
      <c r="AO62" s="9641" t="n"/>
    </row>
    <row r="63" ht="15" customFormat="1" customHeight="1" s="17">
      <c r="A63" s="3779" t="inlineStr">
        <is>
          <t>Médico/a</t>
        </is>
      </c>
      <c r="B63" s="3780">
        <f>SUM(C63+D63)</f>
        <v/>
      </c>
      <c r="C63" s="3781">
        <f>SUM(E63+G63+I63+K63+M63+O63+Q63+S63+U63+W63+Y63+AA63+AC63+AE63+AG63+AI63+AK63+AM63)</f>
        <v/>
      </c>
      <c r="D63" s="3782">
        <f>SUM(F63+H63+J63+L63+N63+P63+R63+T63+V63+X63+Z63+AB63+AD63+AF63+AH63+AJ63+AL63+AN63)</f>
        <v/>
      </c>
      <c r="E63" s="3502" t="n"/>
      <c r="F63" s="3520" t="n">
        <v>1</v>
      </c>
      <c r="G63" s="3503" t="n">
        <v>3</v>
      </c>
      <c r="H63" s="2581" t="n">
        <v>2</v>
      </c>
      <c r="I63" s="3502" t="n">
        <v>3</v>
      </c>
      <c r="J63" s="2337" t="n">
        <v>3</v>
      </c>
      <c r="K63" s="3503" t="n">
        <v>6</v>
      </c>
      <c r="L63" s="2581" t="n">
        <v>2</v>
      </c>
      <c r="M63" s="3502" t="n"/>
      <c r="N63" s="2337" t="n">
        <v>3</v>
      </c>
      <c r="O63" s="3503" t="n"/>
      <c r="P63" s="2581" t="n"/>
      <c r="Q63" s="3502" t="n"/>
      <c r="R63" s="2337" t="n"/>
      <c r="S63" s="3502" t="n"/>
      <c r="T63" s="2337" t="n">
        <v>2</v>
      </c>
      <c r="U63" s="3502" t="n"/>
      <c r="V63" s="2337" t="n">
        <v>1</v>
      </c>
      <c r="W63" s="3503" t="n">
        <v>2</v>
      </c>
      <c r="X63" s="2581" t="n"/>
      <c r="Y63" s="3502" t="n"/>
      <c r="Z63" s="2337" t="n"/>
      <c r="AA63" s="3503" t="n">
        <v>1</v>
      </c>
      <c r="AB63" s="2581" t="n">
        <v>1</v>
      </c>
      <c r="AC63" s="3502" t="n">
        <v>1</v>
      </c>
      <c r="AD63" s="2337" t="n">
        <v>2</v>
      </c>
      <c r="AE63" s="3503" t="n">
        <v>1</v>
      </c>
      <c r="AF63" s="2581" t="n">
        <v>3</v>
      </c>
      <c r="AG63" s="3502" t="n"/>
      <c r="AH63" s="2337" t="n">
        <v>4</v>
      </c>
      <c r="AI63" s="3503" t="n">
        <v>1</v>
      </c>
      <c r="AJ63" s="2581" t="n">
        <v>3</v>
      </c>
      <c r="AK63" s="3502" t="n"/>
      <c r="AL63" s="2337" t="n">
        <v>1</v>
      </c>
      <c r="AM63" s="3783" t="n"/>
      <c r="AN63" s="1940" t="n">
        <v>3</v>
      </c>
      <c r="AO63" s="3784" t="n">
        <v>49</v>
      </c>
      <c r="AP63" s="17">
        <f>CA63</f>
        <v/>
      </c>
      <c r="CA63" s="90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/>
      </c>
    </row>
    <row r="64" ht="15" customFormat="1" customHeight="1" s="17">
      <c r="A64" s="3785" t="inlineStr">
        <is>
          <t>Enfermera/o</t>
        </is>
      </c>
      <c r="B64" s="3762">
        <f>SUM(C64+D64)</f>
        <v/>
      </c>
      <c r="C64" s="3763">
        <f>SUM(E64+G64+I64+K64+M64+O64+Q64+S64+U64+W64+Y64+AA64+AC64+AE64+AG64+AI64+AK64+AM64)</f>
        <v/>
      </c>
      <c r="D64" s="3786">
        <f>SUM(F64+H64+J64+L64+N64+P64+R64+T64+V64+X64+Z64+AB64+AD64+AF64+AH64+AJ64+AL64+AN64)</f>
        <v/>
      </c>
      <c r="E64" s="3787" t="n"/>
      <c r="F64" s="3788" t="n"/>
      <c r="G64" s="3789" t="n"/>
      <c r="H64" s="3790" t="n"/>
      <c r="I64" s="3787" t="n"/>
      <c r="J64" s="3791" t="n"/>
      <c r="K64" s="3789" t="n"/>
      <c r="L64" s="3790" t="n"/>
      <c r="M64" s="3787" t="n"/>
      <c r="N64" s="3791" t="n"/>
      <c r="O64" s="3789" t="n"/>
      <c r="P64" s="3790" t="n"/>
      <c r="Q64" s="3787" t="n"/>
      <c r="R64" s="3791" t="n"/>
      <c r="S64" s="3787" t="n"/>
      <c r="T64" s="3791" t="n"/>
      <c r="U64" s="3787" t="n"/>
      <c r="V64" s="3791" t="n"/>
      <c r="W64" s="3789" t="n"/>
      <c r="X64" s="3790" t="n"/>
      <c r="Y64" s="3787" t="n"/>
      <c r="Z64" s="3791" t="n"/>
      <c r="AA64" s="3789" t="n"/>
      <c r="AB64" s="3790" t="n"/>
      <c r="AC64" s="3787" t="n"/>
      <c r="AD64" s="3791" t="n"/>
      <c r="AE64" s="3789" t="n"/>
      <c r="AF64" s="3790" t="n"/>
      <c r="AG64" s="3787" t="n"/>
      <c r="AH64" s="3791" t="n"/>
      <c r="AI64" s="3789" t="n"/>
      <c r="AJ64" s="3790" t="n"/>
      <c r="AK64" s="3787" t="n"/>
      <c r="AL64" s="3791" t="n"/>
      <c r="AM64" s="3792" t="n"/>
      <c r="AN64" s="3793" t="n"/>
      <c r="AO64" s="3788" t="n"/>
      <c r="AP64" s="17">
        <f>CA64</f>
        <v/>
      </c>
      <c r="CA64" s="90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/>
      </c>
    </row>
    <row r="65" ht="15" customFormat="1" customHeight="1" s="17">
      <c r="A65" s="637" t="inlineStr">
        <is>
          <t>Kinesiólogo/a</t>
        </is>
      </c>
      <c r="B65" s="3794">
        <f>SUM(C65+D65)</f>
        <v/>
      </c>
      <c r="C65" s="3795">
        <f>SUM(E65+G65+I65+K65+M65+O65+Q65+S65+U65+W65+Y65+AA65+AC65+AE65+AG65+AI65+AK65+AM65)</f>
        <v/>
      </c>
      <c r="D65" s="1178">
        <f>SUM(F65+H65+J65+L65+N65+P65+R65+T65+V65+X65+Z65+AB65+AD65+AF65+AH65+AJ65+AL65+AN65)</f>
        <v/>
      </c>
      <c r="E65" s="1179" t="n">
        <v>4</v>
      </c>
      <c r="F65" s="1180" t="n"/>
      <c r="G65" s="1181" t="n">
        <v>10</v>
      </c>
      <c r="H65" s="1182" t="n">
        <v>6</v>
      </c>
      <c r="I65" s="1179" t="n">
        <v>6</v>
      </c>
      <c r="J65" s="1183" t="n">
        <v>7</v>
      </c>
      <c r="K65" s="1181" t="n">
        <v>7</v>
      </c>
      <c r="L65" s="1182" t="n">
        <v>1</v>
      </c>
      <c r="M65" s="1179" t="n">
        <v>3</v>
      </c>
      <c r="N65" s="1183" t="n">
        <v>2</v>
      </c>
      <c r="O65" s="1181" t="n">
        <v>1</v>
      </c>
      <c r="P65" s="1182" t="n"/>
      <c r="Q65" s="1179" t="n">
        <v>1</v>
      </c>
      <c r="R65" s="1183" t="n"/>
      <c r="S65" s="1179" t="n">
        <v>1</v>
      </c>
      <c r="T65" s="1183" t="n">
        <v>5</v>
      </c>
      <c r="U65" s="1179" t="n"/>
      <c r="V65" s="1183" t="n">
        <v>1</v>
      </c>
      <c r="W65" s="1181" t="n"/>
      <c r="X65" s="1182" t="n">
        <v>3</v>
      </c>
      <c r="Y65" s="1179" t="n"/>
      <c r="Z65" s="1183" t="n">
        <v>3</v>
      </c>
      <c r="AA65" s="1181" t="n">
        <v>2</v>
      </c>
      <c r="AB65" s="1182" t="n">
        <v>2</v>
      </c>
      <c r="AC65" s="1179" t="n">
        <v>4</v>
      </c>
      <c r="AD65" s="1183" t="n">
        <v>5</v>
      </c>
      <c r="AE65" s="1181" t="n">
        <v>2</v>
      </c>
      <c r="AF65" s="1182" t="n">
        <v>16</v>
      </c>
      <c r="AG65" s="1179" t="n">
        <v>5</v>
      </c>
      <c r="AH65" s="1183" t="n">
        <v>15</v>
      </c>
      <c r="AI65" s="1181" t="n">
        <v>3</v>
      </c>
      <c r="AJ65" s="1182" t="n">
        <v>6</v>
      </c>
      <c r="AK65" s="1179" t="n">
        <v>2</v>
      </c>
      <c r="AL65" s="1183" t="n">
        <v>3</v>
      </c>
      <c r="AM65" s="1184" t="n">
        <v>4</v>
      </c>
      <c r="AN65" s="1185" t="n">
        <v>5</v>
      </c>
      <c r="AO65" s="2057" t="n">
        <v>135</v>
      </c>
      <c r="AP65" s="17">
        <f>CA65</f>
        <v/>
      </c>
      <c r="CA65" s="90">
        <f>IF(AND(AO65="",B65&gt;0)," * No olvide digitar la variable Beneficiarios. Digite cero si no tiene.",IF(AO65&gt;B65," * La variable Beneficiario No puede ser mayor al Total Ambos Sexos",""))</f>
        <v/>
      </c>
      <c r="CF65" s="127">
        <f>IF(AND(AO65="",B65&gt;0),1,IF(AO65&gt;B65,1,0))</f>
        <v/>
      </c>
    </row>
    <row r="66" ht="15" customFormat="1" customHeight="1" s="17">
      <c r="A66" s="3796" t="inlineStr">
        <is>
          <t>TOTAL</t>
        </is>
      </c>
      <c r="B66" s="3685">
        <f>SUM(B63:B65)</f>
        <v/>
      </c>
      <c r="C66" s="3688">
        <f>SUM(C63:C65)</f>
        <v/>
      </c>
      <c r="D66" s="3686">
        <f>SUM(D63:D65)</f>
        <v/>
      </c>
      <c r="E66" s="3797">
        <f>SUM(E63:E65)</f>
        <v/>
      </c>
      <c r="F66" s="3532">
        <f>SUM(F63:F65)</f>
        <v/>
      </c>
      <c r="G66" s="3798">
        <f>SUM(G63:G65)</f>
        <v/>
      </c>
      <c r="H66" s="3799">
        <f>SUM(H63:H65)</f>
        <v/>
      </c>
      <c r="I66" s="3797">
        <f>SUM(I63:I65)</f>
        <v/>
      </c>
      <c r="J66" s="3800">
        <f>SUM(J63:J65)</f>
        <v/>
      </c>
      <c r="K66" s="3798">
        <f>SUM(K63:K65)</f>
        <v/>
      </c>
      <c r="L66" s="3799">
        <f>SUM(L63:L65)</f>
        <v/>
      </c>
      <c r="M66" s="3797">
        <f>SUM(M63:M65)</f>
        <v/>
      </c>
      <c r="N66" s="3800">
        <f>SUM(N63:N65)</f>
        <v/>
      </c>
      <c r="O66" s="3798">
        <f>SUM(O63:O65)</f>
        <v/>
      </c>
      <c r="P66" s="3799">
        <f>SUM(P63:P65)</f>
        <v/>
      </c>
      <c r="Q66" s="3797">
        <f>SUM(Q63:Q65)</f>
        <v/>
      </c>
      <c r="R66" s="3800">
        <f>SUM(R63:R65)</f>
        <v/>
      </c>
      <c r="S66" s="3797">
        <f>SUM(S63:S65)</f>
        <v/>
      </c>
      <c r="T66" s="3800">
        <f>SUM(T63:T65)</f>
        <v/>
      </c>
      <c r="U66" s="3797">
        <f>SUM(U63:U65)</f>
        <v/>
      </c>
      <c r="V66" s="3800">
        <f>SUM(V63:V65)</f>
        <v/>
      </c>
      <c r="W66" s="3798">
        <f>SUM(W63:W65)</f>
        <v/>
      </c>
      <c r="X66" s="3799">
        <f>SUM(X63:X65)</f>
        <v/>
      </c>
      <c r="Y66" s="3797">
        <f>SUM(Y63:Y65)</f>
        <v/>
      </c>
      <c r="Z66" s="3800">
        <f>SUM(Z63:Z65)</f>
        <v/>
      </c>
      <c r="AA66" s="3798">
        <f>SUM(AA63:AA65)</f>
        <v/>
      </c>
      <c r="AB66" s="3799">
        <f>SUM(AB63:AB65)</f>
        <v/>
      </c>
      <c r="AC66" s="3797">
        <f>SUM(AC63:AC65)</f>
        <v/>
      </c>
      <c r="AD66" s="3800">
        <f>SUM(AD63:AD65)</f>
        <v/>
      </c>
      <c r="AE66" s="3798">
        <f>SUM(AE63:AE65)</f>
        <v/>
      </c>
      <c r="AF66" s="3799">
        <f>SUM(AF63:AF65)</f>
        <v/>
      </c>
      <c r="AG66" s="3797">
        <f>SUM(AG63:AG65)</f>
        <v/>
      </c>
      <c r="AH66" s="3800">
        <f>SUM(AH63:AH65)</f>
        <v/>
      </c>
      <c r="AI66" s="3798">
        <f>SUM(AI63:AI65)</f>
        <v/>
      </c>
      <c r="AJ66" s="3799">
        <f>SUM(AJ63:AJ65)</f>
        <v/>
      </c>
      <c r="AK66" s="3797">
        <f>SUM(AK63:AK65)</f>
        <v/>
      </c>
      <c r="AL66" s="3800">
        <f>SUM(AL63:AL65)</f>
        <v/>
      </c>
      <c r="AM66" s="3801">
        <f>SUM(AM63:AM65)</f>
        <v/>
      </c>
      <c r="AN66" s="3802">
        <f>SUM(AN63:AN65)</f>
        <v/>
      </c>
      <c r="AO66" s="3532">
        <f>SUM(AO63:AO65)</f>
        <v/>
      </c>
    </row>
    <row r="67" ht="18" customFormat="1" customHeight="1" s="20">
      <c r="A67" s="2" t="inlineStr">
        <is>
          <t>SECCIÓN F: SEGUIMIENTO DE ATENCIONES REALIZADAS EN AGUDOS</t>
        </is>
      </c>
    </row>
    <row r="68" ht="15" customFormat="1" customHeight="1" s="17">
      <c r="A68" s="10250" t="inlineStr">
        <is>
          <t>PROFESIONAL</t>
        </is>
      </c>
      <c r="B68" s="10004" t="inlineStr">
        <is>
          <t>TOTAL</t>
        </is>
      </c>
      <c r="C68" s="9602" t="n"/>
      <c r="D68" s="9630" t="n"/>
      <c r="E68" s="9915" t="inlineStr">
        <is>
          <t>RANGO ETARIO Y SEXO</t>
        </is>
      </c>
      <c r="F68" s="9584" t="n"/>
      <c r="G68" s="9584" t="n"/>
      <c r="H68" s="9584" t="n"/>
      <c r="I68" s="9584" t="n"/>
      <c r="J68" s="9584" t="n"/>
      <c r="K68" s="9584" t="n"/>
      <c r="L68" s="9584" t="n"/>
      <c r="M68" s="9584" t="n"/>
      <c r="N68" s="9584" t="n"/>
      <c r="O68" s="9584" t="n"/>
      <c r="P68" s="9584" t="n"/>
      <c r="Q68" s="9584" t="n"/>
      <c r="R68" s="9584" t="n"/>
      <c r="S68" s="9584" t="n"/>
      <c r="T68" s="9584" t="n"/>
      <c r="U68" s="9584" t="n"/>
      <c r="V68" s="9584" t="n"/>
      <c r="W68" s="9584" t="n"/>
      <c r="X68" s="9584" t="n"/>
      <c r="Y68" s="9584" t="n"/>
      <c r="Z68" s="9584" t="n"/>
      <c r="AA68" s="9584" t="n"/>
      <c r="AB68" s="9584" t="n"/>
      <c r="AC68" s="9584" t="n"/>
      <c r="AD68" s="9584" t="n"/>
      <c r="AE68" s="9584" t="n"/>
      <c r="AF68" s="9584" t="n"/>
      <c r="AG68" s="9584" t="n"/>
      <c r="AH68" s="9584" t="n"/>
      <c r="AI68" s="9584" t="n"/>
      <c r="AJ68" s="9584" t="n"/>
      <c r="AK68" s="9584" t="n"/>
      <c r="AL68" s="9584" t="n"/>
      <c r="AM68" s="9584" t="n"/>
      <c r="AN68" s="9595" t="n"/>
      <c r="AO68" s="10341" t="inlineStr">
        <is>
          <t>Beneficiarios</t>
        </is>
      </c>
      <c r="AP68" s="9690" t="inlineStr">
        <is>
          <t>Por Campaña de Invierno</t>
        </is>
      </c>
    </row>
    <row r="69" ht="15" customFormat="1" customHeight="1" s="17">
      <c r="A69" s="9625" t="n"/>
      <c r="B69" s="9638" t="n"/>
      <c r="C69" s="9697" t="n"/>
      <c r="D69" s="9639" t="n"/>
      <c r="E69" s="7674" t="inlineStr">
        <is>
          <t>Menor de 1 año</t>
        </is>
      </c>
      <c r="F69" s="9603" t="n"/>
      <c r="G69" s="9977" t="inlineStr">
        <is>
          <t>1 - 4 
años</t>
        </is>
      </c>
      <c r="H69" s="9582" t="n"/>
      <c r="I69" s="9977" t="inlineStr">
        <is>
          <t>5 - 9 
años</t>
        </is>
      </c>
      <c r="J69" s="9582" t="n"/>
      <c r="K69" s="8400" t="inlineStr">
        <is>
          <t>10 - 14 años</t>
        </is>
      </c>
      <c r="L69" s="9582" t="n"/>
      <c r="M69" s="9977" t="inlineStr">
        <is>
          <t>15 - 19 años</t>
        </is>
      </c>
      <c r="N69" s="9582" t="n"/>
      <c r="O69" s="9977" t="inlineStr">
        <is>
          <t>20 - 24 años</t>
        </is>
      </c>
      <c r="P69" s="9582" t="n"/>
      <c r="Q69" s="10046" t="inlineStr">
        <is>
          <t>25 - 29 años</t>
        </is>
      </c>
      <c r="R69" s="9603" t="n"/>
      <c r="S69" s="10046" t="inlineStr">
        <is>
          <t>30 - 34 años</t>
        </is>
      </c>
      <c r="T69" s="9603" t="n"/>
      <c r="U69" s="10405" t="inlineStr">
        <is>
          <t>35 - 39 años</t>
        </is>
      </c>
      <c r="V69" s="9603" t="n"/>
      <c r="W69" s="9977" t="inlineStr">
        <is>
          <t>40 - 44 años</t>
        </is>
      </c>
      <c r="X69" s="9582" t="n"/>
      <c r="Y69" s="9977" t="inlineStr">
        <is>
          <t>45 - 49 años</t>
        </is>
      </c>
      <c r="Z69" s="9582" t="n"/>
      <c r="AA69" s="9977" t="inlineStr">
        <is>
          <t>50 - 54 años</t>
        </is>
      </c>
      <c r="AB69" s="9582" t="n"/>
      <c r="AC69" s="9977" t="inlineStr">
        <is>
          <t>55 - 59 años</t>
        </is>
      </c>
      <c r="AD69" s="9582" t="n"/>
      <c r="AE69" s="9977" t="inlineStr">
        <is>
          <t>60 - 64 años</t>
        </is>
      </c>
      <c r="AF69" s="9582" t="n"/>
      <c r="AG69" s="9977" t="inlineStr">
        <is>
          <t>65 - 69 años</t>
        </is>
      </c>
      <c r="AH69" s="9582" t="n"/>
      <c r="AI69" s="9977" t="inlineStr">
        <is>
          <t>70 - 74 años</t>
        </is>
      </c>
      <c r="AJ69" s="9582" t="n"/>
      <c r="AK69" s="9977" t="inlineStr">
        <is>
          <t>75 - 79 años</t>
        </is>
      </c>
      <c r="AL69" s="9582" t="n"/>
      <c r="AM69" s="9915" t="inlineStr">
        <is>
          <t>80 y más años</t>
        </is>
      </c>
      <c r="AN69" s="9595" t="n"/>
      <c r="AO69" s="10342" t="n"/>
      <c r="AP69" s="9588" t="n"/>
    </row>
    <row r="70" ht="15" customFormat="1" customHeight="1" s="17">
      <c r="A70" s="9641" t="n"/>
      <c r="B70" s="3642" t="inlineStr">
        <is>
          <t>Ambos Sexos</t>
        </is>
      </c>
      <c r="C70" s="3643" t="inlineStr">
        <is>
          <t>Hombres</t>
        </is>
      </c>
      <c r="D70" s="8658" t="inlineStr">
        <is>
          <t>Mujeres</t>
        </is>
      </c>
      <c r="E70" s="3589" t="inlineStr">
        <is>
          <t>Hombres</t>
        </is>
      </c>
      <c r="F70" s="8757" t="inlineStr">
        <is>
          <t>Mujeres</t>
        </is>
      </c>
      <c r="G70" s="3803" t="inlineStr">
        <is>
          <t>Hombres</t>
        </is>
      </c>
      <c r="H70" s="8671" t="inlineStr">
        <is>
          <t>Mujeres</t>
        </is>
      </c>
      <c r="I70" s="3589" t="inlineStr">
        <is>
          <t>Hombres</t>
        </is>
      </c>
      <c r="J70" s="8757" t="inlineStr">
        <is>
          <t>Mujeres</t>
        </is>
      </c>
      <c r="K70" s="3589" t="inlineStr">
        <is>
          <t>Hombres</t>
        </is>
      </c>
      <c r="L70" s="8757" t="inlineStr">
        <is>
          <t>Mujeres</t>
        </is>
      </c>
      <c r="M70" s="3803" t="inlineStr">
        <is>
          <t>Hombres</t>
        </is>
      </c>
      <c r="N70" s="8671" t="inlineStr">
        <is>
          <t>Mujeres</t>
        </is>
      </c>
      <c r="O70" s="3589" t="inlineStr">
        <is>
          <t>Hombres</t>
        </is>
      </c>
      <c r="P70" s="8757" t="inlineStr">
        <is>
          <t>Mujeres</t>
        </is>
      </c>
      <c r="Q70" s="3642" t="inlineStr">
        <is>
          <t>Hombres</t>
        </is>
      </c>
      <c r="R70" s="8658" t="inlineStr">
        <is>
          <t>Mujeres</t>
        </is>
      </c>
      <c r="S70" s="3642" t="inlineStr">
        <is>
          <t>Hombres</t>
        </is>
      </c>
      <c r="T70" s="8658" t="inlineStr">
        <is>
          <t>Mujeres</t>
        </is>
      </c>
      <c r="U70" s="3643" t="inlineStr">
        <is>
          <t>Hombres</t>
        </is>
      </c>
      <c r="V70" s="8658" t="inlineStr">
        <is>
          <t>Mujeres</t>
        </is>
      </c>
      <c r="W70" s="3589" t="inlineStr">
        <is>
          <t>Hombres</t>
        </is>
      </c>
      <c r="X70" s="8757" t="inlineStr">
        <is>
          <t>Mujeres</t>
        </is>
      </c>
      <c r="Y70" s="3803" t="inlineStr">
        <is>
          <t>Hombres</t>
        </is>
      </c>
      <c r="Z70" s="8671" t="inlineStr">
        <is>
          <t>Mujeres</t>
        </is>
      </c>
      <c r="AA70" s="3589" t="inlineStr">
        <is>
          <t>Hombres</t>
        </is>
      </c>
      <c r="AB70" s="8757" t="inlineStr">
        <is>
          <t>Mujeres</t>
        </is>
      </c>
      <c r="AC70" s="3803" t="inlineStr">
        <is>
          <t>Hombres</t>
        </is>
      </c>
      <c r="AD70" s="8671" t="inlineStr">
        <is>
          <t>Mujeres</t>
        </is>
      </c>
      <c r="AE70" s="3589" t="inlineStr">
        <is>
          <t>Hombres</t>
        </is>
      </c>
      <c r="AF70" s="8757" t="inlineStr">
        <is>
          <t>Mujeres</t>
        </is>
      </c>
      <c r="AG70" s="3803" t="inlineStr">
        <is>
          <t>Hombres</t>
        </is>
      </c>
      <c r="AH70" s="8671" t="inlineStr">
        <is>
          <t>Mujeres</t>
        </is>
      </c>
      <c r="AI70" s="3589" t="inlineStr">
        <is>
          <t>Hombres</t>
        </is>
      </c>
      <c r="AJ70" s="8757" t="inlineStr">
        <is>
          <t>Mujeres</t>
        </is>
      </c>
      <c r="AK70" s="3803" t="inlineStr">
        <is>
          <t>Hombres</t>
        </is>
      </c>
      <c r="AL70" s="8671" t="inlineStr">
        <is>
          <t>Mujeres</t>
        </is>
      </c>
      <c r="AM70" s="3589" t="inlineStr">
        <is>
          <t>Hombres</t>
        </is>
      </c>
      <c r="AN70" s="8672" t="inlineStr">
        <is>
          <t>Mujeres</t>
        </is>
      </c>
      <c r="AO70" s="10088" t="n"/>
      <c r="AP70" s="9589" t="n"/>
    </row>
    <row r="71" ht="15" customFormat="1" customHeight="1" s="17">
      <c r="A71" s="9088" t="inlineStr">
        <is>
          <t>Enfermera/o</t>
        </is>
      </c>
      <c r="B71" s="1926">
        <f>SUM(C71+D71)</f>
        <v/>
      </c>
      <c r="C71" s="1970">
        <f>SUM(E71+G71+I71+K71+M71+O71+Q71+S71+U71+W71+Y71+AA71+AC71+AE71+AG71+AI71+AK71+AM71)</f>
        <v/>
      </c>
      <c r="D71" s="3760">
        <f>SUM(F71+H71+J71+L71+N71+P71+R71+T71+V71+X71+Z71+AB71+AD71+AF71+AH71+AJ71+AL71+AN71)</f>
        <v/>
      </c>
      <c r="E71" s="1935" t="n"/>
      <c r="F71" s="3805" t="n"/>
      <c r="G71" s="1432" t="n"/>
      <c r="H71" s="2261" t="n"/>
      <c r="I71" s="1935" t="n"/>
      <c r="J71" s="755" t="n"/>
      <c r="K71" s="1935" t="n"/>
      <c r="L71" s="755" t="n"/>
      <c r="M71" s="1432" t="n"/>
      <c r="N71" s="2261" t="n"/>
      <c r="O71" s="1935" t="n"/>
      <c r="P71" s="755" t="n"/>
      <c r="Q71" s="1935" t="n"/>
      <c r="R71" s="755" t="n"/>
      <c r="S71" s="1935" t="n"/>
      <c r="T71" s="755" t="n"/>
      <c r="U71" s="1432" t="n"/>
      <c r="V71" s="2261" t="n"/>
      <c r="W71" s="1935" t="n"/>
      <c r="X71" s="755" t="n"/>
      <c r="Y71" s="1432" t="n"/>
      <c r="Z71" s="2261" t="n"/>
      <c r="AA71" s="1935" t="n"/>
      <c r="AB71" s="755" t="n"/>
      <c r="AC71" s="1432" t="n"/>
      <c r="AD71" s="2261" t="n"/>
      <c r="AE71" s="1935" t="n"/>
      <c r="AF71" s="755" t="n"/>
      <c r="AG71" s="1432" t="n"/>
      <c r="AH71" s="2261" t="n"/>
      <c r="AI71" s="1935" t="n"/>
      <c r="AJ71" s="755" t="n"/>
      <c r="AK71" s="1432" t="n"/>
      <c r="AL71" s="2261" t="n"/>
      <c r="AM71" s="2164" t="n"/>
      <c r="AN71" s="792" t="n"/>
      <c r="AO71" s="3805" t="n"/>
      <c r="AP71" s="2907" t="n"/>
      <c r="AQ71" s="17">
        <f>CA71</f>
        <v/>
      </c>
      <c r="CA71" s="90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/>
      </c>
    </row>
    <row r="72" ht="15" customFormat="1" customHeight="1" s="17">
      <c r="A72" s="3806" t="inlineStr">
        <is>
          <t>Kinesiólogo/a</t>
        </is>
      </c>
      <c r="B72" s="640">
        <f>SUM(C72+D72)</f>
        <v/>
      </c>
      <c r="C72" s="708">
        <f>SUM(E72+G72+I72+K72+M72+O72+Q72+S72+U72+W72+Y72+AA72+AC72+AE72+AG72+AI72+AK72+AM72)</f>
        <v/>
      </c>
      <c r="D72" s="3807">
        <f>SUM(F72+H72+J72+L72+N72+P72+R72+T72+V72+X72+Z72+AB72+AD72+AF72+AH72+AJ72+AL72+AN72)</f>
        <v/>
      </c>
      <c r="E72" s="1179" t="n">
        <v>1</v>
      </c>
      <c r="F72" s="1180" t="n">
        <v>4</v>
      </c>
      <c r="G72" s="1181" t="n">
        <v>8</v>
      </c>
      <c r="H72" s="1182" t="n">
        <v>10</v>
      </c>
      <c r="I72" s="1179" t="n"/>
      <c r="J72" s="1183" t="n"/>
      <c r="K72" s="1179" t="n">
        <v>4</v>
      </c>
      <c r="L72" s="1183" t="n"/>
      <c r="M72" s="1181" t="n"/>
      <c r="N72" s="1182" t="n"/>
      <c r="O72" s="1179" t="n"/>
      <c r="P72" s="1183" t="n"/>
      <c r="Q72" s="1179" t="n"/>
      <c r="R72" s="1183" t="n"/>
      <c r="S72" s="1179" t="n"/>
      <c r="T72" s="1183" t="n"/>
      <c r="U72" s="1181" t="n"/>
      <c r="V72" s="1182" t="n"/>
      <c r="W72" s="1179" t="n"/>
      <c r="X72" s="1183" t="n"/>
      <c r="Y72" s="1181" t="n"/>
      <c r="Z72" s="1182" t="n"/>
      <c r="AA72" s="1179" t="n"/>
      <c r="AB72" s="1183" t="n"/>
      <c r="AC72" s="1181" t="n"/>
      <c r="AD72" s="1182" t="n"/>
      <c r="AE72" s="1179" t="n"/>
      <c r="AF72" s="1183" t="n"/>
      <c r="AG72" s="1181" t="n"/>
      <c r="AH72" s="1182" t="n">
        <v>2</v>
      </c>
      <c r="AI72" s="3808" t="n"/>
      <c r="AJ72" s="3601" t="n"/>
      <c r="AK72" s="1181" t="n"/>
      <c r="AL72" s="1182" t="n">
        <v>2</v>
      </c>
      <c r="AM72" s="1184" t="n"/>
      <c r="AN72" s="1185" t="n">
        <v>1</v>
      </c>
      <c r="AO72" s="2057" t="n"/>
      <c r="AP72" s="670" t="n"/>
      <c r="AQ72" s="17">
        <f>CA72&amp;CB72</f>
        <v/>
      </c>
      <c r="CA72" s="90">
        <f>IF(AND(AO72="",B72&gt;0)," * No olvide digitar la variable Beneficiarios. Digite cero si no tiene.",IF(AO72&gt;B72," *La variable Beneficiario No puede ser mayor al Total Ambos Sexos",""))</f>
        <v/>
      </c>
      <c r="CB72" s="90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 t="n"/>
      <c r="CF72" s="127">
        <f>IF(AND(AO72="",B72&gt;0),1,IF(AO72&gt;B72,1,0))</f>
        <v/>
      </c>
      <c r="CG72" s="52">
        <f>IF(AND(AP72="",B72&gt;0),1,IF(AP72&gt;B72,1,""))</f>
        <v/>
      </c>
    </row>
    <row r="73" ht="15" customFormat="1" customHeight="1" s="17">
      <c r="A73" s="8710" t="inlineStr">
        <is>
          <t>TOTAL</t>
        </is>
      </c>
      <c r="B73" s="3685">
        <f>SUM(B71:B72)</f>
        <v/>
      </c>
      <c r="C73" s="3688">
        <f>SUM(C71:C72)</f>
        <v/>
      </c>
      <c r="D73" s="3686">
        <f>SUM(D71:D72)</f>
        <v/>
      </c>
      <c r="E73" s="3797">
        <f>SUM(E71:E72)</f>
        <v/>
      </c>
      <c r="F73" s="3532">
        <f>SUM(F71:F72)</f>
        <v/>
      </c>
      <c r="G73" s="3798">
        <f>SUM(G71:G72)</f>
        <v/>
      </c>
      <c r="H73" s="3799">
        <f>SUM(H71:H72)</f>
        <v/>
      </c>
      <c r="I73" s="3797">
        <f>SUM(I71:I72)</f>
        <v/>
      </c>
      <c r="J73" s="3800">
        <f>SUM(J71:J72)</f>
        <v/>
      </c>
      <c r="K73" s="3797">
        <f>SUM(K71:K72)</f>
        <v/>
      </c>
      <c r="L73" s="3800">
        <f>SUM(L71:L72)</f>
        <v/>
      </c>
      <c r="M73" s="3798">
        <f>SUM(M71:M72)</f>
        <v/>
      </c>
      <c r="N73" s="3799">
        <f>SUM(N71:N72)</f>
        <v/>
      </c>
      <c r="O73" s="3797">
        <f>SUM(O71:O72)</f>
        <v/>
      </c>
      <c r="P73" s="3800">
        <f>SUM(P71:P72)</f>
        <v/>
      </c>
      <c r="Q73" s="3797">
        <f>SUM(Q71:Q72)</f>
        <v/>
      </c>
      <c r="R73" s="3800">
        <f>SUM(R71:R72)</f>
        <v/>
      </c>
      <c r="S73" s="3797">
        <f>SUM(S71:S72)</f>
        <v/>
      </c>
      <c r="T73" s="3800">
        <f>SUM(T71:T72)</f>
        <v/>
      </c>
      <c r="U73" s="3798">
        <f>SUM(U71:U72)</f>
        <v/>
      </c>
      <c r="V73" s="3799">
        <f>SUM(V71:V72)</f>
        <v/>
      </c>
      <c r="W73" s="3797">
        <f>SUM(W71:W72)</f>
        <v/>
      </c>
      <c r="X73" s="3800">
        <f>SUM(X71:X72)</f>
        <v/>
      </c>
      <c r="Y73" s="3798">
        <f>SUM(Y71:Y72)</f>
        <v/>
      </c>
      <c r="Z73" s="3799">
        <f>SUM(Z71:Z72)</f>
        <v/>
      </c>
      <c r="AA73" s="3797">
        <f>SUM(AA71:AA72)</f>
        <v/>
      </c>
      <c r="AB73" s="3800">
        <f>SUM(AB71:AB72)</f>
        <v/>
      </c>
      <c r="AC73" s="3798">
        <f>SUM(AC71:AC72)</f>
        <v/>
      </c>
      <c r="AD73" s="3799">
        <f>SUM(AD71:AD72)</f>
        <v/>
      </c>
      <c r="AE73" s="3797">
        <f>SUM(AE71:AE72)</f>
        <v/>
      </c>
      <c r="AF73" s="3800">
        <f>SUM(AF71:AF72)</f>
        <v/>
      </c>
      <c r="AG73" s="3798">
        <f>SUM(AG71:AG72)</f>
        <v/>
      </c>
      <c r="AH73" s="3809">
        <f>SUM(AH71:AH72)</f>
        <v/>
      </c>
      <c r="AI73" s="3809">
        <f>SUM(AI71:AI72)</f>
        <v/>
      </c>
      <c r="AJ73" s="3809">
        <f>SUM(AJ71:AJ72)</f>
        <v/>
      </c>
      <c r="AK73" s="3809">
        <f>SUM(AK71:AK72)</f>
        <v/>
      </c>
      <c r="AL73" s="3799">
        <f>SUM(AL71:AL72)</f>
        <v/>
      </c>
      <c r="AM73" s="3801">
        <f>SUM(AM71:AM72)</f>
        <v/>
      </c>
      <c r="AN73" s="3802">
        <f>SUM(AN71:AN72)</f>
        <v/>
      </c>
      <c r="AO73" s="3532">
        <f>SUM(AO71:AO72)</f>
        <v/>
      </c>
      <c r="AP73" s="3772">
        <f>SUM(AP71:AP72)</f>
        <v/>
      </c>
    </row>
    <row r="74" ht="18" customFormat="1" customHeight="1" s="20">
      <c r="A74" s="2" t="inlineStr">
        <is>
          <t>SECCIÓN G: INASISTENTES A CONTROL DE CRÓNICOS</t>
        </is>
      </c>
    </row>
    <row r="75" ht="15" customFormat="1" customHeight="1" s="17">
      <c r="A75" s="10250" t="inlineStr">
        <is>
          <t>DIAGNÓSTICOS</t>
        </is>
      </c>
      <c r="B75" s="10004" t="inlineStr">
        <is>
          <t>TOTAL</t>
        </is>
      </c>
      <c r="C75" s="9602" t="n"/>
      <c r="D75" s="9630" t="n"/>
      <c r="E75" s="10406" t="inlineStr">
        <is>
          <t>RANGO ETARIO Y SEXO</t>
        </is>
      </c>
      <c r="F75" s="9584" t="n"/>
      <c r="G75" s="9584" t="n"/>
      <c r="H75" s="9584" t="n"/>
      <c r="I75" s="9584" t="n"/>
      <c r="J75" s="9584" t="n"/>
      <c r="K75" s="9584" t="n"/>
      <c r="L75" s="9584" t="n"/>
      <c r="M75" s="9584" t="n"/>
      <c r="N75" s="9584" t="n"/>
      <c r="O75" s="9584" t="n"/>
      <c r="P75" s="9584" t="n"/>
      <c r="Q75" s="9584" t="n"/>
      <c r="R75" s="9584" t="n"/>
      <c r="S75" s="9584" t="n"/>
      <c r="T75" s="9584" t="n"/>
      <c r="U75" s="9584" t="n"/>
      <c r="V75" s="9584" t="n"/>
      <c r="W75" s="9584" t="n"/>
      <c r="X75" s="9584" t="n"/>
      <c r="Y75" s="9584" t="n"/>
      <c r="Z75" s="9584" t="n"/>
      <c r="AA75" s="9584" t="n"/>
      <c r="AB75" s="9584" t="n"/>
      <c r="AC75" s="9584" t="n"/>
      <c r="AD75" s="9584" t="n"/>
      <c r="AE75" s="9584" t="n"/>
      <c r="AF75" s="9584" t="n"/>
      <c r="AG75" s="9584" t="n"/>
      <c r="AH75" s="9584" t="n"/>
      <c r="AI75" s="9584" t="n"/>
      <c r="AJ75" s="9584" t="n"/>
      <c r="AK75" s="9584" t="n"/>
      <c r="AL75" s="9584" t="n"/>
      <c r="AM75" s="9584" t="n"/>
      <c r="AN75" s="9582" t="n"/>
    </row>
    <row r="76" ht="15" customFormat="1" customHeight="1" s="17">
      <c r="A76" s="9625" t="n"/>
      <c r="B76" s="9638" t="n"/>
      <c r="C76" s="9697" t="n"/>
      <c r="D76" s="9639" t="n"/>
      <c r="E76" s="7674" t="inlineStr">
        <is>
          <t>Menor de 1 año</t>
        </is>
      </c>
      <c r="F76" s="9603" t="n"/>
      <c r="G76" s="9446" t="inlineStr">
        <is>
          <t>1 - 4 
años</t>
        </is>
      </c>
      <c r="H76" s="9617" t="n"/>
      <c r="I76" s="9977" t="inlineStr">
        <is>
          <t>5 - 9 
años</t>
        </is>
      </c>
      <c r="J76" s="9582" t="n"/>
      <c r="K76" s="9446" t="inlineStr">
        <is>
          <t>10 - 14 años</t>
        </is>
      </c>
      <c r="L76" s="9617" t="n"/>
      <c r="M76" s="9977" t="inlineStr">
        <is>
          <t>15 - 19 años</t>
        </is>
      </c>
      <c r="N76" s="9582" t="n"/>
      <c r="O76" s="10392" t="inlineStr">
        <is>
          <t>20 - 24 años</t>
        </is>
      </c>
      <c r="P76" s="9602" t="n"/>
      <c r="Q76" s="10046" t="inlineStr">
        <is>
          <t>25 - 29 años</t>
        </is>
      </c>
      <c r="R76" s="9603" t="n"/>
      <c r="S76" s="10046" t="inlineStr">
        <is>
          <t>30 - 34 años</t>
        </is>
      </c>
      <c r="T76" s="9603" t="n"/>
      <c r="U76" s="10405" t="inlineStr">
        <is>
          <t>35 - 39 años</t>
        </is>
      </c>
      <c r="V76" s="9603" t="n"/>
      <c r="W76" s="10046" t="inlineStr">
        <is>
          <t>40 - 44 años</t>
        </is>
      </c>
      <c r="X76" s="9603" t="n"/>
      <c r="Y76" s="10392" t="inlineStr">
        <is>
          <t>45 - 49 años</t>
        </is>
      </c>
      <c r="Z76" s="9602" t="n"/>
      <c r="AA76" s="10046" t="inlineStr">
        <is>
          <t>50 - 54 años</t>
        </is>
      </c>
      <c r="AB76" s="9603" t="n"/>
      <c r="AC76" s="10392" t="inlineStr">
        <is>
          <t>55 - 59 años</t>
        </is>
      </c>
      <c r="AD76" s="9602" t="n"/>
      <c r="AE76" s="10046" t="inlineStr">
        <is>
          <t>60 - 64 años</t>
        </is>
      </c>
      <c r="AF76" s="9603" t="n"/>
      <c r="AG76" s="10392" t="inlineStr">
        <is>
          <t>65 - 69 años</t>
        </is>
      </c>
      <c r="AH76" s="9602" t="n"/>
      <c r="AI76" s="10046" t="inlineStr">
        <is>
          <t>70 - 74 años</t>
        </is>
      </c>
      <c r="AJ76" s="9603" t="n"/>
      <c r="AK76" s="10392" t="inlineStr">
        <is>
          <t>75 - 79 años</t>
        </is>
      </c>
      <c r="AL76" s="9602" t="n"/>
      <c r="AM76" s="9977" t="inlineStr">
        <is>
          <t>80 y más años</t>
        </is>
      </c>
      <c r="AN76" s="9582" t="n"/>
    </row>
    <row r="77" ht="15" customFormat="1" customHeight="1" s="17">
      <c r="A77" s="9641" t="n"/>
      <c r="B77" s="3642" t="inlineStr">
        <is>
          <t>Ambos Sexos</t>
        </is>
      </c>
      <c r="C77" s="3643" t="inlineStr">
        <is>
          <t>Hombres</t>
        </is>
      </c>
      <c r="D77" s="8088" t="inlineStr">
        <is>
          <t>Mujeres</t>
        </is>
      </c>
      <c r="E77" s="3642" t="inlineStr">
        <is>
          <t>Hombres</t>
        </is>
      </c>
      <c r="F77" s="8658" t="inlineStr">
        <is>
          <t>Mujeres</t>
        </is>
      </c>
      <c r="G77" s="3643" t="inlineStr">
        <is>
          <t>Hombres</t>
        </is>
      </c>
      <c r="H77" s="8716" t="inlineStr">
        <is>
          <t>Mujeres</t>
        </is>
      </c>
      <c r="I77" s="3642" t="inlineStr">
        <is>
          <t>Hombres</t>
        </is>
      </c>
      <c r="J77" s="8658" t="inlineStr">
        <is>
          <t>Mujeres</t>
        </is>
      </c>
      <c r="K77" s="3643" t="inlineStr">
        <is>
          <t>Hombres</t>
        </is>
      </c>
      <c r="L77" s="8716" t="inlineStr">
        <is>
          <t>Mujeres</t>
        </is>
      </c>
      <c r="M77" s="3642" t="inlineStr">
        <is>
          <t>Hombres</t>
        </is>
      </c>
      <c r="N77" s="8658" t="inlineStr">
        <is>
          <t>Mujeres</t>
        </is>
      </c>
      <c r="O77" s="3643" t="inlineStr">
        <is>
          <t>Hombres</t>
        </is>
      </c>
      <c r="P77" s="8716" t="inlineStr">
        <is>
          <t>Mujeres</t>
        </is>
      </c>
      <c r="Q77" s="3642" t="inlineStr">
        <is>
          <t>Hombres</t>
        </is>
      </c>
      <c r="R77" s="8658" t="inlineStr">
        <is>
          <t>Mujeres</t>
        </is>
      </c>
      <c r="S77" s="3642" t="inlineStr">
        <is>
          <t>Hombres</t>
        </is>
      </c>
      <c r="T77" s="8658" t="inlineStr">
        <is>
          <t>Mujeres</t>
        </is>
      </c>
      <c r="U77" s="3643" t="inlineStr">
        <is>
          <t>Hombres</t>
        </is>
      </c>
      <c r="V77" s="8658" t="inlineStr">
        <is>
          <t>Mujeres</t>
        </is>
      </c>
      <c r="W77" s="3642" t="inlineStr">
        <is>
          <t>Hombres</t>
        </is>
      </c>
      <c r="X77" s="8658" t="inlineStr">
        <is>
          <t>Mujeres</t>
        </is>
      </c>
      <c r="Y77" s="3643" t="inlineStr">
        <is>
          <t>Hombres</t>
        </is>
      </c>
      <c r="Z77" s="8716" t="inlineStr">
        <is>
          <t>Mujeres</t>
        </is>
      </c>
      <c r="AA77" s="3642" t="inlineStr">
        <is>
          <t>Hombres</t>
        </is>
      </c>
      <c r="AB77" s="8658" t="inlineStr">
        <is>
          <t>Mujeres</t>
        </is>
      </c>
      <c r="AC77" s="3643" t="inlineStr">
        <is>
          <t>Hombres</t>
        </is>
      </c>
      <c r="AD77" s="8716" t="inlineStr">
        <is>
          <t>Mujeres</t>
        </is>
      </c>
      <c r="AE77" s="3642" t="inlineStr">
        <is>
          <t>Hombres</t>
        </is>
      </c>
      <c r="AF77" s="8658" t="inlineStr">
        <is>
          <t>Mujeres</t>
        </is>
      </c>
      <c r="AG77" s="3643" t="inlineStr">
        <is>
          <t>Hombres</t>
        </is>
      </c>
      <c r="AH77" s="8716" t="inlineStr">
        <is>
          <t>Mujeres</t>
        </is>
      </c>
      <c r="AI77" s="3642" t="inlineStr">
        <is>
          <t>Hombres</t>
        </is>
      </c>
      <c r="AJ77" s="8658" t="inlineStr">
        <is>
          <t>Mujeres</t>
        </is>
      </c>
      <c r="AK77" s="3643" t="inlineStr">
        <is>
          <t>Hombres</t>
        </is>
      </c>
      <c r="AL77" s="8716" t="inlineStr">
        <is>
          <t>Mujeres</t>
        </is>
      </c>
      <c r="AM77" s="3642" t="inlineStr">
        <is>
          <t>Hombres</t>
        </is>
      </c>
      <c r="AN77" s="8658" t="inlineStr">
        <is>
          <t>Mujeres</t>
        </is>
      </c>
    </row>
    <row r="78" ht="15" customFormat="1" customHeight="1" s="17">
      <c r="A78" s="3810" t="inlineStr">
        <is>
          <t>S.B.O. recurrente</t>
        </is>
      </c>
      <c r="B78" s="1926">
        <f>SUM(C78+D78)</f>
        <v/>
      </c>
      <c r="C78" s="1970">
        <f>SUM(E78+G78)</f>
        <v/>
      </c>
      <c r="D78" s="3786">
        <f>SUM(F78+H78)</f>
        <v/>
      </c>
      <c r="E78" s="3502" t="n"/>
      <c r="F78" s="3520" t="n"/>
      <c r="G78" s="3503" t="n"/>
      <c r="H78" s="2581" t="n"/>
      <c r="I78" s="3702" t="n"/>
      <c r="J78" s="3811" t="n"/>
      <c r="K78" s="3812" t="n"/>
      <c r="L78" s="3813" t="n"/>
      <c r="M78" s="3702" t="n"/>
      <c r="N78" s="3811" t="n"/>
      <c r="O78" s="3812" t="n"/>
      <c r="P78" s="3813" t="n"/>
      <c r="Q78" s="3702" t="n"/>
      <c r="R78" s="3811" t="n"/>
      <c r="S78" s="3702" t="n"/>
      <c r="T78" s="3811" t="n"/>
      <c r="U78" s="3702" t="n"/>
      <c r="V78" s="3811" t="n"/>
      <c r="W78" s="3702" t="n"/>
      <c r="X78" s="3811" t="n"/>
      <c r="Y78" s="3812" t="n"/>
      <c r="Z78" s="3813" t="n"/>
      <c r="AA78" s="3702" t="n"/>
      <c r="AB78" s="3811" t="n"/>
      <c r="AC78" s="3812" t="n"/>
      <c r="AD78" s="3813" t="n"/>
      <c r="AE78" s="3702" t="n"/>
      <c r="AF78" s="3811" t="n"/>
      <c r="AG78" s="3812" t="n"/>
      <c r="AH78" s="3813" t="n"/>
      <c r="AI78" s="3702" t="n"/>
      <c r="AJ78" s="3811" t="n"/>
      <c r="AK78" s="3812" t="n"/>
      <c r="AL78" s="3813" t="n"/>
      <c r="AM78" s="3814" t="n"/>
      <c r="AN78" s="3811" t="n"/>
    </row>
    <row r="79" ht="15" customFormat="1" customHeight="1" s="17">
      <c r="A79" s="3651" t="inlineStr">
        <is>
          <t>Displasia broncopulmonar</t>
        </is>
      </c>
      <c r="B79" s="3762">
        <f>SUM(C79+D79)</f>
        <v/>
      </c>
      <c r="C79" s="3763">
        <f>SUM(E79+G79+I79+K79+M79+O79+Q79+S79+U79+W79+Y79+AA79+AC79+AE79+AG79+AI79+AK79+AM79)</f>
        <v/>
      </c>
      <c r="D79" s="3786">
        <f>SUM(F79+H79+J79+L79+N79+P79+R79+T79+V79+X79+Z79+AB79+AD79+AF79+AH79+AJ79+AL79+AN79)</f>
        <v/>
      </c>
      <c r="E79" s="3787" t="n"/>
      <c r="F79" s="3788" t="n"/>
      <c r="G79" s="3789" t="n"/>
      <c r="H79" s="3790" t="n"/>
      <c r="I79" s="3787" t="n"/>
      <c r="J79" s="3791" t="n"/>
      <c r="K79" s="3789" t="n"/>
      <c r="L79" s="3790" t="n"/>
      <c r="M79" s="3787" t="n"/>
      <c r="N79" s="3791" t="n"/>
      <c r="O79" s="3789" t="n"/>
      <c r="P79" s="3790" t="n"/>
      <c r="Q79" s="3787" t="n"/>
      <c r="R79" s="3791" t="n"/>
      <c r="S79" s="3787" t="n"/>
      <c r="T79" s="3791" t="n"/>
      <c r="U79" s="3787" t="n"/>
      <c r="V79" s="3791" t="n"/>
      <c r="W79" s="3787" t="n"/>
      <c r="X79" s="3791" t="n"/>
      <c r="Y79" s="3789" t="n"/>
      <c r="Z79" s="3790" t="n"/>
      <c r="AA79" s="3787" t="n"/>
      <c r="AB79" s="3791" t="n"/>
      <c r="AC79" s="3789" t="n"/>
      <c r="AD79" s="3790" t="n"/>
      <c r="AE79" s="3787" t="n"/>
      <c r="AF79" s="3791" t="n"/>
      <c r="AG79" s="3789" t="n"/>
      <c r="AH79" s="3790" t="n"/>
      <c r="AI79" s="3787" t="n"/>
      <c r="AJ79" s="3791" t="n"/>
      <c r="AK79" s="3789" t="n"/>
      <c r="AL79" s="3790" t="n"/>
      <c r="AM79" s="3792" t="n"/>
      <c r="AN79" s="3791" t="n"/>
    </row>
    <row r="80" ht="15" customFormat="1" customHeight="1" s="17">
      <c r="A80" s="3651" t="inlineStr">
        <is>
          <t>Fibrosis quística</t>
        </is>
      </c>
      <c r="B80" s="3762">
        <f>SUM(C80+D80)</f>
        <v/>
      </c>
      <c r="C80" s="3763">
        <f>SUM(E80+G80+I80+K80+M80+O80+Q80+S80+U80+W80+Y80+AA80+AC80+AE80+AG80+AI80+AK80+AM80)</f>
        <v/>
      </c>
      <c r="D80" s="3786">
        <f>SUM(F80+H80+J80+L80+N80+P80+R80+T80+V80+X80+Z80+AB80+AD80+AF80+AH80+AJ80+AL80+AN80)</f>
        <v/>
      </c>
      <c r="E80" s="3787" t="n"/>
      <c r="F80" s="3788" t="n"/>
      <c r="G80" s="3789" t="n"/>
      <c r="H80" s="3790" t="n"/>
      <c r="I80" s="3787" t="n"/>
      <c r="J80" s="3791" t="n"/>
      <c r="K80" s="3789" t="n"/>
      <c r="L80" s="3790" t="n"/>
      <c r="M80" s="3787" t="n"/>
      <c r="N80" s="3791" t="n"/>
      <c r="O80" s="3789" t="n"/>
      <c r="P80" s="3790" t="n"/>
      <c r="Q80" s="3787" t="n"/>
      <c r="R80" s="3791" t="n"/>
      <c r="S80" s="3787" t="n"/>
      <c r="T80" s="3791" t="n"/>
      <c r="U80" s="3787" t="n"/>
      <c r="V80" s="3791" t="n"/>
      <c r="W80" s="3787" t="n"/>
      <c r="X80" s="3791" t="n"/>
      <c r="Y80" s="3789" t="n"/>
      <c r="Z80" s="3790" t="n"/>
      <c r="AA80" s="3787" t="n"/>
      <c r="AB80" s="3791" t="n"/>
      <c r="AC80" s="3789" t="n"/>
      <c r="AD80" s="3790" t="n"/>
      <c r="AE80" s="3787" t="n"/>
      <c r="AF80" s="3791" t="n"/>
      <c r="AG80" s="3789" t="n"/>
      <c r="AH80" s="3790" t="n"/>
      <c r="AI80" s="3787" t="n"/>
      <c r="AJ80" s="3791" t="n"/>
      <c r="AK80" s="3789" t="n"/>
      <c r="AL80" s="3790" t="n"/>
      <c r="AM80" s="3792" t="n"/>
      <c r="AN80" s="3791" t="n"/>
    </row>
    <row r="81" ht="15" customFormat="1" customHeight="1" s="17">
      <c r="A81" s="3651" t="inlineStr">
        <is>
          <t>Asma</t>
        </is>
      </c>
      <c r="B81" s="3762">
        <f>SUM(C81+D81)</f>
        <v/>
      </c>
      <c r="C81" s="3763">
        <f>SUM(G81+I81+K81+M81+O81+Q81+S81+U81+W81+Y81+AA81+AC81+AE81+AG81+AI81+AK81+AM81)</f>
        <v/>
      </c>
      <c r="D81" s="3786">
        <f>SUM(H81+J81+L81+N81+P81+R81+T81+V81+X81+Z81+AB81+AD81+AF81+AH81+AJ81+AL81+AN81)</f>
        <v/>
      </c>
      <c r="E81" s="3706" t="n"/>
      <c r="F81" s="3707" t="n"/>
      <c r="G81" s="3789" t="n"/>
      <c r="H81" s="3790" t="n"/>
      <c r="I81" s="3787" t="n"/>
      <c r="J81" s="3791" t="n"/>
      <c r="K81" s="3789" t="n"/>
      <c r="L81" s="3790" t="n"/>
      <c r="M81" s="3787" t="n"/>
      <c r="N81" s="3791" t="n"/>
      <c r="O81" s="3789" t="n"/>
      <c r="P81" s="3790" t="n"/>
      <c r="Q81" s="3787" t="n"/>
      <c r="R81" s="3791" t="n"/>
      <c r="S81" s="3787" t="n"/>
      <c r="T81" s="3791" t="n"/>
      <c r="U81" s="3787" t="n"/>
      <c r="V81" s="3791" t="n"/>
      <c r="W81" s="3787" t="n"/>
      <c r="X81" s="3791" t="n"/>
      <c r="Y81" s="3789" t="n"/>
      <c r="Z81" s="3790" t="n"/>
      <c r="AA81" s="3787" t="n"/>
      <c r="AB81" s="3791" t="n"/>
      <c r="AC81" s="3789" t="n"/>
      <c r="AD81" s="3790" t="n"/>
      <c r="AE81" s="3787" t="n"/>
      <c r="AF81" s="3791" t="n"/>
      <c r="AG81" s="3789" t="n"/>
      <c r="AH81" s="3790" t="n"/>
      <c r="AI81" s="3787" t="n"/>
      <c r="AJ81" s="3791" t="n"/>
      <c r="AK81" s="3789" t="n"/>
      <c r="AL81" s="3790" t="n"/>
      <c r="AM81" s="3792" t="n"/>
      <c r="AN81" s="3791" t="n"/>
    </row>
    <row r="82" ht="15" customFormat="1" customHeight="1" s="17">
      <c r="A82" s="3651" t="inlineStr">
        <is>
          <t>Enfermedad Pulmonar Obstructiva Crónica</t>
        </is>
      </c>
      <c r="B82" s="3762">
        <f>SUM(C82+D82)</f>
        <v/>
      </c>
      <c r="C82" s="3763">
        <f>SUM(W82+Y82+AA82+AC82+AE82+AG82+AI82+AK82+AM82)</f>
        <v/>
      </c>
      <c r="D82" s="3786">
        <f>SUM(X82+Z82+AB82+AD82+AF82+AH82+AJ82+AL82+AN82)</f>
        <v/>
      </c>
      <c r="E82" s="3706" t="n"/>
      <c r="F82" s="3707" t="n"/>
      <c r="G82" s="3815" t="n"/>
      <c r="H82" s="3816" t="n"/>
      <c r="I82" s="3706" t="n"/>
      <c r="J82" s="3817" t="n"/>
      <c r="K82" s="3815" t="n"/>
      <c r="L82" s="3816" t="n"/>
      <c r="M82" s="3706" t="n"/>
      <c r="N82" s="3817" t="n"/>
      <c r="O82" s="3815" t="n"/>
      <c r="P82" s="3816" t="n"/>
      <c r="Q82" s="3706" t="n"/>
      <c r="R82" s="3817" t="n"/>
      <c r="S82" s="3706" t="n"/>
      <c r="T82" s="3817" t="n"/>
      <c r="U82" s="3706" t="n"/>
      <c r="V82" s="3817" t="n"/>
      <c r="W82" s="3787" t="n"/>
      <c r="X82" s="3791" t="n"/>
      <c r="Y82" s="3789" t="n"/>
      <c r="Z82" s="3790" t="n"/>
      <c r="AA82" s="3787" t="n"/>
      <c r="AB82" s="3791" t="n"/>
      <c r="AC82" s="3789" t="n"/>
      <c r="AD82" s="3790" t="n"/>
      <c r="AE82" s="3787" t="n"/>
      <c r="AF82" s="3791" t="n"/>
      <c r="AG82" s="3789" t="n"/>
      <c r="AH82" s="3790" t="n"/>
      <c r="AI82" s="3787" t="n"/>
      <c r="AJ82" s="3791" t="n"/>
      <c r="AK82" s="3789" t="n"/>
      <c r="AL82" s="3790" t="n"/>
      <c r="AM82" s="3792" t="n"/>
      <c r="AN82" s="3791" t="n"/>
    </row>
    <row r="83" ht="15" customFormat="1" customHeight="1" s="17">
      <c r="A83" s="1189" t="inlineStr">
        <is>
          <t>Otras respiratorias crónicas</t>
        </is>
      </c>
      <c r="B83" s="1190">
        <f>SUM(C83+D83)</f>
        <v/>
      </c>
      <c r="C83" s="1191">
        <f>SUM(E83+G83+I83+K83+M83+O83+Q83+S83+U83+W83+Y83+AA83+AC83+AE83+AG83+AI83+AK83+AM83)</f>
        <v/>
      </c>
      <c r="D83" s="3786">
        <f>SUM(F83+H83+J83+L83+N83+P83+R83+T83+V83+X83+Z83+AB83+AD83+AF83+AH83+AJ83+AL83+AN83)</f>
        <v/>
      </c>
      <c r="E83" s="3808" t="n"/>
      <c r="F83" s="1192" t="n"/>
      <c r="G83" s="3818" t="n"/>
      <c r="H83" s="3819" t="n"/>
      <c r="I83" s="3808" t="n"/>
      <c r="J83" s="3601" t="n"/>
      <c r="K83" s="3818" t="n"/>
      <c r="L83" s="3819" t="n"/>
      <c r="M83" s="3808" t="n"/>
      <c r="N83" s="3601" t="n"/>
      <c r="O83" s="3818" t="n"/>
      <c r="P83" s="3819" t="n"/>
      <c r="Q83" s="3808" t="n"/>
      <c r="R83" s="3601" t="n"/>
      <c r="S83" s="3808" t="n"/>
      <c r="T83" s="3601" t="n"/>
      <c r="U83" s="3808" t="n"/>
      <c r="V83" s="3601" t="n"/>
      <c r="W83" s="3808" t="n"/>
      <c r="X83" s="3601" t="n"/>
      <c r="Y83" s="3818" t="n"/>
      <c r="Z83" s="3819" t="n"/>
      <c r="AA83" s="3808" t="n"/>
      <c r="AB83" s="3601" t="n"/>
      <c r="AC83" s="3818" t="n"/>
      <c r="AD83" s="3819" t="n"/>
      <c r="AE83" s="3808" t="n"/>
      <c r="AF83" s="3601" t="n"/>
      <c r="AG83" s="3818" t="n"/>
      <c r="AH83" s="3819" t="n"/>
      <c r="AI83" s="3808" t="n"/>
      <c r="AJ83" s="3601" t="n"/>
      <c r="AK83" s="3818" t="n"/>
      <c r="AL83" s="3819" t="n"/>
      <c r="AM83" s="3820" t="n"/>
      <c r="AN83" s="3601" t="n"/>
    </row>
    <row r="84" ht="15" customFormat="1" customHeight="1" s="17">
      <c r="A84" s="8710" t="inlineStr">
        <is>
          <t>TOTAL</t>
        </is>
      </c>
      <c r="B84" s="3685">
        <f>SUM(B78:B83)</f>
        <v/>
      </c>
      <c r="C84" s="3688">
        <f>SUM(C78:C83)</f>
        <v/>
      </c>
      <c r="D84" s="3686">
        <f>SUM(D78:D83)</f>
        <v/>
      </c>
      <c r="E84" s="3797">
        <f>SUM(E78:E83)</f>
        <v/>
      </c>
      <c r="F84" s="3532">
        <f>SUM(F78:F83)</f>
        <v/>
      </c>
      <c r="G84" s="3798">
        <f>SUM(G78:G83)</f>
        <v/>
      </c>
      <c r="H84" s="3799">
        <f>SUM(H78:H83)</f>
        <v/>
      </c>
      <c r="I84" s="3797">
        <f>SUM(I78:I83)</f>
        <v/>
      </c>
      <c r="J84" s="3800">
        <f>SUM(J78:J83)</f>
        <v/>
      </c>
      <c r="K84" s="3798">
        <f>SUM(K78:K83)</f>
        <v/>
      </c>
      <c r="L84" s="3799">
        <f>SUM(L78:L83)</f>
        <v/>
      </c>
      <c r="M84" s="3797">
        <f>SUM(M78:M83)</f>
        <v/>
      </c>
      <c r="N84" s="3800">
        <f>SUM(N78:N83)</f>
        <v/>
      </c>
      <c r="O84" s="3798">
        <f>SUM(O78:O83)</f>
        <v/>
      </c>
      <c r="P84" s="3799">
        <f>SUM(P78:P83)</f>
        <v/>
      </c>
      <c r="Q84" s="3797">
        <f>SUM(Q78:Q83)</f>
        <v/>
      </c>
      <c r="R84" s="3800">
        <f>SUM(R78:R83)</f>
        <v/>
      </c>
      <c r="S84" s="3797">
        <f>SUM(S78:S83)</f>
        <v/>
      </c>
      <c r="T84" s="3800">
        <f>SUM(T78:T83)</f>
        <v/>
      </c>
      <c r="U84" s="3797">
        <f>SUM(U78:U83)</f>
        <v/>
      </c>
      <c r="V84" s="3800">
        <f>SUM(V78:V83)</f>
        <v/>
      </c>
      <c r="W84" s="3797">
        <f>SUM(W78:W83)</f>
        <v/>
      </c>
      <c r="X84" s="3800">
        <f>SUM(X78:X83)</f>
        <v/>
      </c>
      <c r="Y84" s="3798">
        <f>SUM(Y78:Y83)</f>
        <v/>
      </c>
      <c r="Z84" s="3799">
        <f>SUM(Z78:Z83)</f>
        <v/>
      </c>
      <c r="AA84" s="3797">
        <f>SUM(AA78:AA83)</f>
        <v/>
      </c>
      <c r="AB84" s="3800">
        <f>SUM(AB78:AB83)</f>
        <v/>
      </c>
      <c r="AC84" s="3798">
        <f>SUM(AC78:AC83)</f>
        <v/>
      </c>
      <c r="AD84" s="3799">
        <f>SUM(AD78:AD83)</f>
        <v/>
      </c>
      <c r="AE84" s="3797">
        <f>SUM(AE78:AE83)</f>
        <v/>
      </c>
      <c r="AF84" s="3800">
        <f>SUM(AF78:AF83)</f>
        <v/>
      </c>
      <c r="AG84" s="3798">
        <f>SUM(AG78:AG83)</f>
        <v/>
      </c>
      <c r="AH84" s="3799">
        <f>SUM(AH78:AH83)</f>
        <v/>
      </c>
      <c r="AI84" s="3797">
        <f>SUM(AI78:AI83)</f>
        <v/>
      </c>
      <c r="AJ84" s="3800">
        <f>SUM(AJ78:AJ83)</f>
        <v/>
      </c>
      <c r="AK84" s="3798">
        <f>SUM(AK78:AK83)</f>
        <v/>
      </c>
      <c r="AL84" s="3799">
        <f>SUM(AL78:AL83)</f>
        <v/>
      </c>
      <c r="AM84" s="3801">
        <f>SUM(AM78:AM83)</f>
        <v/>
      </c>
      <c r="AN84" s="3800">
        <f>SUM(AN78:AN83)</f>
        <v/>
      </c>
    </row>
    <row r="85" ht="18" customFormat="1" customHeight="1" s="20">
      <c r="A85" s="1" t="inlineStr">
        <is>
          <t>SECCIÓN H: INASISTENTES A CITACIÓN AGENDADA</t>
        </is>
      </c>
    </row>
    <row r="86" ht="21" customFormat="1" customHeight="1" s="17">
      <c r="A86" s="4505" t="inlineStr">
        <is>
          <t>PROFESIONAL</t>
        </is>
      </c>
      <c r="B86" s="9647" t="n"/>
      <c r="C86" s="3642" t="inlineStr">
        <is>
          <t>TOTAL</t>
        </is>
      </c>
      <c r="D86" s="3803" t="inlineStr">
        <is>
          <t>Menor de 20 años</t>
        </is>
      </c>
      <c r="E86" s="8757" t="inlineStr">
        <is>
          <t>De 20 años y más</t>
        </is>
      </c>
    </row>
    <row r="87" ht="15" customFormat="1" customHeight="1" s="17">
      <c r="A87" s="10243" t="inlineStr">
        <is>
          <t>Médico/a</t>
        </is>
      </c>
      <c r="B87" s="9643" t="n"/>
      <c r="C87" s="3652">
        <f>SUM(D87+E87)</f>
        <v/>
      </c>
      <c r="D87" s="1452" t="n">
        <v>14</v>
      </c>
      <c r="E87" s="750" t="n">
        <v>18</v>
      </c>
    </row>
    <row r="88" ht="15" customFormat="1" customHeight="1" s="17">
      <c r="A88" s="3877" t="inlineStr">
        <is>
          <t>Kinesiólogo/a</t>
        </is>
      </c>
      <c r="B88" s="9644" t="n"/>
      <c r="C88" s="3652">
        <f>SUM(D88+E88)</f>
        <v/>
      </c>
      <c r="D88" s="3658" t="n">
        <v>19</v>
      </c>
      <c r="E88" s="3657" t="n">
        <v>25</v>
      </c>
    </row>
    <row r="89" ht="15" customFormat="1" customHeight="1" s="17">
      <c r="A89" s="10114" t="inlineStr">
        <is>
          <t>Enfermera/o</t>
        </is>
      </c>
      <c r="B89" s="9720" t="n"/>
      <c r="C89" s="3652">
        <f>SUM(D89+E89)</f>
        <v/>
      </c>
      <c r="D89" s="3658" t="n"/>
      <c r="E89" s="3657" t="n"/>
    </row>
    <row r="90" ht="15" customFormat="1" customHeight="1" s="17">
      <c r="A90" s="10406" t="inlineStr">
        <is>
          <t>TOTAL</t>
        </is>
      </c>
      <c r="B90" s="9582" t="n"/>
      <c r="C90" s="3821">
        <f>SUM(C87:C89)</f>
        <v/>
      </c>
      <c r="D90" s="3688">
        <f>SUM(D87:D89)</f>
        <v/>
      </c>
      <c r="E90" s="3687">
        <f>SUM(E87:E89)</f>
        <v/>
      </c>
    </row>
    <row r="91" ht="18" customFormat="1" customHeight="1" s="20">
      <c r="A91" s="2675" t="inlineStr">
        <is>
          <t>SECCIÓN I: PROCEDIMIENTOS REALIZADOS</t>
        </is>
      </c>
    </row>
    <row r="92" ht="15" customFormat="1" customHeight="1" s="17">
      <c r="A92" s="10250" t="inlineStr">
        <is>
          <t>PROCEDIMIENTO</t>
        </is>
      </c>
      <c r="B92" s="10407" t="inlineStr">
        <is>
          <t>TOTAL</t>
        </is>
      </c>
      <c r="C92" s="9602" t="n"/>
      <c r="D92" s="9630" t="n"/>
      <c r="E92" s="10408" t="inlineStr">
        <is>
          <t>RANGO ETARIO Y SEXO</t>
        </is>
      </c>
      <c r="F92" s="9584" t="n"/>
      <c r="G92" s="9584" t="n"/>
      <c r="H92" s="9584" t="n"/>
      <c r="I92" s="9584" t="n"/>
      <c r="J92" s="9584" t="n"/>
      <c r="K92" s="9584" t="n"/>
      <c r="L92" s="9584" t="n"/>
      <c r="M92" s="9584" t="n"/>
      <c r="N92" s="9584" t="n"/>
      <c r="O92" s="9584" t="n"/>
      <c r="P92" s="9584" t="n"/>
      <c r="Q92" s="9584" t="n"/>
      <c r="R92" s="9584" t="n"/>
      <c r="S92" s="9584" t="n"/>
      <c r="T92" s="9584" t="n"/>
      <c r="U92" s="9584" t="n"/>
      <c r="V92" s="9584" t="n"/>
      <c r="W92" s="9584" t="n"/>
      <c r="X92" s="9584" t="n"/>
      <c r="Y92" s="9584" t="n"/>
      <c r="Z92" s="9584" t="n"/>
      <c r="AA92" s="9584" t="n"/>
      <c r="AB92" s="9584" t="n"/>
      <c r="AC92" s="9584" t="n"/>
      <c r="AD92" s="9584" t="n"/>
      <c r="AE92" s="9584" t="n"/>
      <c r="AF92" s="9584" t="n"/>
      <c r="AG92" s="9584" t="n"/>
      <c r="AH92" s="9584" t="n"/>
      <c r="AI92" s="9584" t="n"/>
      <c r="AJ92" s="9584" t="n"/>
      <c r="AK92" s="9584" t="n"/>
      <c r="AL92" s="9584" t="n"/>
      <c r="AM92" s="9584" t="n"/>
      <c r="AN92" s="9582" t="n"/>
    </row>
    <row r="93" ht="15" customFormat="1" customHeight="1" s="17">
      <c r="A93" s="9625" t="n"/>
      <c r="B93" s="9638" t="n"/>
      <c r="C93" s="9697" t="n"/>
      <c r="D93" s="9639" t="n"/>
      <c r="E93" s="7674" t="inlineStr">
        <is>
          <t>Menor de 1 año</t>
        </is>
      </c>
      <c r="F93" s="9603" t="n"/>
      <c r="G93" s="9977" t="inlineStr">
        <is>
          <t>1 - 4 
años</t>
        </is>
      </c>
      <c r="H93" s="9582" t="n"/>
      <c r="I93" s="9977" t="inlineStr">
        <is>
          <t>5 - 9 
años</t>
        </is>
      </c>
      <c r="J93" s="9582" t="n"/>
      <c r="K93" s="9446" t="inlineStr">
        <is>
          <t>10 - 14 años</t>
        </is>
      </c>
      <c r="L93" s="9617" t="n"/>
      <c r="M93" s="9977" t="inlineStr">
        <is>
          <t>15 - 19 años</t>
        </is>
      </c>
      <c r="N93" s="9582" t="n"/>
      <c r="O93" s="9446" t="inlineStr">
        <is>
          <t>20 - 24 años</t>
        </is>
      </c>
      <c r="P93" s="9617" t="n"/>
      <c r="Q93" s="10046" t="inlineStr">
        <is>
          <t>25 - 29 años</t>
        </is>
      </c>
      <c r="R93" s="9603" t="n"/>
      <c r="S93" s="10046" t="inlineStr">
        <is>
          <t>30 - 34 años</t>
        </is>
      </c>
      <c r="T93" s="9603" t="n"/>
      <c r="U93" s="10405" t="inlineStr">
        <is>
          <t>35 - 39 años</t>
        </is>
      </c>
      <c r="V93" s="9603" t="n"/>
      <c r="W93" s="9446" t="inlineStr">
        <is>
          <t>40 - 44 años</t>
        </is>
      </c>
      <c r="X93" s="9617" t="n"/>
      <c r="Y93" s="9977" t="inlineStr">
        <is>
          <t>45 - 49 años</t>
        </is>
      </c>
      <c r="Z93" s="9582" t="n"/>
      <c r="AA93" s="9446" t="inlineStr">
        <is>
          <t>50 - 54 años</t>
        </is>
      </c>
      <c r="AB93" s="9617" t="n"/>
      <c r="AC93" s="9977" t="inlineStr">
        <is>
          <t>55 - 59 años</t>
        </is>
      </c>
      <c r="AD93" s="9582" t="n"/>
      <c r="AE93" s="9446" t="inlineStr">
        <is>
          <t>60 - 64 años</t>
        </is>
      </c>
      <c r="AF93" s="9617" t="n"/>
      <c r="AG93" s="9977" t="inlineStr">
        <is>
          <t>65 - 69 años</t>
        </is>
      </c>
      <c r="AH93" s="9582" t="n"/>
      <c r="AI93" s="9446" t="inlineStr">
        <is>
          <t>70 - 74 años</t>
        </is>
      </c>
      <c r="AJ93" s="9617" t="n"/>
      <c r="AK93" s="9977" t="inlineStr">
        <is>
          <t>75 - 79 años</t>
        </is>
      </c>
      <c r="AL93" s="9582" t="n"/>
      <c r="AM93" s="9977" t="inlineStr">
        <is>
          <t>80 y más años</t>
        </is>
      </c>
      <c r="AN93" s="9582" t="n"/>
    </row>
    <row r="94" ht="15" customFormat="1" customHeight="1" s="17">
      <c r="A94" s="9641" t="n"/>
      <c r="B94" s="3642" t="inlineStr">
        <is>
          <t>Ambos Sexos</t>
        </is>
      </c>
      <c r="C94" s="3643" t="inlineStr">
        <is>
          <t>Hombres</t>
        </is>
      </c>
      <c r="D94" s="8658" t="inlineStr">
        <is>
          <t>Mujeres</t>
        </is>
      </c>
      <c r="E94" s="3642" t="inlineStr">
        <is>
          <t>Hombres</t>
        </is>
      </c>
      <c r="F94" s="8658" t="inlineStr">
        <is>
          <t>Mujeres</t>
        </is>
      </c>
      <c r="G94" s="3642" t="inlineStr">
        <is>
          <t>Hombres</t>
        </is>
      </c>
      <c r="H94" s="8658" t="inlineStr">
        <is>
          <t>Mujeres</t>
        </is>
      </c>
      <c r="I94" s="3642" t="inlineStr">
        <is>
          <t>Hombres</t>
        </is>
      </c>
      <c r="J94" s="8658" t="inlineStr">
        <is>
          <t>Mujeres</t>
        </is>
      </c>
      <c r="K94" s="3643" t="inlineStr">
        <is>
          <t>Hombres</t>
        </is>
      </c>
      <c r="L94" s="8716" t="inlineStr">
        <is>
          <t>Mujeres</t>
        </is>
      </c>
      <c r="M94" s="3642" t="inlineStr">
        <is>
          <t>Hombres</t>
        </is>
      </c>
      <c r="N94" s="8658" t="inlineStr">
        <is>
          <t>Mujeres</t>
        </is>
      </c>
      <c r="O94" s="3643" t="inlineStr">
        <is>
          <t>Hombres</t>
        </is>
      </c>
      <c r="P94" s="8716" t="inlineStr">
        <is>
          <t>Mujeres</t>
        </is>
      </c>
      <c r="Q94" s="3642" t="inlineStr">
        <is>
          <t>Hombres</t>
        </is>
      </c>
      <c r="R94" s="8658" t="inlineStr">
        <is>
          <t>Mujeres</t>
        </is>
      </c>
      <c r="S94" s="3642" t="inlineStr">
        <is>
          <t>Hombres</t>
        </is>
      </c>
      <c r="T94" s="8658" t="inlineStr">
        <is>
          <t>Mujeres</t>
        </is>
      </c>
      <c r="U94" s="3643" t="inlineStr">
        <is>
          <t>Hombres</t>
        </is>
      </c>
      <c r="V94" s="8658" t="inlineStr">
        <is>
          <t>Mujeres</t>
        </is>
      </c>
      <c r="W94" s="3643" t="inlineStr">
        <is>
          <t>Hombres</t>
        </is>
      </c>
      <c r="X94" s="8716" t="inlineStr">
        <is>
          <t>Mujeres</t>
        </is>
      </c>
      <c r="Y94" s="3642" t="inlineStr">
        <is>
          <t>Hombres</t>
        </is>
      </c>
      <c r="Z94" s="8658" t="inlineStr">
        <is>
          <t>Mujeres</t>
        </is>
      </c>
      <c r="AA94" s="3643" t="inlineStr">
        <is>
          <t>Hombres</t>
        </is>
      </c>
      <c r="AB94" s="8716" t="inlineStr">
        <is>
          <t>Mujeres</t>
        </is>
      </c>
      <c r="AC94" s="3642" t="inlineStr">
        <is>
          <t>Hombres</t>
        </is>
      </c>
      <c r="AD94" s="8658" t="inlineStr">
        <is>
          <t>Mujeres</t>
        </is>
      </c>
      <c r="AE94" s="3643" t="inlineStr">
        <is>
          <t>Hombres</t>
        </is>
      </c>
      <c r="AF94" s="8716" t="inlineStr">
        <is>
          <t>Mujeres</t>
        </is>
      </c>
      <c r="AG94" s="3642" t="inlineStr">
        <is>
          <t>Hombres</t>
        </is>
      </c>
      <c r="AH94" s="8658" t="inlineStr">
        <is>
          <t>Mujeres</t>
        </is>
      </c>
      <c r="AI94" s="3643" t="inlineStr">
        <is>
          <t>Hombres</t>
        </is>
      </c>
      <c r="AJ94" s="8716" t="inlineStr">
        <is>
          <t>Mujeres</t>
        </is>
      </c>
      <c r="AK94" s="3642" t="inlineStr">
        <is>
          <t>Hombres</t>
        </is>
      </c>
      <c r="AL94" s="8658" t="inlineStr">
        <is>
          <t>Mujeres</t>
        </is>
      </c>
      <c r="AM94" s="3642" t="inlineStr">
        <is>
          <t>Hombres</t>
        </is>
      </c>
      <c r="AN94" s="8658" t="inlineStr">
        <is>
          <t>Mujeres</t>
        </is>
      </c>
    </row>
    <row r="95" ht="15" customFormat="1" customHeight="1" s="17">
      <c r="A95" s="3810" t="inlineStr">
        <is>
          <t xml:space="preserve">Espirometría basal </t>
        </is>
      </c>
      <c r="B95" s="3780">
        <f>SUM(C95+D95)</f>
        <v/>
      </c>
      <c r="C95" s="3781">
        <f>SUM(I95+K95+M95+O95+Q95+S95+U95+W95+Y95+AA95+AC95+AE95+AG95+AI95+AK95+AM95)</f>
        <v/>
      </c>
      <c r="D95" s="3782">
        <f>SUM(J95+L95+N95+P95+R95+T95+V95+X95+Z95+AB95+AD95+AF95+AH95+AJ95+AL95+AN95)</f>
        <v/>
      </c>
      <c r="E95" s="3713" t="n"/>
      <c r="F95" s="3823" t="n"/>
      <c r="G95" s="3713" t="n"/>
      <c r="H95" s="3823" t="n"/>
      <c r="I95" s="3704" t="n">
        <v>0</v>
      </c>
      <c r="J95" s="2455" t="n">
        <v>1</v>
      </c>
      <c r="K95" s="3824" t="n">
        <v>1</v>
      </c>
      <c r="L95" s="3309" t="n">
        <v>0</v>
      </c>
      <c r="M95" s="3704" t="n">
        <v>0</v>
      </c>
      <c r="N95" s="2455" t="n">
        <v>0</v>
      </c>
      <c r="O95" s="3824" t="n">
        <v>0</v>
      </c>
      <c r="P95" s="3309" t="n">
        <v>0</v>
      </c>
      <c r="Q95" s="3704" t="n">
        <v>0</v>
      </c>
      <c r="R95" s="2455" t="n">
        <v>1</v>
      </c>
      <c r="S95" s="3704" t="n">
        <v>1</v>
      </c>
      <c r="T95" s="2455" t="n">
        <v>0</v>
      </c>
      <c r="U95" s="3704" t="n">
        <v>0</v>
      </c>
      <c r="V95" s="2455" t="n">
        <v>0</v>
      </c>
      <c r="W95" s="3824" t="n">
        <v>0</v>
      </c>
      <c r="X95" s="3309" t="n">
        <v>1</v>
      </c>
      <c r="Y95" s="3704" t="n">
        <v>0</v>
      </c>
      <c r="Z95" s="2455" t="n">
        <v>0</v>
      </c>
      <c r="AA95" s="3824" t="n">
        <v>2</v>
      </c>
      <c r="AB95" s="3309" t="n">
        <v>1</v>
      </c>
      <c r="AC95" s="3704" t="n">
        <v>3</v>
      </c>
      <c r="AD95" s="2455" t="n">
        <v>2</v>
      </c>
      <c r="AE95" s="3824" t="n">
        <v>1</v>
      </c>
      <c r="AF95" s="3309" t="n">
        <v>0</v>
      </c>
      <c r="AG95" s="3704" t="n">
        <v>1</v>
      </c>
      <c r="AH95" s="2455" t="n">
        <v>3</v>
      </c>
      <c r="AI95" s="3824" t="n">
        <v>1</v>
      </c>
      <c r="AJ95" s="3309" t="n">
        <v>1</v>
      </c>
      <c r="AK95" s="3704" t="n">
        <v>1</v>
      </c>
      <c r="AL95" s="2455" t="n">
        <v>2</v>
      </c>
      <c r="AM95" s="3825" t="n">
        <v>1</v>
      </c>
      <c r="AN95" s="2455" t="n">
        <v>0</v>
      </c>
    </row>
    <row r="96" ht="15" customFormat="1" customHeight="1" s="17">
      <c r="A96" s="3651" t="inlineStr">
        <is>
          <t>Espirometría post BD</t>
        </is>
      </c>
      <c r="B96" s="1926">
        <f>SUM(C96+D96)</f>
        <v/>
      </c>
      <c r="C96" s="1970">
        <f>SUM(I96+K96+M96+O96+Q96+S96+U96+W96+Y96+AA96+AC96+AE96+AG96+AI96+AK96+AM96)</f>
        <v/>
      </c>
      <c r="D96" s="3760">
        <f>SUM(J96+L96+N96+P96+R96+T96+V96+X96+Z96+AB96+AD96+AF96+AH96+AJ96+AL96+AN96)</f>
        <v/>
      </c>
      <c r="E96" s="3096" t="n"/>
      <c r="F96" s="3826" t="n"/>
      <c r="G96" s="3096" t="n"/>
      <c r="H96" s="3826" t="n"/>
      <c r="I96" s="1971" t="n">
        <v>0</v>
      </c>
      <c r="J96" s="750" t="n">
        <v>1</v>
      </c>
      <c r="K96" s="1452" t="n">
        <v>1</v>
      </c>
      <c r="L96" s="2660" t="n">
        <v>0</v>
      </c>
      <c r="M96" s="1971" t="n">
        <v>0</v>
      </c>
      <c r="N96" s="750" t="n">
        <v>0</v>
      </c>
      <c r="O96" s="1452" t="n">
        <v>0</v>
      </c>
      <c r="P96" s="2660" t="n">
        <v>0</v>
      </c>
      <c r="Q96" s="1971" t="n">
        <v>0</v>
      </c>
      <c r="R96" s="750" t="n">
        <v>1</v>
      </c>
      <c r="S96" s="1971" t="n">
        <v>1</v>
      </c>
      <c r="T96" s="750" t="n">
        <v>0</v>
      </c>
      <c r="U96" s="1971" t="n">
        <v>0</v>
      </c>
      <c r="V96" s="750" t="n">
        <v>0</v>
      </c>
      <c r="W96" s="1452" t="n">
        <v>0</v>
      </c>
      <c r="X96" s="2660" t="n">
        <v>1</v>
      </c>
      <c r="Y96" s="1971" t="n">
        <v>0</v>
      </c>
      <c r="Z96" s="750" t="n">
        <v>0</v>
      </c>
      <c r="AA96" s="1452" t="n">
        <v>2</v>
      </c>
      <c r="AB96" s="2660" t="n">
        <v>1</v>
      </c>
      <c r="AC96" s="1971" t="n">
        <v>3</v>
      </c>
      <c r="AD96" s="750" t="n">
        <v>2</v>
      </c>
      <c r="AE96" s="1452" t="n">
        <v>1</v>
      </c>
      <c r="AF96" s="2660" t="n">
        <v>0</v>
      </c>
      <c r="AG96" s="1971" t="n">
        <v>1</v>
      </c>
      <c r="AH96" s="750" t="n">
        <v>3</v>
      </c>
      <c r="AI96" s="1452" t="n">
        <v>0</v>
      </c>
      <c r="AJ96" s="2660" t="n">
        <v>1</v>
      </c>
      <c r="AK96" s="1971" t="n">
        <v>1</v>
      </c>
      <c r="AL96" s="750" t="n">
        <v>2</v>
      </c>
      <c r="AM96" s="22" t="n">
        <v>1</v>
      </c>
      <c r="AN96" s="750" t="n">
        <v>0</v>
      </c>
    </row>
    <row r="97" ht="15" customFormat="1" customHeight="1" s="17">
      <c r="A97" s="3651" t="inlineStr">
        <is>
          <t xml:space="preserve">Flujometría basal </t>
        </is>
      </c>
      <c r="B97" s="3762">
        <f>SUM(C97+D97)</f>
        <v/>
      </c>
      <c r="C97" s="3763">
        <f>SUM(I97+K97+M97+O97+Q97+S97+U97+W97+Y97+AA97+AC97+AE97+AG97+AI97+AK97+AM97)</f>
        <v/>
      </c>
      <c r="D97" s="3786">
        <f>SUM(J97+L97+N97+P97+R97+T97+V97+X97+Z97+AB97+AD97+AF97+AH97+AJ97+AL97+AN97)</f>
        <v/>
      </c>
      <c r="E97" s="3096" t="n"/>
      <c r="F97" s="3826" t="n"/>
      <c r="G97" s="3096" t="n"/>
      <c r="H97" s="3826" t="n"/>
      <c r="I97" s="1971" t="n">
        <v>0</v>
      </c>
      <c r="J97" s="750" t="n">
        <v>0</v>
      </c>
      <c r="K97" s="1452" t="n">
        <v>0</v>
      </c>
      <c r="L97" s="2660" t="n">
        <v>0</v>
      </c>
      <c r="M97" s="1971" t="n">
        <v>0</v>
      </c>
      <c r="N97" s="750" t="n">
        <v>0</v>
      </c>
      <c r="O97" s="1452" t="n">
        <v>0</v>
      </c>
      <c r="P97" s="2660" t="n">
        <v>0</v>
      </c>
      <c r="Q97" s="1971" t="n">
        <v>0</v>
      </c>
      <c r="R97" s="750" t="n">
        <v>0</v>
      </c>
      <c r="S97" s="1971" t="n">
        <v>0</v>
      </c>
      <c r="T97" s="750" t="n">
        <v>0</v>
      </c>
      <c r="U97" s="1971" t="n">
        <v>0</v>
      </c>
      <c r="V97" s="750" t="n">
        <v>0</v>
      </c>
      <c r="W97" s="1452" t="n">
        <v>0</v>
      </c>
      <c r="X97" s="2660" t="n">
        <v>0</v>
      </c>
      <c r="Y97" s="1971" t="n">
        <v>0</v>
      </c>
      <c r="Z97" s="750" t="n">
        <v>0</v>
      </c>
      <c r="AA97" s="1452" t="n">
        <v>0</v>
      </c>
      <c r="AB97" s="2660" t="n">
        <v>0</v>
      </c>
      <c r="AC97" s="1971" t="n">
        <v>0</v>
      </c>
      <c r="AD97" s="750" t="n">
        <v>0</v>
      </c>
      <c r="AE97" s="1452" t="n">
        <v>0</v>
      </c>
      <c r="AF97" s="2660" t="n">
        <v>0</v>
      </c>
      <c r="AG97" s="1971" t="n">
        <v>0</v>
      </c>
      <c r="AH97" s="750" t="n">
        <v>0</v>
      </c>
      <c r="AI97" s="1452" t="n">
        <v>0</v>
      </c>
      <c r="AJ97" s="2660" t="n">
        <v>0</v>
      </c>
      <c r="AK97" s="1971" t="n">
        <v>0</v>
      </c>
      <c r="AL97" s="750" t="n">
        <v>0</v>
      </c>
      <c r="AM97" s="22" t="n">
        <v>0</v>
      </c>
      <c r="AN97" s="750" t="n">
        <v>0</v>
      </c>
    </row>
    <row r="98" ht="15" customFormat="1" customHeight="1" s="17">
      <c r="A98" s="3651" t="inlineStr">
        <is>
          <t>Flujometría post BD</t>
        </is>
      </c>
      <c r="B98" s="3762">
        <f>SUM(C98+D98)</f>
        <v/>
      </c>
      <c r="C98" s="3763">
        <f>SUM(I98+K98+M98+O98+Q98+S98+U98+W98+Y98+AA98+AC98+AE98+AG98+AI98+AK98+AM98)</f>
        <v/>
      </c>
      <c r="D98" s="3786">
        <f>SUM(J98+L98+N98+P98+R98+T98+V98+X98+Z98+AB98+AD98+AF98+AH98+AJ98+AL98+AN98)</f>
        <v/>
      </c>
      <c r="E98" s="3096" t="n"/>
      <c r="F98" s="3826" t="n"/>
      <c r="G98" s="3096" t="n"/>
      <c r="H98" s="3826" t="n"/>
      <c r="I98" s="1971" t="n">
        <v>0</v>
      </c>
      <c r="J98" s="750" t="n">
        <v>0</v>
      </c>
      <c r="K98" s="1452" t="n">
        <v>0</v>
      </c>
      <c r="L98" s="2660" t="n">
        <v>0</v>
      </c>
      <c r="M98" s="1971" t="n">
        <v>0</v>
      </c>
      <c r="N98" s="750" t="n">
        <v>0</v>
      </c>
      <c r="O98" s="1452" t="n">
        <v>0</v>
      </c>
      <c r="P98" s="2660" t="n">
        <v>0</v>
      </c>
      <c r="Q98" s="1971" t="n">
        <v>0</v>
      </c>
      <c r="R98" s="750" t="n">
        <v>0</v>
      </c>
      <c r="S98" s="1971" t="n">
        <v>0</v>
      </c>
      <c r="T98" s="750" t="n">
        <v>0</v>
      </c>
      <c r="U98" s="1971" t="n">
        <v>0</v>
      </c>
      <c r="V98" s="750" t="n">
        <v>0</v>
      </c>
      <c r="W98" s="1452" t="n">
        <v>0</v>
      </c>
      <c r="X98" s="2660" t="n">
        <v>0</v>
      </c>
      <c r="Y98" s="1971" t="n">
        <v>0</v>
      </c>
      <c r="Z98" s="750" t="n">
        <v>0</v>
      </c>
      <c r="AA98" s="1452" t="n">
        <v>0</v>
      </c>
      <c r="AB98" s="2660" t="n">
        <v>0</v>
      </c>
      <c r="AC98" s="1971" t="n">
        <v>0</v>
      </c>
      <c r="AD98" s="750" t="n">
        <v>0</v>
      </c>
      <c r="AE98" s="1452" t="n">
        <v>0</v>
      </c>
      <c r="AF98" s="2660" t="n">
        <v>0</v>
      </c>
      <c r="AG98" s="1971" t="n">
        <v>0</v>
      </c>
      <c r="AH98" s="750" t="n">
        <v>0</v>
      </c>
      <c r="AI98" s="1452" t="n">
        <v>0</v>
      </c>
      <c r="AJ98" s="2660" t="n">
        <v>0</v>
      </c>
      <c r="AK98" s="1971" t="n">
        <v>0</v>
      </c>
      <c r="AL98" s="750" t="n">
        <v>0</v>
      </c>
      <c r="AM98" s="22" t="n">
        <v>0</v>
      </c>
      <c r="AN98" s="750" t="n">
        <v>0</v>
      </c>
    </row>
    <row r="99" ht="15" customFormat="1" customHeight="1" s="17">
      <c r="A99" s="3651" t="inlineStr">
        <is>
          <t>Pimometría</t>
        </is>
      </c>
      <c r="B99" s="3762">
        <f>SUM(C99+D99)</f>
        <v/>
      </c>
      <c r="C99" s="3763">
        <f>SUM(I99+K99+M99+O99+Q99+S99+U99+W99+Y99+AA99+AC99+AE99+AG99+AI99+AK99+AM99)</f>
        <v/>
      </c>
      <c r="D99" s="3786">
        <f>SUM(J99+L99+N99+P99+R99+T99+V99+X99+Z99+AB99+AD99+AF99+AH99+AJ99+AL99+AN99)</f>
        <v/>
      </c>
      <c r="E99" s="3668" t="n"/>
      <c r="F99" s="3674" t="n"/>
      <c r="G99" s="3668" t="n"/>
      <c r="H99" s="3674" t="n"/>
      <c r="I99" s="3655" t="n">
        <v>0</v>
      </c>
      <c r="J99" s="3657" t="n">
        <v>0</v>
      </c>
      <c r="K99" s="3658" t="n">
        <v>0</v>
      </c>
      <c r="L99" s="3659" t="n">
        <v>0</v>
      </c>
      <c r="M99" s="3655" t="n">
        <v>0</v>
      </c>
      <c r="N99" s="3657" t="n">
        <v>0</v>
      </c>
      <c r="O99" s="3658" t="n">
        <v>0</v>
      </c>
      <c r="P99" s="3659" t="n">
        <v>0</v>
      </c>
      <c r="Q99" s="3655" t="n">
        <v>0</v>
      </c>
      <c r="R99" s="3657" t="n">
        <v>0</v>
      </c>
      <c r="S99" s="3655" t="n">
        <v>0</v>
      </c>
      <c r="T99" s="3657" t="n">
        <v>0</v>
      </c>
      <c r="U99" s="3655" t="n">
        <v>0</v>
      </c>
      <c r="V99" s="3657" t="n">
        <v>0</v>
      </c>
      <c r="W99" s="3658" t="n">
        <v>0</v>
      </c>
      <c r="X99" s="3659" t="n">
        <v>0</v>
      </c>
      <c r="Y99" s="3655" t="n">
        <v>0</v>
      </c>
      <c r="Z99" s="3657" t="n">
        <v>0</v>
      </c>
      <c r="AA99" s="3658" t="n">
        <v>0</v>
      </c>
      <c r="AB99" s="3659" t="n">
        <v>0</v>
      </c>
      <c r="AC99" s="3655" t="n">
        <v>0</v>
      </c>
      <c r="AD99" s="3657" t="n">
        <v>0</v>
      </c>
      <c r="AE99" s="3658" t="n">
        <v>0</v>
      </c>
      <c r="AF99" s="3659" t="n">
        <v>0</v>
      </c>
      <c r="AG99" s="3655" t="n">
        <v>0</v>
      </c>
      <c r="AH99" s="3657" t="n">
        <v>0</v>
      </c>
      <c r="AI99" s="3658" t="n">
        <v>0</v>
      </c>
      <c r="AJ99" s="3659" t="n">
        <v>0</v>
      </c>
      <c r="AK99" s="3655" t="n">
        <v>0</v>
      </c>
      <c r="AL99" s="3657" t="n">
        <v>0</v>
      </c>
      <c r="AM99" s="3660" t="n">
        <v>0</v>
      </c>
      <c r="AN99" s="3657" t="n">
        <v>0</v>
      </c>
    </row>
    <row r="100" ht="15" customFormat="1" customHeight="1" s="17">
      <c r="A100" s="3651" t="inlineStr">
        <is>
          <t>Test de provocación con ejercicio</t>
        </is>
      </c>
      <c r="B100" s="3762">
        <f>SUM(C100+D100)</f>
        <v/>
      </c>
      <c r="C100" s="3763">
        <f>SUM(I100+K100+M100+O100+Q100+S100+U100+W100+Y100+AA100+AC100+AE100+AG100+AI100+AK100+AM100)</f>
        <v/>
      </c>
      <c r="D100" s="3786">
        <f>SUM(J100+L100+N100+P100+R100+T100+V100+X100+Z100+AB100+AD100+AF100+AH100+AJ100+AL100+AN100)</f>
        <v/>
      </c>
      <c r="E100" s="3668" t="n"/>
      <c r="F100" s="3674" t="n"/>
      <c r="G100" s="3668" t="n"/>
      <c r="H100" s="3674" t="n"/>
      <c r="I100" s="3655" t="n">
        <v>0</v>
      </c>
      <c r="J100" s="3657" t="n">
        <v>0</v>
      </c>
      <c r="K100" s="3658" t="n">
        <v>0</v>
      </c>
      <c r="L100" s="3659" t="n">
        <v>0</v>
      </c>
      <c r="M100" s="3655" t="n">
        <v>0</v>
      </c>
      <c r="N100" s="3657" t="n">
        <v>0</v>
      </c>
      <c r="O100" s="3658" t="n">
        <v>0</v>
      </c>
      <c r="P100" s="3659" t="n">
        <v>0</v>
      </c>
      <c r="Q100" s="3655" t="n">
        <v>0</v>
      </c>
      <c r="R100" s="3657" t="n">
        <v>0</v>
      </c>
      <c r="S100" s="3655" t="n">
        <v>0</v>
      </c>
      <c r="T100" s="3657" t="n">
        <v>0</v>
      </c>
      <c r="U100" s="3655" t="n">
        <v>0</v>
      </c>
      <c r="V100" s="3657" t="n">
        <v>0</v>
      </c>
      <c r="W100" s="3658" t="n">
        <v>0</v>
      </c>
      <c r="X100" s="3659" t="n">
        <v>0</v>
      </c>
      <c r="Y100" s="3655" t="n">
        <v>0</v>
      </c>
      <c r="Z100" s="3657" t="n">
        <v>0</v>
      </c>
      <c r="AA100" s="3658" t="n">
        <v>0</v>
      </c>
      <c r="AB100" s="3659" t="n">
        <v>0</v>
      </c>
      <c r="AC100" s="3655" t="n">
        <v>0</v>
      </c>
      <c r="AD100" s="3657" t="n">
        <v>0</v>
      </c>
      <c r="AE100" s="3658" t="n">
        <v>0</v>
      </c>
      <c r="AF100" s="3659" t="n">
        <v>0</v>
      </c>
      <c r="AG100" s="3655" t="n">
        <v>0</v>
      </c>
      <c r="AH100" s="3657" t="n">
        <v>0</v>
      </c>
      <c r="AI100" s="3658" t="n">
        <v>0</v>
      </c>
      <c r="AJ100" s="3659" t="n">
        <v>0</v>
      </c>
      <c r="AK100" s="3655" t="n">
        <v>0</v>
      </c>
      <c r="AL100" s="3657" t="n">
        <v>0</v>
      </c>
      <c r="AM100" s="3660" t="n">
        <v>0</v>
      </c>
      <c r="AN100" s="3657" t="n">
        <v>0</v>
      </c>
    </row>
    <row r="101" ht="15" customFormat="1" customHeight="1" s="17">
      <c r="A101" s="3651" t="inlineStr">
        <is>
          <t>Test de marcha 6 minutos</t>
        </is>
      </c>
      <c r="B101" s="3762">
        <f>SUM(C101+D101)</f>
        <v/>
      </c>
      <c r="C101" s="3763">
        <f>SUM(I101+K101+M101+O101+Q101+S101+U101+W101+Y101+AA101+AC101+AE101+AG101+AI101+AK101+AM101)</f>
        <v/>
      </c>
      <c r="D101" s="3786">
        <f>SUM(J101+L101+N101+P101+R101+T101+V101+X101+Z101+AB101+AD101+AF101+AH101+AJ101+AL101+AN101)</f>
        <v/>
      </c>
      <c r="E101" s="3668" t="n"/>
      <c r="F101" s="3674" t="n"/>
      <c r="G101" s="3668" t="n"/>
      <c r="H101" s="3674" t="n"/>
      <c r="I101" s="3655" t="n">
        <v>0</v>
      </c>
      <c r="J101" s="3657" t="n">
        <v>0</v>
      </c>
      <c r="K101" s="3658" t="n">
        <v>0</v>
      </c>
      <c r="L101" s="3659" t="n">
        <v>0</v>
      </c>
      <c r="M101" s="3655" t="n">
        <v>0</v>
      </c>
      <c r="N101" s="3657" t="n">
        <v>0</v>
      </c>
      <c r="O101" s="3658" t="n">
        <v>0</v>
      </c>
      <c r="P101" s="3659" t="n">
        <v>0</v>
      </c>
      <c r="Q101" s="3655" t="n">
        <v>0</v>
      </c>
      <c r="R101" s="3657" t="n">
        <v>0</v>
      </c>
      <c r="S101" s="3655" t="n">
        <v>0</v>
      </c>
      <c r="T101" s="3657" t="n">
        <v>0</v>
      </c>
      <c r="U101" s="3655" t="n">
        <v>0</v>
      </c>
      <c r="V101" s="3657" t="n">
        <v>0</v>
      </c>
      <c r="W101" s="3658" t="n">
        <v>0</v>
      </c>
      <c r="X101" s="3659" t="n">
        <v>0</v>
      </c>
      <c r="Y101" s="3655" t="n">
        <v>0</v>
      </c>
      <c r="Z101" s="3657" t="n">
        <v>0</v>
      </c>
      <c r="AA101" s="3658" t="n">
        <v>0</v>
      </c>
      <c r="AB101" s="3659" t="n">
        <v>0</v>
      </c>
      <c r="AC101" s="3655" t="n">
        <v>0</v>
      </c>
      <c r="AD101" s="3657" t="n">
        <v>0</v>
      </c>
      <c r="AE101" s="3658" t="n">
        <v>0</v>
      </c>
      <c r="AF101" s="3659" t="n">
        <v>0</v>
      </c>
      <c r="AG101" s="3655" t="n">
        <v>0</v>
      </c>
      <c r="AH101" s="3657" t="n">
        <v>0</v>
      </c>
      <c r="AI101" s="3658" t="n">
        <v>0</v>
      </c>
      <c r="AJ101" s="3659" t="n">
        <v>0</v>
      </c>
      <c r="AK101" s="3655" t="n">
        <v>0</v>
      </c>
      <c r="AL101" s="3657" t="n">
        <v>0</v>
      </c>
      <c r="AM101" s="3660" t="n">
        <v>0</v>
      </c>
      <c r="AN101" s="3657" t="n">
        <v>0</v>
      </c>
    </row>
    <row r="102" ht="15" customFormat="1" customHeight="1" s="17">
      <c r="A102" s="3827" t="inlineStr">
        <is>
          <t>Sesiones de kinesioterapia respiratoria</t>
        </is>
      </c>
      <c r="B102" s="3762">
        <f>SUM(C102+D102)</f>
        <v/>
      </c>
      <c r="C102" s="3828">
        <f>SUM(E102+G102+I102+K102+M102+O102+Q102+S102+U102+W102+Y102+AA102+AC102+AE102+AG102+AI102+AK102+AM102)</f>
        <v/>
      </c>
      <c r="D102" s="3786">
        <f>SUM(F102+H102+J102+L102+N102+P102+R102+T102+V102+X102+Z102+AB102+AD102+AF102+AH102+AJ102+AL102+AN102)</f>
        <v/>
      </c>
      <c r="E102" s="1198" t="n">
        <v>0</v>
      </c>
      <c r="F102" s="1199" t="n">
        <v>0</v>
      </c>
      <c r="G102" s="1198" t="n">
        <v>0</v>
      </c>
      <c r="H102" s="1199" t="n">
        <v>3</v>
      </c>
      <c r="I102" s="1198" t="n">
        <v>0</v>
      </c>
      <c r="J102" s="1199" t="n">
        <v>2</v>
      </c>
      <c r="K102" s="1200" t="n">
        <v>0</v>
      </c>
      <c r="L102" s="1201" t="n">
        <v>0</v>
      </c>
      <c r="M102" s="1198" t="n">
        <v>0</v>
      </c>
      <c r="N102" s="1199" t="n">
        <v>1</v>
      </c>
      <c r="O102" s="1200" t="n">
        <v>0</v>
      </c>
      <c r="P102" s="1201" t="n">
        <v>0</v>
      </c>
      <c r="Q102" s="1198" t="n">
        <v>0</v>
      </c>
      <c r="R102" s="1199" t="n">
        <v>0</v>
      </c>
      <c r="S102" s="1198" t="n">
        <v>0</v>
      </c>
      <c r="T102" s="1199" t="n">
        <v>0</v>
      </c>
      <c r="U102" s="1198" t="n">
        <v>0</v>
      </c>
      <c r="V102" s="1199" t="n">
        <v>0</v>
      </c>
      <c r="W102" s="1200" t="n">
        <v>0</v>
      </c>
      <c r="X102" s="1201" t="n">
        <v>0</v>
      </c>
      <c r="Y102" s="1198" t="n">
        <v>0</v>
      </c>
      <c r="Z102" s="1199" t="n">
        <v>0</v>
      </c>
      <c r="AA102" s="1200" t="n">
        <v>0</v>
      </c>
      <c r="AB102" s="1201" t="n">
        <v>0</v>
      </c>
      <c r="AC102" s="1198" t="n">
        <v>0</v>
      </c>
      <c r="AD102" s="1199" t="n">
        <v>0</v>
      </c>
      <c r="AE102" s="1200" t="n">
        <v>0</v>
      </c>
      <c r="AF102" s="1201" t="n">
        <v>0</v>
      </c>
      <c r="AG102" s="1198" t="n">
        <v>0</v>
      </c>
      <c r="AH102" s="1199" t="n">
        <v>1</v>
      </c>
      <c r="AI102" s="1200" t="n">
        <v>0</v>
      </c>
      <c r="AJ102" s="1201" t="n">
        <v>0</v>
      </c>
      <c r="AK102" s="1198" t="n">
        <v>0</v>
      </c>
      <c r="AL102" s="1199" t="n">
        <v>1</v>
      </c>
      <c r="AM102" s="23" t="n">
        <v>1</v>
      </c>
      <c r="AN102" s="1199" t="n">
        <v>2</v>
      </c>
    </row>
    <row r="103" ht="15" customFormat="1" customHeight="1" s="17">
      <c r="A103" s="3829" t="inlineStr">
        <is>
          <t>Toma de muestra secreción mucosa/bronquial</t>
        </is>
      </c>
      <c r="B103" s="3830">
        <f>SUM(C103+D103)</f>
        <v/>
      </c>
      <c r="C103" s="3831">
        <f>SUM(E103+G103+I103+K103+M103+O103+Q103+S103+U103+W103+Y103+AA103+AC103+AE103+AG103+AI103+AK103+AM103)</f>
        <v/>
      </c>
      <c r="D103" s="1178">
        <f>SUM(F103+H103+J103+L103+N103+P103+R103+T103+V103+X103+Z103+AB103+AD103+AF103+AH103+AJ103+AL103+AN103)</f>
        <v/>
      </c>
      <c r="E103" s="3678" t="n">
        <v>0</v>
      </c>
      <c r="F103" s="3679" t="n">
        <v>0</v>
      </c>
      <c r="G103" s="3678" t="n">
        <v>0</v>
      </c>
      <c r="H103" s="3679" t="n">
        <v>0</v>
      </c>
      <c r="I103" s="3678" t="n">
        <v>0</v>
      </c>
      <c r="J103" s="3679" t="n">
        <v>0</v>
      </c>
      <c r="K103" s="3680" t="n">
        <v>0</v>
      </c>
      <c r="L103" s="3681" t="n">
        <v>0</v>
      </c>
      <c r="M103" s="3678" t="n">
        <v>0</v>
      </c>
      <c r="N103" s="3679" t="n">
        <v>0</v>
      </c>
      <c r="O103" s="3680" t="n">
        <v>0</v>
      </c>
      <c r="P103" s="3681" t="n">
        <v>0</v>
      </c>
      <c r="Q103" s="3678" t="n">
        <v>0</v>
      </c>
      <c r="R103" s="3679" t="n">
        <v>0</v>
      </c>
      <c r="S103" s="3678" t="n">
        <v>0</v>
      </c>
      <c r="T103" s="3679" t="n">
        <v>0</v>
      </c>
      <c r="U103" s="3678" t="n">
        <v>0</v>
      </c>
      <c r="V103" s="3679" t="n">
        <v>0</v>
      </c>
      <c r="W103" s="3680" t="n">
        <v>0</v>
      </c>
      <c r="X103" s="3681" t="n">
        <v>0</v>
      </c>
      <c r="Y103" s="3678" t="n">
        <v>0</v>
      </c>
      <c r="Z103" s="3679" t="n">
        <v>0</v>
      </c>
      <c r="AA103" s="3680" t="n">
        <v>0</v>
      </c>
      <c r="AB103" s="3681" t="n">
        <v>0</v>
      </c>
      <c r="AC103" s="3678" t="n">
        <v>0</v>
      </c>
      <c r="AD103" s="3679" t="n">
        <v>0</v>
      </c>
      <c r="AE103" s="3680" t="n">
        <v>0</v>
      </c>
      <c r="AF103" s="3681" t="n">
        <v>0</v>
      </c>
      <c r="AG103" s="3678" t="n">
        <v>0</v>
      </c>
      <c r="AH103" s="3679" t="n">
        <v>0</v>
      </c>
      <c r="AI103" s="3680" t="n">
        <v>0</v>
      </c>
      <c r="AJ103" s="3681" t="n">
        <v>0</v>
      </c>
      <c r="AK103" s="3678" t="n">
        <v>0</v>
      </c>
      <c r="AL103" s="3679" t="n">
        <v>0</v>
      </c>
      <c r="AM103" s="1142" t="n">
        <v>0</v>
      </c>
      <c r="AN103" s="3679" t="n">
        <v>0</v>
      </c>
    </row>
    <row r="104" ht="18" customFormat="1" customHeight="1" s="20">
      <c r="A104" s="9" t="inlineStr">
        <is>
          <t>SECCIÓN J: DERIVACIÓN DE PACIENTES SEGÚN DESTINO</t>
        </is>
      </c>
    </row>
    <row r="105" ht="15" customFormat="1" customHeight="1" s="17">
      <c r="A105" s="10250" t="inlineStr">
        <is>
          <t>DESTINO</t>
        </is>
      </c>
      <c r="B105" s="10407" t="inlineStr">
        <is>
          <t>TOTAL</t>
        </is>
      </c>
      <c r="C105" s="9602" t="n"/>
      <c r="D105" s="9630" t="n"/>
      <c r="E105" s="10408" t="inlineStr">
        <is>
          <t>RANGO ETARIO Y SEXO</t>
        </is>
      </c>
      <c r="F105" s="9584" t="n"/>
      <c r="G105" s="9584" t="n"/>
      <c r="H105" s="9584" t="n"/>
      <c r="I105" s="9584" t="n"/>
      <c r="J105" s="9584" t="n"/>
      <c r="K105" s="9584" t="n"/>
      <c r="L105" s="9584" t="n"/>
      <c r="M105" s="9584" t="n"/>
      <c r="N105" s="9584" t="n"/>
      <c r="O105" s="9584" t="n"/>
      <c r="P105" s="9584" t="n"/>
      <c r="Q105" s="9584" t="n"/>
      <c r="R105" s="9584" t="n"/>
      <c r="S105" s="9584" t="n"/>
      <c r="T105" s="9584" t="n"/>
      <c r="U105" s="9584" t="n"/>
      <c r="V105" s="9584" t="n"/>
      <c r="W105" s="9584" t="n"/>
      <c r="X105" s="9584" t="n"/>
      <c r="Y105" s="9584" t="n"/>
      <c r="Z105" s="9584" t="n"/>
      <c r="AA105" s="9584" t="n"/>
      <c r="AB105" s="9584" t="n"/>
      <c r="AC105" s="9584" t="n"/>
      <c r="AD105" s="9584" t="n"/>
      <c r="AE105" s="9584" t="n"/>
      <c r="AF105" s="9584" t="n"/>
      <c r="AG105" s="9584" t="n"/>
      <c r="AH105" s="9584" t="n"/>
      <c r="AI105" s="9584" t="n"/>
      <c r="AJ105" s="9584" t="n"/>
      <c r="AK105" s="9584" t="n"/>
      <c r="AL105" s="9584" t="n"/>
      <c r="AM105" s="9584" t="n"/>
      <c r="AN105" s="9582" t="n"/>
    </row>
    <row r="106" ht="15" customFormat="1" customHeight="1" s="17">
      <c r="A106" s="9625" t="n"/>
      <c r="B106" s="9638" t="n"/>
      <c r="C106" s="9697" t="n"/>
      <c r="D106" s="9639" t="n"/>
      <c r="E106" s="7674" t="inlineStr">
        <is>
          <t>Menor de 1 año</t>
        </is>
      </c>
      <c r="F106" s="9603" t="n"/>
      <c r="G106" s="9977" t="inlineStr">
        <is>
          <t>1 - 4 
años</t>
        </is>
      </c>
      <c r="H106" s="9582" t="n"/>
      <c r="I106" s="9977" t="inlineStr">
        <is>
          <t>5 - 9 
años</t>
        </is>
      </c>
      <c r="J106" s="9582" t="n"/>
      <c r="K106" s="9446" t="inlineStr">
        <is>
          <t>10 - 14 años</t>
        </is>
      </c>
      <c r="L106" s="9617" t="n"/>
      <c r="M106" s="9977" t="inlineStr">
        <is>
          <t>15 - 19 años</t>
        </is>
      </c>
      <c r="N106" s="9582" t="n"/>
      <c r="O106" s="9446" t="inlineStr">
        <is>
          <t>20 - 24 años</t>
        </is>
      </c>
      <c r="P106" s="9617" t="n"/>
      <c r="Q106" s="10046" t="inlineStr">
        <is>
          <t>25 - 29 años</t>
        </is>
      </c>
      <c r="R106" s="9603" t="n"/>
      <c r="S106" s="10046" t="inlineStr">
        <is>
          <t>30 - 34 años</t>
        </is>
      </c>
      <c r="T106" s="9603" t="n"/>
      <c r="U106" s="10405" t="inlineStr">
        <is>
          <t>35 - 39 años</t>
        </is>
      </c>
      <c r="V106" s="9603" t="n"/>
      <c r="W106" s="9446" t="inlineStr">
        <is>
          <t>40 - 44 años</t>
        </is>
      </c>
      <c r="X106" s="9617" t="n"/>
      <c r="Y106" s="9977" t="inlineStr">
        <is>
          <t>45 - 49 años</t>
        </is>
      </c>
      <c r="Z106" s="9582" t="n"/>
      <c r="AA106" s="9446" t="inlineStr">
        <is>
          <t>50 - 54 años</t>
        </is>
      </c>
      <c r="AB106" s="9617" t="n"/>
      <c r="AC106" s="9977" t="inlineStr">
        <is>
          <t>55 - 59 años</t>
        </is>
      </c>
      <c r="AD106" s="9582" t="n"/>
      <c r="AE106" s="9446" t="inlineStr">
        <is>
          <t>60 - 64 años</t>
        </is>
      </c>
      <c r="AF106" s="9617" t="n"/>
      <c r="AG106" s="9977" t="inlineStr">
        <is>
          <t>65 - 69 años</t>
        </is>
      </c>
      <c r="AH106" s="9582" t="n"/>
      <c r="AI106" s="9446" t="inlineStr">
        <is>
          <t>70 - 74 años</t>
        </is>
      </c>
      <c r="AJ106" s="9617" t="n"/>
      <c r="AK106" s="9977" t="inlineStr">
        <is>
          <t>75 - 79 años</t>
        </is>
      </c>
      <c r="AL106" s="9582" t="n"/>
      <c r="AM106" s="9977" t="inlineStr">
        <is>
          <t>80 y más años</t>
        </is>
      </c>
      <c r="AN106" s="9582" t="n"/>
    </row>
    <row r="107" ht="15" customFormat="1" customHeight="1" s="17">
      <c r="A107" s="9641" t="n"/>
      <c r="B107" s="3642" t="inlineStr">
        <is>
          <t>Ambos Sexos</t>
        </is>
      </c>
      <c r="C107" s="3643" t="inlineStr">
        <is>
          <t>Hombres</t>
        </is>
      </c>
      <c r="D107" s="8658" t="inlineStr">
        <is>
          <t>Mujeres</t>
        </is>
      </c>
      <c r="E107" s="3642" t="inlineStr">
        <is>
          <t>Hombres</t>
        </is>
      </c>
      <c r="F107" s="8658" t="inlineStr">
        <is>
          <t>Mujeres</t>
        </is>
      </c>
      <c r="G107" s="3642" t="inlineStr">
        <is>
          <t>Hombres</t>
        </is>
      </c>
      <c r="H107" s="8658" t="inlineStr">
        <is>
          <t>Mujeres</t>
        </is>
      </c>
      <c r="I107" s="3642" t="inlineStr">
        <is>
          <t>Hombres</t>
        </is>
      </c>
      <c r="J107" s="8658" t="inlineStr">
        <is>
          <t>Mujeres</t>
        </is>
      </c>
      <c r="K107" s="3643" t="inlineStr">
        <is>
          <t>Hombres</t>
        </is>
      </c>
      <c r="L107" s="8716" t="inlineStr">
        <is>
          <t>Mujeres</t>
        </is>
      </c>
      <c r="M107" s="3642" t="inlineStr">
        <is>
          <t>Hombres</t>
        </is>
      </c>
      <c r="N107" s="8658" t="inlineStr">
        <is>
          <t>Mujeres</t>
        </is>
      </c>
      <c r="O107" s="3643" t="inlineStr">
        <is>
          <t>Hombres</t>
        </is>
      </c>
      <c r="P107" s="8716" t="inlineStr">
        <is>
          <t>Mujeres</t>
        </is>
      </c>
      <c r="Q107" s="3642" t="inlineStr">
        <is>
          <t>Hombres</t>
        </is>
      </c>
      <c r="R107" s="8658" t="inlineStr">
        <is>
          <t>Mujeres</t>
        </is>
      </c>
      <c r="S107" s="3642" t="inlineStr">
        <is>
          <t>Hombres</t>
        </is>
      </c>
      <c r="T107" s="8658" t="inlineStr">
        <is>
          <t>Mujeres</t>
        </is>
      </c>
      <c r="U107" s="3643" t="inlineStr">
        <is>
          <t>Hombres</t>
        </is>
      </c>
      <c r="V107" s="8658" t="inlineStr">
        <is>
          <t>Mujeres</t>
        </is>
      </c>
      <c r="W107" s="3643" t="inlineStr">
        <is>
          <t>Hombres</t>
        </is>
      </c>
      <c r="X107" s="8716" t="inlineStr">
        <is>
          <t>Mujeres</t>
        </is>
      </c>
      <c r="Y107" s="3642" t="inlineStr">
        <is>
          <t>Hombres</t>
        </is>
      </c>
      <c r="Z107" s="8658" t="inlineStr">
        <is>
          <t>Mujeres</t>
        </is>
      </c>
      <c r="AA107" s="3643" t="inlineStr">
        <is>
          <t>Hombres</t>
        </is>
      </c>
      <c r="AB107" s="8716" t="inlineStr">
        <is>
          <t>Mujeres</t>
        </is>
      </c>
      <c r="AC107" s="3642" t="inlineStr">
        <is>
          <t>Hombres</t>
        </is>
      </c>
      <c r="AD107" s="8658" t="inlineStr">
        <is>
          <t>Mujeres</t>
        </is>
      </c>
      <c r="AE107" s="3643" t="inlineStr">
        <is>
          <t>Hombres</t>
        </is>
      </c>
      <c r="AF107" s="8716" t="inlineStr">
        <is>
          <t>Mujeres</t>
        </is>
      </c>
      <c r="AG107" s="3642" t="inlineStr">
        <is>
          <t>Hombres</t>
        </is>
      </c>
      <c r="AH107" s="8658" t="inlineStr">
        <is>
          <t>Mujeres</t>
        </is>
      </c>
      <c r="AI107" s="3643" t="inlineStr">
        <is>
          <t>Hombres</t>
        </is>
      </c>
      <c r="AJ107" s="8716" t="inlineStr">
        <is>
          <t>Mujeres</t>
        </is>
      </c>
      <c r="AK107" s="3642" t="inlineStr">
        <is>
          <t>Hombres</t>
        </is>
      </c>
      <c r="AL107" s="8658" t="inlineStr">
        <is>
          <t>Mujeres</t>
        </is>
      </c>
      <c r="AM107" s="3643" t="inlineStr">
        <is>
          <t>Hombres</t>
        </is>
      </c>
      <c r="AN107" s="8658" t="inlineStr">
        <is>
          <t>Mujeres</t>
        </is>
      </c>
    </row>
    <row r="108" ht="15" customFormat="1" customHeight="1" s="17">
      <c r="A108" s="3832" t="inlineStr">
        <is>
          <t>Unidad emergencia hospitalaria (UEH)</t>
        </is>
      </c>
      <c r="B108" s="3646">
        <f>SUM(C108:D108)</f>
        <v/>
      </c>
      <c r="C108" s="3647">
        <f>+E108+G108+I108+K108+M108+O108+Q108+S108+U108+W108+Y108+AA108+AC108+AE108+AG108+AI108+AK108+AM108</f>
        <v/>
      </c>
      <c r="D108" s="3654">
        <f>+F108+H108+J108+L108+N108+P108+R108+T108+V108+X108+Z108+AB108+AD108+AF108+AH108+AJ108+AL108+AN108</f>
        <v/>
      </c>
      <c r="E108" s="1971" t="n"/>
      <c r="F108" s="750" t="n"/>
      <c r="G108" s="1971" t="n"/>
      <c r="H108" s="750" t="n"/>
      <c r="I108" s="1971" t="n"/>
      <c r="J108" s="750" t="n"/>
      <c r="K108" s="1971" t="n"/>
      <c r="L108" s="750" t="n"/>
      <c r="M108" s="1971" t="n"/>
      <c r="N108" s="750" t="n"/>
      <c r="O108" s="1971" t="n"/>
      <c r="P108" s="750" t="n"/>
      <c r="Q108" s="1971" t="n"/>
      <c r="R108" s="750" t="n"/>
      <c r="S108" s="1971" t="n"/>
      <c r="T108" s="750" t="n"/>
      <c r="U108" s="1971" t="n"/>
      <c r="V108" s="750" t="n"/>
      <c r="W108" s="1971" t="n"/>
      <c r="X108" s="750" t="n"/>
      <c r="Y108" s="1971" t="n"/>
      <c r="Z108" s="750" t="n"/>
      <c r="AA108" s="1971" t="n"/>
      <c r="AB108" s="750" t="n"/>
      <c r="AC108" s="1971" t="n"/>
      <c r="AD108" s="750" t="n"/>
      <c r="AE108" s="1971" t="n"/>
      <c r="AF108" s="750" t="n"/>
      <c r="AG108" s="1971" t="n"/>
      <c r="AH108" s="750" t="n"/>
      <c r="AI108" s="1971" t="n"/>
      <c r="AJ108" s="750" t="n"/>
      <c r="AK108" s="1971" t="n"/>
      <c r="AL108" s="750" t="n"/>
      <c r="AM108" s="1971" t="n"/>
      <c r="AN108" s="750" t="n"/>
    </row>
    <row r="109" ht="15" customFormat="1" customHeight="1" s="17">
      <c r="A109" s="3663" t="inlineStr">
        <is>
          <t>SAPU, SUR O SAR</t>
        </is>
      </c>
      <c r="B109" s="3652">
        <f>SUM(C109:D109)</f>
        <v/>
      </c>
      <c r="C109" s="3653">
        <f>+E109+G109+I109+K109+M109+O109+Q109+S109+U109+W109+Y109+AA109+AC109+AE109+AG109+AI109+AK109+AM109</f>
        <v/>
      </c>
      <c r="D109" s="3654">
        <f>+F109+H109+J109+L109+N109+P109+R109+T109+V109+X109+Z109+AB109+AD109+AF109+AH109+AJ109+AL109+AN109</f>
        <v/>
      </c>
      <c r="E109" s="1971" t="n"/>
      <c r="F109" s="750" t="n"/>
      <c r="G109" s="1971" t="n"/>
      <c r="H109" s="750" t="n"/>
      <c r="I109" s="1971" t="n"/>
      <c r="J109" s="750" t="n"/>
      <c r="K109" s="1971" t="n"/>
      <c r="L109" s="750" t="n"/>
      <c r="M109" s="1971" t="n"/>
      <c r="N109" s="750" t="n"/>
      <c r="O109" s="1971" t="n"/>
      <c r="P109" s="750" t="n"/>
      <c r="Q109" s="1971" t="n"/>
      <c r="R109" s="750" t="n"/>
      <c r="S109" s="1971" t="n"/>
      <c r="T109" s="750" t="n"/>
      <c r="U109" s="1971" t="n"/>
      <c r="V109" s="750" t="n"/>
      <c r="W109" s="1971" t="n"/>
      <c r="X109" s="750" t="n"/>
      <c r="Y109" s="1971" t="n"/>
      <c r="Z109" s="750" t="n"/>
      <c r="AA109" s="1971" t="n"/>
      <c r="AB109" s="750" t="n"/>
      <c r="AC109" s="1971" t="n"/>
      <c r="AD109" s="750" t="n"/>
      <c r="AE109" s="1971" t="n"/>
      <c r="AF109" s="750" t="n"/>
      <c r="AG109" s="1971" t="n"/>
      <c r="AH109" s="750" t="n"/>
      <c r="AI109" s="1971" t="n"/>
      <c r="AJ109" s="750" t="n"/>
      <c r="AK109" s="1971" t="n"/>
      <c r="AL109" s="750" t="n"/>
      <c r="AM109" s="1971" t="n"/>
      <c r="AN109" s="750" t="n"/>
    </row>
    <row r="110" ht="15" customFormat="1" customHeight="1" s="17">
      <c r="A110" s="3806" t="inlineStr">
        <is>
          <t>CAE / CDT / CRS</t>
        </is>
      </c>
      <c r="B110" s="3724">
        <f>SUM(C110:D110)</f>
        <v/>
      </c>
      <c r="C110" s="3833">
        <f>+E110+G110+I110+K110+M110+O110+Q110+S110+U110+W110+Y110+AA110+AC110+AE110+AG110+AI110+AK110+AM110</f>
        <v/>
      </c>
      <c r="D110" s="1136">
        <f>+F110+H110+J110+L110+N110+P110+R110+T110+V110+X110+Z110+AB110+AD110+AF110+AH110+AJ110+AL110+AN110</f>
        <v/>
      </c>
      <c r="E110" s="3678" t="n"/>
      <c r="F110" s="3679" t="n"/>
      <c r="G110" s="3678" t="n"/>
      <c r="H110" s="3679" t="n"/>
      <c r="I110" s="3678" t="n"/>
      <c r="J110" s="3679" t="n"/>
      <c r="K110" s="3678" t="n"/>
      <c r="L110" s="3679" t="n"/>
      <c r="M110" s="3678" t="n"/>
      <c r="N110" s="3679" t="n"/>
      <c r="O110" s="3678" t="n"/>
      <c r="P110" s="3679" t="n"/>
      <c r="Q110" s="3678" t="n"/>
      <c r="R110" s="3679" t="n"/>
      <c r="S110" s="3678" t="n"/>
      <c r="T110" s="3679" t="n"/>
      <c r="U110" s="3678" t="n"/>
      <c r="V110" s="3679" t="n"/>
      <c r="W110" s="3678" t="n"/>
      <c r="X110" s="3679" t="n"/>
      <c r="Y110" s="3678" t="n"/>
      <c r="Z110" s="3679" t="n"/>
      <c r="AA110" s="3678" t="n"/>
      <c r="AB110" s="3679" t="n"/>
      <c r="AC110" s="3678" t="n"/>
      <c r="AD110" s="3679" t="n"/>
      <c r="AE110" s="3678" t="n"/>
      <c r="AF110" s="3679" t="n"/>
      <c r="AG110" s="3678" t="n"/>
      <c r="AH110" s="3679" t="n"/>
      <c r="AI110" s="3678" t="n"/>
      <c r="AJ110" s="3679" t="n"/>
      <c r="AK110" s="3678" t="n"/>
      <c r="AL110" s="3679" t="n"/>
      <c r="AM110" s="3678" t="n"/>
      <c r="AN110" s="3679" t="n"/>
    </row>
    <row r="111" ht="18" customFormat="1" customHeight="1" s="20">
      <c r="A111" s="9" t="inlineStr">
        <is>
          <t>SECCIÓN K: RECEPCIÓN DE PACIENTES SEGÚN ORIGEN</t>
        </is>
      </c>
    </row>
    <row r="112" ht="15" customFormat="1" customHeight="1" s="17">
      <c r="A112" s="10250" t="inlineStr">
        <is>
          <t>DESTINO</t>
        </is>
      </c>
      <c r="B112" s="10407" t="inlineStr">
        <is>
          <t>TOTAL</t>
        </is>
      </c>
      <c r="C112" s="9602" t="n"/>
      <c r="D112" s="9630" t="n"/>
      <c r="E112" s="10408" t="inlineStr">
        <is>
          <t>RANGO ETARIO Y SEXO</t>
        </is>
      </c>
      <c r="F112" s="9584" t="n"/>
      <c r="G112" s="9584" t="n"/>
      <c r="H112" s="9584" t="n"/>
      <c r="I112" s="9584" t="n"/>
      <c r="J112" s="9584" t="n"/>
      <c r="K112" s="9584" t="n"/>
      <c r="L112" s="9584" t="n"/>
      <c r="M112" s="9584" t="n"/>
      <c r="N112" s="9584" t="n"/>
      <c r="O112" s="9584" t="n"/>
      <c r="P112" s="9584" t="n"/>
      <c r="Q112" s="9584" t="n"/>
      <c r="R112" s="9584" t="n"/>
      <c r="S112" s="9584" t="n"/>
      <c r="T112" s="9584" t="n"/>
      <c r="U112" s="9584" t="n"/>
      <c r="V112" s="9584" t="n"/>
      <c r="W112" s="9584" t="n"/>
      <c r="X112" s="9584" t="n"/>
      <c r="Y112" s="9584" t="n"/>
      <c r="Z112" s="9584" t="n"/>
      <c r="AA112" s="9584" t="n"/>
      <c r="AB112" s="9584" t="n"/>
      <c r="AC112" s="9584" t="n"/>
      <c r="AD112" s="9584" t="n"/>
      <c r="AE112" s="9584" t="n"/>
      <c r="AF112" s="9584" t="n"/>
      <c r="AG112" s="9584" t="n"/>
      <c r="AH112" s="9584" t="n"/>
      <c r="AI112" s="9584" t="n"/>
      <c r="AJ112" s="9584" t="n"/>
      <c r="AK112" s="9584" t="n"/>
      <c r="AL112" s="9584" t="n"/>
      <c r="AM112" s="9584" t="n"/>
      <c r="AN112" s="9582" t="n"/>
    </row>
    <row r="113" ht="15" customFormat="1" customHeight="1" s="17">
      <c r="A113" s="9625" t="n"/>
      <c r="B113" s="9638" t="n"/>
      <c r="C113" s="9697" t="n"/>
      <c r="D113" s="9639" t="n"/>
      <c r="E113" s="7674" t="inlineStr">
        <is>
          <t>Menor de 1 año</t>
        </is>
      </c>
      <c r="F113" s="9603" t="n"/>
      <c r="G113" s="9977" t="inlineStr">
        <is>
          <t>1 - 4 
años</t>
        </is>
      </c>
      <c r="H113" s="9582" t="n"/>
      <c r="I113" s="9977" t="inlineStr">
        <is>
          <t>5 - 9 
años</t>
        </is>
      </c>
      <c r="J113" s="9582" t="n"/>
      <c r="K113" s="9977" t="inlineStr">
        <is>
          <t>10 - 14 años</t>
        </is>
      </c>
      <c r="L113" s="9582" t="n"/>
      <c r="M113" s="9977" t="inlineStr">
        <is>
          <t>15 - 19 años</t>
        </is>
      </c>
      <c r="N113" s="9582" t="n"/>
      <c r="O113" s="9496" t="inlineStr">
        <is>
          <t>20 - 24 años</t>
        </is>
      </c>
      <c r="P113" s="9617" t="n"/>
      <c r="Q113" s="10046" t="inlineStr">
        <is>
          <t>25 - 29 años</t>
        </is>
      </c>
      <c r="R113" s="9603" t="n"/>
      <c r="S113" s="10046" t="inlineStr">
        <is>
          <t>30 - 34 años</t>
        </is>
      </c>
      <c r="T113" s="9603" t="n"/>
      <c r="U113" s="10405" t="inlineStr">
        <is>
          <t>35 - 39 años</t>
        </is>
      </c>
      <c r="V113" s="9603" t="n"/>
      <c r="W113" s="9446" t="inlineStr">
        <is>
          <t>40 - 44 años</t>
        </is>
      </c>
      <c r="X113" s="9617" t="n"/>
      <c r="Y113" s="9977" t="inlineStr">
        <is>
          <t>45 - 49 años</t>
        </is>
      </c>
      <c r="Z113" s="9582" t="n"/>
      <c r="AA113" s="9446" t="inlineStr">
        <is>
          <t>50 - 54 años</t>
        </is>
      </c>
      <c r="AB113" s="9617" t="n"/>
      <c r="AC113" s="9977" t="inlineStr">
        <is>
          <t>55 - 59 años</t>
        </is>
      </c>
      <c r="AD113" s="9582" t="n"/>
      <c r="AE113" s="9977" t="inlineStr">
        <is>
          <t>60 - 64 años</t>
        </is>
      </c>
      <c r="AF113" s="9582" t="n"/>
      <c r="AG113" s="9977" t="inlineStr">
        <is>
          <t>65 - 69 años</t>
        </is>
      </c>
      <c r="AH113" s="9582" t="n"/>
      <c r="AI113" s="9446" t="inlineStr">
        <is>
          <t>70 - 74 años</t>
        </is>
      </c>
      <c r="AJ113" s="9617" t="n"/>
      <c r="AK113" s="9977" t="inlineStr">
        <is>
          <t>75 - 79 años</t>
        </is>
      </c>
      <c r="AL113" s="9582" t="n"/>
      <c r="AM113" s="9977" t="inlineStr">
        <is>
          <t>80 y más años</t>
        </is>
      </c>
      <c r="AN113" s="9582" t="n"/>
    </row>
    <row r="114" ht="15" customFormat="1" customHeight="1" s="17">
      <c r="A114" s="9641" t="n"/>
      <c r="B114" s="3642" t="inlineStr">
        <is>
          <t>Ambos Sexos</t>
        </is>
      </c>
      <c r="C114" s="3643" t="inlineStr">
        <is>
          <t>Hombres</t>
        </is>
      </c>
      <c r="D114" s="8658" t="inlineStr">
        <is>
          <t>Mujeres</t>
        </is>
      </c>
      <c r="E114" s="3642" t="inlineStr">
        <is>
          <t>Hombres</t>
        </is>
      </c>
      <c r="F114" s="8658" t="inlineStr">
        <is>
          <t>Mujeres</t>
        </is>
      </c>
      <c r="G114" s="3642" t="inlineStr">
        <is>
          <t>Hombres</t>
        </is>
      </c>
      <c r="H114" s="8658" t="inlineStr">
        <is>
          <t>Mujeres</t>
        </is>
      </c>
      <c r="I114" s="3642" t="inlineStr">
        <is>
          <t>Hombres</t>
        </is>
      </c>
      <c r="J114" s="8658" t="inlineStr">
        <is>
          <t>Mujeres</t>
        </is>
      </c>
      <c r="K114" s="3643" t="inlineStr">
        <is>
          <t>Hombres</t>
        </is>
      </c>
      <c r="L114" s="8716" t="inlineStr">
        <is>
          <t>Mujeres</t>
        </is>
      </c>
      <c r="M114" s="3642" t="inlineStr">
        <is>
          <t>Hombres</t>
        </is>
      </c>
      <c r="N114" s="8658" t="inlineStr">
        <is>
          <t>Mujeres</t>
        </is>
      </c>
      <c r="O114" s="3643" t="inlineStr">
        <is>
          <t>Hombres</t>
        </is>
      </c>
      <c r="P114" s="8716" t="inlineStr">
        <is>
          <t>Mujeres</t>
        </is>
      </c>
      <c r="Q114" s="3642" t="inlineStr">
        <is>
          <t>Hombres</t>
        </is>
      </c>
      <c r="R114" s="8658" t="inlineStr">
        <is>
          <t>Mujeres</t>
        </is>
      </c>
      <c r="S114" s="3642" t="inlineStr">
        <is>
          <t>Hombres</t>
        </is>
      </c>
      <c r="T114" s="8658" t="inlineStr">
        <is>
          <t>Mujeres</t>
        </is>
      </c>
      <c r="U114" s="3643" t="inlineStr">
        <is>
          <t>Hombres</t>
        </is>
      </c>
      <c r="V114" s="8658" t="inlineStr">
        <is>
          <t>Mujeres</t>
        </is>
      </c>
      <c r="W114" s="3642" t="inlineStr">
        <is>
          <t>Hombres</t>
        </is>
      </c>
      <c r="X114" s="8658" t="inlineStr">
        <is>
          <t>Mujeres</t>
        </is>
      </c>
      <c r="Y114" s="3642" t="inlineStr">
        <is>
          <t>Hombres</t>
        </is>
      </c>
      <c r="Z114" s="8658" t="inlineStr">
        <is>
          <t>Mujeres</t>
        </is>
      </c>
      <c r="AA114" s="3642" t="inlineStr">
        <is>
          <t>Hombres</t>
        </is>
      </c>
      <c r="AB114" s="8658" t="inlineStr">
        <is>
          <t>Mujeres</t>
        </is>
      </c>
      <c r="AC114" s="3643" t="inlineStr">
        <is>
          <t>Hombres</t>
        </is>
      </c>
      <c r="AD114" s="8716" t="inlineStr">
        <is>
          <t>Mujeres</t>
        </is>
      </c>
      <c r="AE114" s="3642" t="inlineStr">
        <is>
          <t>Hombres</t>
        </is>
      </c>
      <c r="AF114" s="8658" t="inlineStr">
        <is>
          <t>Mujeres</t>
        </is>
      </c>
      <c r="AG114" s="3643" t="inlineStr">
        <is>
          <t>Hombres</t>
        </is>
      </c>
      <c r="AH114" s="8716" t="inlineStr">
        <is>
          <t>Mujeres</t>
        </is>
      </c>
      <c r="AI114" s="3642" t="inlineStr">
        <is>
          <t>Hombres</t>
        </is>
      </c>
      <c r="AJ114" s="8658" t="inlineStr">
        <is>
          <t>Mujeres</t>
        </is>
      </c>
      <c r="AK114" s="3643" t="inlineStr">
        <is>
          <t>Hombres</t>
        </is>
      </c>
      <c r="AL114" s="8716" t="inlineStr">
        <is>
          <t>Mujeres</t>
        </is>
      </c>
      <c r="AM114" s="3642" t="inlineStr">
        <is>
          <t>Hombres</t>
        </is>
      </c>
      <c r="AN114" s="8658" t="inlineStr">
        <is>
          <t>Mujeres</t>
        </is>
      </c>
    </row>
    <row r="115" ht="15" customFormat="1" customHeight="1" s="17">
      <c r="A115" s="3832" t="inlineStr">
        <is>
          <t>Unidad emergencia hospitalaria (UEH)</t>
        </is>
      </c>
      <c r="B115" s="1924">
        <f>SUM(C115+D115)</f>
        <v/>
      </c>
      <c r="C115" s="3653">
        <f>+E115+G115+I115+K115+M115+O115+Q115+S115+U115+W115+Y115+AA115+AC115+AE115+AG115+AI115+AK115+AM115</f>
        <v/>
      </c>
      <c r="D115" s="3654">
        <f>+F115+H115+J115+L115+N115+P115+R115+T115+V115+X115+Z115+AB115+AD115+AF115+AH115+AJ115+AL115+AN115</f>
        <v/>
      </c>
      <c r="E115" s="3704" t="n"/>
      <c r="F115" s="3650" t="n"/>
      <c r="G115" s="3704" t="n">
        <v>2</v>
      </c>
      <c r="H115" s="3650" t="n">
        <v>1</v>
      </c>
      <c r="I115" s="3704" t="n"/>
      <c r="J115" s="3650" t="n"/>
      <c r="K115" s="3704" t="n">
        <v>1</v>
      </c>
      <c r="L115" s="3650" t="n"/>
      <c r="M115" s="3704" t="n"/>
      <c r="N115" s="3650" t="n"/>
      <c r="O115" s="3704" t="n"/>
      <c r="P115" s="3650" t="n"/>
      <c r="Q115" s="3704" t="n"/>
      <c r="R115" s="3650" t="n"/>
      <c r="S115" s="3704" t="n"/>
      <c r="T115" s="3650" t="n"/>
      <c r="U115" s="3704" t="n"/>
      <c r="V115" s="3650" t="n"/>
      <c r="W115" s="3704" t="n"/>
      <c r="X115" s="3650" t="n"/>
      <c r="Y115" s="3704" t="n"/>
      <c r="Z115" s="3650" t="n"/>
      <c r="AA115" s="3704" t="n"/>
      <c r="AB115" s="3650" t="n"/>
      <c r="AC115" s="3704" t="n"/>
      <c r="AD115" s="3650" t="n"/>
      <c r="AE115" s="3704" t="n"/>
      <c r="AF115" s="3650" t="n"/>
      <c r="AG115" s="3704" t="n"/>
      <c r="AH115" s="3650" t="n"/>
      <c r="AI115" s="3704" t="n"/>
      <c r="AJ115" s="3650" t="n">
        <v>1</v>
      </c>
      <c r="AK115" s="3704" t="n"/>
      <c r="AL115" s="3650" t="n"/>
      <c r="AM115" s="3704" t="n"/>
      <c r="AN115" s="3650" t="n"/>
    </row>
    <row r="116" ht="15" customFormat="1" customHeight="1" s="17">
      <c r="A116" s="3663" t="inlineStr">
        <is>
          <t>SAPU , SUR O SAR</t>
        </is>
      </c>
      <c r="B116" s="3652">
        <f>SUM(C116+D116)</f>
        <v/>
      </c>
      <c r="C116" s="3653">
        <f>+E116+G116+I116+K116+M116+O116+Q116+S116+U116+W116+Y116+AA116+AC116+AE116+AG116+AI116+AK116+AM116</f>
        <v/>
      </c>
      <c r="D116" s="3654">
        <f>+F116+H116+J116+L116+N116+P116+R116+T116+V116+X116+Z116+AB116+AD116+AF116+AH116+AJ116+AL116+AN116</f>
        <v/>
      </c>
      <c r="E116" s="3655" t="n"/>
      <c r="F116" s="3656" t="n"/>
      <c r="G116" s="3655" t="n"/>
      <c r="H116" s="3656" t="n"/>
      <c r="I116" s="3655" t="n"/>
      <c r="J116" s="3656" t="n"/>
      <c r="K116" s="3655" t="n"/>
      <c r="L116" s="3656" t="n"/>
      <c r="M116" s="3655" t="n"/>
      <c r="N116" s="3656" t="n"/>
      <c r="O116" s="3655" t="n"/>
      <c r="P116" s="3656" t="n"/>
      <c r="Q116" s="3655" t="n"/>
      <c r="R116" s="3656" t="n"/>
      <c r="S116" s="3655" t="n"/>
      <c r="T116" s="3656" t="n"/>
      <c r="U116" s="3655" t="n"/>
      <c r="V116" s="3656" t="n"/>
      <c r="W116" s="3655" t="n"/>
      <c r="X116" s="3656" t="n"/>
      <c r="Y116" s="3655" t="n"/>
      <c r="Z116" s="3656" t="n"/>
      <c r="AA116" s="3655" t="n"/>
      <c r="AB116" s="3656" t="n"/>
      <c r="AC116" s="3655" t="n"/>
      <c r="AD116" s="3656" t="n"/>
      <c r="AE116" s="3655" t="n"/>
      <c r="AF116" s="3656" t="n"/>
      <c r="AG116" s="3655" t="n"/>
      <c r="AH116" s="3656" t="n"/>
      <c r="AI116" s="3655" t="n"/>
      <c r="AJ116" s="3656" t="n"/>
      <c r="AK116" s="3655" t="n"/>
      <c r="AL116" s="3656" t="n"/>
      <c r="AM116" s="3655" t="n"/>
      <c r="AN116" s="3656" t="n"/>
    </row>
    <row r="117" ht="15" customFormat="1" customHeight="1" s="17">
      <c r="A117" s="3663" t="inlineStr">
        <is>
          <t>Consulta de morbilidad</t>
        </is>
      </c>
      <c r="B117" s="3652">
        <f>SUM(C117+D117)</f>
        <v/>
      </c>
      <c r="C117" s="3653">
        <f>+E117+G117+I117+K117+M117+O117+Q117+S117+U117+W117+Y117+AA117+AC117+AE117+AG117+AI117+AK117+AM117</f>
        <v/>
      </c>
      <c r="D117" s="3654">
        <f>+F117+H117+J117+L117+N117+P117+R117+T117+V117+X117+Z117+AB117+AD117+AF117+AH117+AJ117+AL117+AN117</f>
        <v/>
      </c>
      <c r="E117" s="1198" t="n"/>
      <c r="F117" s="1148" t="n">
        <v>1</v>
      </c>
      <c r="G117" s="1198" t="n">
        <v>1</v>
      </c>
      <c r="H117" s="1148" t="n">
        <v>2</v>
      </c>
      <c r="I117" s="1198" t="n"/>
      <c r="J117" s="1148" t="n"/>
      <c r="K117" s="1198" t="n">
        <v>1</v>
      </c>
      <c r="L117" s="1148" t="n"/>
      <c r="M117" s="1198" t="n"/>
      <c r="N117" s="1148" t="n"/>
      <c r="O117" s="1198" t="n"/>
      <c r="P117" s="1148" t="n"/>
      <c r="Q117" s="1198" t="n"/>
      <c r="R117" s="1148" t="n"/>
      <c r="S117" s="1198" t="n"/>
      <c r="T117" s="1148" t="n"/>
      <c r="U117" s="1198" t="n"/>
      <c r="V117" s="1148" t="n"/>
      <c r="W117" s="1198" t="n"/>
      <c r="X117" s="1148" t="n"/>
      <c r="Y117" s="1198" t="n"/>
      <c r="Z117" s="1148" t="n"/>
      <c r="AA117" s="1198" t="n"/>
      <c r="AB117" s="1148" t="n"/>
      <c r="AC117" s="1198" t="n"/>
      <c r="AD117" s="1148" t="n"/>
      <c r="AE117" s="1198" t="n"/>
      <c r="AF117" s="1148" t="n"/>
      <c r="AG117" s="1198" t="n"/>
      <c r="AH117" s="1148" t="n"/>
      <c r="AI117" s="1198" t="n"/>
      <c r="AJ117" s="1148" t="n"/>
      <c r="AK117" s="1198" t="n"/>
      <c r="AL117" s="1148" t="n"/>
      <c r="AM117" s="1198" t="n"/>
      <c r="AN117" s="1148" t="n"/>
    </row>
    <row r="118" ht="15" customFormat="1" customHeight="1" s="17">
      <c r="A118" s="3834" t="inlineStr">
        <is>
          <t>CAE / CDT / CRS</t>
        </is>
      </c>
      <c r="B118" s="3652">
        <f>SUM(C118+D118)</f>
        <v/>
      </c>
      <c r="C118" s="3653">
        <f>+E118+G118+I118+K118+M118+O118+Q118+S118+U118+W118+Y118+AA118+AC118+AE118+AG118+AI118+AK118+AM118</f>
        <v/>
      </c>
      <c r="D118" s="3654">
        <f>+F118+H118+J118+L118+N118+P118+R118+T118+V118+X118+Z118+AB118+AD118+AF118+AH118+AJ118+AL118+AN118</f>
        <v/>
      </c>
      <c r="E118" s="1198" t="n"/>
      <c r="F118" s="1148" t="n"/>
      <c r="G118" s="1198" t="n"/>
      <c r="H118" s="1148" t="n"/>
      <c r="I118" s="1198" t="n"/>
      <c r="J118" s="1148" t="n"/>
      <c r="K118" s="1198" t="n"/>
      <c r="L118" s="1148" t="n"/>
      <c r="M118" s="1198" t="n"/>
      <c r="N118" s="1148" t="n"/>
      <c r="O118" s="1198" t="n"/>
      <c r="P118" s="1148" t="n"/>
      <c r="Q118" s="1198" t="n"/>
      <c r="R118" s="1148" t="n"/>
      <c r="S118" s="1198" t="n"/>
      <c r="T118" s="1148" t="n"/>
      <c r="U118" s="1198" t="n"/>
      <c r="V118" s="1148" t="n"/>
      <c r="W118" s="1198" t="n"/>
      <c r="X118" s="1148" t="n"/>
      <c r="Y118" s="1198" t="n"/>
      <c r="Z118" s="1148" t="n"/>
      <c r="AA118" s="1198" t="n"/>
      <c r="AB118" s="1148" t="n"/>
      <c r="AC118" s="1198" t="n"/>
      <c r="AD118" s="1148" t="n"/>
      <c r="AE118" s="1198" t="n"/>
      <c r="AF118" s="1148" t="n"/>
      <c r="AG118" s="1198" t="n"/>
      <c r="AH118" s="1148" t="n"/>
      <c r="AI118" s="1198" t="n"/>
      <c r="AJ118" s="1148" t="n"/>
      <c r="AK118" s="1198" t="n"/>
      <c r="AL118" s="1148" t="n"/>
      <c r="AM118" s="1198" t="n"/>
      <c r="AN118" s="1148" t="n"/>
    </row>
    <row r="119" ht="15" customFormat="1" customHeight="1" s="17">
      <c r="A119" s="3835" t="inlineStr">
        <is>
          <t>Extrasistema</t>
        </is>
      </c>
      <c r="B119" s="3836">
        <f>SUM(C119+D119)</f>
        <v/>
      </c>
      <c r="C119" s="3833">
        <f>+E119+G119+I119+K119+M119+O119+Q119+S119+U119+W119+Y119+AA119+AC119+AE119+AG119+AI119+AK119+AM119</f>
        <v/>
      </c>
      <c r="D119" s="1136">
        <f>+F119+H119+J119+L119+N119+P119+R119+T119+V119+X119+Z119+AB119+AD119+AF119+AH119+AJ119+AL119+AN119</f>
        <v/>
      </c>
      <c r="E119" s="3678" t="n"/>
      <c r="F119" s="1138" t="n"/>
      <c r="G119" s="3678" t="n"/>
      <c r="H119" s="1138" t="n">
        <v>2</v>
      </c>
      <c r="I119" s="3678" t="n"/>
      <c r="J119" s="1138" t="n"/>
      <c r="K119" s="3678" t="n"/>
      <c r="L119" s="1138" t="n"/>
      <c r="M119" s="3678" t="n"/>
      <c r="N119" s="1138" t="n"/>
      <c r="O119" s="3678" t="n"/>
      <c r="P119" s="1138" t="n"/>
      <c r="Q119" s="3678" t="n"/>
      <c r="R119" s="1138" t="n"/>
      <c r="S119" s="3678" t="n"/>
      <c r="T119" s="1138" t="n"/>
      <c r="U119" s="3678" t="n"/>
      <c r="V119" s="1138" t="n"/>
      <c r="W119" s="3678" t="n"/>
      <c r="X119" s="1138" t="n"/>
      <c r="Y119" s="3678" t="n"/>
      <c r="Z119" s="1138" t="n"/>
      <c r="AA119" s="3678" t="n"/>
      <c r="AB119" s="1138" t="n"/>
      <c r="AC119" s="3678" t="n"/>
      <c r="AD119" s="1138" t="n"/>
      <c r="AE119" s="3678" t="n"/>
      <c r="AF119" s="1138" t="n"/>
      <c r="AG119" s="3678" t="n"/>
      <c r="AH119" s="1138" t="n"/>
      <c r="AI119" s="3678" t="n"/>
      <c r="AJ119" s="1138" t="n"/>
      <c r="AK119" s="3678" t="n"/>
      <c r="AL119" s="1138" t="n"/>
      <c r="AM119" s="3678" t="n"/>
      <c r="AN119" s="1138" t="n"/>
    </row>
    <row r="120" ht="18" customFormat="1" customHeight="1" s="20">
      <c r="A120" s="1" t="inlineStr">
        <is>
          <t>SECCIÓN L: HOSPITALIZACION ABREVIADA / INTERVENCION EN CRISIS RESPIRATORIA</t>
        </is>
      </c>
    </row>
    <row r="121" ht="15" customFormat="1" customHeight="1" s="17">
      <c r="A121" s="10247" t="inlineStr">
        <is>
          <t>DIAGNÓSTICOS</t>
        </is>
      </c>
      <c r="B121" s="10199" t="inlineStr">
        <is>
          <t>TOTAL</t>
        </is>
      </c>
      <c r="C121" s="9602" t="n"/>
      <c r="D121" s="9630" t="n"/>
      <c r="E121" s="9915" t="inlineStr">
        <is>
          <t>RANGO ETARIO Y SEXO</t>
        </is>
      </c>
      <c r="F121" s="9584" t="n"/>
      <c r="G121" s="9584" t="n"/>
      <c r="H121" s="9584" t="n"/>
      <c r="I121" s="9584" t="n"/>
      <c r="J121" s="9584" t="n"/>
      <c r="K121" s="9584" t="n"/>
      <c r="L121" s="9584" t="n"/>
      <c r="M121" s="9584" t="n"/>
      <c r="N121" s="9584" t="n"/>
      <c r="O121" s="9584" t="n"/>
      <c r="P121" s="9584" t="n"/>
      <c r="Q121" s="9584" t="n"/>
      <c r="R121" s="9584" t="n"/>
      <c r="S121" s="9584" t="n"/>
      <c r="T121" s="9584" t="n"/>
      <c r="U121" s="9584" t="n"/>
      <c r="V121" s="9584" t="n"/>
      <c r="W121" s="9584" t="n"/>
      <c r="X121" s="9584" t="n"/>
      <c r="Y121" s="9584" t="n"/>
      <c r="Z121" s="9584" t="n"/>
      <c r="AA121" s="9584" t="n"/>
      <c r="AB121" s="9584" t="n"/>
      <c r="AC121" s="9584" t="n"/>
      <c r="AD121" s="9584" t="n"/>
      <c r="AE121" s="9584" t="n"/>
      <c r="AF121" s="9584" t="n"/>
      <c r="AG121" s="9584" t="n"/>
      <c r="AH121" s="9584" t="n"/>
      <c r="AI121" s="9584" t="n"/>
      <c r="AJ121" s="9584" t="n"/>
      <c r="AK121" s="9584" t="n"/>
      <c r="AL121" s="9584" t="n"/>
      <c r="AM121" s="9584" t="n"/>
      <c r="AN121" s="9595" t="n"/>
      <c r="AO121" s="10341" t="inlineStr">
        <is>
          <t>Por Campaña de Invierno</t>
        </is>
      </c>
    </row>
    <row r="122" ht="15" customFormat="1" customHeight="1" s="17">
      <c r="A122" s="9588" t="n"/>
      <c r="B122" s="9697" t="n"/>
      <c r="C122" s="9697" t="n"/>
      <c r="D122" s="9639" t="n"/>
      <c r="E122" s="7674" t="inlineStr">
        <is>
          <t>Menor de 1 año</t>
        </is>
      </c>
      <c r="F122" s="9603" t="n"/>
      <c r="G122" s="9977" t="inlineStr">
        <is>
          <t>1 - 4 
años</t>
        </is>
      </c>
      <c r="H122" s="9582" t="n"/>
      <c r="I122" s="9446" t="inlineStr">
        <is>
          <t>5 - 9 
años</t>
        </is>
      </c>
      <c r="J122" s="9617" t="n"/>
      <c r="K122" s="9977" t="inlineStr">
        <is>
          <t>10 - 14 años</t>
        </is>
      </c>
      <c r="L122" s="9582" t="n"/>
      <c r="M122" s="9977" t="inlineStr">
        <is>
          <t>15 - 19 años</t>
        </is>
      </c>
      <c r="N122" s="9582" t="n"/>
      <c r="O122" s="10046" t="inlineStr">
        <is>
          <t>20 - 24 años</t>
        </is>
      </c>
      <c r="P122" s="9603" t="n"/>
      <c r="Q122" s="10046" t="inlineStr">
        <is>
          <t>25 - 29 años</t>
        </is>
      </c>
      <c r="R122" s="9603" t="n"/>
      <c r="S122" s="10046" t="inlineStr">
        <is>
          <t>30 - 34 años</t>
        </is>
      </c>
      <c r="T122" s="9603" t="n"/>
      <c r="U122" s="10405" t="inlineStr">
        <is>
          <t>35 - 39 años</t>
        </is>
      </c>
      <c r="V122" s="9603" t="n"/>
      <c r="W122" s="10046" t="inlineStr">
        <is>
          <t>40 - 44 años</t>
        </is>
      </c>
      <c r="X122" s="9603" t="n"/>
      <c r="Y122" s="10392" t="inlineStr">
        <is>
          <t>45 - 49 años</t>
        </is>
      </c>
      <c r="Z122" s="9602" t="n"/>
      <c r="AA122" s="10046" t="inlineStr">
        <is>
          <t>50 - 54 años</t>
        </is>
      </c>
      <c r="AB122" s="9603" t="n"/>
      <c r="AC122" s="10392" t="inlineStr">
        <is>
          <t>55 - 59 años</t>
        </is>
      </c>
      <c r="AD122" s="9602" t="n"/>
      <c r="AE122" s="10046" t="inlineStr">
        <is>
          <t>60 - 64 años</t>
        </is>
      </c>
      <c r="AF122" s="9603" t="n"/>
      <c r="AG122" s="10392" t="inlineStr">
        <is>
          <t>65 - 69 años</t>
        </is>
      </c>
      <c r="AH122" s="9602" t="n"/>
      <c r="AI122" s="10046" t="inlineStr">
        <is>
          <t>70 - 74 años</t>
        </is>
      </c>
      <c r="AJ122" s="9603" t="n"/>
      <c r="AK122" s="10392" t="inlineStr">
        <is>
          <t>75 - 79 años</t>
        </is>
      </c>
      <c r="AL122" s="9602" t="n"/>
      <c r="AM122" s="9915" t="inlineStr">
        <is>
          <t>80 y más años</t>
        </is>
      </c>
      <c r="AN122" s="9595" t="n"/>
      <c r="AO122" s="10342" t="n"/>
    </row>
    <row r="123" ht="15" customFormat="1" customHeight="1" s="17">
      <c r="A123" s="9589" t="n"/>
      <c r="B123" s="3642" t="inlineStr">
        <is>
          <t>Ambos Sexos</t>
        </is>
      </c>
      <c r="C123" s="3643" t="inlineStr">
        <is>
          <t>Hombres</t>
        </is>
      </c>
      <c r="D123" s="8658" t="inlineStr">
        <is>
          <t>Mujeres</t>
        </is>
      </c>
      <c r="E123" s="3642" t="inlineStr">
        <is>
          <t>Hombres</t>
        </is>
      </c>
      <c r="F123" s="8658" t="inlineStr">
        <is>
          <t>Mujeres</t>
        </is>
      </c>
      <c r="G123" s="3642" t="inlineStr">
        <is>
          <t>Hombres</t>
        </is>
      </c>
      <c r="H123" s="8658" t="inlineStr">
        <is>
          <t>Mujeres</t>
        </is>
      </c>
      <c r="I123" s="3643" t="inlineStr">
        <is>
          <t>Hombres</t>
        </is>
      </c>
      <c r="J123" s="8716" t="inlineStr">
        <is>
          <t>Mujeres</t>
        </is>
      </c>
      <c r="K123" s="3642" t="inlineStr">
        <is>
          <t>Hombres</t>
        </is>
      </c>
      <c r="L123" s="8658" t="inlineStr">
        <is>
          <t>Mujeres</t>
        </is>
      </c>
      <c r="M123" s="3643" t="inlineStr">
        <is>
          <t>Hombres</t>
        </is>
      </c>
      <c r="N123" s="8716" t="inlineStr">
        <is>
          <t>Mujeres</t>
        </is>
      </c>
      <c r="O123" s="3642" t="inlineStr">
        <is>
          <t>Hombres</t>
        </is>
      </c>
      <c r="P123" s="8658" t="inlineStr">
        <is>
          <t>Mujeres</t>
        </is>
      </c>
      <c r="Q123" s="3642" t="inlineStr">
        <is>
          <t>Hombres</t>
        </is>
      </c>
      <c r="R123" s="8658" t="inlineStr">
        <is>
          <t>Mujeres</t>
        </is>
      </c>
      <c r="S123" s="3642" t="inlineStr">
        <is>
          <t>Hombres</t>
        </is>
      </c>
      <c r="T123" s="8658" t="inlineStr">
        <is>
          <t>Mujeres</t>
        </is>
      </c>
      <c r="U123" s="3643" t="inlineStr">
        <is>
          <t>Hombres</t>
        </is>
      </c>
      <c r="V123" s="8658" t="inlineStr">
        <is>
          <t>Mujeres</t>
        </is>
      </c>
      <c r="W123" s="3642" t="inlineStr">
        <is>
          <t>Hombres</t>
        </is>
      </c>
      <c r="X123" s="8658" t="inlineStr">
        <is>
          <t>Mujeres</t>
        </is>
      </c>
      <c r="Y123" s="3643" t="inlineStr">
        <is>
          <t>Hombres</t>
        </is>
      </c>
      <c r="Z123" s="8716" t="inlineStr">
        <is>
          <t>Mujeres</t>
        </is>
      </c>
      <c r="AA123" s="3642" t="inlineStr">
        <is>
          <t>Hombres</t>
        </is>
      </c>
      <c r="AB123" s="8658" t="inlineStr">
        <is>
          <t>Mujeres</t>
        </is>
      </c>
      <c r="AC123" s="3643" t="inlineStr">
        <is>
          <t>Hombres</t>
        </is>
      </c>
      <c r="AD123" s="8716" t="inlineStr">
        <is>
          <t>Mujeres</t>
        </is>
      </c>
      <c r="AE123" s="3642" t="inlineStr">
        <is>
          <t>Hombres</t>
        </is>
      </c>
      <c r="AF123" s="8658" t="inlineStr">
        <is>
          <t>Mujeres</t>
        </is>
      </c>
      <c r="AG123" s="3643" t="inlineStr">
        <is>
          <t>Hombres</t>
        </is>
      </c>
      <c r="AH123" s="8716" t="inlineStr">
        <is>
          <t>Mujeres</t>
        </is>
      </c>
      <c r="AI123" s="3642" t="inlineStr">
        <is>
          <t>Hombres</t>
        </is>
      </c>
      <c r="AJ123" s="8658" t="inlineStr">
        <is>
          <t>Mujeres</t>
        </is>
      </c>
      <c r="AK123" s="3643" t="inlineStr">
        <is>
          <t>Hombres</t>
        </is>
      </c>
      <c r="AL123" s="8716" t="inlineStr">
        <is>
          <t>Mujeres</t>
        </is>
      </c>
      <c r="AM123" s="3642" t="inlineStr">
        <is>
          <t>Hombres</t>
        </is>
      </c>
      <c r="AN123" s="8716" t="inlineStr">
        <is>
          <t>Mujeres</t>
        </is>
      </c>
      <c r="AO123" s="10088" t="n"/>
    </row>
    <row r="124" ht="15" customFormat="1" customHeight="1" s="17">
      <c r="A124" s="3837" t="inlineStr">
        <is>
          <t>Bronquitis obstructiva</t>
        </is>
      </c>
      <c r="B124" s="3838">
        <f>SUM(C124+D124)</f>
        <v/>
      </c>
      <c r="C124" s="3828">
        <f>SUM(E124+G124+I124+K124+M124+O124+Q124+S124+U124+W124+Y124+AA124+AC124+AE124+AG124+AI124+AK124+AM124)</f>
        <v/>
      </c>
      <c r="D124" s="3839">
        <f>SUM(F124+H124+J124+L124+N124+P124+R124+T124+V124+X124+Z124+AB124+AD124+AF124+AH124+AJ124+AL124+AN124)</f>
        <v/>
      </c>
      <c r="E124" s="3704" t="n"/>
      <c r="F124" s="3650" t="n"/>
      <c r="G124" s="3704" t="n"/>
      <c r="H124" s="2455" t="n"/>
      <c r="I124" s="3824" t="n"/>
      <c r="J124" s="3309" t="n"/>
      <c r="K124" s="3704" t="n"/>
      <c r="L124" s="2455" t="n"/>
      <c r="M124" s="3824" t="n"/>
      <c r="N124" s="3309" t="n"/>
      <c r="O124" s="3704" t="n"/>
      <c r="P124" s="2455" t="n"/>
      <c r="Q124" s="3704" t="n"/>
      <c r="R124" s="2455" t="n"/>
      <c r="S124" s="3704" t="n"/>
      <c r="T124" s="2455" t="n"/>
      <c r="U124" s="3824" t="n"/>
      <c r="V124" s="3309" t="n"/>
      <c r="W124" s="3704" t="n"/>
      <c r="X124" s="2455" t="n"/>
      <c r="Y124" s="3824" t="n"/>
      <c r="Z124" s="3309" t="n"/>
      <c r="AA124" s="3704" t="n"/>
      <c r="AB124" s="2455" t="n"/>
      <c r="AC124" s="3824" t="n"/>
      <c r="AD124" s="3309" t="n"/>
      <c r="AE124" s="3704" t="n"/>
      <c r="AF124" s="2455" t="n"/>
      <c r="AG124" s="3824" t="n"/>
      <c r="AH124" s="3309" t="n"/>
      <c r="AI124" s="3705" t="n"/>
      <c r="AJ124" s="2455" t="n"/>
      <c r="AK124" s="3824" t="n"/>
      <c r="AL124" s="3309" t="n"/>
      <c r="AM124" s="3705" t="n"/>
      <c r="AN124" s="3309" t="n"/>
      <c r="AO124" s="3840" t="n"/>
      <c r="AP124" s="17">
        <f>CA124</f>
        <v/>
      </c>
      <c r="CA124" s="90">
        <f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>IF(AND(AO124="",B124&gt;0),1,IF(AO124&gt;B124,1,0))</f>
        <v/>
      </c>
    </row>
    <row r="125" ht="15" customFormat="1" customHeight="1" s="17">
      <c r="A125" s="3841" t="inlineStr">
        <is>
          <t>Reagudización de SBOR</t>
        </is>
      </c>
      <c r="B125" s="3842">
        <f>SUM(C125+D125)</f>
        <v/>
      </c>
      <c r="C125" s="3843">
        <f>SUM(E125+G125)</f>
        <v/>
      </c>
      <c r="D125" s="3839">
        <f>SUM(F125+H125)</f>
        <v/>
      </c>
      <c r="E125" s="3655" t="n"/>
      <c r="F125" s="3656" t="n"/>
      <c r="G125" s="3655" t="n"/>
      <c r="H125" s="3657" t="n"/>
      <c r="I125" s="3670" t="n"/>
      <c r="J125" s="3671" t="n"/>
      <c r="K125" s="3668" t="n"/>
      <c r="L125" s="3669" t="n"/>
      <c r="M125" s="3670" t="n"/>
      <c r="N125" s="3671" t="n"/>
      <c r="O125" s="3668" t="n"/>
      <c r="P125" s="3669" t="n"/>
      <c r="Q125" s="3668" t="n"/>
      <c r="R125" s="3669" t="n"/>
      <c r="S125" s="3668" t="n"/>
      <c r="T125" s="3669" t="n"/>
      <c r="U125" s="3670" t="n"/>
      <c r="V125" s="3671" t="n"/>
      <c r="W125" s="3668" t="n"/>
      <c r="X125" s="3669" t="n"/>
      <c r="Y125" s="3670" t="n"/>
      <c r="Z125" s="3671" t="n"/>
      <c r="AA125" s="3668" t="n"/>
      <c r="AB125" s="3669" t="n"/>
      <c r="AC125" s="3670" t="n"/>
      <c r="AD125" s="3671" t="n"/>
      <c r="AE125" s="3668" t="n"/>
      <c r="AF125" s="3669" t="n"/>
      <c r="AG125" s="3670" t="n"/>
      <c r="AH125" s="3671" t="n"/>
      <c r="AI125" s="3844" t="n"/>
      <c r="AJ125" s="3669" t="n"/>
      <c r="AK125" s="3670" t="n"/>
      <c r="AL125" s="3671" t="n"/>
      <c r="AM125" s="3844" t="n"/>
      <c r="AN125" s="3671" t="n"/>
      <c r="AO125" s="3845" t="n"/>
      <c r="AP125" s="17">
        <f>CA125</f>
        <v/>
      </c>
      <c r="CA125" s="90">
        <f>IF(AND(AO125="",B125&gt;0)," * No olvide digitar la variable Por campaña de Invierno. Digite CERO si no tiene.",IF(AO125&gt;B125," *La variable Por campaña de Invierno no puede ser mayor que el Total Ambos Sexos.",""))</f>
        <v/>
      </c>
      <c r="CF125" s="52">
        <f>IF(AND(AO125="",B125&gt;0),1,IF(AO125&gt;B125,1,0))</f>
        <v/>
      </c>
    </row>
    <row r="126" ht="15" customFormat="1" customHeight="1" s="17">
      <c r="A126" s="3841" t="inlineStr">
        <is>
          <t>Reagudización de asma</t>
        </is>
      </c>
      <c r="B126" s="3842">
        <f>SUM(C126+D126)</f>
        <v/>
      </c>
      <c r="C126" s="3843">
        <f>SUM(G126+I126+K126+M126+O126+Q126+S126+U126+W126+Y126+AA126+AC126+AE126+AG126+AI126+AK126+AM126)</f>
        <v/>
      </c>
      <c r="D126" s="3839">
        <f>SUM(H126+J126+L126+N126+P126+R126+T126+V126+X126+Z126+AB126+AD126+AF126+AH126+AJ126+AL126+AN126)</f>
        <v/>
      </c>
      <c r="E126" s="3706" t="n"/>
      <c r="F126" s="3707" t="n"/>
      <c r="G126" s="3655" t="n"/>
      <c r="H126" s="3657" t="n"/>
      <c r="I126" s="3658" t="n"/>
      <c r="J126" s="3659" t="n"/>
      <c r="K126" s="3655" t="n"/>
      <c r="L126" s="3657" t="n"/>
      <c r="M126" s="3658" t="n"/>
      <c r="N126" s="3659" t="n"/>
      <c r="O126" s="3655" t="n"/>
      <c r="P126" s="3657" t="n"/>
      <c r="Q126" s="3655" t="n"/>
      <c r="R126" s="3657" t="n"/>
      <c r="S126" s="3655" t="n"/>
      <c r="T126" s="3657" t="n"/>
      <c r="U126" s="3658" t="n"/>
      <c r="V126" s="3659" t="n"/>
      <c r="W126" s="3655" t="n"/>
      <c r="X126" s="3657" t="n"/>
      <c r="Y126" s="3658" t="n"/>
      <c r="Z126" s="3659" t="n"/>
      <c r="AA126" s="3655" t="n"/>
      <c r="AB126" s="3657" t="n"/>
      <c r="AC126" s="3658" t="n"/>
      <c r="AD126" s="3659" t="n"/>
      <c r="AE126" s="3655" t="n"/>
      <c r="AF126" s="3657" t="n"/>
      <c r="AG126" s="3658" t="n"/>
      <c r="AH126" s="3659" t="n"/>
      <c r="AI126" s="3720" t="n"/>
      <c r="AJ126" s="3657" t="n"/>
      <c r="AK126" s="3658" t="n"/>
      <c r="AL126" s="3659" t="n"/>
      <c r="AM126" s="3720" t="n"/>
      <c r="AN126" s="3659" t="n"/>
      <c r="AO126" s="3845" t="n"/>
      <c r="AP126" s="17">
        <f>CA126</f>
        <v/>
      </c>
      <c r="CA126" s="90">
        <f>IF(AND(AO126="",B126&gt;0)," * No olvide digitar la variable Por campaña de Invierno. Digite CERO si no tiene.",IF(AO126&gt;B126," *La variable Por campaña de Invierno no puede ser mayor que el Total Ambos Sexos.",""))</f>
        <v/>
      </c>
      <c r="CF126" s="52">
        <f>IF(AND(AO126="",B126&gt;0),1,IF(AO126&gt;B126,1,0))</f>
        <v/>
      </c>
    </row>
    <row r="127" ht="15" customFormat="1" customHeight="1" s="17">
      <c r="A127" s="3841" t="inlineStr">
        <is>
          <t>Neumonía</t>
        </is>
      </c>
      <c r="B127" s="3842">
        <f>SUM(C127+D127)</f>
        <v/>
      </c>
      <c r="C127" s="3843">
        <f>SUM(E127+G127+I127+K127+M127+O127+Q127+S127+U127+W127+Y127+AA127+AC127+AE127+AG127+AI127+AK127+AM127)</f>
        <v/>
      </c>
      <c r="D127" s="3839">
        <f>SUM(F127+H127+J127+L127+N127+P127+R127+T127+V127+X127+Z127+AB127+AD127+AF127+AH127+AJ127+AL127+AN127)</f>
        <v/>
      </c>
      <c r="E127" s="3655" t="n"/>
      <c r="F127" s="3656" t="n"/>
      <c r="G127" s="3655" t="n"/>
      <c r="H127" s="3657" t="n"/>
      <c r="I127" s="3658" t="n"/>
      <c r="J127" s="3659" t="n"/>
      <c r="K127" s="3655" t="n"/>
      <c r="L127" s="3657" t="n"/>
      <c r="M127" s="3658" t="n"/>
      <c r="N127" s="3659" t="n"/>
      <c r="O127" s="3655" t="n"/>
      <c r="P127" s="3657" t="n"/>
      <c r="Q127" s="3655" t="n"/>
      <c r="R127" s="3657" t="n"/>
      <c r="S127" s="3655" t="n"/>
      <c r="T127" s="3657" t="n"/>
      <c r="U127" s="3658" t="n"/>
      <c r="V127" s="3659" t="n"/>
      <c r="W127" s="3655" t="n"/>
      <c r="X127" s="3657" t="n"/>
      <c r="Y127" s="3658" t="n"/>
      <c r="Z127" s="3659" t="n"/>
      <c r="AA127" s="3655" t="n"/>
      <c r="AB127" s="3657" t="n"/>
      <c r="AC127" s="3658" t="n"/>
      <c r="AD127" s="3659" t="n"/>
      <c r="AE127" s="3655" t="n"/>
      <c r="AF127" s="3657" t="n"/>
      <c r="AG127" s="3658" t="n"/>
      <c r="AH127" s="3659" t="n"/>
      <c r="AI127" s="3720" t="n"/>
      <c r="AJ127" s="3657" t="n"/>
      <c r="AK127" s="3658" t="n"/>
      <c r="AL127" s="3659" t="n"/>
      <c r="AM127" s="3720" t="n"/>
      <c r="AN127" s="3659" t="n"/>
      <c r="AO127" s="3845" t="n"/>
      <c r="AP127" s="17">
        <f>CA127</f>
        <v/>
      </c>
      <c r="CA127" s="90">
        <f>IF(AND(AO127="",B127&gt;0)," * No olvide digitar la variable Por campaña de Invierno. Digite CERO si no tiene.",IF(AO127&gt;B127," *La variable Por campaña de Invierno no puede ser mayor que el Total Ambos Sexos.",""))</f>
        <v/>
      </c>
      <c r="CF127" s="52">
        <f>IF(AND(AO127="",B127&gt;0),1,IF(AO127&gt;B127,1,0))</f>
        <v/>
      </c>
    </row>
    <row r="128" ht="15" customFormat="1" customHeight="1" s="17">
      <c r="A128" s="3841" t="inlineStr">
        <is>
          <t>Reagudización de EPOC</t>
        </is>
      </c>
      <c r="B128" s="3842">
        <f>SUM(C128+D128)</f>
        <v/>
      </c>
      <c r="C128" s="3843">
        <f>SUM(W128+Y128+AA128+AC128+AE128+AG128+AI128+AK128+AM128)</f>
        <v/>
      </c>
      <c r="D128" s="3839">
        <f>SUM(X128+Z128+AB128+AD128+AF128+AH128+AJ128+AL128+AN128)</f>
        <v/>
      </c>
      <c r="E128" s="3668" t="n"/>
      <c r="F128" s="3674" t="n"/>
      <c r="G128" s="3668" t="n"/>
      <c r="H128" s="3669" t="n"/>
      <c r="I128" s="3670" t="n"/>
      <c r="J128" s="3671" t="n"/>
      <c r="K128" s="3668" t="n"/>
      <c r="L128" s="3669" t="n"/>
      <c r="M128" s="3670" t="n"/>
      <c r="N128" s="3671" t="n"/>
      <c r="O128" s="3668" t="n"/>
      <c r="P128" s="3669" t="n"/>
      <c r="Q128" s="3668" t="n"/>
      <c r="R128" s="3669" t="n"/>
      <c r="S128" s="3668" t="n"/>
      <c r="T128" s="3669" t="n"/>
      <c r="U128" s="3670" t="n"/>
      <c r="V128" s="3671" t="n"/>
      <c r="W128" s="3655" t="n"/>
      <c r="X128" s="3657" t="n"/>
      <c r="Y128" s="3658" t="n"/>
      <c r="Z128" s="3659" t="n"/>
      <c r="AA128" s="3655" t="n"/>
      <c r="AB128" s="3657" t="n"/>
      <c r="AC128" s="3658" t="n"/>
      <c r="AD128" s="3659" t="n"/>
      <c r="AE128" s="3655" t="n"/>
      <c r="AF128" s="3657" t="n"/>
      <c r="AG128" s="3658" t="n"/>
      <c r="AH128" s="3659" t="n"/>
      <c r="AI128" s="3720" t="n"/>
      <c r="AJ128" s="3657" t="n"/>
      <c r="AK128" s="3658" t="n"/>
      <c r="AL128" s="3659" t="n"/>
      <c r="AM128" s="3720" t="n"/>
      <c r="AN128" s="3659" t="n"/>
      <c r="AO128" s="3845" t="n"/>
      <c r="AP128" s="17">
        <f>CA128</f>
        <v/>
      </c>
      <c r="CA128" s="90">
        <f>IF(AND(AO128="",B128&gt;0)," * No olvide digitar la variable Por campaña de Invierno. Digite CERO si no tiene.",IF(AO128&gt;B128," *La variable Por campaña de Invierno no puede ser mayor que el Total Ambos Sexos.",""))</f>
        <v/>
      </c>
      <c r="CF128" s="52">
        <f>IF(AND(AO128="",B128&gt;0),1,IF(AO128&gt;B128,1,0))</f>
        <v/>
      </c>
    </row>
    <row r="129" ht="15" customFormat="1" customHeight="1" s="17">
      <c r="A129" s="3846" t="inlineStr">
        <is>
          <t>Otras respiratorias</t>
        </is>
      </c>
      <c r="B129" s="3842">
        <f>SUM(C129+D129)</f>
        <v/>
      </c>
      <c r="C129" s="3843">
        <f>SUM(E129+G129+I129+K129+M129+O129+Q129+S129+U129+W129+Y129+AA129+AC129+AE129+AG129+AI129+AK129+AM129)</f>
        <v/>
      </c>
      <c r="D129" s="3839">
        <f>SUM(F129+H129+J129+L129+N129+P129+R129+T129+V129+X129+Z129+AB129+AD129+AF129+AH129+AJ129+AL129+AN129)</f>
        <v/>
      </c>
      <c r="E129" s="3678" t="n"/>
      <c r="F129" s="1138" t="n"/>
      <c r="G129" s="3678" t="n"/>
      <c r="H129" s="3679" t="n"/>
      <c r="I129" s="3680" t="n"/>
      <c r="J129" s="3681" t="n"/>
      <c r="K129" s="3678" t="n"/>
      <c r="L129" s="3679" t="n"/>
      <c r="M129" s="3680" t="n"/>
      <c r="N129" s="3681" t="n"/>
      <c r="O129" s="3678" t="n"/>
      <c r="P129" s="3679" t="n"/>
      <c r="Q129" s="3678" t="n"/>
      <c r="R129" s="3679" t="n"/>
      <c r="S129" s="3678" t="n"/>
      <c r="T129" s="3679" t="n"/>
      <c r="U129" s="3680" t="n"/>
      <c r="V129" s="3681" t="n"/>
      <c r="W129" s="3678" t="n"/>
      <c r="X129" s="3679" t="n"/>
      <c r="Y129" s="3680" t="n"/>
      <c r="Z129" s="3681" t="n"/>
      <c r="AA129" s="3678" t="n"/>
      <c r="AB129" s="3679" t="n"/>
      <c r="AC129" s="3680" t="n"/>
      <c r="AD129" s="3681" t="n"/>
      <c r="AE129" s="3678" t="n"/>
      <c r="AF129" s="3679" t="n"/>
      <c r="AG129" s="3680" t="n"/>
      <c r="AH129" s="3681" t="n"/>
      <c r="AI129" s="3710" t="n"/>
      <c r="AJ129" s="3679" t="n"/>
      <c r="AK129" s="3680" t="n"/>
      <c r="AL129" s="3681" t="n"/>
      <c r="AM129" s="3710" t="n"/>
      <c r="AN129" s="3681" t="n"/>
      <c r="AO129" s="3847" t="n"/>
      <c r="AP129" s="17">
        <f>CA129</f>
        <v/>
      </c>
      <c r="CA129" s="90">
        <f>IF(AND(AO129="",B129&gt;0)," * No olvide digitar la variable Por campaña de Invierno. Digite CERO si no tiene.",IF(AO129&gt;B129," *La variable Por campaña de Invierno no puede ser mayor que el Total Ambos Sexos.",""))</f>
        <v/>
      </c>
      <c r="CF129" s="52">
        <f>IF(AND(AO129="",B129&gt;0),1,IF(AO129&gt;B129,1,0))</f>
        <v/>
      </c>
    </row>
    <row r="130" ht="15" customFormat="1" customHeight="1" s="17">
      <c r="A130" s="8709" t="inlineStr">
        <is>
          <t>TOTAL</t>
        </is>
      </c>
      <c r="B130" s="3685">
        <f>SUM(B124:B129)</f>
        <v/>
      </c>
      <c r="C130" s="3688">
        <f>SUM(C124:C129)</f>
        <v/>
      </c>
      <c r="D130" s="3686">
        <f>SUM(D124:D129)</f>
        <v/>
      </c>
      <c r="E130" s="3685">
        <f>SUM(E124:E129)</f>
        <v/>
      </c>
      <c r="F130" s="3686">
        <f>SUM(F124:F129)</f>
        <v/>
      </c>
      <c r="G130" s="3685">
        <f>SUM(G124:G129)</f>
        <v/>
      </c>
      <c r="H130" s="3686">
        <f>SUM(H124:H129)</f>
        <v/>
      </c>
      <c r="I130" s="3688">
        <f>SUM(I124:I129)</f>
        <v/>
      </c>
      <c r="J130" s="3689">
        <f>SUM(J124:J129)</f>
        <v/>
      </c>
      <c r="K130" s="3685">
        <f>SUM(K124:K129)</f>
        <v/>
      </c>
      <c r="L130" s="3687">
        <f>SUM(L124:L129)</f>
        <v/>
      </c>
      <c r="M130" s="3688">
        <f>SUM(M124:M129)</f>
        <v/>
      </c>
      <c r="N130" s="3687">
        <f>SUM(N124:N129)</f>
        <v/>
      </c>
      <c r="O130" s="3688">
        <f>SUM(O124:O129)</f>
        <v/>
      </c>
      <c r="P130" s="3687">
        <f>SUM(P124:P129)</f>
        <v/>
      </c>
      <c r="Q130" s="3685">
        <f>SUM(Q124:Q129)</f>
        <v/>
      </c>
      <c r="R130" s="3687">
        <f>SUM(R124:R129)</f>
        <v/>
      </c>
      <c r="S130" s="3685">
        <f>SUM(S124:S129)</f>
        <v/>
      </c>
      <c r="T130" s="3687">
        <f>SUM(T124:T129)</f>
        <v/>
      </c>
      <c r="U130" s="3688">
        <f>SUM(U124:U129)</f>
        <v/>
      </c>
      <c r="V130" s="3689">
        <f>SUM(V124:V129)</f>
        <v/>
      </c>
      <c r="W130" s="3685">
        <f>SUM(W124:W129)</f>
        <v/>
      </c>
      <c r="X130" s="3687">
        <f>SUM(X124:X129)</f>
        <v/>
      </c>
      <c r="Y130" s="3688">
        <f>SUM(Y124:Y129)</f>
        <v/>
      </c>
      <c r="Z130" s="3689">
        <f>SUM(Z124:Z129)</f>
        <v/>
      </c>
      <c r="AA130" s="3685">
        <f>SUM(AA124:AA129)</f>
        <v/>
      </c>
      <c r="AB130" s="3687">
        <f>SUM(AB124:AB129)</f>
        <v/>
      </c>
      <c r="AC130" s="3688">
        <f>SUM(AC124:AC129)</f>
        <v/>
      </c>
      <c r="AD130" s="3689">
        <f>SUM(AD124:AD129)</f>
        <v/>
      </c>
      <c r="AE130" s="3685">
        <f>SUM(AE124:AE129)</f>
        <v/>
      </c>
      <c r="AF130" s="3687">
        <f>SUM(AF124:AF129)</f>
        <v/>
      </c>
      <c r="AG130" s="3688">
        <f>SUM(AG124:AG129)</f>
        <v/>
      </c>
      <c r="AH130" s="3689">
        <f>SUM(AH124:AH129)</f>
        <v/>
      </c>
      <c r="AI130" s="3685">
        <f>SUM(AI124:AI129)</f>
        <v/>
      </c>
      <c r="AJ130" s="3687">
        <f>SUM(AJ124:AJ129)</f>
        <v/>
      </c>
      <c r="AK130" s="3688">
        <f>SUM(AK124:AK129)</f>
        <v/>
      </c>
      <c r="AL130" s="3689">
        <f>SUM(AL124:AL129)</f>
        <v/>
      </c>
      <c r="AM130" s="3725">
        <f>SUM(AM124:AM129)</f>
        <v/>
      </c>
      <c r="AN130" s="3689">
        <f>SUM(AN124:AN129)</f>
        <v/>
      </c>
      <c r="AO130" s="3848">
        <f>SUM(AO124:AO129)</f>
        <v/>
      </c>
    </row>
    <row r="131" ht="18" customFormat="1" customHeight="1" s="20">
      <c r="A131" s="8744" t="inlineStr">
        <is>
          <t>SECCIÓN M: EDUCACIÓN EN SALAS</t>
        </is>
      </c>
      <c r="B131" s="8744" t="n"/>
      <c r="C131" s="8744" t="n"/>
      <c r="D131" s="8744" t="n"/>
      <c r="E131" s="53" t="n"/>
    </row>
    <row r="132" ht="18" customFormat="1" customHeight="1" s="20">
      <c r="A132" s="8744" t="inlineStr">
        <is>
          <t>SECCIÓN M.1: EDUCACION INDIVIDUAL EN SALA</t>
        </is>
      </c>
    </row>
    <row r="133" ht="15" customFormat="1" customHeight="1" s="17">
      <c r="A133" s="10250" t="inlineStr">
        <is>
          <t>DESTINO</t>
        </is>
      </c>
      <c r="B133" s="10409" t="inlineStr">
        <is>
          <t>TOTAL</t>
        </is>
      </c>
      <c r="C133" s="9602" t="n"/>
      <c r="D133" s="9630" t="n"/>
      <c r="E133" s="9977" t="inlineStr">
        <is>
          <t>RANGO ETARIO Y SEXO</t>
        </is>
      </c>
      <c r="F133" s="9584" t="n"/>
      <c r="G133" s="9584" t="n"/>
      <c r="H133" s="9584" t="n"/>
      <c r="I133" s="9584" t="n"/>
      <c r="J133" s="9584" t="n"/>
      <c r="K133" s="9584" t="n"/>
      <c r="L133" s="9584" t="n"/>
      <c r="M133" s="9584" t="n"/>
      <c r="N133" s="9584" t="n"/>
      <c r="O133" s="9584" t="n"/>
      <c r="P133" s="9584" t="n"/>
      <c r="Q133" s="9584" t="n"/>
      <c r="R133" s="9584" t="n"/>
      <c r="S133" s="9584" t="n"/>
      <c r="T133" s="9584" t="n"/>
      <c r="U133" s="9584" t="n"/>
      <c r="V133" s="9584" t="n"/>
      <c r="W133" s="9584" t="n"/>
      <c r="X133" s="9584" t="n"/>
      <c r="Y133" s="9584" t="n"/>
      <c r="Z133" s="9584" t="n"/>
      <c r="AA133" s="9584" t="n"/>
      <c r="AB133" s="9584" t="n"/>
      <c r="AC133" s="9584" t="n"/>
      <c r="AD133" s="9584" t="n"/>
      <c r="AE133" s="9584" t="n"/>
      <c r="AF133" s="9584" t="n"/>
      <c r="AG133" s="9584" t="n"/>
      <c r="AH133" s="9584" t="n"/>
      <c r="AI133" s="9584" t="n"/>
      <c r="AJ133" s="9584" t="n"/>
      <c r="AK133" s="9584" t="n"/>
      <c r="AL133" s="9584" t="n"/>
      <c r="AM133" s="9584" t="n"/>
      <c r="AN133" s="9582" t="n"/>
    </row>
    <row r="134" ht="15" customFormat="1" customHeight="1" s="17">
      <c r="A134" s="9625" t="n"/>
      <c r="B134" s="9697" t="n"/>
      <c r="C134" s="9697" t="n"/>
      <c r="D134" s="9639" t="n"/>
      <c r="E134" s="7674" t="inlineStr">
        <is>
          <t>Menor de 1 año</t>
        </is>
      </c>
      <c r="F134" s="9603" t="n"/>
      <c r="G134" s="9977" t="inlineStr">
        <is>
          <t>1 - 4 
años</t>
        </is>
      </c>
      <c r="H134" s="9582" t="n"/>
      <c r="I134" s="9446" t="inlineStr">
        <is>
          <t>5 - 9 
años</t>
        </is>
      </c>
      <c r="J134" s="9617" t="n"/>
      <c r="K134" s="9977" t="inlineStr">
        <is>
          <t>10 - 14 años</t>
        </is>
      </c>
      <c r="L134" s="9582" t="n"/>
      <c r="M134" s="9977" t="inlineStr">
        <is>
          <t>15 - 19 años</t>
        </is>
      </c>
      <c r="N134" s="9582" t="n"/>
      <c r="O134" s="10046" t="inlineStr">
        <is>
          <t>20 - 24 años</t>
        </is>
      </c>
      <c r="P134" s="9603" t="n"/>
      <c r="Q134" s="10046" t="inlineStr">
        <is>
          <t>25 - 29 años</t>
        </is>
      </c>
      <c r="R134" s="9603" t="n"/>
      <c r="S134" s="10046" t="inlineStr">
        <is>
          <t>30 - 34 años</t>
        </is>
      </c>
      <c r="T134" s="9603" t="n"/>
      <c r="U134" s="10405" t="inlineStr">
        <is>
          <t>35 - 39 años</t>
        </is>
      </c>
      <c r="V134" s="9603" t="n"/>
      <c r="W134" s="10046" t="inlineStr">
        <is>
          <t>40 - 44 años</t>
        </is>
      </c>
      <c r="X134" s="9603" t="n"/>
      <c r="Y134" s="10392" t="inlineStr">
        <is>
          <t>45 - 49 años</t>
        </is>
      </c>
      <c r="Z134" s="9602" t="n"/>
      <c r="AA134" s="10046" t="inlineStr">
        <is>
          <t>50 - 54 años</t>
        </is>
      </c>
      <c r="AB134" s="9603" t="n"/>
      <c r="AC134" s="10392" t="inlineStr">
        <is>
          <t>55 - 59 años</t>
        </is>
      </c>
      <c r="AD134" s="9602" t="n"/>
      <c r="AE134" s="10046" t="inlineStr">
        <is>
          <t>60 - 64 años</t>
        </is>
      </c>
      <c r="AF134" s="9603" t="n"/>
      <c r="AG134" s="10392" t="inlineStr">
        <is>
          <t>65 - 69 años</t>
        </is>
      </c>
      <c r="AH134" s="9602" t="n"/>
      <c r="AI134" s="10046" t="inlineStr">
        <is>
          <t>70 - 74 años</t>
        </is>
      </c>
      <c r="AJ134" s="9603" t="n"/>
      <c r="AK134" s="10392" t="inlineStr">
        <is>
          <t>75 - 79 años</t>
        </is>
      </c>
      <c r="AL134" s="9602" t="n"/>
      <c r="AM134" s="9977" t="inlineStr">
        <is>
          <t>80 y más años</t>
        </is>
      </c>
      <c r="AN134" s="9582" t="n"/>
    </row>
    <row r="135" ht="15" customFormat="1" customHeight="1" s="17">
      <c r="A135" s="9641" t="n"/>
      <c r="B135" s="3642" t="inlineStr">
        <is>
          <t>Ambos Sexos</t>
        </is>
      </c>
      <c r="C135" s="3643" t="inlineStr">
        <is>
          <t>Hombres</t>
        </is>
      </c>
      <c r="D135" s="8658" t="inlineStr">
        <is>
          <t>Mujeres</t>
        </is>
      </c>
      <c r="E135" s="3642" t="inlineStr">
        <is>
          <t>Hombres</t>
        </is>
      </c>
      <c r="F135" s="8658" t="inlineStr">
        <is>
          <t>Mujeres</t>
        </is>
      </c>
      <c r="G135" s="3642" t="inlineStr">
        <is>
          <t>Hombres</t>
        </is>
      </c>
      <c r="H135" s="8658" t="inlineStr">
        <is>
          <t>Mujeres</t>
        </is>
      </c>
      <c r="I135" s="3643" t="inlineStr">
        <is>
          <t>Hombres</t>
        </is>
      </c>
      <c r="J135" s="8716" t="inlineStr">
        <is>
          <t>Mujeres</t>
        </is>
      </c>
      <c r="K135" s="3642" t="inlineStr">
        <is>
          <t>Hombres</t>
        </is>
      </c>
      <c r="L135" s="8658" t="inlineStr">
        <is>
          <t>Mujeres</t>
        </is>
      </c>
      <c r="M135" s="3643" t="inlineStr">
        <is>
          <t>Hombres</t>
        </is>
      </c>
      <c r="N135" s="8716" t="inlineStr">
        <is>
          <t>Mujeres</t>
        </is>
      </c>
      <c r="O135" s="3642" t="inlineStr">
        <is>
          <t>Hombres</t>
        </is>
      </c>
      <c r="P135" s="8658" t="inlineStr">
        <is>
          <t>Mujeres</t>
        </is>
      </c>
      <c r="Q135" s="3642" t="inlineStr">
        <is>
          <t>Hombres</t>
        </is>
      </c>
      <c r="R135" s="8658" t="inlineStr">
        <is>
          <t>Mujeres</t>
        </is>
      </c>
      <c r="S135" s="3642" t="inlineStr">
        <is>
          <t>Hombres</t>
        </is>
      </c>
      <c r="T135" s="8658" t="inlineStr">
        <is>
          <t>Mujeres</t>
        </is>
      </c>
      <c r="U135" s="3643" t="inlineStr">
        <is>
          <t>Hombres</t>
        </is>
      </c>
      <c r="V135" s="8658" t="inlineStr">
        <is>
          <t>Mujeres</t>
        </is>
      </c>
      <c r="W135" s="3642" t="inlineStr">
        <is>
          <t>Hombres</t>
        </is>
      </c>
      <c r="X135" s="8658" t="inlineStr">
        <is>
          <t>Mujeres</t>
        </is>
      </c>
      <c r="Y135" s="3643" t="inlineStr">
        <is>
          <t>Hombres</t>
        </is>
      </c>
      <c r="Z135" s="8716" t="inlineStr">
        <is>
          <t>Mujeres</t>
        </is>
      </c>
      <c r="AA135" s="3642" t="inlineStr">
        <is>
          <t>Hombres</t>
        </is>
      </c>
      <c r="AB135" s="8658" t="inlineStr">
        <is>
          <t>Mujeres</t>
        </is>
      </c>
      <c r="AC135" s="3643" t="inlineStr">
        <is>
          <t>Hombres</t>
        </is>
      </c>
      <c r="AD135" s="8716" t="inlineStr">
        <is>
          <t>Mujeres</t>
        </is>
      </c>
      <c r="AE135" s="3642" t="inlineStr">
        <is>
          <t>Hombres</t>
        </is>
      </c>
      <c r="AF135" s="8658" t="inlineStr">
        <is>
          <t>Mujeres</t>
        </is>
      </c>
      <c r="AG135" s="3643" t="inlineStr">
        <is>
          <t>Hombres</t>
        </is>
      </c>
      <c r="AH135" s="8716" t="inlineStr">
        <is>
          <t>Mujeres</t>
        </is>
      </c>
      <c r="AI135" s="3642" t="inlineStr">
        <is>
          <t>Hombres</t>
        </is>
      </c>
      <c r="AJ135" s="8658" t="inlineStr">
        <is>
          <t>Mujeres</t>
        </is>
      </c>
      <c r="AK135" s="3643" t="inlineStr">
        <is>
          <t>Hombres</t>
        </is>
      </c>
      <c r="AL135" s="8716" t="inlineStr">
        <is>
          <t>Mujeres</t>
        </is>
      </c>
      <c r="AM135" s="3642" t="inlineStr">
        <is>
          <t>Hombres</t>
        </is>
      </c>
      <c r="AN135" s="8658" t="inlineStr">
        <is>
          <t>Mujeres</t>
        </is>
      </c>
    </row>
    <row r="136" ht="15" customFormat="1" customHeight="1" s="17">
      <c r="A136" s="3595" t="inlineStr">
        <is>
          <t>Antitabaco</t>
        </is>
      </c>
      <c r="B136" s="3514">
        <f>SUM(C136+D136)</f>
        <v/>
      </c>
      <c r="C136" s="3843">
        <f>SUM(E136+G136+I136+K136+M136+O136+Q136+S136+U136+W136+Y136+AA136+AC136+AE136+AG136+AI136+AK136+AM136)</f>
        <v/>
      </c>
      <c r="D136" s="3839">
        <f>SUM(F136+H136+J136+L136+N136+P136+R136+T136+V136+X136+Z136+AB136+AD136+AF136+AH136+AJ136+AL136+AN136)</f>
        <v/>
      </c>
      <c r="E136" s="645" t="n"/>
      <c r="F136" s="2057" t="n"/>
      <c r="G136" s="645" t="n"/>
      <c r="H136" s="2057" t="n"/>
      <c r="I136" s="645" t="n"/>
      <c r="J136" s="2057" t="n"/>
      <c r="K136" s="645" t="n"/>
      <c r="L136" s="2057" t="n"/>
      <c r="M136" s="645" t="n"/>
      <c r="N136" s="2057" t="n"/>
      <c r="O136" s="645" t="n"/>
      <c r="P136" s="2057" t="n"/>
      <c r="Q136" s="645" t="n"/>
      <c r="R136" s="2057" t="n"/>
      <c r="S136" s="645" t="n"/>
      <c r="T136" s="2057" t="n"/>
      <c r="U136" s="645" t="n"/>
      <c r="V136" s="2057" t="n"/>
      <c r="W136" s="645" t="n"/>
      <c r="X136" s="2057" t="n"/>
      <c r="Y136" s="645" t="n"/>
      <c r="Z136" s="2057" t="n"/>
      <c r="AA136" s="645" t="n"/>
      <c r="AB136" s="2057" t="n"/>
      <c r="AC136" s="645" t="n"/>
      <c r="AD136" s="2057" t="n"/>
      <c r="AE136" s="645" t="n"/>
      <c r="AF136" s="2057" t="n"/>
      <c r="AG136" s="645" t="n"/>
      <c r="AH136" s="2057" t="n"/>
      <c r="AI136" s="645" t="n"/>
      <c r="AJ136" s="2057" t="n"/>
      <c r="AK136" s="645" t="n"/>
      <c r="AL136" s="2057" t="n"/>
      <c r="AM136" s="645" t="n"/>
      <c r="AN136" s="2057" t="n"/>
    </row>
    <row r="137" ht="15" customFormat="1" customHeight="1" s="17">
      <c r="A137" s="3849" t="inlineStr">
        <is>
          <t>Autocuidado según patología</t>
        </is>
      </c>
      <c r="B137" s="3666">
        <f>SUM(C137+D137)</f>
        <v/>
      </c>
      <c r="C137" s="3843">
        <f>SUM(E137+G137+I137+K137+M137+O137+Q137+S137+U137+W137+Y137+AA137+AC137+AE137+AG137+AI137+AK137+AM137)</f>
        <v/>
      </c>
      <c r="D137" s="3839">
        <f>SUM(F137+H137+J137+L137+N137+P137+R137+T137+V137+X137+Z137+AB137+AD137+AF137+AH137+AJ137+AL137+AN137)</f>
        <v/>
      </c>
      <c r="E137" s="1179" t="n"/>
      <c r="F137" s="1180" t="n"/>
      <c r="G137" s="1179" t="n"/>
      <c r="H137" s="1180" t="n"/>
      <c r="I137" s="1179" t="n"/>
      <c r="J137" s="1180" t="n"/>
      <c r="K137" s="1179" t="n"/>
      <c r="L137" s="1180" t="n"/>
      <c r="M137" s="1179" t="n"/>
      <c r="N137" s="1180" t="n"/>
      <c r="O137" s="1179" t="n"/>
      <c r="P137" s="1180" t="n"/>
      <c r="Q137" s="1179" t="n"/>
      <c r="R137" s="1180" t="n"/>
      <c r="S137" s="1179" t="n"/>
      <c r="T137" s="1180" t="n"/>
      <c r="U137" s="1179" t="n"/>
      <c r="V137" s="1180" t="n"/>
      <c r="W137" s="1179" t="n"/>
      <c r="X137" s="1180" t="n"/>
      <c r="Y137" s="1179" t="n"/>
      <c r="Z137" s="1180" t="n"/>
      <c r="AA137" s="1179" t="n"/>
      <c r="AB137" s="1180" t="n"/>
      <c r="AC137" s="1179" t="n"/>
      <c r="AD137" s="1180" t="n"/>
      <c r="AE137" s="1179" t="n"/>
      <c r="AF137" s="1180" t="n"/>
      <c r="AG137" s="1179" t="n"/>
      <c r="AH137" s="1180" t="n"/>
      <c r="AI137" s="1179" t="n"/>
      <c r="AJ137" s="1180" t="n"/>
      <c r="AK137" s="1179" t="n"/>
      <c r="AL137" s="1180" t="n"/>
      <c r="AM137" s="1179" t="n"/>
      <c r="AN137" s="1180" t="n"/>
    </row>
    <row r="138" ht="15" customFormat="1" customHeight="1" s="17">
      <c r="A138" s="3632" t="inlineStr">
        <is>
          <t>Uso de terapia inhalatoria</t>
        </is>
      </c>
      <c r="B138" s="3666">
        <f>SUM(C138+D138)</f>
        <v/>
      </c>
      <c r="C138" s="3843">
        <f>SUM(E138+G138+I138+K138+M138+O138+Q138+S138+U138+W138+Y138+AA138+AC138+AE138+AG138+AI138+AK138+AM138)</f>
        <v/>
      </c>
      <c r="D138" s="3839">
        <f>SUM(F138+H138+J138+L138+N138+P138+R138+T138+V138+X138+Z138+AB138+AD138+AF138+AH138+AJ138+AL138+AN138)</f>
        <v/>
      </c>
      <c r="E138" s="1179" t="n"/>
      <c r="F138" s="1180" t="n"/>
      <c r="G138" s="1179" t="n"/>
      <c r="H138" s="1180" t="n"/>
      <c r="I138" s="1179" t="n"/>
      <c r="J138" s="1180" t="n"/>
      <c r="K138" s="1179" t="n"/>
      <c r="L138" s="1180" t="n"/>
      <c r="M138" s="1179" t="n"/>
      <c r="N138" s="1180" t="n"/>
      <c r="O138" s="1179" t="n"/>
      <c r="P138" s="1180" t="n"/>
      <c r="Q138" s="1179" t="n"/>
      <c r="R138" s="1180" t="n"/>
      <c r="S138" s="1179" t="n"/>
      <c r="T138" s="1180" t="n"/>
      <c r="U138" s="1179" t="n"/>
      <c r="V138" s="1180" t="n"/>
      <c r="W138" s="1179" t="n"/>
      <c r="X138" s="1180" t="n"/>
      <c r="Y138" s="1179" t="n"/>
      <c r="Z138" s="1180" t="n"/>
      <c r="AA138" s="1179" t="n"/>
      <c r="AB138" s="1180" t="n"/>
      <c r="AC138" s="1179" t="n"/>
      <c r="AD138" s="1180" t="n"/>
      <c r="AE138" s="1179" t="n"/>
      <c r="AF138" s="1180" t="n"/>
      <c r="AG138" s="1179" t="n"/>
      <c r="AH138" s="1180" t="n"/>
      <c r="AI138" s="1179" t="n"/>
      <c r="AJ138" s="1180" t="n"/>
      <c r="AK138" s="1179" t="n"/>
      <c r="AL138" s="3791" t="n"/>
      <c r="AM138" s="1179" t="n"/>
      <c r="AN138" s="1180" t="n"/>
    </row>
    <row r="139" ht="15" customFormat="1" customHeight="1" s="17">
      <c r="A139" s="3849" t="inlineStr">
        <is>
          <t xml:space="preserve">Educacion integral en salud respiratoria </t>
        </is>
      </c>
      <c r="B139" s="3666">
        <f>SUM(C139+D139)</f>
        <v/>
      </c>
      <c r="C139" s="3843">
        <f>SUM(E139+G139+I139+K139+M139+O139+Q139+S139+U139+W139+Y139+AA139+AC139+AE139+AG139+AI139+AK139+AM139)</f>
        <v/>
      </c>
      <c r="D139" s="3839">
        <f>SUM(F139+H139+J139+L139+N139+P139+R139+T139+V139+X139+Z139+AB139+AD139+AF139+AH139+AJ139+AL139+AN139)</f>
        <v/>
      </c>
      <c r="E139" s="1179" t="n"/>
      <c r="F139" s="1180" t="n"/>
      <c r="G139" s="1179" t="n"/>
      <c r="H139" s="1180" t="n"/>
      <c r="I139" s="1179" t="n"/>
      <c r="J139" s="1180" t="n"/>
      <c r="K139" s="1179" t="n"/>
      <c r="L139" s="1180" t="n"/>
      <c r="M139" s="1179" t="n"/>
      <c r="N139" s="1180" t="n"/>
      <c r="O139" s="1179" t="n"/>
      <c r="P139" s="1180" t="n"/>
      <c r="Q139" s="1179" t="n"/>
      <c r="R139" s="1180" t="n"/>
      <c r="S139" s="1179" t="n"/>
      <c r="T139" s="1180" t="n"/>
      <c r="U139" s="1179" t="n"/>
      <c r="V139" s="1180" t="n"/>
      <c r="W139" s="1179" t="n"/>
      <c r="X139" s="1180" t="n"/>
      <c r="Y139" s="1179" t="n"/>
      <c r="Z139" s="1180" t="n"/>
      <c r="AA139" s="1179" t="n"/>
      <c r="AB139" s="1180" t="n"/>
      <c r="AC139" s="1179" t="n"/>
      <c r="AD139" s="1180" t="n"/>
      <c r="AE139" s="1179" t="n"/>
      <c r="AF139" s="1180" t="n"/>
      <c r="AG139" s="1179" t="n"/>
      <c r="AH139" s="1180" t="n"/>
      <c r="AI139" s="1179" t="n"/>
      <c r="AJ139" s="1180" t="n"/>
      <c r="AK139" s="1179" t="n"/>
      <c r="AL139" s="1180" t="n"/>
      <c r="AM139" s="1179" t="n"/>
      <c r="AN139" s="1180" t="n"/>
    </row>
    <row r="140" ht="15" customFormat="1" customHeight="1" s="17">
      <c r="A140" s="3849" t="inlineStr">
        <is>
          <t>Estilo de vida saludables</t>
        </is>
      </c>
      <c r="B140" s="3666">
        <f>SUM(C140+D140)</f>
        <v/>
      </c>
      <c r="C140" s="3843">
        <f>SUM(E140+G140+I140+K140+M140+O140+Q140+S140+U140+W140+Y140+AA140+AC140+AE140+AG140+AI140+AK140+AM140)</f>
        <v/>
      </c>
      <c r="D140" s="3839">
        <f>SUM(F140+H140+J140+L140+N140+P140+R140+T140+V140+X140+Z140+AB140+AD140+AF140+AH140+AJ140+AL140+AN140)</f>
        <v/>
      </c>
      <c r="E140" s="1179" t="n"/>
      <c r="F140" s="1180" t="n"/>
      <c r="G140" s="1179" t="n"/>
      <c r="H140" s="1180" t="n"/>
      <c r="I140" s="1179" t="n"/>
      <c r="J140" s="1180" t="n"/>
      <c r="K140" s="1179" t="n"/>
      <c r="L140" s="1180" t="n"/>
      <c r="M140" s="1179" t="n"/>
      <c r="N140" s="1180" t="n"/>
      <c r="O140" s="1179" t="n"/>
      <c r="P140" s="1180" t="n"/>
      <c r="Q140" s="1179" t="n"/>
      <c r="R140" s="1180" t="n"/>
      <c r="S140" s="1179" t="n"/>
      <c r="T140" s="1180" t="n"/>
      <c r="U140" s="1179" t="n"/>
      <c r="V140" s="1180" t="n"/>
      <c r="W140" s="1179" t="n"/>
      <c r="X140" s="1180" t="n"/>
      <c r="Y140" s="1179" t="n"/>
      <c r="Z140" s="1180" t="n"/>
      <c r="AA140" s="1179" t="n"/>
      <c r="AB140" s="1180" t="n"/>
      <c r="AC140" s="1179" t="n"/>
      <c r="AD140" s="1180" t="n"/>
      <c r="AE140" s="1179" t="n"/>
      <c r="AF140" s="1180" t="n"/>
      <c r="AG140" s="1179" t="n"/>
      <c r="AH140" s="1180" t="n"/>
      <c r="AI140" s="1179" t="n"/>
      <c r="AJ140" s="1180" t="n"/>
      <c r="AK140" s="1179" t="n"/>
      <c r="AL140" s="1180" t="n"/>
      <c r="AM140" s="1179" t="n"/>
      <c r="AN140" s="1180" t="n"/>
    </row>
    <row r="141" ht="15" customFormat="1" customHeight="1" s="17">
      <c r="A141" s="3598" t="inlineStr">
        <is>
          <t>Otras</t>
        </is>
      </c>
      <c r="B141" s="3666">
        <f>SUM(C141+D141)</f>
        <v/>
      </c>
      <c r="C141" s="3843">
        <f>SUM(E141+G141+I141+K141+M141+O141+Q141+S141+U141+W141+Y141+AA141+AC141+AE141+AG141+AI141+AK141+AM141)</f>
        <v/>
      </c>
      <c r="D141" s="3839">
        <f>SUM(F141+H141+J141+L141+N141+P141+R141+T141+V141+X141+Z141+AB141+AD141+AF141+AH141+AJ141+AL141+AN141)</f>
        <v/>
      </c>
      <c r="E141" s="1179" t="n"/>
      <c r="F141" s="1180" t="n"/>
      <c r="G141" s="1179" t="n"/>
      <c r="H141" s="1180" t="n"/>
      <c r="I141" s="1179" t="n"/>
      <c r="J141" s="1180" t="n"/>
      <c r="K141" s="1179" t="n"/>
      <c r="L141" s="1180" t="n"/>
      <c r="M141" s="1179" t="n"/>
      <c r="N141" s="1180" t="n"/>
      <c r="O141" s="1179" t="n"/>
      <c r="P141" s="1180" t="n"/>
      <c r="Q141" s="1179" t="n"/>
      <c r="R141" s="1180" t="n"/>
      <c r="S141" s="1179" t="n"/>
      <c r="T141" s="1180" t="n"/>
      <c r="U141" s="1179" t="n"/>
      <c r="V141" s="1180" t="n"/>
      <c r="W141" s="1179" t="n"/>
      <c r="X141" s="1180" t="n"/>
      <c r="Y141" s="1179" t="n"/>
      <c r="Z141" s="1180" t="n"/>
      <c r="AA141" s="1179" t="n"/>
      <c r="AB141" s="1180" t="n"/>
      <c r="AC141" s="1179" t="n"/>
      <c r="AD141" s="1180" t="n"/>
      <c r="AE141" s="1179" t="n"/>
      <c r="AF141" s="1180" t="n"/>
      <c r="AG141" s="1179" t="n"/>
      <c r="AH141" s="1180" t="n"/>
      <c r="AI141" s="1179" t="n"/>
      <c r="AJ141" s="1180" t="n"/>
      <c r="AK141" s="1179" t="n"/>
      <c r="AL141" s="1180" t="n"/>
      <c r="AM141" s="1179" t="n"/>
      <c r="AN141" s="1180" t="n"/>
    </row>
    <row r="142" ht="15" customFormat="1" customHeight="1" s="17">
      <c r="A142" s="3796" t="inlineStr">
        <is>
          <t>TOTAL</t>
        </is>
      </c>
      <c r="B142" s="3797">
        <f>SUM(B136:B141)</f>
        <v/>
      </c>
      <c r="C142" s="3798">
        <f>SUM(C136:C141)</f>
        <v/>
      </c>
      <c r="D142" s="3532">
        <f>SUM(D136:D141)</f>
        <v/>
      </c>
      <c r="E142" s="3797">
        <f>SUM(E136:E141)</f>
        <v/>
      </c>
      <c r="F142" s="3800">
        <f>SUM(F136:F141)</f>
        <v/>
      </c>
      <c r="G142" s="3797">
        <f>SUM(G136:G141)</f>
        <v/>
      </c>
      <c r="H142" s="3800">
        <f>SUM(H136:H141)</f>
        <v/>
      </c>
      <c r="I142" s="3797">
        <f>SUM(I136:I141)</f>
        <v/>
      </c>
      <c r="J142" s="3800">
        <f>SUM(J136:J141)</f>
        <v/>
      </c>
      <c r="K142" s="3797">
        <f>SUM(K136:K141)</f>
        <v/>
      </c>
      <c r="L142" s="3800">
        <f>SUM(L136:L141)</f>
        <v/>
      </c>
      <c r="M142" s="3797">
        <f>SUM(M136:M141)</f>
        <v/>
      </c>
      <c r="N142" s="3800">
        <f>SUM(N136:N141)</f>
        <v/>
      </c>
      <c r="O142" s="3797">
        <f>SUM(O136:O141)</f>
        <v/>
      </c>
      <c r="P142" s="3800">
        <f>SUM(P136:P141)</f>
        <v/>
      </c>
      <c r="Q142" s="3797">
        <f>SUM(Q136:Q141)</f>
        <v/>
      </c>
      <c r="R142" s="3800">
        <f>SUM(R136:R141)</f>
        <v/>
      </c>
      <c r="S142" s="3797">
        <f>SUM(S136:S141)</f>
        <v/>
      </c>
      <c r="T142" s="3800">
        <f>SUM(T136:T141)</f>
        <v/>
      </c>
      <c r="U142" s="3797">
        <f>SUM(U136:U141)</f>
        <v/>
      </c>
      <c r="V142" s="3800">
        <f>SUM(V136:V141)</f>
        <v/>
      </c>
      <c r="W142" s="3797">
        <f>SUM(W136:W141)</f>
        <v/>
      </c>
      <c r="X142" s="3800">
        <f>SUM(X136:X141)</f>
        <v/>
      </c>
      <c r="Y142" s="3797">
        <f>SUM(Y136:Y141)</f>
        <v/>
      </c>
      <c r="Z142" s="3800">
        <f>SUM(Z136:Z141)</f>
        <v/>
      </c>
      <c r="AA142" s="3797">
        <f>SUM(AA136:AA141)</f>
        <v/>
      </c>
      <c r="AB142" s="3800">
        <f>SUM(AB136:AB141)</f>
        <v/>
      </c>
      <c r="AC142" s="3797">
        <f>SUM(AC136:AC141)</f>
        <v/>
      </c>
      <c r="AD142" s="3800">
        <f>SUM(AD136:AD141)</f>
        <v/>
      </c>
      <c r="AE142" s="3797">
        <f>SUM(AE136:AE141)</f>
        <v/>
      </c>
      <c r="AF142" s="3800">
        <f>SUM(AF136:AF141)</f>
        <v/>
      </c>
      <c r="AG142" s="3797">
        <f>SUM(AG136:AG141)</f>
        <v/>
      </c>
      <c r="AH142" s="3800">
        <f>SUM(AH136:AH141)</f>
        <v/>
      </c>
      <c r="AI142" s="3797">
        <f>SUM(AI136:AI141)</f>
        <v/>
      </c>
      <c r="AJ142" s="3800">
        <f>SUM(AJ136:AJ141)</f>
        <v/>
      </c>
      <c r="AK142" s="3797">
        <f>SUM(AK136:AK141)</f>
        <v/>
      </c>
      <c r="AL142" s="3800">
        <f>SUM(AL136:AL141)</f>
        <v/>
      </c>
      <c r="AM142" s="3797">
        <f>SUM(AM136:AM141)</f>
        <v/>
      </c>
      <c r="AN142" s="3800">
        <f>SUM(AN136:AN141)</f>
        <v/>
      </c>
    </row>
    <row r="143" ht="18" customFormat="1" customHeight="1" s="20">
      <c r="A143" s="1" t="inlineStr">
        <is>
          <t>SECCIÓN M.2: EDUCACIÓN GRUPAL (AGENDADA Y PROGRAMADA)</t>
        </is>
      </c>
    </row>
    <row r="144" ht="15" customFormat="1" customHeight="1" s="17">
      <c r="A144" s="8490" t="inlineStr">
        <is>
          <t>TEMAS</t>
        </is>
      </c>
      <c r="B144" s="9582" t="n"/>
      <c r="C144" s="3851" t="inlineStr">
        <is>
          <t>Nº Sesiones</t>
        </is>
      </c>
      <c r="D144" s="3852" t="inlineStr">
        <is>
          <t>Nº Participantes</t>
        </is>
      </c>
    </row>
    <row r="145" ht="15" customFormat="1" customHeight="1" s="17">
      <c r="A145" s="10283" t="inlineStr">
        <is>
          <t>Educación integral en salud respiratoria</t>
        </is>
      </c>
      <c r="B145" s="3854" t="inlineStr">
        <is>
          <t>Pacientes, padres o cuidadores</t>
        </is>
      </c>
      <c r="C145" s="3704" t="n"/>
      <c r="D145" s="2455" t="n"/>
    </row>
    <row r="146" ht="15" customFormat="1" customHeight="1" s="17">
      <c r="A146" s="10125" t="n"/>
      <c r="B146" s="3856" t="inlineStr">
        <is>
          <t>Salas cunas y jardines infantiles</t>
        </is>
      </c>
      <c r="C146" s="3655" t="n"/>
      <c r="D146" s="3657" t="n"/>
    </row>
    <row r="147" ht="15" customFormat="1" customHeight="1" s="17">
      <c r="A147" s="10125" t="n"/>
      <c r="B147" s="3856" t="inlineStr">
        <is>
          <t>Establecimientos educacionales</t>
        </is>
      </c>
      <c r="C147" s="3655" t="n"/>
      <c r="D147" s="3657" t="n"/>
    </row>
    <row r="148" ht="15" customFormat="1" customHeight="1" s="17">
      <c r="A148" s="10124" t="n"/>
      <c r="B148" s="3858" t="inlineStr">
        <is>
          <t>Intersector</t>
        </is>
      </c>
      <c r="C148" s="3678" t="n"/>
      <c r="D148" s="3679" t="n"/>
    </row>
    <row r="149" ht="15" customFormat="1" customHeight="1" s="17">
      <c r="A149" s="10283" t="inlineStr">
        <is>
          <t>Antitabáco</t>
        </is>
      </c>
      <c r="B149" s="3854" t="inlineStr">
        <is>
          <t>Pacientes, padres o cuidadores</t>
        </is>
      </c>
      <c r="C149" s="1971" t="n"/>
      <c r="D149" s="750" t="n"/>
    </row>
    <row r="150" ht="15" customFormat="1" customHeight="1" s="17">
      <c r="A150" s="10125" t="n"/>
      <c r="B150" s="3856" t="inlineStr">
        <is>
          <t>Salas cunas y jardines infantiles</t>
        </is>
      </c>
      <c r="C150" s="3655" t="n"/>
      <c r="D150" s="3657" t="n"/>
    </row>
    <row r="151" ht="15" customFormat="1" customHeight="1" s="17">
      <c r="A151" s="10125" t="n"/>
      <c r="B151" s="3856" t="inlineStr">
        <is>
          <t>Establecimientos educacionales</t>
        </is>
      </c>
      <c r="C151" s="3655" t="n"/>
      <c r="D151" s="3657" t="n"/>
    </row>
    <row r="152" ht="15" customFormat="1" customHeight="1" s="17">
      <c r="A152" s="10124" t="n"/>
      <c r="B152" s="3858" t="inlineStr">
        <is>
          <t>Intersector</t>
        </is>
      </c>
      <c r="C152" s="3678" t="n"/>
      <c r="D152" s="3679" t="n"/>
    </row>
    <row r="153" ht="15" customFormat="1" customHeight="1" s="17">
      <c r="A153" s="10410" t="inlineStr">
        <is>
          <t>TOTAL</t>
        </is>
      </c>
      <c r="B153" s="9582" t="n"/>
      <c r="C153" s="3859">
        <f>SUM(C145:C152)</f>
        <v/>
      </c>
      <c r="D153" s="150">
        <f>SUM(D145:D152)</f>
        <v/>
      </c>
    </row>
    <row r="154" ht="18" customFormat="1" customHeight="1" s="20">
      <c r="A154" s="8616" t="inlineStr">
        <is>
          <t xml:space="preserve">SECCIÓN N: VISITAS DOMICILIARIAS Y SEGUIMIENTO REALIZADOS POR EQUIPO IRA-ERA </t>
        </is>
      </c>
    </row>
    <row r="155" ht="15" customFormat="1" customHeight="1" s="17">
      <c r="A155" s="10215" t="inlineStr">
        <is>
          <t>CONCEPTOS</t>
        </is>
      </c>
      <c r="B155" s="10409" t="inlineStr">
        <is>
          <t>TOTAL</t>
        </is>
      </c>
      <c r="C155" s="9602" t="n"/>
      <c r="D155" s="9630" t="n"/>
      <c r="E155" s="10408" t="inlineStr">
        <is>
          <t>RANGO ETARIO Y SEXO</t>
        </is>
      </c>
      <c r="F155" s="9584" t="n"/>
      <c r="G155" s="9584" t="n"/>
      <c r="H155" s="9584" t="n"/>
      <c r="I155" s="9584" t="n"/>
      <c r="J155" s="9584" t="n"/>
      <c r="K155" s="9584" t="n"/>
      <c r="L155" s="9584" t="n"/>
      <c r="M155" s="9584" t="n"/>
      <c r="N155" s="9584" t="n"/>
      <c r="O155" s="9584" t="n"/>
      <c r="P155" s="9584" t="n"/>
      <c r="Q155" s="9584" t="n"/>
      <c r="R155" s="9584" t="n"/>
      <c r="S155" s="9584" t="n"/>
      <c r="T155" s="9584" t="n"/>
      <c r="U155" s="9584" t="n"/>
      <c r="V155" s="9584" t="n"/>
      <c r="W155" s="9584" t="n"/>
      <c r="X155" s="9584" t="n"/>
      <c r="Y155" s="9584" t="n"/>
      <c r="Z155" s="9584" t="n"/>
      <c r="AA155" s="9584" t="n"/>
      <c r="AB155" s="9584" t="n"/>
      <c r="AC155" s="9584" t="n"/>
      <c r="AD155" s="9584" t="n"/>
      <c r="AE155" s="9584" t="n"/>
      <c r="AF155" s="9584" t="n"/>
      <c r="AG155" s="9584" t="n"/>
      <c r="AH155" s="9584" t="n"/>
      <c r="AI155" s="9584" t="n"/>
      <c r="AJ155" s="9584" t="n"/>
      <c r="AK155" s="9584" t="n"/>
      <c r="AL155" s="9584" t="n"/>
      <c r="AM155" s="9584" t="n"/>
      <c r="AN155" s="9582" t="n"/>
    </row>
    <row r="156" ht="15" customFormat="1" customHeight="1" s="17">
      <c r="A156" s="9625" t="n"/>
      <c r="B156" s="9697" t="n"/>
      <c r="C156" s="9697" t="n"/>
      <c r="D156" s="9639" t="n"/>
      <c r="E156" s="7674" t="inlineStr">
        <is>
          <t>Menor de 1 año</t>
        </is>
      </c>
      <c r="F156" s="9603" t="n"/>
      <c r="G156" s="9446" t="inlineStr">
        <is>
          <t>1 - 4 
años</t>
        </is>
      </c>
      <c r="H156" s="9617" t="n"/>
      <c r="I156" s="9977" t="inlineStr">
        <is>
          <t>5 - 9 
años</t>
        </is>
      </c>
      <c r="J156" s="9582" t="n"/>
      <c r="K156" s="9977" t="inlineStr">
        <is>
          <t>10 - 14 años</t>
        </is>
      </c>
      <c r="L156" s="9582" t="n"/>
      <c r="M156" s="9977" t="inlineStr">
        <is>
          <t>15 - 19 años</t>
        </is>
      </c>
      <c r="N156" s="9582" t="n"/>
      <c r="O156" s="10392" t="inlineStr">
        <is>
          <t>20 - 24 años</t>
        </is>
      </c>
      <c r="P156" s="9602" t="n"/>
      <c r="Q156" s="10046" t="inlineStr">
        <is>
          <t>25 - 29 años</t>
        </is>
      </c>
      <c r="R156" s="9603" t="n"/>
      <c r="S156" s="10046" t="inlineStr">
        <is>
          <t>30 - 34 años</t>
        </is>
      </c>
      <c r="T156" s="9603" t="n"/>
      <c r="U156" s="10405" t="inlineStr">
        <is>
          <t>35 - 39 años</t>
        </is>
      </c>
      <c r="V156" s="9603" t="n"/>
      <c r="W156" s="10046" t="inlineStr">
        <is>
          <t>40 - 44 años</t>
        </is>
      </c>
      <c r="X156" s="9603" t="n"/>
      <c r="Y156" s="10392" t="inlineStr">
        <is>
          <t>45 - 49 años</t>
        </is>
      </c>
      <c r="Z156" s="9602" t="n"/>
      <c r="AA156" s="10046" t="inlineStr">
        <is>
          <t>50 - 54 años</t>
        </is>
      </c>
      <c r="AB156" s="9603" t="n"/>
      <c r="AC156" s="10392" t="inlineStr">
        <is>
          <t>55 - 59 años</t>
        </is>
      </c>
      <c r="AD156" s="9602" t="n"/>
      <c r="AE156" s="10046" t="inlineStr">
        <is>
          <t>60 - 64 años</t>
        </is>
      </c>
      <c r="AF156" s="9603" t="n"/>
      <c r="AG156" s="10392" t="inlineStr">
        <is>
          <t>65 - 69 años</t>
        </is>
      </c>
      <c r="AH156" s="9602" t="n"/>
      <c r="AI156" s="10046" t="inlineStr">
        <is>
          <t>70 - 74 años</t>
        </is>
      </c>
      <c r="AJ156" s="9603" t="n"/>
      <c r="AK156" s="10392" t="inlineStr">
        <is>
          <t>75 - 79 años</t>
        </is>
      </c>
      <c r="AL156" s="9602" t="n"/>
      <c r="AM156" s="9977" t="inlineStr">
        <is>
          <t>80 y más años</t>
        </is>
      </c>
      <c r="AN156" s="9582" t="n"/>
    </row>
    <row r="157" ht="15" customFormat="1" customHeight="1" s="17">
      <c r="A157" s="9641" t="n"/>
      <c r="B157" s="3860" t="inlineStr">
        <is>
          <t>Ambos Sexos</t>
        </is>
      </c>
      <c r="C157" s="3861" t="inlineStr">
        <is>
          <t>Hombres</t>
        </is>
      </c>
      <c r="D157" s="3862" t="inlineStr">
        <is>
          <t>Mujeres</t>
        </is>
      </c>
      <c r="E157" s="3643" t="inlineStr">
        <is>
          <t>Hombres</t>
        </is>
      </c>
      <c r="F157" s="3863" t="inlineStr">
        <is>
          <t>Mujeres</t>
        </is>
      </c>
      <c r="G157" s="3643" t="inlineStr">
        <is>
          <t>Hombres</t>
        </is>
      </c>
      <c r="H157" s="3863" t="inlineStr">
        <is>
          <t>Mujeres</t>
        </is>
      </c>
      <c r="I157" s="3643" t="inlineStr">
        <is>
          <t>Hombres</t>
        </is>
      </c>
      <c r="J157" s="3863" t="inlineStr">
        <is>
          <t>Mujeres</t>
        </is>
      </c>
      <c r="K157" s="3643" t="inlineStr">
        <is>
          <t>Hombres</t>
        </is>
      </c>
      <c r="L157" s="3863" t="inlineStr">
        <is>
          <t>Mujeres</t>
        </is>
      </c>
      <c r="M157" s="3643" t="inlineStr">
        <is>
          <t>Hombres</t>
        </is>
      </c>
      <c r="N157" s="3863" t="inlineStr">
        <is>
          <t>Mujeres</t>
        </is>
      </c>
      <c r="O157" s="3643" t="inlineStr">
        <is>
          <t>Hombres</t>
        </is>
      </c>
      <c r="P157" s="3863" t="inlineStr">
        <is>
          <t>Mujeres</t>
        </is>
      </c>
      <c r="Q157" s="3642" t="inlineStr">
        <is>
          <t>Hombres</t>
        </is>
      </c>
      <c r="R157" s="8658" t="inlineStr">
        <is>
          <t>Mujeres</t>
        </is>
      </c>
      <c r="S157" s="3642" t="inlineStr">
        <is>
          <t>Hombres</t>
        </is>
      </c>
      <c r="T157" s="8658" t="inlineStr">
        <is>
          <t>Mujeres</t>
        </is>
      </c>
      <c r="U157" s="3643" t="inlineStr">
        <is>
          <t>Hombres</t>
        </is>
      </c>
      <c r="V157" s="8658" t="inlineStr">
        <is>
          <t>Mujeres</t>
        </is>
      </c>
      <c r="W157" s="3643" t="inlineStr">
        <is>
          <t>Hombres</t>
        </is>
      </c>
      <c r="X157" s="3863" t="inlineStr">
        <is>
          <t>Mujeres</t>
        </is>
      </c>
      <c r="Y157" s="3643" t="inlineStr">
        <is>
          <t>Hombres</t>
        </is>
      </c>
      <c r="Z157" s="3863" t="inlineStr">
        <is>
          <t>Mujeres</t>
        </is>
      </c>
      <c r="AA157" s="3643" t="inlineStr">
        <is>
          <t>Hombres</t>
        </is>
      </c>
      <c r="AB157" s="3863" t="inlineStr">
        <is>
          <t>Mujeres</t>
        </is>
      </c>
      <c r="AC157" s="3643" t="inlineStr">
        <is>
          <t>Hombres</t>
        </is>
      </c>
      <c r="AD157" s="3863" t="inlineStr">
        <is>
          <t>Mujeres</t>
        </is>
      </c>
      <c r="AE157" s="3643" t="inlineStr">
        <is>
          <t>Hombres</t>
        </is>
      </c>
      <c r="AF157" s="3863" t="inlineStr">
        <is>
          <t>Mujeres</t>
        </is>
      </c>
      <c r="AG157" s="3643" t="inlineStr">
        <is>
          <t>Hombres</t>
        </is>
      </c>
      <c r="AH157" s="3863" t="inlineStr">
        <is>
          <t>Mujeres</t>
        </is>
      </c>
      <c r="AI157" s="3643" t="inlineStr">
        <is>
          <t>Hombres</t>
        </is>
      </c>
      <c r="AJ157" s="3863" t="inlineStr">
        <is>
          <t>Mujeres</t>
        </is>
      </c>
      <c r="AK157" s="3643" t="inlineStr">
        <is>
          <t>Hombres</t>
        </is>
      </c>
      <c r="AL157" s="3863" t="inlineStr">
        <is>
          <t>Mujeres</t>
        </is>
      </c>
      <c r="AM157" s="3643" t="inlineStr">
        <is>
          <t>Hombres</t>
        </is>
      </c>
      <c r="AN157" s="8658" t="inlineStr">
        <is>
          <t>Mujeres</t>
        </is>
      </c>
    </row>
    <row r="158" ht="15" customFormat="1" customHeight="1" s="17">
      <c r="A158" s="3864" t="inlineStr">
        <is>
          <t>Hogar libre del humo del tabaco</t>
        </is>
      </c>
      <c r="B158" s="3865">
        <f>SUM(C158:D158)</f>
        <v/>
      </c>
      <c r="C158" s="3866">
        <f>+E158+G158+I158+K158+M158+O158+Q158+S158+U158+W158+Y158+AA158+AC158+AE158+AG158+AI158+AK158+AM158</f>
        <v/>
      </c>
      <c r="D158" s="771">
        <f>+F158+H158+J158+L158+N158+P158+R158+T158+V158+X158+Z158+AB158+AD158+AF158+AH158+AJ158+AL158+AN158</f>
        <v/>
      </c>
      <c r="E158" s="3824" t="n"/>
      <c r="F158" s="750" t="n"/>
      <c r="G158" s="3824" t="n"/>
      <c r="H158" s="750" t="n"/>
      <c r="I158" s="3824" t="n"/>
      <c r="J158" s="750" t="n"/>
      <c r="K158" s="3824" t="n"/>
      <c r="L158" s="750" t="n"/>
      <c r="M158" s="3824" t="n"/>
      <c r="N158" s="750" t="n"/>
      <c r="O158" s="3824" t="n"/>
      <c r="P158" s="750" t="n"/>
      <c r="Q158" s="3824" t="n"/>
      <c r="R158" s="750" t="n"/>
      <c r="S158" s="3824" t="n"/>
      <c r="T158" s="750" t="n"/>
      <c r="U158" s="3824" t="n"/>
      <c r="V158" s="750" t="n"/>
      <c r="W158" s="3824" t="n"/>
      <c r="X158" s="750" t="n"/>
      <c r="Y158" s="3824" t="n"/>
      <c r="Z158" s="750" t="n"/>
      <c r="AA158" s="3824" t="n"/>
      <c r="AB158" s="750" t="n"/>
      <c r="AC158" s="3824" t="n"/>
      <c r="AD158" s="750" t="n"/>
      <c r="AE158" s="3824" t="n"/>
      <c r="AF158" s="750" t="n"/>
      <c r="AG158" s="3824" t="n"/>
      <c r="AH158" s="750" t="n"/>
      <c r="AI158" s="3824" t="n"/>
      <c r="AJ158" s="750" t="n"/>
      <c r="AK158" s="3824" t="n"/>
      <c r="AL158" s="750" t="n"/>
      <c r="AM158" s="1452" t="n"/>
      <c r="AN158" s="750" t="n"/>
    </row>
    <row r="159" ht="15" customFormat="1" customHeight="1" s="17">
      <c r="A159" s="2002" t="inlineStr">
        <is>
          <t>Por muerte de neumonía en domicilio</t>
        </is>
      </c>
      <c r="B159" s="3022">
        <f>SUM(C159:D159)</f>
        <v/>
      </c>
      <c r="C159" s="3867">
        <f>+E159+G159+I159+K159+M159+O159+Q159+S159+U159+W159+Y159+AA159+AC159+AE159+AG159+AI159+AK159+AM159</f>
        <v/>
      </c>
      <c r="D159" s="3868">
        <f>+F159+H159+J159+L159+N159+P159+R159+T159+V159+X159+Z159+AB159+AD159+AF159+AH159+AJ159+AL159+AN159</f>
        <v/>
      </c>
      <c r="E159" s="3658" t="n"/>
      <c r="F159" s="3657" t="n"/>
      <c r="G159" s="3658" t="n"/>
      <c r="H159" s="3657" t="n"/>
      <c r="I159" s="3658" t="n"/>
      <c r="J159" s="3657" t="n"/>
      <c r="K159" s="3658" t="n"/>
      <c r="L159" s="3657" t="n"/>
      <c r="M159" s="3658" t="n"/>
      <c r="N159" s="3657" t="n"/>
      <c r="O159" s="3658" t="n"/>
      <c r="P159" s="3657" t="n"/>
      <c r="Q159" s="3658" t="n"/>
      <c r="R159" s="3657" t="n"/>
      <c r="S159" s="3658" t="n"/>
      <c r="T159" s="3657" t="n"/>
      <c r="U159" s="3658" t="n"/>
      <c r="V159" s="3657" t="n"/>
      <c r="W159" s="3658" t="n"/>
      <c r="X159" s="3657" t="n"/>
      <c r="Y159" s="3658" t="n"/>
      <c r="Z159" s="3657" t="n"/>
      <c r="AA159" s="3658" t="n"/>
      <c r="AB159" s="3657" t="n"/>
      <c r="AC159" s="3658" t="n"/>
      <c r="AD159" s="3657" t="n"/>
      <c r="AE159" s="3658" t="n"/>
      <c r="AF159" s="3657" t="n"/>
      <c r="AG159" s="3658" t="n"/>
      <c r="AH159" s="3657" t="n"/>
      <c r="AI159" s="3658" t="n"/>
      <c r="AJ159" s="3657" t="n"/>
      <c r="AK159" s="3658" t="n"/>
      <c r="AL159" s="3657" t="n"/>
      <c r="AM159" s="3658" t="n"/>
      <c r="AN159" s="3657" t="n"/>
    </row>
    <row r="160" ht="15" customFormat="1" customHeight="1" s="17">
      <c r="A160" s="3827" t="inlineStr">
        <is>
          <t>Programa oxigenoterapia ambulatoria, AVNI, AVI, AVNIA, AVIA</t>
        </is>
      </c>
      <c r="B160" s="3022">
        <f>SUM(C160:D160)</f>
        <v/>
      </c>
      <c r="C160" s="1212">
        <f>+E160+G160+I160+K160+M160+O160+Q160+S160+U160+W160+Y160+AA160+AC160+AE160+AG160+AI160+AK160+AM160</f>
        <v/>
      </c>
      <c r="D160" s="1213">
        <f>+F160+H160+J160+L160+N160+P160+R160+T160+V160+X160+Z160+AB160+AD160+AF160+AH160+AJ160+AL160+AN160</f>
        <v/>
      </c>
      <c r="E160" s="1200" t="n"/>
      <c r="F160" s="1199" t="n"/>
      <c r="G160" s="1200" t="n"/>
      <c r="H160" s="1199" t="n"/>
      <c r="I160" s="1200" t="n"/>
      <c r="J160" s="1199" t="n"/>
      <c r="K160" s="1200" t="n"/>
      <c r="L160" s="1199" t="n"/>
      <c r="M160" s="1200" t="n"/>
      <c r="N160" s="1199" t="n"/>
      <c r="O160" s="1200" t="n"/>
      <c r="P160" s="1199" t="n"/>
      <c r="Q160" s="1200" t="n"/>
      <c r="R160" s="1199" t="n"/>
      <c r="S160" s="1200" t="n"/>
      <c r="T160" s="1199" t="n"/>
      <c r="U160" s="1200" t="n"/>
      <c r="V160" s="1199" t="n"/>
      <c r="W160" s="1200" t="n"/>
      <c r="X160" s="1199" t="n"/>
      <c r="Y160" s="1200" t="n"/>
      <c r="Z160" s="1199" t="n">
        <v>1</v>
      </c>
      <c r="AA160" s="1200" t="n"/>
      <c r="AB160" s="1199" t="n"/>
      <c r="AC160" s="1200" t="n"/>
      <c r="AD160" s="1199" t="n"/>
      <c r="AE160" s="1200" t="n"/>
      <c r="AF160" s="1199" t="n"/>
      <c r="AG160" s="1200" t="n"/>
      <c r="AH160" s="1199" t="n"/>
      <c r="AI160" s="1200" t="n"/>
      <c r="AJ160" s="1199" t="n"/>
      <c r="AK160" s="1200" t="n"/>
      <c r="AL160" s="1199" t="n"/>
      <c r="AM160" s="1200" t="n">
        <v>1</v>
      </c>
      <c r="AN160" s="1199" t="n"/>
    </row>
    <row r="161" ht="15" customFormat="1" customHeight="1" s="17">
      <c r="A161" s="3827" t="inlineStr">
        <is>
          <t>Seguimiento telefónico realizado por kinesiologo sala</t>
        </is>
      </c>
      <c r="B161" s="3022">
        <f>SUM(C161:D161)</f>
        <v/>
      </c>
      <c r="C161" s="1212">
        <f>+E161+G161+I161+K161+M161+O161+Q161+S161+U161+W161+Y161+AA161+AC161+AE161+AG161+AI161+AK161+AM161</f>
        <v/>
      </c>
      <c r="D161" s="1213">
        <f>+F161+H161+J161+L161+N161+P161+R161+T161+V161+X161+Z161+AB161+AD161+AF161+AH161+AJ161+AL161+AN161</f>
        <v/>
      </c>
      <c r="E161" s="1200" t="n"/>
      <c r="F161" s="1199" t="n"/>
      <c r="G161" s="1200" t="n"/>
      <c r="H161" s="1199" t="n"/>
      <c r="I161" s="1200" t="n"/>
      <c r="J161" s="1199" t="n"/>
      <c r="K161" s="1200" t="n"/>
      <c r="L161" s="1199" t="n"/>
      <c r="M161" s="1200" t="n">
        <v>1</v>
      </c>
      <c r="N161" s="1199" t="n">
        <v>1</v>
      </c>
      <c r="O161" s="1200" t="n"/>
      <c r="P161" s="1199" t="n"/>
      <c r="Q161" s="1200" t="n"/>
      <c r="R161" s="1199" t="n"/>
      <c r="S161" s="1200" t="n"/>
      <c r="T161" s="1199" t="n">
        <v>2</v>
      </c>
      <c r="U161" s="1200" t="n"/>
      <c r="V161" s="1199" t="n"/>
      <c r="W161" s="1200" t="n"/>
      <c r="X161" s="1199" t="n">
        <v>1</v>
      </c>
      <c r="Y161" s="1200" t="n"/>
      <c r="Z161" s="1199" t="n">
        <v>1</v>
      </c>
      <c r="AA161" s="1200" t="n"/>
      <c r="AB161" s="1199" t="n"/>
      <c r="AC161" s="1200" t="n"/>
      <c r="AD161" s="1199" t="n"/>
      <c r="AE161" s="1200" t="n"/>
      <c r="AF161" s="1199" t="n">
        <v>3</v>
      </c>
      <c r="AG161" s="1200" t="n"/>
      <c r="AH161" s="1199" t="n">
        <v>1</v>
      </c>
      <c r="AI161" s="1200" t="n"/>
      <c r="AJ161" s="1199" t="n"/>
      <c r="AK161" s="1200" t="n"/>
      <c r="AL161" s="1199" t="n"/>
      <c r="AM161" s="1200" t="n"/>
      <c r="AN161" s="1199" t="n"/>
    </row>
    <row r="162" ht="15" customFormat="1" customHeight="1" s="17">
      <c r="A162" s="3835" t="inlineStr">
        <is>
          <t>Otras visitas</t>
        </is>
      </c>
      <c r="B162" s="3830">
        <f>SUM(C162:D162)</f>
        <v/>
      </c>
      <c r="C162" s="3869">
        <f>+E162+G162+I162+K162+M162+O162+Q162+S162+U162+W162+Y162+AA162+AC162+AE162+AG162+AI162+AK162+AM162</f>
        <v/>
      </c>
      <c r="D162" s="3870">
        <f>+F162+H162+J162+L162+N162+P162+R162+T162+V162+X162+Z162+AB162+AD162+AF162+AH162+AJ162+AL162+AN162</f>
        <v/>
      </c>
      <c r="E162" s="3680" t="n"/>
      <c r="F162" s="3679" t="n"/>
      <c r="G162" s="3680" t="n"/>
      <c r="H162" s="3679" t="n"/>
      <c r="I162" s="3680" t="n"/>
      <c r="J162" s="3679" t="n"/>
      <c r="K162" s="3680" t="n"/>
      <c r="L162" s="3679" t="n"/>
      <c r="M162" s="3680" t="n"/>
      <c r="N162" s="3679" t="n"/>
      <c r="O162" s="3680" t="n"/>
      <c r="P162" s="3679" t="n"/>
      <c r="Q162" s="3680" t="n"/>
      <c r="R162" s="3679" t="n"/>
      <c r="S162" s="3680" t="n"/>
      <c r="T162" s="3679" t="n"/>
      <c r="U162" s="3680" t="n"/>
      <c r="V162" s="3679" t="n"/>
      <c r="W162" s="3680" t="n"/>
      <c r="X162" s="3679" t="n"/>
      <c r="Y162" s="3680" t="n"/>
      <c r="Z162" s="3679" t="n"/>
      <c r="AA162" s="3680" t="n"/>
      <c r="AB162" s="3679" t="n"/>
      <c r="AC162" s="3680" t="n"/>
      <c r="AD162" s="3679" t="n"/>
      <c r="AE162" s="3680" t="n"/>
      <c r="AF162" s="3679" t="n"/>
      <c r="AG162" s="3680" t="n"/>
      <c r="AH162" s="3679" t="n"/>
      <c r="AI162" s="3680" t="n"/>
      <c r="AJ162" s="3679" t="n"/>
      <c r="AK162" s="3680" t="n"/>
      <c r="AL162" s="3679" t="n"/>
      <c r="AM162" s="3680" t="n"/>
      <c r="AN162" s="3679" t="n"/>
    </row>
    <row r="163" ht="18" customFormat="1" customHeight="1" s="20">
      <c r="A163" s="10411" t="inlineStr">
        <is>
          <t xml:space="preserve">SECCIÓN O: REHABILITACION PULMONAR Y ACTIVIDAD FÍSICA </t>
        </is>
      </c>
      <c r="B163" s="9617" t="n"/>
      <c r="C163" s="9617" t="n"/>
    </row>
    <row r="164" ht="21" customFormat="1" customHeight="1" s="17">
      <c r="A164" s="10202" t="inlineStr">
        <is>
          <t>ACTIVIDADES</t>
        </is>
      </c>
      <c r="B164" s="9647" t="n"/>
      <c r="C164" s="8688" t="inlineStr">
        <is>
          <t>TOTAL DE ACTIVIDADES</t>
        </is>
      </c>
      <c r="D164" s="3871" t="inlineStr">
        <is>
          <t>EPOC A</t>
        </is>
      </c>
      <c r="E164" s="3872" t="inlineStr">
        <is>
          <t>EPOC B</t>
        </is>
      </c>
      <c r="F164" s="3872" t="inlineStr">
        <is>
          <t>Asma</t>
        </is>
      </c>
      <c r="G164" s="8735" t="inlineStr">
        <is>
          <t>Otros</t>
        </is>
      </c>
    </row>
    <row r="165" ht="15" customFormat="1" customHeight="1" s="17">
      <c r="A165" s="10412" t="inlineStr">
        <is>
          <t>Rehabilitación pulmonar</t>
        </is>
      </c>
      <c r="B165" s="8747" t="inlineStr">
        <is>
          <t>Sesiones educativas</t>
        </is>
      </c>
      <c r="C165" s="3873">
        <f>SUM(D165:G165)</f>
        <v/>
      </c>
      <c r="D165" s="3123" t="n"/>
      <c r="E165" s="3124" t="n"/>
      <c r="F165" s="3124" t="n"/>
      <c r="G165" s="3273" t="n"/>
    </row>
    <row r="166" ht="15" customFormat="1" customHeight="1" s="17">
      <c r="A166" s="9588" t="n"/>
      <c r="B166" s="8748" t="inlineStr">
        <is>
          <t>Sesiones actividad física</t>
        </is>
      </c>
      <c r="C166" s="3874">
        <f>SUM(D166:G166)</f>
        <v/>
      </c>
      <c r="D166" s="1198" t="n">
        <v>9</v>
      </c>
      <c r="E166" s="1147" t="n"/>
      <c r="F166" s="1147" t="n"/>
      <c r="G166" s="1148" t="n">
        <v>2</v>
      </c>
    </row>
    <row r="167" ht="15" customFormat="1" customHeight="1" s="17">
      <c r="A167" s="9589" t="n"/>
      <c r="B167" s="8749" t="inlineStr">
        <is>
          <t>Articulación continuidad con intersector</t>
        </is>
      </c>
      <c r="C167" s="3875">
        <f>SUM(D167:G167)</f>
        <v/>
      </c>
      <c r="D167" s="3678" t="n"/>
      <c r="E167" s="3712" t="n"/>
      <c r="F167" s="3712" t="n"/>
      <c r="G167" s="1138" t="n"/>
    </row>
    <row r="168" ht="15" customFormat="1" customHeight="1" s="17">
      <c r="A168" s="10412" t="inlineStr">
        <is>
          <t>Planes de actividad física</t>
        </is>
      </c>
      <c r="B168" s="8747" t="inlineStr">
        <is>
          <t>Diseño plan de trabajo</t>
        </is>
      </c>
      <c r="C168" s="3248">
        <f>SUM(D168:G168)</f>
        <v/>
      </c>
      <c r="D168" s="638" t="n"/>
      <c r="E168" s="141" t="n"/>
      <c r="F168" s="141" t="n"/>
      <c r="G168" s="3125" t="n"/>
    </row>
    <row r="169" ht="15" customFormat="1" customHeight="1" s="17">
      <c r="A169" s="9588" t="n"/>
      <c r="B169" s="8748" t="inlineStr">
        <is>
          <t>Seguimiento presencial</t>
        </is>
      </c>
      <c r="C169" s="3248">
        <f>SUM(D169:G169)</f>
        <v/>
      </c>
      <c r="D169" s="1198" t="n"/>
      <c r="E169" s="1147" t="n"/>
      <c r="F169" s="1147" t="n"/>
      <c r="G169" s="1148" t="n"/>
    </row>
    <row r="170" ht="15" customFormat="1" customHeight="1" s="17">
      <c r="A170" s="9589" t="n"/>
      <c r="B170" s="8513" t="inlineStr">
        <is>
          <t>Seguimiento telefónico</t>
        </is>
      </c>
      <c r="C170" s="3875">
        <f>SUM(D170:G170)</f>
        <v/>
      </c>
      <c r="D170" s="3678" t="n"/>
      <c r="E170" s="3712" t="n"/>
      <c r="F170" s="3712" t="n"/>
      <c r="G170" s="1138" t="n"/>
    </row>
    <row r="171" ht="18" customFormat="1" customHeight="1" s="20">
      <c r="A171" s="10411" t="inlineStr">
        <is>
          <t>SECCIÓN P: REHABILITACION PULMONAR POST COVID</t>
        </is>
      </c>
      <c r="B171" s="9617" t="n"/>
      <c r="C171" s="9617" t="n"/>
    </row>
    <row r="172" ht="15" customFormat="1" customHeight="1" s="17">
      <c r="A172" s="10409" t="inlineStr">
        <is>
          <t>ACTIVIDADES</t>
        </is>
      </c>
      <c r="B172" s="9630" t="n"/>
      <c r="C172" s="10407" t="inlineStr">
        <is>
          <t>TOTAL</t>
        </is>
      </c>
      <c r="D172" s="9602" t="n"/>
      <c r="E172" s="9630" t="n"/>
      <c r="F172" s="9977" t="inlineStr">
        <is>
          <t>RANGO ETARIO Y SEXO</t>
        </is>
      </c>
      <c r="G172" s="9584" t="n"/>
      <c r="H172" s="9584" t="n"/>
      <c r="I172" s="9584" t="n"/>
      <c r="J172" s="9584" t="n"/>
      <c r="K172" s="9582" t="n"/>
    </row>
    <row r="173" ht="15" customFormat="1" customHeight="1" s="17">
      <c r="B173" s="9718" t="n"/>
      <c r="C173" s="9638" t="n"/>
      <c r="D173" s="9697" t="n"/>
      <c r="E173" s="9639" t="n"/>
      <c r="F173" s="10413" t="inlineStr">
        <is>
          <t>Menor de 15 años</t>
        </is>
      </c>
      <c r="G173" s="9648" t="n"/>
      <c r="H173" s="9977" t="inlineStr">
        <is>
          <t>15 - 64 años</t>
        </is>
      </c>
      <c r="I173" s="9582" t="n"/>
      <c r="J173" s="10414" t="inlineStr">
        <is>
          <t>65 y más años</t>
        </is>
      </c>
      <c r="K173" s="9648" t="n"/>
    </row>
    <row r="174" ht="15" customFormat="1" customHeight="1" s="17">
      <c r="A174" s="9697" t="n"/>
      <c r="B174" s="9639" t="n"/>
      <c r="C174" s="3851" t="inlineStr">
        <is>
          <t>Ambos Sexos</t>
        </is>
      </c>
      <c r="D174" s="3876" t="inlineStr">
        <is>
          <t>Hombres</t>
        </is>
      </c>
      <c r="E174" s="8746" t="inlineStr">
        <is>
          <t>Mujeres</t>
        </is>
      </c>
      <c r="F174" s="3860" t="inlineStr">
        <is>
          <t>Hombres</t>
        </is>
      </c>
      <c r="G174" s="8715" t="inlineStr">
        <is>
          <t>Mujeres</t>
        </is>
      </c>
      <c r="H174" s="3860" t="inlineStr">
        <is>
          <t>Hombres</t>
        </is>
      </c>
      <c r="I174" s="8715" t="inlineStr">
        <is>
          <t>Mujeres</t>
        </is>
      </c>
      <c r="J174" s="3861" t="inlineStr">
        <is>
          <t>Hombres</t>
        </is>
      </c>
      <c r="K174" s="8715" t="inlineStr">
        <is>
          <t>Mujeres</t>
        </is>
      </c>
    </row>
    <row r="175" ht="15" customFormat="1" customHeight="1" s="17">
      <c r="A175" s="10236" t="inlineStr">
        <is>
          <t>Rehabilitacion pulmonar post COVID</t>
        </is>
      </c>
      <c r="B175" s="3877" t="inlineStr">
        <is>
          <t>Diseño plan de trabajo</t>
        </is>
      </c>
      <c r="C175" s="3878">
        <f>SUM(D175:E175)</f>
        <v/>
      </c>
      <c r="D175" s="3866">
        <f>SUM(F175+H175+J175)</f>
        <v/>
      </c>
      <c r="E175" s="3879">
        <f>SUM(G175+I175+K175)</f>
        <v/>
      </c>
      <c r="F175" s="638" t="n"/>
      <c r="G175" s="3125" t="n"/>
      <c r="H175" s="638" t="n"/>
      <c r="I175" s="3125" t="n"/>
      <c r="J175" s="248" t="n"/>
      <c r="K175" s="3125" t="n"/>
    </row>
    <row r="176" ht="15" customFormat="1" customHeight="1" s="17">
      <c r="A176" s="9588" t="n"/>
      <c r="B176" s="3877" t="inlineStr">
        <is>
          <t>Sesiones educativas</t>
        </is>
      </c>
      <c r="C176" s="3878">
        <f>SUM(D176:E176)</f>
        <v/>
      </c>
      <c r="D176" s="3866">
        <f>SUM(F176+H176+J176)</f>
        <v/>
      </c>
      <c r="E176" s="3879">
        <f>SUM(G176+I176+K176)</f>
        <v/>
      </c>
      <c r="F176" s="1198" t="n"/>
      <c r="G176" s="1148" t="n"/>
      <c r="H176" s="1198" t="n"/>
      <c r="I176" s="1148" t="n"/>
      <c r="J176" s="1200" t="n"/>
      <c r="K176" s="1148" t="n"/>
    </row>
    <row r="177" ht="15" customFormat="1" customHeight="1" s="17">
      <c r="A177" s="9588" t="n"/>
      <c r="B177" s="3877" t="inlineStr">
        <is>
          <t>Sesiones actividad física</t>
        </is>
      </c>
      <c r="C177" s="3878">
        <f>SUM(D177:E177)</f>
        <v/>
      </c>
      <c r="D177" s="3866">
        <f>SUM(F177+H177+J177)</f>
        <v/>
      </c>
      <c r="E177" s="3879">
        <f>SUM(G177+I177+K177)</f>
        <v/>
      </c>
      <c r="F177" s="1198" t="n"/>
      <c r="G177" s="1148" t="n"/>
      <c r="H177" s="1198" t="n"/>
      <c r="I177" s="1148" t="n"/>
      <c r="J177" s="1200" t="n"/>
      <c r="K177" s="1148" t="n"/>
    </row>
    <row r="178" ht="15" customFormat="1" customHeight="1" s="17">
      <c r="A178" s="9589" t="n"/>
      <c r="B178" s="8729" t="inlineStr">
        <is>
          <t>Seguimiento telefonico</t>
        </is>
      </c>
      <c r="C178" s="3881">
        <f>SUM(D178:E178)</f>
        <v/>
      </c>
      <c r="D178" s="3869">
        <f>SUM(F178+H178+J178)</f>
        <v/>
      </c>
      <c r="E178" s="1217">
        <f>SUM(G178+I178+K178)</f>
        <v/>
      </c>
      <c r="F178" s="3678" t="n"/>
      <c r="G178" s="1138" t="n"/>
      <c r="H178" s="3678" t="n"/>
      <c r="I178" s="1138" t="n"/>
      <c r="J178" s="3680" t="n"/>
      <c r="K178" s="1138" t="n"/>
    </row>
    <row r="179" ht="18" customFormat="1" customHeight="1" s="20">
      <c r="A179" s="8744" t="inlineStr">
        <is>
          <t>SECCIÓN Q: APLICACIÓN DE ENCUESTA CALIDAD DE VIDA</t>
        </is>
      </c>
    </row>
    <row r="180" ht="15" customFormat="1" customHeight="1" s="17">
      <c r="A180" s="4580" t="inlineStr">
        <is>
          <t>DIAGNÓSTICO</t>
        </is>
      </c>
      <c r="B180" s="9603" t="n"/>
      <c r="C180" s="4568" t="inlineStr">
        <is>
          <t>ENCUESTAS REALIZADAS</t>
        </is>
      </c>
      <c r="D180" s="10409" t="inlineStr">
        <is>
          <t>TOTAL</t>
        </is>
      </c>
      <c r="E180" s="9602" t="n"/>
      <c r="F180" s="9630" t="n"/>
      <c r="G180" s="10408" t="inlineStr">
        <is>
          <t>RANGO ETARIO Y SEXO</t>
        </is>
      </c>
      <c r="H180" s="9584" t="n"/>
      <c r="I180" s="9584" t="n"/>
      <c r="J180" s="9584" t="n"/>
      <c r="K180" s="9584" t="n"/>
      <c r="L180" s="9584" t="n"/>
      <c r="M180" s="9584" t="n"/>
      <c r="N180" s="9584" t="n"/>
      <c r="O180" s="9584" t="n"/>
      <c r="P180" s="9584" t="n"/>
      <c r="Q180" s="9584" t="n"/>
      <c r="R180" s="9584" t="n"/>
      <c r="S180" s="9584" t="n"/>
      <c r="T180" s="9584" t="n"/>
      <c r="U180" s="9584" t="n"/>
      <c r="V180" s="9584" t="n"/>
      <c r="W180" s="9584" t="n"/>
      <c r="X180" s="9584" t="n"/>
      <c r="Y180" s="9584" t="n"/>
      <c r="Z180" s="9584" t="n"/>
      <c r="AA180" s="9584" t="n"/>
      <c r="AB180" s="9584" t="n"/>
      <c r="AC180" s="9584" t="n"/>
      <c r="AD180" s="9584" t="n"/>
      <c r="AE180" s="9584" t="n"/>
      <c r="AF180" s="9584" t="n"/>
      <c r="AG180" s="9584" t="n"/>
      <c r="AH180" s="9584" t="n"/>
      <c r="AI180" s="9584" t="n"/>
      <c r="AJ180" s="9584" t="n"/>
      <c r="AK180" s="9584" t="n"/>
      <c r="AL180" s="9584" t="n"/>
      <c r="AM180" s="9584" t="n"/>
      <c r="AN180" s="9584" t="n"/>
      <c r="AO180" s="9584" t="n"/>
      <c r="AP180" s="9582" t="n"/>
    </row>
    <row r="181" ht="15" customFormat="1" customHeight="1" s="17">
      <c r="A181" s="407" t="n"/>
      <c r="B181" s="9625" t="n"/>
      <c r="C181" s="9627" t="n"/>
      <c r="D181" s="9697" t="n"/>
      <c r="E181" s="9697" t="n"/>
      <c r="F181" s="9639" t="n"/>
      <c r="G181" s="7674" t="inlineStr">
        <is>
          <t>Menor de 1 año</t>
        </is>
      </c>
      <c r="H181" s="9603" t="n"/>
      <c r="I181" s="9446" t="inlineStr">
        <is>
          <t>1 - 4 
años</t>
        </is>
      </c>
      <c r="J181" s="9617" t="n"/>
      <c r="K181" s="9977" t="inlineStr">
        <is>
          <t>5 - 9 
años</t>
        </is>
      </c>
      <c r="L181" s="9582" t="n"/>
      <c r="M181" s="9977" t="inlineStr">
        <is>
          <t>10 - 14 años</t>
        </is>
      </c>
      <c r="N181" s="9582" t="n"/>
      <c r="O181" s="9977" t="inlineStr">
        <is>
          <t>15 - 19 años</t>
        </is>
      </c>
      <c r="P181" s="9582" t="n"/>
      <c r="Q181" s="10392" t="inlineStr">
        <is>
          <t>20 - 24 años</t>
        </is>
      </c>
      <c r="R181" s="9602" t="n"/>
      <c r="S181" s="10046" t="inlineStr">
        <is>
          <t>25 - 29 años</t>
        </is>
      </c>
      <c r="T181" s="9603" t="n"/>
      <c r="U181" s="10046" t="inlineStr">
        <is>
          <t>30 - 34 años</t>
        </is>
      </c>
      <c r="V181" s="9603" t="n"/>
      <c r="W181" s="10405" t="inlineStr">
        <is>
          <t>35 - 39 años</t>
        </is>
      </c>
      <c r="X181" s="9603" t="n"/>
      <c r="Y181" s="10046" t="inlineStr">
        <is>
          <t>40 - 44 años</t>
        </is>
      </c>
      <c r="Z181" s="9603" t="n"/>
      <c r="AA181" s="10392" t="inlineStr">
        <is>
          <t>45 - 49 años</t>
        </is>
      </c>
      <c r="AB181" s="9602" t="n"/>
      <c r="AC181" s="10046" t="inlineStr">
        <is>
          <t>50 - 54 años</t>
        </is>
      </c>
      <c r="AD181" s="9603" t="n"/>
      <c r="AE181" s="10392" t="inlineStr">
        <is>
          <t>55 - 59 años</t>
        </is>
      </c>
      <c r="AF181" s="9602" t="n"/>
      <c r="AG181" s="10046" t="inlineStr">
        <is>
          <t>60 - 64 años</t>
        </is>
      </c>
      <c r="AH181" s="9603" t="n"/>
      <c r="AI181" s="10392" t="inlineStr">
        <is>
          <t>65 - 69 años</t>
        </is>
      </c>
      <c r="AJ181" s="9602" t="n"/>
      <c r="AK181" s="10046" t="inlineStr">
        <is>
          <t>70 - 74 años</t>
        </is>
      </c>
      <c r="AL181" s="9603" t="n"/>
      <c r="AM181" s="10392" t="inlineStr">
        <is>
          <t>75 - 79 años</t>
        </is>
      </c>
      <c r="AN181" s="9602" t="n"/>
      <c r="AO181" s="9977" t="inlineStr">
        <is>
          <t>80 y más años</t>
        </is>
      </c>
      <c r="AP181" s="9582" t="n"/>
    </row>
    <row r="182" ht="15" customFormat="1" customHeight="1" s="17">
      <c r="A182" s="10415" t="n"/>
      <c r="B182" s="10110" t="n"/>
      <c r="C182" s="9621" t="n"/>
      <c r="D182" s="3860" t="inlineStr">
        <is>
          <t>Ambos Sexos</t>
        </is>
      </c>
      <c r="E182" s="3861" t="inlineStr">
        <is>
          <t>Hombres</t>
        </is>
      </c>
      <c r="F182" s="8715" t="inlineStr">
        <is>
          <t>Mujeres</t>
        </is>
      </c>
      <c r="G182" s="3643" t="inlineStr">
        <is>
          <t>Hombres</t>
        </is>
      </c>
      <c r="H182" s="3863" t="inlineStr">
        <is>
          <t>Mujeres</t>
        </is>
      </c>
      <c r="I182" s="3643" t="inlineStr">
        <is>
          <t>Hombres</t>
        </is>
      </c>
      <c r="J182" s="3863" t="inlineStr">
        <is>
          <t>Mujeres</t>
        </is>
      </c>
      <c r="K182" s="3643" t="inlineStr">
        <is>
          <t>Hombres</t>
        </is>
      </c>
      <c r="L182" s="3863" t="inlineStr">
        <is>
          <t>Mujeres</t>
        </is>
      </c>
      <c r="M182" s="3643" t="inlineStr">
        <is>
          <t>Hombres</t>
        </is>
      </c>
      <c r="N182" s="3863" t="inlineStr">
        <is>
          <t>Mujeres</t>
        </is>
      </c>
      <c r="O182" s="3643" t="inlineStr">
        <is>
          <t>Hombres</t>
        </is>
      </c>
      <c r="P182" s="3863" t="inlineStr">
        <is>
          <t>Mujeres</t>
        </is>
      </c>
      <c r="Q182" s="3643" t="inlineStr">
        <is>
          <t>Hombres</t>
        </is>
      </c>
      <c r="R182" s="3863" t="inlineStr">
        <is>
          <t>Mujeres</t>
        </is>
      </c>
      <c r="S182" s="3642" t="inlineStr">
        <is>
          <t>Hombres</t>
        </is>
      </c>
      <c r="T182" s="8658" t="inlineStr">
        <is>
          <t>Mujeres</t>
        </is>
      </c>
      <c r="U182" s="3642" t="inlineStr">
        <is>
          <t>Hombres</t>
        </is>
      </c>
      <c r="V182" s="8658" t="inlineStr">
        <is>
          <t>Mujeres</t>
        </is>
      </c>
      <c r="W182" s="3643" t="inlineStr">
        <is>
          <t>Hombres</t>
        </is>
      </c>
      <c r="X182" s="8658" t="inlineStr">
        <is>
          <t>Mujeres</t>
        </is>
      </c>
      <c r="Y182" s="3643" t="inlineStr">
        <is>
          <t>Hombres</t>
        </is>
      </c>
      <c r="Z182" s="3863" t="inlineStr">
        <is>
          <t>Mujeres</t>
        </is>
      </c>
      <c r="AA182" s="3643" t="inlineStr">
        <is>
          <t>Hombres</t>
        </is>
      </c>
      <c r="AB182" s="3863" t="inlineStr">
        <is>
          <t>Mujeres</t>
        </is>
      </c>
      <c r="AC182" s="3643" t="inlineStr">
        <is>
          <t>Hombres</t>
        </is>
      </c>
      <c r="AD182" s="3863" t="inlineStr">
        <is>
          <t>Mujeres</t>
        </is>
      </c>
      <c r="AE182" s="3643" t="inlineStr">
        <is>
          <t>Hombres</t>
        </is>
      </c>
      <c r="AF182" s="3863" t="inlineStr">
        <is>
          <t>Mujeres</t>
        </is>
      </c>
      <c r="AG182" s="3643" t="inlineStr">
        <is>
          <t>Hombres</t>
        </is>
      </c>
      <c r="AH182" s="3863" t="inlineStr">
        <is>
          <t>Mujeres</t>
        </is>
      </c>
      <c r="AI182" s="3643" t="inlineStr">
        <is>
          <t>Hombres</t>
        </is>
      </c>
      <c r="AJ182" s="3863" t="inlineStr">
        <is>
          <t>Mujeres</t>
        </is>
      </c>
      <c r="AK182" s="3643" t="inlineStr">
        <is>
          <t>Hombres</t>
        </is>
      </c>
      <c r="AL182" s="3863" t="inlineStr">
        <is>
          <t>Mujeres</t>
        </is>
      </c>
      <c r="AM182" s="3643" t="inlineStr">
        <is>
          <t>Hombres</t>
        </is>
      </c>
      <c r="AN182" s="3863" t="inlineStr">
        <is>
          <t>Mujeres</t>
        </is>
      </c>
      <c r="AO182" s="3643" t="inlineStr">
        <is>
          <t>Hombres</t>
        </is>
      </c>
      <c r="AP182" s="8658" t="inlineStr">
        <is>
          <t>Mujeres</t>
        </is>
      </c>
    </row>
    <row r="183" ht="15" customFormat="1" customHeight="1" s="17">
      <c r="A183" s="4244" t="inlineStr">
        <is>
          <t>EPOC</t>
        </is>
      </c>
      <c r="B183" s="9603" t="n"/>
      <c r="C183" s="8747" t="inlineStr">
        <is>
          <t>Ingreso</t>
        </is>
      </c>
      <c r="D183" s="3883">
        <f>SUM(E183:F183)</f>
        <v/>
      </c>
      <c r="E183" s="3854">
        <f>SUM(G183+I183+K183+M183+O183+Q183+S183+U183+W183+Y183+AA183+AC183+AE183+AG183+AI183+AK183+AM183+AO183)</f>
        <v/>
      </c>
      <c r="F183" s="3884">
        <f>SUM(H183+J183+L183+N183+P183+R183+T183+V183+X183+Z183+AB183+AD183+AF183+AH183+AJ183+AL183+AN183+AP183)</f>
        <v/>
      </c>
      <c r="G183" s="3704" t="n"/>
      <c r="H183" s="2455" t="n"/>
      <c r="I183" s="3704" t="n"/>
      <c r="J183" s="2455" t="n"/>
      <c r="K183" s="3704" t="n"/>
      <c r="L183" s="2455" t="n"/>
      <c r="M183" s="3704" t="n"/>
      <c r="N183" s="2455" t="n"/>
      <c r="O183" s="3704" t="n"/>
      <c r="P183" s="2455" t="n"/>
      <c r="Q183" s="3704" t="n"/>
      <c r="R183" s="2455" t="n"/>
      <c r="S183" s="3704" t="n"/>
      <c r="T183" s="2455" t="n"/>
      <c r="U183" s="3704" t="n"/>
      <c r="V183" s="2455" t="n"/>
      <c r="W183" s="3704" t="n"/>
      <c r="X183" s="2455" t="n"/>
      <c r="Y183" s="3704" t="n"/>
      <c r="Z183" s="2455" t="n"/>
      <c r="AA183" s="3704" t="n"/>
      <c r="AB183" s="2455" t="n"/>
      <c r="AC183" s="3704" t="n"/>
      <c r="AD183" s="2455" t="n"/>
      <c r="AE183" s="3704" t="n"/>
      <c r="AF183" s="2455" t="n"/>
      <c r="AG183" s="3704" t="n"/>
      <c r="AH183" s="2455" t="n"/>
      <c r="AI183" s="3704" t="n"/>
      <c r="AJ183" s="2455" t="n"/>
      <c r="AK183" s="3704" t="n"/>
      <c r="AL183" s="2455" t="n"/>
      <c r="AM183" s="3704" t="n"/>
      <c r="AN183" s="2455" t="n"/>
      <c r="AO183" s="3704" t="n"/>
      <c r="AP183" s="2455" t="n"/>
    </row>
    <row r="184" ht="15" customFormat="1" customHeight="1" s="17">
      <c r="A184" s="10415" t="n"/>
      <c r="B184" s="10110" t="n"/>
      <c r="C184" s="8749" t="inlineStr">
        <is>
          <t>Reevaluación anual</t>
        </is>
      </c>
      <c r="D184" s="3885">
        <f>SUM(E184:F184)</f>
        <v/>
      </c>
      <c r="E184" s="3858">
        <f>SUM(G184+I184+K184+M184+O184+Q184+S184+U184+W184+Y184+AA184+AC184+AE184+AG184+AI184+AK184+AM184+AO184)</f>
        <v/>
      </c>
      <c r="F184" s="1219">
        <f>SUM(H184+J184+L184+N184+P184+R184+T184+V184+X184+Z184+AB184+AD184+AF184+AH184+AJ184+AL184+AN184+AP184)</f>
        <v/>
      </c>
      <c r="G184" s="3678" t="n"/>
      <c r="H184" s="3679" t="n"/>
      <c r="I184" s="3678" t="n"/>
      <c r="J184" s="3679" t="n"/>
      <c r="K184" s="3678" t="n"/>
      <c r="L184" s="3679" t="n"/>
      <c r="M184" s="3678" t="n"/>
      <c r="N184" s="3679" t="n"/>
      <c r="O184" s="3678" t="n"/>
      <c r="P184" s="3679" t="n"/>
      <c r="Q184" s="3678" t="n"/>
      <c r="R184" s="3679" t="n"/>
      <c r="S184" s="3678" t="n"/>
      <c r="T184" s="3679" t="n"/>
      <c r="U184" s="3678" t="n"/>
      <c r="V184" s="3679" t="n"/>
      <c r="W184" s="3678" t="n"/>
      <c r="X184" s="3679" t="n"/>
      <c r="Y184" s="3678" t="n"/>
      <c r="Z184" s="3679" t="n"/>
      <c r="AA184" s="3678" t="n"/>
      <c r="AB184" s="3679" t="n"/>
      <c r="AC184" s="3678" t="n"/>
      <c r="AD184" s="3679" t="n"/>
      <c r="AE184" s="3678" t="n"/>
      <c r="AF184" s="3679" t="n"/>
      <c r="AG184" s="3678" t="n"/>
      <c r="AH184" s="3679" t="n"/>
      <c r="AI184" s="3678" t="n"/>
      <c r="AJ184" s="3679" t="n"/>
      <c r="AK184" s="3678" t="n"/>
      <c r="AL184" s="3679" t="n"/>
      <c r="AM184" s="3678" t="n"/>
      <c r="AN184" s="3679" t="n"/>
      <c r="AO184" s="3678" t="n"/>
      <c r="AP184" s="3679" t="n"/>
    </row>
    <row r="185" ht="15" customFormat="1" customHeight="1" s="17">
      <c r="A185" s="10416" t="inlineStr">
        <is>
          <t>Asma</t>
        </is>
      </c>
      <c r="B185" s="9603" t="n"/>
      <c r="C185" s="8747" t="inlineStr">
        <is>
          <t>Ingreso</t>
        </is>
      </c>
      <c r="D185" s="3883">
        <f>SUM(E185:F185)</f>
        <v/>
      </c>
      <c r="E185" s="3854">
        <f>SUM(G185+I185+K185+M185+O185+Q185+S185+U185+W185+Y185+AA185+AC185+AE185+AG185+AI185+AK185+AM185+AO185)</f>
        <v/>
      </c>
      <c r="F185" s="3884">
        <f>SUM(H185+J185+L185+N185+P185+R185+T185+V185+X185+Z185+AB185+AD185+AF185+AH185+AJ185+AL185+AN185+AP185)</f>
        <v/>
      </c>
      <c r="G185" s="3704" t="n"/>
      <c r="H185" s="2455" t="n"/>
      <c r="I185" s="3704" t="n"/>
      <c r="J185" s="2455" t="n"/>
      <c r="K185" s="3704" t="n"/>
      <c r="L185" s="2455" t="n"/>
      <c r="M185" s="3704" t="n"/>
      <c r="N185" s="2455" t="n"/>
      <c r="O185" s="3704" t="n"/>
      <c r="P185" s="2455" t="n"/>
      <c r="Q185" s="3704" t="n"/>
      <c r="R185" s="2455" t="n"/>
      <c r="S185" s="3704" t="n"/>
      <c r="T185" s="2455" t="n"/>
      <c r="U185" s="3704" t="n"/>
      <c r="V185" s="2455" t="n"/>
      <c r="W185" s="3704" t="n"/>
      <c r="X185" s="2455" t="n"/>
      <c r="Y185" s="3704" t="n"/>
      <c r="Z185" s="2455" t="n"/>
      <c r="AA185" s="3704" t="n"/>
      <c r="AB185" s="2455" t="n"/>
      <c r="AC185" s="3704" t="n"/>
      <c r="AD185" s="2455" t="n"/>
      <c r="AE185" s="3704" t="n"/>
      <c r="AF185" s="2455" t="n"/>
      <c r="AG185" s="3704" t="n"/>
      <c r="AH185" s="2455" t="n"/>
      <c r="AI185" s="3704" t="n"/>
      <c r="AJ185" s="2455" t="n"/>
      <c r="AK185" s="3704" t="n"/>
      <c r="AL185" s="2455" t="n"/>
      <c r="AM185" s="3704" t="n"/>
      <c r="AN185" s="2455" t="n"/>
      <c r="AO185" s="3704" t="n"/>
      <c r="AP185" s="2455" t="n"/>
    </row>
    <row r="186" ht="15" customFormat="1" customHeight="1" s="17">
      <c r="A186" s="10415" t="n"/>
      <c r="B186" s="10110" t="n"/>
      <c r="C186" s="8749" t="inlineStr">
        <is>
          <t>Reevaluación anual</t>
        </is>
      </c>
      <c r="D186" s="3885">
        <f>SUM(E186:F186)</f>
        <v/>
      </c>
      <c r="E186" s="3858">
        <f>SUM(G186+I186+K186+M186+O186+Q186+S186+U186+W186+Y186+AA186+AC186+AE186+AG186+AI186+AK186+AM186+AO186)</f>
        <v/>
      </c>
      <c r="F186" s="1219">
        <f>SUM(H186+J186+L186+N186+P186+R186+T186+V186+X186+Z186+AB186+AD186+AF186+AH186+AJ186+AL186+AN186+AP186)</f>
        <v/>
      </c>
      <c r="G186" s="3678" t="n"/>
      <c r="H186" s="3679" t="n"/>
      <c r="I186" s="3678" t="n"/>
      <c r="J186" s="3679" t="n"/>
      <c r="K186" s="3678" t="n"/>
      <c r="L186" s="3679" t="n"/>
      <c r="M186" s="3678" t="n"/>
      <c r="N186" s="3679" t="n"/>
      <c r="O186" s="3678" t="n"/>
      <c r="P186" s="3679" t="n"/>
      <c r="Q186" s="3678" t="n"/>
      <c r="R186" s="3679" t="n"/>
      <c r="S186" s="3678" t="n"/>
      <c r="T186" s="3679" t="n"/>
      <c r="U186" s="3678" t="n"/>
      <c r="V186" s="3679" t="n"/>
      <c r="W186" s="3678" t="n"/>
      <c r="X186" s="3679" t="n"/>
      <c r="Y186" s="3678" t="n"/>
      <c r="Z186" s="3679" t="n"/>
      <c r="AA186" s="3678" t="n"/>
      <c r="AB186" s="3679" t="n"/>
      <c r="AC186" s="3678" t="n"/>
      <c r="AD186" s="3679" t="n"/>
      <c r="AE186" s="3678" t="n"/>
      <c r="AF186" s="3679" t="n"/>
      <c r="AG186" s="3678" t="n"/>
      <c r="AH186" s="3679" t="n"/>
      <c r="AI186" s="3678" t="n"/>
      <c r="AJ186" s="3679" t="n"/>
      <c r="AK186" s="3678" t="n"/>
      <c r="AL186" s="3679" t="n"/>
      <c r="AM186" s="3678" t="n"/>
      <c r="AN186" s="3679" t="n"/>
      <c r="AO186" s="3678" t="n"/>
      <c r="AP186" s="3679" t="n"/>
    </row>
    <row r="187" ht="15" customFormat="1" customHeight="1" s="17">
      <c r="A187" s="10417" t="inlineStr">
        <is>
          <t>Otras crónicas respiratorias</t>
        </is>
      </c>
      <c r="B187" s="9630" t="n"/>
      <c r="C187" s="8445" t="inlineStr">
        <is>
          <t>Ingreso</t>
        </is>
      </c>
      <c r="D187" s="2302">
        <f>SUM(E187:F187)</f>
        <v/>
      </c>
      <c r="E187" s="3886">
        <f>SUM(G187+I187+K187+M187+O187+Q187+S187+U187+W187+Y187+AA187+AC187+AE187+AG187+AI187+AK187+AM187+AO187)</f>
        <v/>
      </c>
      <c r="F187" s="3887">
        <f>SUM(H187+J187+L187+N187+P187+R187+T187+V187+X187+Z187+AB187+AD187+AF187+AH187+AJ187+AL187+AN187+AP187)</f>
        <v/>
      </c>
      <c r="G187" s="1971" t="n"/>
      <c r="H187" s="750" t="n"/>
      <c r="I187" s="1971" t="n"/>
      <c r="J187" s="750" t="n"/>
      <c r="K187" s="1971" t="n"/>
      <c r="L187" s="750" t="n"/>
      <c r="M187" s="1971" t="n"/>
      <c r="N187" s="750" t="n"/>
      <c r="O187" s="1971" t="n"/>
      <c r="P187" s="750" t="n"/>
      <c r="Q187" s="1971" t="n"/>
      <c r="R187" s="750" t="n"/>
      <c r="S187" s="1971" t="n"/>
      <c r="T187" s="750" t="n"/>
      <c r="U187" s="1971" t="n"/>
      <c r="V187" s="750" t="n"/>
      <c r="W187" s="1971" t="n"/>
      <c r="X187" s="750" t="n"/>
      <c r="Y187" s="1971" t="n"/>
      <c r="Z187" s="750" t="n"/>
      <c r="AA187" s="1971" t="n"/>
      <c r="AB187" s="750" t="n"/>
      <c r="AC187" s="1971" t="n"/>
      <c r="AD187" s="750" t="n"/>
      <c r="AE187" s="1971" t="n"/>
      <c r="AF187" s="750" t="n"/>
      <c r="AG187" s="1971" t="n"/>
      <c r="AH187" s="750" t="n"/>
      <c r="AI187" s="1971" t="n"/>
      <c r="AJ187" s="750" t="n"/>
      <c r="AK187" s="1971" t="n"/>
      <c r="AL187" s="750" t="n"/>
      <c r="AM187" s="1971" t="n"/>
      <c r="AN187" s="750" t="n"/>
      <c r="AO187" s="1971" t="n"/>
      <c r="AP187" s="750" t="n"/>
    </row>
    <row r="188" ht="15" customFormat="1" customHeight="1" s="17">
      <c r="A188" s="9638" t="n"/>
      <c r="B188" s="9639" t="n"/>
      <c r="C188" s="8749" t="inlineStr">
        <is>
          <t>Reevaluación anual</t>
        </is>
      </c>
      <c r="D188" s="3885">
        <f>SUM(E188:F188)</f>
        <v/>
      </c>
      <c r="E188" s="3858">
        <f>SUM(G188+I188+K188+M188+O188+Q188+S188+U188+W188+Y188+AA188+AC188+AE188+AG188+AI188+AK188+AM188+AO188)</f>
        <v/>
      </c>
      <c r="F188" s="1219">
        <f>SUM(H188+J188+L188+N188+P188+R188+T188+V188+X188+Z188+AB188+AD188+AF188+AH188+AJ188+AL188+AN188+AP188)</f>
        <v/>
      </c>
      <c r="G188" s="3678" t="n"/>
      <c r="H188" s="3679" t="n"/>
      <c r="I188" s="3678" t="n"/>
      <c r="J188" s="3679" t="n"/>
      <c r="K188" s="3678" t="n"/>
      <c r="L188" s="3679" t="n"/>
      <c r="M188" s="3678" t="n"/>
      <c r="N188" s="3679" t="n"/>
      <c r="O188" s="3678" t="n"/>
      <c r="P188" s="3679" t="n"/>
      <c r="Q188" s="3678" t="n"/>
      <c r="R188" s="3679" t="n"/>
      <c r="S188" s="3678" t="n"/>
      <c r="T188" s="3679" t="n"/>
      <c r="U188" s="3678" t="n"/>
      <c r="V188" s="3679" t="n"/>
      <c r="W188" s="3678" t="n"/>
      <c r="X188" s="3679" t="n"/>
      <c r="Y188" s="3678" t="n"/>
      <c r="Z188" s="3679" t="n"/>
      <c r="AA188" s="3678" t="n"/>
      <c r="AB188" s="3679" t="n"/>
      <c r="AC188" s="3678" t="n"/>
      <c r="AD188" s="3679" t="n"/>
      <c r="AE188" s="3678" t="n"/>
      <c r="AF188" s="3679" t="n"/>
      <c r="AG188" s="3678" t="n"/>
      <c r="AH188" s="3679" t="n"/>
      <c r="AI188" s="3678" t="n"/>
      <c r="AJ188" s="3679" t="n"/>
      <c r="AK188" s="3678" t="n"/>
      <c r="AL188" s="3679" t="n"/>
      <c r="AM188" s="3678" t="n"/>
      <c r="AN188" s="3679" t="n"/>
      <c r="AO188" s="3678" t="n"/>
      <c r="AP188" s="3679" t="n"/>
    </row>
    <row r="215" hidden="1" s="8286">
      <c r="A215" s="451">
        <f>SUM(B12:B23,C28:C41,B46:B53,B58,B63:B65,B71:B72,B78:B83,C87:C89,B95:B103,B108:B110,B115:B119,B124:B129,B136:B141,C153:D153,B158:B162,C165:C170,C175:C178,D183:D188)</f>
        <v/>
      </c>
      <c r="B215" s="452">
        <f>SUM(CF12:CH129)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5t95KJ8huBICqC7Ydg75vA==" formatRows="1" sort="1" spinCount="100000" hashValue="Hkfpfe60BSxiSAYAZi9/4WyzSCNxIdKSGvvImtcULHLFMgSRDboLSawMTAtNQHXSzvDxmTFMaSBanDu7ToFFKA=="/>
  <mergeCells count="344">
    <mergeCell ref="AK122:AL122"/>
    <mergeCell ref="AM122:AN122"/>
    <mergeCell ref="AM56:AN56"/>
    <mergeCell ref="AE56:AF56"/>
    <mergeCell ref="I106:J106"/>
    <mergeCell ref="AG56:AH56"/>
    <mergeCell ref="Y113:Z113"/>
    <mergeCell ref="M10:N10"/>
    <mergeCell ref="A155:A157"/>
    <mergeCell ref="AC156:AD156"/>
    <mergeCell ref="AO60:AO62"/>
    <mergeCell ref="AE156:AF156"/>
    <mergeCell ref="AI76:AJ76"/>
    <mergeCell ref="AK76:AL76"/>
    <mergeCell ref="A39:B39"/>
    <mergeCell ref="N26:O26"/>
    <mergeCell ref="P26:Q26"/>
    <mergeCell ref="AG113:AH113"/>
    <mergeCell ref="Y134:Z134"/>
    <mergeCell ref="AA134:AB134"/>
    <mergeCell ref="A132:E132"/>
    <mergeCell ref="AG44:AH44"/>
    <mergeCell ref="G61:H61"/>
    <mergeCell ref="I61:J61"/>
    <mergeCell ref="A112:A114"/>
    <mergeCell ref="A153:B153"/>
    <mergeCell ref="B155:D156"/>
    <mergeCell ref="K106:L106"/>
    <mergeCell ref="Q122:R122"/>
    <mergeCell ref="B43:D44"/>
    <mergeCell ref="I56:J56"/>
    <mergeCell ref="K56:L56"/>
    <mergeCell ref="O134:P134"/>
    <mergeCell ref="AC93:AD93"/>
    <mergeCell ref="M76:N76"/>
    <mergeCell ref="O76:P76"/>
    <mergeCell ref="E76:F76"/>
    <mergeCell ref="A105:A107"/>
    <mergeCell ref="G76:H76"/>
    <mergeCell ref="U10:V10"/>
    <mergeCell ref="S156:T156"/>
    <mergeCell ref="AI44:AJ44"/>
    <mergeCell ref="B92:D93"/>
    <mergeCell ref="Q106:R106"/>
    <mergeCell ref="A36:B36"/>
    <mergeCell ref="A165:A167"/>
    <mergeCell ref="S93:T93"/>
    <mergeCell ref="S122:T122"/>
    <mergeCell ref="K44:L44"/>
    <mergeCell ref="E69:F69"/>
    <mergeCell ref="G69:H69"/>
    <mergeCell ref="AC106:AD106"/>
    <mergeCell ref="B105:D106"/>
    <mergeCell ref="O61:P61"/>
    <mergeCell ref="Q61:R61"/>
    <mergeCell ref="S106:T106"/>
    <mergeCell ref="Y122:Z122"/>
    <mergeCell ref="Q56:R56"/>
    <mergeCell ref="S56:T56"/>
    <mergeCell ref="W10:X10"/>
    <mergeCell ref="O10:P10"/>
    <mergeCell ref="AK156:AL156"/>
    <mergeCell ref="M113:N113"/>
    <mergeCell ref="AM156:AN156"/>
    <mergeCell ref="AK106:AL106"/>
    <mergeCell ref="U76:V76"/>
    <mergeCell ref="W76:X76"/>
    <mergeCell ref="C172:E173"/>
    <mergeCell ref="I181:J181"/>
    <mergeCell ref="Y69:Z69"/>
    <mergeCell ref="AA69:AB69"/>
    <mergeCell ref="A86:B86"/>
    <mergeCell ref="A6:V6"/>
    <mergeCell ref="C25:E26"/>
    <mergeCell ref="A168:A170"/>
    <mergeCell ref="A144:B144"/>
    <mergeCell ref="J173:K173"/>
    <mergeCell ref="X26:Y26"/>
    <mergeCell ref="V26:W26"/>
    <mergeCell ref="E112:AN112"/>
    <mergeCell ref="AO68:AO70"/>
    <mergeCell ref="M134:N134"/>
    <mergeCell ref="AA122:AB122"/>
    <mergeCell ref="E43:AN43"/>
    <mergeCell ref="B9:D10"/>
    <mergeCell ref="S44:T44"/>
    <mergeCell ref="A121:A123"/>
    <mergeCell ref="B75:D76"/>
    <mergeCell ref="E9:AN9"/>
    <mergeCell ref="O156:P156"/>
    <mergeCell ref="Q156:R156"/>
    <mergeCell ref="K181:L181"/>
    <mergeCell ref="O93:P93"/>
    <mergeCell ref="A171:C171"/>
    <mergeCell ref="Q93:R93"/>
    <mergeCell ref="W113:X113"/>
    <mergeCell ref="AC181:AD181"/>
    <mergeCell ref="AC10:AD10"/>
    <mergeCell ref="AE10:AF10"/>
    <mergeCell ref="E93:F93"/>
    <mergeCell ref="AI61:AJ61"/>
    <mergeCell ref="AK61:AL61"/>
    <mergeCell ref="A183:B184"/>
    <mergeCell ref="AG69:AH69"/>
    <mergeCell ref="AI69:AJ69"/>
    <mergeCell ref="E122:F122"/>
    <mergeCell ref="M44:N44"/>
    <mergeCell ref="A185:B186"/>
    <mergeCell ref="A87:B87"/>
    <mergeCell ref="E155:AN155"/>
    <mergeCell ref="A89:B89"/>
    <mergeCell ref="A31:A33"/>
    <mergeCell ref="AE181:AF181"/>
    <mergeCell ref="AP68:AP70"/>
    <mergeCell ref="A60:A62"/>
    <mergeCell ref="AG122:AH122"/>
    <mergeCell ref="B60:D61"/>
    <mergeCell ref="AI122:AJ122"/>
    <mergeCell ref="AA56:AB56"/>
    <mergeCell ref="AC56:AD56"/>
    <mergeCell ref="E75:AN75"/>
    <mergeCell ref="C180:C182"/>
    <mergeCell ref="I10:J10"/>
    <mergeCell ref="K10:L10"/>
    <mergeCell ref="D180:F181"/>
    <mergeCell ref="A55:A57"/>
    <mergeCell ref="Y156:Z156"/>
    <mergeCell ref="U44:V44"/>
    <mergeCell ref="B55:D56"/>
    <mergeCell ref="W44:X44"/>
    <mergeCell ref="AM113:AN113"/>
    <mergeCell ref="AE113:AF113"/>
    <mergeCell ref="AE76:AF76"/>
    <mergeCell ref="AK181:AL181"/>
    <mergeCell ref="AM181:AN181"/>
    <mergeCell ref="AO55:AO57"/>
    <mergeCell ref="G122:H122"/>
    <mergeCell ref="M69:N69"/>
    <mergeCell ref="A92:A94"/>
    <mergeCell ref="J26:K26"/>
    <mergeCell ref="L26:M26"/>
    <mergeCell ref="U134:V134"/>
    <mergeCell ref="W134:X134"/>
    <mergeCell ref="AC44:AD44"/>
    <mergeCell ref="E61:F61"/>
    <mergeCell ref="A175:A178"/>
    <mergeCell ref="B68:D69"/>
    <mergeCell ref="G106:H106"/>
    <mergeCell ref="M122:N122"/>
    <mergeCell ref="E56:F56"/>
    <mergeCell ref="G56:H56"/>
    <mergeCell ref="AA156:AB156"/>
    <mergeCell ref="Y106:Z106"/>
    <mergeCell ref="Y93:Z93"/>
    <mergeCell ref="AA93:AB93"/>
    <mergeCell ref="I113:J113"/>
    <mergeCell ref="Q10:R10"/>
    <mergeCell ref="Q181:R181"/>
    <mergeCell ref="O69:P69"/>
    <mergeCell ref="AE44:AF44"/>
    <mergeCell ref="W61:X61"/>
    <mergeCell ref="Y61:Z61"/>
    <mergeCell ref="A34:A35"/>
    <mergeCell ref="O122:P122"/>
    <mergeCell ref="AA106:AB106"/>
    <mergeCell ref="Y56:Z56"/>
    <mergeCell ref="AK134:AL134"/>
    <mergeCell ref="AC134:AD134"/>
    <mergeCell ref="AM134:AN134"/>
    <mergeCell ref="AE134:AF134"/>
    <mergeCell ref="K113:L113"/>
    <mergeCell ref="E156:F156"/>
    <mergeCell ref="F173:G173"/>
    <mergeCell ref="A164:B164"/>
    <mergeCell ref="AC76:AD76"/>
    <mergeCell ref="U122:V122"/>
    <mergeCell ref="S10:T10"/>
    <mergeCell ref="AP9:AP11"/>
    <mergeCell ref="AG156:AH156"/>
    <mergeCell ref="AI156:AJ156"/>
    <mergeCell ref="AG106:AH106"/>
    <mergeCell ref="AI106:AJ106"/>
    <mergeCell ref="AG93:AH93"/>
    <mergeCell ref="AD26:AE26"/>
    <mergeCell ref="AI93:AJ93"/>
    <mergeCell ref="I44:J44"/>
    <mergeCell ref="AF26:AG26"/>
    <mergeCell ref="Q76:R76"/>
    <mergeCell ref="S76:T76"/>
    <mergeCell ref="U69:V69"/>
    <mergeCell ref="W69:X69"/>
    <mergeCell ref="I134:J134"/>
    <mergeCell ref="AM44:AN44"/>
    <mergeCell ref="A37:B37"/>
    <mergeCell ref="K134:L134"/>
    <mergeCell ref="E105:AN105"/>
    <mergeCell ref="O44:P44"/>
    <mergeCell ref="S181:T181"/>
    <mergeCell ref="AK10:AL10"/>
    <mergeCell ref="W122:X122"/>
    <mergeCell ref="AM10:AN10"/>
    <mergeCell ref="O56:P56"/>
    <mergeCell ref="K156:L156"/>
    <mergeCell ref="M156:N156"/>
    <mergeCell ref="AQ43:AQ45"/>
    <mergeCell ref="K93:L93"/>
    <mergeCell ref="AM76:AN76"/>
    <mergeCell ref="M93:N93"/>
    <mergeCell ref="S113:T113"/>
    <mergeCell ref="A180:B182"/>
    <mergeCell ref="Y181:Z181"/>
    <mergeCell ref="AA181:AB181"/>
    <mergeCell ref="AA10:AB10"/>
    <mergeCell ref="AL26:AM26"/>
    <mergeCell ref="AO9:AO11"/>
    <mergeCell ref="AN26:AO26"/>
    <mergeCell ref="AQ9:AQ11"/>
    <mergeCell ref="H173:I173"/>
    <mergeCell ref="AE61:AF61"/>
    <mergeCell ref="AG61:AH61"/>
    <mergeCell ref="B121:D122"/>
    <mergeCell ref="AR43:AR45"/>
    <mergeCell ref="AC69:AD69"/>
    <mergeCell ref="A38:B38"/>
    <mergeCell ref="AI56:AJ56"/>
    <mergeCell ref="M106:N106"/>
    <mergeCell ref="AK56:AL56"/>
    <mergeCell ref="U113:V113"/>
    <mergeCell ref="E121:AN121"/>
    <mergeCell ref="A40:B40"/>
    <mergeCell ref="AR25:AR27"/>
    <mergeCell ref="E106:F106"/>
    <mergeCell ref="A172:B174"/>
    <mergeCell ref="E10:F10"/>
    <mergeCell ref="A149:A152"/>
    <mergeCell ref="G10:H10"/>
    <mergeCell ref="A25:B27"/>
    <mergeCell ref="R26:S26"/>
    <mergeCell ref="AI113:AJ113"/>
    <mergeCell ref="T26:U26"/>
    <mergeCell ref="AC113:AD113"/>
    <mergeCell ref="AO181:AP181"/>
    <mergeCell ref="AK44:AL44"/>
    <mergeCell ref="K61:L61"/>
    <mergeCell ref="M61:N61"/>
    <mergeCell ref="AE69:AF69"/>
    <mergeCell ref="O106:P106"/>
    <mergeCell ref="M56:N56"/>
    <mergeCell ref="H26:I26"/>
    <mergeCell ref="Q134:R134"/>
    <mergeCell ref="S134:T134"/>
    <mergeCell ref="AA44:AB44"/>
    <mergeCell ref="A88:B88"/>
    <mergeCell ref="G181:H181"/>
    <mergeCell ref="A68:A70"/>
    <mergeCell ref="A43:A45"/>
    <mergeCell ref="E60:AN60"/>
    <mergeCell ref="A41:B41"/>
    <mergeCell ref="A90:B90"/>
    <mergeCell ref="I76:J76"/>
    <mergeCell ref="K76:L76"/>
    <mergeCell ref="I122:J122"/>
    <mergeCell ref="AK113:AL113"/>
    <mergeCell ref="Y10:Z10"/>
    <mergeCell ref="G180:AP180"/>
    <mergeCell ref="U156:V156"/>
    <mergeCell ref="W156:X156"/>
    <mergeCell ref="U106:V106"/>
    <mergeCell ref="U93:V93"/>
    <mergeCell ref="W93:X93"/>
    <mergeCell ref="AQ25:AQ27"/>
    <mergeCell ref="E113:F113"/>
    <mergeCell ref="G113:H113"/>
    <mergeCell ref="AI181:AJ181"/>
    <mergeCell ref="G44:H44"/>
    <mergeCell ref="B112:D113"/>
    <mergeCell ref="I69:J69"/>
    <mergeCell ref="A133:A135"/>
    <mergeCell ref="AO43:AP44"/>
    <mergeCell ref="K69:L69"/>
    <mergeCell ref="S61:T61"/>
    <mergeCell ref="U61:V61"/>
    <mergeCell ref="K122:L122"/>
    <mergeCell ref="W106:X106"/>
    <mergeCell ref="A145:A148"/>
    <mergeCell ref="AC122:AD122"/>
    <mergeCell ref="U56:V56"/>
    <mergeCell ref="W56:X56"/>
    <mergeCell ref="AG134:AH134"/>
    <mergeCell ref="AI134:AJ134"/>
    <mergeCell ref="U181:V181"/>
    <mergeCell ref="F172:K172"/>
    <mergeCell ref="A187:B188"/>
    <mergeCell ref="Y76:Z76"/>
    <mergeCell ref="AA76:AB76"/>
    <mergeCell ref="E68:AN68"/>
    <mergeCell ref="E55:AN55"/>
    <mergeCell ref="M181:N181"/>
    <mergeCell ref="A163:C163"/>
    <mergeCell ref="AK93:AL93"/>
    <mergeCell ref="AE106:AF106"/>
    <mergeCell ref="AM93:AN93"/>
    <mergeCell ref="Z26:AA26"/>
    <mergeCell ref="AE93:AF93"/>
    <mergeCell ref="E44:F44"/>
    <mergeCell ref="AB26:AC26"/>
    <mergeCell ref="A28:A30"/>
    <mergeCell ref="AE122:AF122"/>
    <mergeCell ref="AP25:AP27"/>
    <mergeCell ref="Q69:R69"/>
    <mergeCell ref="S69:T69"/>
    <mergeCell ref="E134:F134"/>
    <mergeCell ref="G134:H134"/>
    <mergeCell ref="O181:P181"/>
    <mergeCell ref="B133:D134"/>
    <mergeCell ref="AA113:AB113"/>
    <mergeCell ref="AO121:AO123"/>
    <mergeCell ref="AM106:AN106"/>
    <mergeCell ref="E92:AN92"/>
    <mergeCell ref="AG181:AH181"/>
    <mergeCell ref="AG10:AH10"/>
    <mergeCell ref="AI10:AJ10"/>
    <mergeCell ref="G156:H156"/>
    <mergeCell ref="I156:J156"/>
    <mergeCell ref="Y44:Z44"/>
    <mergeCell ref="AG76:AH76"/>
    <mergeCell ref="G93:H93"/>
    <mergeCell ref="E133:AN133"/>
    <mergeCell ref="I93:J93"/>
    <mergeCell ref="F26:G26"/>
    <mergeCell ref="O113:P113"/>
    <mergeCell ref="A9:A11"/>
    <mergeCell ref="AM61:AN61"/>
    <mergeCell ref="Q113:R113"/>
    <mergeCell ref="AK69:AL69"/>
    <mergeCell ref="W181:X181"/>
    <mergeCell ref="AM69:AN69"/>
    <mergeCell ref="Q44:R44"/>
    <mergeCell ref="AH26:AI26"/>
    <mergeCell ref="A75:A77"/>
    <mergeCell ref="AJ26:AK26"/>
    <mergeCell ref="F25:AO25"/>
    <mergeCell ref="AA61:AB61"/>
    <mergeCell ref="AC61:AD61"/>
  </mergeCells>
  <dataValidations count="2">
    <dataValidation sqref="C145:D152 D87:E89 D165:G170 E46:AR53 E58:AO58 E63:AO65 E71:AP72 E78:AN83 E95:AN103 E108:AN110 E115:AN119 E124:AO129 E136:AN141 E158:AN162 F28:AR40 F175:K178 G183:AP188" showDropDown="0" showInputMessage="1" showErrorMessage="1" allowBlank="0" type="whole" operator="greaterThanOrEqual">
      <formula1>0</formula1>
    </dataValidation>
    <dataValidation sqref="E12:AQ22" showDropDown="0" showInputMessage="1" showErrorMessage="1" allowBlank="0" errorTitle="Ingrese Sólo Números" error="Ingrese Sólo Números" type="whole" operator="greaterThanOrEqual">
      <formula1>0</formula1>
    </dataValidation>
  </dataValidations>
  <pageMargins left="0.7" right="0.7" top="0.75" bottom="0.75" header="0.3" footer="0.3"/>
  <pageSetup orientation="portrait" paperSize="9"/>
</worksheet>
</file>

<file path=xl/worksheets/sheet17.xml><?xml version="1.0" encoding="utf-8"?>
<worksheet xmlns="http://schemas.openxmlformats.org/spreadsheetml/2006/main">
  <sheetPr codeName="Hoja17">
    <outlinePr summaryBelow="1" summaryRight="1"/>
    <pageSetUpPr/>
  </sheetPr>
  <dimension ref="A1:CZ179"/>
  <sheetViews>
    <sheetView showGridLines="0" zoomScaleNormal="100" workbookViewId="0">
      <selection activeCell="C14" sqref="C14"/>
    </sheetView>
  </sheetViews>
  <sheetFormatPr baseColWidth="10" defaultColWidth="11.42578125" defaultRowHeight="15"/>
  <cols>
    <col width="53.5703125" customWidth="1" style="622" min="1" max="1"/>
    <col width="23.42578125" bestFit="1" customWidth="1" style="622" min="2" max="2"/>
    <col width="14.7109375" customWidth="1" style="622" min="3" max="3"/>
    <col width="14" customWidth="1" style="622" min="4" max="4"/>
    <col width="15.28515625" customWidth="1" style="622" min="5" max="5"/>
    <col width="14" customWidth="1" style="622" min="6" max="7"/>
    <col width="15" customWidth="1" style="622" min="8" max="8"/>
    <col width="14" customWidth="1" style="622" min="9" max="10"/>
    <col width="13.42578125" customWidth="1" style="622" min="11" max="11"/>
    <col width="13.140625" customWidth="1" style="622" min="12" max="12"/>
    <col width="14" customWidth="1" style="622" min="13" max="13"/>
    <col width="15.28515625" customWidth="1" style="622" min="14" max="14"/>
    <col width="13" customWidth="1" style="622" min="15" max="15"/>
    <col width="12" customWidth="1" style="622" min="16" max="16"/>
    <col width="13.42578125" customWidth="1" style="622" min="17" max="18"/>
    <col width="11.28515625" customWidth="1" style="622" min="19" max="19"/>
    <col width="12.42578125" customWidth="1" style="622" min="20" max="20"/>
    <col width="11.42578125" customWidth="1" style="622" min="21" max="21"/>
    <col width="12.85546875" customWidth="1" style="622" min="22" max="22"/>
    <col width="11.28515625" customWidth="1" style="622" min="23" max="27"/>
    <col width="11.7109375" customWidth="1" style="622" min="28" max="28"/>
    <col width="11.42578125" customWidth="1" style="622" min="29" max="29"/>
    <col width="13.7109375" customWidth="1" style="622" min="30" max="30"/>
    <col width="11.42578125" customWidth="1" style="622" min="31" max="54"/>
    <col width="20.28515625" bestFit="1" customWidth="1" style="622" min="55" max="55"/>
    <col width="11.42578125" customWidth="1" style="622" min="56" max="64"/>
    <col width="20.28515625" bestFit="1" customWidth="1" style="622" min="65" max="65"/>
    <col width="11.42578125" customWidth="1" style="622" min="66" max="76"/>
    <col width="11.42578125" customWidth="1" style="622" min="77" max="77"/>
    <col hidden="1" width="11.42578125" customWidth="1" style="622" min="78" max="78"/>
    <col hidden="1" width="11.85546875" customWidth="1" style="6210" min="79" max="80"/>
    <col hidden="1" width="11.42578125" customWidth="1" style="6210" min="81" max="83"/>
    <col hidden="1" width="8.7109375" customWidth="1" style="6210" min="84" max="86"/>
    <col hidden="1" width="11.42578125" customWidth="1" style="6210" min="87" max="90"/>
    <col hidden="1" width="15.140625" customWidth="1" style="6210" min="91" max="91"/>
    <col hidden="1" width="11.42578125" customWidth="1" style="6210" min="92" max="92"/>
    <col width="11.42578125" customWidth="1" style="6210" min="93" max="94"/>
    <col width="20.28515625" customWidth="1" style="6210" min="95" max="95"/>
    <col width="11.42578125" customWidth="1" style="6210" min="96" max="96"/>
    <col width="11.42578125" customWidth="1" style="6210" min="97" max="100"/>
    <col width="11.42578125" customWidth="1" style="622" min="101" max="16384"/>
  </cols>
  <sheetData>
    <row r="1">
      <c r="A1" s="5551" t="inlineStr">
        <is>
          <t>SERVICIO DE SALUD</t>
        </is>
      </c>
    </row>
    <row r="2">
      <c r="A2" s="5551">
        <f>CONCATENATE("COMUNA: ",NOMBRE!B2, " (",NOMBRE!C2,NOMBRE!D2,NOMBRE!E2,NOMBRE!F2,NOMBRE!G2,")")</f>
        <v/>
      </c>
    </row>
    <row r="3">
      <c r="A3" s="5551">
        <f>CONCATENATE("ESTABLECIMIENTO/ESTRATEGIA: ", NOMBRE!B3, " (",NOMBRE!C3,NOMBRE!D3,NOMBRE!E3,NOMBRE!F3,NOMBRE!G3,NOMBRE!H3,")")</f>
        <v/>
      </c>
    </row>
    <row r="4">
      <c r="A4" s="5551">
        <f>CONCATENATE("MES: ",NOMBRE!B6, " (",NOMBRE!C6,NOMBRE!D6,")")</f>
        <v/>
      </c>
    </row>
    <row r="5">
      <c r="A5" s="5551">
        <f>CONCATENATE("AÑO: ",NOMBRE!B7)</f>
        <v/>
      </c>
    </row>
    <row r="6" ht="18" customHeight="1" s="8286">
      <c r="A6" s="7230" t="inlineStr">
        <is>
          <t>REM-A24.   ATENCIÓN OBSTÉTRICA Y DEL RECIÉN NACIDO</t>
        </is>
      </c>
    </row>
    <row r="8" ht="18" customFormat="1" customHeight="1" s="6210">
      <c r="A8" s="6649" t="inlineStr">
        <is>
          <t>SECCIÓN A: INFORMACIÓN GENERAL DE PARTOS</t>
        </is>
      </c>
      <c r="B8" s="7232" t="n"/>
      <c r="C8" s="7232" t="n"/>
      <c r="D8" s="7232" t="n"/>
      <c r="E8" s="7232" t="n"/>
      <c r="F8" s="7232" t="n"/>
      <c r="G8" s="7232" t="n"/>
      <c r="H8" s="7232" t="n"/>
      <c r="I8" s="7232" t="n"/>
      <c r="J8" s="7232" t="n"/>
      <c r="K8" s="7232" t="n"/>
      <c r="L8" s="7232" t="n"/>
      <c r="M8" s="7232" t="n"/>
      <c r="N8" s="7232" t="n"/>
      <c r="O8" s="7232" t="n"/>
      <c r="P8" s="6246" t="n"/>
      <c r="Q8" s="6246" t="n"/>
      <c r="R8" s="6246" t="n"/>
      <c r="S8" s="6246" t="n"/>
      <c r="T8" s="6246" t="n"/>
      <c r="U8" s="6246" t="n"/>
      <c r="V8" s="6246" t="n"/>
      <c r="W8" s="6251" t="n"/>
      <c r="X8" s="6251" t="n"/>
      <c r="Y8" s="6251" t="n"/>
      <c r="Z8" s="6251" t="n"/>
      <c r="AA8" s="6251" t="n"/>
      <c r="AB8" s="6251" t="n"/>
    </row>
    <row r="9" ht="15" customHeight="1" s="8286">
      <c r="A9" s="9629" t="inlineStr">
        <is>
          <t>CARACTERISTICAS DEL PARTO</t>
        </is>
      </c>
      <c r="B9" s="9630" t="n"/>
      <c r="C9" s="9626" t="inlineStr">
        <is>
          <t>TOTAL</t>
        </is>
      </c>
      <c r="D9" s="9619" t="inlineStr">
        <is>
          <t>PARTOS SEGÚN EDAD DE LA MADRE</t>
        </is>
      </c>
      <c r="E9" s="9584" t="n"/>
      <c r="F9" s="9584" t="n"/>
      <c r="G9" s="9582" t="n"/>
      <c r="H9" s="7632" t="inlineStr">
        <is>
          <t>PARTOS PREMATUROS (CONSIDERAR SOBRE 22 SEMANAS)</t>
        </is>
      </c>
      <c r="I9" s="9584" t="n"/>
      <c r="J9" s="9584" t="n"/>
      <c r="K9" s="9582" t="n"/>
      <c r="L9" s="9624" t="inlineStr">
        <is>
          <t>Uso de oxitocina profiláctica</t>
        </is>
      </c>
      <c r="M9" s="9594" t="inlineStr">
        <is>
          <t>ANESTESIA Y/O ANALGESIA DEL PARTO (MEDIDAS FARMACOLÓGICAS Y NO FARMACOLÓGICAS)</t>
        </is>
      </c>
      <c r="N9" s="9584" t="n"/>
      <c r="O9" s="9584" t="n"/>
      <c r="P9" s="9584" t="n"/>
      <c r="Q9" s="9584" t="n"/>
      <c r="R9" s="9595" t="n"/>
      <c r="S9" s="8250" t="inlineStr">
        <is>
          <t>Ligadura tardía del cordón (&gt; a 60 segundos)</t>
        </is>
      </c>
      <c r="T9" s="10418" t="inlineStr">
        <is>
          <t>CONTACTO INMEDIATO PIEL A PIEL &gt;30 MINUTOS</t>
        </is>
      </c>
      <c r="U9" s="9617" t="n"/>
      <c r="V9" s="9617" t="n"/>
      <c r="W9" s="9597" t="n"/>
      <c r="X9" s="9598" t="inlineStr">
        <is>
          <t>Lactancia materna en los primeros  60 minutos de vida  (RN con peso de 2.500 grs. o más)</t>
        </is>
      </c>
      <c r="Y9" s="9911" t="inlineStr">
        <is>
          <t>Alojamiento conjunto en puerperio inmediato</t>
        </is>
      </c>
      <c r="Z9" s="9846" t="inlineStr">
        <is>
          <t>Atención con pertinencia cultural</t>
        </is>
      </c>
      <c r="AA9" s="10419" t="inlineStr">
        <is>
          <t>Pueblos Originarios</t>
        </is>
      </c>
      <c r="AB9" s="9618" t="inlineStr">
        <is>
          <t>Migrantes</t>
        </is>
      </c>
      <c r="AC9" s="7632" t="inlineStr">
        <is>
          <t>Discapacidad</t>
        </is>
      </c>
      <c r="AD9" s="10420" t="inlineStr">
        <is>
          <t>Privada de Libertad</t>
        </is>
      </c>
      <c r="AE9" s="10421" t="inlineStr">
        <is>
          <t>Identidad de Género</t>
        </is>
      </c>
      <c r="AF9" s="9630" t="n"/>
      <c r="CA9" s="622" t="n"/>
      <c r="CB9" s="622" t="n"/>
      <c r="CC9" s="622" t="n"/>
      <c r="CD9" s="622" t="n"/>
      <c r="CW9" s="6210" t="n"/>
      <c r="CX9" s="6210" t="n"/>
      <c r="CY9" s="6210" t="n"/>
      <c r="CZ9" s="6210" t="n"/>
    </row>
    <row r="10" ht="27" customHeight="1" s="8286">
      <c r="A10" s="642" t="n"/>
      <c r="B10" s="9718" t="n"/>
      <c r="C10" s="642" t="n"/>
      <c r="D10" s="9849" t="inlineStr">
        <is>
          <t>&lt; 15 años</t>
        </is>
      </c>
      <c r="E10" s="10422" t="inlineStr">
        <is>
          <t>15 - 19 años</t>
        </is>
      </c>
      <c r="F10" s="10422" t="inlineStr">
        <is>
          <t>20 - 34 años</t>
        </is>
      </c>
      <c r="G10" s="9703" t="inlineStr">
        <is>
          <t>≥35 años</t>
        </is>
      </c>
      <c r="H10" s="10423" t="inlineStr">
        <is>
          <t>Partos prematuros menos de 24 semanas</t>
        </is>
      </c>
      <c r="I10" s="10422" t="inlineStr">
        <is>
          <t>Partos prematuros de 24 a 28 semanas</t>
        </is>
      </c>
      <c r="J10" s="10422" t="inlineStr">
        <is>
          <t>Partos prematuros de 29 a 32 semanas</t>
        </is>
      </c>
      <c r="K10" s="9637" t="inlineStr">
        <is>
          <t>Partos prematuros de 33 a 36 semanas</t>
        </is>
      </c>
      <c r="L10" s="9627" t="n"/>
      <c r="M10" s="9849" t="inlineStr">
        <is>
          <t>Anestesia Neuroaxial</t>
        </is>
      </c>
      <c r="N10" s="9911" t="inlineStr">
        <is>
          <t>Óxido nitroso</t>
        </is>
      </c>
      <c r="O10" s="9911" t="inlineStr">
        <is>
          <t>Analgesia endovenosa</t>
        </is>
      </c>
      <c r="P10" s="9911" t="inlineStr">
        <is>
          <t>General</t>
        </is>
      </c>
      <c r="Q10" s="9911" t="inlineStr">
        <is>
          <t>Local</t>
        </is>
      </c>
      <c r="R10" s="10424" t="inlineStr">
        <is>
          <t>Medidas no farmacológicas</t>
        </is>
      </c>
      <c r="S10" s="642" t="n"/>
      <c r="T10" s="10425" t="inlineStr">
        <is>
          <t>Con la Madre</t>
        </is>
      </c>
      <c r="U10" s="9648" t="n"/>
      <c r="V10" s="10426" t="inlineStr">
        <is>
          <t>Con el padre o acompañante significativo</t>
        </is>
      </c>
      <c r="W10" s="9597" t="n"/>
      <c r="X10" s="9683" t="n"/>
      <c r="Y10" s="10017" t="n"/>
      <c r="AA10" s="9978" t="n"/>
      <c r="AB10" s="9614" t="n"/>
      <c r="AC10" s="9614" t="n"/>
      <c r="AD10" s="10097" t="n"/>
      <c r="AE10" s="9650" t="n"/>
      <c r="AF10" s="9639" t="n"/>
      <c r="CA10" s="622" t="n"/>
      <c r="CB10" s="622" t="n"/>
      <c r="CC10" s="622" t="n"/>
      <c r="CD10" s="622" t="n"/>
      <c r="CW10" s="6210" t="n"/>
      <c r="CX10" s="6210" t="n"/>
      <c r="CY10" s="6210" t="n"/>
      <c r="CZ10" s="6210" t="n"/>
    </row>
    <row r="11" ht="39" customHeight="1" s="8286">
      <c r="A11" s="9638" t="n"/>
      <c r="B11" s="9639" t="n"/>
      <c r="C11" s="9698" t="n"/>
      <c r="D11" s="9800" t="n"/>
      <c r="E11" s="9912" t="n"/>
      <c r="F11" s="9912" t="n"/>
      <c r="G11" s="9705" t="n"/>
      <c r="H11" s="9800" t="n"/>
      <c r="I11" s="9912" t="n"/>
      <c r="J11" s="9912" t="n"/>
      <c r="K11" s="9641" t="n"/>
      <c r="L11" s="9621" t="n"/>
      <c r="M11" s="9800" t="n"/>
      <c r="N11" s="9912" t="n"/>
      <c r="O11" s="9912" t="n"/>
      <c r="P11" s="9912" t="n"/>
      <c r="Q11" s="9912" t="n"/>
      <c r="R11" s="9926" t="n"/>
      <c r="S11" s="9698" t="n"/>
      <c r="T11" s="6658" t="inlineStr">
        <is>
          <t xml:space="preserve">RN peso menor o igual a 2.499 grs. </t>
        </is>
      </c>
      <c r="U11" s="8805" t="inlineStr">
        <is>
          <t>RN con peso de 2.500 grs. o más</t>
        </is>
      </c>
      <c r="V11" s="6659" t="inlineStr">
        <is>
          <t xml:space="preserve">RN peso menor o igual a 2.499 grs. </t>
        </is>
      </c>
      <c r="W11" s="8813" t="inlineStr">
        <is>
          <t>RN con peso de 2.500 grs. o más</t>
        </is>
      </c>
      <c r="X11" s="9604" t="n"/>
      <c r="Y11" s="9912" t="n"/>
      <c r="Z11" s="9591" t="n"/>
      <c r="AA11" s="9890" t="n"/>
      <c r="AB11" s="9610" t="n"/>
      <c r="AC11" s="9610" t="n"/>
      <c r="AD11" s="9865" t="n"/>
      <c r="AE11" s="8270" t="inlineStr">
        <is>
          <t>Trans masculino</t>
        </is>
      </c>
      <c r="AF11" s="6660" t="inlineStr">
        <is>
          <t>No binarie</t>
        </is>
      </c>
      <c r="CA11" s="622" t="n"/>
      <c r="CB11" s="622" t="n"/>
      <c r="CC11" s="622" t="n"/>
      <c r="CD11" s="622" t="n"/>
      <c r="CW11" s="6210" t="n"/>
      <c r="CX11" s="6210" t="n"/>
      <c r="CY11" s="6210" t="n"/>
      <c r="CZ11" s="6210" t="n"/>
    </row>
    <row r="12" ht="15" customFormat="1" customHeight="1" s="65">
      <c r="A12" s="9618" t="inlineStr">
        <is>
          <t>TOTAL PARTOS</t>
        </is>
      </c>
      <c r="B12" s="9582" t="n"/>
      <c r="C12" s="6663">
        <f>SUM(C13:C16)</f>
        <v/>
      </c>
      <c r="D12" s="6664">
        <f>SUM(D13:D16)</f>
        <v/>
      </c>
      <c r="E12" s="6665">
        <f>SUM(E13:E16)</f>
        <v/>
      </c>
      <c r="F12" s="6666">
        <f>SUM(F13:F16)</f>
        <v/>
      </c>
      <c r="G12" s="6667">
        <f>SUM(G13:G16)</f>
        <v/>
      </c>
      <c r="H12" s="6664">
        <f>SUM(H13:H16)</f>
        <v/>
      </c>
      <c r="I12" s="6665">
        <f>SUM(I13:I16)</f>
        <v/>
      </c>
      <c r="J12" s="6668">
        <f>SUM(J13:J16)</f>
        <v/>
      </c>
      <c r="K12" s="6669">
        <f>SUM(K13:K16)</f>
        <v/>
      </c>
      <c r="L12" s="6670">
        <f>SUM(L13:L16)</f>
        <v/>
      </c>
      <c r="M12" s="6664">
        <f>SUM(M13:M16)</f>
        <v/>
      </c>
      <c r="N12" s="6665">
        <f>SUM(N13:N16)</f>
        <v/>
      </c>
      <c r="O12" s="6668">
        <f>SUM(O13:O16)</f>
        <v/>
      </c>
      <c r="P12" s="6665">
        <f>SUM(P13:P16)</f>
        <v/>
      </c>
      <c r="Q12" s="6668">
        <f>SUM(Q13:Q16)</f>
        <v/>
      </c>
      <c r="R12" s="6671">
        <f>SUM(R13:R16)</f>
        <v/>
      </c>
      <c r="S12" s="6667">
        <f>SUM(S13:S16)</f>
        <v/>
      </c>
      <c r="T12" s="6672">
        <f>SUM(T13:T16)</f>
        <v/>
      </c>
      <c r="U12" s="6667">
        <f>SUM(U13:U16)</f>
        <v/>
      </c>
      <c r="V12" s="6664">
        <f>SUM(V13:V16)</f>
        <v/>
      </c>
      <c r="W12" s="6673">
        <f>SUM(W13:W16)</f>
        <v/>
      </c>
      <c r="X12" s="6672">
        <f>SUM(X13:X16)</f>
        <v/>
      </c>
      <c r="Y12" s="6665">
        <f>SUM(Y13:Y16)</f>
        <v/>
      </c>
      <c r="Z12" s="6674">
        <f>SUM(Z13:Z16)</f>
        <v/>
      </c>
      <c r="AA12" s="6675">
        <f>SUM(AA13:AA16)</f>
        <v/>
      </c>
      <c r="AB12" s="6676">
        <f>SUM(AB13:AB16)</f>
        <v/>
      </c>
      <c r="AC12" s="6676">
        <f>SUM(AC13:AC16)</f>
        <v/>
      </c>
      <c r="AD12" s="6673">
        <f>SUM(AD13:AD16)</f>
        <v/>
      </c>
      <c r="AE12" s="6666">
        <f>SUM(AE13:AE16)</f>
        <v/>
      </c>
      <c r="AF12" s="6667">
        <f>SUM(AF13:AF16)</f>
        <v/>
      </c>
      <c r="CE12" s="6210" t="n"/>
      <c r="CF12" s="6210" t="n"/>
      <c r="CG12" s="6210" t="n"/>
      <c r="CH12" s="6210" t="n"/>
      <c r="CI12" s="6210" t="n"/>
      <c r="CJ12" s="6210" t="n"/>
      <c r="CK12" s="6210" t="n"/>
      <c r="CL12" s="6210" t="n"/>
      <c r="CM12" s="6210" t="n"/>
      <c r="CN12" s="6210" t="n"/>
      <c r="CO12" s="6210" t="n"/>
      <c r="CP12" s="6210" t="n"/>
      <c r="CQ12" s="6210" t="n"/>
      <c r="CR12" s="6210" t="n"/>
      <c r="CS12" s="6210" t="n"/>
      <c r="CT12" s="6210" t="n"/>
      <c r="CU12" s="6210" t="n"/>
      <c r="CV12" s="6210" t="n"/>
      <c r="CW12" s="6210" t="n"/>
      <c r="CX12" s="6210" t="n"/>
      <c r="CY12" s="6210" t="n"/>
      <c r="CZ12" s="6210" t="n"/>
    </row>
    <row r="13" ht="15" customFormat="1" customHeight="1" s="65">
      <c r="A13" s="10427" t="inlineStr">
        <is>
          <t>Vaginal</t>
        </is>
      </c>
      <c r="B13" s="9643" t="n"/>
      <c r="C13" s="6678" t="n"/>
      <c r="D13" s="6271" t="n"/>
      <c r="E13" s="6270" t="n"/>
      <c r="F13" s="6270" t="n"/>
      <c r="G13" s="6679" t="n"/>
      <c r="H13" s="6271" t="n"/>
      <c r="I13" s="6219" t="n"/>
      <c r="J13" s="6219" t="n"/>
      <c r="K13" s="6679" t="n"/>
      <c r="L13" s="6680" t="n"/>
      <c r="M13" s="6219" t="n"/>
      <c r="N13" s="6219" t="n"/>
      <c r="O13" s="6219" t="n"/>
      <c r="P13" s="6219" t="n"/>
      <c r="Q13" s="6219" t="n"/>
      <c r="R13" s="5881" t="n"/>
      <c r="S13" s="6679" t="n"/>
      <c r="T13" s="6681" t="n"/>
      <c r="U13" s="6379" t="n"/>
      <c r="V13" s="6270" t="n"/>
      <c r="W13" s="6273" t="n"/>
      <c r="X13" s="6681" t="n"/>
      <c r="Y13" s="6219" t="n"/>
      <c r="Z13" s="6682" t="n"/>
      <c r="AA13" s="6683" t="n"/>
      <c r="AB13" s="6159" t="n"/>
      <c r="AC13" s="6159" t="n"/>
      <c r="AD13" s="6273" t="n"/>
      <c r="AE13" s="6270" t="n"/>
      <c r="AF13" s="6679" t="n"/>
      <c r="AG13" s="932">
        <f>$CA13&amp;CB13&amp;CC13&amp;CD13&amp;CE13</f>
        <v/>
      </c>
      <c r="AH13" s="622" t="n"/>
      <c r="AI13" s="622" t="n"/>
      <c r="AJ13" s="622" t="n"/>
      <c r="AK13" s="622" t="n"/>
      <c r="AL13" s="622" t="n"/>
      <c r="AM13" s="622" t="n"/>
      <c r="AN13" s="622" t="n"/>
      <c r="AO13" s="622" t="n"/>
      <c r="AP13" s="622" t="n"/>
      <c r="AQ13" s="622" t="n"/>
      <c r="AR13" s="622" t="n"/>
      <c r="AS13" s="622" t="n"/>
      <c r="AT13" s="622" t="n"/>
      <c r="AU13" s="622" t="n"/>
      <c r="AV13" s="622" t="n"/>
      <c r="AW13" s="622" t="n"/>
      <c r="AX13" s="622" t="n"/>
      <c r="AY13" s="622" t="n"/>
      <c r="AZ13" s="622" t="n"/>
      <c r="BA13" s="622" t="n"/>
      <c r="BB13" s="622" t="n"/>
      <c r="BC13" s="622" t="n"/>
      <c r="BD13" s="622" t="n"/>
      <c r="BE13" s="622" t="n"/>
      <c r="BF13" s="622" t="n"/>
      <c r="BG13" s="622" t="n"/>
      <c r="BH13" s="622" t="n"/>
      <c r="BI13" s="622" t="n"/>
      <c r="BJ13" s="622" t="n"/>
      <c r="BK13" s="622" t="n"/>
      <c r="BL13" s="622" t="n"/>
      <c r="BM13" s="622" t="n"/>
      <c r="BN13" s="622" t="n"/>
      <c r="BO13" s="622" t="n"/>
      <c r="BP13" s="622" t="n"/>
      <c r="BQ13" s="622" t="n"/>
      <c r="BR13" s="622" t="n"/>
      <c r="BS13" s="622" t="n"/>
      <c r="BT13" s="622" t="n"/>
      <c r="BU13" s="622" t="n"/>
      <c r="BV13" s="622" t="n"/>
      <c r="BW13" s="622" t="n"/>
      <c r="BX13" s="622" t="n"/>
      <c r="BY13" s="622" t="n"/>
      <c r="BZ13" s="622" t="n"/>
      <c r="CA13" s="6684">
        <f>IF(AND(C13&gt;0,AA13="")," * No olvide digitar la variable Pueblos originarios. Digite Cero si no tiene.",IF(AA13&gt;C13," * La variable Pueblos originarios no puede ser mayor al Total.",""))</f>
        <v/>
      </c>
      <c r="CB13" s="6684">
        <f>IF(AND(C13&gt;0,AB13="")," * No olvide digitar la variable Migrantes. Digite Cero si no tiene.",IF(AB13&gt;C13," * La variable Migrantes no puede ser mayor al Total.",""))</f>
        <v/>
      </c>
      <c r="CC13" s="6684">
        <f>IF(AND($C13&gt;0,OR(AC13=""))," * No olvide digitar la variable "&amp;$AC$9&amp;""&amp;". Digite Cero si no tiene.",IF(OR(AC13&gt;$C13)," * La variable Discapacidad no puede ser mayor al Total.",""))</f>
        <v/>
      </c>
      <c r="CD13" s="6684">
        <f>IF(AND($C13&gt;0,OR(AD13=""))," * No olvide digitar la variable "&amp;$AD$9&amp;""&amp;". Digite Cero si no tiene.",IF(OR(AD13&gt;$C13)," * La variable "&amp;$AD$9&amp;""&amp;" no puede ser mayor al Total.",""))</f>
        <v/>
      </c>
      <c r="CE13" s="6684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/>
      </c>
      <c r="CJ13" s="5577">
        <f>IF(AND($C13&gt;0,AB13=""),1,IF(AB13&gt;$C13,1,0))</f>
        <v/>
      </c>
      <c r="CK13" s="5577">
        <f>IF(AND($C13&gt;0,AC13=""),1,IF(AC13&gt;$C13,1,0))</f>
        <v/>
      </c>
      <c r="CL13" s="5577">
        <f>IF(AND($C13&gt;0,AD13=""),1,IF(AD13&gt;$C13,1,0))</f>
        <v/>
      </c>
      <c r="CM13" s="5577">
        <f>IF(AND($C13&gt;0,AE13="",AF13=""),1,IF(AE13+AF13&gt;$C13,1,0))</f>
        <v/>
      </c>
      <c r="CN13" s="1076" t="n"/>
      <c r="CO13" s="1076" t="n"/>
      <c r="CS13" s="622" t="n"/>
      <c r="CT13" s="5672" t="n"/>
      <c r="CU13" s="6210" t="n"/>
      <c r="CV13" s="6210" t="n"/>
      <c r="CW13" s="6210" t="n"/>
      <c r="CX13" s="6210" t="n"/>
      <c r="CY13" s="6210" t="n"/>
      <c r="CZ13" s="6210" t="n"/>
    </row>
    <row r="14" ht="15" customFormat="1" customHeight="1" s="65">
      <c r="A14" s="6841" t="inlineStr">
        <is>
          <t>Instrumental</t>
        </is>
      </c>
      <c r="B14" s="9644" t="n"/>
      <c r="C14" s="6685" t="n"/>
      <c r="D14" s="6686" t="n"/>
      <c r="E14" s="6687" t="n"/>
      <c r="F14" s="6687" t="n"/>
      <c r="G14" s="6559" t="n"/>
      <c r="H14" s="6686" t="n"/>
      <c r="I14" s="6688" t="n"/>
      <c r="J14" s="6688" t="n"/>
      <c r="K14" s="6559" t="n"/>
      <c r="L14" s="6163" t="n"/>
      <c r="M14" s="6688" t="n"/>
      <c r="N14" s="6688" t="n"/>
      <c r="O14" s="6688" t="n"/>
      <c r="P14" s="6688" t="n"/>
      <c r="Q14" s="6688" t="n"/>
      <c r="R14" s="6689" t="n"/>
      <c r="S14" s="6559" t="n"/>
      <c r="T14" s="6690" t="n"/>
      <c r="U14" s="6691" t="n"/>
      <c r="V14" s="6687" t="n"/>
      <c r="W14" s="6692" t="n"/>
      <c r="X14" s="6690" t="n"/>
      <c r="Y14" s="6688" t="n"/>
      <c r="Z14" s="6162" t="n"/>
      <c r="AA14" s="6693" t="n"/>
      <c r="AB14" s="6163" t="n"/>
      <c r="AC14" s="6163" t="n"/>
      <c r="AD14" s="6692" t="n"/>
      <c r="AE14" s="6687" t="n"/>
      <c r="AF14" s="6559" t="n"/>
      <c r="AG14" s="932">
        <f>$CA14&amp;CB14&amp;CC14&amp;CD14&amp;CE14</f>
        <v/>
      </c>
      <c r="AH14" s="622" t="n"/>
      <c r="AI14" s="622" t="n"/>
      <c r="AJ14" s="622" t="n"/>
      <c r="AK14" s="622" t="n"/>
      <c r="AL14" s="622" t="n"/>
      <c r="AM14" s="622" t="n"/>
      <c r="AN14" s="622" t="n"/>
      <c r="AO14" s="622" t="n"/>
      <c r="AP14" s="622" t="n"/>
      <c r="AQ14" s="622" t="n"/>
      <c r="AR14" s="622" t="n"/>
      <c r="AS14" s="622" t="n"/>
      <c r="AT14" s="622" t="n"/>
      <c r="AU14" s="622" t="n"/>
      <c r="AV14" s="622" t="n"/>
      <c r="AW14" s="622" t="n"/>
      <c r="AX14" s="622" t="n"/>
      <c r="AY14" s="622" t="n"/>
      <c r="AZ14" s="622" t="n"/>
      <c r="BA14" s="622" t="n"/>
      <c r="BB14" s="622" t="n"/>
      <c r="BC14" s="622" t="n"/>
      <c r="BD14" s="622" t="n"/>
      <c r="BE14" s="622" t="n"/>
      <c r="BF14" s="622" t="n"/>
      <c r="BG14" s="622" t="n"/>
      <c r="BH14" s="622" t="n"/>
      <c r="BI14" s="622" t="n"/>
      <c r="BJ14" s="622" t="n"/>
      <c r="BK14" s="622" t="n"/>
      <c r="BL14" s="622" t="n"/>
      <c r="BM14" s="622" t="n"/>
      <c r="BN14" s="622" t="n"/>
      <c r="BO14" s="622" t="n"/>
      <c r="BP14" s="622" t="n"/>
      <c r="BQ14" s="622" t="n"/>
      <c r="BR14" s="622" t="n"/>
      <c r="BS14" s="622" t="n"/>
      <c r="BT14" s="622" t="n"/>
      <c r="BU14" s="622" t="n"/>
      <c r="BV14" s="622" t="n"/>
      <c r="BW14" s="622" t="n"/>
      <c r="BX14" s="622" t="n"/>
      <c r="BY14" s="622" t="n"/>
      <c r="BZ14" s="622" t="n"/>
      <c r="CA14" s="6684">
        <f>IF(AND(C14&gt;0,AA14="")," * No olvide digitar la variable Pueblos originarios. Digite Cero si no tiene.",IF(AA14&gt;C14," * La variable Pueblos originarios no puede ser mayor al Total.",""))</f>
        <v/>
      </c>
      <c r="CB14" s="6684">
        <f>IF(AND(C14&gt;0,AB14="")," * No olvide digitar la variable Migrantes. Digite Cero si no tiene.",IF(AB14&gt;C14," * La variable Migrantes no puede ser mayor al Total.",""))</f>
        <v/>
      </c>
      <c r="CC14" s="6684">
        <f>IF(AND($C14&gt;0,OR(AC14=""))," * No olvide digitar la variable "&amp;$AC$9&amp;""&amp;". Digite Cero si no tiene.",IF(OR(AC14&gt;$C14)," * La variable Discapacidad no puede ser mayor al Total.",""))</f>
        <v/>
      </c>
      <c r="CD14" s="6684">
        <f>IF(AND($C14&gt;0,OR(AD14=""))," * No olvide digitar la variable "&amp;$AD$9&amp;""&amp;". Digite Cero si no tiene.",IF(OR(AD14&gt;$C14)," * La variable "&amp;$AD$9&amp;""&amp;" no puede ser mayor al Total.",""))</f>
        <v/>
      </c>
      <c r="CE14" s="6684">
        <f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>IF(AND($C14&gt;0,AA14=""),1,IF(AA14&gt;$C14,1,0))</f>
        <v/>
      </c>
      <c r="CJ14" s="5577">
        <f>IF(AND($C14&gt;0,AB14=""),1,IF(AB14&gt;$C14,1,0))</f>
        <v/>
      </c>
      <c r="CK14" s="5577">
        <f>IF(AND($C14&gt;0,AC14=""),1,IF(AC14&gt;$C14,1,0))</f>
        <v/>
      </c>
      <c r="CL14" s="5577">
        <f>IF(AND($C14&gt;0,AD14=""),1,IF(AD14&gt;$C14,1,0))</f>
        <v/>
      </c>
      <c r="CM14" s="5577">
        <f>IF(AND($C14&gt;0,AE14="",AF14=""),1,IF(AE14+AF14&gt;$C14,1,0))</f>
        <v/>
      </c>
      <c r="CN14" s="1076" t="n"/>
      <c r="CO14" s="1076" t="n"/>
      <c r="CS14" s="622" t="n"/>
      <c r="CT14" s="5672" t="n"/>
      <c r="CU14" s="6210" t="n"/>
      <c r="CV14" s="6210" t="n"/>
      <c r="CW14" s="6210" t="n"/>
      <c r="CX14" s="6210" t="n"/>
      <c r="CY14" s="6210" t="n"/>
      <c r="CZ14" s="6210" t="n"/>
    </row>
    <row r="15" ht="15" customFormat="1" customHeight="1" s="65">
      <c r="A15" s="6841" t="inlineStr">
        <is>
          <t>Cesárea Electiva</t>
        </is>
      </c>
      <c r="B15" s="9644" t="n"/>
      <c r="C15" s="6685" t="n"/>
      <c r="D15" s="6686" t="n"/>
      <c r="E15" s="6687" t="n"/>
      <c r="F15" s="6687" t="n"/>
      <c r="G15" s="6559" t="n"/>
      <c r="H15" s="6686" t="n"/>
      <c r="I15" s="6688" t="n"/>
      <c r="J15" s="6688" t="n"/>
      <c r="K15" s="6559" t="n"/>
      <c r="L15" s="6163" t="n"/>
      <c r="M15" s="6688" t="n"/>
      <c r="N15" s="6688" t="n"/>
      <c r="O15" s="6688" t="n"/>
      <c r="P15" s="6688" t="n"/>
      <c r="Q15" s="6688" t="n"/>
      <c r="R15" s="6689" t="n"/>
      <c r="S15" s="6559" t="n"/>
      <c r="T15" s="6690" t="n"/>
      <c r="U15" s="6691" t="n"/>
      <c r="V15" s="6687" t="n"/>
      <c r="W15" s="6692" t="n"/>
      <c r="X15" s="6690" t="n"/>
      <c r="Y15" s="6688" t="n"/>
      <c r="Z15" s="6162" t="n"/>
      <c r="AA15" s="6693" t="n"/>
      <c r="AB15" s="6163" t="n"/>
      <c r="AC15" s="6163" t="n"/>
      <c r="AD15" s="6692" t="n"/>
      <c r="AE15" s="6687" t="n"/>
      <c r="AF15" s="6559" t="n"/>
      <c r="AG15" s="932">
        <f>$CA15&amp;CB15&amp;CC15&amp;CD15&amp;CE15</f>
        <v/>
      </c>
      <c r="AH15" s="622" t="n"/>
      <c r="AI15" s="622" t="n"/>
      <c r="AJ15" s="622" t="n"/>
      <c r="AK15" s="622" t="n"/>
      <c r="AL15" s="622" t="n"/>
      <c r="AM15" s="622" t="n"/>
      <c r="AN15" s="622" t="n"/>
      <c r="AO15" s="622" t="n"/>
      <c r="AP15" s="622" t="n"/>
      <c r="AQ15" s="622" t="n"/>
      <c r="AR15" s="622" t="n"/>
      <c r="AS15" s="622" t="n"/>
      <c r="AT15" s="622" t="n"/>
      <c r="AU15" s="622" t="n"/>
      <c r="AV15" s="622" t="n"/>
      <c r="AW15" s="622" t="n"/>
      <c r="AX15" s="622" t="n"/>
      <c r="AY15" s="622" t="n"/>
      <c r="AZ15" s="622" t="n"/>
      <c r="BA15" s="622" t="n"/>
      <c r="BB15" s="622" t="n"/>
      <c r="BC15" s="622" t="n"/>
      <c r="BD15" s="622" t="n"/>
      <c r="BE15" s="622" t="n"/>
      <c r="BF15" s="622" t="n"/>
      <c r="BG15" s="622" t="n"/>
      <c r="BH15" s="622" t="n"/>
      <c r="BI15" s="622" t="n"/>
      <c r="BJ15" s="622" t="n"/>
      <c r="BK15" s="622" t="n"/>
      <c r="BL15" s="622" t="n"/>
      <c r="BM15" s="622" t="n"/>
      <c r="BN15" s="622" t="n"/>
      <c r="BO15" s="622" t="n"/>
      <c r="BP15" s="622" t="n"/>
      <c r="BQ15" s="622" t="n"/>
      <c r="BR15" s="622" t="n"/>
      <c r="BS15" s="622" t="n"/>
      <c r="BT15" s="622" t="n"/>
      <c r="BU15" s="622" t="n"/>
      <c r="BV15" s="622" t="n"/>
      <c r="BW15" s="622" t="n"/>
      <c r="BX15" s="622" t="n"/>
      <c r="BY15" s="622" t="n"/>
      <c r="BZ15" s="622" t="n"/>
      <c r="CA15" s="6684">
        <f>IF(AND(C15&gt;0,AA15="")," * No olvide digitar la variable Pueblos originarios. Digite Cero si no tiene.",IF(AA15&gt;C15," * La variable Pueblos originarios no puede ser mayor al Total.",""))</f>
        <v/>
      </c>
      <c r="CB15" s="6684">
        <f>IF(AND(C15&gt;0,AB15="")," * No olvide digitar la variable Migrantes. Digite Cero si no tiene.",IF(AB15&gt;C15," * La variable Migrantes no puede ser mayor al Total.",""))</f>
        <v/>
      </c>
      <c r="CC15" s="6684">
        <f>IF(AND($C15&gt;0,OR(AC15=""))," * No olvide digitar la variable "&amp;$AC$9&amp;""&amp;". Digite Cero si no tiene.",IF(OR(AC15&gt;$C15)," * La variable Discapacidad no puede ser mayor al Total.",""))</f>
        <v/>
      </c>
      <c r="CD15" s="6684">
        <f>IF(AND($C15&gt;0,OR(AD15=""))," * No olvide digitar la variable "&amp;$AD$9&amp;""&amp;". Digite Cero si no tiene.",IF(OR(AD15&gt;$C15)," * La variable "&amp;$AD$9&amp;""&amp;" no puede ser mayor al Total.",""))</f>
        <v/>
      </c>
      <c r="CE15" s="6684">
        <f>IF(AND($C15&gt;0,OR(AE15="",AF15=""))," * No olvide digitar la variable "&amp;$AE$9&amp;""&amp;". Digite Cero si no tiene.",IF(OR(AE15+AF15&gt;$C15)," * La variable "&amp;$AE$9&amp;""&amp;" no puede ser mayor al Total.",""))</f>
        <v/>
      </c>
      <c r="CI15" s="5577">
        <f>IF(AND($C15&gt;0,AA15=""),1,IF(AA15&gt;$C15,1,0))</f>
        <v/>
      </c>
      <c r="CJ15" s="5577">
        <f>IF(AND($C15&gt;0,AB15=""),1,IF(AB15&gt;$C15,1,0))</f>
        <v/>
      </c>
      <c r="CK15" s="5577">
        <f>IF(AND($C15&gt;0,AC15=""),1,IF(AC15&gt;$C15,1,0))</f>
        <v/>
      </c>
      <c r="CL15" s="5577">
        <f>IF(AND($C15&gt;0,AD15=""),1,IF(AD15&gt;$C15,1,0))</f>
        <v/>
      </c>
      <c r="CM15" s="5577">
        <f>IF(AND($C15&gt;0,AE15="",AF15=""),1,IF(AE15+AF15&gt;$C15,1,0))</f>
        <v/>
      </c>
      <c r="CN15" s="1076" t="n"/>
      <c r="CO15" s="1076" t="n"/>
      <c r="CS15" s="622" t="n"/>
      <c r="CT15" s="5672" t="n"/>
      <c r="CU15" s="6210" t="n"/>
      <c r="CV15" s="6210" t="n"/>
      <c r="CW15" s="6210" t="n"/>
      <c r="CX15" s="6210" t="n"/>
      <c r="CY15" s="6210" t="n"/>
      <c r="CZ15" s="6210" t="n"/>
    </row>
    <row r="16" ht="15" customFormat="1" customHeight="1" s="65">
      <c r="A16" s="10178" t="inlineStr">
        <is>
          <t>Cesárea Urgencia</t>
        </is>
      </c>
      <c r="B16" s="9720" t="n"/>
      <c r="C16" s="6694" t="n"/>
      <c r="D16" s="6695" t="n"/>
      <c r="E16" s="6696" t="n"/>
      <c r="F16" s="6696" t="n"/>
      <c r="G16" s="5867" t="n"/>
      <c r="H16" s="6695" t="n"/>
      <c r="I16" s="6697" t="n"/>
      <c r="J16" s="6697" t="n"/>
      <c r="K16" s="5867" t="n"/>
      <c r="L16" s="6698" t="n"/>
      <c r="M16" s="6697" t="n"/>
      <c r="N16" s="6697" t="n"/>
      <c r="O16" s="6697" t="n"/>
      <c r="P16" s="6697" t="n"/>
      <c r="Q16" s="6697" t="n"/>
      <c r="R16" s="6699" t="n"/>
      <c r="S16" s="5867" t="n"/>
      <c r="T16" s="6700" t="n"/>
      <c r="U16" s="6701" t="n"/>
      <c r="V16" s="6696" t="n"/>
      <c r="W16" s="6702" t="n"/>
      <c r="X16" s="6700" t="n"/>
      <c r="Y16" s="6697" t="n"/>
      <c r="Z16" s="5955" t="n"/>
      <c r="AA16" s="5957" t="n"/>
      <c r="AB16" s="5954" t="n"/>
      <c r="AC16" s="5954" t="n"/>
      <c r="AD16" s="6702" t="n"/>
      <c r="AE16" s="6696" t="n"/>
      <c r="AF16" s="5867" t="n"/>
      <c r="AG16" s="932">
        <f>$CA16&amp;CB16&amp;CC16&amp;CD16&amp;CE16</f>
        <v/>
      </c>
      <c r="AH16" s="622" t="n"/>
      <c r="AI16" s="622" t="n"/>
      <c r="AJ16" s="622" t="n"/>
      <c r="AK16" s="622" t="n"/>
      <c r="AL16" s="622" t="n"/>
      <c r="AM16" s="622" t="n"/>
      <c r="AN16" s="622" t="n"/>
      <c r="AO16" s="622" t="n"/>
      <c r="AP16" s="622" t="n"/>
      <c r="AQ16" s="622" t="n"/>
      <c r="AR16" s="622" t="n"/>
      <c r="AS16" s="622" t="n"/>
      <c r="AT16" s="622" t="n"/>
      <c r="AU16" s="622" t="n"/>
      <c r="AV16" s="622" t="n"/>
      <c r="AW16" s="622" t="n"/>
      <c r="AX16" s="622" t="n"/>
      <c r="AY16" s="622" t="n"/>
      <c r="AZ16" s="622" t="n"/>
      <c r="BA16" s="622" t="n"/>
      <c r="BB16" s="622" t="n"/>
      <c r="BC16" s="622" t="n"/>
      <c r="BD16" s="622" t="n"/>
      <c r="BE16" s="622" t="n"/>
      <c r="BF16" s="622" t="n"/>
      <c r="BG16" s="622" t="n"/>
      <c r="BH16" s="622" t="n"/>
      <c r="BI16" s="622" t="n"/>
      <c r="BJ16" s="622" t="n"/>
      <c r="BK16" s="622" t="n"/>
      <c r="BL16" s="622" t="n"/>
      <c r="BM16" s="622" t="n"/>
      <c r="BN16" s="622" t="n"/>
      <c r="BO16" s="622" t="n"/>
      <c r="BP16" s="622" t="n"/>
      <c r="BQ16" s="622" t="n"/>
      <c r="BR16" s="622" t="n"/>
      <c r="BS16" s="622" t="n"/>
      <c r="BT16" s="622" t="n"/>
      <c r="BU16" s="622" t="n"/>
      <c r="BV16" s="622" t="n"/>
      <c r="BW16" s="622" t="n"/>
      <c r="BX16" s="622" t="n"/>
      <c r="BY16" s="622" t="n"/>
      <c r="BZ16" s="622" t="n"/>
      <c r="CA16" s="6684">
        <f>IF(AND(C16&gt;0,AA16="")," * No olvide digitar la variable Pueblos originarios. Digite Cero si no tiene.",IF(AA16&gt;C16," * La variable Pueblos originarios no puede ser mayor al Total.",""))</f>
        <v/>
      </c>
      <c r="CB16" s="6684">
        <f>IF(AND(C16&gt;0,AB16="")," * No olvide digitar la variable Migrantes. Digite Cero si no tiene.",IF(AB16&gt;C16," * La variable Migrantes no puede ser mayor al Total.",""))</f>
        <v/>
      </c>
      <c r="CC16" s="6684">
        <f>IF(AND($C16&gt;0,OR(AC16=""))," * No olvide digitar la variable "&amp;$AC$9&amp;""&amp;". Digite Cero si no tiene.",IF(OR(AC16&gt;$C16)," * La variable Discapacidad no puede ser mayor al Total.",""))</f>
        <v/>
      </c>
      <c r="CD16" s="6684">
        <f>IF(AND($C16&gt;0,OR(AD16=""))," * No olvide digitar la variable "&amp;$AD$9&amp;""&amp;". Digite Cero si no tiene.",IF(OR(AD16&gt;$C16)," * La variable "&amp;$AD$9&amp;""&amp;" no puede ser mayor al Total.",""))</f>
        <v/>
      </c>
      <c r="CE16" s="6684">
        <f>IF(AND($C16&gt;0,OR(AE16="",AF16=""))," * No olvide digitar la variable "&amp;$AE$9&amp;""&amp;". Digite Cero si no tiene.",IF(OR(AE16+AF16&gt;$C16)," * La variable "&amp;$AE$9&amp;""&amp;" no puede ser mayor al Total.",""))</f>
        <v/>
      </c>
      <c r="CI16" s="5577">
        <f>IF(AND($C16&gt;0,AA16=""),1,IF(AA16&gt;$C16,1,0))</f>
        <v/>
      </c>
      <c r="CJ16" s="5577">
        <f>IF(AND($C16&gt;0,AB16=""),1,IF(AB16&gt;$C16,1,0))</f>
        <v/>
      </c>
      <c r="CK16" s="5577">
        <f>IF(AND($C16&gt;0,AC16=""),1,IF(AC16&gt;$C16,1,0))</f>
        <v/>
      </c>
      <c r="CL16" s="5577">
        <f>IF(AND($C16&gt;0,AD16=""),1,IF(AD16&gt;$C16,1,0))</f>
        <v/>
      </c>
      <c r="CM16" s="5577">
        <f>IF(AND($C16&gt;0,AE16="",AF16=""),1,IF(AE16+AF16&gt;$C16,1,0))</f>
        <v/>
      </c>
      <c r="CN16" s="1076" t="n"/>
      <c r="CO16" s="1076" t="n"/>
      <c r="CS16" s="622" t="n"/>
      <c r="CT16" s="5672" t="n"/>
      <c r="CU16" s="6210" t="n"/>
      <c r="CV16" s="6210" t="n"/>
      <c r="CW16" s="6210" t="n"/>
      <c r="CX16" s="6210" t="n"/>
      <c r="CY16" s="6210" t="n"/>
      <c r="CZ16" s="6210" t="n"/>
    </row>
    <row r="17" ht="15" customFormat="1" customHeight="1" s="65">
      <c r="A17" s="9642" t="inlineStr">
        <is>
          <t>Parto prehospitalario (en establecimientos salud o ambulancias)</t>
        </is>
      </c>
      <c r="B17" s="9643" t="n"/>
      <c r="C17" s="6678" t="n"/>
      <c r="D17" s="6271" t="n"/>
      <c r="E17" s="6270" t="n"/>
      <c r="F17" s="6270" t="n"/>
      <c r="G17" s="6679" t="n"/>
      <c r="H17" s="6271" t="n"/>
      <c r="I17" s="6219" t="n"/>
      <c r="J17" s="6219" t="n"/>
      <c r="K17" s="6679" t="n"/>
      <c r="L17" s="6680" t="n"/>
      <c r="M17" s="6219" t="n"/>
      <c r="N17" s="6219" t="n"/>
      <c r="O17" s="6219" t="n"/>
      <c r="P17" s="6219" t="n"/>
      <c r="Q17" s="6219" t="n"/>
      <c r="R17" s="5881" t="n"/>
      <c r="S17" s="6679" t="n"/>
      <c r="T17" s="6681" t="n"/>
      <c r="U17" s="6379" t="n"/>
      <c r="V17" s="6270" t="n"/>
      <c r="W17" s="6273" t="n"/>
      <c r="X17" s="6681" t="n"/>
      <c r="Y17" s="6219" t="n"/>
      <c r="Z17" s="6682" t="n"/>
      <c r="AA17" s="6683" t="n"/>
      <c r="AB17" s="6159" t="n"/>
      <c r="AC17" s="6159" t="n"/>
      <c r="AD17" s="6273" t="n"/>
      <c r="AE17" s="6270" t="n"/>
      <c r="AF17" s="6679" t="n"/>
      <c r="AG17" s="932">
        <f>$CA17&amp;CB17&amp;CC17&amp;CD17&amp;CE17</f>
        <v/>
      </c>
      <c r="AH17" s="622" t="n"/>
      <c r="AI17" s="622" t="n"/>
      <c r="AJ17" s="622" t="n"/>
      <c r="AK17" s="622" t="n"/>
      <c r="AL17" s="622" t="n"/>
      <c r="AM17" s="622" t="n"/>
      <c r="AN17" s="622" t="n"/>
      <c r="AO17" s="622" t="n"/>
      <c r="AP17" s="622" t="n"/>
      <c r="AQ17" s="622" t="n"/>
      <c r="AR17" s="622" t="n"/>
      <c r="AS17" s="622" t="n"/>
      <c r="AT17" s="622" t="n"/>
      <c r="AU17" s="622" t="n"/>
      <c r="AV17" s="622" t="n"/>
      <c r="AW17" s="622" t="n"/>
      <c r="AX17" s="622" t="n"/>
      <c r="AY17" s="622" t="n"/>
      <c r="AZ17" s="622" t="n"/>
      <c r="BA17" s="622" t="n"/>
      <c r="BB17" s="622" t="n"/>
      <c r="BC17" s="622" t="n"/>
      <c r="BD17" s="622" t="n"/>
      <c r="BE17" s="622" t="n"/>
      <c r="BF17" s="622" t="n"/>
      <c r="BG17" s="622" t="n"/>
      <c r="BH17" s="622" t="n"/>
      <c r="BI17" s="622" t="n"/>
      <c r="BJ17" s="622" t="n"/>
      <c r="BK17" s="622" t="n"/>
      <c r="BL17" s="622" t="n"/>
      <c r="BM17" s="622" t="n"/>
      <c r="BN17" s="622" t="n"/>
      <c r="BO17" s="622" t="n"/>
      <c r="BP17" s="622" t="n"/>
      <c r="BQ17" s="622" t="n"/>
      <c r="BR17" s="622" t="n"/>
      <c r="BS17" s="622" t="n"/>
      <c r="BT17" s="622" t="n"/>
      <c r="BU17" s="622" t="n"/>
      <c r="BV17" s="622" t="n"/>
      <c r="BW17" s="622" t="n"/>
      <c r="BX17" s="622" t="n"/>
      <c r="BY17" s="622" t="n"/>
      <c r="BZ17" s="622" t="n"/>
      <c r="CA17" s="6684">
        <f>IF(AND(C17&gt;0,AA17="")," * No olvide digitar la variable Pueblos originarios. Digite Cero si no tiene.",IF(AA17&gt;C17," * La variable Pueblos originarios no puede ser mayor al Total.",""))</f>
        <v/>
      </c>
      <c r="CB17" s="6684">
        <f>IF(AND(C17&gt;0,AB17="")," * No olvide digitar la variable Migrantes. Digite Cero si no tiene.",IF(AB17&gt;C17," * La variable Migrantes no puede ser mayor al Total.",""))</f>
        <v/>
      </c>
      <c r="CC17" s="6684">
        <f>IF(AND($C17&gt;0,OR(AC17=""))," * No olvide digitar la variable "&amp;$AC$9&amp;""&amp;". Digite Cero si no tiene.",IF(OR(AC17&gt;$C17)," * La variable Discapacidad no puede ser mayor al Total.",""))</f>
        <v/>
      </c>
      <c r="CD17" s="6684">
        <f>IF(AND($C17&gt;0,OR(AD17=""))," * No olvide digitar la variable "&amp;$AD$9&amp;""&amp;". Digite Cero si no tiene.",IF(OR(AD17&gt;$C17)," * La variable "&amp;$AD$9&amp;""&amp;" no puede ser mayor al Total.",""))</f>
        <v/>
      </c>
      <c r="CE17" s="6684">
        <f>IF(AND($C17&gt;0,OR(AE17="",AF17=""))," * No olvide digitar la variable "&amp;$AE$9&amp;""&amp;". Digite Cero si no tiene.",IF(OR(AE17+AF17&gt;$C17)," * La variable "&amp;$AE$9&amp;""&amp;" no puede ser mayor al Total.",""))</f>
        <v/>
      </c>
      <c r="CI17" s="5577">
        <f>IF(AND($C17&gt;0,AA17=""),1,IF(AA17&gt;$C17,1,0))</f>
        <v/>
      </c>
      <c r="CJ17" s="5577">
        <f>IF(AND($C17&gt;0,AB17=""),1,IF(AB17&gt;$C17,1,0))</f>
        <v/>
      </c>
      <c r="CK17" s="5577">
        <f>IF(AND($C17&gt;0,AC17=""),1,IF(AC17&gt;$C17,1,0))</f>
        <v/>
      </c>
      <c r="CL17" s="5577">
        <f>IF(AND($C17&gt;0,AD17=""),1,IF(AD17&gt;$C17,1,0))</f>
        <v/>
      </c>
      <c r="CM17" s="5577">
        <f>IF(AND($C17&gt;0,AE17="",AF17=""),1,IF(AE17+AF17&gt;$C17,1,0))</f>
        <v/>
      </c>
      <c r="CN17" s="1076" t="n"/>
      <c r="CO17" s="1076" t="n"/>
      <c r="CS17" s="622" t="n"/>
      <c r="CT17" s="5672" t="n"/>
      <c r="CU17" s="6210" t="n"/>
      <c r="CV17" s="6210" t="n"/>
      <c r="CW17" s="6210" t="n"/>
      <c r="CX17" s="6210" t="n"/>
      <c r="CY17" s="6210" t="n"/>
      <c r="CZ17" s="6210" t="n"/>
    </row>
    <row r="18" ht="15" customFormat="1" customHeight="1" s="65">
      <c r="A18" s="9645" t="inlineStr">
        <is>
          <t>Partos fuera de la red de salud</t>
        </is>
      </c>
      <c r="B18" s="9646" t="n"/>
      <c r="C18" s="6703" t="n"/>
      <c r="D18" s="5858" t="n"/>
      <c r="E18" s="5900" t="n"/>
      <c r="F18" s="5900" t="n"/>
      <c r="G18" s="5859" t="n"/>
      <c r="H18" s="5858" t="n"/>
      <c r="I18" s="6704" t="n"/>
      <c r="J18" s="6704" t="n"/>
      <c r="K18" s="5859" t="n"/>
      <c r="L18" s="6166" t="n"/>
      <c r="M18" s="6704" t="n"/>
      <c r="N18" s="6704" t="n"/>
      <c r="O18" s="6704" t="n"/>
      <c r="P18" s="6704" t="n"/>
      <c r="Q18" s="6704" t="n"/>
      <c r="R18" s="5855" t="n"/>
      <c r="S18" s="5859" t="n"/>
      <c r="T18" s="6705" t="n"/>
      <c r="U18" s="5847" t="n"/>
      <c r="V18" s="5900" t="n"/>
      <c r="W18" s="6164" t="n"/>
      <c r="X18" s="6705" t="n"/>
      <c r="Y18" s="6704" t="n"/>
      <c r="Z18" s="6165" t="n"/>
      <c r="AA18" s="6706" t="n"/>
      <c r="AB18" s="6166" t="n"/>
      <c r="AC18" s="6166" t="n"/>
      <c r="AD18" s="6164" t="n"/>
      <c r="AE18" s="5900" t="n"/>
      <c r="AF18" s="5859" t="n"/>
      <c r="AG18" s="932">
        <f>$CA18&amp;CB18&amp;CC18&amp;CD18&amp;CE18</f>
        <v/>
      </c>
      <c r="AH18" s="622" t="n"/>
      <c r="AI18" s="622" t="n"/>
      <c r="AJ18" s="622" t="n"/>
      <c r="AK18" s="622" t="n"/>
      <c r="AL18" s="622" t="n"/>
      <c r="AM18" s="622" t="n"/>
      <c r="AN18" s="622" t="n"/>
      <c r="AO18" s="622" t="n"/>
      <c r="AP18" s="622" t="n"/>
      <c r="AQ18" s="622" t="n"/>
      <c r="AR18" s="622" t="n"/>
      <c r="AS18" s="622" t="n"/>
      <c r="AT18" s="622" t="n"/>
      <c r="AU18" s="622" t="n"/>
      <c r="AV18" s="622" t="n"/>
      <c r="AW18" s="622" t="n"/>
      <c r="AX18" s="622" t="n"/>
      <c r="AY18" s="622" t="n"/>
      <c r="AZ18" s="622" t="n"/>
      <c r="BA18" s="622" t="n"/>
      <c r="BB18" s="622" t="n"/>
      <c r="BC18" s="622" t="n"/>
      <c r="BD18" s="622" t="n"/>
      <c r="BE18" s="622" t="n"/>
      <c r="BF18" s="622" t="n"/>
      <c r="BG18" s="622" t="n"/>
      <c r="BH18" s="622" t="n"/>
      <c r="BI18" s="622" t="n"/>
      <c r="BJ18" s="622" t="n"/>
      <c r="BK18" s="622" t="n"/>
      <c r="BL18" s="622" t="n"/>
      <c r="BM18" s="622" t="n"/>
      <c r="BN18" s="622" t="n"/>
      <c r="BO18" s="622" t="n"/>
      <c r="BP18" s="622" t="n"/>
      <c r="BQ18" s="622" t="n"/>
      <c r="BR18" s="622" t="n"/>
      <c r="BS18" s="622" t="n"/>
      <c r="BT18" s="622" t="n"/>
      <c r="BU18" s="622" t="n"/>
      <c r="BV18" s="622" t="n"/>
      <c r="BW18" s="622" t="n"/>
      <c r="BX18" s="622" t="n"/>
      <c r="BY18" s="622" t="n"/>
      <c r="BZ18" s="622" t="n"/>
      <c r="CA18" s="6684">
        <f>IF(AND(C18&gt;0,AA18="")," * No olvide digitar la variable Pueblos originarios. Digite Cero si no tiene.",IF(AA18&gt;C18," * La variable Pueblos originarios no puede ser mayor al Total.",""))</f>
        <v/>
      </c>
      <c r="CB18" s="6684">
        <f>IF(AND(C18&gt;0,AB18="")," * No olvide digitar la variable Migrantes. Digite Cero si no tiene.",IF(AB18&gt;C18," * La variable Migrantes no puede ser mayor al Total.",""))</f>
        <v/>
      </c>
      <c r="CC18" s="6684">
        <f>IF(AND($C18&gt;0,OR(AC18=""))," * No olvide digitar la variable "&amp;$AC$9&amp;""&amp;". Digite Cero si no tiene.",IF(OR(AC18&gt;$C18)," * La variable Discapacidad no puede ser mayor al Total.",""))</f>
        <v/>
      </c>
      <c r="CD18" s="6684">
        <f>IF(AND($C18&gt;0,OR(AD18=""))," * No olvide digitar la variable "&amp;$AD$9&amp;""&amp;". Digite Cero si no tiene.",IF(OR(AD18&gt;$C18)," * La variable "&amp;$AD$9&amp;""&amp;" no puede ser mayor al Total.",""))</f>
        <v/>
      </c>
      <c r="CE18" s="6684">
        <f>IF(AND($C18&gt;0,OR(AE18="",AF18=""))," * No olvide digitar la variable "&amp;$AE$9&amp;""&amp;". Digite Cero si no tiene.",IF(OR(AE18+AF18&gt;$C18)," * La variable "&amp;$AE$9&amp;""&amp;" no puede ser mayor al Total.",""))</f>
        <v/>
      </c>
      <c r="CI18" s="5577">
        <f>IF(AND($C18&gt;0,AA18=""),1,IF(AA18&gt;$C18,1,0))</f>
        <v/>
      </c>
      <c r="CJ18" s="5577">
        <f>IF(AND($C18&gt;0,AB18=""),1,IF(AB18&gt;$C18,1,0))</f>
        <v/>
      </c>
      <c r="CK18" s="5577">
        <f>IF(AND($C18&gt;0,AC18=""),1,IF(AC18&gt;$C18,1,0))</f>
        <v/>
      </c>
      <c r="CL18" s="5577">
        <f>IF(AND($C18&gt;0,AD18=""),1,IF(AD18&gt;$C18,1,0))</f>
        <v/>
      </c>
      <c r="CM18" s="5577">
        <f>IF(AND($C18&gt;0,AE18="",AF18=""),1,IF(AE18+AF18&gt;$C18,1,0))</f>
        <v/>
      </c>
      <c r="CN18" s="1076" t="n"/>
      <c r="CO18" s="1076" t="n"/>
      <c r="CS18" s="622" t="n"/>
      <c r="CT18" s="5672" t="n"/>
      <c r="CU18" s="6210" t="n"/>
      <c r="CV18" s="6210" t="n"/>
      <c r="CW18" s="6210" t="n"/>
      <c r="CX18" s="6210" t="n"/>
      <c r="CY18" s="6210" t="n"/>
      <c r="CZ18" s="6210" t="n"/>
    </row>
    <row r="19" ht="15" customFormat="1" customHeight="1" s="65">
      <c r="A19" s="9699" t="inlineStr">
        <is>
          <t>Plan de parto</t>
        </is>
      </c>
      <c r="B19" s="9582" t="n"/>
      <c r="C19" s="6707" t="n"/>
      <c r="D19" s="6708" t="n"/>
      <c r="E19" s="6709" t="n"/>
      <c r="F19" s="6709" t="n"/>
      <c r="G19" s="6710" t="n"/>
      <c r="H19" s="6708" t="n"/>
      <c r="I19" s="6711" t="n"/>
      <c r="J19" s="6711" t="n"/>
      <c r="K19" s="6710" t="n"/>
      <c r="L19" s="6707" t="n"/>
      <c r="M19" s="6711" t="n"/>
      <c r="N19" s="6711" t="n"/>
      <c r="O19" s="6711" t="n"/>
      <c r="P19" s="6711" t="n"/>
      <c r="Q19" s="6711" t="n"/>
      <c r="R19" s="6712" t="n"/>
      <c r="S19" s="6710" t="n"/>
      <c r="T19" s="6713" t="n"/>
      <c r="U19" s="6714" t="n"/>
      <c r="V19" s="6709" t="n"/>
      <c r="W19" s="6715" t="n"/>
      <c r="X19" s="6713" t="n"/>
      <c r="Y19" s="6711" t="n"/>
      <c r="Z19" s="6716" t="n"/>
      <c r="AA19" s="6717" t="n"/>
      <c r="AB19" s="6553" t="n"/>
      <c r="AC19" s="6553" t="n"/>
      <c r="AD19" s="6715" t="n"/>
      <c r="AE19" s="6709" t="n"/>
      <c r="AF19" s="6710" t="n"/>
      <c r="AG19" s="932">
        <f>$CA19&amp;CB19&amp;CC19&amp;CD19&amp;CE19</f>
        <v/>
      </c>
      <c r="AH19" s="622" t="n"/>
      <c r="AI19" s="622" t="n"/>
      <c r="AJ19" s="622" t="n"/>
      <c r="AK19" s="622" t="n"/>
      <c r="AL19" s="622" t="n"/>
      <c r="AM19" s="622" t="n"/>
      <c r="AN19" s="622" t="n"/>
      <c r="AO19" s="622" t="n"/>
      <c r="AP19" s="622" t="n"/>
      <c r="AQ19" s="622" t="n"/>
      <c r="AR19" s="622" t="n"/>
      <c r="AS19" s="622" t="n"/>
      <c r="AT19" s="622" t="n"/>
      <c r="AU19" s="622" t="n"/>
      <c r="AV19" s="622" t="n"/>
      <c r="AW19" s="622" t="n"/>
      <c r="AX19" s="622" t="n"/>
      <c r="AY19" s="622" t="n"/>
      <c r="AZ19" s="622" t="n"/>
      <c r="BA19" s="622" t="n"/>
      <c r="BB19" s="622" t="n"/>
      <c r="BC19" s="622" t="n"/>
      <c r="BD19" s="622" t="n"/>
      <c r="BE19" s="622" t="n"/>
      <c r="BF19" s="622" t="n"/>
      <c r="BG19" s="622" t="n"/>
      <c r="BH19" s="622" t="n"/>
      <c r="BI19" s="622" t="n"/>
      <c r="BJ19" s="622" t="n"/>
      <c r="BK19" s="622" t="n"/>
      <c r="BL19" s="622" t="n"/>
      <c r="BM19" s="622" t="n"/>
      <c r="BN19" s="622" t="n"/>
      <c r="BO19" s="622" t="n"/>
      <c r="BP19" s="622" t="n"/>
      <c r="BQ19" s="622" t="n"/>
      <c r="BR19" s="622" t="n"/>
      <c r="BS19" s="622" t="n"/>
      <c r="BT19" s="622" t="n"/>
      <c r="BU19" s="622" t="n"/>
      <c r="BV19" s="622" t="n"/>
      <c r="BW19" s="622" t="n"/>
      <c r="BX19" s="622" t="n"/>
      <c r="BY19" s="622" t="n"/>
      <c r="BZ19" s="622" t="n"/>
      <c r="CA19" s="6684">
        <f>IF(AND(C19&gt;0,AA19="")," * No olvide digitar la variable Pueblos originarios. Digite Cero si no tiene.",IF(AA19&gt;C19," * La variable Pueblos originarios no puede ser mayor al Total.",""))</f>
        <v/>
      </c>
      <c r="CB19" s="6684">
        <f>IF(AND(C19&gt;0,AB19="")," * No olvide digitar la variable Migrantes. Digite Cero si no tiene.",IF(AB19&gt;C19," * La variable Migrantes no puede ser mayor al Total.",""))</f>
        <v/>
      </c>
      <c r="CC19" s="6684">
        <f>IF(AND($C19&gt;0,OR(AC19=""))," * No olvide digitar la variable "&amp;$AC$9&amp;""&amp;". Digite Cero si no tiene.",IF(OR(AC19&gt;$C19)," * La variable Discapacidad no puede ser mayor al Total.",""))</f>
        <v/>
      </c>
      <c r="CD19" s="6684">
        <f>IF(AND($C19&gt;0,OR(AD19=""))," * No olvide digitar la variable "&amp;$AD$9&amp;""&amp;". Digite Cero si no tiene.",IF(OR(AD19&gt;$C19)," * La variable "&amp;$AD$9&amp;""&amp;" no puede ser mayor al Total.",""))</f>
        <v/>
      </c>
      <c r="CE19" s="6684">
        <f>IF(AND($C19&gt;0,OR(AE19="",AF19=""))," * No olvide digitar la variable "&amp;$AE$9&amp;""&amp;". Digite Cero si no tiene.",IF(OR(AE19+AF19&gt;$C19)," * La variable "&amp;$AE$9&amp;""&amp;" no puede ser mayor al Total.",""))</f>
        <v/>
      </c>
      <c r="CI19" s="5577">
        <f>IF(AND($C19&gt;0,AA19=""),1,IF(AA19&gt;$C19,1,0))</f>
        <v/>
      </c>
      <c r="CJ19" s="5577">
        <f>IF(AND($C19&gt;0,AB19=""),1,IF(AB19&gt;$C19,1,0))</f>
        <v/>
      </c>
      <c r="CK19" s="5577">
        <f>IF(AND($C19&gt;0,AC19=""),1,IF(AC19&gt;$C19,1,0))</f>
        <v/>
      </c>
      <c r="CL19" s="5577">
        <f>IF(AND($C19&gt;0,AD19=""),1,IF(AD19&gt;$C19,1,0))</f>
        <v/>
      </c>
      <c r="CM19" s="5577">
        <f>IF(AND($C19&gt;0,AE19="",AF19=""),1,IF(AE19+AF19&gt;$C19,1,0))</f>
        <v/>
      </c>
      <c r="CN19" s="1076" t="n"/>
      <c r="CO19" s="1076" t="n"/>
      <c r="CS19" s="622" t="n"/>
      <c r="CT19" s="5672" t="n"/>
      <c r="CU19" s="6210" t="n"/>
      <c r="CV19" s="6210" t="n"/>
      <c r="CW19" s="6210" t="n"/>
      <c r="CX19" s="6210" t="n"/>
      <c r="CY19" s="6210" t="n"/>
      <c r="CZ19" s="6210" t="n"/>
    </row>
    <row r="20" ht="15" customFormat="1" customHeight="1" s="65">
      <c r="A20" s="10427" t="inlineStr">
        <is>
          <t xml:space="preserve">Entrega de placenta a solicitud </t>
        </is>
      </c>
      <c r="B20" s="9643" t="n"/>
      <c r="C20" s="6678" t="n"/>
      <c r="D20" s="6271" t="n"/>
      <c r="E20" s="6219" t="n"/>
      <c r="F20" s="6219" t="n"/>
      <c r="G20" s="6379" t="n"/>
      <c r="H20" s="6718" t="n"/>
      <c r="I20" s="6719" t="n"/>
      <c r="J20" s="6719" t="n"/>
      <c r="K20" s="6720" t="n"/>
      <c r="L20" s="6721" t="n"/>
      <c r="M20" s="6719" t="n"/>
      <c r="N20" s="6719" t="n"/>
      <c r="O20" s="6719" t="n"/>
      <c r="P20" s="6719" t="n"/>
      <c r="Q20" s="6719" t="n"/>
      <c r="R20" s="6722" t="n"/>
      <c r="S20" s="6720" t="n"/>
      <c r="T20" s="6723" t="n"/>
      <c r="U20" s="6724" t="n"/>
      <c r="V20" s="6725" t="n"/>
      <c r="W20" s="6726" t="n"/>
      <c r="X20" s="6723" t="n"/>
      <c r="Y20" s="6719" t="n"/>
      <c r="Z20" s="6727" t="n"/>
      <c r="AA20" s="6728" t="n"/>
      <c r="AB20" s="6729" t="n"/>
      <c r="AC20" s="6729" t="n"/>
      <c r="AD20" s="6726" t="n"/>
      <c r="AE20" s="6725" t="n"/>
      <c r="AF20" s="6720" t="n"/>
      <c r="AG20" s="932">
        <f>$CA20&amp;CB20&amp;CC20&amp;CD20&amp;CE20</f>
        <v/>
      </c>
      <c r="AH20" s="622" t="n"/>
      <c r="AI20" s="622" t="n"/>
      <c r="AJ20" s="622" t="n"/>
      <c r="AK20" s="622" t="n"/>
      <c r="AL20" s="622" t="n"/>
      <c r="AM20" s="622" t="n"/>
      <c r="AN20" s="622" t="n"/>
      <c r="AO20" s="622" t="n"/>
      <c r="AP20" s="622" t="n"/>
      <c r="AQ20" s="622" t="n"/>
      <c r="AR20" s="622" t="n"/>
      <c r="AS20" s="622" t="n"/>
      <c r="AT20" s="622" t="n"/>
      <c r="AU20" s="622" t="n"/>
      <c r="AV20" s="622" t="n"/>
      <c r="AW20" s="622" t="n"/>
      <c r="AX20" s="622" t="n"/>
      <c r="AY20" s="622" t="n"/>
      <c r="AZ20" s="622" t="n"/>
      <c r="BA20" s="622" t="n"/>
      <c r="BB20" s="622" t="n"/>
      <c r="BC20" s="622" t="n"/>
      <c r="BD20" s="622" t="n"/>
      <c r="BE20" s="622" t="n"/>
      <c r="BF20" s="622" t="n"/>
      <c r="BG20" s="622" t="n"/>
      <c r="BH20" s="622" t="n"/>
      <c r="BI20" s="622" t="n"/>
      <c r="BJ20" s="622" t="n"/>
      <c r="BK20" s="622" t="n"/>
      <c r="BL20" s="622" t="n"/>
      <c r="BM20" s="622" t="n"/>
      <c r="BN20" s="622" t="n"/>
      <c r="BO20" s="622" t="n"/>
      <c r="BP20" s="622" t="n"/>
      <c r="BQ20" s="622" t="n"/>
      <c r="BR20" s="622" t="n"/>
      <c r="BS20" s="622" t="n"/>
      <c r="BT20" s="622" t="n"/>
      <c r="BU20" s="622" t="n"/>
      <c r="BV20" s="622" t="n"/>
      <c r="BW20" s="622" t="n"/>
      <c r="BX20" s="622" t="n"/>
      <c r="BY20" s="622" t="n"/>
      <c r="BZ20" s="622" t="n"/>
      <c r="CA20" s="6684">
        <f>IF(AND(C20&gt;0,AA20="")," * No olvide digitar la variable Pueblos originarios. Digite Cero si no tiene.",IF(AA20&gt;C20," * La variable Pueblos originarios no puede ser mayor al Total.",""))</f>
        <v/>
      </c>
      <c r="CB20" s="6684">
        <f>IF(AND(C20&gt;0,AB20="")," * No olvide digitar la variable Migrantes. Digite Cero si no tiene.",IF(AB20&gt;C20," * La variable Migrantes no puede ser mayor al Total.",""))</f>
        <v/>
      </c>
      <c r="CC20" s="6684">
        <f>IF(AND($C20&gt;0,OR(AC20=""))," * No olvide digitar la variable "&amp;$AC$9&amp;""&amp;". Digite Cero si no tiene.",IF(OR(AC20&gt;$C20)," * La variable Discapacidad no puede ser mayor al Total.",""))</f>
        <v/>
      </c>
      <c r="CD20" s="6684">
        <f>IF(AND($C20&gt;0,OR(AD20=""))," * No olvide digitar la variable "&amp;$AD$9&amp;""&amp;". Digite Cero si no tiene.",IF(OR(AD20&gt;$C20)," * La variable "&amp;$AD$9&amp;""&amp;" no puede ser mayor al Total.",""))</f>
        <v/>
      </c>
      <c r="CE20" s="6684">
        <f>IF(AND($C20&gt;0,OR(AE20="",AF20=""))," * No olvide digitar la variable "&amp;$AE$9&amp;""&amp;". Digite Cero si no tiene.",IF(OR(AE20+AF20&gt;$C20)," * La variable "&amp;$AE$9&amp;""&amp;" no puede ser mayor al Total.",""))</f>
        <v/>
      </c>
      <c r="CI20" s="5577">
        <f>IF(AND($C20&gt;0,AA20=""),1,IF(AA20&gt;$C20,1,0))</f>
        <v/>
      </c>
      <c r="CJ20" s="5577">
        <f>IF(AND($C20&gt;0,AB20=""),1,IF(AB20&gt;$C20,1,0))</f>
        <v/>
      </c>
      <c r="CK20" s="5577">
        <f>IF(AND($C20&gt;0,AC20=""),1,IF(AC20&gt;$C20,1,0))</f>
        <v/>
      </c>
      <c r="CL20" s="5577">
        <f>IF(AND($C20&gt;0,AD20=""),1,IF(AD20&gt;$C20,1,0))</f>
        <v/>
      </c>
      <c r="CM20" s="5577">
        <f>IF(AND($C20&gt;0,AE20="",AF20=""),1,IF(AE20+AF20&gt;$C20,1,0))</f>
        <v/>
      </c>
      <c r="CN20" s="1076" t="n"/>
      <c r="CO20" s="1076" t="n"/>
      <c r="CS20" s="622" t="n"/>
      <c r="CT20" s="5672" t="n"/>
      <c r="CU20" s="6210" t="n"/>
      <c r="CV20" s="6210" t="n"/>
      <c r="CW20" s="6210" t="n"/>
      <c r="CX20" s="6210" t="n"/>
      <c r="CY20" s="6210" t="n"/>
      <c r="CZ20" s="6210" t="n"/>
    </row>
    <row r="21" ht="15" customFormat="1" customHeight="1" s="65">
      <c r="A21" s="10178" t="inlineStr">
        <is>
          <t>Embarazo no controlado</t>
        </is>
      </c>
      <c r="B21" s="9720" t="n"/>
      <c r="C21" s="6694" t="n"/>
      <c r="D21" s="6695" t="n"/>
      <c r="E21" s="6697" t="n"/>
      <c r="F21" s="6697" t="n"/>
      <c r="G21" s="6701" t="n"/>
      <c r="H21" s="6695" t="n"/>
      <c r="I21" s="6697" t="n"/>
      <c r="J21" s="6697" t="n"/>
      <c r="K21" s="5867" t="n"/>
      <c r="L21" s="6698" t="n"/>
      <c r="M21" s="6697" t="n"/>
      <c r="N21" s="6697" t="n"/>
      <c r="O21" s="6697" t="n"/>
      <c r="P21" s="6697" t="n"/>
      <c r="Q21" s="6697" t="n"/>
      <c r="R21" s="6699" t="n"/>
      <c r="S21" s="5867" t="n"/>
      <c r="T21" s="6700" t="n"/>
      <c r="U21" s="6701" t="n"/>
      <c r="V21" s="6696" t="n"/>
      <c r="W21" s="6702" t="n"/>
      <c r="X21" s="6700" t="n"/>
      <c r="Y21" s="6697" t="n"/>
      <c r="Z21" s="5955" t="n"/>
      <c r="AA21" s="5957" t="n"/>
      <c r="AB21" s="5954" t="n"/>
      <c r="AC21" s="5954" t="n"/>
      <c r="AD21" s="6702" t="n"/>
      <c r="AE21" s="6696" t="n"/>
      <c r="AF21" s="5867" t="n"/>
      <c r="AG21" s="932">
        <f>$CA21&amp;CB21&amp;CC21&amp;CD21&amp;CE21</f>
        <v/>
      </c>
      <c r="AH21" s="622" t="n"/>
      <c r="AI21" s="622" t="n"/>
      <c r="AJ21" s="622" t="n"/>
      <c r="AK21" s="622" t="n"/>
      <c r="AL21" s="622" t="n"/>
      <c r="AM21" s="622" t="n"/>
      <c r="AN21" s="622" t="n"/>
      <c r="AO21" s="622" t="n"/>
      <c r="AP21" s="622" t="n"/>
      <c r="AQ21" s="622" t="n"/>
      <c r="AR21" s="622" t="n"/>
      <c r="AS21" s="622" t="n"/>
      <c r="AT21" s="622" t="n"/>
      <c r="AU21" s="622" t="n"/>
      <c r="AV21" s="622" t="n"/>
      <c r="AW21" s="622" t="n"/>
      <c r="AX21" s="622" t="n"/>
      <c r="AY21" s="622" t="n"/>
      <c r="AZ21" s="622" t="n"/>
      <c r="BA21" s="622" t="n"/>
      <c r="BB21" s="622" t="n"/>
      <c r="BC21" s="622" t="n"/>
      <c r="BD21" s="622" t="n"/>
      <c r="BE21" s="622" t="n"/>
      <c r="BF21" s="622" t="n"/>
      <c r="BG21" s="622" t="n"/>
      <c r="BH21" s="622" t="n"/>
      <c r="BI21" s="622" t="n"/>
      <c r="BJ21" s="622" t="n"/>
      <c r="BK21" s="622" t="n"/>
      <c r="BL21" s="622" t="n"/>
      <c r="BM21" s="622" t="n"/>
      <c r="BN21" s="622" t="n"/>
      <c r="BO21" s="622" t="n"/>
      <c r="BP21" s="622" t="n"/>
      <c r="BQ21" s="622" t="n"/>
      <c r="BR21" s="622" t="n"/>
      <c r="BS21" s="622" t="n"/>
      <c r="BT21" s="622" t="n"/>
      <c r="BU21" s="622" t="n"/>
      <c r="BV21" s="622" t="n"/>
      <c r="BW21" s="622" t="n"/>
      <c r="BX21" s="622" t="n"/>
      <c r="BY21" s="622" t="n"/>
      <c r="BZ21" s="622" t="n"/>
      <c r="CA21" s="6684">
        <f>IF(AND(C21&gt;0,AA21="")," * No olvide digitar la variable Pueblos originarios. Digite Cero si no tiene.",IF(AA21&gt;C21," * La variable Pueblos originarios no puede ser mayor al Total.",""))</f>
        <v/>
      </c>
      <c r="CB21" s="6684">
        <f>IF(AND(C21&gt;0,AB21="")," * No olvide digitar la variable Migrantes. Digite Cero si no tiene.",IF(AB21&gt;C21," * La variable Migrantes no puede ser mayor al Total.",""))</f>
        <v/>
      </c>
      <c r="CC21" s="6684">
        <f>IF(AND($C21&gt;0,OR(AC21=""))," * No olvide digitar la variable "&amp;$AC$9&amp;""&amp;". Digite Cero si no tiene.",IF(OR(AC21&gt;$C21)," * La variable Discapacidad no puede ser mayor al Total.",""))</f>
        <v/>
      </c>
      <c r="CD21" s="6684">
        <f>IF(AND($C21&gt;0,OR(AD21=""))," * No olvide digitar la variable "&amp;$AD$9&amp;""&amp;". Digite Cero si no tiene.",IF(OR(AD21&gt;$C21)," * La variable "&amp;$AD$9&amp;""&amp;" no puede ser mayor al Total.",""))</f>
        <v/>
      </c>
      <c r="CE21" s="6684">
        <f>IF(AND($C21&gt;0,OR(AE21="",AF21=""))," * No olvide digitar la variable "&amp;$AE$9&amp;""&amp;". Digite Cero si no tiene.",IF(OR(AE21+AF21&gt;$C21)," * La variable "&amp;$AE$9&amp;""&amp;" no puede ser mayor al Total.",""))</f>
        <v/>
      </c>
      <c r="CI21" s="5577">
        <f>IF(AND($C21&gt;0,AA21=""),1,IF(AA21&gt;$C21,1,0))</f>
        <v/>
      </c>
      <c r="CJ21" s="5577">
        <f>IF(AND($C21&gt;0,AB21=""),1,IF(AB21&gt;$C21,1,0))</f>
        <v/>
      </c>
      <c r="CK21" s="5577">
        <f>IF(AND($C21&gt;0,AC21=""),1,IF(AC21&gt;$C21,1,0))</f>
        <v/>
      </c>
      <c r="CL21" s="5577">
        <f>IF(AND($C21&gt;0,AD21=""),1,IF(AD21&gt;$C21,1,0))</f>
        <v/>
      </c>
      <c r="CM21" s="5577">
        <f>IF(AND($C21&gt;0,AE21="",AF21=""),1,IF(AE21+AF21&gt;$C21,1,0))</f>
        <v/>
      </c>
      <c r="CN21" s="1076" t="n"/>
      <c r="CO21" s="1076" t="n"/>
      <c r="CS21" s="622" t="n"/>
      <c r="CT21" s="5672" t="n"/>
      <c r="CU21" s="6210" t="n"/>
      <c r="CV21" s="6210" t="n"/>
      <c r="CW21" s="6210" t="n"/>
      <c r="CX21" s="6210" t="n"/>
      <c r="CY21" s="6210" t="n"/>
      <c r="CZ21" s="6210" t="n"/>
    </row>
    <row r="22" ht="15" customFormat="1" customHeight="1" s="65">
      <c r="A22" s="9615" t="inlineStr">
        <is>
          <t>Parto en domicilio</t>
        </is>
      </c>
      <c r="B22" s="6730" t="inlineStr">
        <is>
          <t>Con atención profesional</t>
        </is>
      </c>
      <c r="C22" s="6703" t="n"/>
      <c r="D22" s="6731" t="n"/>
      <c r="E22" s="6732" t="n"/>
      <c r="F22" s="6732" t="n"/>
      <c r="G22" s="6733" t="n"/>
      <c r="H22" s="6731" t="n"/>
      <c r="I22" s="6734" t="n"/>
      <c r="J22" s="6734" t="n"/>
      <c r="K22" s="6733" t="n"/>
      <c r="L22" s="6735" t="n"/>
      <c r="M22" s="6734" t="n"/>
      <c r="N22" s="6734" t="n"/>
      <c r="O22" s="6734" t="n"/>
      <c r="P22" s="6734" t="n"/>
      <c r="Q22" s="6734" t="n"/>
      <c r="R22" s="6736" t="n"/>
      <c r="S22" s="6733" t="n"/>
      <c r="T22" s="6737" t="n"/>
      <c r="U22" s="6103" t="n"/>
      <c r="V22" s="6732" t="n"/>
      <c r="W22" s="6738" t="n"/>
      <c r="X22" s="6739" t="n"/>
      <c r="Y22" s="6734" t="n"/>
      <c r="Z22" s="6740" t="n"/>
      <c r="AA22" s="6741" t="n"/>
      <c r="AB22" s="6735" t="n"/>
      <c r="AC22" s="6735" t="n"/>
      <c r="AD22" s="6738" t="n"/>
      <c r="AE22" s="6732" t="n"/>
      <c r="AF22" s="6733" t="n"/>
      <c r="AG22" s="932">
        <f>$CA22&amp;CB22&amp;CC22&amp;CD22&amp;CE22</f>
        <v/>
      </c>
      <c r="AH22" s="622" t="n"/>
      <c r="AI22" s="622" t="n"/>
      <c r="AJ22" s="622" t="n"/>
      <c r="AK22" s="622" t="n"/>
      <c r="AL22" s="622" t="n"/>
      <c r="AM22" s="622" t="n"/>
      <c r="AN22" s="622" t="n"/>
      <c r="AO22" s="622" t="n"/>
      <c r="AP22" s="622" t="n"/>
      <c r="AQ22" s="622" t="n"/>
      <c r="AR22" s="622" t="n"/>
      <c r="AS22" s="622" t="n"/>
      <c r="AT22" s="622" t="n"/>
      <c r="AU22" s="622" t="n"/>
      <c r="AV22" s="622" t="n"/>
      <c r="AW22" s="622" t="n"/>
      <c r="AX22" s="622" t="n"/>
      <c r="AY22" s="622" t="n"/>
      <c r="AZ22" s="622" t="n"/>
      <c r="BA22" s="622" t="n"/>
      <c r="BB22" s="622" t="n"/>
      <c r="BC22" s="622" t="n"/>
      <c r="BD22" s="622" t="n"/>
      <c r="BE22" s="622" t="n"/>
      <c r="BF22" s="622" t="n"/>
      <c r="BG22" s="622" t="n"/>
      <c r="BH22" s="622" t="n"/>
      <c r="BI22" s="622" t="n"/>
      <c r="BJ22" s="622" t="n"/>
      <c r="BK22" s="622" t="n"/>
      <c r="BL22" s="622" t="n"/>
      <c r="BM22" s="622" t="n"/>
      <c r="BN22" s="622" t="n"/>
      <c r="BO22" s="622" t="n"/>
      <c r="BP22" s="622" t="n"/>
      <c r="BQ22" s="622" t="n"/>
      <c r="BR22" s="622" t="n"/>
      <c r="BS22" s="622" t="n"/>
      <c r="BT22" s="622" t="n"/>
      <c r="BU22" s="622" t="n"/>
      <c r="BV22" s="622" t="n"/>
      <c r="BW22" s="622" t="n"/>
      <c r="BX22" s="622" t="n"/>
      <c r="BY22" s="622" t="n"/>
      <c r="BZ22" s="622" t="n"/>
      <c r="CA22" s="6684">
        <f>IF(AND(C22&gt;0,AA22="")," * No olvide digitar la variable Pueblos originarios. Digite Cero si no tiene.",IF(AA22&gt;C22," * La variable Pueblos originarios no puede ser mayor al Total.",""))</f>
        <v/>
      </c>
      <c r="CB22" s="6684">
        <f>IF(AND(C22&gt;0,AB22="")," * No olvide digitar la variable Migrantes. Digite Cero si no tiene.",IF(AB22&gt;C22," * La variable Migrantes no puede ser mayor al Total.",""))</f>
        <v/>
      </c>
      <c r="CC22" s="6684">
        <f>IF(AND($C22&gt;0,OR(AC22=""))," * No olvide digitar la variable "&amp;$AC$9&amp;""&amp;". Digite Cero si no tiene.",IF(OR(AC22&gt;$C22)," * La variable Discapacidad no puede ser mayor al Total.",""))</f>
        <v/>
      </c>
      <c r="CD22" s="6684">
        <f>IF(AND($C22&gt;0,OR(AD22=""))," * No olvide digitar la variable "&amp;$AD$9&amp;""&amp;". Digite Cero si no tiene.",IF(OR(AD22&gt;$C22)," * La variable "&amp;$AD$9&amp;""&amp;" no puede ser mayor al Total.",""))</f>
        <v/>
      </c>
      <c r="CE22" s="6684">
        <f>IF(AND($C22&gt;0,OR(AE22="",AF22=""))," * No olvide digitar la variable "&amp;$AE$9&amp;""&amp;". Digite Cero si no tiene.",IF(OR(AE22+AF22&gt;$C22)," * La variable "&amp;$AE$9&amp;""&amp;" no puede ser mayor al Total.",""))</f>
        <v/>
      </c>
      <c r="CI22" s="5577">
        <f>IF(AND($C22&gt;0,AA22=""),1,IF(AA22&gt;$C22,1,0))</f>
        <v/>
      </c>
      <c r="CJ22" s="5577">
        <f>IF(AND($C22&gt;0,AB22=""),1,IF(AB22&gt;$C22,1,0))</f>
        <v/>
      </c>
      <c r="CK22" s="5577">
        <f>IF(AND($C22&gt;0,AC22=""),1,IF(AC22&gt;$C22,1,0))</f>
        <v/>
      </c>
      <c r="CL22" s="5577">
        <f>IF(AND($C22&gt;0,AD22=""),1,IF(AD22&gt;$C22,1,0))</f>
        <v/>
      </c>
      <c r="CM22" s="5577">
        <f>IF(AND($C22&gt;0,AE22="",AF22=""),1,IF(AE22+AF22&gt;$C22,1,0))</f>
        <v/>
      </c>
      <c r="CN22" s="1076" t="n"/>
      <c r="CO22" s="1076" t="n"/>
      <c r="CS22" s="622" t="n"/>
      <c r="CT22" s="5672" t="n"/>
      <c r="CU22" s="6210" t="n"/>
      <c r="CV22" s="6210" t="n"/>
      <c r="CW22" s="6210" t="n"/>
      <c r="CX22" s="6210" t="n"/>
      <c r="CY22" s="6210" t="n"/>
      <c r="CZ22" s="6210" t="n"/>
    </row>
    <row r="23" ht="15" customFormat="1" customHeight="1" s="65">
      <c r="A23" s="9610" t="n"/>
      <c r="B23" s="6742" t="inlineStr">
        <is>
          <t>Sin atención profesional</t>
        </is>
      </c>
      <c r="C23" s="6694" t="n"/>
      <c r="D23" s="6694" t="n"/>
      <c r="E23" s="6697" t="n"/>
      <c r="F23" s="6697" t="n"/>
      <c r="G23" s="5867" t="n"/>
      <c r="H23" s="6695" t="n"/>
      <c r="I23" s="6697" t="n"/>
      <c r="J23" s="6697" t="n"/>
      <c r="K23" s="5867" t="n"/>
      <c r="L23" s="6698" t="n"/>
      <c r="M23" s="6697" t="n"/>
      <c r="N23" s="6697" t="n"/>
      <c r="O23" s="6697" t="n"/>
      <c r="P23" s="6697" t="n"/>
      <c r="Q23" s="6697" t="n"/>
      <c r="R23" s="6699" t="n"/>
      <c r="S23" s="5867" t="n"/>
      <c r="T23" s="6700" t="n"/>
      <c r="U23" s="6701" t="n"/>
      <c r="V23" s="6696" t="n"/>
      <c r="W23" s="6702" t="n"/>
      <c r="X23" s="6700" t="n"/>
      <c r="Y23" s="6697" t="n"/>
      <c r="Z23" s="5955" t="n"/>
      <c r="AA23" s="5957" t="n"/>
      <c r="AB23" s="5954" t="n"/>
      <c r="AC23" s="5954" t="n"/>
      <c r="AD23" s="6702" t="n"/>
      <c r="AE23" s="6696" t="n"/>
      <c r="AF23" s="5867" t="n"/>
      <c r="AG23" s="932">
        <f>$CA23&amp;CB23&amp;CC23&amp;CD23&amp;CE23</f>
        <v/>
      </c>
      <c r="AH23" s="622" t="n"/>
      <c r="AI23" s="622" t="n"/>
      <c r="AJ23" s="622" t="n"/>
      <c r="AK23" s="622" t="n"/>
      <c r="AL23" s="622" t="n"/>
      <c r="AM23" s="622" t="n"/>
      <c r="AN23" s="622" t="n"/>
      <c r="AO23" s="622" t="n"/>
      <c r="AP23" s="622" t="n"/>
      <c r="AQ23" s="622" t="n"/>
      <c r="AR23" s="622" t="n"/>
      <c r="AS23" s="622" t="n"/>
      <c r="AT23" s="622" t="n"/>
      <c r="AU23" s="622" t="n"/>
      <c r="AV23" s="622" t="n"/>
      <c r="AW23" s="622" t="n"/>
      <c r="AX23" s="622" t="n"/>
      <c r="AY23" s="622" t="n"/>
      <c r="AZ23" s="622" t="n"/>
      <c r="BA23" s="622" t="n"/>
      <c r="BB23" s="622" t="n"/>
      <c r="BC23" s="622" t="n"/>
      <c r="BD23" s="622" t="n"/>
      <c r="BE23" s="622" t="n"/>
      <c r="BF23" s="622" t="n"/>
      <c r="BG23" s="622" t="n"/>
      <c r="BH23" s="622" t="n"/>
      <c r="BI23" s="622" t="n"/>
      <c r="BJ23" s="622" t="n"/>
      <c r="BK23" s="622" t="n"/>
      <c r="BL23" s="622" t="n"/>
      <c r="BM23" s="622" t="n"/>
      <c r="BN23" s="622" t="n"/>
      <c r="BO23" s="622" t="n"/>
      <c r="BP23" s="622" t="n"/>
      <c r="BQ23" s="622" t="n"/>
      <c r="BR23" s="622" t="n"/>
      <c r="BS23" s="622" t="n"/>
      <c r="BT23" s="622" t="n"/>
      <c r="BU23" s="622" t="n"/>
      <c r="BV23" s="622" t="n"/>
      <c r="BW23" s="622" t="n"/>
      <c r="BX23" s="622" t="n"/>
      <c r="BY23" s="622" t="n"/>
      <c r="BZ23" s="622" t="n"/>
      <c r="CA23" s="6684">
        <f>IF(AND(C23&gt;0,AA23="")," * No olvide digitar la variable Pueblos originarios. Digite Cero si no tiene.",IF(AA23&gt;C23," * La variable Pueblos originarios no puede ser mayor al Total.",""))</f>
        <v/>
      </c>
      <c r="CB23" s="6684">
        <f>IF(AND(C23&gt;0,AB23="")," * No olvide digitar la variable Migrantes. Digite Cero si no tiene.",IF(AB23&gt;C23," * La variable Migrantes no puede ser mayor al Total.",""))</f>
        <v/>
      </c>
      <c r="CC23" s="6684">
        <f>IF(AND($C23&gt;0,OR(AC23=""))," * No olvide digitar la variable "&amp;$AC$9&amp;""&amp;". Digite Cero si no tiene.",IF(OR(AC23&gt;$C23)," * La variable Discapacidad no puede ser mayor al Total.",""))</f>
        <v/>
      </c>
      <c r="CD23" s="6684">
        <f>IF(AND($C23&gt;0,OR(AD23=""))," * No olvide digitar la variable "&amp;$AD$9&amp;""&amp;". Digite Cero si no tiene.",IF(OR(AD23&gt;$C23)," * La variable "&amp;$AD$9&amp;""&amp;" no puede ser mayor al Total.",""))</f>
        <v/>
      </c>
      <c r="CE23" s="6684">
        <f>IF(AND($C23&gt;0,OR(AE23="",AF23=""))," * No olvide digitar la variable "&amp;$AE$9&amp;""&amp;". Digite Cero si no tiene.",IF(OR(AE23+AF23&gt;$C23)," * La variable "&amp;$AE$9&amp;""&amp;" no puede ser mayor al Total.",""))</f>
        <v/>
      </c>
      <c r="CI23" s="5577">
        <f>IF(AND($C23&gt;0,AA23=""),1,IF(AA23&gt;$C23,1,0))</f>
        <v/>
      </c>
      <c r="CJ23" s="5577">
        <f>IF(AND($C23&gt;0,AB23=""),1,IF(AB23&gt;$C23,1,0))</f>
        <v/>
      </c>
      <c r="CK23" s="5577">
        <f>IF(AND($C23&gt;0,AC23=""),1,IF(AC23&gt;$C23,1,0))</f>
        <v/>
      </c>
      <c r="CL23" s="5577">
        <f>IF(AND($C23&gt;0,AD23=""),1,IF(AD23&gt;$C23,1,0))</f>
        <v/>
      </c>
      <c r="CM23" s="5577">
        <f>IF(AND($C23&gt;0,AE23="",AF23=""),1,IF(AE23+AF23&gt;$C23,1,0))</f>
        <v/>
      </c>
      <c r="CN23" s="1076" t="n"/>
      <c r="CO23" s="1076" t="n"/>
      <c r="CS23" s="622" t="n"/>
      <c r="CT23" s="5672" t="n"/>
      <c r="CU23" s="6210" t="n"/>
      <c r="CV23" s="6210" t="n"/>
      <c r="CW23" s="6210" t="n"/>
      <c r="CX23" s="6210" t="n"/>
      <c r="CY23" s="6210" t="n"/>
      <c r="CZ23" s="6210" t="n"/>
    </row>
    <row r="24" ht="18" customFormat="1" customHeight="1" s="6210">
      <c r="A24" s="7232" t="inlineStr">
        <is>
          <t>SECCION A.1: PARTOS VAGINALES *</t>
        </is>
      </c>
      <c r="B24" s="7232" t="n"/>
      <c r="C24" s="6743" t="n"/>
      <c r="D24" s="6744" t="n"/>
      <c r="E24" s="6744" t="n"/>
      <c r="F24" s="6745" t="n"/>
    </row>
    <row r="25" ht="21" customFormat="1" customHeight="1" s="65">
      <c r="A25" s="9618" t="inlineStr">
        <is>
          <t>CARACTERÍSTICAS DEL MODELO DE ATENCIÓN</t>
        </is>
      </c>
      <c r="B25" s="9582" t="n"/>
      <c r="C25" s="8819" t="inlineStr">
        <is>
          <t>TOTAL</t>
        </is>
      </c>
      <c r="D25" s="6747" t="inlineStr">
        <is>
          <t>&lt;28 semanas</t>
        </is>
      </c>
      <c r="E25" s="6748" t="inlineStr">
        <is>
          <t>28 - 37 semanas</t>
        </is>
      </c>
      <c r="F25" s="8781" t="inlineStr">
        <is>
          <t>38 semanas y más</t>
        </is>
      </c>
      <c r="CA25" s="6210" t="n"/>
      <c r="CB25" s="6210" t="n"/>
      <c r="CC25" s="6210" t="n"/>
      <c r="CD25" s="6210" t="n"/>
      <c r="CE25" s="6210" t="n"/>
      <c r="CF25" s="6210" t="n"/>
      <c r="CG25" s="6210" t="n"/>
      <c r="CH25" s="6210" t="n"/>
      <c r="CI25" s="6210" t="n"/>
      <c r="CJ25" s="6210" t="n"/>
      <c r="CK25" s="6210" t="n"/>
      <c r="CL25" s="6210" t="n"/>
      <c r="CM25" s="6210" t="n"/>
      <c r="CN25" s="6210" t="n"/>
      <c r="CO25" s="6210" t="n"/>
      <c r="CP25" s="6210" t="n"/>
      <c r="CQ25" s="6210" t="n"/>
      <c r="CR25" s="6210" t="n"/>
      <c r="CS25" s="6210" t="n"/>
      <c r="CT25" s="6210" t="n"/>
      <c r="CU25" s="6210" t="n"/>
      <c r="CV25" s="6210" t="n"/>
    </row>
    <row r="26" ht="15" customFormat="1" customHeight="1" s="65">
      <c r="A26" s="10428" t="inlineStr">
        <is>
          <t>Espontáneo</t>
        </is>
      </c>
      <c r="B26" s="9582" t="n"/>
      <c r="C26" s="6749">
        <f>SUM(D26:F26)</f>
        <v/>
      </c>
      <c r="D26" s="6750" t="n"/>
      <c r="E26" s="6751" t="n"/>
      <c r="F26" s="6752" t="n"/>
      <c r="CA26" s="6210" t="n"/>
      <c r="CB26" s="6210" t="n"/>
      <c r="CC26" s="6210" t="n"/>
      <c r="CD26" s="6210" t="n"/>
      <c r="CE26" s="6210" t="n"/>
      <c r="CF26" s="6210" t="n"/>
      <c r="CG26" s="6210" t="n"/>
      <c r="CH26" s="6210" t="n"/>
      <c r="CI26" s="6210" t="n"/>
      <c r="CJ26" s="6210" t="n"/>
      <c r="CK26" s="6210" t="n"/>
      <c r="CL26" s="6210" t="n"/>
      <c r="CM26" s="6210" t="n"/>
      <c r="CN26" s="6210" t="n"/>
      <c r="CO26" s="6210" t="n"/>
      <c r="CP26" s="6210" t="n"/>
      <c r="CQ26" s="6210" t="n"/>
      <c r="CR26" s="6210" t="n"/>
      <c r="CS26" s="6210" t="n"/>
      <c r="CT26" s="6210" t="n"/>
      <c r="CU26" s="6210" t="n"/>
      <c r="CV26" s="6210" t="n"/>
    </row>
    <row r="27" ht="15" customFormat="1" customHeight="1" s="65">
      <c r="A27" s="10429" t="inlineStr">
        <is>
          <t>Inducidos</t>
        </is>
      </c>
      <c r="B27" s="6753" t="inlineStr">
        <is>
          <t>Mecánica</t>
        </is>
      </c>
      <c r="C27" s="6754">
        <f>SUM(D27:F27)</f>
        <v/>
      </c>
      <c r="D27" s="6755" t="n"/>
      <c r="E27" s="6756" t="n"/>
      <c r="F27" s="6757" t="n"/>
      <c r="CA27" s="6210" t="n"/>
      <c r="CB27" s="6210" t="n"/>
      <c r="CC27" s="6210" t="n"/>
      <c r="CD27" s="6210" t="n"/>
      <c r="CE27" s="6210" t="n"/>
      <c r="CF27" s="6210" t="n"/>
      <c r="CG27" s="6210" t="n"/>
      <c r="CH27" s="6210" t="n"/>
      <c r="CI27" s="6210" t="n"/>
      <c r="CJ27" s="6210" t="n"/>
      <c r="CK27" s="6210" t="n"/>
      <c r="CL27" s="6210" t="n"/>
      <c r="CM27" s="6210" t="n"/>
      <c r="CN27" s="6210" t="n"/>
      <c r="CO27" s="6210" t="n"/>
      <c r="CP27" s="6210" t="n"/>
      <c r="CQ27" s="6210" t="n"/>
      <c r="CR27" s="6210" t="n"/>
      <c r="CS27" s="6210" t="n"/>
      <c r="CT27" s="6210" t="n"/>
      <c r="CU27" s="6210" t="n"/>
      <c r="CV27" s="6210" t="n"/>
    </row>
    <row r="28" ht="15" customFormat="1" customHeight="1" s="65">
      <c r="A28" s="9589" t="n"/>
      <c r="B28" s="8862" t="inlineStr">
        <is>
          <t>Farmacológica</t>
        </is>
      </c>
      <c r="C28" s="6759">
        <f>SUM(D28:F28)</f>
        <v/>
      </c>
      <c r="D28" s="6760" t="n"/>
      <c r="E28" s="6761" t="n"/>
      <c r="F28" s="6762" t="n"/>
      <c r="CA28" s="6210" t="n"/>
      <c r="CB28" s="6210" t="n"/>
      <c r="CC28" s="6210" t="n"/>
      <c r="CD28" s="6210" t="n"/>
      <c r="CE28" s="6210" t="n"/>
      <c r="CF28" s="6210" t="n"/>
      <c r="CG28" s="6210" t="n"/>
      <c r="CH28" s="6210" t="n"/>
      <c r="CI28" s="6210" t="n"/>
      <c r="CJ28" s="6210" t="n"/>
      <c r="CK28" s="6210" t="n"/>
      <c r="CL28" s="6210" t="n"/>
      <c r="CM28" s="6210" t="n"/>
      <c r="CN28" s="6210" t="n"/>
      <c r="CO28" s="6210" t="n"/>
      <c r="CP28" s="6210" t="n"/>
      <c r="CQ28" s="6210" t="n"/>
      <c r="CR28" s="6210" t="n"/>
      <c r="CS28" s="6210" t="n"/>
      <c r="CT28" s="6210" t="n"/>
      <c r="CU28" s="6210" t="n"/>
      <c r="CV28" s="6210" t="n"/>
    </row>
    <row r="29" ht="15" customFormat="1" customHeight="1" s="65">
      <c r="A29" s="10427" t="inlineStr">
        <is>
          <t>Conducción oxitócica</t>
        </is>
      </c>
      <c r="B29" s="9643" t="n"/>
      <c r="C29" s="6754">
        <f>SUM(D29:F29)</f>
        <v/>
      </c>
      <c r="D29" s="6755" t="n"/>
      <c r="E29" s="6756" t="n"/>
      <c r="F29" s="6757" t="n"/>
      <c r="CA29" s="6210" t="n"/>
      <c r="CB29" s="6210" t="n"/>
      <c r="CC29" s="6210" t="n"/>
      <c r="CD29" s="6210" t="n"/>
      <c r="CE29" s="6210" t="n"/>
      <c r="CF29" s="6210" t="n"/>
      <c r="CG29" s="6210" t="n"/>
      <c r="CH29" s="6210" t="n"/>
      <c r="CI29" s="6210" t="n"/>
      <c r="CJ29" s="6210" t="n"/>
      <c r="CK29" s="6210" t="n"/>
      <c r="CL29" s="6210" t="n"/>
      <c r="CM29" s="6210" t="n"/>
      <c r="CN29" s="6210" t="n"/>
      <c r="CO29" s="6210" t="n"/>
      <c r="CP29" s="6210" t="n"/>
      <c r="CQ29" s="6210" t="n"/>
      <c r="CR29" s="6210" t="n"/>
      <c r="CS29" s="6210" t="n"/>
      <c r="CT29" s="6210" t="n"/>
      <c r="CU29" s="6210" t="n"/>
      <c r="CV29" s="6210" t="n"/>
    </row>
    <row r="30" ht="15" customFormat="1" customHeight="1" s="65">
      <c r="A30" s="6841" t="inlineStr">
        <is>
          <t>Libertad de movimiento</t>
        </is>
      </c>
      <c r="B30" s="9644" t="n"/>
      <c r="C30" s="6763">
        <f>SUM(D30:F30)</f>
        <v/>
      </c>
      <c r="D30" s="6764" t="n"/>
      <c r="E30" s="6765" t="n"/>
      <c r="F30" s="6766" t="n"/>
      <c r="CA30" s="6210" t="n"/>
      <c r="CB30" s="6210" t="n"/>
      <c r="CC30" s="6210" t="n"/>
      <c r="CD30" s="6210" t="n"/>
      <c r="CE30" s="6210" t="n"/>
      <c r="CF30" s="6210" t="n"/>
      <c r="CG30" s="6210" t="n"/>
      <c r="CH30" s="6210" t="n"/>
      <c r="CI30" s="6210" t="n"/>
      <c r="CJ30" s="6210" t="n"/>
      <c r="CK30" s="6210" t="n"/>
      <c r="CL30" s="6210" t="n"/>
      <c r="CM30" s="6210" t="n"/>
      <c r="CN30" s="6210" t="n"/>
      <c r="CO30" s="6210" t="n"/>
      <c r="CP30" s="6210" t="n"/>
      <c r="CQ30" s="6210" t="n"/>
      <c r="CR30" s="6210" t="n"/>
      <c r="CS30" s="6210" t="n"/>
      <c r="CT30" s="6210" t="n"/>
      <c r="CU30" s="6210" t="n"/>
      <c r="CV30" s="6210" t="n"/>
    </row>
    <row r="31" ht="15" customFormat="1" customHeight="1" s="65">
      <c r="A31" s="10178" t="inlineStr">
        <is>
          <t>Régimen hídrico amplio</t>
        </is>
      </c>
      <c r="B31" s="9720" t="n"/>
      <c r="C31" s="6759">
        <f>SUM(D31:F31)</f>
        <v/>
      </c>
      <c r="D31" s="6760" t="n"/>
      <c r="E31" s="6761" t="n"/>
      <c r="F31" s="6762" t="n"/>
      <c r="CA31" s="6210" t="n"/>
      <c r="CB31" s="6210" t="n"/>
      <c r="CC31" s="6210" t="n"/>
      <c r="CD31" s="6210" t="n"/>
      <c r="CE31" s="6210" t="n"/>
      <c r="CF31" s="6210" t="n"/>
      <c r="CG31" s="6210" t="n"/>
      <c r="CH31" s="6210" t="n"/>
      <c r="CI31" s="6210" t="n"/>
      <c r="CJ31" s="6210" t="n"/>
      <c r="CK31" s="6210" t="n"/>
      <c r="CL31" s="6210" t="n"/>
      <c r="CM31" s="6210" t="n"/>
      <c r="CN31" s="6210" t="n"/>
      <c r="CO31" s="6210" t="n"/>
      <c r="CP31" s="6210" t="n"/>
      <c r="CQ31" s="6210" t="n"/>
      <c r="CR31" s="6210" t="n"/>
      <c r="CS31" s="6210" t="n"/>
      <c r="CT31" s="6210" t="n"/>
      <c r="CU31" s="6210" t="n"/>
      <c r="CV31" s="6210" t="n"/>
    </row>
    <row r="32" ht="15" customFormat="1" customHeight="1" s="65">
      <c r="A32" s="9612" t="inlineStr">
        <is>
          <t>Manejo del dolor</t>
        </is>
      </c>
      <c r="B32" s="6767" t="inlineStr">
        <is>
          <t>No farmacológico</t>
        </is>
      </c>
      <c r="C32" s="6754">
        <f>SUM(D32:F32)</f>
        <v/>
      </c>
      <c r="D32" s="6755" t="n"/>
      <c r="E32" s="6756" t="n"/>
      <c r="F32" s="6757" t="n"/>
      <c r="CA32" s="6210" t="n"/>
      <c r="CB32" s="6210" t="n"/>
      <c r="CC32" s="6210" t="n"/>
      <c r="CD32" s="6210" t="n"/>
      <c r="CE32" s="6210" t="n"/>
      <c r="CF32" s="6210" t="n"/>
      <c r="CG32" s="6210" t="n"/>
      <c r="CH32" s="6210" t="n"/>
      <c r="CI32" s="6210" t="n"/>
      <c r="CJ32" s="6210" t="n"/>
      <c r="CK32" s="6210" t="n"/>
      <c r="CL32" s="6210" t="n"/>
      <c r="CM32" s="6210" t="n"/>
      <c r="CN32" s="6210" t="n"/>
      <c r="CO32" s="6210" t="n"/>
      <c r="CP32" s="6210" t="n"/>
      <c r="CQ32" s="6210" t="n"/>
      <c r="CR32" s="6210" t="n"/>
      <c r="CS32" s="6210" t="n"/>
      <c r="CT32" s="6210" t="n"/>
      <c r="CU32" s="6210" t="n"/>
      <c r="CV32" s="6210" t="n"/>
    </row>
    <row r="33" ht="15" customFormat="1" customHeight="1" s="65">
      <c r="A33" s="9589" t="n"/>
      <c r="B33" s="8246" t="inlineStr">
        <is>
          <t>Farmacológico</t>
        </is>
      </c>
      <c r="C33" s="6759">
        <f>SUM(D33:F33)</f>
        <v/>
      </c>
      <c r="D33" s="6760" t="n"/>
      <c r="E33" s="6761" t="n"/>
      <c r="F33" s="6762" t="n"/>
      <c r="CA33" s="6210" t="n"/>
      <c r="CB33" s="6210" t="n"/>
      <c r="CC33" s="6210" t="n"/>
      <c r="CD33" s="6210" t="n"/>
      <c r="CE33" s="6210" t="n"/>
      <c r="CF33" s="6210" t="n"/>
      <c r="CG33" s="6210" t="n"/>
      <c r="CH33" s="6210" t="n"/>
      <c r="CI33" s="6210" t="n"/>
      <c r="CJ33" s="6210" t="n"/>
      <c r="CK33" s="6210" t="n"/>
      <c r="CL33" s="6210" t="n"/>
      <c r="CM33" s="6210" t="n"/>
      <c r="CN33" s="6210" t="n"/>
      <c r="CO33" s="6210" t="n"/>
      <c r="CP33" s="6210" t="n"/>
      <c r="CQ33" s="6210" t="n"/>
      <c r="CR33" s="6210" t="n"/>
      <c r="CS33" s="6210" t="n"/>
      <c r="CT33" s="6210" t="n"/>
      <c r="CU33" s="6210" t="n"/>
      <c r="CV33" s="6210" t="n"/>
    </row>
    <row r="34" ht="15" customFormat="1" customHeight="1" s="65">
      <c r="A34" s="9612" t="inlineStr">
        <is>
          <t>Posición al momento del expulsivo</t>
        </is>
      </c>
      <c r="B34" s="6767" t="inlineStr">
        <is>
          <t>Litotomía</t>
        </is>
      </c>
      <c r="C34" s="6754">
        <f>SUM(D34:F34)</f>
        <v/>
      </c>
      <c r="D34" s="6755" t="n"/>
      <c r="E34" s="6756" t="n"/>
      <c r="F34" s="6757" t="n"/>
      <c r="CA34" s="6210" t="n"/>
      <c r="CB34" s="6210" t="n"/>
      <c r="CC34" s="6210" t="n"/>
      <c r="CD34" s="6210" t="n"/>
      <c r="CE34" s="6210" t="n"/>
      <c r="CF34" s="6210" t="n"/>
      <c r="CG34" s="6210" t="n"/>
      <c r="CH34" s="6210" t="n"/>
      <c r="CI34" s="6210" t="n"/>
      <c r="CJ34" s="6210" t="n"/>
      <c r="CK34" s="6210" t="n"/>
      <c r="CL34" s="6210" t="n"/>
      <c r="CM34" s="6210" t="n"/>
      <c r="CN34" s="6210" t="n"/>
      <c r="CO34" s="6210" t="n"/>
      <c r="CP34" s="6210" t="n"/>
      <c r="CQ34" s="6210" t="n"/>
      <c r="CR34" s="6210" t="n"/>
      <c r="CS34" s="6210" t="n"/>
      <c r="CT34" s="6210" t="n"/>
      <c r="CU34" s="6210" t="n"/>
      <c r="CV34" s="6210" t="n"/>
    </row>
    <row r="35" ht="15" customFormat="1" customHeight="1" s="65">
      <c r="A35" s="9589" t="n"/>
      <c r="B35" s="8246" t="inlineStr">
        <is>
          <t>Otras posiciones</t>
        </is>
      </c>
      <c r="C35" s="6759">
        <f>SUM(D35:F35)</f>
        <v/>
      </c>
      <c r="D35" s="6760" t="n"/>
      <c r="E35" s="6761" t="n"/>
      <c r="F35" s="6762" t="n"/>
      <c r="CA35" s="6210" t="n"/>
      <c r="CB35" s="6210" t="n"/>
      <c r="CC35" s="6210" t="n"/>
      <c r="CD35" s="6210" t="n"/>
      <c r="CE35" s="6210" t="n"/>
      <c r="CF35" s="6210" t="n"/>
      <c r="CG35" s="6210" t="n"/>
      <c r="CH35" s="6210" t="n"/>
      <c r="CI35" s="6210" t="n"/>
      <c r="CJ35" s="6210" t="n"/>
      <c r="CK35" s="6210" t="n"/>
      <c r="CL35" s="6210" t="n"/>
      <c r="CM35" s="6210" t="n"/>
      <c r="CN35" s="6210" t="n"/>
      <c r="CO35" s="6210" t="n"/>
      <c r="CP35" s="6210" t="n"/>
      <c r="CQ35" s="6210" t="n"/>
      <c r="CR35" s="6210" t="n"/>
      <c r="CS35" s="6210" t="n"/>
      <c r="CT35" s="6210" t="n"/>
      <c r="CU35" s="6210" t="n"/>
      <c r="CV35" s="6210" t="n"/>
    </row>
    <row r="36" ht="15" customFormat="1" customHeight="1" s="65">
      <c r="A36" s="10430" t="inlineStr">
        <is>
          <t>Episiotomía</t>
        </is>
      </c>
      <c r="B36" s="9582" t="n"/>
      <c r="C36" s="6768">
        <f>SUM(D36:F36)</f>
        <v/>
      </c>
      <c r="D36" s="6750" t="n"/>
      <c r="E36" s="6751" t="n"/>
      <c r="F36" s="6752" t="n"/>
      <c r="CA36" s="6210" t="n"/>
      <c r="CB36" s="6210" t="n"/>
      <c r="CC36" s="6210" t="n"/>
      <c r="CD36" s="6210" t="n"/>
      <c r="CE36" s="6210" t="n"/>
      <c r="CF36" s="6210" t="n"/>
      <c r="CG36" s="6210" t="n"/>
      <c r="CH36" s="6210" t="n"/>
      <c r="CI36" s="6210" t="n"/>
      <c r="CJ36" s="6210" t="n"/>
      <c r="CK36" s="6210" t="n"/>
      <c r="CL36" s="6210" t="n"/>
      <c r="CM36" s="6210" t="n"/>
      <c r="CN36" s="6210" t="n"/>
      <c r="CO36" s="6210" t="n"/>
      <c r="CP36" s="6210" t="n"/>
      <c r="CQ36" s="6210" t="n"/>
      <c r="CR36" s="6210" t="n"/>
      <c r="CS36" s="6210" t="n"/>
      <c r="CT36" s="6210" t="n"/>
      <c r="CU36" s="6210" t="n"/>
      <c r="CV36" s="6210" t="n"/>
    </row>
    <row r="37" ht="15" customFormat="1" customHeight="1" s="65">
      <c r="A37" s="9612" t="inlineStr">
        <is>
          <t>Acompañamiento</t>
        </is>
      </c>
      <c r="B37" s="6769" t="inlineStr">
        <is>
          <t>Durante el trabajo de parto</t>
        </is>
      </c>
      <c r="C37" s="1644">
        <f>SUM(D37:F37)</f>
        <v/>
      </c>
      <c r="D37" s="6755" t="n"/>
      <c r="E37" s="6756" t="n"/>
      <c r="F37" s="6757" t="n"/>
      <c r="CA37" s="6210" t="n"/>
      <c r="CB37" s="6210" t="n"/>
      <c r="CC37" s="6210" t="n"/>
      <c r="CD37" s="6210" t="n"/>
      <c r="CE37" s="6210" t="n"/>
      <c r="CF37" s="6210" t="n"/>
      <c r="CG37" s="6210" t="n"/>
      <c r="CH37" s="6210" t="n"/>
      <c r="CI37" s="6210" t="n"/>
      <c r="CJ37" s="6210" t="n"/>
      <c r="CK37" s="6210" t="n"/>
      <c r="CL37" s="6210" t="n"/>
      <c r="CM37" s="6210" t="n"/>
      <c r="CN37" s="6210" t="n"/>
      <c r="CO37" s="6210" t="n"/>
      <c r="CP37" s="6210" t="n"/>
      <c r="CQ37" s="6210" t="n"/>
      <c r="CR37" s="6210" t="n"/>
      <c r="CS37" s="6210" t="n"/>
      <c r="CT37" s="6210" t="n"/>
      <c r="CU37" s="6210" t="n"/>
      <c r="CV37" s="6210" t="n"/>
    </row>
    <row r="38" ht="15" customFormat="1" customHeight="1" s="65">
      <c r="A38" s="9589" t="n"/>
      <c r="B38" s="8862" t="inlineStr">
        <is>
          <t>Sólo en el expulsivo</t>
        </is>
      </c>
      <c r="C38" s="6759">
        <f>SUM(D38:F38)</f>
        <v/>
      </c>
      <c r="D38" s="6760" t="n"/>
      <c r="E38" s="6761" t="n"/>
      <c r="F38" s="6762" t="n"/>
      <c r="CA38" s="6210" t="n"/>
      <c r="CB38" s="6210" t="n"/>
      <c r="CC38" s="6210" t="n"/>
      <c r="CD38" s="6210" t="n"/>
      <c r="CE38" s="6210" t="n"/>
      <c r="CF38" s="6210" t="n"/>
      <c r="CG38" s="6210" t="n"/>
      <c r="CH38" s="6210" t="n"/>
      <c r="CI38" s="6210" t="n"/>
      <c r="CJ38" s="6210" t="n"/>
      <c r="CK38" s="6210" t="n"/>
      <c r="CL38" s="6210" t="n"/>
      <c r="CM38" s="6210" t="n"/>
      <c r="CN38" s="6210" t="n"/>
      <c r="CO38" s="6210" t="n"/>
      <c r="CP38" s="6210" t="n"/>
      <c r="CQ38" s="6210" t="n"/>
      <c r="CR38" s="6210" t="n"/>
      <c r="CS38" s="6210" t="n"/>
      <c r="CT38" s="6210" t="n"/>
      <c r="CU38" s="6210" t="n"/>
      <c r="CV38" s="6210" t="n"/>
    </row>
    <row r="39" ht="15" customFormat="1" customHeight="1" s="6770">
      <c r="A39" s="6247" t="inlineStr">
        <is>
          <t>(*) Partos de Término y Pre-Término</t>
        </is>
      </c>
      <c r="CA39" s="6210" t="n"/>
      <c r="CB39" s="6210" t="n"/>
      <c r="CC39" s="6210" t="n"/>
      <c r="CD39" s="6210" t="n"/>
      <c r="CE39" s="6210" t="n"/>
      <c r="CF39" s="6210" t="n"/>
      <c r="CG39" s="6210" t="n"/>
      <c r="CH39" s="6210" t="n"/>
      <c r="CI39" s="6210" t="n"/>
      <c r="CJ39" s="6210" t="n"/>
      <c r="CK39" s="6210" t="n"/>
      <c r="CL39" s="6210" t="n"/>
      <c r="CM39" s="6210" t="n"/>
      <c r="CN39" s="6210" t="n"/>
      <c r="CO39" s="6210" t="n"/>
      <c r="CP39" s="6210" t="n"/>
      <c r="CQ39" s="6210" t="n"/>
      <c r="CR39" s="6210" t="n"/>
      <c r="CS39" s="6210" t="n"/>
      <c r="CT39" s="6210" t="n"/>
      <c r="CU39" s="6210" t="n"/>
      <c r="CV39" s="6210" t="n"/>
    </row>
    <row r="40" ht="18" customFormat="1" customHeight="1" s="6210">
      <c r="A40" s="8973" t="inlineStr">
        <is>
          <t>SECCION A.2: CESÁREAS (RESPONSABILIDAD DEL MÉDICO JEFE DEL SERVICIO DE OBSTETRICIA)</t>
        </is>
      </c>
      <c r="B40" s="6771" t="n"/>
      <c r="C40" s="6772" t="n"/>
      <c r="D40" s="6773" t="n"/>
    </row>
    <row r="41">
      <c r="A41" s="9907" t="inlineStr">
        <is>
          <t>CLASIFICACIÓN SEGÚN MODELO DE ROBSON</t>
        </is>
      </c>
      <c r="B41" s="9582" t="n"/>
      <c r="C41" s="6774" t="inlineStr">
        <is>
          <t>Programada</t>
        </is>
      </c>
      <c r="D41" s="8810" t="inlineStr">
        <is>
          <t>Urgencia</t>
        </is>
      </c>
    </row>
    <row r="42" ht="15" customHeight="1" s="8286">
      <c r="A42" s="10431" t="inlineStr">
        <is>
          <t>Grupo 1: Nulíparas, embarazo único, cefálica, ≥37 semanas en trabajo de parto espontáneo</t>
        </is>
      </c>
      <c r="B42" s="9582" t="n"/>
      <c r="C42" s="6708" t="n"/>
      <c r="D42" s="6710" t="n"/>
    </row>
    <row r="43" ht="21.95" customHeight="1" s="8286">
      <c r="A43" s="10432" t="inlineStr">
        <is>
          <t>Grupo 2: Nulíparas, embarazo único, cefálica, ≥37 semanas, cesárea programada o con inducción de trabajo de parto</t>
        </is>
      </c>
      <c r="B43" s="8967" t="inlineStr">
        <is>
          <t>Césarea por inducción fracasada</t>
        </is>
      </c>
      <c r="C43" s="5901" t="n"/>
      <c r="D43" s="6776" t="n"/>
    </row>
    <row r="44" ht="15" customHeight="1" s="8286">
      <c r="A44" s="9589" t="n"/>
      <c r="B44" s="6778" t="inlineStr">
        <is>
          <t>Césarea programada</t>
        </is>
      </c>
      <c r="C44" s="6695" t="n"/>
      <c r="D44" s="6360" t="n"/>
    </row>
    <row r="45" ht="24.95" customHeight="1" s="8286">
      <c r="A45" s="10431" t="inlineStr">
        <is>
          <t>Grupo 3: Multípara, sin cesárea previa, embarazo único, cefálica, ≥37 semanas en trabajo de parto espontáneo</t>
        </is>
      </c>
      <c r="B45" s="9582" t="n"/>
      <c r="C45" s="6708" t="n"/>
      <c r="D45" s="6710" t="n"/>
    </row>
    <row r="46" ht="21.95" customHeight="1" s="8286">
      <c r="A46" s="10433" t="inlineStr">
        <is>
          <t>Grupo 4: Multípara, sin cesárea previa, embarazo único, cefálica, ≥37 semanas, cesárea programada o con inducción de trabajo de parto</t>
        </is>
      </c>
      <c r="B46" s="8967" t="inlineStr">
        <is>
          <t>Césarea por inducción fracasada</t>
        </is>
      </c>
      <c r="C46" s="6779" t="n"/>
      <c r="D46" s="6679" t="n"/>
    </row>
    <row r="47" ht="15" customHeight="1" s="8286">
      <c r="A47" s="9698" t="n"/>
      <c r="B47" s="6778" t="inlineStr">
        <is>
          <t>Césarea programada</t>
        </is>
      </c>
      <c r="C47" s="6350" t="n"/>
      <c r="D47" s="6780" t="n"/>
    </row>
    <row r="48" ht="15" customHeight="1" s="8286">
      <c r="A48" s="10432" t="inlineStr">
        <is>
          <t>Grupo 5: multíparas con al menos 1 cesárea previa, embarazo unico, cefálica, ≥37 semanas</t>
        </is>
      </c>
      <c r="B48" s="6781" t="inlineStr">
        <is>
          <t>5.1: con 1 cesárea previa</t>
        </is>
      </c>
      <c r="C48" s="5843" t="n"/>
      <c r="D48" s="6776" t="n"/>
    </row>
    <row r="49" ht="21" customHeight="1" s="8286">
      <c r="A49" s="9589" t="n"/>
      <c r="B49" s="8785" t="inlineStr">
        <is>
          <t>5.2: 2 o más cesareas previas</t>
        </is>
      </c>
      <c r="C49" s="6695" t="n"/>
      <c r="D49" s="5867" t="n"/>
    </row>
    <row r="50" ht="24.95" customHeight="1" s="8286">
      <c r="A50" s="10431" t="inlineStr">
        <is>
          <t>Grupo 6: Nulíparas, embarazo único, podálica</t>
        </is>
      </c>
      <c r="B50" s="9582" t="n"/>
      <c r="C50" s="6708" t="n"/>
      <c r="D50" s="6710" t="n"/>
    </row>
    <row r="51" ht="15" customHeight="1" s="8286">
      <c r="A51" s="10431" t="inlineStr">
        <is>
          <t>Grupo 7: Multíparas, embarazo único, podálica, con 1 o más cesáreas previas</t>
        </is>
      </c>
      <c r="B51" s="9582" t="n"/>
      <c r="C51" s="6708" t="n"/>
      <c r="D51" s="6710" t="n"/>
    </row>
    <row r="52" ht="24.95" customHeight="1" s="8286">
      <c r="A52" s="10431" t="inlineStr">
        <is>
          <t>Grupo 8: Todas las mujeres con embarazo múltiple, incluidas las que tienen 1 o más cesáreas previas</t>
        </is>
      </c>
      <c r="B52" s="9582" t="n"/>
      <c r="C52" s="6708" t="n"/>
      <c r="D52" s="6710" t="n"/>
    </row>
    <row r="53" ht="24.95" customHeight="1" s="8286">
      <c r="A53" s="10431" t="inlineStr">
        <is>
          <t>Grupo 9: Embarazo único, transverso y oblicuo, incluidas las que tienen una o mas cesáreas previas</t>
        </is>
      </c>
      <c r="B53" s="9582" t="n"/>
      <c r="C53" s="6708" t="n"/>
      <c r="D53" s="6710" t="n"/>
    </row>
    <row r="54" ht="24.75" customHeight="1" s="8286">
      <c r="A54" s="10431" t="inlineStr">
        <is>
          <t xml:space="preserve">Grupo 10: Todas las mujeres con embarazo único, cefálica, &lt;37 semanas, incluidas las que tienen 1 o más cesáreas </t>
        </is>
      </c>
      <c r="B54" s="9582" t="n"/>
      <c r="C54" s="6708" t="n"/>
      <c r="D54" s="6710" t="n"/>
    </row>
    <row r="55" ht="15" customHeight="1" s="8286">
      <c r="A55" s="10432" t="inlineStr">
        <is>
          <t>Total cesáreas por requerimiento materno</t>
        </is>
      </c>
      <c r="B55" s="6781" t="inlineStr">
        <is>
          <t>Nulípara</t>
        </is>
      </c>
      <c r="C55" s="5843" t="n"/>
      <c r="D55" s="6782" t="n"/>
    </row>
    <row r="56" ht="15" customHeight="1" s="8286">
      <c r="A56" s="9589" t="n"/>
      <c r="B56" s="8785" t="inlineStr">
        <is>
          <t>Multípara</t>
        </is>
      </c>
      <c r="C56" s="6695" t="n"/>
      <c r="D56" s="6360" t="n"/>
    </row>
    <row r="57" ht="15" customHeight="1" s="8286">
      <c r="A57" s="8872" t="inlineStr">
        <is>
          <t>Acompañamiento durante la cesárea</t>
        </is>
      </c>
      <c r="B57" s="9776" t="n"/>
      <c r="C57" s="6350" t="n"/>
      <c r="D57" s="6351" t="n"/>
    </row>
    <row r="58" ht="18" customFormat="1" customHeight="1" s="6210">
      <c r="A58" s="8973" t="inlineStr">
        <is>
          <t>SECCION A.3: COMPLICACIONES</t>
        </is>
      </c>
      <c r="B58" s="6771" t="n"/>
      <c r="C58" s="6772" t="n"/>
      <c r="D58" s="6773" t="n"/>
    </row>
    <row r="59" ht="24.95" customHeight="1" s="8286">
      <c r="A59" s="10434" t="inlineStr">
        <is>
          <t>TIPO DE COMPLICACIÓN</t>
        </is>
      </c>
      <c r="B59" s="9630" t="n"/>
      <c r="C59" s="9904" t="inlineStr">
        <is>
          <t>Atención Institucional</t>
        </is>
      </c>
      <c r="D59" s="9584" t="n"/>
      <c r="E59" s="9582" t="n"/>
      <c r="F59" s="10435" t="inlineStr">
        <is>
          <t>Parto en domicilio</t>
        </is>
      </c>
      <c r="CA59" s="622" t="n"/>
      <c r="CB59" s="622" t="n"/>
      <c r="CW59" s="6210" t="n"/>
      <c r="CX59" s="6210" t="n"/>
    </row>
    <row r="60" ht="24.95" customHeight="1" s="8286">
      <c r="A60" s="9638" t="n"/>
      <c r="B60" s="9639" t="n"/>
      <c r="C60" s="6774" t="inlineStr">
        <is>
          <t>Parto Espontáneo</t>
        </is>
      </c>
      <c r="D60" s="6785" t="inlineStr">
        <is>
          <t>Parto Inducido</t>
        </is>
      </c>
      <c r="E60" s="8810" t="inlineStr">
        <is>
          <t>Césarea</t>
        </is>
      </c>
      <c r="F60" s="9589" t="n"/>
      <c r="CA60" s="622" t="n"/>
      <c r="CB60" s="622" t="n"/>
      <c r="CW60" s="6210" t="n"/>
      <c r="CX60" s="6210" t="n"/>
    </row>
    <row r="61" ht="15" customHeight="1" s="8286">
      <c r="A61" s="10436" t="inlineStr">
        <is>
          <t>Hemorragia post parto</t>
        </is>
      </c>
      <c r="B61" s="6786" t="inlineStr">
        <is>
          <t>Inercia</t>
        </is>
      </c>
      <c r="C61" s="5843" t="n"/>
      <c r="D61" s="6225" t="n"/>
      <c r="E61" s="6776" t="n"/>
      <c r="F61" s="5945" t="n"/>
      <c r="CA61" s="622" t="n"/>
      <c r="CB61" s="622" t="n"/>
      <c r="CW61" s="6210" t="n"/>
      <c r="CX61" s="6210" t="n"/>
    </row>
    <row r="62" ht="15" customHeight="1" s="8286">
      <c r="A62" s="9614" t="n"/>
      <c r="B62" s="6787" t="inlineStr">
        <is>
          <t>Restos</t>
        </is>
      </c>
      <c r="C62" s="5843" t="n"/>
      <c r="D62" s="6225" t="n"/>
      <c r="E62" s="6776" t="n"/>
      <c r="F62" s="5945" t="n"/>
      <c r="CA62" s="622" t="n"/>
      <c r="CB62" s="622" t="n"/>
      <c r="CW62" s="6210" t="n"/>
      <c r="CX62" s="6210" t="n"/>
    </row>
    <row r="63" ht="15" customHeight="1" s="8286">
      <c r="A63" s="9614" t="n"/>
      <c r="B63" s="6787" t="inlineStr">
        <is>
          <t>Trauma</t>
        </is>
      </c>
      <c r="C63" s="5843" t="n"/>
      <c r="D63" s="6225" t="n"/>
      <c r="E63" s="6776" t="n"/>
      <c r="F63" s="5945" t="n"/>
      <c r="CA63" s="622" t="n"/>
      <c r="CB63" s="622" t="n"/>
      <c r="CW63" s="6210" t="n"/>
      <c r="CX63" s="6210" t="n"/>
    </row>
    <row r="64" ht="15" customHeight="1" s="8286">
      <c r="A64" s="9614" t="n"/>
      <c r="B64" s="6787" t="inlineStr">
        <is>
          <t>Desgarros III y IV</t>
        </is>
      </c>
      <c r="C64" s="5843" t="n"/>
      <c r="D64" s="6225" t="n"/>
      <c r="E64" s="6776" t="n"/>
      <c r="F64" s="5945" t="n"/>
      <c r="CA64" s="622" t="n"/>
      <c r="CB64" s="622" t="n"/>
      <c r="CW64" s="6210" t="n"/>
      <c r="CX64" s="6210" t="n"/>
    </row>
    <row r="65" ht="21" customHeight="1" s="8286">
      <c r="A65" s="9610" t="n"/>
      <c r="B65" s="6788" t="inlineStr">
        <is>
          <t>Alteraciones de la coagulación</t>
        </is>
      </c>
      <c r="C65" s="6350" t="n"/>
      <c r="D65" s="6227" t="n"/>
      <c r="E65" s="6351" t="n"/>
      <c r="F65" s="6548" t="n"/>
      <c r="CA65" s="622" t="n"/>
      <c r="CB65" s="622" t="n"/>
      <c r="CW65" s="6210" t="n"/>
      <c r="CX65" s="6210" t="n"/>
    </row>
    <row r="66" ht="15" customHeight="1" s="8286">
      <c r="A66" s="10427" t="inlineStr">
        <is>
          <t>Preeclampsia severa</t>
        </is>
      </c>
      <c r="B66" s="9643" t="n"/>
      <c r="C66" s="5843" t="n"/>
      <c r="D66" s="6225" t="n"/>
      <c r="E66" s="6776" t="n"/>
      <c r="F66" s="5945" t="n"/>
      <c r="CA66" s="622" t="n"/>
      <c r="CB66" s="622" t="n"/>
      <c r="CW66" s="6210" t="n"/>
      <c r="CX66" s="6210" t="n"/>
    </row>
    <row r="67" ht="15" customHeight="1" s="8286">
      <c r="A67" s="6841" t="inlineStr">
        <is>
          <t>Eclampsia</t>
        </is>
      </c>
      <c r="B67" s="9644" t="n"/>
      <c r="C67" s="5843" t="n"/>
      <c r="D67" s="6225" t="n"/>
      <c r="E67" s="6776" t="n"/>
      <c r="F67" s="5945" t="n"/>
      <c r="CA67" s="622" t="n"/>
      <c r="CB67" s="622" t="n"/>
      <c r="CW67" s="6210" t="n"/>
      <c r="CX67" s="6210" t="n"/>
    </row>
    <row r="68" ht="15" customHeight="1" s="8286">
      <c r="A68" s="6841" t="inlineStr">
        <is>
          <t>Sepsis o infección sistémica grave</t>
        </is>
      </c>
      <c r="B68" s="9644" t="n"/>
      <c r="C68" s="5843" t="n"/>
      <c r="D68" s="6225" t="n"/>
      <c r="E68" s="6776" t="n"/>
      <c r="F68" s="5945" t="n"/>
      <c r="CA68" s="622" t="n"/>
      <c r="CB68" s="622" t="n"/>
      <c r="CW68" s="6210" t="n"/>
      <c r="CX68" s="6210" t="n"/>
    </row>
    <row r="69" ht="15" customHeight="1" s="8286">
      <c r="A69" s="10177" t="inlineStr">
        <is>
          <t>Manejo quirúrgico de la inercia uterina</t>
        </is>
      </c>
      <c r="B69" s="9935" t="n"/>
      <c r="C69" s="5843" t="n"/>
      <c r="D69" s="6225" t="n"/>
      <c r="E69" s="6776" t="n"/>
      <c r="F69" s="5945" t="n"/>
      <c r="CA69" s="622" t="n"/>
      <c r="CB69" s="622" t="n"/>
      <c r="CW69" s="6210" t="n"/>
      <c r="CX69" s="6210" t="n"/>
    </row>
    <row r="70" ht="15" customHeight="1" s="8286">
      <c r="A70" s="6841" t="inlineStr">
        <is>
          <t>Histerectomía obstétrica</t>
        </is>
      </c>
      <c r="B70" s="9644" t="n"/>
      <c r="C70" s="5843" t="n"/>
      <c r="D70" s="6225" t="n"/>
      <c r="E70" s="6776" t="n"/>
      <c r="F70" s="5945" t="n"/>
      <c r="CA70" s="622" t="n"/>
      <c r="CB70" s="622" t="n"/>
      <c r="CW70" s="6210" t="n"/>
      <c r="CX70" s="6210" t="n"/>
    </row>
    <row r="71" ht="15" customHeight="1" s="8286">
      <c r="A71" s="10178" t="inlineStr">
        <is>
          <t>Anemia severa postmetrorragia que requiere transfusión</t>
        </is>
      </c>
      <c r="B71" s="9720" t="n"/>
      <c r="C71" s="6695" t="n"/>
      <c r="D71" s="6697" t="n"/>
      <c r="E71" s="5867" t="n"/>
      <c r="F71" s="6698" t="n"/>
      <c r="CA71" s="622" t="n"/>
      <c r="CB71" s="622" t="n"/>
      <c r="CW71" s="6210" t="n"/>
      <c r="CX71" s="6210" t="n"/>
    </row>
    <row r="72" ht="18" customFormat="1" customHeight="1" s="6210">
      <c r="A72" s="6789" t="inlineStr">
        <is>
          <t>SECCIÓN B: INTERRUPCIÓN VOLUNTARIA DEL EMBARAZO</t>
        </is>
      </c>
      <c r="B72" s="6790" t="n"/>
      <c r="C72" s="6791" t="n"/>
      <c r="D72" s="6791" t="n"/>
      <c r="E72" s="6792" t="n"/>
      <c r="F72" s="6744" t="n"/>
      <c r="G72" s="6744" t="n"/>
      <c r="H72" s="6744" t="n"/>
      <c r="I72" s="6793" t="n"/>
      <c r="J72" s="6745" t="n"/>
      <c r="K72" s="6744" t="n"/>
      <c r="L72" s="6744" t="n"/>
      <c r="M72" s="6381" t="n"/>
      <c r="N72" s="6246" t="n"/>
      <c r="O72" s="6246" t="n"/>
      <c r="P72" s="6246" t="n"/>
      <c r="Q72" s="6246" t="n"/>
      <c r="R72" s="6246" t="n"/>
      <c r="S72" s="6246" t="n"/>
      <c r="T72" s="6246" t="n"/>
    </row>
    <row r="73" ht="18" customFormat="1" customHeight="1" s="6210">
      <c r="A73" s="10437" t="inlineStr">
        <is>
          <t>CAUSALES</t>
        </is>
      </c>
      <c r="B73" s="10438" t="inlineStr">
        <is>
          <t>CONTINÚA EMBARAZO</t>
        </is>
      </c>
      <c r="C73" s="9591" t="n"/>
      <c r="D73" s="9591" t="n"/>
      <c r="E73" s="10439" t="inlineStr">
        <is>
          <t>INTERRUMPE EMBARAZO</t>
        </is>
      </c>
      <c r="F73" s="9584" t="n"/>
      <c r="G73" s="9873" t="n"/>
      <c r="H73" s="10440" t="inlineStr">
        <is>
          <t>Beneficiarias</t>
        </is>
      </c>
      <c r="I73" s="8251" t="inlineStr">
        <is>
          <t>Pueblos Originarios</t>
        </is>
      </c>
      <c r="J73" s="10441" t="inlineStr">
        <is>
          <t>Migrantes</t>
        </is>
      </c>
      <c r="K73" s="10442" t="inlineStr">
        <is>
          <t>Trans masculino</t>
        </is>
      </c>
      <c r="L73" s="9600" t="inlineStr">
        <is>
          <t>Discapacidad</t>
        </is>
      </c>
      <c r="M73" s="6794" t="n"/>
      <c r="N73" s="6246" t="n"/>
      <c r="O73" s="6246" t="n"/>
      <c r="P73" s="6246" t="n"/>
      <c r="Q73" s="6246" t="n"/>
      <c r="R73" s="6246" t="n"/>
    </row>
    <row r="74" ht="15" customHeight="1" s="8286">
      <c r="A74" s="10443" t="n"/>
      <c r="B74" s="9626" t="inlineStr">
        <is>
          <t>Rango Etario</t>
        </is>
      </c>
      <c r="C74" s="9584" t="n"/>
      <c r="D74" s="9584" t="n"/>
      <c r="E74" s="9872" t="inlineStr">
        <is>
          <t>Rango Etario</t>
        </is>
      </c>
      <c r="F74" s="9584" t="n"/>
      <c r="G74" s="9873" t="n"/>
      <c r="H74" s="10047" t="n"/>
      <c r="I74" s="9625" t="n"/>
      <c r="J74" s="10444" t="n"/>
      <c r="K74" s="9842" t="n"/>
      <c r="L74" s="9727" t="n"/>
      <c r="M74" s="6238" t="n"/>
      <c r="BS74" s="6210" t="n"/>
      <c r="BT74" s="6210" t="n"/>
      <c r="BU74" s="6210" t="n"/>
      <c r="BV74" s="6210" t="n"/>
      <c r="BW74" s="6210" t="n"/>
      <c r="BX74" s="6210" t="n"/>
      <c r="BY74" s="6210" t="n"/>
      <c r="BZ74" s="6210" t="n"/>
      <c r="CO74" s="622" t="n"/>
      <c r="CP74" s="622" t="n"/>
      <c r="CQ74" s="622" t="n"/>
      <c r="CR74" s="622" t="n"/>
      <c r="CS74" s="622" t="n"/>
      <c r="CT74" s="622" t="n"/>
      <c r="CU74" s="622" t="n"/>
      <c r="CV74" s="622" t="n"/>
    </row>
    <row r="75" ht="21.95" customHeight="1" s="8286">
      <c r="A75" s="10445" t="n"/>
      <c r="B75" s="6796" t="inlineStr">
        <is>
          <t>Menor de 14 años</t>
        </is>
      </c>
      <c r="C75" s="6797" t="inlineStr">
        <is>
          <t>14 - 17 años</t>
        </is>
      </c>
      <c r="D75" s="6798" t="inlineStr">
        <is>
          <t>18 y más años</t>
        </is>
      </c>
      <c r="E75" s="6799" t="inlineStr">
        <is>
          <t>Menor de 14 años</t>
        </is>
      </c>
      <c r="F75" s="6800" t="inlineStr">
        <is>
          <t>14 - 17 años</t>
        </is>
      </c>
      <c r="G75" s="6801" t="inlineStr">
        <is>
          <t>18 y más años</t>
        </is>
      </c>
      <c r="H75" s="10051" t="n"/>
      <c r="I75" s="9611" t="n"/>
      <c r="J75" s="10184" t="n"/>
      <c r="K75" s="10149" t="n"/>
      <c r="L75" s="9609" t="n"/>
      <c r="M75" s="6238" t="n"/>
      <c r="BS75" s="6210" t="n"/>
      <c r="BT75" s="6210" t="n"/>
      <c r="BU75" s="6210" t="n"/>
      <c r="BV75" s="6210" t="n"/>
      <c r="BW75" s="6210" t="n"/>
      <c r="BX75" s="6210" t="n"/>
      <c r="BY75" s="6210" t="n"/>
      <c r="BZ75" s="6210" t="n"/>
      <c r="CO75" s="622" t="n"/>
      <c r="CP75" s="622" t="n"/>
      <c r="CQ75" s="622" t="n"/>
      <c r="CR75" s="622" t="n"/>
      <c r="CS75" s="622" t="n"/>
      <c r="CT75" s="622" t="n"/>
      <c r="CU75" s="622" t="n"/>
      <c r="CV75" s="622" t="n"/>
    </row>
    <row r="76">
      <c r="A76" s="6802" t="inlineStr">
        <is>
          <t>TOTAL</t>
        </is>
      </c>
      <c r="B76" s="6803">
        <f>SUM(B77:B79)</f>
        <v/>
      </c>
      <c r="C76" s="6804">
        <f>SUM(C77:C79)</f>
        <v/>
      </c>
      <c r="D76" s="6805">
        <f>SUM(D77:D79)</f>
        <v/>
      </c>
      <c r="E76" s="6803">
        <f>SUM(E77:E79)</f>
        <v/>
      </c>
      <c r="F76" s="6804">
        <f>SUM(F77:F79)</f>
        <v/>
      </c>
      <c r="G76" s="6806">
        <f>SUM(G77:G79)</f>
        <v/>
      </c>
      <c r="H76" s="6807">
        <f>SUM(H77:H79)</f>
        <v/>
      </c>
      <c r="I76" s="6808">
        <f>SUM(I77:I79)</f>
        <v/>
      </c>
      <c r="J76" s="6809">
        <f>SUM(J77:J79)</f>
        <v/>
      </c>
      <c r="K76" s="6810">
        <f>SUM(K77:K79)</f>
        <v/>
      </c>
      <c r="L76" s="6811">
        <f>SUM(L77:L79)</f>
        <v/>
      </c>
      <c r="M76" s="6238" t="n"/>
      <c r="BS76" s="6210" t="n"/>
      <c r="BT76" s="6210" t="n"/>
      <c r="BU76" s="6210" t="n"/>
      <c r="BV76" s="6210" t="n"/>
      <c r="BW76" s="6210" t="n"/>
      <c r="BX76" s="6210" t="n"/>
      <c r="BY76" s="6210" t="n"/>
      <c r="BZ76" s="6210" t="n"/>
      <c r="CO76" s="622" t="n"/>
      <c r="CP76" s="622" t="n"/>
      <c r="CQ76" s="622" t="n"/>
      <c r="CR76" s="622" t="n"/>
      <c r="CS76" s="622" t="n"/>
      <c r="CT76" s="622" t="n"/>
      <c r="CU76" s="622" t="n"/>
      <c r="CV76" s="622" t="n"/>
    </row>
    <row r="77" ht="15" customHeight="1" s="8286">
      <c r="A77" s="6812" t="inlineStr">
        <is>
          <t xml:space="preserve">Causal N° 1: Mujer embarazada con riesgo vital </t>
        </is>
      </c>
      <c r="B77" s="6813" t="n"/>
      <c r="C77" s="6814" t="n"/>
      <c r="D77" s="6815" t="n"/>
      <c r="E77" s="6816" t="n"/>
      <c r="F77" s="6817" t="n"/>
      <c r="G77" s="6818" t="n"/>
      <c r="H77" s="6819" t="n"/>
      <c r="I77" s="6820" t="n"/>
      <c r="J77" s="6815" t="n"/>
      <c r="K77" s="6815" t="n"/>
      <c r="L77" s="6821" t="n"/>
      <c r="M77" s="6822">
        <f>$CA77&amp;CB77&amp;CC77&amp;CD77&amp;CE77</f>
        <v/>
      </c>
      <c r="CA77" s="6684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 t="n"/>
      <c r="CG77" s="5647" t="n"/>
      <c r="CH77" s="5647" t="n"/>
      <c r="CI77" s="5577">
        <f>IF(AND(SUM(B77:G77)&gt;0,OR(ISBLANK(H77),H77&gt;SUM(B77:G77))),1,0)</f>
        <v/>
      </c>
      <c r="CJ77" s="5577">
        <f>IF(AND(SUM(B77:G77)&gt;0,I77=""),1,IF(I77&gt;SUM(B77:G77),1,0))</f>
        <v/>
      </c>
      <c r="CK77" s="5577">
        <f>IF(AND(SUM(B77:G77)&gt;0,J77=""),1,IF(J77&gt;SUM(B77:G77),1,0))</f>
        <v/>
      </c>
      <c r="CL77" s="5577">
        <f>IF(AND(SUM($B77:$G77)&gt;0,OR(K77="")),1,IF(K77&gt;SUM($B77:$G77),1,0))</f>
        <v/>
      </c>
      <c r="CM77" s="5577">
        <f>IF(AND(SUM($B77:$G77)&gt;0,OR(L77="")),1,IF(L77&gt;SUM($B77:$G77),1,0))</f>
        <v/>
      </c>
      <c r="CN77" s="622" t="n"/>
      <c r="CO77" s="622" t="n"/>
      <c r="CP77" s="622" t="n"/>
      <c r="CQ77" s="622" t="n"/>
      <c r="CR77" s="622" t="n"/>
      <c r="CS77" s="622" t="n"/>
      <c r="CT77" s="622" t="n"/>
      <c r="CU77" s="622" t="n"/>
      <c r="CV77" s="622" t="n"/>
    </row>
    <row r="78" ht="15" customHeight="1" s="8286">
      <c r="A78" s="6823" t="inlineStr">
        <is>
          <t>Causal N° 2: Inviabilidad fetal de carácter letal</t>
        </is>
      </c>
      <c r="B78" s="5843" t="n"/>
      <c r="C78" s="6687" t="n"/>
      <c r="D78" s="6824" t="n"/>
      <c r="E78" s="6825" t="n"/>
      <c r="F78" s="6688" t="n"/>
      <c r="G78" s="6826" t="n"/>
      <c r="H78" s="6827" t="n"/>
      <c r="I78" s="6828" t="n"/>
      <c r="J78" s="6824" t="n"/>
      <c r="K78" s="6824" t="n"/>
      <c r="L78" s="6828" t="n"/>
      <c r="M78" s="932">
        <f>$CA78&amp;CB78&amp;CC78&amp;CD78&amp;CE78</f>
        <v/>
      </c>
      <c r="CA78" s="6684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 t="n"/>
      <c r="CG78" s="5647" t="n"/>
      <c r="CH78" s="5647" t="n"/>
      <c r="CI78" s="5577">
        <f>IF(AND(SUM(B78:G78)&gt;0,OR(ISBLANK(H78),H78&gt;SUM(B78:G78))),1,0)</f>
        <v/>
      </c>
      <c r="CJ78" s="5577">
        <f>IF(AND(SUM(B78:G78)&gt;0,I78=""),1,IF(I78&gt;SUM(B78:G78),1,0))</f>
        <v/>
      </c>
      <c r="CK78" s="5577">
        <f>IF(AND(SUM(B78:G78)&gt;0,J78=""),1,IF(J78&gt;SUM(B78:G78),1,0))</f>
        <v/>
      </c>
      <c r="CL78" s="5577">
        <f>IF(AND(SUM($B78:$G78)&gt;0,OR(K78="")),1,IF(K78&gt;SUM($B78:$G78),1,0))</f>
        <v/>
      </c>
      <c r="CM78" s="5577">
        <f>IF(AND(SUM($B78:$G78)&gt;0,OR(L78="")),1,IF(L78&gt;SUM($B78:$G78),1,0))</f>
        <v/>
      </c>
      <c r="CN78" s="622" t="n"/>
      <c r="CO78" s="622" t="n"/>
      <c r="CP78" s="622" t="n"/>
      <c r="CQ78" s="622" t="n"/>
      <c r="CR78" s="622" t="n"/>
      <c r="CS78" s="622" t="n"/>
      <c r="CT78" s="622" t="n"/>
      <c r="CU78" s="622" t="n"/>
      <c r="CV78" s="622" t="n"/>
    </row>
    <row r="79" ht="15" customHeight="1" s="8286">
      <c r="A79" s="6829" t="inlineStr">
        <is>
          <t>Causal N° 3: Por violación</t>
        </is>
      </c>
      <c r="B79" s="6695" t="n"/>
      <c r="C79" s="6696" t="n"/>
      <c r="D79" s="6830" t="n"/>
      <c r="E79" s="6831" t="n"/>
      <c r="F79" s="6697" t="n"/>
      <c r="G79" s="6832" t="n"/>
      <c r="H79" s="6833" t="n"/>
      <c r="I79" s="6834" t="n"/>
      <c r="J79" s="6830" t="n"/>
      <c r="K79" s="6830" t="n"/>
      <c r="L79" s="6834" t="n"/>
      <c r="M79" s="932">
        <f>$CA79&amp;CB79&amp;CC79&amp;CD79&amp;CE79</f>
        <v/>
      </c>
      <c r="CA79" s="6684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 t="n"/>
      <c r="CG79" s="5647" t="n"/>
      <c r="CH79" s="5647" t="n"/>
      <c r="CI79" s="5577">
        <f>IF(AND(SUM(B79:G79)&gt;0,OR(ISBLANK(H79),H79&gt;SUM(B79:G79))),1,0)</f>
        <v/>
      </c>
      <c r="CJ79" s="5577">
        <f>IF(AND(SUM(B79:G79)&gt;0,I79=""),1,IF(I79&gt;SUM(B79:G79),1,0))</f>
        <v/>
      </c>
      <c r="CK79" s="5577">
        <f>IF(AND(SUM(B79:G79)&gt;0,J79=""),1,IF(J79&gt;SUM(B79:G79),1,0))</f>
        <v/>
      </c>
      <c r="CL79" s="5577">
        <f>IF(AND(SUM($B79:$G79)&gt;0,OR(K79="")),1,IF(K79&gt;SUM($B79:$G79),1,0))</f>
        <v/>
      </c>
      <c r="CM79" s="5577">
        <f>IF(AND(SUM($B79:$G79)&gt;0,OR(L79="")),1,IF(L79&gt;SUM($B79:$G79),1,0))</f>
        <v/>
      </c>
      <c r="CN79" s="622" t="n"/>
      <c r="CO79" s="622" t="n"/>
      <c r="CP79" s="622" t="n"/>
      <c r="CQ79" s="622" t="n"/>
      <c r="CR79" s="622" t="n"/>
      <c r="CS79" s="622" t="n"/>
      <c r="CT79" s="622" t="n"/>
      <c r="CU79" s="622" t="n"/>
      <c r="CV79" s="622" t="n"/>
    </row>
    <row r="80" ht="15" customHeight="1" s="8286">
      <c r="A80" s="6771" t="inlineStr">
        <is>
          <t>SECCIÓN B.1 PROGAMA DE ACOMPAÑAMIENTO IVE</t>
        </is>
      </c>
      <c r="K80" s="6367" t="n"/>
      <c r="L80" s="6367" t="n"/>
      <c r="M80" s="6367" t="n"/>
      <c r="N80" s="6367" t="n"/>
      <c r="O80" s="6367" t="n"/>
      <c r="P80" s="6367" t="n"/>
      <c r="Q80" s="6367" t="n"/>
      <c r="R80" s="6367" t="n"/>
      <c r="S80" s="6367" t="n"/>
      <c r="T80" s="6367" t="n"/>
      <c r="U80" s="6367" t="n"/>
      <c r="V80" s="6367" t="n"/>
      <c r="W80" s="6367" t="n"/>
      <c r="X80" s="932" t="n"/>
      <c r="CA80" s="622" t="n"/>
      <c r="CB80" s="622" t="n"/>
      <c r="CC80" s="622" t="n"/>
      <c r="CD80" s="5647" t="n"/>
      <c r="CE80" s="5647" t="n"/>
      <c r="CF80" s="5647" t="n"/>
      <c r="CG80" s="5647" t="n"/>
      <c r="CH80" s="5647" t="n"/>
      <c r="CI80" s="5647" t="n"/>
      <c r="CJ80" s="5647" t="n"/>
      <c r="CK80" s="5647" t="n"/>
      <c r="CL80" s="5647" t="n"/>
      <c r="CM80" s="1076" t="n"/>
      <c r="CN80" s="1076" t="n"/>
      <c r="CO80" s="622" t="n"/>
      <c r="CP80" s="622" t="n"/>
      <c r="CQ80" s="622" t="n"/>
      <c r="CR80" s="622" t="n"/>
      <c r="CS80" s="622" t="n"/>
      <c r="CW80" s="6210" t="n"/>
      <c r="CX80" s="6210" t="n"/>
      <c r="CY80" s="6210" t="n"/>
    </row>
    <row r="81" ht="15" customHeight="1" s="8286">
      <c r="A81" s="9624" t="inlineStr">
        <is>
          <t>ATENCIONES DE ACOMPAÑAMIENTO</t>
        </is>
      </c>
      <c r="B81" s="9626" t="inlineStr">
        <is>
          <t>RANGO ETARIO</t>
        </is>
      </c>
      <c r="C81" s="9584" t="n"/>
      <c r="D81" s="9584" t="n"/>
      <c r="E81" s="9874" t="inlineStr">
        <is>
          <t>CAUSAL IVE GESTANTE ATENDIDA</t>
        </is>
      </c>
      <c r="F81" s="9584" t="n"/>
      <c r="G81" s="9647" t="n"/>
      <c r="H81" s="6367" t="n"/>
      <c r="I81" s="6367" t="n"/>
      <c r="J81" s="6367" t="n"/>
      <c r="K81" s="6367" t="n"/>
      <c r="L81" s="6367" t="n"/>
      <c r="M81" s="6367" t="n"/>
      <c r="N81" s="6367" t="n"/>
      <c r="O81" s="6367" t="n"/>
      <c r="P81" s="6367" t="n"/>
      <c r="Q81" s="6367" t="n"/>
      <c r="R81" s="6367" t="n"/>
      <c r="S81" s="6367" t="n"/>
      <c r="T81" s="6367" t="n"/>
      <c r="U81" s="932" t="n"/>
      <c r="CA81" s="5647" t="n"/>
      <c r="CB81" s="5647" t="n"/>
      <c r="CC81" s="5647" t="n"/>
      <c r="CD81" s="5647" t="n"/>
      <c r="CE81" s="5647" t="n"/>
      <c r="CF81" s="5647" t="n"/>
      <c r="CG81" s="5647" t="n"/>
      <c r="CH81" s="5647" t="n"/>
      <c r="CI81" s="5647" t="n"/>
      <c r="CJ81" s="1076" t="n"/>
      <c r="CK81" s="1076" t="n"/>
      <c r="CL81" s="622" t="n"/>
      <c r="CM81" s="622" t="n"/>
      <c r="CN81" s="622" t="n"/>
      <c r="CO81" s="622" t="n"/>
      <c r="CP81" s="622" t="n"/>
    </row>
    <row r="82" ht="15" customHeight="1" s="8286">
      <c r="A82" s="9621" t="n"/>
      <c r="B82" s="6796" t="inlineStr">
        <is>
          <t>Menor de 14 años</t>
        </is>
      </c>
      <c r="C82" s="6797" t="inlineStr">
        <is>
          <t>14 - 17 años</t>
        </is>
      </c>
      <c r="D82" s="6798" t="inlineStr">
        <is>
          <t>18 y más años</t>
        </is>
      </c>
      <c r="E82" s="6796" t="inlineStr">
        <is>
          <t>Causal 1</t>
        </is>
      </c>
      <c r="F82" s="6797" t="inlineStr">
        <is>
          <t>Causal 2</t>
        </is>
      </c>
      <c r="G82" s="8805" t="inlineStr">
        <is>
          <t>Causal 3</t>
        </is>
      </c>
      <c r="H82" s="6367" t="n"/>
      <c r="I82" s="6367" t="n"/>
      <c r="J82" s="6367" t="n"/>
      <c r="K82" s="6367" t="n"/>
      <c r="L82" s="6367" t="n"/>
      <c r="M82" s="6367" t="n"/>
      <c r="N82" s="6367" t="n"/>
      <c r="O82" s="6367" t="n"/>
      <c r="P82" s="6367" t="n"/>
      <c r="Q82" s="6367" t="n"/>
      <c r="R82" s="6367" t="n"/>
      <c r="S82" s="6367" t="n"/>
      <c r="T82" s="6367" t="n"/>
      <c r="U82" s="932" t="n"/>
      <c r="CA82" s="5647" t="n"/>
      <c r="CB82" s="5647" t="n"/>
      <c r="CC82" s="5647" t="n"/>
      <c r="CD82" s="5647" t="n"/>
      <c r="CE82" s="5647" t="n"/>
      <c r="CF82" s="5647" t="n"/>
      <c r="CG82" s="5647" t="n"/>
      <c r="CH82" s="5647" t="n"/>
      <c r="CI82" s="5647" t="n"/>
      <c r="CJ82" s="1076" t="n"/>
      <c r="CK82" s="1076" t="n"/>
      <c r="CL82" s="622" t="n"/>
      <c r="CM82" s="622" t="n"/>
      <c r="CN82" s="622" t="n"/>
      <c r="CO82" s="622" t="n"/>
      <c r="CP82" s="622" t="n"/>
    </row>
    <row r="83" ht="15" customHeight="1" s="8286">
      <c r="A83" s="8848" t="inlineStr">
        <is>
          <t>TOTAL</t>
        </is>
      </c>
      <c r="B83" s="6836">
        <f>B84+B85+B86+B87+B88</f>
        <v/>
      </c>
      <c r="C83" s="6837">
        <f>C84+C85+C86+C87+C88</f>
        <v/>
      </c>
      <c r="D83" s="6838">
        <f>D84+D85+D86+D87+D88</f>
        <v/>
      </c>
      <c r="E83" s="6836">
        <f>E84+E85+E86+E87+E88</f>
        <v/>
      </c>
      <c r="F83" s="6839">
        <f>F84+F85+F86+F87+F88</f>
        <v/>
      </c>
      <c r="G83" s="6840">
        <f>G84+G85+G86+G87+G88</f>
        <v/>
      </c>
      <c r="H83" s="6367" t="n"/>
      <c r="I83" s="6367" t="n"/>
      <c r="J83" s="6367" t="n"/>
      <c r="K83" s="6367" t="n"/>
      <c r="L83" s="6367" t="n"/>
      <c r="M83" s="6367" t="n"/>
      <c r="N83" s="6367" t="n"/>
      <c r="O83" s="6367" t="n"/>
      <c r="P83" s="6367" t="n"/>
      <c r="Q83" s="6367" t="n"/>
      <c r="R83" s="6367" t="n"/>
      <c r="S83" s="6367" t="n"/>
      <c r="T83" s="6367" t="n"/>
      <c r="U83" s="932" t="n"/>
      <c r="CA83" s="5647" t="n"/>
      <c r="CB83" s="5647" t="n"/>
      <c r="CC83" s="5647" t="n"/>
      <c r="CD83" s="5647" t="n"/>
      <c r="CE83" s="5647" t="n"/>
      <c r="CF83" s="5647" t="n"/>
      <c r="CG83" s="5647" t="n"/>
      <c r="CH83" s="5647" t="n"/>
      <c r="CI83" s="5647" t="n"/>
      <c r="CJ83" s="1076" t="n"/>
      <c r="CK83" s="1076" t="n"/>
      <c r="CL83" s="622" t="n"/>
      <c r="CM83" s="622" t="n"/>
      <c r="CN83" s="622" t="n"/>
      <c r="CO83" s="622" t="n"/>
      <c r="CP83" s="622" t="n"/>
    </row>
    <row r="84" ht="15" customHeight="1" s="8286">
      <c r="A84" s="6753" t="inlineStr">
        <is>
          <t>Atención por psiquiatra</t>
        </is>
      </c>
      <c r="B84" s="6271" t="n"/>
      <c r="C84" s="6270" t="n"/>
      <c r="D84" s="6386" t="n"/>
      <c r="E84" s="6271" t="n"/>
      <c r="F84" s="6219" t="n"/>
      <c r="G84" s="6679" t="n"/>
      <c r="H84" s="6367" t="n"/>
      <c r="I84" s="6367" t="n"/>
      <c r="J84" s="6367" t="n"/>
      <c r="K84" s="6367" t="n"/>
      <c r="L84" s="6367" t="n"/>
      <c r="M84" s="6367" t="n"/>
      <c r="N84" s="6367" t="n"/>
      <c r="O84" s="6367" t="n"/>
      <c r="P84" s="6367" t="n"/>
      <c r="Q84" s="6367" t="n"/>
      <c r="R84" s="6367" t="n"/>
      <c r="S84" s="6367" t="n"/>
      <c r="T84" s="6367" t="n"/>
      <c r="U84" s="932" t="n"/>
      <c r="CA84" s="5647" t="n"/>
      <c r="CB84" s="5647" t="n"/>
      <c r="CC84" s="5647" t="n"/>
      <c r="CD84" s="5647" t="n"/>
      <c r="CE84" s="5647" t="n"/>
      <c r="CF84" s="5647" t="n"/>
      <c r="CG84" s="5647" t="n"/>
      <c r="CH84" s="5647" t="n"/>
      <c r="CI84" s="5647" t="n"/>
      <c r="CJ84" s="1076" t="n"/>
      <c r="CK84" s="1076" t="n"/>
      <c r="CL84" s="622" t="n"/>
      <c r="CM84" s="622" t="n"/>
      <c r="CN84" s="622" t="n"/>
      <c r="CO84" s="622" t="n"/>
      <c r="CP84" s="622" t="n"/>
    </row>
    <row r="85" ht="15" customHeight="1" s="8286">
      <c r="A85" s="6841" t="inlineStr">
        <is>
          <t>Atención por psicólogo(a)</t>
        </is>
      </c>
      <c r="B85" s="5843" t="n"/>
      <c r="C85" s="6104" t="n"/>
      <c r="D85" s="6842" t="n"/>
      <c r="E85" s="5843" t="n"/>
      <c r="F85" s="6225" t="n"/>
      <c r="G85" s="6776" t="n"/>
      <c r="H85" s="6367" t="n"/>
      <c r="I85" s="6367" t="n"/>
      <c r="J85" s="6367" t="n"/>
      <c r="K85" s="6367" t="n"/>
      <c r="L85" s="6367" t="n"/>
      <c r="M85" s="6367" t="n"/>
      <c r="N85" s="6367" t="n"/>
      <c r="O85" s="6367" t="n"/>
      <c r="P85" s="6367" t="n"/>
      <c r="Q85" s="6367" t="n"/>
      <c r="R85" s="6367" t="n"/>
      <c r="S85" s="6367" t="n"/>
      <c r="T85" s="6367" t="n"/>
      <c r="U85" s="932" t="n"/>
      <c r="CA85" s="5647" t="n"/>
      <c r="CB85" s="5647" t="n"/>
      <c r="CC85" s="5647" t="n"/>
      <c r="CD85" s="5647" t="n"/>
      <c r="CE85" s="5647" t="n"/>
      <c r="CF85" s="5647" t="n"/>
      <c r="CG85" s="5647" t="n"/>
      <c r="CH85" s="5647" t="n"/>
      <c r="CI85" s="5647" t="n"/>
      <c r="CJ85" s="1076" t="n"/>
      <c r="CK85" s="1076" t="n"/>
      <c r="CL85" s="622" t="n"/>
      <c r="CM85" s="622" t="n"/>
      <c r="CN85" s="622" t="n"/>
      <c r="CO85" s="622" t="n"/>
      <c r="CP85" s="622" t="n"/>
    </row>
    <row r="86" ht="15" customHeight="1" s="8286">
      <c r="A86" s="6841" t="inlineStr">
        <is>
          <t>Atención por trabajador(a) social</t>
        </is>
      </c>
      <c r="B86" s="6686" t="n"/>
      <c r="C86" s="6688" t="n"/>
      <c r="D86" s="6843" t="n"/>
      <c r="E86" s="6686" t="n"/>
      <c r="F86" s="6688" t="n"/>
      <c r="G86" s="6559" t="n"/>
      <c r="H86" s="6367" t="n"/>
      <c r="I86" s="6367" t="n"/>
      <c r="J86" s="6367" t="n"/>
      <c r="K86" s="6367" t="n"/>
      <c r="L86" s="6367" t="n"/>
      <c r="M86" s="6367" t="n"/>
      <c r="N86" s="6367" t="n"/>
      <c r="O86" s="6367" t="n"/>
      <c r="P86" s="6367" t="n"/>
      <c r="Q86" s="6367" t="n"/>
      <c r="R86" s="6367" t="n"/>
      <c r="S86" s="6367" t="n"/>
      <c r="T86" s="6367" t="n"/>
      <c r="U86" s="932" t="n"/>
      <c r="CA86" s="5647" t="n"/>
      <c r="CB86" s="5647" t="n"/>
      <c r="CC86" s="5647" t="n"/>
      <c r="CD86" s="5647" t="n"/>
      <c r="CE86" s="5647" t="n"/>
      <c r="CF86" s="5647" t="n"/>
      <c r="CG86" s="5647" t="n"/>
      <c r="CH86" s="5647" t="n"/>
      <c r="CI86" s="5647" t="n"/>
      <c r="CJ86" s="1076" t="n"/>
      <c r="CK86" s="1076" t="n"/>
      <c r="CL86" s="622" t="n"/>
      <c r="CM86" s="622" t="n"/>
      <c r="CN86" s="622" t="n"/>
      <c r="CO86" s="622" t="n"/>
      <c r="CP86" s="622" t="n"/>
    </row>
    <row r="87" ht="15" customHeight="1" s="8286">
      <c r="A87" s="6844" t="inlineStr">
        <is>
          <t>Atención por Dupla (psicólogo(a) + trabajador(a) social)</t>
        </is>
      </c>
      <c r="B87" s="6350" t="n"/>
      <c r="C87" s="6352" t="n"/>
      <c r="D87" s="6701" t="n"/>
      <c r="E87" s="6350" t="n"/>
      <c r="F87" s="6227" t="n"/>
      <c r="G87" s="6351" t="n"/>
      <c r="H87" s="6367" t="n"/>
      <c r="I87" s="6367" t="n"/>
      <c r="J87" s="6367" t="n"/>
      <c r="K87" s="6367" t="n"/>
      <c r="L87" s="6367" t="n"/>
      <c r="M87" s="6367" t="n"/>
      <c r="N87" s="6367" t="n"/>
      <c r="O87" s="6367" t="n"/>
      <c r="P87" s="6367" t="n"/>
      <c r="Q87" s="6367" t="n"/>
      <c r="R87" s="6367" t="n"/>
      <c r="S87" s="6367" t="n"/>
      <c r="T87" s="6367" t="n"/>
      <c r="U87" s="932" t="n"/>
      <c r="CA87" s="5647" t="n"/>
      <c r="CB87" s="5647" t="n"/>
      <c r="CC87" s="5647" t="n"/>
      <c r="CD87" s="5647" t="n"/>
      <c r="CE87" s="5647" t="n"/>
      <c r="CF87" s="5647" t="n"/>
      <c r="CG87" s="5647" t="n"/>
      <c r="CH87" s="5647" t="n"/>
      <c r="CI87" s="5647" t="n"/>
      <c r="CJ87" s="1076" t="n"/>
      <c r="CK87" s="1076" t="n"/>
      <c r="CL87" s="622" t="n"/>
      <c r="CM87" s="622" t="n"/>
      <c r="CN87" s="622" t="n"/>
      <c r="CO87" s="622" t="n"/>
      <c r="CP87" s="622" t="n"/>
    </row>
    <row r="88" ht="15" customHeight="1" s="8286">
      <c r="A88" s="6845" t="inlineStr">
        <is>
          <t>Visita Domiciliaria</t>
        </is>
      </c>
      <c r="B88" s="6350" t="n"/>
      <c r="C88" s="6352" t="n"/>
      <c r="D88" s="6846" t="n"/>
      <c r="E88" s="6350" t="n"/>
      <c r="F88" s="6227" t="n"/>
      <c r="G88" s="6351" t="n"/>
      <c r="H88" s="6367" t="n"/>
      <c r="I88" s="6367" t="n"/>
      <c r="J88" s="6367" t="n"/>
      <c r="K88" s="6367" t="n"/>
      <c r="L88" s="6367" t="n"/>
      <c r="M88" s="6367" t="n"/>
      <c r="N88" s="6367" t="n"/>
      <c r="O88" s="6367" t="n"/>
      <c r="P88" s="6367" t="n"/>
      <c r="Q88" s="6367" t="n"/>
      <c r="R88" s="6367" t="n"/>
      <c r="S88" s="6367" t="n"/>
      <c r="T88" s="6367" t="n"/>
      <c r="U88" s="932" t="n"/>
      <c r="CA88" s="5647" t="n"/>
      <c r="CB88" s="5647" t="n"/>
      <c r="CC88" s="5647" t="n"/>
      <c r="CD88" s="5647" t="n"/>
      <c r="CE88" s="5647" t="n"/>
      <c r="CF88" s="5647" t="n"/>
      <c r="CG88" s="5647" t="n"/>
      <c r="CH88" s="5647" t="n"/>
      <c r="CI88" s="5647" t="n"/>
      <c r="CJ88" s="1076" t="n"/>
      <c r="CK88" s="1076" t="n"/>
      <c r="CL88" s="622" t="n"/>
      <c r="CM88" s="622" t="n"/>
      <c r="CN88" s="622" t="n"/>
      <c r="CO88" s="622" t="n"/>
      <c r="CP88" s="622" t="n"/>
    </row>
    <row r="89" ht="18" customFormat="1" customHeight="1" s="6210">
      <c r="A89" s="8973" t="inlineStr">
        <is>
          <t>SECCIÓN C: MÉTODO ANTICONCEPTIVO AL ALTA</t>
        </is>
      </c>
      <c r="B89" s="6771" t="n"/>
      <c r="C89" s="6251" t="n"/>
      <c r="D89" s="6251" t="n"/>
      <c r="E89" s="6251" t="n"/>
      <c r="F89" s="6847" t="n"/>
      <c r="G89" s="6848" t="n"/>
      <c r="H89" s="6251" t="n"/>
    </row>
    <row r="90" ht="15" customHeight="1" s="8286">
      <c r="A90" s="10446" t="inlineStr">
        <is>
          <t>MÉTODO ANTICONCEPTIVO</t>
        </is>
      </c>
      <c r="B90" s="9630" t="n"/>
      <c r="C90" s="10447" t="inlineStr">
        <is>
          <t>Post Aborto</t>
        </is>
      </c>
      <c r="D90" s="10448" t="inlineStr">
        <is>
          <t>Intracesárea</t>
        </is>
      </c>
      <c r="E90" s="10448" t="inlineStr">
        <is>
          <t>Post Parto</t>
        </is>
      </c>
      <c r="F90" s="10449" t="inlineStr">
        <is>
          <t>Post IVE</t>
        </is>
      </c>
      <c r="G90" s="10450" t="inlineStr">
        <is>
          <t>RANGO ETARIO</t>
        </is>
      </c>
      <c r="H90" s="9617" t="n"/>
      <c r="I90" s="9648" t="n"/>
    </row>
    <row r="91" ht="15" customHeight="1" s="8286">
      <c r="A91" s="9638" t="n"/>
      <c r="B91" s="9639" t="n"/>
      <c r="C91" s="9800" t="n"/>
      <c r="D91" s="9912" t="n"/>
      <c r="E91" s="9912" t="n"/>
      <c r="F91" s="9705" t="n"/>
      <c r="G91" s="8850" t="inlineStr">
        <is>
          <t>&lt; 15 años</t>
        </is>
      </c>
      <c r="H91" s="6785" t="inlineStr">
        <is>
          <t>15-19 años</t>
        </is>
      </c>
      <c r="I91" s="8810" t="inlineStr">
        <is>
          <t>20 y más años</t>
        </is>
      </c>
    </row>
    <row r="92" ht="15" customHeight="1" s="8286">
      <c r="A92" s="10427" t="inlineStr">
        <is>
          <t>DIU con Cobre</t>
        </is>
      </c>
      <c r="B92" s="9643" t="n"/>
      <c r="C92" s="6271" t="n"/>
      <c r="D92" s="6849" t="n"/>
      <c r="E92" s="6219" t="n"/>
      <c r="F92" s="6379" t="n"/>
      <c r="G92" s="6271" t="n"/>
      <c r="H92" s="6219" t="n"/>
      <c r="I92" s="6679" t="n"/>
    </row>
    <row r="93" ht="15" customHeight="1" s="8286">
      <c r="A93" s="8862" t="inlineStr">
        <is>
          <t>DIU con Levonorgestrel</t>
        </is>
      </c>
      <c r="B93" s="9776" t="n"/>
      <c r="C93" s="6350" t="n"/>
      <c r="D93" s="6850" t="n"/>
      <c r="E93" s="6227" t="n"/>
      <c r="F93" s="6242" t="n"/>
      <c r="G93" s="6350" t="n"/>
      <c r="H93" s="6227" t="n"/>
      <c r="I93" s="6351" t="n"/>
    </row>
    <row r="94" ht="15" customHeight="1" s="8286">
      <c r="A94" s="10451" t="inlineStr">
        <is>
          <t>Hormonal</t>
        </is>
      </c>
      <c r="B94" s="8834" t="inlineStr">
        <is>
          <t>Oral Combinado</t>
        </is>
      </c>
      <c r="C94" s="5843" t="n"/>
      <c r="D94" s="6851" t="n"/>
      <c r="E94" s="6225" t="n"/>
      <c r="F94" s="6103" t="n"/>
      <c r="G94" s="5843" t="n"/>
      <c r="H94" s="6225" t="n"/>
      <c r="I94" s="6776" t="n"/>
    </row>
    <row r="95" ht="15" customHeight="1" s="8286">
      <c r="A95" s="9588" t="n"/>
      <c r="B95" s="6786" t="inlineStr">
        <is>
          <t>Oral Progestágeno</t>
        </is>
      </c>
      <c r="C95" s="6686" t="n"/>
      <c r="D95" s="6852" t="n"/>
      <c r="E95" s="6688" t="n"/>
      <c r="F95" s="6691" t="n"/>
      <c r="G95" s="6686" t="n"/>
      <c r="H95" s="6688" t="n"/>
      <c r="I95" s="6559" t="n"/>
    </row>
    <row r="96" ht="15" customHeight="1" s="8286">
      <c r="A96" s="9588" t="n"/>
      <c r="B96" s="6853" t="inlineStr">
        <is>
          <t>Inyectable Combinado</t>
        </is>
      </c>
      <c r="C96" s="6686" t="n"/>
      <c r="D96" s="6852" t="n"/>
      <c r="E96" s="6688" t="n"/>
      <c r="F96" s="6691" t="n"/>
      <c r="G96" s="6686" t="n"/>
      <c r="H96" s="6688" t="n"/>
      <c r="I96" s="6559" t="n"/>
    </row>
    <row r="97" ht="15" customHeight="1" s="8286">
      <c r="A97" s="9588" t="n"/>
      <c r="B97" s="6854" t="inlineStr">
        <is>
          <t>Inyectable Progestágeno</t>
        </is>
      </c>
      <c r="C97" s="6686" t="n"/>
      <c r="D97" s="6852" t="n"/>
      <c r="E97" s="6688" t="n"/>
      <c r="F97" s="6691" t="n"/>
      <c r="G97" s="6686" t="n"/>
      <c r="H97" s="6688" t="n"/>
      <c r="I97" s="6559" t="n"/>
    </row>
    <row r="98" ht="21" customHeight="1" s="8286">
      <c r="A98" s="9588" t="n"/>
      <c r="B98" s="6855" t="inlineStr">
        <is>
          <t>Implante Etonogestrel (3 años)</t>
        </is>
      </c>
      <c r="C98" s="6686" t="n"/>
      <c r="D98" s="6852" t="n"/>
      <c r="E98" s="6688" t="n"/>
      <c r="F98" s="6691" t="n"/>
      <c r="G98" s="6686" t="n"/>
      <c r="H98" s="6688" t="n"/>
      <c r="I98" s="6559" t="n"/>
    </row>
    <row r="99" ht="21" customHeight="1" s="8286">
      <c r="A99" s="9588" t="n"/>
      <c r="B99" s="6855" t="inlineStr">
        <is>
          <t>Implante Levonorgestrel (5 años)</t>
        </is>
      </c>
      <c r="C99" s="6686" t="n"/>
      <c r="D99" s="6852" t="n"/>
      <c r="E99" s="6688" t="n"/>
      <c r="F99" s="6691" t="n"/>
      <c r="G99" s="6686" t="n"/>
      <c r="H99" s="6688" t="n"/>
      <c r="I99" s="6559" t="n"/>
    </row>
    <row r="100" ht="15" customHeight="1" s="8286">
      <c r="A100" s="9589" t="n"/>
      <c r="B100" s="6856" t="inlineStr">
        <is>
          <t>Anillo de Progestágeno</t>
        </is>
      </c>
      <c r="C100" s="6695" t="n"/>
      <c r="D100" s="6850" t="n"/>
      <c r="E100" s="6697" t="n"/>
      <c r="F100" s="6701" t="n"/>
      <c r="G100" s="6695" t="n"/>
      <c r="H100" s="6697" t="n"/>
      <c r="I100" s="5867" t="n"/>
    </row>
    <row r="101" ht="15" customHeight="1" s="8286">
      <c r="A101" s="10427" t="inlineStr">
        <is>
          <t>Métodos de barrera</t>
        </is>
      </c>
      <c r="B101" s="9643" t="n"/>
      <c r="C101" s="6271" t="n"/>
      <c r="D101" s="6849" t="n"/>
      <c r="E101" s="6219" t="n"/>
      <c r="F101" s="6379" t="n"/>
      <c r="G101" s="6271" t="n"/>
      <c r="H101" s="6219" t="n"/>
      <c r="I101" s="6679" t="n"/>
    </row>
    <row r="102" ht="15" customHeight="1" s="8286">
      <c r="A102" s="10452" t="inlineStr">
        <is>
          <t>Esterilización quirúrgica</t>
        </is>
      </c>
      <c r="B102" s="9720" t="n"/>
      <c r="C102" s="5843" t="n"/>
      <c r="D102" s="6225" t="n"/>
      <c r="E102" s="6225" t="n"/>
      <c r="F102" s="6103" t="n"/>
      <c r="G102" s="5843" t="n"/>
      <c r="H102" s="6225" t="n"/>
      <c r="I102" s="6776" t="n"/>
    </row>
    <row r="103" ht="15" customHeight="1" s="8286">
      <c r="A103" s="10453" t="inlineStr">
        <is>
          <t>Alta sin método anticonceptivo</t>
        </is>
      </c>
      <c r="B103" s="9582" t="n"/>
      <c r="C103" s="6708" t="n"/>
      <c r="D103" s="6857" t="n"/>
      <c r="E103" s="6711" t="n"/>
      <c r="F103" s="6714" t="n"/>
      <c r="G103" s="6708" t="n"/>
      <c r="H103" s="6711" t="n"/>
      <c r="I103" s="6710" t="n"/>
    </row>
    <row r="104" ht="15" customHeight="1" s="8286">
      <c r="A104" s="9907" t="inlineStr">
        <is>
          <t>TOTAL ALTAS</t>
        </is>
      </c>
      <c r="B104" s="9582" t="n"/>
      <c r="C104" s="6858">
        <f>SUM(C92:C103)</f>
        <v/>
      </c>
      <c r="D104" s="6859">
        <f>D102</f>
        <v/>
      </c>
      <c r="E104" s="6859">
        <f>SUM(E92:E103)</f>
        <v/>
      </c>
      <c r="F104" s="6860">
        <f>SUM(F92:F103)</f>
        <v/>
      </c>
      <c r="G104" s="6858">
        <f>SUM(G92:G103)</f>
        <v/>
      </c>
      <c r="H104" s="6859">
        <f>SUM(H92:H103)</f>
        <v/>
      </c>
      <c r="I104" s="6861">
        <f>SUM(I92:I103)</f>
        <v/>
      </c>
    </row>
    <row r="105" ht="18" customFormat="1" customHeight="1" s="6210">
      <c r="A105" s="8917" t="inlineStr">
        <is>
          <t>SECCIÓN D: INFORMACIÓN DE RECIÉN NACIDOS</t>
        </is>
      </c>
      <c r="H105" s="6862" t="n"/>
      <c r="I105" s="6862" t="n"/>
      <c r="J105" s="6862" t="n"/>
      <c r="K105" s="6862" t="n"/>
      <c r="L105" s="964" t="n"/>
    </row>
    <row r="106" ht="18" customFormat="1" customHeight="1" s="6210">
      <c r="A106" s="8918" t="inlineStr">
        <is>
          <t>SECCIÓN D.1: INFORMACIÓN GENERAL DE RECIÉN NACIDOS VIVOS</t>
        </is>
      </c>
      <c r="B106" s="9697" t="n"/>
      <c r="C106" s="9697" t="n"/>
      <c r="D106" s="9697" t="n"/>
      <c r="E106" s="9697" t="n"/>
      <c r="F106" s="9697" t="n"/>
      <c r="G106" s="9697" t="n"/>
      <c r="H106" s="6246" t="n"/>
      <c r="I106" s="6246" t="n"/>
      <c r="J106" s="6246" t="n"/>
      <c r="K106" s="6246" t="n"/>
      <c r="L106" s="6246" t="n"/>
    </row>
    <row r="107">
      <c r="A107" s="9629" t="inlineStr">
        <is>
          <t>TIPO</t>
        </is>
      </c>
      <c r="B107" s="9630" t="n"/>
      <c r="C107" s="10454" t="inlineStr">
        <is>
          <t>TOTAL</t>
        </is>
      </c>
      <c r="D107" s="9594" t="inlineStr">
        <is>
          <t>PESO AL NACER (EN GRAMOS)</t>
        </is>
      </c>
      <c r="E107" s="9584" t="n"/>
      <c r="F107" s="9584" t="n"/>
      <c r="G107" s="9584" t="n"/>
      <c r="H107" s="9584" t="n"/>
      <c r="I107" s="9584" t="n"/>
      <c r="J107" s="9584" t="n"/>
      <c r="K107" s="9595" t="n"/>
      <c r="L107" s="9712" t="inlineStr">
        <is>
          <t>Anomalía Congénita</t>
        </is>
      </c>
    </row>
    <row r="108" ht="21" customHeight="1" s="8286">
      <c r="A108" s="9638" t="n"/>
      <c r="B108" s="9639" t="n"/>
      <c r="C108" s="10284" t="n"/>
      <c r="D108" s="6796" t="inlineStr">
        <is>
          <t>Menos de 500</t>
        </is>
      </c>
      <c r="E108" s="6659" t="inlineStr">
        <is>
          <t>500 a 999</t>
        </is>
      </c>
      <c r="F108" s="6797" t="inlineStr">
        <is>
          <t>1.000 a 
1.499</t>
        </is>
      </c>
      <c r="G108" s="6797" t="inlineStr">
        <is>
          <t>1.500 a 
1.999</t>
        </is>
      </c>
      <c r="H108" s="6797" t="inlineStr">
        <is>
          <t>2.000 a 
2.499</t>
        </is>
      </c>
      <c r="I108" s="6797" t="inlineStr">
        <is>
          <t>2.500 a 
2.999</t>
        </is>
      </c>
      <c r="J108" s="6797" t="inlineStr">
        <is>
          <t>3.000 a 
3.999</t>
        </is>
      </c>
      <c r="K108" s="6863" t="inlineStr">
        <is>
          <t>4.000 y 
más</t>
        </is>
      </c>
      <c r="L108" s="9641" t="n"/>
    </row>
    <row r="109" ht="15" customHeight="1" s="8286">
      <c r="A109" s="9711" t="inlineStr">
        <is>
          <t>Nacidos vivos</t>
        </is>
      </c>
      <c r="B109" s="9582" t="n"/>
      <c r="C109" s="6670">
        <f>SUM(D109:K109)</f>
        <v/>
      </c>
      <c r="D109" s="6708" t="n"/>
      <c r="E109" s="6709" t="n"/>
      <c r="F109" s="6711" t="n"/>
      <c r="G109" s="6711" t="n"/>
      <c r="H109" s="6711" t="n"/>
      <c r="I109" s="6711" t="n"/>
      <c r="J109" s="6711" t="n"/>
      <c r="K109" s="6712" t="n"/>
      <c r="L109" s="6710" t="n"/>
      <c r="M109" s="965">
        <f>CA109</f>
        <v/>
      </c>
      <c r="N109" s="6864" t="n"/>
      <c r="O109" s="965" t="n"/>
      <c r="P109" s="6089" t="n"/>
      <c r="Q109" s="6089" t="n"/>
      <c r="R109" s="6089" t="n"/>
      <c r="S109" s="5554" t="n"/>
      <c r="T109" s="5554" t="n"/>
      <c r="U109" s="5554" t="n"/>
      <c r="V109" s="5555" t="n"/>
      <c r="W109" s="5555" t="n"/>
      <c r="X109" s="5555" t="n"/>
      <c r="Y109" s="5555" t="n"/>
      <c r="Z109" s="5555" t="n"/>
      <c r="AA109" s="5555" t="n"/>
      <c r="AB109" s="5555" t="n"/>
      <c r="AC109" s="5555" t="n"/>
      <c r="AD109" s="5555" t="n"/>
      <c r="AE109" s="5555" t="n"/>
      <c r="AF109" s="5555" t="n"/>
      <c r="AG109" s="5555" t="n"/>
      <c r="AH109" s="5555" t="n"/>
      <c r="AI109" s="5555" t="n"/>
      <c r="AJ109" s="5555" t="n"/>
      <c r="AK109" s="5555" t="n"/>
      <c r="AL109" s="5555" t="n"/>
      <c r="AM109" s="5555" t="n"/>
      <c r="AN109" s="5555" t="n"/>
      <c r="AO109" s="5555" t="n"/>
      <c r="AP109" s="5555" t="n"/>
      <c r="AQ109" s="5555" t="n"/>
      <c r="AR109" s="5555" t="n"/>
      <c r="AS109" s="5555" t="n"/>
      <c r="AT109" s="5555" t="n"/>
      <c r="AU109" s="5555" t="n"/>
      <c r="AV109" s="5555" t="n"/>
      <c r="AW109" s="5555" t="n"/>
      <c r="AX109" s="5555" t="n"/>
      <c r="AY109" s="5555" t="n"/>
      <c r="AZ109" s="5555" t="n"/>
      <c r="BA109" s="5555" t="n"/>
      <c r="BB109" s="5555" t="n"/>
      <c r="BC109" s="5555" t="n"/>
      <c r="BD109" s="5555" t="n"/>
      <c r="BE109" s="5555" t="n"/>
      <c r="BF109" s="5555" t="n"/>
      <c r="BG109" s="5555" t="n"/>
      <c r="BH109" s="5555" t="n"/>
      <c r="BI109" s="5555" t="n"/>
      <c r="BJ109" s="5555" t="n"/>
      <c r="BK109" s="5555" t="n"/>
      <c r="BL109" s="5555" t="n"/>
      <c r="BM109" s="5555" t="n"/>
      <c r="BN109" s="5555" t="n"/>
      <c r="BO109" s="5555" t="n"/>
      <c r="BP109" s="5555" t="n"/>
      <c r="BQ109" s="5555" t="n"/>
      <c r="BR109" s="5555" t="n"/>
      <c r="BS109" s="5555" t="n"/>
      <c r="BT109" s="5555" t="n"/>
      <c r="BU109" s="5555" t="n"/>
      <c r="BV109" s="5555" t="n"/>
      <c r="BW109" s="5555" t="n"/>
      <c r="BX109" s="5555" t="n"/>
      <c r="BY109" s="5555" t="n"/>
      <c r="BZ109" s="6245" t="n"/>
      <c r="CA109" s="5575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/>
      </c>
      <c r="CT109" s="622" t="n"/>
      <c r="CU109" s="622" t="n"/>
      <c r="CV109" s="622" t="n"/>
    </row>
    <row r="110" ht="18" customFormat="1" customHeight="1" s="6210">
      <c r="A110" s="7232" t="inlineStr">
        <is>
          <t>SECCIÓN D.2: ATENCION INMEDIATA DEL RECIEN NACIDO</t>
        </is>
      </c>
      <c r="B110" s="7232" t="n"/>
      <c r="C110" s="6246" t="n"/>
      <c r="D110" s="6246" t="n"/>
      <c r="E110" s="6246" t="n"/>
      <c r="F110" s="6246" t="n"/>
      <c r="G110" s="6865" t="n"/>
      <c r="H110" s="6246" t="n"/>
      <c r="I110" s="6246" t="n"/>
      <c r="J110" s="6246" t="n"/>
      <c r="K110" s="6246" t="n"/>
      <c r="L110" s="6866" t="n"/>
      <c r="M110" s="6246" t="n"/>
    </row>
    <row r="111" ht="15" customHeight="1" s="8286">
      <c r="A111" s="9874" t="inlineStr">
        <is>
          <t>TIPO</t>
        </is>
      </c>
      <c r="B111" s="9630" t="n"/>
      <c r="C111" s="9619" t="inlineStr">
        <is>
          <t>PROFILAXIS</t>
        </is>
      </c>
      <c r="D111" s="9582" t="n"/>
      <c r="E111" s="7632" t="inlineStr">
        <is>
          <t>LESIONES POR TIPO DE PARTO</t>
        </is>
      </c>
      <c r="F111" s="9584" t="n"/>
      <c r="G111" s="9584" t="n"/>
      <c r="H111" s="9582" t="n"/>
      <c r="I111" s="10172" t="inlineStr">
        <is>
          <t xml:space="preserve">APGAR  </t>
        </is>
      </c>
      <c r="J111" s="9647" t="n"/>
      <c r="K111" s="10455" t="inlineStr">
        <is>
          <t xml:space="preserve">Reanimación Básica </t>
        </is>
      </c>
      <c r="L111" s="10455" t="inlineStr">
        <is>
          <t xml:space="preserve">Reanimación Avanzada </t>
        </is>
      </c>
      <c r="M111" s="9593" t="inlineStr">
        <is>
          <t>Encefalopatía Hipóxico Isquémica Grado I y II</t>
        </is>
      </c>
      <c r="N111" s="9593" t="inlineStr">
        <is>
          <t>Encefalopatía Hipóxico Isquémica Grado III y IV</t>
        </is>
      </c>
      <c r="O111" s="9593" t="inlineStr">
        <is>
          <t>Asfixia Neonatal</t>
        </is>
      </c>
      <c r="CA111" s="622" t="n"/>
      <c r="CB111" s="622" t="n"/>
      <c r="CW111" s="6210" t="n"/>
      <c r="CX111" s="6210" t="n"/>
    </row>
    <row r="112" ht="31.5" customHeight="1" s="8286">
      <c r="A112" s="9698" t="n"/>
      <c r="B112" s="9776" t="n"/>
      <c r="C112" s="6747" t="inlineStr">
        <is>
          <t>Hepatitis B</t>
        </is>
      </c>
      <c r="D112" s="8781" t="inlineStr">
        <is>
          <t>Ocular</t>
        </is>
      </c>
      <c r="E112" s="6747" t="inlineStr">
        <is>
          <t>Parto Vaginal</t>
        </is>
      </c>
      <c r="F112" s="6748" t="inlineStr">
        <is>
          <t>Parto Instrumental</t>
        </is>
      </c>
      <c r="G112" s="6748" t="inlineStr">
        <is>
          <t>Cesárea</t>
        </is>
      </c>
      <c r="H112" s="8781" t="inlineStr">
        <is>
          <t>Parto extrahospitalario</t>
        </is>
      </c>
      <c r="I112" s="8850" t="inlineStr">
        <is>
          <t xml:space="preserve">Apgar menor o igual a 3 al minuto </t>
        </is>
      </c>
      <c r="J112" s="8805" t="inlineStr">
        <is>
          <t xml:space="preserve">Apgar menor o igual a 6 a los 5 minutos </t>
        </is>
      </c>
      <c r="K112" s="10284" t="n"/>
      <c r="L112" s="10284" t="n"/>
      <c r="M112" s="9589" t="n"/>
      <c r="N112" s="9589" t="n"/>
      <c r="O112" s="9589" t="n"/>
      <c r="CA112" s="622" t="n"/>
      <c r="CB112" s="622" t="n"/>
      <c r="CW112" s="6210" t="n"/>
      <c r="CX112" s="6210" t="n"/>
    </row>
    <row r="113" ht="15" customHeight="1" s="8286">
      <c r="A113" s="9699" t="inlineStr">
        <is>
          <t>Nacidos vivos</t>
        </is>
      </c>
      <c r="B113" s="9582" t="n"/>
      <c r="C113" s="6869" t="n"/>
      <c r="D113" s="6870" t="n"/>
      <c r="E113" s="6869" t="n"/>
      <c r="F113" s="6871" t="n"/>
      <c r="G113" s="6871" t="n"/>
      <c r="H113" s="6870" t="n"/>
      <c r="I113" s="6869" t="n"/>
      <c r="J113" s="6870" t="n"/>
      <c r="K113" s="6870" t="n"/>
      <c r="L113" s="6870" t="n"/>
      <c r="M113" s="6870" t="n"/>
      <c r="N113" s="6870" t="n"/>
      <c r="O113" s="6870" t="n"/>
      <c r="CA113" s="622" t="n"/>
      <c r="CB113" s="622" t="n"/>
      <c r="CW113" s="6210" t="n"/>
      <c r="CX113" s="6210" t="n"/>
    </row>
    <row r="114" ht="18" customFormat="1" customHeight="1" s="6210">
      <c r="A114" s="8800" t="inlineStr">
        <is>
          <t xml:space="preserve">SECCIÓN D.3: NACIDOS FALLECIDOS </t>
        </is>
      </c>
      <c r="B114" s="9697" t="n"/>
      <c r="C114" s="9697" t="n"/>
      <c r="D114" s="9697" t="n"/>
      <c r="E114" s="9697" t="n"/>
      <c r="F114" s="9697" t="n"/>
      <c r="G114" s="9697" t="n"/>
      <c r="H114" s="6246" t="n"/>
      <c r="I114" s="6246" t="n"/>
      <c r="J114" s="6246" t="n"/>
      <c r="K114" s="6246" t="n"/>
      <c r="L114" s="6246" t="n"/>
      <c r="M114" s="6246" t="n"/>
      <c r="N114" s="6246" t="n"/>
      <c r="O114" s="6246" t="n"/>
    </row>
    <row r="115" ht="15" customHeight="1" s="8286">
      <c r="A115" s="9593" t="inlineStr">
        <is>
          <t>TIPO</t>
        </is>
      </c>
      <c r="B115" s="10456" t="inlineStr">
        <is>
          <t>TOTAL</t>
        </is>
      </c>
      <c r="C115" s="7632" t="inlineStr">
        <is>
          <t>PESO AL NACER (EN GRAMOS)</t>
        </is>
      </c>
      <c r="D115" s="9584" t="n"/>
      <c r="E115" s="9584" t="n"/>
      <c r="F115" s="9584" t="n"/>
      <c r="G115" s="9584" t="n"/>
      <c r="H115" s="9584" t="n"/>
      <c r="I115" s="9584" t="n"/>
      <c r="J115" s="9582" t="n"/>
      <c r="K115" s="10455" t="inlineStr">
        <is>
          <t>Anomalía congénita</t>
        </is>
      </c>
      <c r="L115" s="9739" t="inlineStr">
        <is>
          <t>ACOMPAÑAMIENTO INTEGRAL DUELO PERINATAL</t>
        </is>
      </c>
      <c r="M115" s="9584" t="n"/>
      <c r="N115" s="9584" t="n"/>
      <c r="O115" s="9582" t="n"/>
    </row>
    <row r="116" ht="42" customHeight="1" s="8286">
      <c r="A116" s="9589" t="n"/>
      <c r="B116" s="10176" t="n"/>
      <c r="C116" s="6796" t="inlineStr">
        <is>
          <t>Menos de 500</t>
        </is>
      </c>
      <c r="D116" s="6659" t="inlineStr">
        <is>
          <t>500 a 999</t>
        </is>
      </c>
      <c r="E116" s="6797" t="inlineStr">
        <is>
          <t>1.000 a 
1.499</t>
        </is>
      </c>
      <c r="F116" s="6797" t="inlineStr">
        <is>
          <t>1.500 a 
1.999</t>
        </is>
      </c>
      <c r="G116" s="6797" t="inlineStr">
        <is>
          <t>2.000 a 
2.499</t>
        </is>
      </c>
      <c r="H116" s="6797" t="inlineStr">
        <is>
          <t>2.500 a 
2.999</t>
        </is>
      </c>
      <c r="I116" s="6797" t="inlineStr">
        <is>
          <t>3.000 a 
3.999</t>
        </is>
      </c>
      <c r="J116" s="6660" t="inlineStr">
        <is>
          <t>4.000 y 
más</t>
        </is>
      </c>
      <c r="K116" s="10284" t="n"/>
      <c r="L116" s="6774" t="inlineStr">
        <is>
          <t>Atención en Sala Diferenciada</t>
        </is>
      </c>
      <c r="M116" s="6785" t="inlineStr">
        <is>
          <t>Entrega de recuerdos de maternidad/
paternidad</t>
        </is>
      </c>
      <c r="N116" s="6785" t="inlineStr">
        <is>
          <t>Con acompañamiento psicosocial</t>
        </is>
      </c>
      <c r="O116" s="8810" t="inlineStr">
        <is>
          <t xml:space="preserve">Padre o familiar significativo </t>
        </is>
      </c>
    </row>
    <row r="117" ht="15" customHeight="1" s="8286">
      <c r="A117" s="6872" t="inlineStr">
        <is>
          <t>Abortos</t>
        </is>
      </c>
      <c r="B117" s="6873">
        <f>SUM(C117)</f>
        <v/>
      </c>
      <c r="C117" s="5843" t="n"/>
      <c r="D117" s="6849" t="n"/>
      <c r="E117" s="6849" t="n"/>
      <c r="F117" s="6849" t="n"/>
      <c r="G117" s="6849" t="n"/>
      <c r="H117" s="6849" t="n"/>
      <c r="I117" s="6849" t="n"/>
      <c r="J117" s="6782" t="n"/>
      <c r="K117" s="6103" t="n"/>
      <c r="L117" s="5843" t="n"/>
      <c r="M117" s="6225" t="n"/>
      <c r="N117" s="6225" t="n"/>
      <c r="O117" s="6776" t="n"/>
    </row>
    <row r="118" ht="15" customHeight="1" s="8286">
      <c r="A118" s="6874" t="inlineStr">
        <is>
          <t>Mortinatos</t>
        </is>
      </c>
      <c r="B118" s="6538">
        <f>SUM(C118:J118)</f>
        <v/>
      </c>
      <c r="C118" s="5843" t="n"/>
      <c r="D118" s="6225" t="n"/>
      <c r="E118" s="6225" t="n"/>
      <c r="F118" s="6225" t="n"/>
      <c r="G118" s="6225" t="n"/>
      <c r="H118" s="6225" t="n"/>
      <c r="I118" s="6225" t="n"/>
      <c r="J118" s="6776" t="n"/>
      <c r="K118" s="6103" t="n"/>
      <c r="L118" s="5843" t="n"/>
      <c r="M118" s="6225" t="n"/>
      <c r="N118" s="6225" t="n"/>
      <c r="O118" s="6776" t="n"/>
    </row>
    <row r="119" ht="15" customHeight="1" s="8286">
      <c r="A119" s="6875" t="inlineStr">
        <is>
          <t>Mortineonatos</t>
        </is>
      </c>
      <c r="B119" s="6876">
        <f>SUM(C119:J119)</f>
        <v/>
      </c>
      <c r="C119" s="6695" t="n"/>
      <c r="D119" s="6697" t="n"/>
      <c r="E119" s="6697" t="n"/>
      <c r="F119" s="6697" t="n"/>
      <c r="G119" s="6697" t="n"/>
      <c r="H119" s="6697" t="n"/>
      <c r="I119" s="6697" t="n"/>
      <c r="J119" s="5867" t="n"/>
      <c r="K119" s="5867" t="n"/>
      <c r="L119" s="6695" t="n"/>
      <c r="M119" s="6697" t="n"/>
      <c r="N119" s="6697" t="n"/>
      <c r="O119" s="5867" t="n"/>
    </row>
    <row r="120" ht="18" customFormat="1" customHeight="1" s="6210">
      <c r="A120" s="927" t="inlineStr">
        <is>
          <t>SECCIÓN E: RECIÉN NACIDOS/AS EGRESADOS/AS DE SERVICIOS GINECO-OBSTÉTRICOS O DE NEONATOLOGÍA, SEGÚN TIPO DE ALIMENTACIÓN</t>
        </is>
      </c>
      <c r="B120" s="6246" t="n"/>
      <c r="C120" s="6246" t="n"/>
      <c r="D120" s="6246" t="n"/>
      <c r="E120" s="6246" t="n"/>
    </row>
    <row r="121" ht="21.75" customHeight="1" s="8286">
      <c r="A121" s="8817" t="inlineStr">
        <is>
          <t>CRITERIOS DE EGRESO SEGÚN TIPO DE ALIMENTACIÓN</t>
        </is>
      </c>
      <c r="B121" s="6877" t="inlineStr">
        <is>
          <t>Servicio Gineco-obstétrico</t>
        </is>
      </c>
      <c r="C121" s="8813" t="inlineStr">
        <is>
          <t>Servicio Neonatología</t>
        </is>
      </c>
      <c r="D121" s="6658" t="inlineStr">
        <is>
          <t>Pueblos originarios</t>
        </is>
      </c>
      <c r="E121" s="8805" t="inlineStr">
        <is>
          <t>Migrantes</t>
        </is>
      </c>
    </row>
    <row r="122" ht="15" customHeight="1" s="8286">
      <c r="A122" s="6670" t="inlineStr">
        <is>
          <t>Total de recién nacidos/as* egresados/as</t>
        </is>
      </c>
      <c r="B122" s="6878" t="n"/>
      <c r="C122" s="6879" t="n"/>
      <c r="D122" s="6880" t="n"/>
      <c r="E122" s="6881" t="n"/>
      <c r="F122" s="932">
        <f>CA122&amp;CB122</f>
        <v/>
      </c>
      <c r="CA122" s="6882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 t="n"/>
      <c r="CD122" s="1076" t="n"/>
      <c r="CI122" s="6883">
        <f>IF(AND(OR(B122&gt;0,C122&gt;0),D122=""),1,IF(D122&gt;(B122+C122),1,0))</f>
        <v/>
      </c>
      <c r="CJ122" s="6883">
        <f>IF(AND(OR(B122&gt;0,C122&gt;0),E122=""),1,IF(E122&gt;(B122+C122),1,0))</f>
        <v/>
      </c>
      <c r="CK122" s="1076" t="n"/>
      <c r="CL122" s="1076" t="n"/>
      <c r="CR122" s="622" t="n"/>
      <c r="CS122" s="622" t="n"/>
      <c r="CT122" s="622" t="n"/>
      <c r="CU122" s="622" t="n"/>
      <c r="CV122" s="622" t="n"/>
    </row>
    <row r="123" ht="21.95" customHeight="1" s="8286">
      <c r="A123" s="1657" t="inlineStr">
        <is>
          <t>Recién Nacidos/as* egresados/as con lactancia materna exclusiva durante toda la hospitalización y al alta</t>
        </is>
      </c>
      <c r="B123" s="6884" t="n"/>
      <c r="C123" s="6885" t="n"/>
      <c r="D123" s="6886" t="n"/>
      <c r="E123" s="6887" t="n"/>
      <c r="F123" s="932">
        <f>CA123&amp;CB123</f>
        <v/>
      </c>
      <c r="CA123" s="6882">
        <f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B123" s="6882">
        <f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C123" s="1076" t="n"/>
      <c r="CD123" s="1076" t="n"/>
      <c r="CG123" s="1076" t="n"/>
      <c r="CH123" s="1076" t="n"/>
      <c r="CI123" s="6883">
        <f>IF(AND(OR(B123&gt;0,C123&gt;0),D123=""),1,IF(D123&gt;(B123+C123),1,0))</f>
        <v/>
      </c>
      <c r="CJ123" s="6883">
        <f>IF(AND(OR(B123&gt;0,C123&gt;0),E123=""),1,IF(E123&gt;(B123+C123),1,0))</f>
        <v/>
      </c>
      <c r="CK123" s="1076" t="n"/>
      <c r="CL123" s="1076" t="n"/>
      <c r="CR123" s="622" t="n"/>
      <c r="CS123" s="622" t="n"/>
      <c r="CT123" s="622" t="n"/>
      <c r="CU123" s="622" t="n"/>
      <c r="CV123" s="622" t="n"/>
    </row>
    <row r="124" ht="21.95" customHeight="1" s="8286">
      <c r="A124" s="6888" t="inlineStr">
        <is>
          <t>Recién Nacidos/as* egresados/as que recuperaron lactancia materna exclusiva al alta</t>
        </is>
      </c>
      <c r="B124" s="6889" t="n"/>
      <c r="C124" s="6890" t="n"/>
      <c r="D124" s="6891" t="n"/>
      <c r="E124" s="6892" t="n"/>
      <c r="F124" s="932">
        <f>CA124&amp;CB124</f>
        <v/>
      </c>
      <c r="CA124" s="6882">
        <f>IF(AND(OR(B124&gt;0,C124&gt;0),D124="")," * No olvide digitar la variable Pueblos originarios. Digite Cero si no tiene.",IF(D124&gt;(B124+C124)," * La variable pueblos originarios No puede ser mayor a los egresados en Servicio Gineco-obstétrico y Neonatología..",""))</f>
        <v/>
      </c>
      <c r="CB124" s="6882">
        <f>IF(AND(OR(B124&gt;0,C124&gt;0),E124="")," * No olvide digitar la variable Migrantes. Digite Cero si no tiene.",IF(E124&gt;(B124+C124)," * La variable Migrantes No puede ser mayor a los egresados en Servicio Gineco-obstétrico y Neonatología.",""))</f>
        <v/>
      </c>
      <c r="CC124" s="1076" t="n"/>
      <c r="CD124" s="1076" t="n"/>
      <c r="CI124" s="6883">
        <f>IF(AND(OR(B124&gt;0,C124&gt;0),D124=""),1,IF(D124&gt;(B124+C124),1,0))</f>
        <v/>
      </c>
      <c r="CJ124" s="6883">
        <f>IF(AND(OR(B124&gt;0,C124&gt;0),E124=""),1,IF(E124&gt;(B124+C124),1,0))</f>
        <v/>
      </c>
      <c r="CK124" s="1076" t="n"/>
      <c r="CL124" s="1076" t="n"/>
      <c r="CR124" s="622" t="n"/>
      <c r="CS124" s="622" t="n"/>
      <c r="CT124" s="622" t="n"/>
      <c r="CU124" s="622" t="n"/>
      <c r="CV124" s="622" t="n"/>
    </row>
    <row r="125" ht="21.95" customHeight="1" s="8286">
      <c r="A125" s="6893" t="inlineStr">
        <is>
          <t>Recién Nacidos/as* egresados/as con lactancia materna y fórmula láctea (mixta) al alta</t>
        </is>
      </c>
      <c r="B125" s="6889" t="n"/>
      <c r="C125" s="6890" t="n"/>
      <c r="D125" s="6891" t="n"/>
      <c r="E125" s="6892" t="n"/>
      <c r="F125" s="932">
        <f>CA125&amp;CB125</f>
        <v/>
      </c>
      <c r="CA125" s="6882">
        <f>IF(AND(OR(B125&gt;0,C125&gt;0),D125="")," * No olvide digitar la variable Pueblos originarios. Digite Cero si no tiene.",IF(D125&gt;(B125+C125)," * La variable pueblos originarios No puede ser mayor a los egresados en Servicio Gineco-obstétrico y Neonatología..",""))</f>
        <v/>
      </c>
      <c r="CB125" s="6882">
        <f>IF(AND(OR(B125&gt;0,C125&gt;0),E125="")," * No olvide digitar la variable Migrantes. Digite Cero si no tiene.",IF(E125&gt;(B125+C125)," * La variable Migrantes No puede ser mayor a los egresados en Servicio Gineco-obstétrico y Neonatología.",""))</f>
        <v/>
      </c>
      <c r="CC125" s="1076" t="n"/>
      <c r="CD125" s="1076" t="n"/>
      <c r="CI125" s="6883">
        <f>IF(AND(OR(B125&gt;0,C125&gt;0),D125=""),1,IF(D125&gt;(B125+C125),1,0))</f>
        <v/>
      </c>
      <c r="CJ125" s="6883">
        <f>IF(AND(OR(B125&gt;0,C125&gt;0),E125=""),1,IF(E125&gt;(B125+C125),1,0))</f>
        <v/>
      </c>
      <c r="CK125" s="1076" t="n"/>
      <c r="CL125" s="1076" t="n"/>
      <c r="CR125" s="622" t="n"/>
      <c r="CS125" s="622" t="n"/>
      <c r="CT125" s="622" t="n"/>
      <c r="CU125" s="622" t="n"/>
      <c r="CV125" s="622" t="n"/>
    </row>
    <row r="126" ht="42" customHeight="1" s="8286">
      <c r="A126" s="6888" t="inlineStr">
        <is>
          <t>Recién Nacidos/as* egresados/as solo con fórmula láctea (excluye VIH, HTLV-1, Ley N° 21.155 y RN en proceso de protección y enfermedad grave de la madre con compromiso de conciencia)</t>
        </is>
      </c>
      <c r="B126" s="6889" t="n"/>
      <c r="C126" s="6890" t="n"/>
      <c r="D126" s="6891" t="n"/>
      <c r="E126" s="6892" t="n"/>
      <c r="F126" s="932">
        <f>CA126&amp;CB126</f>
        <v/>
      </c>
      <c r="CA126" s="6882">
        <f>IF(AND(OR(B126&gt;0,C126&gt;0),D126="")," * No olvide digitar la variable Pueblos originarios. Digite Cero si no tiene.",IF(D126&gt;(B126+C126)," * La variable pueblos originarios No puede ser mayor a los egresados en Servicio Gineco-obstétrico y Neonatología..",""))</f>
        <v/>
      </c>
      <c r="CB126" s="6882">
        <f>IF(AND(OR(B126&gt;0,C126&gt;0),E126="")," * No olvide digitar la variable Migrantes. Digite Cero si no tiene.",IF(E126&gt;(B126+C126)," * La variable Migrantes No puede ser mayor a los egresados en Servicio Gineco-obstétrico y Neonatología.",""))</f>
        <v/>
      </c>
      <c r="CC126" s="1076" t="n"/>
      <c r="CD126" s="1076" t="n"/>
      <c r="CI126" s="6883">
        <f>IF(AND(OR(B126&gt;0,C126&gt;0),D126=""),1,IF(D126&gt;(B126+C126),1,0))</f>
        <v/>
      </c>
      <c r="CJ126" s="6883">
        <f>IF(AND(OR(B126&gt;0,C126&gt;0),E126=""),1,IF(E126&gt;(B126+C126),1,0))</f>
        <v/>
      </c>
      <c r="CK126" s="1076" t="n"/>
      <c r="CL126" s="1076" t="n"/>
      <c r="CR126" s="622" t="n"/>
      <c r="CS126" s="622" t="n"/>
      <c r="CT126" s="622" t="n"/>
      <c r="CU126" s="622" t="n"/>
      <c r="CV126" s="622" t="n"/>
    </row>
    <row r="127" ht="21.95" customHeight="1" s="8286">
      <c r="A127" s="6893" t="inlineStr">
        <is>
          <t xml:space="preserve">Recién Nacidos/as* egresados/as con madres serología positiva (VIH) </t>
        </is>
      </c>
      <c r="B127" s="6889" t="n"/>
      <c r="C127" s="6894" t="n"/>
      <c r="D127" s="6895" t="n"/>
      <c r="E127" s="6896" t="n"/>
      <c r="F127" s="932">
        <f>CA127&amp;CB127</f>
        <v/>
      </c>
      <c r="CA127" s="6882">
        <f>IF(AND(OR(B127&gt;0,C127&gt;0),D127="")," * No olvide digitar la variable Pueblos originarios. Digite Cero si no tiene.",IF(D127&gt;(B127+C127)," * La variable pueblos originarios No puede ser mayor a los egresados en Servicio Gineco-obstétrico y Neonatología..",""))</f>
        <v/>
      </c>
      <c r="CB127" s="6882">
        <f>IF(AND(OR(B127&gt;0,C127&gt;0),E127="")," * No olvide digitar la variable Migrantes. Digite Cero si no tiene.",IF(E127&gt;(B127+C127)," * La variable Migrantes No puede ser mayor a los egresados en Servicio Gineco-obstétrico y Neonatología.",""))</f>
        <v/>
      </c>
      <c r="CC127" s="1076" t="n"/>
      <c r="CD127" s="1076" t="n"/>
      <c r="CG127" s="1076" t="n"/>
      <c r="CH127" s="1076" t="n"/>
      <c r="CI127" s="6883">
        <f>IF(AND(OR(B127&gt;0,C127&gt;0),D127=""),1,IF(D127&gt;(B127+C127),1,0))</f>
        <v/>
      </c>
      <c r="CJ127" s="6883">
        <f>IF(AND(OR(B127&gt;0,C127&gt;0),E127=""),1,IF(E127&gt;(B127+C127),1,0))</f>
        <v/>
      </c>
      <c r="CK127" s="1076" t="n"/>
      <c r="CL127" s="1076" t="n"/>
      <c r="CR127" s="622" t="n"/>
      <c r="CS127" s="622" t="n"/>
      <c r="CT127" s="622" t="n"/>
      <c r="CU127" s="622" t="n"/>
      <c r="CV127" s="622" t="n"/>
    </row>
    <row r="128" ht="21.95" customHeight="1" s="8286">
      <c r="A128" s="6888" t="inlineStr">
        <is>
          <t xml:space="preserve">Recién Nacidos/as* egresados/as con madres serología positiva (HTLV-1) </t>
        </is>
      </c>
      <c r="B128" s="6884" t="n"/>
      <c r="C128" s="6890" t="n"/>
      <c r="D128" s="6891" t="n"/>
      <c r="E128" s="6892" t="n"/>
      <c r="F128" s="932">
        <f>CA128&amp;CB128</f>
        <v/>
      </c>
      <c r="CA128" s="6882">
        <f>IF(AND(OR(B128&gt;0,C128&gt;0),D128="")," * No olvide digitar la variable Pueblos originarios. Digite Cero si no tiene.",IF(D128&gt;(B128+C128)," * La variable pueblos originarios No puede ser mayor a los egresados en Servicio Gineco-obstétrico y Neonatología..",""))</f>
        <v/>
      </c>
      <c r="CB128" s="6882">
        <f>IF(AND(OR(B128&gt;0,C128&gt;0),E128="")," * No olvide digitar la variable Migrantes. Digite Cero si no tiene.",IF(E128&gt;(B128+C128)," * La variable Migrantes No puede ser mayor a los egresados en Servicio Gineco-obstétrico y Neonatología.",""))</f>
        <v/>
      </c>
      <c r="CC128" s="1076" t="n"/>
      <c r="CD128" s="1076" t="n"/>
      <c r="CI128" s="6883">
        <f>IF(AND(OR(B128&gt;0,C128&gt;0),D128=""),1,IF(D128&gt;(B128+C128),1,0))</f>
        <v/>
      </c>
      <c r="CJ128" s="6883">
        <f>IF(AND(OR(B128&gt;0,C128&gt;0),E128=""),1,IF(E128&gt;(B128+C128),1,0))</f>
        <v/>
      </c>
      <c r="CK128" s="1076" t="n"/>
      <c r="CL128" s="1076" t="n"/>
      <c r="CR128" s="622" t="n"/>
      <c r="CS128" s="622" t="n"/>
      <c r="CT128" s="622" t="n"/>
      <c r="CU128" s="622" t="n"/>
      <c r="CV128" s="622" t="n"/>
    </row>
    <row r="129" ht="21.95" customHeight="1" s="8286">
      <c r="A129" s="6888" t="inlineStr">
        <is>
          <t>Recién Nacidos/as* egresados/as con madres acogidas a la Ley N° 21.155 (Derecho a no amamantar)</t>
        </is>
      </c>
      <c r="B129" s="6889" t="n"/>
      <c r="C129" s="6890" t="n"/>
      <c r="D129" s="6891" t="n"/>
      <c r="E129" s="6892" t="n"/>
      <c r="F129" s="932">
        <f>CA129&amp;CB129</f>
        <v/>
      </c>
      <c r="CA129" s="6882">
        <f>IF(AND(OR(B129&gt;0,C129&gt;0),D129="")," * No olvide digitar la variable Pueblos originarios. Digite Cero si no tiene.",IF(D129&gt;(B129+C129)," * La variable pueblos originarios No puede ser mayor a los egresados en Servicio Gineco-obstétrico y Neonatología..",""))</f>
        <v/>
      </c>
      <c r="CB129" s="6882">
        <f>IF(AND(OR(B129&gt;0,C129&gt;0),E129="")," * No olvide digitar la variable Migrantes. Digite Cero si no tiene.",IF(E129&gt;(B129+C129)," * La variable Migrantes No puede ser mayor a los egresados en Servicio Gineco-obstétrico y Neonatología.",""))</f>
        <v/>
      </c>
      <c r="CC129" s="1076" t="n"/>
      <c r="CD129" s="1076" t="n"/>
      <c r="CG129" s="1076" t="n"/>
      <c r="CH129" s="1076" t="n"/>
      <c r="CI129" s="6883">
        <f>IF(AND(OR(B129&gt;0,C129&gt;0),D129=""),1,IF(D129&gt;(B129+C129),1,0))</f>
        <v/>
      </c>
      <c r="CJ129" s="6883">
        <f>IF(AND(OR(B129&gt;0,C129&gt;0),E129=""),1,IF(E129&gt;(B129+C129),1,0))</f>
        <v/>
      </c>
      <c r="CK129" s="1076" t="n"/>
      <c r="CL129" s="1076" t="n"/>
      <c r="CR129" s="622" t="n"/>
      <c r="CS129" s="622" t="n"/>
      <c r="CT129" s="622" t="n"/>
      <c r="CU129" s="622" t="n"/>
      <c r="CV129" s="622" t="n"/>
    </row>
    <row r="130" ht="35.1" customHeight="1" s="8286">
      <c r="A130" s="6897" t="inlineStr">
        <is>
          <t>Recién Nacidos/as egresados/as solo con fórmula láctea por encontrarse en proceso de protección o ser hijo/hija de madre con enfermedad grave con compromiso de conciencia</t>
        </is>
      </c>
      <c r="B130" s="6898" t="n"/>
      <c r="C130" s="6899" t="n"/>
      <c r="D130" s="6900" t="n"/>
      <c r="E130" s="6901" t="n"/>
      <c r="F130" s="932">
        <f>CA130&amp;CB130</f>
        <v/>
      </c>
      <c r="CA130" s="6882">
        <f>IF(AND(OR(B130&gt;0,C130&gt;0),D130="")," * No olvide digitar la variable Pueblos originarios. Digite Cero si no tiene.",IF(D130&gt;(B130+C130)," * La variable pueblos originarios No puede ser mayor a los egresados en Servicio Gineco-obstétrico y Neonatología..",""))</f>
        <v/>
      </c>
      <c r="CB130" s="6882">
        <f>IF(AND(OR(B130&gt;0,C130&gt;0),E130="")," * No olvide digitar la variable Migrantes. Digite Cero si no tiene.",IF(E130&gt;(B130+C130)," * La variable Migrantes No puede ser mayor a los egresados en Servicio Gineco-obstétrico y Neonatología.",""))</f>
        <v/>
      </c>
      <c r="CC130" s="1076" t="n"/>
      <c r="CD130" s="1076" t="n"/>
      <c r="CG130" s="1076" t="n"/>
      <c r="CH130" s="1076" t="n"/>
      <c r="CI130" s="6883">
        <f>IF(AND(OR(B130&gt;0,C130&gt;0),D130=""),1,IF(D130&gt;(B130+C130),1,0))</f>
        <v/>
      </c>
      <c r="CJ130" s="6883">
        <f>IF(AND(OR(B130&gt;0,C130&gt;0),E130=""),1,IF(E130&gt;(B130+C130),1,0))</f>
        <v/>
      </c>
      <c r="CK130" s="1076" t="n"/>
      <c r="CL130" s="1076" t="n"/>
      <c r="CR130" s="622" t="n"/>
      <c r="CS130" s="622" t="n"/>
      <c r="CT130" s="622" t="n"/>
      <c r="CU130" s="622" t="n"/>
      <c r="CV130" s="622" t="n"/>
    </row>
    <row r="131" ht="15" customHeight="1" s="8286">
      <c r="A131" s="10457" t="inlineStr">
        <is>
          <t>* Corresponde solo a recién nacidos/as vivos/as</t>
        </is>
      </c>
      <c r="B131" s="9602" t="n"/>
    </row>
    <row r="132" ht="18" customFormat="1" customHeight="1" s="6210">
      <c r="A132" s="964" t="inlineStr">
        <is>
          <t>SECCIÓN F: CONSULTA DE LACTANCIA MATERNA EN SERVICIOS GINECO-OBSTÉTRICOS O DE NEONATOLOGÍA</t>
        </is>
      </c>
      <c r="B132" s="964" t="n"/>
      <c r="C132" s="964" t="n"/>
    </row>
    <row r="133" ht="37.5" customHeight="1" s="8286">
      <c r="A133" s="9909" t="inlineStr">
        <is>
          <t>TIPOS DE CONSULTA</t>
        </is>
      </c>
      <c r="B133" s="9647" t="n"/>
      <c r="C133" s="6902" t="inlineStr">
        <is>
          <t>Servicio Gineco-obstétrico</t>
        </is>
      </c>
      <c r="D133" s="8805" t="inlineStr">
        <is>
          <t>Servicio Neonatología</t>
        </is>
      </c>
    </row>
    <row r="134">
      <c r="A134" s="10432" t="inlineStr">
        <is>
          <t>Consulta de lactancia materna</t>
        </is>
      </c>
      <c r="B134" s="6903" t="inlineStr">
        <is>
          <t xml:space="preserve">Durante la hospitalización </t>
        </is>
      </c>
      <c r="C134" s="6904" t="n"/>
      <c r="D134" s="6905" t="n"/>
    </row>
    <row r="135">
      <c r="A135" s="9589" t="n"/>
      <c r="B135" s="6906" t="inlineStr">
        <is>
          <t xml:space="preserve">Posterior al alta </t>
        </is>
      </c>
      <c r="C135" s="6350" t="n"/>
      <c r="D135" s="6351" t="n"/>
    </row>
    <row r="136" ht="15" customHeight="1" s="8286">
      <c r="A136" s="10432" t="inlineStr">
        <is>
          <t>Consulta de lactancia materna por profesional</t>
        </is>
      </c>
      <c r="B136" s="6907" t="inlineStr">
        <is>
          <t>Médico</t>
        </is>
      </c>
      <c r="C136" s="6271" t="n"/>
      <c r="D136" s="6679" t="n"/>
    </row>
    <row r="137" ht="15" customHeight="1" s="8286">
      <c r="A137" s="9588" t="n"/>
      <c r="B137" s="6908" t="inlineStr">
        <is>
          <t>Matrón/a</t>
        </is>
      </c>
      <c r="C137" s="6686" t="n"/>
      <c r="D137" s="6559" t="n"/>
    </row>
    <row r="138" ht="15" customHeight="1" s="8286">
      <c r="A138" s="9588" t="n"/>
      <c r="B138" s="6908" t="inlineStr">
        <is>
          <t>Enfermera/o</t>
        </is>
      </c>
      <c r="C138" s="6686" t="n"/>
      <c r="D138" s="6559" t="n"/>
    </row>
    <row r="139" ht="15" customHeight="1" s="8286">
      <c r="A139" s="9589" t="n"/>
      <c r="B139" s="6909" t="inlineStr">
        <is>
          <t>Nutricionista</t>
        </is>
      </c>
      <c r="C139" s="6898" t="n"/>
      <c r="D139" s="6901" t="n"/>
    </row>
    <row r="140" ht="18" customFormat="1" customHeight="1" s="6210">
      <c r="A140" s="6910" t="inlineStr">
        <is>
          <t>SECCIÓN G: TALLERES GRUPALES DE LACTANCIA MATERNA EN SERVICIOS GINECO-OBSTÉTRICOS</t>
        </is>
      </c>
      <c r="B140" s="6591" t="n"/>
      <c r="C140" s="6591" t="n"/>
      <c r="D140" s="927" t="n"/>
      <c r="E140" s="6246" t="n"/>
      <c r="F140" s="6246" t="n"/>
      <c r="G140" s="6246" t="n"/>
      <c r="H140" s="6246" t="n"/>
      <c r="I140" s="6246" t="n"/>
      <c r="J140" s="6246" t="n"/>
      <c r="K140" s="6246" t="n"/>
      <c r="L140" s="6246" t="n"/>
      <c r="M140" s="6246" t="n"/>
    </row>
    <row r="141" ht="27.95" customHeight="1" s="8286">
      <c r="A141" s="9913" t="inlineStr">
        <is>
          <t>CONCEPTO</t>
        </is>
      </c>
      <c r="B141" s="9593" t="inlineStr">
        <is>
          <t>TOTAL</t>
        </is>
      </c>
      <c r="C141" s="9903" t="inlineStr">
        <is>
          <t>RANGO ETARIO</t>
        </is>
      </c>
      <c r="D141" s="9584" t="n"/>
      <c r="E141" s="9584" t="n"/>
      <c r="F141" s="9584" t="n"/>
      <c r="G141" s="9584" t="n"/>
      <c r="H141" s="9584" t="n"/>
      <c r="I141" s="9584" t="n"/>
      <c r="J141" s="9584" t="n"/>
      <c r="K141" s="9595" t="n"/>
      <c r="L141" s="9861" t="inlineStr">
        <is>
          <t>Pueblos Originarios</t>
        </is>
      </c>
      <c r="M141" s="10458" t="inlineStr">
        <is>
          <t>Migrantes</t>
        </is>
      </c>
      <c r="N141" s="10459" t="inlineStr">
        <is>
          <t>Padres o acompañantes significativos que participan en talleres</t>
        </is>
      </c>
      <c r="CA141" s="622" t="n"/>
      <c r="CW141" s="6210" t="n"/>
    </row>
    <row r="142" ht="27.95" customHeight="1" s="8286">
      <c r="A142" s="9625" t="n"/>
      <c r="B142" s="9589" t="n"/>
      <c r="C142" s="6877" t="inlineStr">
        <is>
          <t>10 - 14 años</t>
        </is>
      </c>
      <c r="D142" s="6911" t="inlineStr">
        <is>
          <t>15 - 19 años</t>
        </is>
      </c>
      <c r="E142" s="6911" t="inlineStr">
        <is>
          <t>20 - 24 años</t>
        </is>
      </c>
      <c r="F142" s="6911" t="inlineStr">
        <is>
          <t>25 - 29 años</t>
        </is>
      </c>
      <c r="G142" s="6911" t="inlineStr">
        <is>
          <t>30 - 34 años</t>
        </is>
      </c>
      <c r="H142" s="6911" t="inlineStr">
        <is>
          <t>35 - 39 años</t>
        </is>
      </c>
      <c r="I142" s="6911" t="inlineStr">
        <is>
          <t>40 - 44 años</t>
        </is>
      </c>
      <c r="J142" s="6911" t="inlineStr">
        <is>
          <t>45 - 49 años</t>
        </is>
      </c>
      <c r="K142" s="6912" t="inlineStr">
        <is>
          <t>50 - 54 años</t>
        </is>
      </c>
      <c r="L142" s="9591" t="n"/>
      <c r="M142" s="9589" t="n"/>
      <c r="N142" s="9589" t="n"/>
      <c r="CA142" s="622" t="n"/>
      <c r="CW142" s="6210" t="n"/>
    </row>
    <row r="143" ht="21" customHeight="1" s="8286">
      <c r="A143" s="6913" t="inlineStr">
        <is>
          <t>Número de Talleres de Lactancia Materna realizada en servicios Gineco-Obstétricos</t>
        </is>
      </c>
      <c r="B143" s="6680" t="n"/>
      <c r="C143" s="6779" t="n"/>
      <c r="D143" s="6849" t="n"/>
      <c r="E143" s="6849" t="n"/>
      <c r="F143" s="6849" t="n"/>
      <c r="G143" s="6849" t="n"/>
      <c r="H143" s="6849" t="n"/>
      <c r="I143" s="6849" t="n"/>
      <c r="J143" s="6849" t="n"/>
      <c r="K143" s="6914" t="n"/>
      <c r="L143" s="6915" t="n"/>
      <c r="M143" s="6916" t="n"/>
      <c r="N143" s="6916" t="n"/>
      <c r="CA143" s="622" t="n"/>
      <c r="CW143" s="6210" t="n"/>
    </row>
    <row r="144" ht="21" customHeight="1" s="8286">
      <c r="A144" s="6856" t="inlineStr">
        <is>
          <t>Número de Participantes de Talleres de Lactancia Materna realizada en servicios Gineco-Obstétricos</t>
        </is>
      </c>
      <c r="B144" s="6917">
        <f>SUM(C144:K144)</f>
        <v/>
      </c>
      <c r="C144" s="6350" t="n"/>
      <c r="D144" s="6227" t="n"/>
      <c r="E144" s="6227" t="n"/>
      <c r="F144" s="6227" t="n"/>
      <c r="G144" s="6227" t="n"/>
      <c r="H144" s="6227" t="n"/>
      <c r="I144" s="6227" t="n"/>
      <c r="J144" s="6227" t="n"/>
      <c r="K144" s="6228" t="n"/>
      <c r="L144" s="6918" t="n"/>
      <c r="M144" s="6548" t="n"/>
      <c r="N144" s="6548" t="n"/>
      <c r="O144" s="932">
        <f>$CA144&amp;CB144&amp;CC144</f>
        <v/>
      </c>
      <c r="CA144" s="6882">
        <f>IF(AND($B144&lt;&gt;0,L144=""),"* No olvide ingresar la variable "&amp;L$141&amp;""&amp;". Digite CERO si no tiene.  ",IF(L144&gt;$B144,"* La variable "&amp;L$141&amp;""&amp;" no puede superar el Total. ",""))</f>
        <v/>
      </c>
      <c r="CB144" s="6882">
        <f>IF(AND($B144&lt;&gt;0,M144=""),"* No olvide ingresar la variable "&amp;L$141&amp;""&amp;". Digite CERO si no tiene. ",IF(M144&gt;$B144,"* La variable "&amp;L$141&amp;""&amp;" no puede superar el Total. ",""))</f>
        <v/>
      </c>
      <c r="CC144" s="6882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/>
      </c>
      <c r="CJ144" s="6883">
        <f>IF(AND($B144&lt;&gt;0,N144=""),1,IF(N144&gt;$B144,1,0))</f>
        <v/>
      </c>
      <c r="CU144" s="622" t="n"/>
      <c r="CV144" s="622" t="n"/>
    </row>
    <row r="145" ht="18" customFormat="1" customHeight="1" s="6210">
      <c r="A145" s="964" t="inlineStr">
        <is>
          <t xml:space="preserve">SECCIÓN H:  TAMIZAJES DEL RECIÉN NACIDO </t>
        </is>
      </c>
      <c r="B145" s="964" t="n"/>
      <c r="C145" s="6246" t="n"/>
      <c r="D145" s="6246" t="n"/>
      <c r="E145" s="6246" t="n"/>
      <c r="F145" s="6246" t="n"/>
    </row>
    <row r="146" ht="18" customFormat="1" customHeight="1" s="6210">
      <c r="A146" s="964" t="inlineStr">
        <is>
          <t xml:space="preserve">SECCION H.1: PESQUISA NEONATAL AMPLIADA </t>
        </is>
      </c>
      <c r="B146" s="964" t="n"/>
      <c r="C146" s="6246" t="n"/>
      <c r="D146" s="6246" t="n"/>
      <c r="E146" s="6246" t="n"/>
      <c r="F146" s="6246" t="n"/>
    </row>
    <row r="147" ht="21" customHeight="1" s="8286">
      <c r="A147" s="10460" t="inlineStr">
        <is>
          <t>EXÁMENES</t>
        </is>
      </c>
      <c r="B147" s="10461" t="inlineStr">
        <is>
          <t>PESQUISA NEONATAL AMPLIADA</t>
        </is>
      </c>
      <c r="C147" s="9584" t="n"/>
      <c r="D147" s="9584" t="n"/>
      <c r="E147" s="9582" t="n"/>
      <c r="F147" s="8782" t="inlineStr">
        <is>
          <t>FIBROSIS QUÍSTICA</t>
        </is>
      </c>
    </row>
    <row r="148" ht="21" customHeight="1" s="8286">
      <c r="A148" s="9589" t="n"/>
      <c r="B148" s="6659" t="inlineStr">
        <is>
          <t>Primeras Muestras (MO o M1)</t>
        </is>
      </c>
      <c r="C148" s="6797" t="inlineStr">
        <is>
          <t>Exámenes de 2a punción</t>
        </is>
      </c>
      <c r="D148" s="6659" t="inlineStr">
        <is>
          <t>2a muestra en &lt;36 semanas</t>
        </is>
      </c>
      <c r="E148" s="8805" t="inlineStr">
        <is>
          <t>Exámenes positivos</t>
        </is>
      </c>
      <c r="F148" s="8782" t="inlineStr">
        <is>
          <t>RN tamizados según piloto</t>
        </is>
      </c>
    </row>
    <row r="149">
      <c r="A149" s="6920" t="inlineStr">
        <is>
          <t>Recien nacidos tamizados</t>
        </is>
      </c>
      <c r="B149" s="6709" t="n"/>
      <c r="C149" s="6857" t="n"/>
      <c r="D149" s="6921" t="n"/>
      <c r="E149" s="6710" t="n"/>
      <c r="F149" s="6922" t="n"/>
    </row>
    <row r="150" ht="18" customFormat="1" customHeight="1" s="6210">
      <c r="A150" s="964" t="inlineStr">
        <is>
          <t>SECCIÓN H.2:  TAMIZAJE AUDITIVO</t>
        </is>
      </c>
      <c r="B150" s="6246" t="n"/>
      <c r="C150" s="6246" t="n"/>
      <c r="D150" s="6246" t="n"/>
      <c r="E150" s="6246" t="n"/>
    </row>
    <row r="151" ht="21" customHeight="1" s="8286">
      <c r="A151" s="8817" t="inlineStr">
        <is>
          <t>RECIEN NACIDOS VIVOS TAMIZADOS</t>
        </is>
      </c>
      <c r="B151" s="8848" t="inlineStr">
        <is>
          <t>Tamizaje</t>
        </is>
      </c>
      <c r="C151" s="6796" t="inlineStr">
        <is>
          <t>Re-tamizaje</t>
        </is>
      </c>
      <c r="D151" s="8813" t="inlineStr">
        <is>
          <t>Ambulatorio</t>
        </is>
      </c>
      <c r="E151" s="8805" t="inlineStr">
        <is>
          <t>Pueblos Originarios</t>
        </is>
      </c>
    </row>
    <row r="152" ht="15" customHeight="1" s="8286">
      <c r="A152" s="6769" t="inlineStr">
        <is>
          <t>Total de recién nacidos tamizados</t>
        </is>
      </c>
      <c r="B152" s="6923" t="n"/>
      <c r="C152" s="6904" t="n"/>
      <c r="D152" s="6924" t="n"/>
      <c r="E152" s="6905" t="n"/>
      <c r="F152" s="932">
        <f>$CA152</f>
        <v/>
      </c>
      <c r="CA152" s="6882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 t="n"/>
      <c r="CI152" s="6883">
        <f>IF(AND($B152&lt;&gt;0,E152=""),1,IF(E152&gt;$B152,1,0))</f>
        <v/>
      </c>
      <c r="CJ152" s="1076" t="n"/>
      <c r="CT152" s="622" t="n"/>
      <c r="CU152" s="622" t="n"/>
      <c r="CV152" s="622" t="n"/>
    </row>
    <row r="153" ht="15" customHeight="1" s="8286">
      <c r="A153" s="6925" t="inlineStr">
        <is>
          <t>Recién nacidos vivos que pasan</t>
        </is>
      </c>
      <c r="B153" s="6163" t="n"/>
      <c r="C153" s="6686" t="n"/>
      <c r="D153" s="6692" t="n"/>
      <c r="E153" s="6559" t="n"/>
      <c r="F153" s="932">
        <f>$CL153&amp;CA153</f>
        <v/>
      </c>
      <c r="CA153" s="6882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 t="n"/>
      <c r="CI153" s="6883">
        <f>IF(AND($B153&lt;&gt;0,E153=""),1,IF(E153&gt;$B153,1,0))</f>
        <v/>
      </c>
      <c r="CT153" s="622" t="n"/>
      <c r="CU153" s="622" t="n"/>
      <c r="CV153" s="622" t="n"/>
    </row>
    <row r="154" ht="15" customHeight="1" s="8286">
      <c r="A154" s="6926" t="inlineStr">
        <is>
          <t>Recién nacidos que refieren</t>
        </is>
      </c>
      <c r="B154" s="6927" t="n"/>
      <c r="C154" s="6928" t="n"/>
      <c r="D154" s="6929" t="n"/>
      <c r="E154" s="6930" t="n"/>
      <c r="F154" s="932">
        <f>$CL154&amp;CA154</f>
        <v/>
      </c>
      <c r="CA154" s="6882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 t="n"/>
      <c r="CI154" s="6883">
        <f>IF(AND($B154&lt;&gt;0,E154=""),1,IF(E154&gt;$B154,1,0))</f>
        <v/>
      </c>
      <c r="CT154" s="622" t="n"/>
      <c r="CU154" s="622" t="n"/>
      <c r="CV154" s="622" t="n"/>
    </row>
    <row r="155" ht="21" customHeight="1" s="8286">
      <c r="A155" s="7609" t="inlineStr">
        <is>
          <t>EXÁMENES REALIZADOS</t>
        </is>
      </c>
      <c r="B155" s="7503" t="inlineStr">
        <is>
          <t>EOA</t>
        </is>
      </c>
      <c r="C155" s="6931" t="inlineStr">
        <is>
          <t>PEATa</t>
        </is>
      </c>
      <c r="D155" s="8156" t="inlineStr">
        <is>
          <t>Pueblos Originarios</t>
        </is>
      </c>
      <c r="E155" s="5554" t="n"/>
      <c r="CT155" s="622" t="n"/>
      <c r="CU155" s="622" t="n"/>
      <c r="CV155" s="622" t="n"/>
    </row>
    <row r="156">
      <c r="A156" s="6769" t="inlineStr">
        <is>
          <t>Maternidad</t>
        </is>
      </c>
      <c r="B156" s="6923" t="n"/>
      <c r="C156" s="6932" t="n"/>
      <c r="D156" s="6905" t="n"/>
      <c r="E156" s="932">
        <f>$CA156</f>
        <v/>
      </c>
      <c r="CA156" s="6882">
        <f>IF(AND($B156&lt;&gt;0,D156=""),"* No olvide ingresar la variable Pueblos Originarios. Digite CERO si no tiene. ",IF(D156&gt;$B156,"* La variable Pueblos Originarios no puede superar el Total de EOA. ",""))</f>
        <v/>
      </c>
      <c r="CB156" s="1076" t="n"/>
      <c r="CI156" s="6883">
        <f>IF(AND($B156&lt;&gt;0,D156=""),1,IF(D156&gt;$B156,1,0))</f>
        <v/>
      </c>
      <c r="CT156" s="622" t="n"/>
      <c r="CU156" s="622" t="n"/>
      <c r="CV156" s="622" t="n"/>
    </row>
    <row r="157">
      <c r="A157" s="6925" t="inlineStr">
        <is>
          <t>Neonatología</t>
        </is>
      </c>
      <c r="B157" s="6163" t="n"/>
      <c r="C157" s="6933" t="n"/>
      <c r="D157" s="6559" t="n"/>
      <c r="E157" s="932">
        <f>$CA157</f>
        <v/>
      </c>
      <c r="CA157" s="6882">
        <f>IF(AND($B157&lt;&gt;0,D157=""),"* No olvide ingresar la variable Pueblos Originarios. Digite CERO si no tiene. ",IF(D157&gt;$B157,"* La variable Pueblos Originarios no puede superar el Total de EOA. ",""))</f>
        <v/>
      </c>
      <c r="CB157" s="1076" t="n"/>
      <c r="CI157" s="6883">
        <f>IF(AND($B157&lt;&gt;0,D157=""),1,IF(D157&gt;$B157,1,0))</f>
        <v/>
      </c>
      <c r="CT157" s="622" t="n"/>
      <c r="CU157" s="622" t="n"/>
      <c r="CV157" s="622" t="n"/>
    </row>
    <row r="158" ht="21" customHeight="1" s="8286">
      <c r="A158" s="6926" t="inlineStr">
        <is>
          <t>Servicio otorrinolaringología (realizado antes de los 6 meses de vida)</t>
        </is>
      </c>
      <c r="B158" s="6927" t="n"/>
      <c r="C158" s="6934" t="n"/>
      <c r="D158" s="6930" t="n"/>
      <c r="E158" s="932">
        <f>$CA158</f>
        <v/>
      </c>
      <c r="CA158" s="6882">
        <f>IF(AND($B158&lt;&gt;0,D158=""),"* No olvide ingresar la variable Pueblos Originarios. Digite CERO si no tiene. ",IF(D158&gt;$B158,"* La variable Pueblos Originarios no puede superar el Total de EOA. ",""))</f>
        <v/>
      </c>
      <c r="CB158" s="1076" t="n"/>
      <c r="CI158" s="6883">
        <f>IF(AND($B158&lt;&gt;0,D158=""),1,IF(D158&gt;$B158,1,0))</f>
        <v/>
      </c>
      <c r="CT158" s="622" t="n"/>
      <c r="CU158" s="622" t="n"/>
      <c r="CV158" s="622" t="n"/>
    </row>
    <row r="159">
      <c r="A159" s="964" t="inlineStr">
        <is>
          <t>SECCION H.3: TAMIZAJE CARDIOPATÍAS CONGÉNITAS</t>
        </is>
      </c>
      <c r="B159" s="966" t="n"/>
      <c r="C159" s="5554" t="n"/>
    </row>
    <row r="160" ht="31.5" customHeight="1" s="8286">
      <c r="A160" s="8842" t="inlineStr">
        <is>
          <t>EXÁMENES REALIZADOS</t>
        </is>
      </c>
      <c r="B160" s="6796" t="inlineStr">
        <is>
          <t>Recien Nacidos Tamizados</t>
        </is>
      </c>
      <c r="C160" s="8814" t="inlineStr">
        <is>
          <t xml:space="preserve">Recién  Nacidos referidos a Cardiología </t>
        </is>
      </c>
    </row>
    <row r="161">
      <c r="A161" s="6935" t="inlineStr">
        <is>
          <t>Maternidad</t>
        </is>
      </c>
      <c r="B161" s="6904" t="n"/>
      <c r="C161" s="6905" t="n"/>
    </row>
    <row r="162">
      <c r="A162" s="9045" t="inlineStr">
        <is>
          <t>Neonatología</t>
        </is>
      </c>
      <c r="B162" s="6898" t="n"/>
      <c r="C162" s="6901" t="n"/>
    </row>
    <row r="179" hidden="1" ht="33.75" customHeight="1" s="8286">
      <c r="A179" s="5801">
        <f>SUM(C13:Z23,C26:C38,C42:D57,C61:F71,B77:G79,B84:G88,C92:I103,C109,C113:O113,B117:B119,B122:C130,C134:D139,B143:B144,B149:F149,B152:D154,B156:C158,B161:C162)</f>
        <v/>
      </c>
      <c r="B179" s="5801">
        <f>SUM(CI13:CM158)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ytQ7HIJ6vbeElYYbQcTg2w==" formatRows="1" sort="1" spinCount="100000" hashValue="oRjFsBHvdkiMVxnRanlwlEhnWJaE/tfYUJXV0S8qyzhqB3IObC7bFn7XCaHaRIwBsl4FuYQLgs+PyNXrZLTQxQ=="/>
  <mergeCells count="138">
    <mergeCell ref="N141:N142"/>
    <mergeCell ref="A15:B15"/>
    <mergeCell ref="A51:B51"/>
    <mergeCell ref="F59:F60"/>
    <mergeCell ref="A70:B70"/>
    <mergeCell ref="E10:E11"/>
    <mergeCell ref="L9:L11"/>
    <mergeCell ref="G10:G11"/>
    <mergeCell ref="A27:A28"/>
    <mergeCell ref="A54:B54"/>
    <mergeCell ref="Q10:Q11"/>
    <mergeCell ref="X9:X11"/>
    <mergeCell ref="Z9:Z11"/>
    <mergeCell ref="A41:B41"/>
    <mergeCell ref="E111:H111"/>
    <mergeCell ref="AD9:AD11"/>
    <mergeCell ref="E81:G81"/>
    <mergeCell ref="A101:B101"/>
    <mergeCell ref="A141:A142"/>
    <mergeCell ref="G90:I90"/>
    <mergeCell ref="H9:K9"/>
    <mergeCell ref="A22:A23"/>
    <mergeCell ref="A107:B108"/>
    <mergeCell ref="A42:B42"/>
    <mergeCell ref="A17:B17"/>
    <mergeCell ref="A53:B53"/>
    <mergeCell ref="A109:B109"/>
    <mergeCell ref="L111:L112"/>
    <mergeCell ref="D10:D11"/>
    <mergeCell ref="A68:B68"/>
    <mergeCell ref="A105:G105"/>
    <mergeCell ref="H73:H75"/>
    <mergeCell ref="A19:B19"/>
    <mergeCell ref="A6:L6"/>
    <mergeCell ref="C111:D111"/>
    <mergeCell ref="H10:H11"/>
    <mergeCell ref="R10:R11"/>
    <mergeCell ref="M111:M112"/>
    <mergeCell ref="J10:J11"/>
    <mergeCell ref="O111:O112"/>
    <mergeCell ref="A48:A49"/>
    <mergeCell ref="A30:B30"/>
    <mergeCell ref="S9:S11"/>
    <mergeCell ref="AC9:AC11"/>
    <mergeCell ref="A103:B103"/>
    <mergeCell ref="A45:B45"/>
    <mergeCell ref="B73:D73"/>
    <mergeCell ref="A9:B11"/>
    <mergeCell ref="C59:E59"/>
    <mergeCell ref="M10:M11"/>
    <mergeCell ref="L141:L142"/>
    <mergeCell ref="T10:U10"/>
    <mergeCell ref="V10:W10"/>
    <mergeCell ref="B74:D74"/>
    <mergeCell ref="A46:A47"/>
    <mergeCell ref="A37:A38"/>
    <mergeCell ref="A147:A148"/>
    <mergeCell ref="A26:B26"/>
    <mergeCell ref="A73:A75"/>
    <mergeCell ref="I111:J111"/>
    <mergeCell ref="A71:B71"/>
    <mergeCell ref="C115:J115"/>
    <mergeCell ref="A115:A116"/>
    <mergeCell ref="A131:B131"/>
    <mergeCell ref="T9:W9"/>
    <mergeCell ref="A43:A44"/>
    <mergeCell ref="O10:O11"/>
    <mergeCell ref="A52:B52"/>
    <mergeCell ref="C141:K141"/>
    <mergeCell ref="A93:B93"/>
    <mergeCell ref="E73:G73"/>
    <mergeCell ref="A102:B102"/>
    <mergeCell ref="C107:C108"/>
    <mergeCell ref="F10:F11"/>
    <mergeCell ref="C9:C11"/>
    <mergeCell ref="D90:D91"/>
    <mergeCell ref="P10:P11"/>
    <mergeCell ref="A92:B92"/>
    <mergeCell ref="D9:G9"/>
    <mergeCell ref="A106:G106"/>
    <mergeCell ref="A36:B36"/>
    <mergeCell ref="E74:G74"/>
    <mergeCell ref="A69:B69"/>
    <mergeCell ref="A133:B133"/>
    <mergeCell ref="K111:K112"/>
    <mergeCell ref="A12:B12"/>
    <mergeCell ref="A134:A135"/>
    <mergeCell ref="A21:B21"/>
    <mergeCell ref="J73:J75"/>
    <mergeCell ref="A136:A139"/>
    <mergeCell ref="A104:B104"/>
    <mergeCell ref="A57:B57"/>
    <mergeCell ref="A113:B113"/>
    <mergeCell ref="A61:A65"/>
    <mergeCell ref="A14:B14"/>
    <mergeCell ref="I10:I11"/>
    <mergeCell ref="K10:K11"/>
    <mergeCell ref="AB9:AB11"/>
    <mergeCell ref="B141:B142"/>
    <mergeCell ref="M9:R9"/>
    <mergeCell ref="A90:B91"/>
    <mergeCell ref="A94:A100"/>
    <mergeCell ref="L107:L108"/>
    <mergeCell ref="A67:B67"/>
    <mergeCell ref="I73:I75"/>
    <mergeCell ref="K73:K75"/>
    <mergeCell ref="L115:O115"/>
    <mergeCell ref="N111:N112"/>
    <mergeCell ref="K115:K116"/>
    <mergeCell ref="A16:B16"/>
    <mergeCell ref="AE9:AF10"/>
    <mergeCell ref="A25:B25"/>
    <mergeCell ref="A114:G114"/>
    <mergeCell ref="C90:C91"/>
    <mergeCell ref="A55:A56"/>
    <mergeCell ref="E90:E91"/>
    <mergeCell ref="A66:B66"/>
    <mergeCell ref="D107:K107"/>
    <mergeCell ref="A18:B18"/>
    <mergeCell ref="A50:B50"/>
    <mergeCell ref="N10:N11"/>
    <mergeCell ref="A32:A33"/>
    <mergeCell ref="M141:M142"/>
    <mergeCell ref="A59:B60"/>
    <mergeCell ref="F90:F91"/>
    <mergeCell ref="A111:B112"/>
    <mergeCell ref="A81:A82"/>
    <mergeCell ref="Y9:Y11"/>
    <mergeCell ref="AA9:AA11"/>
    <mergeCell ref="B81:D81"/>
    <mergeCell ref="A20:B20"/>
    <mergeCell ref="A29:B29"/>
    <mergeCell ref="A34:A35"/>
    <mergeCell ref="B147:E147"/>
    <mergeCell ref="L73:L75"/>
    <mergeCell ref="A13:B13"/>
    <mergeCell ref="A31:B31"/>
    <mergeCell ref="B115:B116"/>
  </mergeCells>
  <dataValidations count="8">
    <dataValidation sqref="A6:L6 A8:AB8 A9:A10 A12:A22 A24:F24 A27 A29:A32 A34 A36:A37 A40:D40 A42:A43 A45:A46 A48 A50:A55 A57:A59 A61 A66:A73 A76:A90 A92:A94 A101:A107 A109:A115 A118:A131 A140:A143 A145:F146 A150:A158 A159:C159 A179:B179 B27:B28 B37:B38 B48:B49 B55:B56 B58:D58 B72:T72 B73:B76 B81 B82:D82 B89 B105:L106 B110:M110 B114:O114 B115:B120 B140:C142 B144 B147:B148 B150:E151 B155:E155 C9:C10 C12:T12 C26:C38 C60:E60 C75:D76 C89:E90 C104:I104 C107:C109 C115:J116 C120:E121 C148:E148 D107:K108 D133 D140:M140 D142:K142 E73:E76 E111 F25 F59 F75:G76 F89:H89 F90:G90 F147:F148 H9 H10:K10 H73:R73 H76:L76 H91:I91 I111:J112 K111:O111 K115 L107 L115:L116 L141:N141 M9 M10:R10 M109:BZ109 M116:O116 S9 T9:T10 U11:U12 V10 V12 W11:W12 X9:X10 X12:AF12 Y9:AD9 AE11" showDropDown="0" showInputMessage="1" showErrorMessage="1" allowBlank="0" error="Valor no Permitido"/>
    <dataValidation sqref="B77:L79 B80:W80 B83:D83 B122:E130 B149:F149 B152:E154 B156:D158 C13:AF23 C42 C44:C45 C47:C57 C61:F71 C113:O113 C134:D139 C144:N144 D26:F38 D42:D43 D45:D46 D48:D54 D57 D109:L109 E82:G83 H81:T88" showDropDown="0" showInputMessage="1" showErrorMessage="1" allowBlank="0" error="Valor no Permitido" type="whole" operator="greaterThanOrEqual">
      <formula1>0</formula1>
    </dataValidation>
    <dataValidation sqref="B84:G88 B161:C162" showDropDown="0" showInputMessage="1" showErrorMessage="1" allowBlank="0" type="whole" operator="greaterThanOrEqual">
      <formula1>0</formula1>
    </dataValidation>
    <dataValidation sqref="E81:G81" showDropDown="0" showInputMessage="1" showErrorMessage="1" allowBlank="0" error="Valor no Permitido" operator="greaterThanOrEqual"/>
    <dataValidation sqref="C92:I103" showDropDown="0" showInputMessage="1" showErrorMessage="1" allowBlank="0" type="whole">
      <formula1>0</formula1>
      <formula2>9.99999999999999E+35</formula2>
    </dataValidation>
    <dataValidation sqref="C117:O119" showDropDown="0" showInputMessage="1" showErrorMessage="1" allowBlank="0" type="whole">
      <formula1>0</formula1>
      <formula2>9.99999999999999E+37</formula2>
    </dataValidation>
    <dataValidation sqref="B143:N143" showDropDown="0" showInputMessage="1" showErrorMessage="1" allowBlank="0" type="whole">
      <formula1>0</formula1>
      <formula2>9.99999999999999E+38</formula2>
    </dataValidation>
    <dataValidation sqref="C43 C46 D44 D47 D55:D56" showDropDown="0" showInputMessage="1" showErrorMessage="1" allowBlank="0" error="Valor no Permitido" type="whole" operator="equal">
      <formula1>0</formula1>
    </dataValidation>
  </dataValidations>
  <pageMargins left="0.7" right="0.7" top="0.75" bottom="0.75" header="0.3" footer="0.3"/>
  <pageSetup orientation="portrait" paperSize="9"/>
</worksheet>
</file>

<file path=xl/worksheets/sheet18.xml><?xml version="1.0" encoding="utf-8"?>
<worksheet xmlns="http://schemas.openxmlformats.org/spreadsheetml/2006/main">
  <sheetPr codeName="Hoja18">
    <outlinePr summaryBelow="1" summaryRight="1"/>
    <pageSetUpPr/>
  </sheetPr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/>
  <cols>
    <col width="44.85546875" customWidth="1" style="622" min="1" max="1"/>
    <col width="18.140625" customWidth="1" style="622" min="2" max="2"/>
    <col width="23.85546875" customWidth="1" style="622" min="3" max="3"/>
    <col width="18.5703125" customWidth="1" style="622" min="4" max="4"/>
    <col width="12.85546875" customWidth="1" style="622" min="5" max="5"/>
    <col width="12.7109375" customWidth="1" style="622" min="6" max="6"/>
    <col width="15.7109375" customWidth="1" style="622" min="7" max="7"/>
    <col width="16.42578125" customWidth="1" style="622" min="8" max="8"/>
    <col width="11.42578125" customWidth="1" style="622" min="9" max="16384"/>
  </cols>
  <sheetData>
    <row r="1">
      <c r="A1" s="5551" t="inlineStr">
        <is>
          <t>SERVICIO DE SALUD</t>
        </is>
      </c>
    </row>
    <row r="2">
      <c r="A2" s="5551">
        <f>CONCATENATE("COMUNA: ",NOMBRE!B2, " (",NOMBRE!C2,NOMBRE!D2,NOMBRE!E2,NOMBRE!F2,NOMBRE!G2,")")</f>
        <v/>
      </c>
    </row>
    <row r="3">
      <c r="A3" s="5551">
        <f>CONCATENATE("ESTABLECIMIENTO/ESTRATEGIA: ", NOMBRE!B3, " (",NOMBRE!C3,NOMBRE!D3,NOMBRE!E3,NOMBRE!F3,NOMBRE!G3,NOMBRE!H3,")")</f>
        <v/>
      </c>
    </row>
    <row r="4">
      <c r="A4" s="5551">
        <f>CONCATENATE("MES: ",NOMBRE!B6, " (",NOMBRE!C6,NOMBRE!D6,")")</f>
        <v/>
      </c>
    </row>
    <row r="5">
      <c r="A5" s="5551">
        <f>CONCATENATE("AÑO: ",NOMBRE!B7)</f>
        <v/>
      </c>
    </row>
    <row r="6" ht="18" customHeight="1" s="8286">
      <c r="A6" s="8922" t="inlineStr">
        <is>
          <t>REM-25.  SERVICIOS DE SANGRE</t>
        </is>
      </c>
    </row>
    <row r="8" ht="18" customFormat="1" customHeight="1" s="939">
      <c r="A8" s="9590" t="inlineStr">
        <is>
          <t>SECCIÓN A.1: POBLACIÓN DONANTE (CS-UTT-BS- CDD)</t>
        </is>
      </c>
      <c r="B8" s="9591" t="n"/>
      <c r="C8" s="9591" t="n"/>
    </row>
    <row r="9" ht="15" customFormat="1" customHeight="1" s="65">
      <c r="A9" s="9624" t="inlineStr">
        <is>
          <t>DONANTES</t>
        </is>
      </c>
      <c r="B9" s="9624" t="inlineStr">
        <is>
          <t>DESCRIPCIÓN</t>
        </is>
      </c>
      <c r="C9" s="9630" t="n"/>
      <c r="D9" s="9629" t="inlineStr">
        <is>
          <t>TOTAL</t>
        </is>
      </c>
      <c r="E9" s="9602" t="n"/>
      <c r="F9" s="9630" t="n"/>
      <c r="G9" s="7632" t="inlineStr">
        <is>
          <t>RANGO ETARIO Y SEXO</t>
        </is>
      </c>
      <c r="H9" s="9584" t="n"/>
      <c r="I9" s="9584" t="n"/>
      <c r="J9" s="9584" t="n"/>
      <c r="K9" s="9584" t="n"/>
      <c r="L9" s="9584" t="n"/>
      <c r="M9" s="9584" t="n"/>
      <c r="N9" s="9584" t="n"/>
      <c r="O9" s="9584" t="n"/>
      <c r="P9" s="9584" t="n"/>
      <c r="Q9" s="9584" t="n"/>
      <c r="R9" s="9584" t="n"/>
      <c r="S9" s="9584" t="n"/>
      <c r="T9" s="9584" t="n"/>
      <c r="U9" s="9584" t="n"/>
      <c r="V9" s="9584" t="n"/>
      <c r="W9" s="9584" t="n"/>
      <c r="X9" s="9584" t="n"/>
      <c r="Y9" s="9584" t="n"/>
      <c r="Z9" s="9584" t="n"/>
      <c r="AA9" s="9584" t="n"/>
      <c r="AB9" s="9584" t="n"/>
      <c r="AC9" s="9584" t="n"/>
      <c r="AD9" s="9582" t="n"/>
    </row>
    <row r="10" ht="15" customFormat="1" customHeight="1" s="65">
      <c r="A10" s="9627" t="n"/>
      <c r="B10" s="642" t="n"/>
      <c r="C10" s="9718" t="n"/>
      <c r="D10" s="9638" t="n"/>
      <c r="E10" s="9697" t="n"/>
      <c r="F10" s="9639" t="n"/>
      <c r="G10" s="9618" t="inlineStr">
        <is>
          <t>17 años</t>
        </is>
      </c>
      <c r="H10" s="9582" t="n"/>
      <c r="I10" s="9618" t="inlineStr">
        <is>
          <t>18-19 años</t>
        </is>
      </c>
      <c r="J10" s="9582" t="n"/>
      <c r="K10" s="9874" t="inlineStr">
        <is>
          <t>20-24 años</t>
        </is>
      </c>
      <c r="L10" s="9647" t="n"/>
      <c r="M10" s="9874" t="inlineStr">
        <is>
          <t>25-29 años</t>
        </is>
      </c>
      <c r="N10" s="9647" t="n"/>
      <c r="O10" s="9874" t="inlineStr">
        <is>
          <t>30-34 años</t>
        </is>
      </c>
      <c r="P10" s="9647" t="n"/>
      <c r="Q10" s="9874" t="inlineStr">
        <is>
          <t>35-39 años</t>
        </is>
      </c>
      <c r="R10" s="9647" t="n"/>
      <c r="S10" s="9874" t="inlineStr">
        <is>
          <t>40-44 años</t>
        </is>
      </c>
      <c r="T10" s="9647" t="n"/>
      <c r="U10" s="9874" t="inlineStr">
        <is>
          <t>45-49 años</t>
        </is>
      </c>
      <c r="V10" s="9647" t="n"/>
      <c r="W10" s="9874" t="inlineStr">
        <is>
          <t>50-54 años</t>
        </is>
      </c>
      <c r="X10" s="9647" t="n"/>
      <c r="Y10" s="9874" t="inlineStr">
        <is>
          <t>55-59 años</t>
        </is>
      </c>
      <c r="Z10" s="9647" t="n"/>
      <c r="AA10" s="9874" t="inlineStr">
        <is>
          <t>60-64 años</t>
        </is>
      </c>
      <c r="AB10" s="9647" t="n"/>
      <c r="AC10" s="9874" t="inlineStr">
        <is>
          <t>65 y más años</t>
        </is>
      </c>
      <c r="AD10" s="9647" t="n"/>
    </row>
    <row r="11" ht="15" customFormat="1" customHeight="1" s="65">
      <c r="A11" s="9621" t="n"/>
      <c r="B11" s="9698" t="n"/>
      <c r="C11" s="9776" t="n"/>
      <c r="D11" s="6796" t="inlineStr">
        <is>
          <t>Ambos Sexos</t>
        </is>
      </c>
      <c r="E11" s="6797" t="inlineStr">
        <is>
          <t>Hombres</t>
        </is>
      </c>
      <c r="F11" s="8805" t="inlineStr">
        <is>
          <t>Mujeres</t>
        </is>
      </c>
      <c r="G11" s="6937" t="inlineStr">
        <is>
          <t>Hombres</t>
        </is>
      </c>
      <c r="H11" s="8843" t="inlineStr">
        <is>
          <t>Mujeres</t>
        </is>
      </c>
      <c r="I11" s="6937" t="inlineStr">
        <is>
          <t>Hombres</t>
        </is>
      </c>
      <c r="J11" s="8843" t="inlineStr">
        <is>
          <t>Mujeres</t>
        </is>
      </c>
      <c r="K11" s="6938" t="inlineStr">
        <is>
          <t>Hombres</t>
        </is>
      </c>
      <c r="L11" s="7487" t="inlineStr">
        <is>
          <t>Mujeres</t>
        </is>
      </c>
      <c r="M11" s="6938" t="inlineStr">
        <is>
          <t>Hombres</t>
        </is>
      </c>
      <c r="N11" s="7487" t="inlineStr">
        <is>
          <t>Mujeres</t>
        </is>
      </c>
      <c r="O11" s="6938" t="inlineStr">
        <is>
          <t>Hombres</t>
        </is>
      </c>
      <c r="P11" s="7487" t="inlineStr">
        <is>
          <t>Mujeres</t>
        </is>
      </c>
      <c r="Q11" s="6938" t="inlineStr">
        <is>
          <t>Hombres</t>
        </is>
      </c>
      <c r="R11" s="7487" t="inlineStr">
        <is>
          <t>Mujeres</t>
        </is>
      </c>
      <c r="S11" s="6938" t="inlineStr">
        <is>
          <t>Hombres</t>
        </is>
      </c>
      <c r="T11" s="7487" t="inlineStr">
        <is>
          <t>Mujeres</t>
        </is>
      </c>
      <c r="U11" s="6938" t="inlineStr">
        <is>
          <t>Hombres</t>
        </is>
      </c>
      <c r="V11" s="7487" t="inlineStr">
        <is>
          <t>Mujeres</t>
        </is>
      </c>
      <c r="W11" s="6938" t="inlineStr">
        <is>
          <t>Hombres</t>
        </is>
      </c>
      <c r="X11" s="7487" t="inlineStr">
        <is>
          <t>Mujeres</t>
        </is>
      </c>
      <c r="Y11" s="6938" t="inlineStr">
        <is>
          <t>Hombres</t>
        </is>
      </c>
      <c r="Z11" s="7487" t="inlineStr">
        <is>
          <t>Mujeres</t>
        </is>
      </c>
      <c r="AA11" s="6938" t="inlineStr">
        <is>
          <t>Hombres</t>
        </is>
      </c>
      <c r="AB11" s="7487" t="inlineStr">
        <is>
          <t>Mujeres</t>
        </is>
      </c>
      <c r="AC11" s="6938" t="inlineStr">
        <is>
          <t>Hombres</t>
        </is>
      </c>
      <c r="AD11" s="7487" t="inlineStr">
        <is>
          <t>Mujeres</t>
        </is>
      </c>
    </row>
    <row r="12" ht="15" customFormat="1" customHeight="1" s="65">
      <c r="A12" s="10462" t="inlineStr">
        <is>
          <t>Altruistas</t>
        </is>
      </c>
      <c r="B12" s="6769" t="inlineStr">
        <is>
          <t>Nuevos</t>
        </is>
      </c>
      <c r="C12" s="6753" t="inlineStr">
        <is>
          <t>Aceptados</t>
        </is>
      </c>
      <c r="D12" s="6939">
        <f>SUM(E12+F12)</f>
        <v/>
      </c>
      <c r="E12" s="935">
        <f>SUM(G12+I12+K12+M12+O12+Q12+S12+U12+W12+Y12+AA12+AC12)</f>
        <v/>
      </c>
      <c r="F12" s="6269">
        <f>SUM(H12+J12+L12+N12+P12+R12+T12+V12+X12+Z12+AB12+AD12)</f>
        <v/>
      </c>
      <c r="G12" s="6271" t="n"/>
      <c r="H12" s="6679" t="n"/>
      <c r="I12" s="6271" t="n"/>
      <c r="J12" s="6679" t="n"/>
      <c r="K12" s="6271" t="n"/>
      <c r="L12" s="6679" t="n"/>
      <c r="M12" s="6271" t="n"/>
      <c r="N12" s="6679" t="n"/>
      <c r="O12" s="6271" t="n"/>
      <c r="P12" s="6679" t="n"/>
      <c r="Q12" s="6271" t="n"/>
      <c r="R12" s="6679" t="n"/>
      <c r="S12" s="6271" t="n"/>
      <c r="T12" s="6679" t="n"/>
      <c r="U12" s="6271" t="n"/>
      <c r="V12" s="6679" t="n"/>
      <c r="W12" s="6271" t="n"/>
      <c r="X12" s="6679" t="n"/>
      <c r="Y12" s="6271" t="n"/>
      <c r="Z12" s="6679" t="n"/>
      <c r="AA12" s="6271" t="n"/>
      <c r="AB12" s="6679" t="n"/>
      <c r="AC12" s="6271" t="n"/>
      <c r="AD12" s="6679" t="n"/>
    </row>
    <row r="13" ht="15" customFormat="1" customHeight="1" s="65">
      <c r="A13" s="10463" t="n"/>
      <c r="B13" s="7209" t="inlineStr">
        <is>
          <t>Repetidos</t>
        </is>
      </c>
      <c r="C13" s="6940" t="inlineStr">
        <is>
          <t>Aceptados</t>
        </is>
      </c>
      <c r="D13" s="5856">
        <f>SUM(E13+F13)</f>
        <v/>
      </c>
      <c r="E13" s="6941">
        <f>SUM(G13+I13+K13+M13+O13+Q13+S13+U13+W13+Y13+AA13+AC13)</f>
        <v/>
      </c>
      <c r="F13" s="6942">
        <f>SUM(H13+J13+L13+N13+P13+R13+T13+V13+X13+Z13+AB13+AD13)</f>
        <v/>
      </c>
      <c r="G13" s="6350" t="n"/>
      <c r="H13" s="6351" t="n"/>
      <c r="I13" s="6350" t="n"/>
      <c r="J13" s="6351" t="n"/>
      <c r="K13" s="5843" t="n"/>
      <c r="L13" s="6776" t="n"/>
      <c r="M13" s="5843" t="n"/>
      <c r="N13" s="6776" t="n"/>
      <c r="O13" s="5843" t="n"/>
      <c r="P13" s="6776" t="n"/>
      <c r="Q13" s="5843" t="n"/>
      <c r="R13" s="6776" t="n"/>
      <c r="S13" s="5843" t="n"/>
      <c r="T13" s="6776" t="n"/>
      <c r="U13" s="5843" t="n"/>
      <c r="V13" s="6776" t="n"/>
      <c r="W13" s="5843" t="n"/>
      <c r="X13" s="6776" t="n"/>
      <c r="Y13" s="5843" t="n"/>
      <c r="Z13" s="6776" t="n"/>
      <c r="AA13" s="5843" t="n"/>
      <c r="AB13" s="6776" t="n"/>
      <c r="AC13" s="5843" t="n"/>
      <c r="AD13" s="6776" t="n"/>
    </row>
    <row r="14" ht="15" customFormat="1" customHeight="1" s="65">
      <c r="A14" s="9615" t="inlineStr">
        <is>
          <t>Reposición</t>
        </is>
      </c>
      <c r="B14" s="9611" t="n"/>
      <c r="C14" s="6943" t="inlineStr">
        <is>
          <t>Aceptados</t>
        </is>
      </c>
      <c r="D14" s="6944">
        <f>SUM(E14+F14)</f>
        <v/>
      </c>
      <c r="E14" s="6945">
        <f>SUM(G14+I14+K14+M14+O14+Q14+S14+U14+W14+Y14+AA14+AC14)</f>
        <v/>
      </c>
      <c r="F14" s="6946">
        <f>SUM(H14+J14+L14+N14+P14+R14+T14+V14+X14+Z14+AB14+AD14)</f>
        <v/>
      </c>
      <c r="G14" s="6708" t="n"/>
      <c r="H14" s="6710" t="n"/>
      <c r="I14" s="6708" t="n"/>
      <c r="J14" s="6710" t="n"/>
      <c r="K14" s="6708" t="n"/>
      <c r="L14" s="6710" t="n"/>
      <c r="M14" s="6708" t="n"/>
      <c r="N14" s="6710" t="n"/>
      <c r="O14" s="6708" t="n"/>
      <c r="P14" s="6710" t="n"/>
      <c r="Q14" s="6708" t="n"/>
      <c r="R14" s="6710" t="n"/>
      <c r="S14" s="6708" t="n"/>
      <c r="T14" s="6710" t="n"/>
      <c r="U14" s="6708" t="n"/>
      <c r="V14" s="6710" t="n"/>
      <c r="W14" s="6708" t="n"/>
      <c r="X14" s="6710" t="n"/>
      <c r="Y14" s="6708" t="n"/>
      <c r="Z14" s="6710" t="n"/>
      <c r="AA14" s="6708" t="n"/>
      <c r="AB14" s="6710" t="n"/>
      <c r="AC14" s="6708" t="n"/>
      <c r="AD14" s="6710" t="n"/>
    </row>
    <row r="15" ht="15" customFormat="1" customHeight="1" s="65">
      <c r="A15" s="10464" t="inlineStr">
        <is>
          <t>TOTAL</t>
        </is>
      </c>
      <c r="B15" s="9584" t="n"/>
      <c r="C15" s="9582" t="n"/>
      <c r="D15" s="6944">
        <f>SUM(E15+F15)</f>
        <v/>
      </c>
      <c r="E15" s="6945">
        <f>SUM(G15+I15+K15+M15+O15+Q15+S15+U15+W15+Y15+AA15+AC15)</f>
        <v/>
      </c>
      <c r="F15" s="6947">
        <f>SUM(H15+J15+L15+N15+P15+R15+T15+V15+X15+Z15+AB15+AD15)</f>
        <v/>
      </c>
      <c r="G15" s="6948">
        <f>SUM(G12:G14)</f>
        <v/>
      </c>
      <c r="H15" s="6949">
        <f>SUM(H12:H14)</f>
        <v/>
      </c>
      <c r="I15" s="6948">
        <f>SUM(I12:I14)</f>
        <v/>
      </c>
      <c r="J15" s="6949">
        <f>SUM(J12:J14)</f>
        <v/>
      </c>
      <c r="K15" s="6950">
        <f>SUM(K12:K14)</f>
        <v/>
      </c>
      <c r="L15" s="6951">
        <f>SUM(L12:L14)</f>
        <v/>
      </c>
      <c r="M15" s="6948">
        <f>SUM(M12:M14)</f>
        <v/>
      </c>
      <c r="N15" s="6951">
        <f>SUM(N12:N14)</f>
        <v/>
      </c>
      <c r="O15" s="6948">
        <f>SUM(O12:O14)</f>
        <v/>
      </c>
      <c r="P15" s="6951">
        <f>SUM(P12:P14)</f>
        <v/>
      </c>
      <c r="Q15" s="6948">
        <f>SUM(Q12:Q14)</f>
        <v/>
      </c>
      <c r="R15" s="6951">
        <f>SUM(R12:R14)</f>
        <v/>
      </c>
      <c r="S15" s="6948">
        <f>SUM(S12:S14)</f>
        <v/>
      </c>
      <c r="T15" s="6951">
        <f>SUM(T12:T14)</f>
        <v/>
      </c>
      <c r="U15" s="6948">
        <f>SUM(U12:U14)</f>
        <v/>
      </c>
      <c r="V15" s="6951">
        <f>SUM(V12:V14)</f>
        <v/>
      </c>
      <c r="W15" s="6948">
        <f>SUM(W12:W14)</f>
        <v/>
      </c>
      <c r="X15" s="6951">
        <f>SUM(X12:X14)</f>
        <v/>
      </c>
      <c r="Y15" s="6948">
        <f>SUM(Y12:Y14)</f>
        <v/>
      </c>
      <c r="Z15" s="6951">
        <f>SUM(Z12:Z14)</f>
        <v/>
      </c>
      <c r="AA15" s="6948">
        <f>SUM(AA12:AA14)</f>
        <v/>
      </c>
      <c r="AB15" s="6951">
        <f>SUM(AB12:AB14)</f>
        <v/>
      </c>
      <c r="AC15" s="6948">
        <f>SUM(AC12:AC14)</f>
        <v/>
      </c>
      <c r="AD15" s="6951">
        <f>SUM(AD12:AD14)</f>
        <v/>
      </c>
    </row>
    <row r="16" ht="15" customFormat="1" customHeight="1" s="65">
      <c r="A16" s="10465" t="inlineStr">
        <is>
          <t>Total días atención otorgados</t>
        </is>
      </c>
      <c r="B16" s="9814" t="n"/>
      <c r="C16" s="9643" t="n"/>
      <c r="D16" s="6271" t="n"/>
      <c r="E16" s="6952" t="n"/>
      <c r="F16" s="6953" t="n"/>
      <c r="G16" s="6954" t="n"/>
      <c r="H16" s="6954" t="n"/>
      <c r="I16" s="6955" t="n"/>
      <c r="J16" s="6953" t="n"/>
      <c r="K16" s="6955" t="n"/>
      <c r="L16" s="6953" t="n"/>
      <c r="M16" s="6955" t="n"/>
      <c r="N16" s="6953" t="n"/>
      <c r="O16" s="6955" t="n"/>
      <c r="P16" s="6953" t="n"/>
      <c r="Q16" s="6955" t="n"/>
      <c r="R16" s="6953" t="n"/>
      <c r="S16" s="6955" t="n"/>
      <c r="T16" s="6953" t="n"/>
      <c r="U16" s="6955" t="n"/>
      <c r="V16" s="6953" t="n"/>
      <c r="W16" s="6955" t="n"/>
      <c r="X16" s="6953" t="n"/>
      <c r="Y16" s="6955" t="n"/>
      <c r="Z16" s="6953" t="n"/>
      <c r="AA16" s="6955" t="n"/>
      <c r="AB16" s="6956" t="n"/>
      <c r="AC16" s="6957" t="n"/>
      <c r="AD16" s="6958" t="n"/>
    </row>
    <row r="17" ht="15" customFormat="1" customHeight="1" s="65">
      <c r="A17" s="10466" t="inlineStr">
        <is>
          <t>Total colectas móviles realizadas</t>
        </is>
      </c>
      <c r="B17" s="9817" t="n"/>
      <c r="C17" s="9720" t="n"/>
      <c r="D17" s="6350" t="n"/>
      <c r="E17" s="6959" t="n"/>
      <c r="F17" s="6960" t="n"/>
      <c r="G17" s="6961" t="n"/>
      <c r="H17" s="6961" t="n"/>
      <c r="I17" s="6962" t="n"/>
      <c r="J17" s="6960" t="n"/>
      <c r="K17" s="6962" t="n"/>
      <c r="L17" s="6960" t="n"/>
      <c r="M17" s="6962" t="n"/>
      <c r="N17" s="6960" t="n"/>
      <c r="O17" s="6962" t="n"/>
      <c r="P17" s="6960" t="n"/>
      <c r="Q17" s="6962" t="n"/>
      <c r="R17" s="6960" t="n"/>
      <c r="S17" s="6962" t="n"/>
      <c r="T17" s="6960" t="n"/>
      <c r="U17" s="6962" t="n"/>
      <c r="V17" s="6960" t="n"/>
      <c r="W17" s="6962" t="n"/>
      <c r="X17" s="6960" t="n"/>
      <c r="Y17" s="6962" t="n"/>
      <c r="Z17" s="6960" t="n"/>
      <c r="AA17" s="6962" t="n"/>
      <c r="AB17" s="6552" t="n"/>
      <c r="AC17" s="6959" t="n"/>
      <c r="AD17" s="6552" t="n"/>
    </row>
    <row r="18" ht="18" customFormat="1" customHeight="1" s="939">
      <c r="A18" s="10467" t="inlineStr">
        <is>
          <t>SECCIÓN A.2:  TIPO DE DONANTES CON CONTRAINDICACIÓN (CS-UTT-BS- CDD)</t>
        </is>
      </c>
      <c r="B18" s="9617" t="n"/>
      <c r="C18" s="9617" t="n"/>
    </row>
    <row r="19" ht="15" customHeight="1" s="8286">
      <c r="A19" s="9624" t="inlineStr">
        <is>
          <t>DONANTES</t>
        </is>
      </c>
      <c r="B19" s="9624" t="inlineStr">
        <is>
          <t>DESCRIPCIÓN</t>
        </is>
      </c>
      <c r="C19" s="9630" t="n"/>
      <c r="D19" s="8250" t="inlineStr">
        <is>
          <t>TOTAL</t>
        </is>
      </c>
      <c r="E19" s="9602" t="n"/>
      <c r="F19" s="9602" t="n"/>
      <c r="G19" s="7632" t="inlineStr">
        <is>
          <t>RANGO ETARIO Y SEXO</t>
        </is>
      </c>
      <c r="H19" s="9584" t="n"/>
      <c r="I19" s="9584" t="n"/>
      <c r="J19" s="9584" t="n"/>
      <c r="K19" s="9584" t="n"/>
      <c r="L19" s="9584" t="n"/>
      <c r="M19" s="9584" t="n"/>
      <c r="N19" s="9584" t="n"/>
      <c r="O19" s="9584" t="n"/>
      <c r="P19" s="9584" t="n"/>
      <c r="Q19" s="9584" t="n"/>
      <c r="R19" s="9584" t="n"/>
      <c r="S19" s="9584" t="n"/>
      <c r="T19" s="9584" t="n"/>
      <c r="U19" s="9584" t="n"/>
      <c r="V19" s="9584" t="n"/>
      <c r="W19" s="9584" t="n"/>
      <c r="X19" s="9584" t="n"/>
      <c r="Y19" s="9584" t="n"/>
      <c r="Z19" s="9584" t="n"/>
      <c r="AA19" s="9584" t="n"/>
      <c r="AB19" s="9584" t="n"/>
      <c r="AC19" s="9584" t="n"/>
      <c r="AD19" s="9582" t="n"/>
    </row>
    <row r="20" ht="15" customHeight="1" s="8286">
      <c r="A20" s="9627" t="n"/>
      <c r="B20" s="642" t="n"/>
      <c r="C20" s="9718" t="n"/>
      <c r="D20" s="9698" t="n"/>
      <c r="E20" s="9591" t="n"/>
      <c r="F20" s="9591" t="n"/>
      <c r="G20" s="9618" t="inlineStr">
        <is>
          <t>17 años</t>
        </is>
      </c>
      <c r="H20" s="9582" t="n"/>
      <c r="I20" s="9874" t="inlineStr">
        <is>
          <t>18-19 años</t>
        </is>
      </c>
      <c r="J20" s="9647" t="n"/>
      <c r="K20" s="9874" t="inlineStr">
        <is>
          <t>20-24 años</t>
        </is>
      </c>
      <c r="L20" s="9647" t="n"/>
      <c r="M20" s="9874" t="inlineStr">
        <is>
          <t>25-29 años</t>
        </is>
      </c>
      <c r="N20" s="9647" t="n"/>
      <c r="O20" s="9874" t="inlineStr">
        <is>
          <t>30-34 años</t>
        </is>
      </c>
      <c r="P20" s="9647" t="n"/>
      <c r="Q20" s="9874" t="inlineStr">
        <is>
          <t>35-39 años</t>
        </is>
      </c>
      <c r="R20" s="9647" t="n"/>
      <c r="S20" s="9874" t="inlineStr">
        <is>
          <t>40-44 años</t>
        </is>
      </c>
      <c r="T20" s="9647" t="n"/>
      <c r="U20" s="9874" t="inlineStr">
        <is>
          <t>45-49 años</t>
        </is>
      </c>
      <c r="V20" s="9647" t="n"/>
      <c r="W20" s="9874" t="inlineStr">
        <is>
          <t>50-54 años</t>
        </is>
      </c>
      <c r="X20" s="9647" t="n"/>
      <c r="Y20" s="9874" t="inlineStr">
        <is>
          <t>55-59 años</t>
        </is>
      </c>
      <c r="Z20" s="9647" t="n"/>
      <c r="AA20" s="9874" t="inlineStr">
        <is>
          <t>60-64 años</t>
        </is>
      </c>
      <c r="AB20" s="9647" t="n"/>
      <c r="AC20" s="9874" t="inlineStr">
        <is>
          <t>65 y más años</t>
        </is>
      </c>
      <c r="AD20" s="9647" t="n"/>
    </row>
    <row r="21" ht="15" customHeight="1" s="8286">
      <c r="A21" s="9621" t="n"/>
      <c r="B21" s="9698" t="n"/>
      <c r="C21" s="9776" t="n"/>
      <c r="D21" s="6796" t="inlineStr">
        <is>
          <t>Ambos Sexos</t>
        </is>
      </c>
      <c r="E21" s="6797" t="inlineStr">
        <is>
          <t>Hombres</t>
        </is>
      </c>
      <c r="F21" s="8804" t="inlineStr">
        <is>
          <t>Mujeres</t>
        </is>
      </c>
      <c r="G21" s="6937" t="inlineStr">
        <is>
          <t>Hombres</t>
        </is>
      </c>
      <c r="H21" s="8843" t="inlineStr">
        <is>
          <t>Mujeres</t>
        </is>
      </c>
      <c r="I21" s="6937" t="inlineStr">
        <is>
          <t>Hombres</t>
        </is>
      </c>
      <c r="J21" s="8843" t="inlineStr">
        <is>
          <t>Mujeres</t>
        </is>
      </c>
      <c r="K21" s="6937" t="inlineStr">
        <is>
          <t>Hombres</t>
        </is>
      </c>
      <c r="L21" s="8899" t="inlineStr">
        <is>
          <t>Mujeres</t>
        </is>
      </c>
      <c r="M21" s="6937" t="inlineStr">
        <is>
          <t>Hombres</t>
        </is>
      </c>
      <c r="N21" s="8843" t="inlineStr">
        <is>
          <t>Mujeres</t>
        </is>
      </c>
      <c r="O21" s="6937" t="inlineStr">
        <is>
          <t>Hombres</t>
        </is>
      </c>
      <c r="P21" s="8843" t="inlineStr">
        <is>
          <t>Mujeres</t>
        </is>
      </c>
      <c r="Q21" s="6937" t="inlineStr">
        <is>
          <t>Hombres</t>
        </is>
      </c>
      <c r="R21" s="8843" t="inlineStr">
        <is>
          <t>Mujeres</t>
        </is>
      </c>
      <c r="S21" s="6937" t="inlineStr">
        <is>
          <t>Hombres</t>
        </is>
      </c>
      <c r="T21" s="8843" t="inlineStr">
        <is>
          <t>Mujeres</t>
        </is>
      </c>
      <c r="U21" s="6937" t="inlineStr">
        <is>
          <t>Hombres</t>
        </is>
      </c>
      <c r="V21" s="8843" t="inlineStr">
        <is>
          <t>Mujeres</t>
        </is>
      </c>
      <c r="W21" s="6937" t="inlineStr">
        <is>
          <t>Hombres</t>
        </is>
      </c>
      <c r="X21" s="8843" t="inlineStr">
        <is>
          <t>Mujeres</t>
        </is>
      </c>
      <c r="Y21" s="6937" t="inlineStr">
        <is>
          <t>Hombres</t>
        </is>
      </c>
      <c r="Z21" s="8843" t="inlineStr">
        <is>
          <t>Mujeres</t>
        </is>
      </c>
      <c r="AA21" s="6937" t="inlineStr">
        <is>
          <t>Hombres</t>
        </is>
      </c>
      <c r="AB21" s="8843" t="inlineStr">
        <is>
          <t>Mujeres</t>
        </is>
      </c>
      <c r="AC21" s="6937" t="inlineStr">
        <is>
          <t>Hombres</t>
        </is>
      </c>
      <c r="AD21" s="8843" t="inlineStr">
        <is>
          <t>Mujeres</t>
        </is>
      </c>
    </row>
    <row r="22" ht="15" customHeight="1" s="8286">
      <c r="A22" s="10436" t="inlineStr">
        <is>
          <t>Altruistas</t>
        </is>
      </c>
      <c r="B22" s="9612" t="inlineStr">
        <is>
          <t>Nuevos</t>
        </is>
      </c>
      <c r="C22" s="6963" t="inlineStr">
        <is>
          <t>Contraindicación Transitoria</t>
        </is>
      </c>
      <c r="D22" s="1537">
        <f>SUM(E22+F22)</f>
        <v/>
      </c>
      <c r="E22" s="941">
        <f>SUM(G22+I22+K22+M22+O22+Q22+S22+U22+W22+Y22+AA22+AC22)</f>
        <v/>
      </c>
      <c r="F22" s="6964">
        <f>SUM(H22+J22+L22+N22+P22+R22+T22+V22+X22+Z22+AB22+AD22)</f>
        <v/>
      </c>
      <c r="G22" s="5843" t="n"/>
      <c r="H22" s="6103" t="n"/>
      <c r="I22" s="5843" t="n"/>
      <c r="J22" s="6103" t="n"/>
      <c r="K22" s="6271" t="n"/>
      <c r="L22" s="6679" t="n"/>
      <c r="M22" s="6678" t="n"/>
      <c r="N22" s="6379" t="n"/>
      <c r="O22" s="6678" t="n"/>
      <c r="P22" s="6379" t="n"/>
      <c r="Q22" s="6678" t="n"/>
      <c r="R22" s="6379" t="n"/>
      <c r="S22" s="6678" t="n"/>
      <c r="T22" s="6379" t="n"/>
      <c r="U22" s="6678" t="n"/>
      <c r="V22" s="6379" t="n"/>
      <c r="W22" s="6678" t="n"/>
      <c r="X22" s="6379" t="n"/>
      <c r="Y22" s="6678" t="n"/>
      <c r="Z22" s="6379" t="n"/>
      <c r="AA22" s="6271" t="n"/>
      <c r="AB22" s="6379" t="n"/>
      <c r="AC22" s="6271" t="n"/>
      <c r="AD22" s="6379" t="n"/>
    </row>
    <row r="23" ht="15" customHeight="1" s="8286">
      <c r="A23" s="9614" t="n"/>
      <c r="B23" s="9589" t="n"/>
      <c r="C23" s="6965" t="inlineStr">
        <is>
          <t>Contraindicación Permanente</t>
        </is>
      </c>
      <c r="D23" s="6966">
        <f>SUM(E23+F23)</f>
        <v/>
      </c>
      <c r="E23" s="6967">
        <f>SUM(G23+I23+K23+M23+O23+Q23+S23+U23+W23+Y23+AA23+AC23)</f>
        <v/>
      </c>
      <c r="F23" s="6349">
        <f>SUM(H23+J23+L23+N23+P23+R23+T23+V23+X23+Z23+AB23+AD23)</f>
        <v/>
      </c>
      <c r="G23" s="6695" t="n"/>
      <c r="H23" s="6701" t="n"/>
      <c r="I23" s="6695" t="n"/>
      <c r="J23" s="6701" t="n"/>
      <c r="K23" s="6350" t="n"/>
      <c r="L23" s="6351" t="n"/>
      <c r="M23" s="6968" t="n"/>
      <c r="N23" s="6242" t="n"/>
      <c r="O23" s="6968" t="n"/>
      <c r="P23" s="6242" t="n"/>
      <c r="Q23" s="6968" t="n"/>
      <c r="R23" s="6242" t="n"/>
      <c r="S23" s="6968" t="n"/>
      <c r="T23" s="6242" t="n"/>
      <c r="U23" s="6968" t="n"/>
      <c r="V23" s="6242" t="n"/>
      <c r="W23" s="6968" t="n"/>
      <c r="X23" s="6242" t="n"/>
      <c r="Y23" s="6968" t="n"/>
      <c r="Z23" s="6242" t="n"/>
      <c r="AA23" s="6968" t="n"/>
      <c r="AB23" s="6242" t="n"/>
      <c r="AC23" s="6968" t="n"/>
      <c r="AD23" s="6242" t="n"/>
    </row>
    <row r="24" ht="15" customHeight="1" s="8286">
      <c r="A24" s="9614" t="n"/>
      <c r="B24" s="9612" t="inlineStr">
        <is>
          <t>Repetidos</t>
        </is>
      </c>
      <c r="C24" s="6963" t="inlineStr">
        <is>
          <t>Contraindicación Transitoria</t>
        </is>
      </c>
      <c r="D24" s="6969">
        <f>SUM(E24+F24)</f>
        <v/>
      </c>
      <c r="E24" s="941">
        <f>SUM(G24+I24+K24+M24+O24+Q24+S24+U24+W24+Y24+AA24+AC24)</f>
        <v/>
      </c>
      <c r="F24" s="6964">
        <f>SUM(H24+J24+L24+N24+P24+R24+T24+V24+X24+Z24+AB24+AD24)</f>
        <v/>
      </c>
      <c r="G24" s="6686" t="n"/>
      <c r="H24" s="6691" t="n"/>
      <c r="I24" s="6686" t="n"/>
      <c r="J24" s="6691" t="n"/>
      <c r="K24" s="6686" t="n"/>
      <c r="L24" s="6559" t="n"/>
      <c r="M24" s="6685" t="n"/>
      <c r="N24" s="6691" t="n"/>
      <c r="O24" s="6685" t="n"/>
      <c r="P24" s="6691" t="n"/>
      <c r="Q24" s="6685" t="n"/>
      <c r="R24" s="6691" t="n"/>
      <c r="S24" s="6685" t="n"/>
      <c r="T24" s="6691" t="n"/>
      <c r="U24" s="6685" t="n"/>
      <c r="V24" s="6691" t="n"/>
      <c r="W24" s="6685" t="n"/>
      <c r="X24" s="6691" t="n"/>
      <c r="Y24" s="6685" t="n"/>
      <c r="Z24" s="6691" t="n"/>
      <c r="AA24" s="6685" t="n"/>
      <c r="AB24" s="6691" t="n"/>
      <c r="AC24" s="6685" t="n"/>
      <c r="AD24" s="6691" t="n"/>
    </row>
    <row r="25" ht="15" customHeight="1" s="8286">
      <c r="A25" s="9610" t="n"/>
      <c r="B25" s="9589" t="n"/>
      <c r="C25" s="6965" t="inlineStr">
        <is>
          <t>Contraindicación Permanente</t>
        </is>
      </c>
      <c r="D25" s="6966">
        <f>SUM(E25+F25)</f>
        <v/>
      </c>
      <c r="E25" s="6967">
        <f>SUM(G25+I25+K25+M25+O25+Q25+S25+U25+W25+Y25+AA25+AC25)</f>
        <v/>
      </c>
      <c r="F25" s="6349">
        <f>SUM(H25+J25+L25+N25+P25+R25+T25+V25+X25+Z25+AB25+AD25)</f>
        <v/>
      </c>
      <c r="G25" s="6695" t="n"/>
      <c r="H25" s="6701" t="n"/>
      <c r="I25" s="6695" t="n"/>
      <c r="J25" s="6701" t="n"/>
      <c r="K25" s="6695" t="n"/>
      <c r="L25" s="5867" t="n"/>
      <c r="M25" s="6694" t="n"/>
      <c r="N25" s="6701" t="n"/>
      <c r="O25" s="6694" t="n"/>
      <c r="P25" s="6701" t="n"/>
      <c r="Q25" s="6694" t="n"/>
      <c r="R25" s="6701" t="n"/>
      <c r="S25" s="6694" t="n"/>
      <c r="T25" s="6701" t="n"/>
      <c r="U25" s="6694" t="n"/>
      <c r="V25" s="6701" t="n"/>
      <c r="W25" s="6694" t="n"/>
      <c r="X25" s="6701" t="n"/>
      <c r="Y25" s="6694" t="n"/>
      <c r="Z25" s="6701" t="n"/>
      <c r="AA25" s="6694" t="n"/>
      <c r="AB25" s="6701" t="n"/>
      <c r="AC25" s="6694" t="n"/>
      <c r="AD25" s="6701" t="n"/>
    </row>
    <row r="26" ht="15" customHeight="1" s="8286">
      <c r="A26" s="10468" t="inlineStr">
        <is>
          <t>Reposición</t>
        </is>
      </c>
      <c r="B26" s="9718" t="n"/>
      <c r="C26" s="6874" t="inlineStr">
        <is>
          <t>Contraindicación Transitoria</t>
        </is>
      </c>
      <c r="D26" s="946">
        <f>SUM(E26+F26)</f>
        <v/>
      </c>
      <c r="E26" s="941">
        <f>SUM(G26+I26+K26+M26+O26+Q26+S26+U26+W26+Y26+AA26+AC26)</f>
        <v/>
      </c>
      <c r="F26" s="6964">
        <f>SUM(H26+J26+L26+N26+P26+R26+T26+V26+X26+Z26+AB26+AD26)</f>
        <v/>
      </c>
      <c r="G26" s="6703" t="n"/>
      <c r="H26" s="6970" t="n"/>
      <c r="I26" s="6703" t="n"/>
      <c r="J26" s="6970" t="n"/>
      <c r="K26" s="6731" t="n"/>
      <c r="L26" s="6733" t="n"/>
      <c r="M26" s="6703" t="n"/>
      <c r="N26" s="6970" t="n"/>
      <c r="O26" s="6703" t="n"/>
      <c r="P26" s="6970" t="n"/>
      <c r="Q26" s="6703" t="n"/>
      <c r="R26" s="6970" t="n"/>
      <c r="S26" s="6703" t="n"/>
      <c r="T26" s="6970" t="n"/>
      <c r="U26" s="6703" t="n"/>
      <c r="V26" s="6970" t="n"/>
      <c r="W26" s="6703" t="n"/>
      <c r="X26" s="6970" t="n"/>
      <c r="Y26" s="6703" t="n"/>
      <c r="Z26" s="6970" t="n"/>
      <c r="AA26" s="6703" t="n"/>
      <c r="AB26" s="6970" t="n"/>
      <c r="AC26" s="6703" t="n"/>
      <c r="AD26" s="6970" t="n"/>
    </row>
    <row r="27" ht="15" customHeight="1" s="8286">
      <c r="A27" s="9638" t="n"/>
      <c r="B27" s="9639" t="n"/>
      <c r="C27" s="6971" t="inlineStr">
        <is>
          <t>Contraindicación Permanente</t>
        </is>
      </c>
      <c r="D27" s="6966">
        <f>SUM(E27+F27)</f>
        <v/>
      </c>
      <c r="E27" s="6967">
        <f>SUM(G27+I27+K27+M27+O27+Q27+S27+U27+W27+Y27+AA27+AC27)</f>
        <v/>
      </c>
      <c r="F27" s="6349">
        <f>SUM(H27+J27+L27+N27+P27+R27+T27+V27+X27+Z27+AB27+AD27)</f>
        <v/>
      </c>
      <c r="G27" s="6694" t="n"/>
      <c r="H27" s="6701" t="n"/>
      <c r="I27" s="6694" t="n"/>
      <c r="J27" s="6701" t="n"/>
      <c r="K27" s="6695" t="n"/>
      <c r="L27" s="5867" t="n"/>
      <c r="M27" s="6694" t="n"/>
      <c r="N27" s="6701" t="n"/>
      <c r="O27" s="6694" t="n"/>
      <c r="P27" s="6701" t="n"/>
      <c r="Q27" s="6694" t="n"/>
      <c r="R27" s="6701" t="n"/>
      <c r="S27" s="6694" t="n"/>
      <c r="T27" s="6701" t="n"/>
      <c r="U27" s="6694" t="n"/>
      <c r="V27" s="6701" t="n"/>
      <c r="W27" s="6694" t="n"/>
      <c r="X27" s="6701" t="n"/>
      <c r="Y27" s="6694" t="n"/>
      <c r="Z27" s="6701" t="n"/>
      <c r="AA27" s="6694" t="n"/>
      <c r="AB27" s="6701" t="n"/>
      <c r="AC27" s="6694" t="n"/>
      <c r="AD27" s="6701" t="n"/>
    </row>
    <row r="28" ht="15" customHeight="1" s="8286">
      <c r="A28" s="10469" t="inlineStr">
        <is>
          <t>TOTAL</t>
        </is>
      </c>
      <c r="B28" s="9591" t="n"/>
      <c r="C28" s="9776" t="n"/>
      <c r="D28" s="6514">
        <f>SUM(D22:D27)</f>
        <v/>
      </c>
      <c r="E28" s="6602">
        <f>SUM(E22:E27)</f>
        <v/>
      </c>
      <c r="F28" s="6972">
        <f>SUM(F22:F27)</f>
        <v/>
      </c>
      <c r="G28" s="6917">
        <f>SUM(G22:G27)</f>
        <v/>
      </c>
      <c r="H28" s="6973">
        <f>SUM(H22:H27)</f>
        <v/>
      </c>
      <c r="I28" s="6917">
        <f>SUM(I22:I27)</f>
        <v/>
      </c>
      <c r="J28" s="6973">
        <f>SUM(J22:J27)</f>
        <v/>
      </c>
      <c r="K28" s="6974">
        <f>SUM(K22:K27)</f>
        <v/>
      </c>
      <c r="L28" s="6603">
        <f>SUM(L22:L27)</f>
        <v/>
      </c>
      <c r="M28" s="6917">
        <f>SUM(M22:M27)</f>
        <v/>
      </c>
      <c r="N28" s="6973">
        <f>SUM(N22:N27)</f>
        <v/>
      </c>
      <c r="O28" s="6917">
        <f>SUM(O22:O27)</f>
        <v/>
      </c>
      <c r="P28" s="6973">
        <f>SUM(P22:P27)</f>
        <v/>
      </c>
      <c r="Q28" s="6917">
        <f>SUM(Q22:Q27)</f>
        <v/>
      </c>
      <c r="R28" s="6973">
        <f>SUM(R22:R27)</f>
        <v/>
      </c>
      <c r="S28" s="6917">
        <f>SUM(S22:S27)</f>
        <v/>
      </c>
      <c r="T28" s="6973">
        <f>SUM(T22:T27)</f>
        <v/>
      </c>
      <c r="U28" s="6917">
        <f>SUM(U22:U27)</f>
        <v/>
      </c>
      <c r="V28" s="6973">
        <f>SUM(V22:V27)</f>
        <v/>
      </c>
      <c r="W28" s="6917">
        <f>SUM(W22:W27)</f>
        <v/>
      </c>
      <c r="X28" s="6973">
        <f>SUM(X22:X27)</f>
        <v/>
      </c>
      <c r="Y28" s="6917">
        <f>SUM(Y22:Y27)</f>
        <v/>
      </c>
      <c r="Z28" s="6973">
        <f>SUM(Z22:Z27)</f>
        <v/>
      </c>
      <c r="AA28" s="6917">
        <f>SUM(AA22:AA27)</f>
        <v/>
      </c>
      <c r="AB28" s="6973">
        <f>SUM(AB22:AB27)</f>
        <v/>
      </c>
      <c r="AC28" s="6917">
        <f>SUM(AC22:AC27)</f>
        <v/>
      </c>
      <c r="AD28" s="6973">
        <f>SUM(AD22:AD27)</f>
        <v/>
      </c>
    </row>
    <row r="29" ht="18" customFormat="1" customHeight="1" s="939">
      <c r="A29" s="10470" t="inlineStr">
        <is>
          <t>SECCIÓN A.3: REACCIONES ADVERSAS A LA DONACIÓN (CS-UTT-BS - CDD)</t>
        </is>
      </c>
      <c r="B29" s="9617" t="n"/>
      <c r="C29" s="9617" t="n"/>
      <c r="D29" s="9617" t="n"/>
      <c r="E29" s="9617" t="n"/>
      <c r="F29" s="9617" t="n"/>
    </row>
    <row r="30" ht="15" customHeight="1" s="8286">
      <c r="A30" s="6975" t="inlineStr">
        <is>
          <t>CLASIFICACIÓN</t>
        </is>
      </c>
      <c r="B30" s="6975" t="inlineStr">
        <is>
          <t>TIPO</t>
        </is>
      </c>
      <c r="C30" s="10471" t="inlineStr">
        <is>
          <t>SUBTIPO</t>
        </is>
      </c>
      <c r="D30" s="9582" t="n"/>
      <c r="E30" s="6976" t="inlineStr">
        <is>
          <t>TOTAL</t>
        </is>
      </c>
      <c r="F30" s="6977" t="inlineStr">
        <is>
          <t>Altruista</t>
        </is>
      </c>
      <c r="G30" s="6978" t="inlineStr">
        <is>
          <t>Reposición</t>
        </is>
      </c>
    </row>
    <row r="31" ht="15" customHeight="1" s="8286">
      <c r="A31" s="10432" t="inlineStr">
        <is>
          <t>Complicaciones con síntomas locales</t>
        </is>
      </c>
      <c r="B31" s="10472" t="inlineStr">
        <is>
          <t>Sangre fuera de los vasos sanguíneos</t>
        </is>
      </c>
      <c r="C31" s="10473" t="inlineStr">
        <is>
          <t>Hematoma</t>
        </is>
      </c>
      <c r="D31" s="9643" t="n"/>
      <c r="E31" s="6980">
        <f>SUM(F31:G31)</f>
        <v/>
      </c>
      <c r="F31" s="6305" t="n"/>
      <c r="G31" s="6981" t="n"/>
    </row>
    <row r="32" ht="15" customHeight="1" s="8286">
      <c r="A32" s="9588" t="n"/>
      <c r="B32" s="9627" t="n"/>
      <c r="C32" s="10474" t="inlineStr">
        <is>
          <t>Punción arterial</t>
        </is>
      </c>
      <c r="D32" s="9644" t="n"/>
      <c r="E32" s="6982">
        <f>SUM(F32:G32)</f>
        <v/>
      </c>
      <c r="F32" s="6983" t="n"/>
      <c r="G32" s="6984" t="n"/>
    </row>
    <row r="33" ht="15" customHeight="1" s="8286">
      <c r="A33" s="9588" t="n"/>
      <c r="B33" s="9621" t="n"/>
      <c r="C33" s="10475" t="inlineStr">
        <is>
          <t>Sangramiento posterior</t>
        </is>
      </c>
      <c r="D33" s="9720" t="n"/>
      <c r="E33" s="6985">
        <f>SUM(F33:G33)</f>
        <v/>
      </c>
      <c r="F33" s="6986" t="n"/>
      <c r="G33" s="1520" t="n"/>
    </row>
    <row r="34" ht="15" customHeight="1" s="8286">
      <c r="A34" s="9588" t="n"/>
      <c r="B34" s="10432" t="inlineStr">
        <is>
          <t>Dolor</t>
        </is>
      </c>
      <c r="C34" s="10476" t="inlineStr">
        <is>
          <t>Irritación o injuria en un nervio</t>
        </is>
      </c>
      <c r="D34" s="9935" t="n"/>
      <c r="E34" s="6987">
        <f>SUM(F34:G34)</f>
        <v/>
      </c>
      <c r="F34" s="5999" t="n"/>
      <c r="G34" s="5572" t="n"/>
    </row>
    <row r="35" ht="15" customHeight="1" s="8286">
      <c r="A35" s="9588" t="n"/>
      <c r="B35" s="9589" t="n"/>
      <c r="C35" s="10475" t="inlineStr">
        <is>
          <t>Brazo doloroso</t>
        </is>
      </c>
      <c r="D35" s="9720" t="n"/>
      <c r="E35" s="6985">
        <f>SUM(F35:G35)</f>
        <v/>
      </c>
      <c r="F35" s="6986" t="n"/>
      <c r="G35" s="1520" t="n"/>
    </row>
    <row r="36" ht="15" customHeight="1" s="8286">
      <c r="A36" s="9588" t="n"/>
      <c r="B36" s="10477" t="inlineStr">
        <is>
          <t>Inflamación o infección localizada</t>
        </is>
      </c>
      <c r="C36" s="10476" t="inlineStr">
        <is>
          <t>Tromboflebitis</t>
        </is>
      </c>
      <c r="D36" s="9935" t="n"/>
      <c r="E36" s="6987">
        <f>SUM(F36:G36)</f>
        <v/>
      </c>
      <c r="F36" s="5999" t="n"/>
      <c r="G36" s="5572" t="n"/>
    </row>
    <row r="37" ht="15" customHeight="1" s="8286">
      <c r="A37" s="9588" t="n"/>
      <c r="B37" s="9589" t="n"/>
      <c r="C37" s="10478" t="inlineStr">
        <is>
          <t>Celulitis</t>
        </is>
      </c>
      <c r="D37" s="9720" t="n"/>
      <c r="E37" s="6985">
        <f>SUM(F37:G37)</f>
        <v/>
      </c>
      <c r="F37" s="6986" t="n"/>
      <c r="G37" s="1520" t="n"/>
    </row>
    <row r="38" ht="15" customHeight="1" s="8286">
      <c r="A38" s="9588" t="n"/>
      <c r="B38" s="10477" t="inlineStr">
        <is>
          <t>Otras injurias mayores en los vasos sanguíneos</t>
        </is>
      </c>
      <c r="C38" s="10479" t="inlineStr">
        <is>
          <t>Trombosis venosa profunda</t>
        </is>
      </c>
      <c r="D38" s="9935" t="n"/>
      <c r="E38" s="6987">
        <f>SUM(F38:G38)</f>
        <v/>
      </c>
      <c r="F38" s="5999" t="n"/>
      <c r="G38" s="5572" t="n"/>
    </row>
    <row r="39" ht="15" customHeight="1" s="8286">
      <c r="A39" s="9588" t="n"/>
      <c r="B39" s="9588" t="n"/>
      <c r="C39" s="10480" t="inlineStr">
        <is>
          <t>Fístula arteriovenosa</t>
        </is>
      </c>
      <c r="D39" s="9644" t="n"/>
      <c r="E39" s="6982">
        <f>SUM(F39:G39)</f>
        <v/>
      </c>
      <c r="F39" s="6983" t="n"/>
      <c r="G39" s="6984" t="n"/>
    </row>
    <row r="40" ht="15" customHeight="1" s="8286">
      <c r="A40" s="9588" t="n"/>
      <c r="B40" s="9588" t="n"/>
      <c r="C40" s="10480" t="inlineStr">
        <is>
          <t>Síndrome compartimental</t>
        </is>
      </c>
      <c r="D40" s="9644" t="n"/>
      <c r="E40" s="6982">
        <f>SUM(F40:G40)</f>
        <v/>
      </c>
      <c r="F40" s="6983" t="n"/>
      <c r="G40" s="6984" t="n"/>
    </row>
    <row r="41" ht="15" customHeight="1" s="8286">
      <c r="A41" s="9589" t="n"/>
      <c r="B41" s="9589" t="n"/>
      <c r="C41" s="10478" t="inlineStr">
        <is>
          <t>Pseudoaneurisma de la arteria braquial</t>
        </is>
      </c>
      <c r="D41" s="9720" t="n"/>
      <c r="E41" s="6985">
        <f>SUM(F41:G41)</f>
        <v/>
      </c>
      <c r="F41" s="6986" t="n"/>
      <c r="G41" s="1520" t="n"/>
    </row>
    <row r="42" ht="15" customHeight="1" s="8286">
      <c r="A42" s="10432" t="inlineStr">
        <is>
          <t>Complicaciones con síntomas generalizados</t>
        </is>
      </c>
      <c r="B42" s="10432" t="inlineStr">
        <is>
          <t>Reacción vasovagal (RVV)</t>
        </is>
      </c>
      <c r="C42" s="8785" t="inlineStr">
        <is>
          <t>Sin pérdida de conciencia</t>
        </is>
      </c>
      <c r="D42" s="9776" t="n"/>
      <c r="E42" s="6988">
        <f>SUM(F42:G42)</f>
        <v/>
      </c>
      <c r="F42" s="6989" t="n"/>
      <c r="G42" s="6990" t="n"/>
    </row>
    <row r="43" ht="21" customHeight="1" s="8286">
      <c r="A43" s="9588" t="n"/>
      <c r="B43" s="9588" t="n"/>
      <c r="C43" s="10432" t="inlineStr">
        <is>
          <t>Con pérdida de conciencia</t>
        </is>
      </c>
      <c r="D43" s="6991" t="inlineStr">
        <is>
          <t>&lt;60 segundos, sin complicaciones</t>
        </is>
      </c>
      <c r="E43" s="6992">
        <f>SUM(F43:G43)</f>
        <v/>
      </c>
      <c r="F43" s="6516" t="n"/>
      <c r="G43" s="6517" t="n"/>
    </row>
    <row r="44" ht="31.5" customHeight="1" s="8286">
      <c r="A44" s="9588" t="n"/>
      <c r="B44" s="9588" t="n"/>
      <c r="C44" s="9589" t="n"/>
      <c r="D44" s="6993" t="inlineStr">
        <is>
          <t>≥ 60 segundos y/ o convulsiones o incontinencia</t>
        </is>
      </c>
      <c r="E44" s="6992">
        <f>SUM(F44:G44)</f>
        <v/>
      </c>
      <c r="F44" s="6516" t="n"/>
      <c r="G44" s="6517" t="n"/>
    </row>
    <row r="45" ht="15" customHeight="1" s="8286">
      <c r="A45" s="9588" t="n"/>
      <c r="B45" s="9588" t="n"/>
      <c r="C45" s="10481" t="inlineStr">
        <is>
          <t>Con lesión</t>
        </is>
      </c>
      <c r="D45" s="9643" t="n"/>
      <c r="E45" s="6987">
        <f>SUM(F45:G45)</f>
        <v/>
      </c>
      <c r="F45" s="5999" t="n"/>
      <c r="G45" s="5572" t="n"/>
    </row>
    <row r="46" ht="15" customHeight="1" s="8286">
      <c r="A46" s="9588" t="n"/>
      <c r="B46" s="9588" t="n"/>
      <c r="C46" s="10482" t="inlineStr">
        <is>
          <t>Sin lesión</t>
        </is>
      </c>
      <c r="D46" s="9644" t="n"/>
      <c r="E46" s="6982">
        <f>SUM(F46:G46)</f>
        <v/>
      </c>
      <c r="F46" s="6983" t="n"/>
      <c r="G46" s="6984" t="n"/>
    </row>
    <row r="47" ht="15" customHeight="1" s="8286">
      <c r="A47" s="9588" t="n"/>
      <c r="B47" s="9588" t="n"/>
      <c r="C47" s="10482" t="inlineStr">
        <is>
          <t>En el sitio de recolección</t>
        </is>
      </c>
      <c r="D47" s="9644" t="n"/>
      <c r="E47" s="6982">
        <f>SUM(F47:G47)</f>
        <v/>
      </c>
      <c r="F47" s="6983" t="n"/>
      <c r="G47" s="6984" t="n"/>
    </row>
    <row r="48" ht="15" customHeight="1" s="8286">
      <c r="A48" s="9589" t="n"/>
      <c r="B48" s="9589" t="n"/>
      <c r="C48" s="8785" t="inlineStr">
        <is>
          <t>Fuera del sitio de recolección</t>
        </is>
      </c>
      <c r="D48" s="9776" t="n"/>
      <c r="E48" s="6985">
        <f>SUM(F48:G48)</f>
        <v/>
      </c>
      <c r="F48" s="6986" t="n"/>
      <c r="G48" s="1520" t="n"/>
    </row>
    <row r="49" ht="15" customHeight="1" s="8286">
      <c r="A49" s="10432" t="inlineStr">
        <is>
          <t>Complicaciones relacionadas a la aféresis</t>
        </is>
      </c>
      <c r="B49" s="10481" t="inlineStr">
        <is>
          <t>Reacción al citrato</t>
        </is>
      </c>
      <c r="C49" s="9814" t="n"/>
      <c r="D49" s="9643" t="n"/>
      <c r="E49" s="6980">
        <f>SUM(F49:G49)</f>
        <v/>
      </c>
      <c r="F49" s="6305" t="n"/>
      <c r="G49" s="6981" t="n"/>
    </row>
    <row r="50" ht="15" customHeight="1" s="8286">
      <c r="A50" s="9588" t="n"/>
      <c r="B50" s="10482" t="inlineStr">
        <is>
          <t>Hemólisis</t>
        </is>
      </c>
      <c r="C50" s="10208" t="n"/>
      <c r="D50" s="9644" t="n"/>
      <c r="E50" s="6982">
        <f>SUM(F50:G50)</f>
        <v/>
      </c>
      <c r="F50" s="6983" t="n"/>
      <c r="G50" s="6984" t="n"/>
    </row>
    <row r="51" ht="15" customHeight="1" s="8286">
      <c r="A51" s="9588" t="n"/>
      <c r="B51" s="10482" t="inlineStr">
        <is>
          <t>Embolismo aéreo</t>
        </is>
      </c>
      <c r="C51" s="10208" t="n"/>
      <c r="D51" s="9644" t="n"/>
      <c r="E51" s="6982">
        <f>SUM(F51:G51)</f>
        <v/>
      </c>
      <c r="F51" s="6983" t="n"/>
      <c r="G51" s="6984" t="n"/>
    </row>
    <row r="52" ht="15" customHeight="1" s="8286">
      <c r="A52" s="9589" t="n"/>
      <c r="B52" s="10483" t="inlineStr">
        <is>
          <t>Infiltración</t>
        </is>
      </c>
      <c r="C52" s="9817" t="n"/>
      <c r="D52" s="9720" t="n"/>
      <c r="E52" s="6985">
        <f>SUM(F52:G52)</f>
        <v/>
      </c>
      <c r="F52" s="6986" t="n"/>
      <c r="G52" s="1520" t="n"/>
    </row>
    <row r="53" ht="15" customHeight="1" s="8286">
      <c r="A53" s="10484" t="inlineStr">
        <is>
          <t>Reacción alérgica</t>
        </is>
      </c>
      <c r="B53" s="10485" t="inlineStr">
        <is>
          <t>Alergia local</t>
        </is>
      </c>
      <c r="C53" s="9758" t="n"/>
      <c r="D53" s="9935" t="n"/>
      <c r="E53" s="6987">
        <f>SUM(F53:G53)</f>
        <v/>
      </c>
      <c r="F53" s="5999" t="n"/>
      <c r="G53" s="5572" t="n"/>
    </row>
    <row r="54" ht="15" customHeight="1" s="8286">
      <c r="A54" s="9610" t="n"/>
      <c r="B54" s="10483" t="inlineStr">
        <is>
          <t>Reacción alérgica generalizada (anafilaxia)</t>
        </is>
      </c>
      <c r="C54" s="9817" t="n"/>
      <c r="D54" s="9720" t="n"/>
      <c r="E54" s="6985">
        <f>SUM(F54:G54)</f>
        <v/>
      </c>
      <c r="F54" s="6986" t="n"/>
      <c r="G54" s="1520" t="n"/>
    </row>
    <row r="55" ht="15" customHeight="1" s="8286">
      <c r="A55" s="10432" t="inlineStr">
        <is>
          <t>Otras complicaciones graves a la donación de sangre</t>
        </is>
      </c>
      <c r="B55" s="10481" t="inlineStr">
        <is>
          <t>Síntomas agudos cardíacos</t>
        </is>
      </c>
      <c r="C55" s="9814" t="n"/>
      <c r="D55" s="9643" t="n"/>
      <c r="E55" s="6987">
        <f>SUM(F55:G55)</f>
        <v/>
      </c>
      <c r="F55" s="5999" t="n"/>
      <c r="G55" s="5572" t="n"/>
    </row>
    <row r="56" ht="15" customHeight="1" s="8286">
      <c r="A56" s="9588" t="n"/>
      <c r="B56" s="10482" t="inlineStr">
        <is>
          <t>Infarto al miorcardio</t>
        </is>
      </c>
      <c r="C56" s="10208" t="n"/>
      <c r="D56" s="9644" t="n"/>
      <c r="E56" s="6982">
        <f>SUM(F56:G56)</f>
        <v/>
      </c>
      <c r="F56" s="6983" t="n"/>
      <c r="G56" s="6984" t="n"/>
    </row>
    <row r="57" ht="15" customHeight="1" s="8286">
      <c r="A57" s="9588" t="n"/>
      <c r="B57" s="10482" t="inlineStr">
        <is>
          <t>Paro cardiaco</t>
        </is>
      </c>
      <c r="C57" s="10208" t="n"/>
      <c r="D57" s="9644" t="n"/>
      <c r="E57" s="6982">
        <f>SUM(F57:G57)</f>
        <v/>
      </c>
      <c r="F57" s="6983" t="n"/>
      <c r="G57" s="6984" t="n"/>
    </row>
    <row r="58" ht="15" customHeight="1" s="8286">
      <c r="A58" s="9588" t="n"/>
      <c r="B58" s="10482" t="inlineStr">
        <is>
          <t>Ataque isquémico transitorio</t>
        </is>
      </c>
      <c r="C58" s="10208" t="n"/>
      <c r="D58" s="9644" t="n"/>
      <c r="E58" s="6982">
        <f>SUM(F58:G58)</f>
        <v/>
      </c>
      <c r="F58" s="6983" t="n"/>
      <c r="G58" s="6984" t="n"/>
    </row>
    <row r="59" ht="15" customHeight="1" s="8286">
      <c r="A59" s="9588" t="n"/>
      <c r="B59" s="10482" t="inlineStr">
        <is>
          <t>Accidente cerebrovascular</t>
        </is>
      </c>
      <c r="C59" s="10208" t="n"/>
      <c r="D59" s="9644" t="n"/>
      <c r="E59" s="6982">
        <f>SUM(F59:G59)</f>
        <v/>
      </c>
      <c r="F59" s="6983" t="n"/>
      <c r="G59" s="6984" t="n"/>
    </row>
    <row r="60" ht="15" customHeight="1" s="8286">
      <c r="A60" s="9589" t="n"/>
      <c r="B60" s="8785" t="inlineStr">
        <is>
          <t>Muerte</t>
        </is>
      </c>
      <c r="C60" s="9591" t="n"/>
      <c r="D60" s="9776" t="n"/>
      <c r="E60" s="6985">
        <f>SUM(F60:G60)</f>
        <v/>
      </c>
      <c r="F60" s="6986" t="n"/>
      <c r="G60" s="1520" t="n"/>
    </row>
    <row r="61" ht="15" customHeight="1" s="8286">
      <c r="A61" s="8932" t="inlineStr">
        <is>
          <t>Otras complicaciones</t>
        </is>
      </c>
      <c r="B61" s="10431" t="inlineStr">
        <is>
          <t>Otras no mencionadas</t>
        </is>
      </c>
      <c r="C61" s="9584" t="n"/>
      <c r="D61" s="9582" t="n"/>
      <c r="E61" s="6988">
        <f>SUM(F61:G61)</f>
        <v/>
      </c>
      <c r="F61" s="6989" t="n"/>
      <c r="G61" s="6990" t="n"/>
    </row>
    <row r="62" ht="18" customFormat="1" customHeight="1" s="939">
      <c r="A62" s="10486" t="inlineStr">
        <is>
          <t>SECCIÓN B: INGRESO UNIDADES DE SANGRE A PRODUCCIÓN  (CS-CP-BS)</t>
        </is>
      </c>
      <c r="B62" s="9602" t="n"/>
      <c r="C62" s="9602" t="n"/>
      <c r="D62" s="9602" t="n"/>
      <c r="E62" s="6994" t="n"/>
      <c r="F62" s="6994" t="n"/>
      <c r="G62" s="6994" t="n"/>
      <c r="H62" s="6994" t="n"/>
    </row>
    <row r="63" ht="15" customHeight="1" s="8286">
      <c r="A63" s="8806" t="inlineStr">
        <is>
          <t>UNIDADES DE SANGRE</t>
        </is>
      </c>
      <c r="B63" s="6995" t="inlineStr">
        <is>
          <t>TOTAL</t>
        </is>
      </c>
    </row>
    <row r="64" ht="15" customHeight="1" s="8286">
      <c r="A64" s="6769" t="inlineStr">
        <is>
          <t>Aptas</t>
        </is>
      </c>
      <c r="B64" s="6680" t="n"/>
    </row>
    <row r="65" ht="15" customHeight="1" s="8286">
      <c r="A65" s="6926" t="inlineStr">
        <is>
          <t>No aptas</t>
        </is>
      </c>
      <c r="B65" s="6698" t="n"/>
    </row>
    <row r="66" ht="15" customHeight="1" s="8286">
      <c r="A66" s="7503" t="inlineStr">
        <is>
          <t>TOTAL</t>
        </is>
      </c>
      <c r="B66" s="6996">
        <f>SUM(B64+B65)</f>
        <v/>
      </c>
    </row>
    <row r="67" ht="18" customFormat="1" customHeight="1" s="939">
      <c r="A67" s="8973" t="inlineStr">
        <is>
          <t>SECCIÓN C: ELABORACIÓN DE PRODUCTOS SANGUÍNEOS LÁBILES (CS- CP -BS)</t>
        </is>
      </c>
    </row>
    <row r="68" ht="15" customFormat="1" customHeight="1" s="65">
      <c r="A68" s="8788" t="inlineStr">
        <is>
          <t>PRODUCCIÓN</t>
        </is>
      </c>
      <c r="B68" s="8814" t="inlineStr">
        <is>
          <t>DESCRIPCIÓN</t>
        </is>
      </c>
      <c r="C68" s="8788" t="inlineStr">
        <is>
          <t>TOTAL</t>
        </is>
      </c>
    </row>
    <row r="69" ht="15" customFormat="1" customHeight="1" s="65">
      <c r="A69" s="9613" t="inlineStr">
        <is>
          <t>Glóbulos rojos</t>
        </is>
      </c>
      <c r="B69" s="6769" t="inlineStr">
        <is>
          <t>Desplamatizados</t>
        </is>
      </c>
      <c r="C69" s="6680" t="n"/>
    </row>
    <row r="70" ht="15" customFormat="1" customHeight="1" s="65">
      <c r="A70" s="9588" t="n"/>
      <c r="B70" s="6730" t="inlineStr">
        <is>
          <t>Leucoreducidos</t>
        </is>
      </c>
      <c r="C70" s="6163" t="n"/>
    </row>
    <row r="71" ht="15" customFormat="1" customHeight="1" s="65">
      <c r="A71" s="9588" t="n"/>
      <c r="B71" s="6925" t="inlineStr">
        <is>
          <t>Bolsa con filtro</t>
        </is>
      </c>
      <c r="C71" s="6166" t="n"/>
    </row>
    <row r="72" ht="15" customFormat="1" customHeight="1" s="65">
      <c r="A72" s="9588" t="n"/>
      <c r="B72" s="6925" t="inlineStr">
        <is>
          <t>Aféresis</t>
        </is>
      </c>
      <c r="C72" s="6166" t="n"/>
    </row>
    <row r="73" ht="15" customFormat="1" customHeight="1" s="65">
      <c r="A73" s="9612" t="inlineStr">
        <is>
          <t>Plaquetas</t>
        </is>
      </c>
      <c r="B73" s="6769" t="inlineStr">
        <is>
          <t>Estándar</t>
        </is>
      </c>
      <c r="C73" s="6680" t="n"/>
    </row>
    <row r="74" ht="15" customFormat="1" customHeight="1" s="65">
      <c r="A74" s="9588" t="n"/>
      <c r="B74" s="6730" t="inlineStr">
        <is>
          <t>Leucorreducida pool</t>
        </is>
      </c>
      <c r="C74" s="6163" t="n"/>
    </row>
    <row r="75" ht="15" customFormat="1" customHeight="1" s="65">
      <c r="A75" s="9588" t="n"/>
      <c r="B75" s="6925" t="inlineStr">
        <is>
          <t>Leucodepletada pool</t>
        </is>
      </c>
      <c r="C75" s="6163" t="n"/>
    </row>
    <row r="76" ht="15" customFormat="1" customHeight="1" s="65">
      <c r="A76" s="9588" t="n"/>
      <c r="B76" s="6925" t="inlineStr">
        <is>
          <t>Aféresis</t>
        </is>
      </c>
      <c r="C76" s="6166" t="n"/>
    </row>
    <row r="77" ht="15" customFormat="1" customHeight="1" s="65">
      <c r="A77" s="9589" t="n"/>
      <c r="B77" s="6925" t="inlineStr">
        <is>
          <t>Bolsa con filtro</t>
        </is>
      </c>
      <c r="C77" s="6166" t="n"/>
    </row>
    <row r="78" ht="31.5" customHeight="1" s="8286">
      <c r="A78" s="9612" t="inlineStr">
        <is>
          <t>Plasmas</t>
        </is>
      </c>
      <c r="B78" s="6997" t="inlineStr">
        <is>
          <t>Plasma fresco congelado terapéutico</t>
        </is>
      </c>
      <c r="C78" s="6680" t="n"/>
    </row>
    <row r="79" ht="21" customHeight="1" s="8286">
      <c r="A79" s="9588" t="n"/>
      <c r="B79" s="6925" t="inlineStr">
        <is>
          <t>Plasma uso no terapéutico</t>
        </is>
      </c>
      <c r="C79" s="6163" t="n"/>
    </row>
    <row r="80" ht="15" customFormat="1" customHeight="1" s="65">
      <c r="A80" s="9589" t="n"/>
      <c r="B80" s="8215" t="inlineStr">
        <is>
          <t>Aféresis</t>
        </is>
      </c>
      <c r="C80" s="6548" t="n"/>
    </row>
    <row r="81" ht="15" customFormat="1" customHeight="1" s="65">
      <c r="A81" s="10487" t="inlineStr">
        <is>
          <t>Crioprecipitados</t>
        </is>
      </c>
      <c r="B81" s="9582" t="n"/>
      <c r="C81" s="6548" t="n"/>
    </row>
    <row r="82" ht="18" customFormat="1" customHeight="1" s="939">
      <c r="A82" s="10488" t="inlineStr">
        <is>
          <t>SECCIÓN C.1: PRODUCTOS SANGUÍNEOS LÁBILES ELIMINADOS (CS - CP - BS )</t>
        </is>
      </c>
      <c r="B82" s="9591" t="n"/>
      <c r="C82" s="9591" t="n"/>
      <c r="D82" s="9591" t="n"/>
      <c r="E82" s="9591" t="n"/>
      <c r="F82" s="9591" t="n"/>
      <c r="G82" s="9591" t="n"/>
      <c r="H82" s="9591" t="n"/>
      <c r="I82" s="6994" t="n"/>
    </row>
    <row r="83" ht="15" customHeight="1" s="8286">
      <c r="A83" s="9620" t="inlineStr">
        <is>
          <t>CAUSA</t>
        </is>
      </c>
      <c r="B83" s="9630" t="n"/>
      <c r="C83" s="10489" t="inlineStr">
        <is>
          <t>Globulos Rojos*</t>
        </is>
      </c>
      <c r="D83" s="10490" t="inlineStr">
        <is>
          <t>Plasmas*</t>
        </is>
      </c>
      <c r="E83" s="10491" t="inlineStr">
        <is>
          <t>Plaquetas</t>
        </is>
      </c>
      <c r="F83" s="9584" t="n"/>
      <c r="G83" s="9582" t="n"/>
      <c r="H83" s="10492" t="inlineStr">
        <is>
          <t>Crioprecipitados</t>
        </is>
      </c>
    </row>
    <row r="84" ht="15" customHeight="1" s="8286">
      <c r="A84" s="9698" t="n"/>
      <c r="B84" s="9776" t="n"/>
      <c r="C84" s="9800" t="n"/>
      <c r="D84" s="9641" t="n"/>
      <c r="E84" s="6999" t="inlineStr">
        <is>
          <t>Estándar</t>
        </is>
      </c>
      <c r="F84" s="7000" t="inlineStr">
        <is>
          <t>Pool*</t>
        </is>
      </c>
      <c r="G84" s="8976" t="inlineStr">
        <is>
          <t>Aféresis</t>
        </is>
      </c>
      <c r="H84" s="9621" t="n"/>
    </row>
    <row r="85" ht="15" customHeight="1" s="8286">
      <c r="A85" s="10493" t="inlineStr">
        <is>
          <t>Calificación microbiológica reactiva</t>
        </is>
      </c>
      <c r="B85" s="9643" t="n"/>
      <c r="C85" s="7001" t="n"/>
      <c r="D85" s="7002" t="n"/>
      <c r="E85" s="7001" t="n"/>
      <c r="F85" s="7003" t="n"/>
      <c r="G85" s="7002" t="n"/>
      <c r="H85" s="7002" t="n"/>
    </row>
    <row r="86" ht="15" customHeight="1" s="8286">
      <c r="A86" s="6925" t="inlineStr">
        <is>
          <t>Obsolescencia</t>
        </is>
      </c>
      <c r="B86" s="9644" t="n"/>
      <c r="C86" s="7004" t="n"/>
      <c r="D86" s="7005" t="n"/>
      <c r="E86" s="7004" t="n"/>
      <c r="F86" s="7006" t="n"/>
      <c r="G86" s="7005" t="n"/>
      <c r="H86" s="7005" t="n"/>
    </row>
    <row r="87" ht="15" customHeight="1" s="8286">
      <c r="A87" s="6925" t="inlineStr">
        <is>
          <t>Falla por cadena de frío en almacenamiento</t>
        </is>
      </c>
      <c r="B87" s="9644" t="n"/>
      <c r="C87" s="7007" t="n"/>
      <c r="D87" s="7008" t="n"/>
      <c r="E87" s="7007" t="n"/>
      <c r="F87" s="7009" t="n"/>
      <c r="G87" s="7008" t="n"/>
      <c r="H87" s="7008" t="n"/>
    </row>
    <row r="88" ht="15" customHeight="1" s="8286">
      <c r="A88" s="6925" t="inlineStr">
        <is>
          <t xml:space="preserve">Falla por cadena de frío en transporte  </t>
        </is>
      </c>
      <c r="B88" s="9644" t="n"/>
      <c r="C88" s="7007" t="n"/>
      <c r="D88" s="7008" t="n"/>
      <c r="E88" s="7007" t="n"/>
      <c r="F88" s="7009" t="n"/>
      <c r="G88" s="7008" t="n"/>
      <c r="H88" s="7008" t="n"/>
    </row>
    <row r="89" ht="15" customHeight="1" s="8286">
      <c r="A89" s="10466" t="inlineStr">
        <is>
          <t>Otros</t>
        </is>
      </c>
      <c r="B89" s="9720" t="n"/>
      <c r="C89" s="5858" t="n"/>
      <c r="D89" s="5859" t="n"/>
      <c r="E89" s="6695" t="n"/>
      <c r="F89" s="6697" t="n"/>
      <c r="G89" s="5859" t="n"/>
      <c r="H89" s="5859" t="n"/>
    </row>
    <row r="90" ht="15" customHeight="1" s="8286">
      <c r="A90" s="10494" t="inlineStr">
        <is>
          <t>TOTAL</t>
        </is>
      </c>
      <c r="B90" s="9647" t="n"/>
      <c r="C90" s="6948">
        <f>SUM(C85:C89)</f>
        <v/>
      </c>
      <c r="D90" s="7010">
        <f>SUM(D85:D89)</f>
        <v/>
      </c>
      <c r="E90" s="6948">
        <f>SUM(E85:E89)</f>
        <v/>
      </c>
      <c r="F90" s="7011">
        <f>SUM(F85:F89)</f>
        <v/>
      </c>
      <c r="G90" s="7010">
        <f>SUM(G85:G89)</f>
        <v/>
      </c>
      <c r="H90" s="6768">
        <f>SUM(H85:H89)</f>
        <v/>
      </c>
    </row>
    <row r="91" ht="15" customHeight="1" s="8286">
      <c r="A91" s="6247" t="inlineStr">
        <is>
          <t>* Cualquier tipo</t>
        </is>
      </c>
    </row>
    <row r="92" ht="18" customFormat="1" customHeight="1" s="939">
      <c r="A92" s="10488" t="inlineStr">
        <is>
          <t>SECCIÓN C.2 .: PRODUCTOS SANGUÍNEOS LÁBILES ELIMINADOS (UTT)</t>
        </is>
      </c>
      <c r="B92" s="9591" t="n"/>
      <c r="C92" s="9591" t="n"/>
      <c r="D92" s="9591" t="n"/>
      <c r="E92" s="9591" t="n"/>
      <c r="F92" s="9591" t="n"/>
      <c r="G92" s="9591" t="n"/>
      <c r="H92" s="9591" t="n"/>
      <c r="I92" s="6994" t="n"/>
      <c r="J92" s="6994" t="n"/>
      <c r="K92" s="6994" t="n"/>
      <c r="L92" s="6994" t="n"/>
    </row>
    <row r="93" ht="15" customHeight="1" s="8286">
      <c r="A93" s="9620" t="inlineStr">
        <is>
          <t>CAUSA</t>
        </is>
      </c>
      <c r="B93" s="9630" t="n"/>
      <c r="C93" s="10489" t="inlineStr">
        <is>
          <t>Globulos Rojos*</t>
        </is>
      </c>
      <c r="D93" s="10490" t="inlineStr">
        <is>
          <t>Plasmas*</t>
        </is>
      </c>
      <c r="E93" s="10491" t="inlineStr">
        <is>
          <t>Plaquetas</t>
        </is>
      </c>
      <c r="F93" s="9584" t="n"/>
      <c r="G93" s="9582" t="n"/>
      <c r="H93" s="10492" t="inlineStr">
        <is>
          <t>Crioprecipitados</t>
        </is>
      </c>
    </row>
    <row r="94" ht="15" customHeight="1" s="8286">
      <c r="A94" s="9698" t="n"/>
      <c r="B94" s="9776" t="n"/>
      <c r="C94" s="9800" t="n"/>
      <c r="D94" s="9641" t="n"/>
      <c r="E94" s="6999" t="inlineStr">
        <is>
          <t>Estándar</t>
        </is>
      </c>
      <c r="F94" s="7000" t="inlineStr">
        <is>
          <t>Pool*</t>
        </is>
      </c>
      <c r="G94" s="8976" t="inlineStr">
        <is>
          <t>Aféresis</t>
        </is>
      </c>
      <c r="H94" s="9621" t="n"/>
    </row>
    <row r="95" ht="15" customHeight="1" s="8286">
      <c r="A95" s="10493" t="inlineStr">
        <is>
          <t>Obsolescencia</t>
        </is>
      </c>
      <c r="B95" s="9643" t="n"/>
      <c r="C95" s="7001" t="n"/>
      <c r="D95" s="7002" t="n"/>
      <c r="E95" s="7012" t="n"/>
      <c r="F95" s="7003" t="n"/>
      <c r="G95" s="7013" t="n"/>
      <c r="H95" s="7002" t="n"/>
    </row>
    <row r="96" ht="15" customHeight="1" s="8286">
      <c r="A96" s="6925" t="inlineStr">
        <is>
          <t>Falla por cadena de frío</t>
        </is>
      </c>
      <c r="B96" s="9644" t="n"/>
      <c r="C96" s="6686" t="n"/>
      <c r="D96" s="6559" t="n"/>
      <c r="E96" s="6687" t="n"/>
      <c r="F96" s="6688" t="n"/>
      <c r="G96" s="6691" t="n"/>
      <c r="H96" s="6559" t="n"/>
    </row>
    <row r="97" ht="15" customHeight="1" s="8286">
      <c r="A97" s="7025" t="inlineStr">
        <is>
          <t>Devoluciones por producto por no cumplir estándar</t>
        </is>
      </c>
      <c r="B97" s="9644" t="n"/>
      <c r="C97" s="6686" t="n"/>
      <c r="D97" s="6559" t="n"/>
      <c r="E97" s="6687" t="n"/>
      <c r="F97" s="6688" t="n"/>
      <c r="G97" s="6691" t="n"/>
      <c r="H97" s="6559" t="n"/>
    </row>
    <row r="98" ht="15" customHeight="1" s="8286">
      <c r="A98" s="6925" t="inlineStr">
        <is>
          <t>Descongelamiento sin uso</t>
        </is>
      </c>
      <c r="B98" s="9644" t="n"/>
      <c r="C98" s="6686" t="n"/>
      <c r="D98" s="6559" t="n"/>
      <c r="E98" s="6687" t="n"/>
      <c r="F98" s="6688" t="n"/>
      <c r="G98" s="6691" t="n"/>
      <c r="H98" s="6559" t="n"/>
    </row>
    <row r="99" ht="15" customHeight="1" s="8286">
      <c r="A99" s="10495" t="inlineStr">
        <is>
          <t>Otros</t>
        </is>
      </c>
      <c r="B99" s="9720" t="n"/>
      <c r="C99" s="5858" t="n"/>
      <c r="D99" s="5867" t="n"/>
      <c r="E99" s="6696" t="n"/>
      <c r="F99" s="6697" t="n"/>
      <c r="G99" s="6701" t="n"/>
      <c r="H99" s="5859" t="n"/>
    </row>
    <row r="100" ht="15" customHeight="1" s="8286">
      <c r="A100" s="10494" t="inlineStr">
        <is>
          <t>TOTAL</t>
        </is>
      </c>
      <c r="B100" s="9647" t="n"/>
      <c r="C100" s="6948">
        <f>SUM(C95:C99)</f>
        <v/>
      </c>
      <c r="D100" s="6951">
        <f>SUM(D95:D99)</f>
        <v/>
      </c>
      <c r="E100" s="6948">
        <f>SUM(E95:E99)</f>
        <v/>
      </c>
      <c r="F100" s="6950">
        <f>SUM(F95:F99)</f>
        <v/>
      </c>
      <c r="G100" s="6951">
        <f>SUM(G95:G99)</f>
        <v/>
      </c>
      <c r="H100" s="6951">
        <f>SUM(H95:H99)</f>
        <v/>
      </c>
    </row>
    <row r="101" ht="15" customHeight="1" s="8286">
      <c r="A101" s="6247" t="inlineStr">
        <is>
          <t>* Cualquier tipo</t>
        </is>
      </c>
    </row>
    <row r="102" ht="18" customHeight="1" s="8286">
      <c r="A102" s="10488" t="inlineStr">
        <is>
          <t>SECCIÓN C.3 : PRODUCTOS SANGUÍNEOS LÁBILES TRANSFORMADOS POSTERIOR AL PROCESO PRODUCTIVO (BS - UTT)</t>
        </is>
      </c>
      <c r="B102" s="9591" t="n"/>
      <c r="C102" s="9591" t="n"/>
      <c r="D102" s="9591" t="n"/>
      <c r="E102" s="9591" t="n"/>
      <c r="F102" s="9591" t="n"/>
      <c r="G102" s="9591" t="n"/>
      <c r="H102" s="9591" t="n"/>
      <c r="I102" s="9591" t="n"/>
    </row>
    <row r="103" ht="42" customHeight="1" s="8286">
      <c r="A103" s="9619" t="inlineStr">
        <is>
          <t>COMPONENTES</t>
        </is>
      </c>
      <c r="B103" s="9582" t="n"/>
      <c r="C103" s="7014" t="inlineStr">
        <is>
          <t>TOTAL</t>
        </is>
      </c>
      <c r="D103" s="6999" t="inlineStr">
        <is>
          <t>Unidades pediátricas</t>
        </is>
      </c>
      <c r="E103" s="7000" t="inlineStr">
        <is>
          <t xml:space="preserve">Irradiación </t>
        </is>
      </c>
      <c r="F103" s="7000" t="inlineStr">
        <is>
          <t xml:space="preserve">Reconstitu-ción para uso pediátrico (recambio) </t>
        </is>
      </c>
      <c r="G103" s="7000" t="inlineStr">
        <is>
          <t xml:space="preserve">Reducción volumen </t>
        </is>
      </c>
      <c r="H103" s="7015" t="inlineStr">
        <is>
          <t>Desplasmatización</t>
        </is>
      </c>
      <c r="I103" s="6978" t="inlineStr">
        <is>
          <t>Filtrados posterior a producción</t>
        </is>
      </c>
    </row>
    <row r="104" ht="15" customFormat="1" customHeight="1" s="65">
      <c r="A104" s="10430" t="inlineStr">
        <is>
          <t>Glóbulos rojos*</t>
        </is>
      </c>
      <c r="B104" s="9582" t="n"/>
      <c r="C104" s="7016">
        <f>SUM(D104:I104)</f>
        <v/>
      </c>
      <c r="D104" s="7017" t="n"/>
      <c r="E104" s="7018" t="n"/>
      <c r="F104" s="7018" t="n"/>
      <c r="G104" s="7018" t="n"/>
      <c r="H104" s="7018" t="n"/>
      <c r="I104" s="7019" t="n"/>
    </row>
    <row r="105" ht="15" customFormat="1" customHeight="1" s="65">
      <c r="A105" s="9612" t="inlineStr">
        <is>
          <t>Plaquetas</t>
        </is>
      </c>
      <c r="B105" s="7020" t="inlineStr">
        <is>
          <t>Estándar</t>
        </is>
      </c>
      <c r="C105" s="7021">
        <f>SUM(D105:I105)</f>
        <v/>
      </c>
      <c r="D105" s="7022" t="n"/>
      <c r="E105" s="7023" t="n"/>
      <c r="F105" s="7023" t="n"/>
      <c r="G105" s="7023" t="n"/>
      <c r="H105" s="7023" t="n"/>
      <c r="I105" s="7024" t="n"/>
    </row>
    <row r="106" ht="15" customFormat="1" customHeight="1" s="65">
      <c r="A106" s="9588" t="n"/>
      <c r="B106" s="7025" t="inlineStr">
        <is>
          <t>Pool*</t>
        </is>
      </c>
      <c r="C106" s="7026">
        <f>SUM(D106:I106)</f>
        <v/>
      </c>
      <c r="D106" s="7004" t="n"/>
      <c r="E106" s="7006" t="n"/>
      <c r="F106" s="7006" t="n"/>
      <c r="G106" s="7006" t="n"/>
      <c r="H106" s="7006" t="n"/>
      <c r="I106" s="7024" t="n"/>
    </row>
    <row r="107" ht="15" customFormat="1" customHeight="1" s="65">
      <c r="A107" s="9589" t="n"/>
      <c r="B107" s="7027" t="inlineStr">
        <is>
          <t>Aféresis</t>
        </is>
      </c>
      <c r="C107" s="7028">
        <f>SUM(D107:I107)</f>
        <v/>
      </c>
      <c r="D107" s="7029" t="n"/>
      <c r="E107" s="7030" t="n"/>
      <c r="F107" s="7030" t="n"/>
      <c r="G107" s="7030" t="n"/>
      <c r="H107" s="7030" t="n"/>
      <c r="I107" s="7031" t="n"/>
    </row>
    <row r="108" ht="15" customFormat="1" customHeight="1" s="65">
      <c r="A108" s="10493" t="inlineStr">
        <is>
          <t>Plasmas*</t>
        </is>
      </c>
      <c r="B108" s="9643" t="n"/>
      <c r="C108" s="7021">
        <f>SUM(D108:H108)</f>
        <v/>
      </c>
      <c r="D108" s="7022" t="n"/>
      <c r="E108" s="7023" t="n"/>
      <c r="F108" s="7023" t="n"/>
      <c r="G108" s="7023" t="n"/>
      <c r="H108" s="7023" t="n"/>
      <c r="I108" s="7032" t="n"/>
    </row>
    <row r="109" ht="15" customFormat="1" customHeight="1" s="65">
      <c r="A109" s="10496" t="inlineStr">
        <is>
          <t>Crioprecipitados</t>
        </is>
      </c>
      <c r="B109" s="9720" t="n"/>
      <c r="C109" s="7033">
        <f>SUM(D109:H109)</f>
        <v/>
      </c>
      <c r="D109" s="6695" t="n"/>
      <c r="E109" s="6697" t="n"/>
      <c r="F109" s="6697" t="n"/>
      <c r="G109" s="6697" t="n"/>
      <c r="H109" s="6697" t="n"/>
      <c r="I109" s="7034" t="n"/>
    </row>
    <row r="110" ht="15" customHeight="1" s="8286">
      <c r="A110" s="6247" t="inlineStr">
        <is>
          <t>* Cualquier tipo</t>
        </is>
      </c>
    </row>
    <row r="111" ht="18" customFormat="1" customHeight="1" s="939">
      <c r="A111" s="8991" t="inlineStr">
        <is>
          <t>SECCIÓN C.4: COMPONENTES SANGUÍNEOS DISTRIBUÍBLES (CS - CP)</t>
        </is>
      </c>
    </row>
    <row r="112" ht="42" customHeight="1" s="8286">
      <c r="A112" s="9619" t="inlineStr">
        <is>
          <t>COMPONENTES</t>
        </is>
      </c>
      <c r="B112" s="9582" t="n"/>
      <c r="C112" s="7014" t="inlineStr">
        <is>
          <t>TOTAL</t>
        </is>
      </c>
      <c r="D112" s="6999" t="inlineStr">
        <is>
          <t>Unidades pediátricas</t>
        </is>
      </c>
      <c r="E112" s="7000" t="inlineStr">
        <is>
          <t xml:space="preserve">Irradiación </t>
        </is>
      </c>
      <c r="F112" s="7000" t="inlineStr">
        <is>
          <t xml:space="preserve">Reconstitu-ción para uso pediátrico (recambio) </t>
        </is>
      </c>
      <c r="G112" s="7000" t="inlineStr">
        <is>
          <t xml:space="preserve">Reducción volumen </t>
        </is>
      </c>
      <c r="H112" s="7015" t="inlineStr">
        <is>
          <t>Desplasmatización</t>
        </is>
      </c>
      <c r="I112" s="6978" t="inlineStr">
        <is>
          <t>Filtrados</t>
        </is>
      </c>
    </row>
    <row r="113" ht="15" customHeight="1" s="8286">
      <c r="A113" s="10430" t="inlineStr">
        <is>
          <t>Glóbulos rojos*</t>
        </is>
      </c>
      <c r="B113" s="9582" t="n"/>
      <c r="C113" s="7016">
        <f>SUM(D113:I113)</f>
        <v/>
      </c>
      <c r="D113" s="7017" t="n"/>
      <c r="E113" s="7018" t="n"/>
      <c r="F113" s="7018" t="n"/>
      <c r="G113" s="7018" t="n"/>
      <c r="H113" s="7018" t="n"/>
      <c r="I113" s="7035" t="n"/>
    </row>
    <row r="114" ht="15" customHeight="1" s="8286">
      <c r="A114" s="9612" t="inlineStr">
        <is>
          <t>Plaquetas</t>
        </is>
      </c>
      <c r="B114" s="7020" t="inlineStr">
        <is>
          <t>Estándar</t>
        </is>
      </c>
      <c r="C114" s="7021">
        <f>SUM(D114:I114)</f>
        <v/>
      </c>
      <c r="D114" s="7022" t="n"/>
      <c r="E114" s="7023" t="n"/>
      <c r="F114" s="7023" t="n"/>
      <c r="G114" s="7023" t="n"/>
      <c r="H114" s="7023" t="n"/>
      <c r="I114" s="7024" t="n"/>
    </row>
    <row r="115" ht="15" customHeight="1" s="8286">
      <c r="A115" s="9588" t="n"/>
      <c r="B115" s="7025" t="inlineStr">
        <is>
          <t>Pool*</t>
        </is>
      </c>
      <c r="C115" s="7026">
        <f>SUM(D115:I115)</f>
        <v/>
      </c>
      <c r="D115" s="7022" t="n"/>
      <c r="E115" s="7023" t="n"/>
      <c r="F115" s="7023" t="n"/>
      <c r="G115" s="7023" t="n"/>
      <c r="H115" s="7023" t="n"/>
      <c r="I115" s="7024" t="n"/>
    </row>
    <row r="116" ht="15" customHeight="1" s="8286">
      <c r="A116" s="9589" t="n"/>
      <c r="B116" s="7027" t="inlineStr">
        <is>
          <t>Aféresis</t>
        </is>
      </c>
      <c r="C116" s="7028">
        <f>SUM(D116:I116)</f>
        <v/>
      </c>
      <c r="D116" s="7029" t="n"/>
      <c r="E116" s="7030" t="n"/>
      <c r="F116" s="7030" t="n"/>
      <c r="G116" s="7030" t="n"/>
      <c r="H116" s="7030" t="n"/>
      <c r="I116" s="7031" t="n"/>
    </row>
    <row r="117" ht="15" customHeight="1" s="8286">
      <c r="A117" s="10493" t="inlineStr">
        <is>
          <t>Plasmas*</t>
        </is>
      </c>
      <c r="B117" s="9643" t="n"/>
      <c r="C117" s="7021">
        <f>SUM(D117:I117)</f>
        <v/>
      </c>
      <c r="D117" s="7022" t="n"/>
      <c r="E117" s="7023" t="n"/>
      <c r="F117" s="7023" t="n"/>
      <c r="G117" s="7023" t="n"/>
      <c r="H117" s="7023" t="n"/>
      <c r="I117" s="7024" t="n"/>
    </row>
    <row r="118" ht="15" customHeight="1" s="8286">
      <c r="A118" s="10496" t="inlineStr">
        <is>
          <t>Crioprecipitados</t>
        </is>
      </c>
      <c r="B118" s="9720" t="n"/>
      <c r="C118" s="7033">
        <f>SUM(D118:I118)</f>
        <v/>
      </c>
      <c r="D118" s="7029" t="n"/>
      <c r="E118" s="7030" t="n"/>
      <c r="F118" s="7030" t="n"/>
      <c r="G118" s="7030" t="n"/>
      <c r="H118" s="7030" t="n"/>
      <c r="I118" s="7031" t="n"/>
    </row>
    <row r="119" ht="15" customHeight="1" s="8286">
      <c r="A119" s="6247" t="inlineStr">
        <is>
          <t>* Cualquier tipo</t>
        </is>
      </c>
    </row>
    <row r="120" ht="18" customFormat="1" customHeight="1" s="939">
      <c r="A120" s="7036" t="inlineStr">
        <is>
          <t>SECCIÓN C.5: INSATISFACCIÓN STOCK ÓPTIMO (7 DÍAS) CS - CP - BS - UTT</t>
        </is>
      </c>
      <c r="B120" s="7036" t="n"/>
      <c r="C120" s="7036" t="n"/>
      <c r="D120" s="7037" t="n"/>
      <c r="E120" s="7037" t="n"/>
    </row>
    <row r="121" ht="21" customHeight="1" s="8286">
      <c r="A121" s="8782" t="inlineStr">
        <is>
          <t>GR</t>
        </is>
      </c>
      <c r="B121" s="8782" t="inlineStr">
        <is>
          <t>Número días bajo Stock Óptimo</t>
        </is>
      </c>
    </row>
    <row r="122" ht="15" customHeight="1" s="8286">
      <c r="A122" s="7025" t="inlineStr">
        <is>
          <t>O +</t>
        </is>
      </c>
      <c r="B122" s="7038" t="n"/>
    </row>
    <row r="123" ht="15" customHeight="1" s="8286">
      <c r="A123" s="7025" t="inlineStr">
        <is>
          <t>A +</t>
        </is>
      </c>
      <c r="B123" s="7039" t="n"/>
    </row>
    <row r="124" ht="15" customHeight="1" s="8286">
      <c r="A124" s="7025" t="inlineStr">
        <is>
          <t>B +</t>
        </is>
      </c>
      <c r="B124" s="7039" t="n"/>
    </row>
    <row r="125" ht="15" customHeight="1" s="8286">
      <c r="A125" s="7025" t="inlineStr">
        <is>
          <t>O ( - )</t>
        </is>
      </c>
      <c r="B125" s="7039" t="n"/>
    </row>
    <row r="126" ht="15" customHeight="1" s="8286">
      <c r="A126" s="7027" t="inlineStr">
        <is>
          <t>A ( - )</t>
        </is>
      </c>
      <c r="B126" s="7040" t="n"/>
    </row>
    <row r="127" ht="18" customFormat="1" customHeight="1" s="939">
      <c r="A127" s="7036" t="inlineStr">
        <is>
          <t>SECCIÓN C.6: INSATISFACCION STOCK CRÍTICO (3 DÍAS) CS - CP - BS - UTT</t>
        </is>
      </c>
      <c r="B127" s="7036" t="n"/>
      <c r="C127" s="7036" t="n"/>
      <c r="D127" s="7041" t="n"/>
    </row>
    <row r="128" ht="21" customHeight="1" s="8286">
      <c r="A128" s="8782" t="inlineStr">
        <is>
          <t>GR</t>
        </is>
      </c>
      <c r="B128" s="8782" t="inlineStr">
        <is>
          <t>Número días bajo Stock Crítico</t>
        </is>
      </c>
    </row>
    <row r="129">
      <c r="A129" s="7025" t="inlineStr">
        <is>
          <t>O +</t>
        </is>
      </c>
      <c r="B129" s="7038" t="n"/>
    </row>
    <row r="130">
      <c r="A130" s="7025" t="inlineStr">
        <is>
          <t>A +</t>
        </is>
      </c>
      <c r="B130" s="7039" t="n"/>
    </row>
    <row r="131">
      <c r="A131" s="7025" t="inlineStr">
        <is>
          <t>B +</t>
        </is>
      </c>
      <c r="B131" s="7039" t="n"/>
    </row>
    <row r="132">
      <c r="A132" s="7025" t="inlineStr">
        <is>
          <t>O ( - )</t>
        </is>
      </c>
      <c r="B132" s="7039" t="n"/>
    </row>
    <row r="133">
      <c r="A133" s="7027" t="inlineStr">
        <is>
          <t>A ( - )</t>
        </is>
      </c>
      <c r="B133" s="7040" t="n"/>
    </row>
    <row r="134" ht="18" customFormat="1" customHeight="1" s="939">
      <c r="A134" s="7042" t="inlineStr">
        <is>
          <t>SECCIÓN D: COMPONENTES SANGUINEOS DISTRIBUIDOS (CS - CP) O TRANSFERIDOS (BS-UTT)</t>
        </is>
      </c>
    </row>
    <row r="135">
      <c r="A135" s="9619" t="inlineStr">
        <is>
          <t>DESCRIPCIÓN</t>
        </is>
      </c>
      <c r="B135" s="9582" t="n"/>
      <c r="C135" s="7014" t="inlineStr">
        <is>
          <t>TOTAL</t>
        </is>
      </c>
      <c r="D135" s="6999" t="inlineStr">
        <is>
          <t>Público</t>
        </is>
      </c>
      <c r="E135" s="7000" t="inlineStr">
        <is>
          <t>Privado**</t>
        </is>
      </c>
      <c r="F135" s="8976" t="inlineStr">
        <is>
          <t>FF.AA.</t>
        </is>
      </c>
    </row>
    <row r="136">
      <c r="A136" s="10430" t="inlineStr">
        <is>
          <t>Glóbulos rojos*</t>
        </is>
      </c>
      <c r="B136" s="9582" t="n"/>
      <c r="C136" s="7043">
        <f>SUM(D136:F136)</f>
        <v/>
      </c>
      <c r="D136" s="7044" t="n"/>
      <c r="E136" s="7045" t="n"/>
      <c r="F136" s="7046" t="n"/>
    </row>
    <row r="137">
      <c r="A137" s="9612" t="inlineStr">
        <is>
          <t>Plaquetas</t>
        </is>
      </c>
      <c r="B137" s="7020" t="inlineStr">
        <is>
          <t>Estándar</t>
        </is>
      </c>
      <c r="C137" s="7047">
        <f>SUM(D137:F137)</f>
        <v/>
      </c>
      <c r="D137" s="7001" t="n"/>
      <c r="E137" s="7003" t="n"/>
      <c r="F137" s="7002" t="n"/>
    </row>
    <row r="138">
      <c r="A138" s="9588" t="n"/>
      <c r="B138" s="7025" t="inlineStr">
        <is>
          <t>Pool*</t>
        </is>
      </c>
      <c r="C138" s="7048">
        <f>SUM(D138:F138)</f>
        <v/>
      </c>
      <c r="D138" s="6686" t="n"/>
      <c r="E138" s="6688" t="n"/>
      <c r="F138" s="6559" t="n"/>
    </row>
    <row r="139">
      <c r="A139" s="9589" t="n"/>
      <c r="B139" s="7027" t="inlineStr">
        <is>
          <t>Aféresis</t>
        </is>
      </c>
      <c r="C139" s="7049">
        <f>SUM(D139:F139)</f>
        <v/>
      </c>
      <c r="D139" s="6695" t="n"/>
      <c r="E139" s="6697" t="n"/>
      <c r="F139" s="5867" t="n"/>
    </row>
    <row r="140">
      <c r="A140" s="10493" t="inlineStr">
        <is>
          <t>Plasmas*</t>
        </is>
      </c>
      <c r="B140" s="9643" t="n"/>
      <c r="C140" s="7050">
        <f>SUM(D140:F140)</f>
        <v/>
      </c>
      <c r="D140" s="5843" t="n"/>
      <c r="E140" s="6225" t="n"/>
      <c r="F140" s="6776" t="n"/>
    </row>
    <row r="141">
      <c r="A141" s="10496" t="inlineStr">
        <is>
          <t>Crioprecipitados</t>
        </is>
      </c>
      <c r="B141" s="9720" t="n"/>
      <c r="C141" s="7049">
        <f>SUM(D141:F141)</f>
        <v/>
      </c>
      <c r="D141" s="6695" t="n"/>
      <c r="E141" s="6697" t="n"/>
      <c r="F141" s="5867" t="n"/>
    </row>
    <row r="142">
      <c r="A142" s="6247" t="inlineStr">
        <is>
          <t>* Cualquier tipo</t>
        </is>
      </c>
      <c r="B142" s="6866" t="n"/>
      <c r="C142" s="7051" t="n"/>
      <c r="D142" s="7051" t="n"/>
      <c r="E142" s="5553" t="n"/>
      <c r="F142" s="6089" t="n"/>
    </row>
    <row r="143">
      <c r="A143" s="6247" t="inlineStr">
        <is>
          <t>**Universitarios, Clínicas Privadas, Otros</t>
        </is>
      </c>
      <c r="B143" s="6865" t="n"/>
      <c r="C143" s="7051" t="n"/>
      <c r="D143" s="7051" t="n"/>
      <c r="E143" s="7051" t="n"/>
      <c r="F143" s="7051" t="n"/>
    </row>
    <row r="144" ht="18" customFormat="1" customHeight="1" s="939">
      <c r="A144" s="9590" t="inlineStr">
        <is>
          <t>SECCIÓN D.1: TRANSFUSIONES (UTT-BS)</t>
        </is>
      </c>
      <c r="B144" s="9591" t="n"/>
      <c r="C144" s="9591" t="n"/>
      <c r="D144" s="9591" t="n"/>
      <c r="E144" s="9591" t="n"/>
      <c r="F144" s="9591" t="n"/>
      <c r="G144" s="9591" t="n"/>
      <c r="H144" s="9591" t="n"/>
      <c r="I144" s="927" t="n"/>
    </row>
    <row r="145">
      <c r="A145" s="9629" t="inlineStr">
        <is>
          <t>TRANSFUSIONES
 (Nº DE UNIDADES)</t>
        </is>
      </c>
      <c r="B145" s="9630" t="n"/>
      <c r="C145" s="7632" t="inlineStr">
        <is>
          <t>Menores de 18 años</t>
        </is>
      </c>
      <c r="D145" s="9584" t="n"/>
      <c r="E145" s="9582" t="n"/>
      <c r="F145" s="7632" t="inlineStr">
        <is>
          <t>De 18 y más años</t>
        </is>
      </c>
      <c r="G145" s="9584" t="n"/>
      <c r="H145" s="9582" t="n"/>
    </row>
    <row r="146">
      <c r="A146" s="9638" t="n"/>
      <c r="B146" s="9639" t="n"/>
      <c r="C146" s="6796" t="inlineStr">
        <is>
          <t>Estándar</t>
        </is>
      </c>
      <c r="D146" s="6797" t="inlineStr">
        <is>
          <t>Irradiados</t>
        </is>
      </c>
      <c r="E146" s="8805" t="inlineStr">
        <is>
          <t>Filtrados</t>
        </is>
      </c>
      <c r="F146" s="6796" t="inlineStr">
        <is>
          <t>Estándar</t>
        </is>
      </c>
      <c r="G146" s="6797" t="inlineStr">
        <is>
          <t>Irradiados</t>
        </is>
      </c>
      <c r="H146" s="8805" t="inlineStr">
        <is>
          <t>Filtrados</t>
        </is>
      </c>
    </row>
    <row r="147">
      <c r="A147" s="10430" t="inlineStr">
        <is>
          <t>Glóbulos rojos</t>
        </is>
      </c>
      <c r="B147" s="9582" t="n"/>
      <c r="C147" s="7052" t="n"/>
      <c r="D147" s="7053" t="n"/>
      <c r="E147" s="7054" t="n"/>
      <c r="F147" s="7052" t="n"/>
      <c r="G147" s="7053" t="n"/>
      <c r="H147" s="7054" t="n"/>
    </row>
    <row r="148">
      <c r="A148" s="9612" t="inlineStr">
        <is>
          <t>Plaquetas</t>
        </is>
      </c>
      <c r="B148" s="7020" t="inlineStr">
        <is>
          <t>Estándar</t>
        </is>
      </c>
      <c r="C148" s="7052" t="n"/>
      <c r="D148" s="7053" t="n"/>
      <c r="E148" s="7054" t="n"/>
      <c r="F148" s="7052" t="n"/>
      <c r="G148" s="7053" t="n"/>
      <c r="H148" s="7054" t="n"/>
    </row>
    <row r="149">
      <c r="A149" s="9588" t="n"/>
      <c r="B149" s="7025" t="inlineStr">
        <is>
          <t>Pool</t>
        </is>
      </c>
      <c r="C149" s="7055" t="n"/>
      <c r="D149" s="7056" t="n"/>
      <c r="E149" s="7057" t="n"/>
      <c r="F149" s="7055" t="n"/>
      <c r="G149" s="7056" t="n"/>
      <c r="H149" s="7057" t="n"/>
    </row>
    <row r="150">
      <c r="A150" s="9589" t="n"/>
      <c r="B150" s="7027" t="inlineStr">
        <is>
          <t>Aféresis</t>
        </is>
      </c>
      <c r="C150" s="7058" t="n"/>
      <c r="D150" s="7059" t="n"/>
      <c r="E150" s="5873" t="n"/>
      <c r="F150" s="7058" t="n"/>
      <c r="G150" s="7059" t="n"/>
      <c r="H150" s="5873" t="n"/>
    </row>
    <row r="151">
      <c r="A151" s="10493" t="inlineStr">
        <is>
          <t>Plasmas</t>
        </is>
      </c>
      <c r="B151" s="9643" t="n"/>
      <c r="C151" s="6271" t="n"/>
      <c r="D151" s="6849" t="n"/>
      <c r="E151" s="7060" t="n"/>
      <c r="F151" s="6271" t="n"/>
      <c r="G151" s="6849" t="n"/>
      <c r="H151" s="7060" t="n"/>
    </row>
    <row r="152">
      <c r="A152" s="10496" t="inlineStr">
        <is>
          <t>Crioprecipitados</t>
        </is>
      </c>
      <c r="B152" s="9720" t="n"/>
      <c r="C152" s="6350" t="n"/>
      <c r="D152" s="7061" t="n"/>
      <c r="E152" s="6780" t="n"/>
      <c r="F152" s="6350" t="n"/>
      <c r="G152" s="7061" t="n"/>
      <c r="H152" s="6780" t="n"/>
    </row>
    <row r="153">
      <c r="A153" s="10497" t="inlineStr">
        <is>
          <t>TOTAL</t>
        </is>
      </c>
      <c r="B153" s="9584" t="n"/>
      <c r="C153" s="6948">
        <f>SUM(C147:C152)</f>
        <v/>
      </c>
      <c r="D153" s="7011">
        <f>SUM(D147:D150)</f>
        <v/>
      </c>
      <c r="E153" s="6951">
        <f>SUM(E147:E150)</f>
        <v/>
      </c>
      <c r="F153" s="6944">
        <f>SUM(F147:F152)</f>
        <v/>
      </c>
      <c r="G153" s="6945">
        <f>SUM(G147:G150)</f>
        <v/>
      </c>
      <c r="H153" s="6947">
        <f>SUM(H147:H150)</f>
        <v/>
      </c>
    </row>
    <row r="154" ht="18" customFormat="1" customHeight="1" s="939">
      <c r="A154" s="9616" t="inlineStr">
        <is>
          <t>SECCIÓN E: DEMANDA GLÓBULOS ROJOS PARA TRANSFUSIÓN  (UTT-BS)</t>
        </is>
      </c>
      <c r="B154" s="9617" t="n"/>
      <c r="C154" s="9617" t="n"/>
    </row>
    <row r="155" ht="15" customHeight="1" s="8286">
      <c r="A155" s="8173" t="inlineStr">
        <is>
          <t>TIPO</t>
        </is>
      </c>
      <c r="B155" s="9603" t="n"/>
      <c r="C155" s="8788" t="inlineStr">
        <is>
          <t>TOTAL</t>
        </is>
      </c>
    </row>
    <row r="156" ht="15" customHeight="1" s="8286">
      <c r="A156" s="9612" t="inlineStr">
        <is>
          <t>Unidades</t>
        </is>
      </c>
      <c r="B156" s="7062" t="inlineStr">
        <is>
          <t>Solicitadas</t>
        </is>
      </c>
      <c r="C156" s="7063" t="n"/>
    </row>
    <row r="157" ht="15" customHeight="1" s="8286">
      <c r="A157" s="9589" t="n"/>
      <c r="B157" s="7064" t="inlineStr">
        <is>
          <t>Despachadas</t>
        </is>
      </c>
      <c r="C157" s="7065" t="n"/>
    </row>
    <row r="158" ht="18" customFormat="1" customHeight="1" s="939">
      <c r="A158" s="10498" t="inlineStr">
        <is>
          <t>SECCIÓN F: REACCIONES ADVERSAS POR ACTO* TRANSFUSIONAL (UTT-BS)</t>
        </is>
      </c>
      <c r="B158" s="9591" t="n"/>
      <c r="C158" s="9591" t="n"/>
      <c r="D158" s="9591" t="n"/>
      <c r="E158" s="9591" t="n"/>
      <c r="F158" s="9591" t="n"/>
      <c r="G158" s="9591" t="n"/>
      <c r="H158" s="9591" t="n"/>
      <c r="I158" s="9591" t="n"/>
    </row>
    <row r="159" ht="21" customHeight="1" s="8286">
      <c r="A159" s="7066" t="inlineStr">
        <is>
          <t>TIPO COMPLICACIÓN</t>
        </is>
      </c>
      <c r="B159" s="7066" t="inlineStr">
        <is>
          <t>ORIGEN</t>
        </is>
      </c>
      <c r="C159" s="10499" t="inlineStr">
        <is>
          <t>TIPO</t>
        </is>
      </c>
      <c r="D159" s="9602" t="n"/>
      <c r="E159" s="9603" t="n"/>
      <c r="F159" s="8848" t="inlineStr">
        <is>
          <t>TOTAL</t>
        </is>
      </c>
      <c r="G159" s="6902" t="inlineStr">
        <is>
          <t>Glóbulos rojos</t>
        </is>
      </c>
      <c r="H159" s="7067" t="inlineStr">
        <is>
          <t>Plasma</t>
        </is>
      </c>
      <c r="I159" s="7068" t="inlineStr">
        <is>
          <t>Plaquetas</t>
        </is>
      </c>
    </row>
    <row r="160">
      <c r="A160" s="10500" t="inlineStr">
        <is>
          <t>Complicaciones agudas</t>
        </is>
      </c>
      <c r="B160" s="10500" t="inlineStr">
        <is>
          <t>Inmunológico</t>
        </is>
      </c>
      <c r="C160" s="10501" t="inlineStr">
        <is>
          <t>Reacción hemolítica aguda</t>
        </is>
      </c>
      <c r="D160" s="9814" t="n"/>
      <c r="E160" s="9643" t="n"/>
      <c r="F160" s="6538">
        <f>SUM(G160:I160)</f>
        <v/>
      </c>
      <c r="G160" s="7069" t="n"/>
      <c r="H160" s="7070" t="n"/>
      <c r="I160" s="7071" t="n"/>
    </row>
    <row r="161">
      <c r="A161" s="9627" t="n"/>
      <c r="B161" s="9627" t="n"/>
      <c r="C161" s="7048" t="inlineStr">
        <is>
          <t>Reacción febril no hemolítica</t>
        </is>
      </c>
      <c r="D161" s="10208" t="n"/>
      <c r="E161" s="9644" t="n"/>
      <c r="F161" s="7072">
        <f>SUM(G161:I161)</f>
        <v/>
      </c>
      <c r="G161" s="7055" t="n"/>
      <c r="H161" s="7056" t="n"/>
      <c r="I161" s="7057" t="n"/>
    </row>
    <row r="162">
      <c r="A162" s="9627" t="n"/>
      <c r="B162" s="9627" t="n"/>
      <c r="C162" s="7048" t="inlineStr">
        <is>
          <t>Reacción alérgica</t>
        </is>
      </c>
      <c r="D162" s="10208" t="n"/>
      <c r="E162" s="9644" t="n"/>
      <c r="F162" s="7072">
        <f>SUM(G162:I162)</f>
        <v/>
      </c>
      <c r="G162" s="7055" t="n"/>
      <c r="H162" s="7056" t="n"/>
      <c r="I162" s="7057" t="n"/>
    </row>
    <row r="163">
      <c r="A163" s="9627" t="n"/>
      <c r="B163" s="9627" t="n"/>
      <c r="C163" s="7048" t="inlineStr">
        <is>
          <t xml:space="preserve">Anafilaxia/Hipersensibilidad </t>
        </is>
      </c>
      <c r="D163" s="10208" t="n"/>
      <c r="E163" s="9644" t="n"/>
      <c r="F163" s="7072">
        <f>SUM(G163:I163)</f>
        <v/>
      </c>
      <c r="G163" s="7055" t="n"/>
      <c r="H163" s="7056" t="n"/>
      <c r="I163" s="7057" t="n"/>
    </row>
    <row r="164">
      <c r="A164" s="9627" t="n"/>
      <c r="B164" s="9627" t="n"/>
      <c r="C164" s="7048" t="inlineStr">
        <is>
          <t>Lesión pulmonar aguda relacionada con la transfusión (TRALI)</t>
        </is>
      </c>
      <c r="D164" s="10208" t="n"/>
      <c r="E164" s="9644" t="n"/>
      <c r="F164" s="7072">
        <f>SUM(G164:I164)</f>
        <v/>
      </c>
      <c r="G164" s="7055" t="n"/>
      <c r="H164" s="7056" t="n"/>
      <c r="I164" s="7057" t="n"/>
    </row>
    <row r="165">
      <c r="A165" s="9627" t="n"/>
      <c r="B165" s="9627" t="n"/>
      <c r="C165" s="7048" t="inlineStr">
        <is>
          <t>Aloinmunización con destrucción plaquetaria inmediata</t>
        </is>
      </c>
      <c r="D165" s="10208" t="n"/>
      <c r="E165" s="9644" t="n"/>
      <c r="F165" s="7072">
        <f>SUM(G165:I165)</f>
        <v/>
      </c>
      <c r="G165" s="7055" t="n"/>
      <c r="H165" s="7056" t="n"/>
      <c r="I165" s="7057" t="n"/>
    </row>
    <row r="166">
      <c r="A166" s="9627" t="n"/>
      <c r="B166" s="9627" t="n"/>
      <c r="C166" s="7048" t="inlineStr">
        <is>
          <t>Reacción Hemolítica aguda por inmunocompatibilidad ABO</t>
        </is>
      </c>
      <c r="D166" s="10208" t="n"/>
      <c r="E166" s="9644" t="n"/>
      <c r="F166" s="7072">
        <f>SUM(G166:I166)</f>
        <v/>
      </c>
      <c r="G166" s="7055" t="n"/>
      <c r="H166" s="7056" t="n"/>
      <c r="I166" s="7057" t="n"/>
    </row>
    <row r="167">
      <c r="A167" s="9627" t="n"/>
      <c r="B167" s="9621" t="n"/>
      <c r="C167" s="10502" t="inlineStr">
        <is>
          <t xml:space="preserve">Reacción Hemolítica aguda por otra causa </t>
        </is>
      </c>
      <c r="D167" s="9591" t="n"/>
      <c r="E167" s="9776" t="n"/>
      <c r="F167" s="6876">
        <f>SUM(G167:I167)</f>
        <v/>
      </c>
      <c r="G167" s="7058" t="n"/>
      <c r="H167" s="7059" t="n"/>
      <c r="I167" s="5873" t="n"/>
    </row>
    <row r="168">
      <c r="A168" s="9627" t="n"/>
      <c r="B168" s="10503" t="inlineStr">
        <is>
          <t>No inmunológico</t>
        </is>
      </c>
      <c r="C168" s="10501" t="inlineStr">
        <is>
          <t>Contaminación bacteriana</t>
        </is>
      </c>
      <c r="D168" s="9814" t="n"/>
      <c r="E168" s="9643" t="n"/>
      <c r="F168" s="6538">
        <f>SUM(G168:I168)</f>
        <v/>
      </c>
      <c r="G168" s="7069" t="n"/>
      <c r="H168" s="7070" t="n"/>
      <c r="I168" s="7071" t="n"/>
    </row>
    <row r="169">
      <c r="A169" s="9627" t="n"/>
      <c r="B169" s="9627" t="n"/>
      <c r="C169" s="7048" t="inlineStr">
        <is>
          <t>Sobrecarga circulatoria</t>
        </is>
      </c>
      <c r="D169" s="10208" t="n"/>
      <c r="E169" s="9644" t="n"/>
      <c r="F169" s="6538">
        <f>SUM(G169:I169)</f>
        <v/>
      </c>
      <c r="G169" s="7055" t="n"/>
      <c r="H169" s="7056" t="n"/>
      <c r="I169" s="7057" t="n"/>
    </row>
    <row r="170">
      <c r="A170" s="9621" t="n"/>
      <c r="B170" s="9621" t="n"/>
      <c r="C170" s="10502" t="inlineStr">
        <is>
          <t>Hemólisis no inmune</t>
        </is>
      </c>
      <c r="D170" s="9591" t="n"/>
      <c r="E170" s="9776" t="n"/>
      <c r="F170" s="7076">
        <f>SUM(G170:I170)</f>
        <v/>
      </c>
      <c r="G170" s="7058" t="n"/>
      <c r="H170" s="7059" t="n"/>
      <c r="I170" s="5873" t="n"/>
    </row>
    <row r="171">
      <c r="A171" s="10500" t="inlineStr">
        <is>
          <t>Complicaciones retardadas</t>
        </is>
      </c>
      <c r="B171" s="10503" t="inlineStr">
        <is>
          <t>Inmunológico</t>
        </is>
      </c>
      <c r="C171" s="10501" t="inlineStr">
        <is>
          <t>Reacción hemolítica retardada</t>
        </is>
      </c>
      <c r="D171" s="9814" t="n"/>
      <c r="E171" s="9643" t="n"/>
      <c r="F171" s="7077">
        <f>SUM(G171:I171)</f>
        <v/>
      </c>
      <c r="G171" s="7069" t="n"/>
      <c r="H171" s="7070" t="n"/>
      <c r="I171" s="7071" t="n"/>
    </row>
    <row r="172">
      <c r="A172" s="9627" t="n"/>
      <c r="B172" s="9627" t="n"/>
      <c r="C172" s="7048" t="inlineStr">
        <is>
          <t>Aloinmunización frente a antígenos eritrocitarios</t>
        </is>
      </c>
      <c r="D172" s="10208" t="n"/>
      <c r="E172" s="9644" t="n"/>
      <c r="F172" s="6538">
        <f>SUM(G172:I172)</f>
        <v/>
      </c>
      <c r="G172" s="7055" t="n"/>
      <c r="H172" s="7056" t="n"/>
      <c r="I172" s="7057" t="n"/>
    </row>
    <row r="173">
      <c r="A173" s="9627" t="n"/>
      <c r="B173" s="9627" t="n"/>
      <c r="C173" s="7048" t="inlineStr">
        <is>
          <t>Púrpura postransfusional</t>
        </is>
      </c>
      <c r="D173" s="10208" t="n"/>
      <c r="E173" s="9644" t="n"/>
      <c r="F173" s="6538">
        <f>SUM(G173:I173)</f>
        <v/>
      </c>
      <c r="G173" s="7055" t="n"/>
      <c r="H173" s="7056" t="n"/>
      <c r="I173" s="7057" t="n"/>
    </row>
    <row r="174">
      <c r="A174" s="9627" t="n"/>
      <c r="B174" s="9621" t="n"/>
      <c r="C174" s="10504" t="inlineStr">
        <is>
          <t>Enfermedad injerto contra huésped postransfusional (EICHT)</t>
        </is>
      </c>
      <c r="D174" s="9817" t="n"/>
      <c r="E174" s="9720" t="n"/>
      <c r="F174" s="7078">
        <f>SUM(G174:I174)</f>
        <v/>
      </c>
      <c r="G174" s="7058" t="n"/>
      <c r="H174" s="7059" t="n"/>
      <c r="I174" s="5873" t="n"/>
    </row>
    <row r="175">
      <c r="A175" s="9627" t="n"/>
      <c r="B175" s="10503" t="inlineStr">
        <is>
          <t>No inmunológico</t>
        </is>
      </c>
      <c r="C175" s="10505" t="inlineStr">
        <is>
          <t>Hemosiderosis /hemocromatosis inducida por la  transfusión</t>
        </is>
      </c>
      <c r="D175" s="9758" t="n"/>
      <c r="E175" s="9935" t="n"/>
      <c r="F175" s="6538">
        <f>SUM(G175:I175)</f>
        <v/>
      </c>
      <c r="G175" s="7069" t="n"/>
      <c r="H175" s="7070" t="n"/>
      <c r="I175" s="7071" t="n"/>
    </row>
    <row r="176" ht="24.95" customHeight="1" s="8286">
      <c r="A176" s="9627" t="n"/>
      <c r="B176" s="9627" t="n"/>
      <c r="C176" s="10506" t="inlineStr">
        <is>
          <t>Transmisión de priones: variante de la enfermedad de Creutzfeldt-Jakob (vECJ)</t>
        </is>
      </c>
      <c r="D176" s="10208" t="n"/>
      <c r="E176" s="9644" t="n"/>
      <c r="F176" s="6538">
        <f>SUM(G176:I176)</f>
        <v/>
      </c>
      <c r="G176" s="7055" t="n"/>
      <c r="H176" s="7056" t="n"/>
      <c r="I176" s="7057" t="n"/>
    </row>
    <row r="177">
      <c r="A177" s="9627" t="n"/>
      <c r="B177" s="9627" t="n"/>
      <c r="C177" s="7048" t="inlineStr">
        <is>
          <t>Formación de inhibidores</t>
        </is>
      </c>
      <c r="D177" s="10208" t="n"/>
      <c r="E177" s="9644" t="n"/>
      <c r="F177" s="6538">
        <f>SUM(G177:I177)</f>
        <v/>
      </c>
      <c r="G177" s="7055" t="n"/>
      <c r="H177" s="7056" t="n"/>
      <c r="I177" s="7057" t="n"/>
    </row>
    <row r="178">
      <c r="A178" s="9627" t="n"/>
      <c r="B178" s="9627" t="n"/>
      <c r="C178" s="7048" t="inlineStr">
        <is>
          <t xml:space="preserve">Septicemia </t>
        </is>
      </c>
      <c r="D178" s="10208" t="n"/>
      <c r="E178" s="9644" t="n"/>
      <c r="F178" s="6538">
        <f>SUM(G178:I178)</f>
        <v/>
      </c>
      <c r="G178" s="7055" t="n"/>
      <c r="H178" s="7056" t="n"/>
      <c r="I178" s="7057" t="n"/>
    </row>
    <row r="179">
      <c r="A179" s="9627" t="n"/>
      <c r="B179" s="9627" t="n"/>
      <c r="C179" s="7048" t="inlineStr">
        <is>
          <t xml:space="preserve">Transmisión de VIH post transfusional </t>
        </is>
      </c>
      <c r="D179" s="10208" t="n"/>
      <c r="E179" s="9644" t="n"/>
      <c r="F179" s="6538">
        <f>SUM(G179:I179)</f>
        <v/>
      </c>
      <c r="G179" s="7055" t="n"/>
      <c r="H179" s="7056" t="n"/>
      <c r="I179" s="7057" t="n"/>
    </row>
    <row r="180">
      <c r="A180" s="9627" t="n"/>
      <c r="B180" s="9627" t="n"/>
      <c r="C180" s="7048" t="inlineStr">
        <is>
          <t xml:space="preserve">Transmisión de VHC post transfusional </t>
        </is>
      </c>
      <c r="D180" s="10208" t="n"/>
      <c r="E180" s="9644" t="n"/>
      <c r="F180" s="6538">
        <f>SUM(G180:I180)</f>
        <v/>
      </c>
      <c r="G180" s="7055" t="n"/>
      <c r="H180" s="7056" t="n"/>
      <c r="I180" s="7057" t="n"/>
    </row>
    <row r="181">
      <c r="A181" s="9627" t="n"/>
      <c r="B181" s="9627" t="n"/>
      <c r="C181" s="7048" t="inlineStr">
        <is>
          <t xml:space="preserve">Transmisión de VHB post transfusional </t>
        </is>
      </c>
      <c r="D181" s="10208" t="n"/>
      <c r="E181" s="9644" t="n"/>
      <c r="F181" s="6538">
        <f>SUM(G181:I181)</f>
        <v/>
      </c>
      <c r="G181" s="7055" t="n"/>
      <c r="H181" s="7056" t="n"/>
      <c r="I181" s="7057" t="n"/>
    </row>
    <row r="182">
      <c r="A182" s="9627" t="n"/>
      <c r="B182" s="9627" t="n"/>
      <c r="C182" s="7048" t="inlineStr">
        <is>
          <t xml:space="preserve">Transmisión de otros virus post transfusional </t>
        </is>
      </c>
      <c r="D182" s="10208" t="n"/>
      <c r="E182" s="9644" t="n"/>
      <c r="F182" s="6538">
        <f>SUM(G182:I182)</f>
        <v/>
      </c>
      <c r="G182" s="7055" t="n"/>
      <c r="H182" s="7056" t="n"/>
      <c r="I182" s="7057" t="n"/>
    </row>
    <row r="183">
      <c r="A183" s="9627" t="n"/>
      <c r="B183" s="9627" t="n"/>
      <c r="C183" s="7048" t="inlineStr">
        <is>
          <t>Malaria/Paludismo post transfusional</t>
        </is>
      </c>
      <c r="D183" s="10208" t="n"/>
      <c r="E183" s="9644" t="n"/>
      <c r="F183" s="6538">
        <f>SUM(G183:I183)</f>
        <v/>
      </c>
      <c r="G183" s="7055" t="n"/>
      <c r="H183" s="7056" t="n"/>
      <c r="I183" s="7057" t="n"/>
    </row>
    <row r="184" ht="24.95" customHeight="1" s="8286">
      <c r="A184" s="9621" t="n"/>
      <c r="B184" s="9621" t="n"/>
      <c r="C184" s="10507" t="inlineStr">
        <is>
          <t>Otras Infecciones Parasitarias post transfusional (incluye Sífilis y Chagas)</t>
        </is>
      </c>
      <c r="D184" s="9817" t="n"/>
      <c r="E184" s="9720" t="n"/>
      <c r="F184" s="6538">
        <f>SUM(G184:I184)</f>
        <v/>
      </c>
      <c r="G184" s="7055" t="n"/>
      <c r="H184" s="7056" t="n"/>
      <c r="I184" s="7057" t="n"/>
    </row>
    <row r="185">
      <c r="A185" s="7079" t="n"/>
      <c r="B185" s="7080" t="n"/>
      <c r="C185" s="9006" t="inlineStr">
        <is>
          <t>TOTAL</t>
        </is>
      </c>
      <c r="D185" s="9007" t="n"/>
      <c r="E185" s="9008" t="n"/>
      <c r="F185" s="7081">
        <f>+SUM(F160:F184)</f>
        <v/>
      </c>
      <c r="G185" s="7082">
        <f>+SUM(G160:G184)</f>
        <v/>
      </c>
      <c r="H185" s="7083">
        <f>+SUM(H160:H184)</f>
        <v/>
      </c>
      <c r="I185" s="7084">
        <f>+SUM(I160:I184)</f>
        <v/>
      </c>
    </row>
    <row r="186">
      <c r="A186" s="5551" t="inlineStr">
        <is>
          <t>* Cada vez que el paciente se transfunde.</t>
        </is>
      </c>
      <c r="B186" s="5551" t="n"/>
      <c r="C186" s="6089" t="n"/>
      <c r="D186" s="6089" t="n"/>
      <c r="E186" s="6089" t="n"/>
      <c r="F186" s="6089" t="n"/>
      <c r="G186" s="6089" t="n"/>
      <c r="H186" s="6089" t="n"/>
      <c r="I186" s="6089" t="n"/>
    </row>
    <row r="187" ht="18" customFormat="1" customHeight="1" s="939">
      <c r="A187" s="1010" t="inlineStr">
        <is>
          <t>SECCIÓN G: INMUNOHEMATOLOGIA</t>
        </is>
      </c>
    </row>
    <row r="188" ht="18" customFormat="1" customHeight="1" s="939">
      <c r="A188" s="10508" t="inlineStr">
        <is>
          <t>SECCIÓN G.1: CLASIFICACIÓN SANGUÍNEA ABO-RhD (CS - CP - BS - UTT)</t>
        </is>
      </c>
      <c r="B188" s="9591" t="n"/>
      <c r="C188" s="9591" t="n"/>
      <c r="D188" s="9591" t="n"/>
    </row>
    <row r="189" ht="15" customHeight="1" s="8286">
      <c r="A189" s="9046" t="inlineStr">
        <is>
          <t>FENOTIPO</t>
        </is>
      </c>
      <c r="B189" s="9036" t="inlineStr">
        <is>
          <t>TOTAL</t>
        </is>
      </c>
      <c r="C189" s="6877" t="inlineStr">
        <is>
          <t>Donantes</t>
        </is>
      </c>
      <c r="D189" s="8890" t="inlineStr">
        <is>
          <t>Pacientes</t>
        </is>
      </c>
    </row>
    <row r="190" ht="15" customHeight="1" s="8286">
      <c r="A190" s="7087" t="inlineStr">
        <is>
          <t>O RhD+</t>
        </is>
      </c>
      <c r="B190" s="7072">
        <f>SUM(C190:D190)</f>
        <v/>
      </c>
      <c r="C190" s="7069" t="n"/>
      <c r="D190" s="7071" t="n"/>
    </row>
    <row r="191" ht="15" customHeight="1" s="8286">
      <c r="A191" s="7088" t="inlineStr">
        <is>
          <t>O RhD-</t>
        </is>
      </c>
      <c r="B191" s="7072">
        <f>SUM(C191:D191)</f>
        <v/>
      </c>
      <c r="C191" s="7055" t="n"/>
      <c r="D191" s="7057" t="n"/>
    </row>
    <row r="192" ht="15" customHeight="1" s="8286">
      <c r="A192" s="7088" t="inlineStr">
        <is>
          <t>A RhD+</t>
        </is>
      </c>
      <c r="B192" s="7072">
        <f>SUM(C192:D192)</f>
        <v/>
      </c>
      <c r="C192" s="7055" t="n"/>
      <c r="D192" s="7057" t="n"/>
    </row>
    <row r="193" ht="15" customHeight="1" s="8286">
      <c r="A193" s="7088" t="inlineStr">
        <is>
          <t>A RhD-</t>
        </is>
      </c>
      <c r="B193" s="7072">
        <f>SUM(C193:D193)</f>
        <v/>
      </c>
      <c r="C193" s="7055" t="n"/>
      <c r="D193" s="7057" t="n"/>
    </row>
    <row r="194" ht="15" customHeight="1" s="8286">
      <c r="A194" s="7088" t="inlineStr">
        <is>
          <t>B RhD+</t>
        </is>
      </c>
      <c r="B194" s="7072">
        <f>SUM(C194:D194)</f>
        <v/>
      </c>
      <c r="C194" s="7055" t="n"/>
      <c r="D194" s="7057" t="n"/>
    </row>
    <row r="195" ht="15" customHeight="1" s="8286">
      <c r="A195" s="7088" t="inlineStr">
        <is>
          <t>B RhD-</t>
        </is>
      </c>
      <c r="B195" s="7072">
        <f>SUM(C195:D195)</f>
        <v/>
      </c>
      <c r="C195" s="7055" t="n"/>
      <c r="D195" s="7057" t="n"/>
    </row>
    <row r="196" ht="15" customHeight="1" s="8286">
      <c r="A196" s="7088" t="inlineStr">
        <is>
          <t>AB RhD+</t>
        </is>
      </c>
      <c r="B196" s="7072">
        <f>SUM(C196:D196)</f>
        <v/>
      </c>
      <c r="C196" s="7055" t="n"/>
      <c r="D196" s="7057" t="n"/>
    </row>
    <row r="197" ht="15" customHeight="1" s="8286">
      <c r="A197" s="7088" t="inlineStr">
        <is>
          <t>AB RhD-</t>
        </is>
      </c>
      <c r="B197" s="7072">
        <f>SUM(C197:D197)</f>
        <v/>
      </c>
      <c r="C197" s="7055" t="n"/>
      <c r="D197" s="7057" t="n"/>
    </row>
    <row r="198" ht="15" customHeight="1" s="8286">
      <c r="A198" s="7088" t="inlineStr">
        <is>
          <t>Discrepante ABO</t>
        </is>
      </c>
      <c r="B198" s="7072">
        <f>SUM(C198:D198)</f>
        <v/>
      </c>
      <c r="C198" s="7055" t="n"/>
      <c r="D198" s="7057" t="n"/>
    </row>
    <row r="199" ht="15" customHeight="1" s="8286">
      <c r="A199" s="7089" t="inlineStr">
        <is>
          <t>Discrepante RhD</t>
        </is>
      </c>
      <c r="B199" s="7072">
        <f>SUM(C199:D199)</f>
        <v/>
      </c>
      <c r="C199" s="7055" t="n"/>
      <c r="D199" s="7057" t="n"/>
    </row>
    <row r="200" ht="15" customHeight="1" s="8286">
      <c r="A200" s="9043" t="inlineStr">
        <is>
          <t>TOTAL</t>
        </is>
      </c>
      <c r="B200" s="6768">
        <f>+SUM(B190:B199)</f>
        <v/>
      </c>
      <c r="C200" s="6948">
        <f>+SUM(C190:C199)</f>
        <v/>
      </c>
      <c r="D200" s="6951">
        <f>+SUM(D190:D199)</f>
        <v/>
      </c>
    </row>
    <row r="201" ht="18" customFormat="1" customHeight="1" s="939">
      <c r="A201" s="1010" t="inlineStr">
        <is>
          <t>SECCIÓN:G.2 DETECCIÓN DE ANTICUERPOS IRREGULARES (CS - CP - BS - UTT)</t>
        </is>
      </c>
    </row>
    <row r="202" ht="15" customHeight="1" s="8286">
      <c r="A202" s="9046" t="inlineStr">
        <is>
          <t>DETECCIÓN</t>
        </is>
      </c>
      <c r="B202" s="6877" t="inlineStr">
        <is>
          <t>Donantes</t>
        </is>
      </c>
      <c r="C202" s="6911" t="inlineStr">
        <is>
          <t>Pacientes</t>
        </is>
      </c>
      <c r="D202" s="8890" t="inlineStr">
        <is>
          <t>Embarazadas</t>
        </is>
      </c>
    </row>
    <row r="203" ht="15" customHeight="1" s="8286">
      <c r="A203" s="9044" t="inlineStr">
        <is>
          <t>Positivo</t>
        </is>
      </c>
      <c r="B203" s="7055" t="n"/>
      <c r="C203" s="7056" t="n"/>
      <c r="D203" s="7057" t="n"/>
    </row>
    <row r="204" ht="15" customHeight="1" s="8286">
      <c r="A204" s="7092" t="inlineStr">
        <is>
          <t>Negativo</t>
        </is>
      </c>
      <c r="B204" s="7055" t="n"/>
      <c r="C204" s="7056" t="n"/>
      <c r="D204" s="7057" t="n"/>
    </row>
    <row r="205" ht="15" customHeight="1" s="8286">
      <c r="A205" s="9045" t="inlineStr">
        <is>
          <t>Indeterminado</t>
        </is>
      </c>
      <c r="B205" s="7055" t="n"/>
      <c r="C205" s="7056" t="n"/>
      <c r="D205" s="5873" t="n"/>
    </row>
    <row r="206" ht="15" customHeight="1" s="8286">
      <c r="A206" s="9046" t="inlineStr">
        <is>
          <t>TOTAL</t>
        </is>
      </c>
      <c r="B206" s="6948">
        <f>+SUM(B203:B205)</f>
        <v/>
      </c>
      <c r="C206" s="7011">
        <f>+SUM(C203:C205)</f>
        <v/>
      </c>
      <c r="D206" s="6951">
        <f>+SUM(D203:D205)</f>
        <v/>
      </c>
    </row>
    <row r="207" ht="18" customFormat="1" customHeight="1" s="939">
      <c r="A207" s="10508" t="inlineStr">
        <is>
          <t>SECCIÓN G.3: IDENTIFICACIÓN DE ANTICUERPOS IRREGULARES (CS - CP - BS - UTT)</t>
        </is>
      </c>
      <c r="B207" s="9591" t="n"/>
      <c r="C207" s="9591" t="n"/>
      <c r="D207" s="9591" t="n"/>
      <c r="E207" s="9591" t="n"/>
    </row>
    <row r="208" ht="15" customFormat="1" customHeight="1" s="65">
      <c r="A208" s="9043" t="inlineStr">
        <is>
          <t>SISTEMA</t>
        </is>
      </c>
      <c r="B208" s="9043" t="inlineStr">
        <is>
          <t>ANTICUERPO</t>
        </is>
      </c>
      <c r="C208" s="6877" t="inlineStr">
        <is>
          <t>Donantes</t>
        </is>
      </c>
      <c r="D208" s="6911" t="inlineStr">
        <is>
          <t>Pacientes</t>
        </is>
      </c>
      <c r="E208" s="8890" t="inlineStr">
        <is>
          <t>Embarazadas</t>
        </is>
      </c>
    </row>
    <row r="209" ht="15" customFormat="1" customHeight="1" s="65">
      <c r="A209" s="10509" t="inlineStr">
        <is>
          <t>MNS</t>
        </is>
      </c>
      <c r="B209" s="7093" t="inlineStr">
        <is>
          <t>M</t>
        </is>
      </c>
      <c r="C209" s="7055" t="n"/>
      <c r="D209" s="7056" t="n"/>
      <c r="E209" s="7054" t="n"/>
    </row>
    <row r="210" ht="15" customFormat="1" customHeight="1" s="65">
      <c r="A210" s="9588" t="n"/>
      <c r="B210" s="7094" t="inlineStr">
        <is>
          <t>N</t>
        </is>
      </c>
      <c r="C210" s="7055" t="n"/>
      <c r="D210" s="7056" t="n"/>
      <c r="E210" s="7071" t="n"/>
    </row>
    <row r="211" ht="15" customFormat="1" customHeight="1" s="65">
      <c r="A211" s="9588" t="n"/>
      <c r="B211" s="7095" t="inlineStr">
        <is>
          <t>S</t>
        </is>
      </c>
      <c r="C211" s="7069" t="n"/>
      <c r="D211" s="7070" t="n"/>
      <c r="E211" s="7057" t="n"/>
    </row>
    <row r="212" ht="15" customFormat="1" customHeight="1" s="65">
      <c r="A212" s="9589" t="n"/>
      <c r="B212" s="9012" t="inlineStr">
        <is>
          <t>s</t>
        </is>
      </c>
      <c r="C212" s="7058" t="n"/>
      <c r="D212" s="7059" t="n"/>
      <c r="E212" s="5873" t="n"/>
    </row>
    <row r="213" ht="15" customFormat="1" customHeight="1" s="65">
      <c r="A213" s="7097" t="inlineStr">
        <is>
          <t>P1PK</t>
        </is>
      </c>
      <c r="B213" s="7097" t="inlineStr">
        <is>
          <t>P1</t>
        </is>
      </c>
      <c r="C213" s="7098" t="n"/>
      <c r="D213" s="7099" t="n"/>
      <c r="E213" s="7100" t="n"/>
    </row>
    <row r="214" ht="15" customFormat="1" customHeight="1" s="65">
      <c r="A214" s="10509" t="inlineStr">
        <is>
          <t>Rh</t>
        </is>
      </c>
      <c r="B214" s="7093" t="inlineStr">
        <is>
          <t>D</t>
        </is>
      </c>
      <c r="C214" s="7052" t="n"/>
      <c r="D214" s="7053" t="n"/>
      <c r="E214" s="7054" t="n"/>
    </row>
    <row r="215" ht="15" customFormat="1" customHeight="1" s="65">
      <c r="A215" s="9588" t="n"/>
      <c r="B215" s="7095" t="inlineStr">
        <is>
          <t>C</t>
        </is>
      </c>
      <c r="C215" s="7069" t="n"/>
      <c r="D215" s="7070" t="n"/>
      <c r="E215" s="7071" t="n"/>
    </row>
    <row r="216" ht="15" customFormat="1" customHeight="1" s="65">
      <c r="A216" s="9588" t="n"/>
      <c r="B216" s="7094" t="inlineStr">
        <is>
          <t>E</t>
        </is>
      </c>
      <c r="C216" s="7055" t="n"/>
      <c r="D216" s="7056" t="n"/>
      <c r="E216" s="7057" t="n"/>
    </row>
    <row r="217" ht="15" customFormat="1" customHeight="1" s="65">
      <c r="A217" s="9588" t="n"/>
      <c r="B217" s="7095" t="inlineStr">
        <is>
          <t>c</t>
        </is>
      </c>
      <c r="C217" s="7069" t="n"/>
      <c r="D217" s="7070" t="n"/>
      <c r="E217" s="7071" t="n"/>
    </row>
    <row r="218" ht="15" customFormat="1" customHeight="1" s="65">
      <c r="A218" s="9589" t="n"/>
      <c r="B218" s="9012" t="inlineStr">
        <is>
          <t>e</t>
        </is>
      </c>
      <c r="C218" s="7058" t="n"/>
      <c r="D218" s="7059" t="n"/>
      <c r="E218" s="5873" t="n"/>
    </row>
    <row r="219" ht="15" customFormat="1" customHeight="1" s="65">
      <c r="A219" s="10509" t="inlineStr">
        <is>
          <t>LUTHERAN</t>
        </is>
      </c>
      <c r="B219" s="7093" t="inlineStr">
        <is>
          <t>Lua</t>
        </is>
      </c>
      <c r="C219" s="7069" t="n"/>
      <c r="D219" s="7070" t="n"/>
      <c r="E219" s="7071" t="n"/>
    </row>
    <row r="220" ht="15" customFormat="1" customHeight="1" s="65">
      <c r="A220" s="9589" t="n"/>
      <c r="B220" s="9012" t="inlineStr">
        <is>
          <t>Lub</t>
        </is>
      </c>
      <c r="C220" s="7058" t="n"/>
      <c r="D220" s="7059" t="n"/>
      <c r="E220" s="5873" t="n"/>
    </row>
    <row r="221" ht="15" customFormat="1" customHeight="1" s="65">
      <c r="A221" s="10509" t="inlineStr">
        <is>
          <t>KELL</t>
        </is>
      </c>
      <c r="B221" s="7093" t="inlineStr">
        <is>
          <t>K</t>
        </is>
      </c>
      <c r="C221" s="7052" t="n"/>
      <c r="D221" s="7053" t="n"/>
      <c r="E221" s="7054" t="n"/>
    </row>
    <row r="222" ht="15" customFormat="1" customHeight="1" s="65">
      <c r="A222" s="9588" t="n"/>
      <c r="B222" s="7094" t="inlineStr">
        <is>
          <t>k</t>
        </is>
      </c>
      <c r="C222" s="7069" t="n"/>
      <c r="D222" s="7070" t="n"/>
      <c r="E222" s="7071" t="n"/>
    </row>
    <row r="223" ht="15" customFormat="1" customHeight="1" s="65">
      <c r="A223" s="9589" t="n"/>
      <c r="B223" s="7095" t="inlineStr">
        <is>
          <t>Kpa</t>
        </is>
      </c>
      <c r="C223" s="7101" t="n"/>
      <c r="D223" s="7102" t="n"/>
      <c r="E223" s="7100" t="n"/>
    </row>
    <row r="224" ht="15" customFormat="1" customHeight="1" s="65">
      <c r="A224" s="10509" t="inlineStr">
        <is>
          <t>LEWIS</t>
        </is>
      </c>
      <c r="B224" s="7093" t="inlineStr">
        <is>
          <t>Lea</t>
        </is>
      </c>
      <c r="C224" s="7069" t="n"/>
      <c r="D224" s="7070" t="n"/>
      <c r="E224" s="7071" t="n"/>
    </row>
    <row r="225" ht="15" customFormat="1" customHeight="1" s="65">
      <c r="A225" s="9589" t="n"/>
      <c r="B225" s="9012" t="inlineStr">
        <is>
          <t>Leb</t>
        </is>
      </c>
      <c r="C225" s="7058" t="n"/>
      <c r="D225" s="7059" t="n"/>
      <c r="E225" s="5873" t="n"/>
    </row>
    <row r="226" ht="15" customFormat="1" customHeight="1" s="65">
      <c r="A226" s="10509" t="inlineStr">
        <is>
          <t>DUFFY</t>
        </is>
      </c>
      <c r="B226" s="7093" t="inlineStr">
        <is>
          <t>Fya</t>
        </is>
      </c>
      <c r="C226" s="7069" t="n"/>
      <c r="D226" s="7070" t="n"/>
      <c r="E226" s="7071" t="n"/>
    </row>
    <row r="227" ht="15" customFormat="1" customHeight="1" s="65">
      <c r="A227" s="9589" t="n"/>
      <c r="B227" s="9012" t="inlineStr">
        <is>
          <t>Fyb</t>
        </is>
      </c>
      <c r="C227" s="7058" t="n"/>
      <c r="D227" s="7059" t="n"/>
      <c r="E227" s="5873" t="n"/>
    </row>
    <row r="228" ht="15" customFormat="1" customHeight="1" s="65">
      <c r="A228" s="10509" t="inlineStr">
        <is>
          <t>KIDD</t>
        </is>
      </c>
      <c r="B228" s="7093" t="inlineStr">
        <is>
          <t>Jka</t>
        </is>
      </c>
      <c r="C228" s="7069" t="n"/>
      <c r="D228" s="7070" t="n"/>
      <c r="E228" s="7071" t="n"/>
    </row>
    <row r="229" ht="15" customFormat="1" customHeight="1" s="65">
      <c r="A229" s="9589" t="n"/>
      <c r="B229" s="9012" t="inlineStr">
        <is>
          <t>Jkb</t>
        </is>
      </c>
      <c r="C229" s="7058" t="n"/>
      <c r="D229" s="7059" t="n"/>
      <c r="E229" s="5873" t="n"/>
    </row>
    <row r="230" ht="15" customFormat="1" customHeight="1" s="65">
      <c r="A230" s="10509" t="inlineStr">
        <is>
          <t>DIEGO</t>
        </is>
      </c>
      <c r="B230" s="7093" t="inlineStr">
        <is>
          <t>Dia</t>
        </is>
      </c>
      <c r="C230" s="7069" t="n"/>
      <c r="D230" s="7070" t="n"/>
      <c r="E230" s="7071" t="n"/>
    </row>
    <row r="231" ht="15" customFormat="1" customHeight="1" s="65">
      <c r="A231" s="9589" t="n"/>
      <c r="B231" s="7103" t="inlineStr">
        <is>
          <t>Dib</t>
        </is>
      </c>
      <c r="C231" s="7058" t="n"/>
      <c r="D231" s="7059" t="n"/>
      <c r="E231" s="5873" t="n"/>
    </row>
    <row r="232" ht="15" customFormat="1" customHeight="1" s="65">
      <c r="A232" s="10510" t="inlineStr">
        <is>
          <t xml:space="preserve">No concluyente  </t>
        </is>
      </c>
      <c r="B232" s="9643" t="n"/>
      <c r="C232" s="7069" t="n"/>
      <c r="D232" s="7070" t="n"/>
      <c r="E232" s="7071" t="n"/>
    </row>
    <row r="233" ht="15" customFormat="1" customHeight="1" s="65">
      <c r="A233" s="9012" t="inlineStr">
        <is>
          <t>Otros</t>
        </is>
      </c>
      <c r="B233" s="9776" t="n"/>
      <c r="C233" s="7055" t="n"/>
      <c r="D233" s="7056" t="n"/>
      <c r="E233" s="7057" t="n"/>
    </row>
    <row r="234" ht="15" customFormat="1" customHeight="1" s="65">
      <c r="A234" s="9904" t="inlineStr">
        <is>
          <t>TOTAL</t>
        </is>
      </c>
      <c r="B234" s="9582" t="n"/>
      <c r="C234" s="6948">
        <f>+SUM(C209:C233)</f>
        <v/>
      </c>
      <c r="D234" s="7011">
        <f>+SUM(D209:D233)</f>
        <v/>
      </c>
      <c r="E234" s="6951">
        <f>+SUM(E209:E233)</f>
        <v/>
      </c>
    </row>
    <row r="235" ht="18" customFormat="1" customHeight="1" s="939">
      <c r="A235" s="10511" t="inlineStr">
        <is>
          <t>SECCIÓN G.4: PRUEBAS CRUZADAS ERITROCITARIAS (BS-UTT)</t>
        </is>
      </c>
      <c r="B235" s="9617" t="n"/>
      <c r="C235" s="9617" t="n"/>
      <c r="D235" s="9617" t="n"/>
      <c r="E235" s="9617" t="n"/>
    </row>
    <row r="236" ht="21" customFormat="1" customHeight="1" s="65">
      <c r="A236" s="10512" t="inlineStr">
        <is>
          <t>PRUEBAS CRUZADAS</t>
        </is>
      </c>
      <c r="B236" s="9647" t="n"/>
      <c r="C236" s="6877" t="inlineStr">
        <is>
          <t>TOTAL</t>
        </is>
      </c>
      <c r="D236" s="7067" t="inlineStr">
        <is>
          <t>Menores de 18 años</t>
        </is>
      </c>
      <c r="E236" s="7068" t="inlineStr">
        <is>
          <t xml:space="preserve">de 18 y más años </t>
        </is>
      </c>
    </row>
    <row r="237" ht="15" customFormat="1" customHeight="1" s="65">
      <c r="A237" s="10513" t="inlineStr">
        <is>
          <t>Compatible (Negativo)</t>
        </is>
      </c>
      <c r="B237" s="9643" t="n"/>
      <c r="C237" s="7104">
        <f>SUM(D237:E237)</f>
        <v/>
      </c>
      <c r="D237" s="7105" t="n"/>
      <c r="E237" s="7057" t="n"/>
    </row>
    <row r="238" ht="15" customFormat="1" customHeight="1" s="65">
      <c r="A238" s="9045" t="inlineStr">
        <is>
          <t>Incompatible (Positivo)</t>
        </is>
      </c>
      <c r="B238" s="9776" t="n"/>
      <c r="C238" s="7104">
        <f>SUM(D238:E238)</f>
        <v/>
      </c>
      <c r="D238" s="7105" t="n"/>
      <c r="E238" s="7057" t="n"/>
    </row>
    <row r="239" ht="15" customFormat="1" customHeight="1" s="65">
      <c r="A239" s="10514" t="inlineStr">
        <is>
          <t>TOTAL</t>
        </is>
      </c>
      <c r="B239" s="9647" t="n"/>
      <c r="C239" s="6948">
        <f>+SUM(C237:C238)</f>
        <v/>
      </c>
      <c r="D239" s="6950">
        <f>+SUM(D237:D238)</f>
        <v/>
      </c>
      <c r="E239" s="6951">
        <f>+SUM(E237:E238)</f>
        <v/>
      </c>
    </row>
    <row r="240" ht="18" customFormat="1" customHeight="1" s="939">
      <c r="A240" s="10511" t="inlineStr">
        <is>
          <t>SECCIÓN G.5: FENOTIPO ERITROCITARIO  (CS - BS - CP - UTT)</t>
        </is>
      </c>
      <c r="B240" s="9617" t="n"/>
      <c r="C240" s="9617" t="n"/>
      <c r="D240" s="9617" t="n"/>
    </row>
    <row r="241" ht="15" customHeight="1" s="8286">
      <c r="A241" s="9043" t="inlineStr">
        <is>
          <t>SISTEMA</t>
        </is>
      </c>
      <c r="B241" s="9043" t="inlineStr">
        <is>
          <t>FENOTIPO</t>
        </is>
      </c>
      <c r="C241" s="6877" t="inlineStr">
        <is>
          <t>Donantes</t>
        </is>
      </c>
      <c r="D241" s="8890" t="inlineStr">
        <is>
          <t>Pacientes</t>
        </is>
      </c>
    </row>
    <row r="242" ht="15" customHeight="1" s="8286">
      <c r="A242" s="10509" t="inlineStr">
        <is>
          <t>Rh</t>
        </is>
      </c>
      <c r="B242" s="7093" t="inlineStr">
        <is>
          <t>DCce</t>
        </is>
      </c>
      <c r="C242" s="7055" t="n"/>
      <c r="D242" s="7054" t="n"/>
    </row>
    <row r="243" ht="15" customHeight="1" s="8286">
      <c r="A243" s="9588" t="n"/>
      <c r="B243" s="7094" t="inlineStr">
        <is>
          <t>DCe</t>
        </is>
      </c>
      <c r="C243" s="7055" t="n"/>
      <c r="D243" s="7057" t="n"/>
    </row>
    <row r="244" ht="15" customHeight="1" s="8286">
      <c r="A244" s="9588" t="n"/>
      <c r="B244" s="7094" t="inlineStr">
        <is>
          <t>DCcEe</t>
        </is>
      </c>
      <c r="C244" s="7055" t="n"/>
      <c r="D244" s="7057" t="n"/>
    </row>
    <row r="245" ht="15" customHeight="1" s="8286">
      <c r="A245" s="9588" t="n"/>
      <c r="B245" s="7094" t="inlineStr">
        <is>
          <t>Dce</t>
        </is>
      </c>
      <c r="C245" s="7055" t="n"/>
      <c r="D245" s="7057" t="n"/>
    </row>
    <row r="246" ht="15" customHeight="1" s="8286">
      <c r="A246" s="9588" t="n"/>
      <c r="B246" s="7094" t="inlineStr">
        <is>
          <t>DcEe</t>
        </is>
      </c>
      <c r="C246" s="7055" t="n"/>
      <c r="D246" s="7057" t="n"/>
    </row>
    <row r="247" ht="15" customHeight="1" s="8286">
      <c r="A247" s="9588" t="n"/>
      <c r="B247" s="7094" t="inlineStr">
        <is>
          <t>DcE</t>
        </is>
      </c>
      <c r="C247" s="7055" t="n"/>
      <c r="D247" s="7057" t="n"/>
    </row>
    <row r="248" ht="15" customHeight="1" s="8286">
      <c r="A248" s="9588" t="n"/>
      <c r="B248" s="7094" t="inlineStr">
        <is>
          <t>DCEe</t>
        </is>
      </c>
      <c r="C248" s="7055" t="n"/>
      <c r="D248" s="7057" t="n"/>
    </row>
    <row r="249" ht="15" customHeight="1" s="8286">
      <c r="A249" s="9588" t="n"/>
      <c r="B249" s="7094" t="inlineStr">
        <is>
          <t>DCcE</t>
        </is>
      </c>
      <c r="C249" s="7055" t="n"/>
      <c r="D249" s="7057" t="n"/>
    </row>
    <row r="250" ht="15" customHeight="1" s="8286">
      <c r="A250" s="9588" t="n"/>
      <c r="B250" s="7094" t="inlineStr">
        <is>
          <t>DCE</t>
        </is>
      </c>
      <c r="C250" s="7055" t="n"/>
      <c r="D250" s="7057" t="n"/>
    </row>
    <row r="251" ht="15" customHeight="1" s="8286">
      <c r="A251" s="9588" t="n"/>
      <c r="B251" s="7094" t="inlineStr">
        <is>
          <t>ce</t>
        </is>
      </c>
      <c r="C251" s="7055" t="n"/>
      <c r="D251" s="7057" t="n"/>
    </row>
    <row r="252" ht="15" customHeight="1" s="8286">
      <c r="A252" s="9588" t="n"/>
      <c r="B252" s="7094" t="inlineStr">
        <is>
          <t>Cce</t>
        </is>
      </c>
      <c r="C252" s="7055" t="n"/>
      <c r="D252" s="7057" t="n"/>
    </row>
    <row r="253" ht="15" customHeight="1" s="8286">
      <c r="A253" s="9588" t="n"/>
      <c r="B253" s="7094" t="inlineStr">
        <is>
          <t>cEe</t>
        </is>
      </c>
      <c r="C253" s="7055" t="n"/>
      <c r="D253" s="7057" t="n"/>
    </row>
    <row r="254" ht="15" customHeight="1" s="8286">
      <c r="A254" s="9588" t="n"/>
      <c r="B254" s="7103" t="inlineStr">
        <is>
          <t>CcEe</t>
        </is>
      </c>
      <c r="C254" s="7058" t="n"/>
      <c r="D254" s="5873" t="n"/>
    </row>
    <row r="255" ht="15" customHeight="1" s="8286">
      <c r="A255" s="9589" t="n"/>
      <c r="B255" s="9012" t="inlineStr">
        <is>
          <t>TOTAL Rh</t>
        </is>
      </c>
      <c r="C255" s="7106">
        <f>SUM(C242:C254)</f>
        <v/>
      </c>
      <c r="D255" s="7107">
        <f>SUM(D242:D254)</f>
        <v/>
      </c>
    </row>
    <row r="256" ht="15" customHeight="1" s="8286">
      <c r="A256" s="10509" t="inlineStr">
        <is>
          <t>KELL</t>
        </is>
      </c>
      <c r="B256" s="7095" t="inlineStr">
        <is>
          <t>K-k+</t>
        </is>
      </c>
      <c r="C256" s="7069" t="n"/>
      <c r="D256" s="7071" t="n"/>
    </row>
    <row r="257" ht="15" customHeight="1" s="8286">
      <c r="A257" s="9588" t="n"/>
      <c r="B257" s="7094" t="inlineStr">
        <is>
          <t>K+k+</t>
        </is>
      </c>
      <c r="C257" s="7055" t="n"/>
      <c r="D257" s="7057" t="n"/>
    </row>
    <row r="258" ht="15" customHeight="1" s="8286">
      <c r="A258" s="9588" t="n"/>
      <c r="B258" s="7103" t="inlineStr">
        <is>
          <t>K+k-</t>
        </is>
      </c>
      <c r="C258" s="7058" t="n"/>
      <c r="D258" s="5873" t="n"/>
    </row>
    <row r="259" ht="15" customHeight="1" s="8286">
      <c r="A259" s="9589" t="n"/>
      <c r="B259" s="9012" t="inlineStr">
        <is>
          <t>TOTAL KELL</t>
        </is>
      </c>
      <c r="C259" s="7106">
        <f>SUM(C256:C258)</f>
        <v/>
      </c>
      <c r="D259" s="7107">
        <f>SUM(D256:D258)</f>
        <v/>
      </c>
    </row>
    <row r="260" ht="15" customHeight="1" s="8286">
      <c r="A260" s="10509" t="inlineStr">
        <is>
          <t>DUFFY</t>
        </is>
      </c>
      <c r="B260" s="7095" t="inlineStr">
        <is>
          <t>Fy(a+b-)</t>
        </is>
      </c>
      <c r="C260" s="7069" t="n"/>
      <c r="D260" s="7071" t="n"/>
    </row>
    <row r="261" ht="15" customHeight="1" s="8286">
      <c r="A261" s="9588" t="n"/>
      <c r="B261" s="7094" t="inlineStr">
        <is>
          <t>Fy(a+b+)</t>
        </is>
      </c>
      <c r="C261" s="7055" t="n"/>
      <c r="D261" s="7057" t="n"/>
    </row>
    <row r="262" ht="15" customHeight="1" s="8286">
      <c r="A262" s="9588" t="n"/>
      <c r="B262" s="7094" t="inlineStr">
        <is>
          <t>Fy(a-b+)</t>
        </is>
      </c>
      <c r="C262" s="7055" t="n"/>
      <c r="D262" s="7057" t="n"/>
    </row>
    <row r="263" ht="15" customHeight="1" s="8286">
      <c r="A263" s="9588" t="n"/>
      <c r="B263" s="7103" t="inlineStr">
        <is>
          <t>Fy(a-b-)</t>
        </is>
      </c>
      <c r="C263" s="7058" t="n"/>
      <c r="D263" s="5873" t="n"/>
    </row>
    <row r="264" ht="15" customHeight="1" s="8286">
      <c r="A264" s="9589" t="n"/>
      <c r="B264" s="9012" t="inlineStr">
        <is>
          <t>TOTAL DUFFY</t>
        </is>
      </c>
      <c r="C264" s="7106">
        <f>SUM(C260:C263)</f>
        <v/>
      </c>
      <c r="D264" s="7107">
        <f>SUM(D260:D263)</f>
        <v/>
      </c>
    </row>
    <row r="265" ht="15" customHeight="1" s="8286">
      <c r="A265" s="10509" t="inlineStr">
        <is>
          <t>KIDD</t>
        </is>
      </c>
      <c r="B265" s="7095" t="inlineStr">
        <is>
          <t>Jk(a+b-)</t>
        </is>
      </c>
      <c r="C265" s="7069" t="n"/>
      <c r="D265" s="7071" t="n"/>
    </row>
    <row r="266" ht="15" customHeight="1" s="8286">
      <c r="A266" s="9588" t="n"/>
      <c r="B266" s="7094" t="inlineStr">
        <is>
          <t>Jk(a+b+)</t>
        </is>
      </c>
      <c r="C266" s="7055" t="n"/>
      <c r="D266" s="7057" t="n"/>
    </row>
    <row r="267" ht="15" customHeight="1" s="8286">
      <c r="A267" s="9588" t="n"/>
      <c r="B267" s="7103" t="inlineStr">
        <is>
          <t>Jk(a-b+)</t>
        </is>
      </c>
      <c r="C267" s="7058" t="n"/>
      <c r="D267" s="5873" t="n"/>
    </row>
    <row r="268" ht="15" customHeight="1" s="8286">
      <c r="A268" s="9589" t="n"/>
      <c r="B268" s="9012" t="inlineStr">
        <is>
          <t>TOTAL KIDD</t>
        </is>
      </c>
      <c r="C268" s="7108">
        <f>SUM(C265:C267)</f>
        <v/>
      </c>
      <c r="D268" s="7107">
        <f>SUM(D265:D267)</f>
        <v/>
      </c>
    </row>
    <row r="269" ht="15" customHeight="1" s="8286">
      <c r="A269" s="9904" t="inlineStr">
        <is>
          <t>TOTAL</t>
        </is>
      </c>
      <c r="B269" s="9582" t="n"/>
      <c r="C269" s="6948">
        <f>+C255+C259+C264+C268</f>
        <v/>
      </c>
      <c r="D269" s="6951">
        <f>+D255+D259+D264+D268</f>
        <v/>
      </c>
    </row>
    <row r="270" ht="18" customFormat="1" customHeight="1" s="939">
      <c r="A270" s="10511" t="inlineStr">
        <is>
          <t>SECCIÓN G.6: PRUEBA DE ANTIGLOBULINA DIRECTA EN PACIENTES (BS-UTT)</t>
        </is>
      </c>
      <c r="B270" s="9617" t="n"/>
      <c r="C270" s="9617" t="n"/>
      <c r="D270" s="9617" t="n"/>
    </row>
    <row r="271">
      <c r="A271" s="8790" t="inlineStr">
        <is>
          <t>PRUEBA DE ANTIGLOBULINA DIRECTA</t>
        </is>
      </c>
      <c r="B271" s="6877" t="inlineStr">
        <is>
          <t>Poliespecífico</t>
        </is>
      </c>
      <c r="C271" s="7109" t="inlineStr">
        <is>
          <t>Monoespecífico IgG</t>
        </is>
      </c>
      <c r="D271" s="7068" t="inlineStr">
        <is>
          <t>Monoespecífico C3d</t>
        </is>
      </c>
    </row>
    <row r="272" ht="15" customHeight="1" s="8286">
      <c r="A272" s="7110" t="inlineStr">
        <is>
          <t>Positivo</t>
        </is>
      </c>
      <c r="B272" s="7055" t="n"/>
      <c r="C272" s="7056" t="n"/>
      <c r="D272" s="7057" t="n"/>
    </row>
    <row r="273" ht="15" customHeight="1" s="8286">
      <c r="A273" s="7092" t="inlineStr">
        <is>
          <t>Negativo</t>
        </is>
      </c>
      <c r="B273" s="7055" t="n"/>
      <c r="C273" s="7056" t="n"/>
      <c r="D273" s="7057" t="n"/>
    </row>
    <row r="274" ht="15" customHeight="1" s="8286">
      <c r="A274" s="9045" t="inlineStr">
        <is>
          <t>Indeterminado</t>
        </is>
      </c>
      <c r="B274" s="7055" t="n"/>
      <c r="C274" s="7056" t="n"/>
      <c r="D274" s="7057" t="n"/>
    </row>
    <row r="275" ht="15" customHeight="1" s="8286">
      <c r="A275" s="9046" t="inlineStr">
        <is>
          <t>TOTAL</t>
        </is>
      </c>
      <c r="B275" s="6948">
        <f>+SUM(B272:B274)</f>
        <v/>
      </c>
      <c r="C275" s="7011">
        <f>+SUM(C272:C274)</f>
        <v/>
      </c>
      <c r="D275" s="6951">
        <f>+SUM(D272:D274)</f>
        <v/>
      </c>
    </row>
    <row r="276" ht="18" customFormat="1" customHeight="1" s="939">
      <c r="A276" s="1010" t="inlineStr">
        <is>
          <t>SECCIÓN H: AFÉRESIS (UTT - BS -CS - CDD)</t>
        </is>
      </c>
    </row>
    <row r="277" ht="18" customFormat="1" customHeight="1" s="939">
      <c r="A277" s="10508" t="inlineStr">
        <is>
          <t>SECCIÓN H.1: AFÉRESIS DE DONACIÓN (BS-UTT-CS - CDD)</t>
        </is>
      </c>
      <c r="B277" s="9591" t="n"/>
      <c r="C277" s="9591" t="n"/>
    </row>
    <row r="278">
      <c r="A278" s="10515" t="inlineStr">
        <is>
          <t>AFÉRESIS DE DONACIÓN</t>
        </is>
      </c>
      <c r="B278" s="9582" t="n"/>
      <c r="C278" s="9043" t="inlineStr">
        <is>
          <t>TOTAL DONANTES</t>
        </is>
      </c>
    </row>
    <row r="279">
      <c r="A279" s="10510" t="inlineStr">
        <is>
          <t>Procedimientos para obtención de Glóbulos Rojos</t>
        </is>
      </c>
      <c r="B279" s="9643" t="n"/>
      <c r="C279" s="5833" t="n"/>
    </row>
    <row r="280">
      <c r="A280" s="7094" t="inlineStr">
        <is>
          <t>Procedimientos para obtención de Plaquetas</t>
        </is>
      </c>
      <c r="B280" s="9644" t="n"/>
      <c r="C280" s="5833" t="n"/>
    </row>
    <row r="281">
      <c r="A281" s="7094" t="inlineStr">
        <is>
          <t>Procedimientos para obtención de Plasma</t>
        </is>
      </c>
      <c r="B281" s="9644" t="n"/>
      <c r="C281" s="5833" t="n"/>
    </row>
    <row r="282">
      <c r="A282" s="7094" t="inlineStr">
        <is>
          <t>Procedimientos para obtención de Leucocitos</t>
        </is>
      </c>
      <c r="B282" s="9644" t="n"/>
      <c r="C282" s="5833" t="n"/>
    </row>
    <row r="283" ht="24.95" customHeight="1" s="8286">
      <c r="A283" s="9819" t="inlineStr">
        <is>
          <t>Procedimientos para obtención de Progenitores Hematopoyéticos Periféricos autólogos</t>
        </is>
      </c>
      <c r="B283" s="9644" t="n"/>
      <c r="C283" s="5833" t="n"/>
    </row>
    <row r="284" ht="24.95" customHeight="1" s="8286">
      <c r="A284" s="9819" t="inlineStr">
        <is>
          <t>Procedimientos para obtención de Progenitores Hematopoyéticos Periféricos alogénicos</t>
        </is>
      </c>
      <c r="B284" s="9644" t="n"/>
      <c r="C284" s="5833" t="n"/>
    </row>
    <row r="285" ht="24.95" customHeight="1" s="8286">
      <c r="A285" s="9819" t="inlineStr">
        <is>
          <t>Procedimientos para obtención de Progenitores Hematopoyéticos desde Médula Ósea autólogo</t>
        </is>
      </c>
      <c r="B285" s="9644" t="n"/>
      <c r="C285" s="5833" t="n"/>
    </row>
    <row r="286" ht="24.95" customHeight="1" s="8286">
      <c r="A286" s="9819" t="inlineStr">
        <is>
          <t>Procedimientos para obtención de Progenitores Hematopoyéticos desde Médula Ósea alogénico</t>
        </is>
      </c>
      <c r="B286" s="9644" t="n"/>
      <c r="C286" s="5833" t="n"/>
    </row>
    <row r="287" ht="15" customHeight="1" s="8286">
      <c r="A287" s="9816" t="inlineStr">
        <is>
          <t>Procedimientos para obtención de Plasma Convalesciente o hiperinmune</t>
        </is>
      </c>
      <c r="B287" s="9720" t="n"/>
      <c r="C287" s="5833" t="n"/>
    </row>
    <row r="288" ht="15" customHeight="1" s="8286">
      <c r="A288" s="7328" t="inlineStr">
        <is>
          <t>TOTAL</t>
        </is>
      </c>
      <c r="B288" s="9776" t="n"/>
      <c r="C288" s="6768">
        <f>+SUM(C279:C287)</f>
        <v/>
      </c>
    </row>
    <row r="289" ht="18" customFormat="1" customHeight="1" s="939">
      <c r="A289" s="1010" t="inlineStr">
        <is>
          <t>SECCIÓN H.2: AFÉRESIS TERAPÉUTICA (UTT-BS)</t>
        </is>
      </c>
    </row>
    <row r="290" ht="15" customHeight="1" s="8286">
      <c r="A290" s="9046" t="inlineStr">
        <is>
          <t>AFÉRESIS TERAPÉUTICA</t>
        </is>
      </c>
      <c r="B290" s="9043" t="inlineStr">
        <is>
          <t>TOTAL PACIENTES</t>
        </is>
      </c>
    </row>
    <row r="291" ht="15" customHeight="1" s="8286">
      <c r="A291" s="7087" t="inlineStr">
        <is>
          <t>Procedimientos de Recambio de Glóbulos Rojos</t>
        </is>
      </c>
      <c r="B291" s="5833" t="n"/>
    </row>
    <row r="292" ht="15" customHeight="1" s="8286">
      <c r="A292" s="7088" t="inlineStr">
        <is>
          <t>Procedimientos de Recambio Plasmático</t>
        </is>
      </c>
      <c r="B292" s="5833" t="n"/>
    </row>
    <row r="293" ht="15" customHeight="1" s="8286">
      <c r="A293" s="7088" t="inlineStr">
        <is>
          <t>Procedimientos de Depleción de Glóbulos Rojos</t>
        </is>
      </c>
      <c r="B293" s="5833" t="n"/>
    </row>
    <row r="294" ht="15" customHeight="1" s="8286">
      <c r="A294" s="7088" t="inlineStr">
        <is>
          <t>Procedimientos de Depleción de Plaquetas</t>
        </is>
      </c>
      <c r="B294" s="5833" t="n"/>
    </row>
    <row r="295" ht="15" customHeight="1" s="8286">
      <c r="A295" s="7088" t="inlineStr">
        <is>
          <t>Procedimientos de Depleción de Leucocitos</t>
        </is>
      </c>
      <c r="B295" s="5833" t="n"/>
    </row>
    <row r="296" ht="15" customHeight="1" s="8286">
      <c r="A296" s="7089" t="inlineStr">
        <is>
          <t>Procedimientos de Fotoféresis</t>
        </is>
      </c>
      <c r="B296" s="5833" t="n"/>
    </row>
    <row r="297" ht="15" customHeight="1" s="8286">
      <c r="A297" s="9043" t="inlineStr">
        <is>
          <t>TOTAL</t>
        </is>
      </c>
      <c r="B297" s="6768">
        <f>+SUM(B291:B296)</f>
        <v/>
      </c>
    </row>
    <row r="319" hidden="1" s="8286">
      <c r="A319" s="7111">
        <f>SUM(D12:F15,D16:D17,D22:D28,E31:E61,B64:B65,C69:C81,C85:H89,C100:H100,C104:C109,C113:C118,B122:B126,B129:B133,C136:C141,C153:H153,C156:C157,F160:F185,B190:B200,B206:D206,C234:E234,C237:C239,C269:D269,B275:D275,C288,B297)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bmrhL8/P/Ab93N8Bb4O5g==" formatRows="1" sort="1" spinCount="100000" hashValue="9znBhkBHigle6q1tYtwCTYZFZ7a22w59uacrTPjNXh5p6FWPX/BHay+6ZTRnzWHPWVeoCoXDwEO6bQ8b+auEjw=="/>
  <mergeCells count="216">
    <mergeCell ref="A145:B146"/>
    <mergeCell ref="A26:B27"/>
    <mergeCell ref="B60:D60"/>
    <mergeCell ref="A98:B98"/>
    <mergeCell ref="B57:D57"/>
    <mergeCell ref="D19:F20"/>
    <mergeCell ref="A207:E207"/>
    <mergeCell ref="B53:D53"/>
    <mergeCell ref="A88:B88"/>
    <mergeCell ref="A171:A184"/>
    <mergeCell ref="A90:B90"/>
    <mergeCell ref="A283:B283"/>
    <mergeCell ref="C41:D41"/>
    <mergeCell ref="A99:B99"/>
    <mergeCell ref="M10:N10"/>
    <mergeCell ref="C181:E181"/>
    <mergeCell ref="A286:B286"/>
    <mergeCell ref="A93:B94"/>
    <mergeCell ref="C93:C94"/>
    <mergeCell ref="Y10:Z10"/>
    <mergeCell ref="B38:B41"/>
    <mergeCell ref="A236:B236"/>
    <mergeCell ref="A29:F29"/>
    <mergeCell ref="A219:A220"/>
    <mergeCell ref="A285:B285"/>
    <mergeCell ref="A83:B84"/>
    <mergeCell ref="C165:E165"/>
    <mergeCell ref="C43:C44"/>
    <mergeCell ref="A148:A150"/>
    <mergeCell ref="B31:B33"/>
    <mergeCell ref="S10:T10"/>
    <mergeCell ref="A111:I111"/>
    <mergeCell ref="AC10:AD10"/>
    <mergeCell ref="A85:B85"/>
    <mergeCell ref="A269:B269"/>
    <mergeCell ref="A278:B278"/>
    <mergeCell ref="A260:A264"/>
    <mergeCell ref="A156:A157"/>
    <mergeCell ref="C36:D36"/>
    <mergeCell ref="A221:A223"/>
    <mergeCell ref="A140:B140"/>
    <mergeCell ref="B54:D54"/>
    <mergeCell ref="A109:B109"/>
    <mergeCell ref="A53:A54"/>
    <mergeCell ref="A31:A41"/>
    <mergeCell ref="A22:A25"/>
    <mergeCell ref="G20:H20"/>
    <mergeCell ref="I20:J20"/>
    <mergeCell ref="S20:T20"/>
    <mergeCell ref="E83:G83"/>
    <mergeCell ref="A117:B117"/>
    <mergeCell ref="U20:V20"/>
    <mergeCell ref="A230:A231"/>
    <mergeCell ref="B56:D56"/>
    <mergeCell ref="A49:A52"/>
    <mergeCell ref="A214:A218"/>
    <mergeCell ref="A188:D188"/>
    <mergeCell ref="A232:B232"/>
    <mergeCell ref="C183:E183"/>
    <mergeCell ref="C168:E168"/>
    <mergeCell ref="C30:D30"/>
    <mergeCell ref="F145:H145"/>
    <mergeCell ref="C180:E180"/>
    <mergeCell ref="H83:H84"/>
    <mergeCell ref="A240:D240"/>
    <mergeCell ref="A62:D62"/>
    <mergeCell ref="C167:E167"/>
    <mergeCell ref="A103:B103"/>
    <mergeCell ref="A287:B287"/>
    <mergeCell ref="A256:A259"/>
    <mergeCell ref="C176:E176"/>
    <mergeCell ref="A281:B281"/>
    <mergeCell ref="C45:D45"/>
    <mergeCell ref="A82:H82"/>
    <mergeCell ref="H93:H94"/>
    <mergeCell ref="G19:AD19"/>
    <mergeCell ref="C182:E182"/>
    <mergeCell ref="A87:B87"/>
    <mergeCell ref="A153:B153"/>
    <mergeCell ref="C169:E169"/>
    <mergeCell ref="C47:D47"/>
    <mergeCell ref="C178:E178"/>
    <mergeCell ref="A42:A48"/>
    <mergeCell ref="C159:E159"/>
    <mergeCell ref="A114:A116"/>
    <mergeCell ref="A89:B89"/>
    <mergeCell ref="A282:B282"/>
    <mergeCell ref="C40:D40"/>
    <mergeCell ref="A136:B136"/>
    <mergeCell ref="A73:A77"/>
    <mergeCell ref="C161:E161"/>
    <mergeCell ref="C170:E170"/>
    <mergeCell ref="A235:E235"/>
    <mergeCell ref="A102:I102"/>
    <mergeCell ref="C145:E145"/>
    <mergeCell ref="B19:C21"/>
    <mergeCell ref="A209:A212"/>
    <mergeCell ref="A67:C67"/>
    <mergeCell ref="A234:B234"/>
    <mergeCell ref="A15:C15"/>
    <mergeCell ref="A137:A139"/>
    <mergeCell ref="A100:B100"/>
    <mergeCell ref="A144:H144"/>
    <mergeCell ref="B59:D59"/>
    <mergeCell ref="A105:A107"/>
    <mergeCell ref="I10:J10"/>
    <mergeCell ref="K10:L10"/>
    <mergeCell ref="A155:B155"/>
    <mergeCell ref="C83:C84"/>
    <mergeCell ref="U10:V10"/>
    <mergeCell ref="B42:B48"/>
    <mergeCell ref="B168:B170"/>
    <mergeCell ref="A16:C16"/>
    <mergeCell ref="C34:D34"/>
    <mergeCell ref="A284:B284"/>
    <mergeCell ref="A279:B279"/>
    <mergeCell ref="C173:E173"/>
    <mergeCell ref="AA10:AB10"/>
    <mergeCell ref="A18:C18"/>
    <mergeCell ref="A69:A72"/>
    <mergeCell ref="C163:E163"/>
    <mergeCell ref="W20:X20"/>
    <mergeCell ref="A12:A13"/>
    <mergeCell ref="O20:P20"/>
    <mergeCell ref="Y20:Z20"/>
    <mergeCell ref="B49:D49"/>
    <mergeCell ref="A270:D270"/>
    <mergeCell ref="Q20:R20"/>
    <mergeCell ref="A233:B233"/>
    <mergeCell ref="B34:B35"/>
    <mergeCell ref="C31:D31"/>
    <mergeCell ref="B51:D51"/>
    <mergeCell ref="A239:B239"/>
    <mergeCell ref="A28:C28"/>
    <mergeCell ref="C46:D46"/>
    <mergeCell ref="A104:B104"/>
    <mergeCell ref="A113:B113"/>
    <mergeCell ref="D83:D84"/>
    <mergeCell ref="B36:B37"/>
    <mergeCell ref="A55:A60"/>
    <mergeCell ref="B50:D50"/>
    <mergeCell ref="B9:C11"/>
    <mergeCell ref="B175:B184"/>
    <mergeCell ref="A14:B14"/>
    <mergeCell ref="D93:D94"/>
    <mergeCell ref="C48:D48"/>
    <mergeCell ref="A265:A268"/>
    <mergeCell ref="A224:A225"/>
    <mergeCell ref="B171:B174"/>
    <mergeCell ref="A226:A227"/>
    <mergeCell ref="A96:B96"/>
    <mergeCell ref="A280:B280"/>
    <mergeCell ref="A242:A255"/>
    <mergeCell ref="A147:B147"/>
    <mergeCell ref="C38:D38"/>
    <mergeCell ref="C32:D32"/>
    <mergeCell ref="B22:B23"/>
    <mergeCell ref="C172:E172"/>
    <mergeCell ref="C184:E184"/>
    <mergeCell ref="D9:F10"/>
    <mergeCell ref="C162:E162"/>
    <mergeCell ref="C171:E171"/>
    <mergeCell ref="A92:H92"/>
    <mergeCell ref="C177:E177"/>
    <mergeCell ref="A277:C277"/>
    <mergeCell ref="B61:D61"/>
    <mergeCell ref="C33:D33"/>
    <mergeCell ref="C164:E164"/>
    <mergeCell ref="W10:X10"/>
    <mergeCell ref="O10:P10"/>
    <mergeCell ref="C42:D42"/>
    <mergeCell ref="A158:I158"/>
    <mergeCell ref="A154:C154"/>
    <mergeCell ref="A228:A229"/>
    <mergeCell ref="A237:B237"/>
    <mergeCell ref="C35:D35"/>
    <mergeCell ref="A160:A170"/>
    <mergeCell ref="K20:L20"/>
    <mergeCell ref="M20:N20"/>
    <mergeCell ref="A108:B108"/>
    <mergeCell ref="A8:C8"/>
    <mergeCell ref="G10:H10"/>
    <mergeCell ref="A17:C17"/>
    <mergeCell ref="A19:A21"/>
    <mergeCell ref="Q10:R10"/>
    <mergeCell ref="A118:B118"/>
    <mergeCell ref="B55:D55"/>
    <mergeCell ref="C174:E174"/>
    <mergeCell ref="A238:B238"/>
    <mergeCell ref="B24:B25"/>
    <mergeCell ref="A9:A11"/>
    <mergeCell ref="A86:B86"/>
    <mergeCell ref="AA20:AB20"/>
    <mergeCell ref="AC20:AD20"/>
    <mergeCell ref="A95:B95"/>
    <mergeCell ref="A151:B151"/>
    <mergeCell ref="E93:G93"/>
    <mergeCell ref="A6:V6"/>
    <mergeCell ref="A141:B141"/>
    <mergeCell ref="C179:E179"/>
    <mergeCell ref="A135:B135"/>
    <mergeCell ref="C166:E166"/>
    <mergeCell ref="A97:B97"/>
    <mergeCell ref="C39:D39"/>
    <mergeCell ref="C160:E160"/>
    <mergeCell ref="C175:E175"/>
    <mergeCell ref="A78:A80"/>
    <mergeCell ref="G9:AD9"/>
    <mergeCell ref="A112:B112"/>
    <mergeCell ref="A81:B81"/>
    <mergeCell ref="A152:B152"/>
    <mergeCell ref="C37:D37"/>
    <mergeCell ref="B58:D58"/>
    <mergeCell ref="A288:B288"/>
    <mergeCell ref="B52:D52"/>
    <mergeCell ref="B160:B167"/>
  </mergeCells>
  <dataValidations count="5">
    <dataValidation sqref="A186" showDropDown="0" showInputMessage="1" showErrorMessage="1" allowBlank="0" type="whole">
      <formula1>0</formula1>
      <formula2>1E+28</formula2>
    </dataValidation>
    <dataValidation sqref="B64:B65 B122:B126 B129:B133 B203:D205 B272:D274 B291:B296 C69:C81 C85:H89 C95:H99 C156:C157 C190:D199 C209:E233 C242:D254 C256:D258 C260:D263 C265:D267 C279:C287 D113:I118 D136:F141 D237:E238 F31:G61 G12:H14 G22:AD27 G160:I184 I12:AD14" showDropDown="0" showInputMessage="1" showErrorMessage="1" allowBlank="0" type="whole" operator="greaterThanOrEqual">
      <formula1>0</formula1>
    </dataValidation>
    <dataValidation sqref="D104:I109" showDropDown="0" showInputMessage="1" showErrorMessage="1" allowBlank="0" type="whole">
      <formula1>0</formula1>
      <formula2>9.99999999999999E+34</formula2>
    </dataValidation>
    <dataValidation sqref="C147:H152" showDropDown="0" showInputMessage="1" showErrorMessage="1" allowBlank="0" type="whole">
      <formula1>0</formula1>
      <formula2>9.99999999999999E+37</formula2>
    </dataValidation>
    <dataValidation sqref="D16:AD17" showDropDown="0" showInputMessage="1" showErrorMessage="1" allowBlank="0" type="whole">
      <formula1>0</formula1>
      <formula2>9.99999999999999E+28</formula2>
    </dataValidation>
  </dataValidations>
  <pageMargins left="0.7" right="0.7" top="0.75" bottom="0.75" header="0.3" footer="0.3"/>
  <pageSetup orientation="portrait" paperSize="9"/>
</worksheet>
</file>

<file path=xl/worksheets/sheet19.xml><?xml version="1.0" encoding="utf-8"?>
<worksheet xmlns="http://schemas.openxmlformats.org/spreadsheetml/2006/main">
  <sheetPr codeName="Hoja19">
    <outlinePr summaryBelow="1" summaryRight="1"/>
    <pageSetUpPr/>
  </sheetPr>
  <dimension ref="A1:CG160"/>
  <sheetViews>
    <sheetView showGridLines="0" zoomScaleNormal="100" workbookViewId="0">
      <selection activeCell="A1" sqref="A1"/>
    </sheetView>
  </sheetViews>
  <sheetFormatPr baseColWidth="10" defaultColWidth="11.42578125" defaultRowHeight="15"/>
  <cols>
    <col width="40.42578125" customWidth="1" style="8286" min="1" max="1"/>
    <col width="32.7109375" customWidth="1" style="8286" min="2" max="2"/>
    <col width="18.28515625" customWidth="1" style="8286" min="3" max="3"/>
    <col width="16" customWidth="1" style="8286" min="4" max="9"/>
    <col width="16.7109375" customWidth="1" style="8286" min="10" max="10"/>
    <col width="15.28515625" customWidth="1" style="8286" min="11" max="11"/>
    <col width="14.5703125" customWidth="1" style="8286" min="12" max="12"/>
    <col width="15.140625" customWidth="1" style="8286" min="13" max="13"/>
    <col width="14.7109375" customWidth="1" style="8286" min="14" max="19"/>
    <col width="11.42578125" customWidth="1" style="8286" min="67" max="67"/>
    <col hidden="1" width="11.42578125" customWidth="1" style="8286" min="68" max="68"/>
    <col hidden="1" width="10.7109375" customWidth="1" style="252" min="69" max="73"/>
    <col hidden="1" width="10.7109375" customWidth="1" style="8286" min="74" max="74"/>
    <col hidden="1" width="10.7109375" customWidth="1" style="221" min="75" max="78"/>
    <col hidden="1" width="10.7109375" customWidth="1" style="8286" min="79" max="85"/>
    <col hidden="1" width="11.42578125" customWidth="1" style="8286" min="86" max="87"/>
    <col width="11.42578125" customWidth="1" style="8286" min="88" max="95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25">
        <f>CONCATENATE("AÑO: ",NOMBRE!B7)</f>
        <v/>
      </c>
    </row>
    <row r="6" ht="18" customHeight="1" s="8286">
      <c r="A6" s="9074" t="inlineStr">
        <is>
          <t>REM-26.  ACTIVIDADES EN DOMICILIO Y OTROS ESPACIOS</t>
        </is>
      </c>
    </row>
    <row r="7">
      <c r="S7" s="116" t="n"/>
      <c r="T7" s="116" t="n"/>
    </row>
    <row r="8" ht="18" customFormat="1" customHeight="1" s="20">
      <c r="A8" s="2" t="inlineStr">
        <is>
          <t>SECCIÓN A: VISITAS DOMICILIARIAS INTEGRALES A FAMILIAS (ESTABLECIMIENTOS APS)</t>
        </is>
      </c>
      <c r="B8" s="3" t="n"/>
      <c r="C8" s="3" t="n"/>
      <c r="D8" s="3" t="n"/>
      <c r="E8" s="3" t="n"/>
      <c r="F8" s="3" t="n"/>
      <c r="G8" s="2" t="n"/>
      <c r="H8" s="3" t="n"/>
      <c r="I8" s="3" t="n"/>
      <c r="J8" s="3" t="n"/>
      <c r="K8" s="3" t="n"/>
      <c r="L8" s="3" t="n"/>
      <c r="M8" s="3" t="n"/>
      <c r="N8" s="3" t="n"/>
      <c r="O8" s="3" t="n"/>
      <c r="P8" s="3" t="n"/>
      <c r="S8" s="116" t="n"/>
      <c r="T8" s="116" t="n"/>
    </row>
    <row r="9" ht="75.75" customFormat="1" customHeight="1" s="17">
      <c r="A9" s="10095" t="inlineStr">
        <is>
          <t>CONCEPTOS</t>
        </is>
      </c>
      <c r="B9" s="9584" t="n"/>
      <c r="C9" s="8649" t="inlineStr">
        <is>
          <t>TOTAL</t>
        </is>
      </c>
      <c r="D9" s="8670" t="inlineStr">
        <is>
          <t>Un Profesional</t>
        </is>
      </c>
      <c r="E9" s="3909" t="inlineStr">
        <is>
          <t>Dos o Más Profesionales</t>
        </is>
      </c>
      <c r="F9" s="3909" t="inlineStr">
        <is>
          <t xml:space="preserve">Un Profesional y Un Técnico En Enfermería </t>
        </is>
      </c>
      <c r="G9" s="3910" t="inlineStr">
        <is>
          <t xml:space="preserve">Técnico En Enfermería </t>
        </is>
      </c>
      <c r="H9" s="3954" t="inlineStr">
        <is>
          <t>Facilitador/a Intercultural Pueblos Originarios</t>
        </is>
      </c>
      <c r="I9" s="3954" t="inlineStr">
        <is>
          <t>Agente Comunitario</t>
        </is>
      </c>
      <c r="J9" s="3803" t="inlineStr">
        <is>
          <t>Primera Visita</t>
        </is>
      </c>
      <c r="K9" s="3910" t="inlineStr">
        <is>
          <t>Segunda Visita</t>
        </is>
      </c>
      <c r="L9" s="3915" t="inlineStr">
        <is>
          <t>Tercera o Más Visitas De Seguimiento</t>
        </is>
      </c>
      <c r="M9" s="3955" t="inlineStr">
        <is>
          <t>Programa de Acompañamiento Psicosocial en APS</t>
        </is>
      </c>
      <c r="N9" s="5459" t="inlineStr">
        <is>
          <t>Pueblos Originarios</t>
        </is>
      </c>
      <c r="O9" s="5421" t="inlineStr">
        <is>
          <t>Migrantes</t>
        </is>
      </c>
      <c r="P9" s="5421" t="inlineStr">
        <is>
          <t>Espacios Amigables/ Adolescente</t>
        </is>
      </c>
      <c r="Q9" s="5463" t="inlineStr">
        <is>
          <t>Gestante con 3 o más riesgos</t>
        </is>
      </c>
      <c r="R9" s="5448" t="inlineStr">
        <is>
          <t xml:space="preserve">SENAME/ Servicio Nacional de Reinserción social Juvenil </t>
        </is>
      </c>
      <c r="S9" s="5421" t="inlineStr">
        <is>
          <t>Servicio Nacional Protección Especializada a la Niñez y Adolescencia</t>
        </is>
      </c>
      <c r="T9" s="116" t="n"/>
      <c r="U9" s="116" t="n"/>
    </row>
    <row r="10" ht="15" customFormat="1" customHeight="1" s="17">
      <c r="A10" s="10243" t="inlineStr">
        <is>
          <t>Familia con niño prematuro</t>
        </is>
      </c>
      <c r="B10" s="9643" t="n"/>
      <c r="C10" s="3936">
        <f>SUM(D10:G10)</f>
        <v/>
      </c>
      <c r="D10" s="3956" t="n"/>
      <c r="E10" s="3956" t="n"/>
      <c r="F10" s="3956" t="n"/>
      <c r="G10" s="3956" t="n"/>
      <c r="H10" s="3957" t="n"/>
      <c r="I10" s="3957" t="n"/>
      <c r="J10" s="3956" t="n"/>
      <c r="K10" s="3956" t="n"/>
      <c r="L10" s="3956" t="n"/>
      <c r="M10" s="3958" t="n"/>
      <c r="N10" s="5416" t="n"/>
      <c r="O10" s="4008" t="n"/>
      <c r="P10" s="4008" t="n"/>
      <c r="Q10" s="5464" t="n"/>
      <c r="R10" s="3660" t="n"/>
      <c r="S10" s="4008" t="n"/>
      <c r="T10" s="17">
        <f>BQ10&amp;BS10&amp;BT10&amp;BU10&amp;BW10&amp;BX10</f>
        <v/>
      </c>
      <c r="BQ10" s="209">
        <f>IF((J10+K10+L10)&lt;&gt;C10," * La suma de Primera visita + Segunda visita + Tercera o más visitas de seguimiento debe ser igual al Total.","")</f>
        <v/>
      </c>
      <c r="BR10" s="90" t="n"/>
      <c r="BS10" s="209">
        <f>IF(AND(C10&gt;0,N10="")," * No olvide digitar la variable Pueblos Originarios. Digite Cero si no tiene.",IF(N10&gt;C10," * La variable Pueblos Originarios no puede ser mayor al Total.",""))</f>
        <v/>
      </c>
      <c r="BT10" s="209">
        <f>IF(AND(C10&gt;0,O10="")," * No olvide digitar la variable Migrantes. Digite Cero si no tiene.",IF(O10&gt;C10," * La variable Migrantes no puede ser mayor al Total.",""))</f>
        <v/>
      </c>
      <c r="BU10" s="209">
        <f>IF(AND($C10&gt;0,P10="")," * No olvide digitar la variable Espacio Amigable/Adolescente. Digite Cero si no tiene.",IF(P10&gt;$C10," * La variable Espacio Amigable/Adolescente no puede ser mayor al Total.",""))</f>
        <v/>
      </c>
      <c r="BV10" s="90" t="n"/>
      <c r="BW10" s="209">
        <f>IF(AND($C10&gt;0,R10="")," * No olvide digitar la variable "&amp;R$9&amp;". Digite Cero si no tiene.",IF(R10&gt;$C10," * La variable "&amp;R$9&amp;" no puede ser mayor al Total.",""))</f>
        <v/>
      </c>
      <c r="BX10" s="209">
        <f>IF(AND($C10&gt;0,S10="")," * No olvide digitar la variable "&amp;S$9&amp;". Digite Cero si no tiene.",IF(S10&gt;$C10," * La variable "&amp;S$9&amp;" no puede ser mayor al Total.",""))</f>
        <v/>
      </c>
      <c r="BZ10" s="52">
        <f>IF((J10+K10+L10)&lt;&gt;C10,1,0)</f>
        <v/>
      </c>
      <c r="CA10" s="51" t="n"/>
      <c r="CB10" s="52">
        <f>IF(AND(C10&gt;0,N10=""),1,IF(N10&gt;C10,1,0))</f>
        <v/>
      </c>
      <c r="CC10" s="52">
        <f>IF(AND(C10&gt;0,O10=""),1,IF(O10&gt;C10,1,0))</f>
        <v/>
      </c>
      <c r="CD10" s="52">
        <f>IF(AND($C10&gt;0,P10=""),1,IF(P10&gt;$C10,1,0))</f>
        <v/>
      </c>
      <c r="CE10" s="51" t="n"/>
      <c r="CF10" s="52">
        <f>IF(AND($C10&gt;0,R10=""),1,IF(R10&gt;$C10,1,0))</f>
        <v/>
      </c>
      <c r="CG10" s="52">
        <f>IF(AND($C10&gt;0,S10=""),1,IF(S10&gt;$C10,1,0))</f>
        <v/>
      </c>
    </row>
    <row r="11" ht="15" customFormat="1" customHeight="1" s="17">
      <c r="A11" s="3877" t="inlineStr">
        <is>
          <t>Familia con niño recién nacido</t>
        </is>
      </c>
      <c r="B11" s="9644" t="n"/>
      <c r="C11" s="3936">
        <f>SUM(D11:G11)</f>
        <v/>
      </c>
      <c r="D11" s="3956" t="n"/>
      <c r="E11" s="3956" t="n"/>
      <c r="F11" s="3956" t="n"/>
      <c r="G11" s="3956" t="n"/>
      <c r="H11" s="3957" t="n"/>
      <c r="I11" s="3957" t="n"/>
      <c r="J11" s="3956" t="n"/>
      <c r="K11" s="3956" t="n"/>
      <c r="L11" s="3956" t="n"/>
      <c r="M11" s="3959" t="n"/>
      <c r="N11" s="5416" t="n"/>
      <c r="O11" s="4008" t="n"/>
      <c r="P11" s="4008" t="n"/>
      <c r="Q11" s="5465" t="n"/>
      <c r="R11" s="3660" t="n"/>
      <c r="S11" s="4008" t="n"/>
      <c r="T11" s="17">
        <f>BQ11&amp;BS11&amp;BT11&amp;BU11&amp;BW11&amp;BX11</f>
        <v/>
      </c>
      <c r="BQ11" s="209">
        <f>IF((J11+K11+L11)&lt;&gt;C11," * La suma de Primera visita + Segunda visita + Tercera o más visitas de seguimiento debe ser igual al Total.","")</f>
        <v/>
      </c>
      <c r="BR11" s="90" t="n"/>
      <c r="BS11" s="209">
        <f>IF(AND(C11&gt;0,N11="")," * No olvide digitar la variable Pueblos Originarios. Digite Cero si no tiene..",IF(N11&gt;C11," * La variable Pueblos Originarios no puede ser mayor al Total.",""))</f>
        <v/>
      </c>
      <c r="BT11" s="209">
        <f>IF(AND(C11&gt;0,O11="")," * No olvide digitar la variable Migrantes. Digite Cero si no tiene.",IF(O11&gt;C11," * La variable Migrantes no puede ser mayor al Total.",""))</f>
        <v/>
      </c>
      <c r="BU11" s="209">
        <f>IF(AND($C11&gt;0,P11="")," * No olvide digitar la variable Espacio Amigable/Adolescente. Digite Cero si no tiene.",IF(P11&gt;$C11," * La variable Espacio Amigable/Adolescente no puede ser mayor al Total.",""))</f>
        <v/>
      </c>
      <c r="BV11" s="90" t="n"/>
      <c r="BW11" s="209">
        <f>IF(AND($C11&gt;0,R11="")," * No olvide digitar la variable "&amp;R$9&amp;". Digite Cero si no tiene.",IF(R11&gt;$C11," * La variable "&amp;R$9&amp;" no puede ser mayor al Total.",""))</f>
        <v/>
      </c>
      <c r="BX11" s="209">
        <f>IF(AND($C11&gt;0,S11="")," * No olvide digitar la variable "&amp;S$9&amp;". Digite Cero si no tiene.",IF(S11&gt;$C11," * La variable "&amp;S$9&amp;" no puede ser mayor al Total.",""))</f>
        <v/>
      </c>
      <c r="BZ11" s="52">
        <f>IF((J11+K11+L11)&lt;&gt;C11,1,0)</f>
        <v/>
      </c>
      <c r="CA11" s="51" t="n"/>
      <c r="CB11" s="52">
        <f>IF(AND(C11&gt;0,N11=""),1,IF(N11&gt;C11,1,0))</f>
        <v/>
      </c>
      <c r="CC11" s="52">
        <f>IF(AND(C11&gt;0,O11=""),1,IF(O11&gt;C11,1,0))</f>
        <v/>
      </c>
      <c r="CD11" s="52">
        <f>IF(AND($C11&gt;0,P11=""),1,IF(P11&gt;$C11,1,0))</f>
        <v/>
      </c>
      <c r="CE11" s="51" t="n"/>
      <c r="CF11" s="52">
        <f>IF(AND($C11&gt;0,R11=""),1,IF(R11&gt;$C11,1,0))</f>
        <v/>
      </c>
      <c r="CG11" s="52">
        <f>IF(AND($C11&gt;0,S11=""),1,IF(S11&gt;$C11,1,0))</f>
        <v/>
      </c>
    </row>
    <row r="12" ht="15" customFormat="1" customHeight="1" s="17">
      <c r="A12" s="3877" t="inlineStr">
        <is>
          <t>Familia con niño con déficit del DSM</t>
        </is>
      </c>
      <c r="B12" s="9644" t="n"/>
      <c r="C12" s="3936">
        <f>SUM(D12:G12)</f>
        <v/>
      </c>
      <c r="D12" s="3956" t="n">
        <v>2</v>
      </c>
      <c r="E12" s="3956" t="n">
        <v>0</v>
      </c>
      <c r="F12" s="3956" t="n">
        <v>0</v>
      </c>
      <c r="G12" s="3956" t="n">
        <v>0</v>
      </c>
      <c r="H12" s="3957" t="n">
        <v>0</v>
      </c>
      <c r="I12" s="3957" t="n">
        <v>0</v>
      </c>
      <c r="J12" s="3956" t="n">
        <v>2</v>
      </c>
      <c r="K12" s="3956" t="n">
        <v>0</v>
      </c>
      <c r="L12" s="3956" t="n">
        <v>0</v>
      </c>
      <c r="M12" s="3959" t="n"/>
      <c r="N12" s="5416" t="n">
        <v>0</v>
      </c>
      <c r="O12" s="4008" t="n">
        <v>0</v>
      </c>
      <c r="P12" s="4008" t="n">
        <v>0</v>
      </c>
      <c r="Q12" s="5465" t="n"/>
      <c r="R12" s="3660" t="n">
        <v>0</v>
      </c>
      <c r="S12" s="4008" t="n">
        <v>0</v>
      </c>
      <c r="T12" s="17">
        <f>BQ12&amp;BS12&amp;BT12&amp;BU12&amp;BW12&amp;BX12</f>
        <v/>
      </c>
      <c r="BQ12" s="209">
        <f>IF((J12+K12+L12)&lt;&gt;C12," * La suma de Primera visita + Segunda visita + Tercera o más visitas de seguimiento debe ser igual al Total.","")</f>
        <v/>
      </c>
      <c r="BR12" s="90" t="n"/>
      <c r="BS12" s="209">
        <f>IF(AND(C12&gt;0,N12="")," * No olvide digitar la variable Pueblos Originarios. Digite Cero si no tiene..",IF(N12&gt;C12," * La variable Pueblos Originarios no puede ser mayor al Total.",""))</f>
        <v/>
      </c>
      <c r="BT12" s="209">
        <f>IF(AND(C12&gt;0,O12="")," * No olvide digitar la variable Migrantes. Digite Cero si no tiene.",IF(O12&gt;C12," * La variable Migrantes no puede ser mayor al Total.",""))</f>
        <v/>
      </c>
      <c r="BU12" s="209">
        <f>IF(AND($C12&gt;0,P12="")," * No olvide digitar la variable Espacio Amigable/Adolescente. Digite Cero si no tiene.",IF(P12&gt;$C12," * La variable Espacio Amigable/Adolescente no puede ser mayor al Total.",""))</f>
        <v/>
      </c>
      <c r="BV12" s="90" t="n"/>
      <c r="BW12" s="209">
        <f>IF(AND($C12&gt;0,R12="")," * No olvide digitar la variable "&amp;R$9&amp;". Digite Cero si no tiene.",IF(R12&gt;$C12," * La variable "&amp;R$9&amp;" no puede ser mayor al Total.",""))</f>
        <v/>
      </c>
      <c r="BX12" s="209">
        <f>IF(AND($C12&gt;0,S12="")," * No olvide digitar la variable "&amp;S$9&amp;". Digite Cero si no tiene.",IF(S12&gt;$C12," * La variable "&amp;S$9&amp;" no puede ser mayor al Total.",""))</f>
        <v/>
      </c>
      <c r="BZ12" s="52">
        <f>IF((J12+K12+L12)&lt;&gt;C12,1,0)</f>
        <v/>
      </c>
      <c r="CA12" s="51" t="n"/>
      <c r="CB12" s="52">
        <f>IF(AND(C12&gt;0,N12=""),1,IF(N12&gt;C12,1,0))</f>
        <v/>
      </c>
      <c r="CC12" s="52">
        <f>IF(AND(C12&gt;0,O12=""),1,IF(O12&gt;C12,1,0))</f>
        <v/>
      </c>
      <c r="CD12" s="52">
        <f>IF(AND($C12&gt;0,P12=""),1,IF(P12&gt;$C12,1,0))</f>
        <v/>
      </c>
      <c r="CE12" s="51" t="n"/>
      <c r="CF12" s="52">
        <f>IF(AND($C12&gt;0,R12=""),1,IF(R12&gt;$C12,1,0))</f>
        <v/>
      </c>
      <c r="CG12" s="52">
        <f>IF(AND($C12&gt;0,S12=""),1,IF(S12&gt;$C12,1,0))</f>
        <v/>
      </c>
    </row>
    <row r="13" ht="15" customFormat="1" customHeight="1" s="17">
      <c r="A13" s="3877" t="inlineStr">
        <is>
          <t>Familia con niño en riesgo vincular afectivo</t>
        </is>
      </c>
      <c r="B13" s="9644" t="n"/>
      <c r="C13" s="3936">
        <f>SUM(D13:G13)</f>
        <v/>
      </c>
      <c r="D13" s="3956" t="n"/>
      <c r="E13" s="3956" t="n"/>
      <c r="F13" s="3956" t="n"/>
      <c r="G13" s="3956" t="n"/>
      <c r="H13" s="3957" t="n"/>
      <c r="I13" s="3957" t="n"/>
      <c r="J13" s="3956" t="n"/>
      <c r="K13" s="3956" t="n"/>
      <c r="L13" s="3956" t="n"/>
      <c r="M13" s="3959" t="n"/>
      <c r="N13" s="5416" t="n"/>
      <c r="O13" s="4008" t="n"/>
      <c r="P13" s="4008" t="n"/>
      <c r="Q13" s="5465" t="n"/>
      <c r="R13" s="3660" t="n"/>
      <c r="S13" s="4008" t="n"/>
      <c r="T13" s="17">
        <f>BQ13&amp;BS13&amp;BT13&amp;BU13&amp;BW13&amp;BX13</f>
        <v/>
      </c>
      <c r="BQ13" s="209">
        <f>IF((J13+K13+L13)&lt;&gt;C13," * La suma de Primera visita + Segunda visita + Tercera o más visitas de seguimiento debe ser igual al Total.","")</f>
        <v/>
      </c>
      <c r="BR13" s="90" t="n"/>
      <c r="BS13" s="209">
        <f>IF(AND(C13&gt;0,N13="")," * No olvide digitar la variable Pueblos Originarios. Digite Cero si no tiene..",IF(N13&gt;C13," * La variable Pueblos Originarios no puede ser mayor al Total.",""))</f>
        <v/>
      </c>
      <c r="BT13" s="209">
        <f>IF(AND(C13&gt;0,O13="")," * No olvide digitar la variable Migrantes. Digite Cero si no tiene.",IF(O13&gt;C13," * La variable Migrantes no puede ser mayor al Total.",""))</f>
        <v/>
      </c>
      <c r="BU13" s="209">
        <f>IF(AND($C13&gt;0,P13="")," * No olvide digitar la variable Espacio Amigable/Adolescente. Digite Cero si no tiene.",IF(P13&gt;$C13," * La variable Espacio Amigable/Adolescente no puede ser mayor al Total.",""))</f>
        <v/>
      </c>
      <c r="BV13" s="90" t="n"/>
      <c r="BW13" s="209">
        <f>IF(AND($C13&gt;0,R13="")," * No olvide digitar la variable "&amp;R$9&amp;". Digite Cero si no tiene.",IF(R13&gt;$C13," * La variable "&amp;R$9&amp;" no puede ser mayor al Total.",""))</f>
        <v/>
      </c>
      <c r="BX13" s="209">
        <f>IF(AND($C13&gt;0,S13="")," * No olvide digitar la variable "&amp;S$9&amp;". Digite Cero si no tiene.",IF(S13&gt;$C13," * La variable "&amp;S$9&amp;" no puede ser mayor al Total.",""))</f>
        <v/>
      </c>
      <c r="BZ13" s="52">
        <f>IF((J13+K13+L13)&lt;&gt;C13,1,0)</f>
        <v/>
      </c>
      <c r="CA13" s="51" t="n"/>
      <c r="CB13" s="52">
        <f>IF(AND(C13&gt;0,N13=""),1,IF(N13&gt;C13,1,0))</f>
        <v/>
      </c>
      <c r="CC13" s="52">
        <f>IF(AND(C13&gt;0,O13=""),1,IF(O13&gt;C13,1,0))</f>
        <v/>
      </c>
      <c r="CD13" s="52">
        <f>IF(AND($C13&gt;0,P13=""),1,IF(P13&gt;$C13,1,0))</f>
        <v/>
      </c>
      <c r="CE13" s="51" t="n"/>
      <c r="CF13" s="52">
        <f>IF(AND($C13&gt;0,R13=""),1,IF(R13&gt;$C13,1,0))</f>
        <v/>
      </c>
      <c r="CG13" s="52">
        <f>IF(AND($C13&gt;0,S13=""),1,IF(S13&gt;$C13,1,0))</f>
        <v/>
      </c>
    </row>
    <row r="14" ht="15" customFormat="1" customHeight="1" s="17">
      <c r="A14" s="3877" t="inlineStr">
        <is>
          <t>Familia con niño de 0 a 12 meses con score de riesgo moderado de morir por neumonía</t>
        </is>
      </c>
      <c r="B14" s="9644" t="n"/>
      <c r="C14" s="3936">
        <f>SUM(D14:G14)</f>
        <v/>
      </c>
      <c r="D14" s="3956" t="n"/>
      <c r="E14" s="3956" t="n"/>
      <c r="F14" s="3956" t="n"/>
      <c r="G14" s="3956" t="n"/>
      <c r="H14" s="3957" t="n"/>
      <c r="I14" s="3957" t="n"/>
      <c r="J14" s="3956" t="n"/>
      <c r="K14" s="3956" t="n"/>
      <c r="L14" s="3956" t="n"/>
      <c r="M14" s="3959" t="n"/>
      <c r="N14" s="5416" t="n"/>
      <c r="O14" s="4008" t="n"/>
      <c r="P14" s="4008" t="n"/>
      <c r="Q14" s="5465" t="n"/>
      <c r="R14" s="3660" t="n"/>
      <c r="S14" s="4008" t="n"/>
      <c r="T14" s="17">
        <f>BQ14&amp;BS14&amp;BT14&amp;BU14&amp;BW14&amp;BX14</f>
        <v/>
      </c>
      <c r="BQ14" s="209">
        <f>IF((J14+K14+L14)&lt;&gt;C14," * La suma de Primera visita + Segunda visita + Tercera o más visitas de seguimiento debe ser igual al Total.","")</f>
        <v/>
      </c>
      <c r="BR14" s="90" t="n"/>
      <c r="BS14" s="209">
        <f>IF(AND(C14&gt;0,N14="")," * No olvide digitar la variable Pueblos Originarios. Digite Cero si no tiene..",IF(N14&gt;C14," * La variable Pueblos Originarios no puede ser mayor al Total.",""))</f>
        <v/>
      </c>
      <c r="BT14" s="209">
        <f>IF(AND(C14&gt;0,O14="")," * No olvide digitar la variable Migrantes. Digite Cero si no tiene.",IF(O14&gt;C14," * La variable Migrantes no puede ser mayor al Total.",""))</f>
        <v/>
      </c>
      <c r="BU14" s="209">
        <f>IF(AND($C14&gt;0,P14="")," * No olvide digitar la variable Espacio Amigable/Adolescente. Digite Cero si no tiene.",IF(P14&gt;$C14," * La variable Espacio Amigable/Adolescente no puede ser mayor al Total.",""))</f>
        <v/>
      </c>
      <c r="BV14" s="90" t="n"/>
      <c r="BW14" s="209">
        <f>IF(AND($C14&gt;0,R14="")," * No olvide digitar la variable "&amp;R$9&amp;". Digite Cero si no tiene.",IF(R14&gt;$C14," * La variable "&amp;R$9&amp;" no puede ser mayor al Total.",""))</f>
        <v/>
      </c>
      <c r="BX14" s="209">
        <f>IF(AND($C14&gt;0,S14="")," * No olvide digitar la variable "&amp;S$9&amp;". Digite Cero si no tiene.",IF(S14&gt;$C14," * La variable "&amp;S$9&amp;" no puede ser mayor al Total.",""))</f>
        <v/>
      </c>
      <c r="BZ14" s="52">
        <f>IF((J14+K14+L14)&lt;&gt;C14,1,0)</f>
        <v/>
      </c>
      <c r="CA14" s="51" t="n"/>
      <c r="CB14" s="52">
        <f>IF(AND(C14&gt;0,N14=""),1,IF(N14&gt;C14,1,0))</f>
        <v/>
      </c>
      <c r="CC14" s="52">
        <f>IF(AND(C14&gt;0,O14=""),1,IF(O14&gt;C14,1,0))</f>
        <v/>
      </c>
      <c r="CD14" s="52">
        <f>IF(AND($C14&gt;0,P14=""),1,IF(P14&gt;$C14,1,0))</f>
        <v/>
      </c>
      <c r="CE14" s="51" t="n"/>
      <c r="CF14" s="52">
        <f>IF(AND($C14&gt;0,R14=""),1,IF(R14&gt;$C14,1,0))</f>
        <v/>
      </c>
      <c r="CG14" s="52">
        <f>IF(AND($C14&gt;0,S14=""),1,IF(S14&gt;$C14,1,0))</f>
        <v/>
      </c>
    </row>
    <row r="15" ht="15" customFormat="1" customHeight="1" s="17">
      <c r="A15" s="3877" t="inlineStr">
        <is>
          <t>Familia con niño de 0 a 12 meses con score de riesgo grave de morir por neumonía</t>
        </is>
      </c>
      <c r="B15" s="9644" t="n"/>
      <c r="C15" s="3936">
        <f>SUM(D15:G15)</f>
        <v/>
      </c>
      <c r="D15" s="3956" t="n">
        <v>1</v>
      </c>
      <c r="E15" s="3956" t="n">
        <v>0</v>
      </c>
      <c r="F15" s="3956" t="n">
        <v>0</v>
      </c>
      <c r="G15" s="3956" t="n">
        <v>0</v>
      </c>
      <c r="H15" s="3957" t="n">
        <v>0</v>
      </c>
      <c r="I15" s="3957" t="n">
        <v>0</v>
      </c>
      <c r="J15" s="3956" t="n">
        <v>1</v>
      </c>
      <c r="K15" s="3956" t="n">
        <v>0</v>
      </c>
      <c r="L15" s="3956" t="n">
        <v>0</v>
      </c>
      <c r="M15" s="3959" t="n"/>
      <c r="N15" s="5416" t="n">
        <v>0</v>
      </c>
      <c r="O15" s="4008" t="n">
        <v>0</v>
      </c>
      <c r="P15" s="4008" t="n">
        <v>0</v>
      </c>
      <c r="Q15" s="5465" t="n"/>
      <c r="R15" s="3660" t="n">
        <v>0</v>
      </c>
      <c r="S15" s="4008" t="n">
        <v>0</v>
      </c>
      <c r="T15" s="17">
        <f>BQ15&amp;BS15&amp;BT15&amp;BU15&amp;BW15&amp;BX15</f>
        <v/>
      </c>
      <c r="BQ15" s="209">
        <f>IF((J15+K15+L15)&lt;&gt;C15," * La suma de Primera visita + Segunda visita + Tercera o más visitas de seguimiento debe ser igual al Total.","")</f>
        <v/>
      </c>
      <c r="BR15" s="90" t="n"/>
      <c r="BS15" s="209">
        <f>IF(AND(C15&gt;0,N15="")," * No olvide digitar la variable Pueblos Originarios. Digite Cero si no tiene..",IF(N15&gt;C15," * La variable Pueblos Originarios no puede ser mayor al Total.",""))</f>
        <v/>
      </c>
      <c r="BT15" s="209">
        <f>IF(AND(C15&gt;0,O15="")," * No olvide digitar la variable Migrantes. Digite Cero si no tiene.",IF(O15&gt;C15," * La variable Migrantes no puede ser mayor al Total.",""))</f>
        <v/>
      </c>
      <c r="BU15" s="209">
        <f>IF(AND($C15&gt;0,P15="")," * No olvide digitar la variable Espacio Amigable/Adolescente. Digite Cero si no tiene.",IF(P15&gt;$C15," * La variable Espacio Amigable/Adolescente no puede ser mayor al Total.",""))</f>
        <v/>
      </c>
      <c r="BV15" s="90" t="n"/>
      <c r="BW15" s="209">
        <f>IF(AND($C15&gt;0,R15="")," * No olvide digitar la variable "&amp;R$9&amp;". Digite Cero si no tiene.",IF(R15&gt;$C15," * La variable "&amp;R$9&amp;" no puede ser mayor al Total.",""))</f>
        <v/>
      </c>
      <c r="BX15" s="209">
        <f>IF(AND($C15&gt;0,S15="")," * No olvide digitar la variable "&amp;S$9&amp;". Digite Cero si no tiene.",IF(S15&gt;$C15," * La variable "&amp;S$9&amp;" no puede ser mayor al Total.",""))</f>
        <v/>
      </c>
      <c r="BZ15" s="52">
        <f>IF((J15+K15+L15)&lt;&gt;C15,1,0)</f>
        <v/>
      </c>
      <c r="CA15" s="51" t="n"/>
      <c r="CB15" s="52">
        <f>IF(AND(C15&gt;0,N15=""),1,IF(N15&gt;C15,1,0))</f>
        <v/>
      </c>
      <c r="CC15" s="52">
        <f>IF(AND(C15&gt;0,O15=""),1,IF(O15&gt;C15,1,0))</f>
        <v/>
      </c>
      <c r="CD15" s="52">
        <f>IF(AND($C15&gt;0,P15=""),1,IF(P15&gt;$C15,1,0))</f>
        <v/>
      </c>
      <c r="CE15" s="51" t="n"/>
      <c r="CF15" s="52">
        <f>IF(AND($C15&gt;0,R15=""),1,IF(R15&gt;$C15,1,0))</f>
        <v/>
      </c>
      <c r="CG15" s="52">
        <f>IF(AND($C15&gt;0,S15=""),1,IF(S15&gt;$C15,1,0))</f>
        <v/>
      </c>
    </row>
    <row r="16" ht="15" customFormat="1" customHeight="1" s="17">
      <c r="A16" s="3877" t="inlineStr">
        <is>
          <t>Familia con niño con problema respiratorio crónico o no controlado</t>
        </is>
      </c>
      <c r="B16" s="9644" t="n"/>
      <c r="C16" s="3936">
        <f>SUM(D16:G16)</f>
        <v/>
      </c>
      <c r="D16" s="3956" t="n"/>
      <c r="E16" s="3956" t="n"/>
      <c r="F16" s="3956" t="n"/>
      <c r="G16" s="3956" t="n"/>
      <c r="H16" s="3957" t="n"/>
      <c r="I16" s="3957" t="n"/>
      <c r="J16" s="3956" t="n"/>
      <c r="K16" s="3956" t="n"/>
      <c r="L16" s="3956" t="n"/>
      <c r="M16" s="3959" t="n"/>
      <c r="N16" s="5416" t="n"/>
      <c r="O16" s="4008" t="n"/>
      <c r="P16" s="4008" t="n"/>
      <c r="Q16" s="5465" t="n"/>
      <c r="R16" s="3660" t="n"/>
      <c r="S16" s="4008" t="n"/>
      <c r="T16" s="17">
        <f>BQ16&amp;BS16&amp;BT16&amp;BU16&amp;BW16&amp;BX16</f>
        <v/>
      </c>
      <c r="BQ16" s="209">
        <f>IF((J16+K16+L16)&lt;&gt;C16," * La suma de Primera visita + Segunda visita + Tercera o más visitas de seguimiento debe ser igual al Total.","")</f>
        <v/>
      </c>
      <c r="BR16" s="90" t="n"/>
      <c r="BS16" s="209">
        <f>IF(AND(C16&gt;0,N16="")," * No olvide digitar la variable Pueblos Originarios. Digite Cero si no tiene..",IF(N16&gt;C16," * La variable Pueblos Originarios no puede ser mayor al Total.",""))</f>
        <v/>
      </c>
      <c r="BT16" s="209">
        <f>IF(AND(C16&gt;0,O16="")," * No olvide digitar la variable Migrantes. Digite Cero si no tiene.",IF(O16&gt;C16," * La variable Migrantes no puede ser mayor al Total.",""))</f>
        <v/>
      </c>
      <c r="BU16" s="209">
        <f>IF(AND($C16&gt;0,P16="")," * No olvide digitar la variable Espacio Amigable/Adolescente. Digite Cero si no tiene.",IF(P16&gt;$C16," * La variable Espacio Amigable/Adolescente no puede ser mayor al Total.",""))</f>
        <v/>
      </c>
      <c r="BV16" s="90" t="n"/>
      <c r="BW16" s="209">
        <f>IF(AND($C16&gt;0,R16="")," * No olvide digitar la variable "&amp;R$9&amp;". Digite Cero si no tiene.",IF(R16&gt;$C16," * La variable "&amp;R$9&amp;" no puede ser mayor al Total.",""))</f>
        <v/>
      </c>
      <c r="BX16" s="209">
        <f>IF(AND($C16&gt;0,S16="")," * No olvide digitar la variable "&amp;S$9&amp;". Digite Cero si no tiene.",IF(S16&gt;$C16," * La variable "&amp;S$9&amp;" no puede ser mayor al Total.",""))</f>
        <v/>
      </c>
      <c r="BZ16" s="52">
        <f>IF((J16+K16+L16)&lt;&gt;C16,1,0)</f>
        <v/>
      </c>
      <c r="CA16" s="51" t="n"/>
      <c r="CB16" s="52">
        <f>IF(AND(C16&gt;0,N16=""),1,IF(N16&gt;C16,1,0))</f>
        <v/>
      </c>
      <c r="CC16" s="52">
        <f>IF(AND(C16&gt;0,O16=""),1,IF(O16&gt;C16,1,0))</f>
        <v/>
      </c>
      <c r="CD16" s="52">
        <f>IF(AND($C16&gt;0,P16=""),1,IF(P16&gt;$C16,1,0))</f>
        <v/>
      </c>
      <c r="CE16" s="51" t="n"/>
      <c r="CF16" s="52">
        <f>IF(AND($C16&gt;0,R16=""),1,IF(R16&gt;$C16,1,0))</f>
        <v/>
      </c>
      <c r="CG16" s="52">
        <f>IF(AND($C16&gt;0,S16=""),1,IF(S16&gt;$C16,1,0))</f>
        <v/>
      </c>
    </row>
    <row r="17" ht="15" customFormat="1" customHeight="1" s="17">
      <c r="A17" s="3877" t="inlineStr">
        <is>
          <t>Familia con niño malnutrido</t>
        </is>
      </c>
      <c r="B17" s="9644" t="n"/>
      <c r="C17" s="3936">
        <f>SUM(D17:G17)</f>
        <v/>
      </c>
      <c r="D17" s="3956" t="n"/>
      <c r="E17" s="3956" t="n"/>
      <c r="F17" s="3956" t="n"/>
      <c r="G17" s="3956" t="n"/>
      <c r="H17" s="3957" t="n"/>
      <c r="I17" s="3957" t="n"/>
      <c r="J17" s="3956" t="n"/>
      <c r="K17" s="3956" t="n"/>
      <c r="L17" s="3956" t="n"/>
      <c r="M17" s="3959" t="n"/>
      <c r="N17" s="5416" t="n"/>
      <c r="O17" s="4008" t="n"/>
      <c r="P17" s="4008" t="n"/>
      <c r="Q17" s="5465" t="n"/>
      <c r="R17" s="3660" t="n"/>
      <c r="S17" s="4008" t="n"/>
      <c r="T17" s="17">
        <f>BQ17&amp;BS17&amp;BT17&amp;BU17&amp;BW17&amp;BX17</f>
        <v/>
      </c>
      <c r="BQ17" s="209">
        <f>IF((J17+K17+L17)&lt;&gt;C17," * La suma de Primera visita + Segunda visita + Tercera o más visitas de seguimiento debe ser igual al Total.","")</f>
        <v/>
      </c>
      <c r="BR17" s="90" t="n"/>
      <c r="BS17" s="209">
        <f>IF(AND(C17&gt;0,N17="")," * No olvide digitar la variable Pueblos Originarios. Digite Cero si no tiene..",IF(N17&gt;C17," * La variable Pueblos Originarios no puede ser mayor al Total.",""))</f>
        <v/>
      </c>
      <c r="BT17" s="209">
        <f>IF(AND(C17&gt;0,O17="")," * No olvide digitar la variable Migrantes. Digite Cero si no tiene.",IF(O17&gt;C17," * La variable Migrantes no puede ser mayor al Total.",""))</f>
        <v/>
      </c>
      <c r="BU17" s="209">
        <f>IF(AND($C17&gt;0,P17="")," * No olvide digitar la variable Espacio Amigable/Adolescente. Digite Cero si no tiene.",IF(P17&gt;$C17," * La variable Espacio Amigable/Adolescente no puede ser mayor al Total.",""))</f>
        <v/>
      </c>
      <c r="BV17" s="90" t="n"/>
      <c r="BW17" s="209">
        <f>IF(AND($C17&gt;0,R17="")," * No olvide digitar la variable "&amp;R$9&amp;". Digite Cero si no tiene.",IF(R17&gt;$C17," * La variable "&amp;R$9&amp;" no puede ser mayor al Total.",""))</f>
        <v/>
      </c>
      <c r="BX17" s="209">
        <f>IF(AND($C17&gt;0,S17="")," * No olvide digitar la variable "&amp;S$9&amp;". Digite Cero si no tiene.",IF(S17&gt;$C17," * La variable "&amp;S$9&amp;" no puede ser mayor al Total.",""))</f>
        <v/>
      </c>
      <c r="BZ17" s="52">
        <f>IF((J17+K17+L17)&lt;&gt;C17,1,0)</f>
        <v/>
      </c>
      <c r="CA17" s="51" t="n"/>
      <c r="CB17" s="52">
        <f>IF(AND(C17&gt;0,N17=""),1,IF(N17&gt;C17,1,0))</f>
        <v/>
      </c>
      <c r="CC17" s="52">
        <f>IF(AND(C17&gt;0,O17=""),1,IF(O17&gt;C17,1,0))</f>
        <v/>
      </c>
      <c r="CD17" s="52">
        <f>IF(AND($C17&gt;0,P17=""),1,IF(P17&gt;$C17,1,0))</f>
        <v/>
      </c>
      <c r="CE17" s="51" t="n"/>
      <c r="CF17" s="52">
        <f>IF(AND($C17&gt;0,R17=""),1,IF(R17&gt;$C17,1,0))</f>
        <v/>
      </c>
      <c r="CG17" s="52">
        <f>IF(AND($C17&gt;0,S17=""),1,IF(S17&gt;$C17,1,0))</f>
        <v/>
      </c>
    </row>
    <row r="18" ht="15" customFormat="1" customHeight="1" s="17">
      <c r="A18" s="3877" t="inlineStr">
        <is>
          <t>Familia con niño con riesgo psicosocial (excluye vincular afectivo)</t>
        </is>
      </c>
      <c r="B18" s="9644" t="n"/>
      <c r="C18" s="3936">
        <f>SUM(D18:G18)</f>
        <v/>
      </c>
      <c r="D18" s="3956" t="n">
        <v>16</v>
      </c>
      <c r="E18" s="3956" t="n">
        <v>1</v>
      </c>
      <c r="F18" s="3956" t="n">
        <v>0</v>
      </c>
      <c r="G18" s="3956" t="n">
        <v>0</v>
      </c>
      <c r="H18" s="3957" t="n">
        <v>0</v>
      </c>
      <c r="I18" s="3957" t="n">
        <v>1</v>
      </c>
      <c r="J18" s="3956" t="n">
        <v>3</v>
      </c>
      <c r="K18" s="3956" t="n">
        <v>0</v>
      </c>
      <c r="L18" s="3956" t="n">
        <v>14</v>
      </c>
      <c r="M18" s="3960" t="n">
        <v>0</v>
      </c>
      <c r="N18" s="5416" t="n">
        <v>1</v>
      </c>
      <c r="O18" s="4008" t="n">
        <v>3</v>
      </c>
      <c r="P18" s="4008" t="n">
        <v>0</v>
      </c>
      <c r="Q18" s="5465" t="n"/>
      <c r="R18" s="3660" t="n">
        <v>0</v>
      </c>
      <c r="S18" s="4008" t="n">
        <v>0</v>
      </c>
      <c r="T18" s="17">
        <f>BQ18&amp;BR18&amp;BS18&amp;BT18&amp;BU18&amp;BW18&amp;BX18</f>
        <v/>
      </c>
      <c r="BQ18" s="209">
        <f>IF((J18+K18+L18)&lt;&gt;C18," * La suma de Primera visita + Segunda visita + Tercera o más visitas de seguimiento debe ser igual al Total.","")</f>
        <v/>
      </c>
      <c r="BR18" s="209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>
        <f>IF(AND(C18&gt;0,N18="")," * No olvide digitar la variable Pueblos Originarios. Digite Cero si no tiene..",IF(N18&gt;C18," * La variable Pueblos Originarios no puede ser mayor al Total.",""))</f>
        <v/>
      </c>
      <c r="BT18" s="209">
        <f>IF(AND(C18&gt;0,O18="")," * No olvide digitar la variable Migrantes. Digite Cero si no tiene.",IF(O18&gt;C18," * La variable Migrantes no puede ser mayor al Total.",""))</f>
        <v/>
      </c>
      <c r="BU18" s="209">
        <f>IF(AND($C18&gt;0,P18="")," * No olvide digitar la variable Espacio Amigable/Adolescente. Digite Cero si no tiene.",IF(P18&gt;$C18," * La variable Espacio Amigable/Adolescente no puede ser mayor al Total.",""))</f>
        <v/>
      </c>
      <c r="BV18" s="90" t="n"/>
      <c r="BW18" s="209">
        <f>IF(AND($C18&gt;0,R18="")," * No olvide digitar la variable "&amp;R$9&amp;". Digite Cero si no tiene.",IF(R18&gt;$C18," * La variable "&amp;R$9&amp;" no puede ser mayor al Total.",""))</f>
        <v/>
      </c>
      <c r="BX18" s="209">
        <f>IF(AND($C18&gt;0,S18="")," * No olvide digitar la variable "&amp;S$9&amp;". Digite Cero si no tiene.",IF(S18&gt;$C18," * La variable "&amp;S$9&amp;" no puede ser mayor al Total.",""))</f>
        <v/>
      </c>
      <c r="BZ18" s="52">
        <f>IF((J18+K18+L18)&lt;&gt;C18,1,0)</f>
        <v/>
      </c>
      <c r="CA18" s="52">
        <f>IF(AND(C18&gt;0,M18=""),1,IF(M18&gt;C18,1,0))</f>
        <v/>
      </c>
      <c r="CB18" s="52">
        <f>IF(AND(C18&gt;0,N18=""),1,IF(N18&gt;C18,1,0))</f>
        <v/>
      </c>
      <c r="CC18" s="52">
        <f>IF(AND(C18&gt;0,O18=""),1,IF(O18&gt;C18,1,0))</f>
        <v/>
      </c>
      <c r="CD18" s="52">
        <f>IF(AND($C18&gt;0,P18=""),1,IF(P18&gt;$C18,1,0))</f>
        <v/>
      </c>
      <c r="CE18" s="51" t="n"/>
      <c r="CF18" s="52">
        <f>IF(AND($C18&gt;0,R18=""),1,IF(R18&gt;$C18,1,0))</f>
        <v/>
      </c>
      <c r="CG18" s="52">
        <f>IF(AND($C18&gt;0,S18=""),1,IF(S18&gt;$C18,1,0))</f>
        <v/>
      </c>
    </row>
    <row r="19" ht="15" customFormat="1" customHeight="1" s="17">
      <c r="A19" s="3877" t="inlineStr">
        <is>
          <t>Familia con adolescente en riesgo o problema psicosocial</t>
        </is>
      </c>
      <c r="B19" s="9644" t="n"/>
      <c r="C19" s="3936">
        <f>SUM(D19:G19)</f>
        <v/>
      </c>
      <c r="D19" s="3956" t="n">
        <v>18</v>
      </c>
      <c r="E19" s="3956" t="n">
        <v>0</v>
      </c>
      <c r="F19" s="3956" t="n">
        <v>0</v>
      </c>
      <c r="G19" s="3956" t="n">
        <v>0</v>
      </c>
      <c r="H19" s="3957" t="n">
        <v>0</v>
      </c>
      <c r="I19" s="3957" t="n">
        <v>0</v>
      </c>
      <c r="J19" s="3956" t="n">
        <v>3</v>
      </c>
      <c r="K19" s="3956" t="n">
        <v>1</v>
      </c>
      <c r="L19" s="3956" t="n">
        <v>14</v>
      </c>
      <c r="M19" s="3960" t="n">
        <v>1</v>
      </c>
      <c r="N19" s="5416" t="n">
        <v>0</v>
      </c>
      <c r="O19" s="4008" t="n">
        <v>1</v>
      </c>
      <c r="P19" s="4008" t="n">
        <v>0</v>
      </c>
      <c r="Q19" s="5465" t="n"/>
      <c r="R19" s="3660" t="n">
        <v>1</v>
      </c>
      <c r="S19" s="4008" t="n">
        <v>0</v>
      </c>
      <c r="T19" s="17">
        <f>BQ19&amp;BR19&amp;BS19&amp;BT19&amp;BU19&amp;BW19&amp;BX19</f>
        <v/>
      </c>
      <c r="BQ19" s="209">
        <f>IF((J19+K19+L19)&lt;&gt;C19," * La suma de Primera visita + Segunda visita + Tercera o más visitas de seguimiento debe ser igual al Total.","")</f>
        <v/>
      </c>
      <c r="BR19" s="209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>
        <f>IF(AND(C19&gt;0,N19="")," * No olvide digitar la variable Pueblos Originarios. Digite Cero si no tiene..",IF(N19&gt;C19," * La variable Pueblos Originarios no puede ser mayor al Total.",""))</f>
        <v/>
      </c>
      <c r="BT19" s="209">
        <f>IF(AND(C19&gt;0,O19="")," * No olvide digitar la variable Migrantes. Digite Cero si no tiene.",IF(O19&gt;C19," * La variable Migrantes no puede ser mayor al Total.",""))</f>
        <v/>
      </c>
      <c r="BU19" s="209">
        <f>IF(AND($C19&gt;0,P19="")," * No olvide digitar la variable Espacio Amigable/Adolescente. Digite Cero si no tiene.",IF(P19&gt;$C19," * La variable Espacio Amigable/Adolescente no puede ser mayor al Total.",""))</f>
        <v/>
      </c>
      <c r="BV19" s="90" t="n"/>
      <c r="BW19" s="209">
        <f>IF(AND($C19&gt;0,R19="")," * No olvide digitar la variable "&amp;R$9&amp;". Digite Cero si no tiene.",IF(R19&gt;$C19," * La variable "&amp;R$9&amp;" no puede ser mayor al Total.",""))</f>
        <v/>
      </c>
      <c r="BX19" s="209">
        <f>IF(AND($C19&gt;0,S19="")," * No olvide digitar la variable "&amp;S$9&amp;". Digite Cero si no tiene.",IF(S19&gt;$C19," * La variable "&amp;S$9&amp;" no puede ser mayor al Total.",""))</f>
        <v/>
      </c>
      <c r="BZ19" s="52">
        <f>IF((J19+K19+L19)&lt;&gt;C19,1,0)</f>
        <v/>
      </c>
      <c r="CA19" s="52">
        <f>IF(AND(C19&gt;0,M19=""),1,IF(M19&gt;C19,1,0))</f>
        <v/>
      </c>
      <c r="CB19" s="52">
        <f>IF(AND(C19&gt;0,N19=""),1,IF(N19&gt;C19,1,0))</f>
        <v/>
      </c>
      <c r="CC19" s="52">
        <f>IF(AND(C19&gt;0,O19=""),1,IF(O19&gt;C19,1,0))</f>
        <v/>
      </c>
      <c r="CD19" s="52">
        <f>IF(AND($C19&gt;0,P19=""),1,IF(P19&gt;$C19,1,0))</f>
        <v/>
      </c>
      <c r="CE19" s="51" t="n"/>
      <c r="CF19" s="52">
        <f>IF(AND($C19&gt;0,R19=""),1,IF(R19&gt;$C19,1,0))</f>
        <v/>
      </c>
      <c r="CG19" s="52">
        <f>IF(AND($C19&gt;0,S19=""),1,IF(S19&gt;$C19,1,0))</f>
        <v/>
      </c>
    </row>
    <row r="20" ht="15" customFormat="1" customHeight="1" s="17">
      <c r="A20" s="3877" t="inlineStr">
        <is>
          <t>Familia con integrante con patología crónica descompensada</t>
        </is>
      </c>
      <c r="B20" s="9644" t="n"/>
      <c r="C20" s="3936">
        <f>SUM(D20:G20)</f>
        <v/>
      </c>
      <c r="D20" s="3956" t="n"/>
      <c r="E20" s="3956" t="n"/>
      <c r="F20" s="3956" t="n"/>
      <c r="G20" s="3956" t="n"/>
      <c r="H20" s="3957" t="n"/>
      <c r="I20" s="3957" t="n"/>
      <c r="J20" s="3956" t="n"/>
      <c r="K20" s="3956" t="n"/>
      <c r="L20" s="3956" t="n"/>
      <c r="M20" s="3960" t="n"/>
      <c r="N20" s="5416" t="n"/>
      <c r="O20" s="4008" t="n"/>
      <c r="P20" s="4008" t="n"/>
      <c r="Q20" s="5465" t="n"/>
      <c r="R20" s="3660" t="n"/>
      <c r="S20" s="4008" t="n"/>
      <c r="T20" s="17">
        <f>BQ20&amp;BR20&amp;BS20&amp;BT20&amp;BU20&amp;BW20&amp;BX20</f>
        <v/>
      </c>
      <c r="BQ20" s="209">
        <f>IF((J20+K20+L20)&lt;&gt;C20," * La suma de Primera visita + Segunda visita + Tercera o más visitas de seguimiento debe ser igual al Total.","")</f>
        <v/>
      </c>
      <c r="BR20" s="209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>
        <f>IF(AND(C20&gt;0,N20="")," * No olvide digitar la variable Pueblos Originarios. Digite Cero si no tiene..",IF(N20&gt;C20," * La variable Pueblos Originarios no puede ser mayor al Total.",""))</f>
        <v/>
      </c>
      <c r="BT20" s="209">
        <f>IF(AND(C20&gt;0,O20="")," * No olvide digitar la variable Migrantes. Digite Cero si no tiene.",IF(O20&gt;C20," * La variable Migrantes no puede ser mayor al Total.",""))</f>
        <v/>
      </c>
      <c r="BU20" s="209">
        <f>IF(AND($C20&gt;0,P20="")," * No olvide digitar la variable Espacio Amigable/Adolescente. Digite Cero si no tiene.",IF(P20&gt;$C20," * La variable Espacio Amigable/Adolescente no puede ser mayor al Total.",""))</f>
        <v/>
      </c>
      <c r="BV20" s="90" t="n"/>
      <c r="BW20" s="209">
        <f>IF(AND($C20&gt;0,R20="")," * No olvide digitar la variable "&amp;R$9&amp;". Digite Cero si no tiene.",IF(R20&gt;$C20," * La variable "&amp;R$9&amp;" no puede ser mayor al Total.",""))</f>
        <v/>
      </c>
      <c r="BX20" s="209">
        <f>IF(AND($C20&gt;0,S20="")," * No olvide digitar la variable "&amp;S$9&amp;". Digite Cero si no tiene.",IF(S20&gt;$C20," * La variable "&amp;S$9&amp;" no puede ser mayor al Total.",""))</f>
        <v/>
      </c>
      <c r="BZ20" s="52">
        <f>IF((J20+K20+L20)&lt;&gt;C20,1,0)</f>
        <v/>
      </c>
      <c r="CA20" s="52">
        <f>IF(AND(C20&gt;0,M20=""),1,IF(M20&gt;C20,1,0))</f>
        <v/>
      </c>
      <c r="CB20" s="52">
        <f>IF(AND(C20&gt;0,N20=""),1,IF(N20&gt;C20,1,0))</f>
        <v/>
      </c>
      <c r="CC20" s="52">
        <f>IF(AND(C20&gt;0,O20=""),1,IF(O20&gt;C20,1,0))</f>
        <v/>
      </c>
      <c r="CD20" s="52">
        <f>IF(AND($C20&gt;0,P20=""),1,IF(P20&gt;$C20,1,0))</f>
        <v/>
      </c>
      <c r="CE20" s="51" t="n"/>
      <c r="CF20" s="52">
        <f>IF(AND($C20&gt;0,R20=""),1,IF(R20&gt;$C20,1,0))</f>
        <v/>
      </c>
      <c r="CG20" s="52">
        <f>IF(AND($C20&gt;0,S20=""),1,IF(S20&gt;$C20,1,0))</f>
        <v/>
      </c>
    </row>
    <row r="21" ht="15" customFormat="1" customHeight="1" s="17">
      <c r="A21" s="3877" t="inlineStr">
        <is>
          <t>Familia con adulto mayor dependediente (excluye dependiente severo)</t>
        </is>
      </c>
      <c r="B21" s="9644" t="n"/>
      <c r="C21" s="3936">
        <f>SUM(D21:G21)</f>
        <v/>
      </c>
      <c r="D21" s="3956" t="n">
        <v>6</v>
      </c>
      <c r="E21" s="3956" t="n">
        <v>0</v>
      </c>
      <c r="F21" s="3956" t="n">
        <v>0</v>
      </c>
      <c r="G21" s="3956" t="n">
        <v>0</v>
      </c>
      <c r="H21" s="3957" t="n">
        <v>0</v>
      </c>
      <c r="I21" s="3957" t="n">
        <v>0</v>
      </c>
      <c r="J21" s="3956" t="n">
        <v>3</v>
      </c>
      <c r="K21" s="3956" t="n">
        <v>2</v>
      </c>
      <c r="L21" s="3956" t="n">
        <v>1</v>
      </c>
      <c r="M21" s="3959" t="n"/>
      <c r="N21" s="5416" t="n">
        <v>1</v>
      </c>
      <c r="O21" s="4008" t="n">
        <v>0</v>
      </c>
      <c r="P21" s="4008" t="n">
        <v>0</v>
      </c>
      <c r="Q21" s="5465" t="n"/>
      <c r="R21" s="3660" t="n">
        <v>0</v>
      </c>
      <c r="S21" s="4008" t="n">
        <v>0</v>
      </c>
      <c r="T21" s="17">
        <f>BQ21&amp;BS21&amp;BT21&amp;BU21&amp;BW21&amp;BX21</f>
        <v/>
      </c>
      <c r="BQ21" s="209">
        <f>IF((J21+K21+L21)&lt;&gt;C21," * La suma de Primera visita + Segunda visita + Tercera o más visitas de seguimiento debe ser igual al Total.","")</f>
        <v/>
      </c>
      <c r="BR21" s="90" t="n"/>
      <c r="BS21" s="209">
        <f>IF(AND(C21&gt;0,N21="")," * No olvide digitar la variable Pueblos Originarios. Digite Cero si no tiene..",IF(N21&gt;C21," * La variable Pueblos Originarios no puede ser mayor al Total.",""))</f>
        <v/>
      </c>
      <c r="BT21" s="209">
        <f>IF(AND(C21&gt;0,O21="")," * No olvide digitar la variable Migrantes. Digite Cero si no tiene.",IF(O21&gt;C21," * La variable Migrantes no puede ser mayor al Total.",""))</f>
        <v/>
      </c>
      <c r="BU21" s="209">
        <f>IF(AND($C21&gt;0,P21="")," * No olvide digitar la variable Espacio Amigable/Adolescente. Digite Cero si no tiene.",IF(P21&gt;$C21," * La variable Espacio Amigable/Adolescente no puede ser mayor al Total.",""))</f>
        <v/>
      </c>
      <c r="BV21" s="90" t="n"/>
      <c r="BW21" s="209">
        <f>IF(AND($C21&gt;0,R21="")," * No olvide digitar la variable "&amp;R$9&amp;". Digite Cero si no tiene.",IF(R21&gt;$C21," * La variable "&amp;R$9&amp;" no puede ser mayor al Total.",""))</f>
        <v/>
      </c>
      <c r="BX21" s="209">
        <f>IF(AND($C21&gt;0,S21="")," * No olvide digitar la variable "&amp;S$9&amp;". Digite Cero si no tiene.",IF(S21&gt;$C21," * La variable "&amp;S$9&amp;" no puede ser mayor al Total.",""))</f>
        <v/>
      </c>
      <c r="BZ21" s="52">
        <f>IF((J21+K21+L21)&lt;&gt;C21,1,0)</f>
        <v/>
      </c>
      <c r="CA21" s="51" t="n"/>
      <c r="CB21" s="52">
        <f>IF(AND(C21&gt;0,N21=""),1,IF(N21&gt;C21,1,0))</f>
        <v/>
      </c>
      <c r="CC21" s="52">
        <f>IF(AND(C21&gt;0,O21=""),1,IF(O21&gt;C21,1,0))</f>
        <v/>
      </c>
      <c r="CD21" s="52">
        <f>IF(AND($C21&gt;0,P21=""),1,IF(P21&gt;$C21,1,0))</f>
        <v/>
      </c>
      <c r="CE21" s="51" t="n"/>
      <c r="CF21" s="52">
        <f>IF(AND($C21&gt;0,R21=""),1,IF(R21&gt;$C21,1,0))</f>
        <v/>
      </c>
      <c r="CG21" s="52">
        <f>IF(AND($C21&gt;0,S21=""),1,IF(S21&gt;$C21,1,0))</f>
        <v/>
      </c>
    </row>
    <row r="22" ht="15" customFormat="1" customHeight="1" s="17">
      <c r="A22" s="3877" t="inlineStr">
        <is>
          <t>Familia con adulto mayor en riesgo psicosocial</t>
        </is>
      </c>
      <c r="B22" s="9644" t="n"/>
      <c r="C22" s="3936">
        <f>SUM(D22:G22)</f>
        <v/>
      </c>
      <c r="D22" s="3956" t="n">
        <v>2</v>
      </c>
      <c r="E22" s="3956" t="n">
        <v>1</v>
      </c>
      <c r="F22" s="3956" t="n">
        <v>0</v>
      </c>
      <c r="G22" s="3956" t="n">
        <v>1</v>
      </c>
      <c r="H22" s="3957" t="n">
        <v>0</v>
      </c>
      <c r="I22" s="3957" t="n">
        <v>0</v>
      </c>
      <c r="J22" s="3956" t="n">
        <v>2</v>
      </c>
      <c r="K22" s="3956" t="n">
        <v>1</v>
      </c>
      <c r="L22" s="3956" t="n">
        <v>1</v>
      </c>
      <c r="M22" s="3959" t="n"/>
      <c r="N22" s="5416" t="n">
        <v>0</v>
      </c>
      <c r="O22" s="4008" t="n">
        <v>0</v>
      </c>
      <c r="P22" s="4008" t="n">
        <v>0</v>
      </c>
      <c r="Q22" s="5465" t="n"/>
      <c r="R22" s="3660" t="n">
        <v>0</v>
      </c>
      <c r="S22" s="4008" t="n">
        <v>0</v>
      </c>
      <c r="T22" s="17">
        <f>BQ22&amp;BS22&amp;BT22&amp;BU22&amp;BW22&amp;BX22</f>
        <v/>
      </c>
      <c r="BQ22" s="209">
        <f>IF((J22+K22+L22)&lt;&gt;C22," * La suma de Primera visita + Segunda visita + Tercera o más visitas de seguimiento debe ser igual al Total.","")</f>
        <v/>
      </c>
      <c r="BR22" s="90" t="n"/>
      <c r="BS22" s="209">
        <f>IF(AND(C22&gt;0,N22="")," * No olvide digitar la variable Pueblos Originarios. Digite Cero si no tiene..",IF(N22&gt;C22," * La variable Pueblos Originarios no puede ser mayor al Total.",""))</f>
        <v/>
      </c>
      <c r="BT22" s="209">
        <f>IF(AND(C22&gt;0,O22="")," * No olvide digitar la variable Migrantes. Digite Cero si no tiene.",IF(O22&gt;C22," * La variable Migrantes no puede ser mayor al Total.",""))</f>
        <v/>
      </c>
      <c r="BU22" s="209">
        <f>IF(AND($C22&gt;0,P22="")," * No olvide digitar la variable Espacio Amigable/Adolescente. Digite Cero si no tiene.",IF(P22&gt;$C22," * La variable Espacio Amigable/Adolescente no puede ser mayor al Total.",""))</f>
        <v/>
      </c>
      <c r="BV22" s="90" t="n"/>
      <c r="BW22" s="209">
        <f>IF(AND($C22&gt;0,R22="")," * No olvide digitar la variable "&amp;R$9&amp;". Digite Cero si no tiene.",IF(R22&gt;$C22," * La variable "&amp;R$9&amp;" no puede ser mayor al Total.",""))</f>
        <v/>
      </c>
      <c r="BX22" s="209">
        <f>IF(AND($C22&gt;0,S22="")," * No olvide digitar la variable "&amp;S$9&amp;". Digite Cero si no tiene.",IF(S22&gt;$C22," * La variable "&amp;S$9&amp;" no puede ser mayor al Total.",""))</f>
        <v/>
      </c>
      <c r="BZ22" s="52">
        <f>IF((J22+K22+L22)&lt;&gt;C22,1,0)</f>
        <v/>
      </c>
      <c r="CA22" s="51" t="n"/>
      <c r="CB22" s="52">
        <f>IF(AND(C22&gt;0,N22=""),1,IF(N22&gt;C22,1,0))</f>
        <v/>
      </c>
      <c r="CC22" s="52">
        <f>IF(AND(C22&gt;0,O22=""),1,IF(O22&gt;C22,1,0))</f>
        <v/>
      </c>
      <c r="CD22" s="52">
        <f>IF(AND($C22&gt;0,P22=""),1,IF(P22&gt;$C22,1,0))</f>
        <v/>
      </c>
      <c r="CE22" s="51" t="n"/>
      <c r="CF22" s="52">
        <f>IF(AND($C22&gt;0,R22=""),1,IF(R22&gt;$C22,1,0))</f>
        <v/>
      </c>
      <c r="CG22" s="52">
        <f>IF(AND($C22&gt;0,S22=""),1,IF(S22&gt;$C22,1,0))</f>
        <v/>
      </c>
    </row>
    <row r="23" ht="15" customFormat="1" customHeight="1" s="17">
      <c r="A23" s="3877" t="inlineStr">
        <is>
          <t>Familia con gestante adolescente 10 a 14 años</t>
        </is>
      </c>
      <c r="B23" s="9644" t="n"/>
      <c r="C23" s="3936">
        <f>SUM(D23:G23)</f>
        <v/>
      </c>
      <c r="D23" s="3956" t="n"/>
      <c r="E23" s="3956" t="n"/>
      <c r="F23" s="3956" t="n"/>
      <c r="G23" s="3956" t="n"/>
      <c r="H23" s="3957" t="n"/>
      <c r="I23" s="3957" t="n"/>
      <c r="J23" s="3956" t="n"/>
      <c r="K23" s="3956" t="n"/>
      <c r="L23" s="3956" t="n"/>
      <c r="M23" s="3960" t="n"/>
      <c r="N23" s="5416" t="n"/>
      <c r="O23" s="4008" t="n"/>
      <c r="P23" s="4008" t="n"/>
      <c r="Q23" s="5466" t="n"/>
      <c r="R23" s="3660" t="n"/>
      <c r="S23" s="4008" t="n"/>
      <c r="T23" s="17">
        <f>BQ23&amp;BR23&amp;BS23&amp;BT23&amp;BU23&amp;BV23&amp;BW23&amp;BX23</f>
        <v/>
      </c>
      <c r="BQ23" s="209">
        <f>IF((J23+K23+L23)&lt;&gt;C23," * La suma de Primera visita + Segunda visita + Tercera o más visitas de seguimiento debe ser igual al Total.","")</f>
        <v/>
      </c>
      <c r="BR23" s="209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>
        <f>IF(AND(C23&gt;0,N23="")," * No olvide digitar la variable Pueblos Originarios. Digite Cero si no tiene..",IF(N23&gt;C23," * La variable Pueblos Originarios no puede ser mayor al Total.",""))</f>
        <v/>
      </c>
      <c r="BT23" s="209">
        <f>IF(AND(C23&gt;0,O23="")," * No olvide digitar la variable Migrantes. Digite Cero si no tiene.",IF(O23&gt;C23," * La variable Migrantes no puede ser mayor al Total.",""))</f>
        <v/>
      </c>
      <c r="BU23" s="209">
        <f>IF(AND($C23&gt;0,P23="")," * No olvide digitar la variable Espacio Amigable/Adolescente. Digite Cero si no tiene.",IF(P23&gt;$C23," * La variable Espacio Amigable/Adolescente no puede ser mayor al Total.",""))</f>
        <v/>
      </c>
      <c r="BV23" s="209">
        <f>IF(AND($C23&gt;0,Q23="")," * No olvide digitar la variable Gestante con 3 o más riesgos. Digite Cero si no tiene.",IF(Q23&gt;$C23," * La variable Gestante con 3 o más riesgos no puede ser mayor al Total.",""))</f>
        <v/>
      </c>
      <c r="BW23" s="209">
        <f>IF(AND($C23&gt;0,R23="")," * No olvide digitar la variable "&amp;R$9&amp;". Digite Cero si no tiene.",IF(R23&gt;$C23," * La variable "&amp;R$9&amp;" no puede ser mayor al Total.",""))</f>
        <v/>
      </c>
      <c r="BX23" s="209">
        <f>IF(AND($C23&gt;0,S23="")," * No olvide digitar la variable "&amp;S$9&amp;". Digite Cero si no tiene.",IF(S23&gt;$C23," * La variable "&amp;S$9&amp;" no puede ser mayor al Total.",""))</f>
        <v/>
      </c>
      <c r="BZ23" s="52">
        <f>IF((J23+K23+L23)&lt;&gt;C23,1,0)</f>
        <v/>
      </c>
      <c r="CA23" s="52">
        <f>IF(AND(C23&gt;0,M23=""),1,IF(M23&gt;C23,1,0))</f>
        <v/>
      </c>
      <c r="CB23" s="52">
        <f>IF(AND(C23&gt;0,N23=""),1,IF(N23&gt;C23,1,0))</f>
        <v/>
      </c>
      <c r="CC23" s="52">
        <f>IF(AND(C23&gt;0,O23=""),1,IF(O23&gt;C23,1,0))</f>
        <v/>
      </c>
      <c r="CD23" s="52">
        <f>IF(AND($C23&gt;0,P23=""),1,IF(P23&gt;$C23,1,0))</f>
        <v/>
      </c>
      <c r="CE23" s="52">
        <f>IF(AND($C23&gt;0,Q23=""),1,IF(Q23&gt;$C23,1,0))</f>
        <v/>
      </c>
      <c r="CF23" s="52">
        <f>IF(AND($C23&gt;0,R23=""),1,IF(R23&gt;$C23,1,0))</f>
        <v/>
      </c>
      <c r="CG23" s="52">
        <f>IF(AND($C23&gt;0,S23=""),1,IF(S23&gt;$C23,1,0))</f>
        <v/>
      </c>
    </row>
    <row r="24" ht="15" customFormat="1" customHeight="1" s="17">
      <c r="A24" s="3877" t="inlineStr">
        <is>
          <t>Familia con gestante &gt;20 años en riesgo psicosocial</t>
        </is>
      </c>
      <c r="B24" s="9644" t="n"/>
      <c r="C24" s="3936">
        <f>SUM(D24:G24)</f>
        <v/>
      </c>
      <c r="D24" s="3956" t="n">
        <v>1</v>
      </c>
      <c r="E24" s="3956" t="n">
        <v>0</v>
      </c>
      <c r="F24" s="3956" t="n">
        <v>0</v>
      </c>
      <c r="G24" s="3956" t="n">
        <v>0</v>
      </c>
      <c r="H24" s="3957" t="n">
        <v>0</v>
      </c>
      <c r="I24" s="3957" t="n">
        <v>0</v>
      </c>
      <c r="J24" s="3956" t="n">
        <v>1</v>
      </c>
      <c r="K24" s="3956" t="n">
        <v>0</v>
      </c>
      <c r="L24" s="3956" t="n">
        <v>0</v>
      </c>
      <c r="M24" s="3960" t="n">
        <v>0</v>
      </c>
      <c r="N24" s="5416" t="n">
        <v>0</v>
      </c>
      <c r="O24" s="4008" t="n">
        <v>0</v>
      </c>
      <c r="P24" s="4008" t="n">
        <v>0</v>
      </c>
      <c r="Q24" s="5466" t="n">
        <v>0</v>
      </c>
      <c r="R24" s="3660" t="n">
        <v>0</v>
      </c>
      <c r="S24" s="4008" t="n">
        <v>0</v>
      </c>
      <c r="T24" s="17">
        <f>BQ24&amp;BR24&amp;BS24&amp;BT24&amp;BU24&amp;BV24&amp;BW24&amp;BX24</f>
        <v/>
      </c>
      <c r="BQ24" s="209">
        <f>IF((J24+K24+L24)&lt;&gt;C24," * La suma de Primera visita + Segunda visita + Tercera o más visitas de seguimiento debe ser igual al Total.","")</f>
        <v/>
      </c>
      <c r="BR24" s="209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>
        <f>IF(AND(C24&gt;0,N24="")," * No olvide digitar la variable Pueblos Originarios. Digite Cero si no tiene..",IF(N24&gt;C24," * La variable Pueblos Originarios no puede ser mayor al Total.",""))</f>
        <v/>
      </c>
      <c r="BT24" s="209">
        <f>IF(AND(C24&gt;0,O24="")," * No olvide digitar la variable Migrantes. Digite Cero si no tiene.",IF(O24&gt;C24," * La variable Migrantes no puede ser mayor al Total.",""))</f>
        <v/>
      </c>
      <c r="BU24" s="209">
        <f>IF(AND($C24&gt;0,P24="")," * No olvide digitar la variable Espacio Amigable/Adolescente. Digite Cero si no tiene.",IF(P24&gt;$C24," * La variable Espacio Amigable/Adolescente no puede ser mayor al Total.",""))</f>
        <v/>
      </c>
      <c r="BV24" s="209">
        <f>IF(AND($C24&gt;0,Q24="")," * No olvide digitar la variable Gestante con 3 o más riesgos. Digite Cero si no tiene.",IF(Q24&gt;$C24," * La variable Gestante con 3 o más riesgos no puede ser mayor al Total.",""))</f>
        <v/>
      </c>
      <c r="BW24" s="209">
        <f>IF(AND($C24&gt;0,R24="")," * No olvide digitar la variable "&amp;R$9&amp;". Digite Cero si no tiene.",IF(R24&gt;$C24," * La variable "&amp;R$9&amp;" no puede ser mayor al Total.",""))</f>
        <v/>
      </c>
      <c r="BX24" s="209">
        <f>IF(AND($C24&gt;0,S24="")," * No olvide digitar la variable "&amp;S$9&amp;". Digite Cero si no tiene.",IF(S24&gt;$C24," * La variable "&amp;S$9&amp;" no puede ser mayor al Total.",""))</f>
        <v/>
      </c>
      <c r="BZ24" s="52">
        <f>IF((J24+K24+L24)&lt;&gt;C24,1,0)</f>
        <v/>
      </c>
      <c r="CA24" s="52">
        <f>IF(AND(C24&gt;0,M24=""),1,IF(M24&gt;C24,1,0))</f>
        <v/>
      </c>
      <c r="CB24" s="52">
        <f>IF(AND(C24&gt;0,N24=""),1,IF(N24&gt;C24,1,0))</f>
        <v/>
      </c>
      <c r="CC24" s="52">
        <f>IF(AND(C24&gt;0,O24=""),1,IF(O24&gt;C24,1,0))</f>
        <v/>
      </c>
      <c r="CD24" s="52">
        <f>IF(AND($C24&gt;0,P24=""),1,IF(P24&gt;$C24,1,0))</f>
        <v/>
      </c>
      <c r="CE24" s="52">
        <f>IF(AND($C24&gt;0,Q24=""),1,IF(Q24&gt;$C24,1,0))</f>
        <v/>
      </c>
      <c r="CF24" s="52">
        <f>IF(AND($C24&gt;0,R24=""),1,IF(R24&gt;$C24,1,0))</f>
        <v/>
      </c>
      <c r="CG24" s="52">
        <f>IF(AND($C24&gt;0,S24=""),1,IF(S24&gt;$C24,1,0))</f>
        <v/>
      </c>
    </row>
    <row r="25" ht="15" customFormat="1" customHeight="1" s="17">
      <c r="A25" s="3877" t="inlineStr">
        <is>
          <t>Familia con gestante adolescente en riesgo psicosocial 15 a 19 años</t>
        </is>
      </c>
      <c r="B25" s="9644" t="n"/>
      <c r="C25" s="3936">
        <f>SUM(D25:G25)</f>
        <v/>
      </c>
      <c r="D25" s="3956" t="n"/>
      <c r="E25" s="3956" t="n"/>
      <c r="F25" s="3956" t="n"/>
      <c r="G25" s="3956" t="n"/>
      <c r="H25" s="3957" t="n"/>
      <c r="I25" s="3957" t="n"/>
      <c r="J25" s="3956" t="n"/>
      <c r="K25" s="3956" t="n"/>
      <c r="L25" s="3956" t="n"/>
      <c r="M25" s="3960" t="n"/>
      <c r="N25" s="5416" t="n"/>
      <c r="O25" s="4008" t="n"/>
      <c r="P25" s="4008" t="n"/>
      <c r="Q25" s="5466" t="n"/>
      <c r="R25" s="3660" t="n"/>
      <c r="S25" s="4008" t="n"/>
      <c r="T25" s="17">
        <f>BQ25&amp;BR25&amp;BS25&amp;BT25&amp;BU25&amp;BV25&amp;BW25&amp;BX25</f>
        <v/>
      </c>
      <c r="BQ25" s="209">
        <f>IF((J25+K25+L25)&lt;&gt;C25," * La suma de Primera visita + Segunda visita + Tercera o más visitas de seguimiento debe ser igual al Total.","")</f>
        <v/>
      </c>
      <c r="BR25" s="209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>
        <f>IF(AND(C25&gt;0,N25="")," * No olvide digitar la variable Pueblos Originarios. Digite Cero si no tiene..",IF(N25&gt;C25," * La variable Pueblos Originarios no puede ser mayor al Total.",""))</f>
        <v/>
      </c>
      <c r="BT25" s="209">
        <f>IF(AND(C25&gt;0,O25="")," * No olvide digitar la variable Migrantes. Digite Cero si no tiene.",IF(O25&gt;C25," * La variable Migrantes no puede ser mayor al Total.",""))</f>
        <v/>
      </c>
      <c r="BU25" s="209">
        <f>IF(AND($C25&gt;0,P25="")," * No olvide digitar la variable Espacio Amigable/Adolescente. Digite Cero si no tiene.",IF(P25&gt;$C25," * La variable Espacio Amigable/Adolescente no puede ser mayor al Total.",""))</f>
        <v/>
      </c>
      <c r="BV25" s="209">
        <f>IF(AND($C25&gt;0,Q25="")," * No olvide digitar la variable Gestante con 3 o más riesgos. Digite Cero si no tiene.",IF(Q25&gt;$C25," * La variable Gestante con 3 o más riesgos no puede ser mayor al Total.",""))</f>
        <v/>
      </c>
      <c r="BW25" s="209">
        <f>IF(AND($C25&gt;0,R25="")," * No olvide digitar la variable "&amp;R$9&amp;". Digite Cero si no tiene.",IF(R25&gt;$C25," * La variable "&amp;R$9&amp;" no puede ser mayor al Total.",""))</f>
        <v/>
      </c>
      <c r="BX25" s="209">
        <f>IF(AND($C25&gt;0,S25="")," * No olvide digitar la variable "&amp;S$9&amp;". Digite Cero si no tiene.",IF(S25&gt;$C25," * La variable "&amp;S$9&amp;" no puede ser mayor al Total.",""))</f>
        <v/>
      </c>
      <c r="BZ25" s="52">
        <f>IF((J25+K25+L25)&lt;&gt;C25,1,0)</f>
        <v/>
      </c>
      <c r="CA25" s="52">
        <f>IF(AND(C25&gt;0,M25=""),1,IF(M25&gt;C25,1,0))</f>
        <v/>
      </c>
      <c r="CB25" s="52">
        <f>IF(AND(C25&gt;0,N25=""),1,IF(N25&gt;C25,1,0))</f>
        <v/>
      </c>
      <c r="CC25" s="52">
        <f>IF(AND(C25&gt;0,O25=""),1,IF(O25&gt;C25,1,0))</f>
        <v/>
      </c>
      <c r="CD25" s="52">
        <f>IF(AND($C25&gt;0,P25=""),1,IF(P25&gt;$C25,1,0))</f>
        <v/>
      </c>
      <c r="CE25" s="52">
        <f>IF(AND($C25&gt;0,Q25=""),1,IF(Q25&gt;$C25,1,0))</f>
        <v/>
      </c>
      <c r="CF25" s="52">
        <f>IF(AND($C25&gt;0,R25=""),1,IF(R25&gt;$C25,1,0))</f>
        <v/>
      </c>
      <c r="CG25" s="52">
        <f>IF(AND($C25&gt;0,S25=""),1,IF(S25&gt;$C25,1,0))</f>
        <v/>
      </c>
    </row>
    <row r="26" ht="15" customFormat="1" customHeight="1" s="17">
      <c r="A26" s="3877" t="inlineStr">
        <is>
          <t>Familia con adolescente con problema respiratorio crónico o no controlado</t>
        </is>
      </c>
      <c r="B26" s="9644" t="n"/>
      <c r="C26" s="3936">
        <f>SUM(D26:G26)</f>
        <v/>
      </c>
      <c r="D26" s="3956" t="n"/>
      <c r="E26" s="3956" t="n"/>
      <c r="F26" s="3956" t="n"/>
      <c r="G26" s="3956" t="n"/>
      <c r="H26" s="3957" t="n"/>
      <c r="I26" s="3957" t="n"/>
      <c r="J26" s="3956" t="n"/>
      <c r="K26" s="3956" t="n"/>
      <c r="L26" s="3956" t="n"/>
      <c r="M26" s="3959" t="n"/>
      <c r="N26" s="5416" t="n"/>
      <c r="O26" s="4008" t="n"/>
      <c r="P26" s="4008" t="n"/>
      <c r="Q26" s="5467" t="n"/>
      <c r="R26" s="3660" t="n"/>
      <c r="S26" s="4008" t="n"/>
      <c r="T26" s="17">
        <f>BQ26&amp;BS26&amp;BT26&amp;BU26&amp;BW26&amp;BX26</f>
        <v/>
      </c>
      <c r="BQ26" s="209">
        <f>IF((J26+K26+L26)&lt;&gt;C26," * La suma de Primera visita + Segunda visita + Tercera o más visitas de seguimiento debe ser igual al Total.","")</f>
        <v/>
      </c>
      <c r="BR26" s="90" t="n"/>
      <c r="BS26" s="209">
        <f>IF(AND(C26&gt;0,N26="")," * No olvide digitar la variable Pueblos Originarios. Digite Cero si no tiene..",IF(N26&gt;C26," * La variable Pueblos Originarios no puede ser mayor al Total.",""))</f>
        <v/>
      </c>
      <c r="BT26" s="209">
        <f>IF(AND(C26&gt;0,O26="")," * No olvide digitar la variable Migrantes. Digite Cero si no tiene.",IF(O26&gt;C26," * La variable Migrantes no puede ser mayor al Total.",""))</f>
        <v/>
      </c>
      <c r="BU26" s="209">
        <f>IF(AND($C26&gt;0,P26="")," * No olvide digitar la variable Espacio Amigable/Adolescente. Digite Cero si no tiene.",IF(P26&gt;$C26," * La variable Espacio Amigable/Adolescente no puede ser mayor al Total.",""))</f>
        <v/>
      </c>
      <c r="BV26" s="90" t="n"/>
      <c r="BW26" s="209">
        <f>IF(AND($C26&gt;0,R26="")," * No olvide digitar la variable "&amp;R$9&amp;". Digite Cero si no tiene.",IF(R26&gt;$C26," * La variable "&amp;R$9&amp;" no puede ser mayor al Total.",""))</f>
        <v/>
      </c>
      <c r="BX26" s="209">
        <f>IF(AND($C26&gt;0,S26="")," * No olvide digitar la variable "&amp;S$9&amp;". Digite Cero si no tiene.",IF(S26&gt;$C26," * La variable "&amp;S$9&amp;" no puede ser mayor al Total.",""))</f>
        <v/>
      </c>
      <c r="BZ26" s="52">
        <f>IF((J26+K26+L26)&lt;&gt;C26,1,0)</f>
        <v/>
      </c>
      <c r="CA26" s="51" t="n"/>
      <c r="CB26" s="52">
        <f>IF(AND(C26&gt;0,N26=""),1,IF(N26&gt;C26,1,0))</f>
        <v/>
      </c>
      <c r="CC26" s="52">
        <f>IF(AND(C26&gt;0,O26=""),1,IF(O26&gt;C26,1,0))</f>
        <v/>
      </c>
      <c r="CD26" s="52">
        <f>IF(AND($C26&gt;0,P26=""),1,IF(P26&gt;$C26,1,0))</f>
        <v/>
      </c>
      <c r="CE26" s="51" t="n"/>
      <c r="CF26" s="52">
        <f>IF(AND($C26&gt;0,R26=""),1,IF(R26&gt;$C26,1,0))</f>
        <v/>
      </c>
      <c r="CG26" s="52">
        <f>IF(AND($C26&gt;0,S26=""),1,IF(S26&gt;$C26,1,0))</f>
        <v/>
      </c>
    </row>
    <row r="27" ht="15" customFormat="1" customHeight="1" s="17">
      <c r="A27" s="3877" t="inlineStr">
        <is>
          <t>Familia con adulto con problema respiratorio crónico o no controlado</t>
        </is>
      </c>
      <c r="B27" s="9644" t="n"/>
      <c r="C27" s="3936">
        <f>SUM(D27:G27)</f>
        <v/>
      </c>
      <c r="D27" s="3956" t="n">
        <v>1</v>
      </c>
      <c r="E27" s="3956" t="n">
        <v>0</v>
      </c>
      <c r="F27" s="3956" t="n">
        <v>0</v>
      </c>
      <c r="G27" s="3956" t="n">
        <v>0</v>
      </c>
      <c r="H27" s="3957" t="n">
        <v>0</v>
      </c>
      <c r="I27" s="3957" t="n">
        <v>0</v>
      </c>
      <c r="J27" s="3956" t="n">
        <v>1</v>
      </c>
      <c r="K27" s="3956" t="n">
        <v>0</v>
      </c>
      <c r="L27" s="3956" t="n">
        <v>0</v>
      </c>
      <c r="M27" s="3959" t="n"/>
      <c r="N27" s="5416" t="n">
        <v>0</v>
      </c>
      <c r="O27" s="4008" t="n">
        <v>0</v>
      </c>
      <c r="P27" s="4008" t="n">
        <v>0</v>
      </c>
      <c r="Q27" s="5467" t="n"/>
      <c r="R27" s="3660" t="n">
        <v>0</v>
      </c>
      <c r="S27" s="4008" t="n">
        <v>0</v>
      </c>
      <c r="T27" s="17">
        <f>BQ27&amp;BS27&amp;BT27&amp;BU27&amp;BW27&amp;BX27</f>
        <v/>
      </c>
      <c r="BQ27" s="209">
        <f>IF((J27+K27+L27)&lt;&gt;C27," * La suma de Primera visita + Segunda visita + Tercera o más visitas de seguimiento debe ser igual al Total.","")</f>
        <v/>
      </c>
      <c r="BR27" s="90" t="n"/>
      <c r="BS27" s="209">
        <f>IF(AND(C27&gt;0,N27="")," * No olvide digitar la variable Pueblos Originarios. Digite Cero si no tiene..",IF(N27&gt;C27," * La variable Pueblos Originarios no puede ser mayor al Total.",""))</f>
        <v/>
      </c>
      <c r="BT27" s="209">
        <f>IF(AND(C27&gt;0,O27="")," * No olvide digitar la variable Migrantes. Digite Cero si no tiene.",IF(O27&gt;C27," * La variable Migrantes no puede ser mayor al Total.",""))</f>
        <v/>
      </c>
      <c r="BU27" s="209">
        <f>IF(AND($C27&gt;0,P27="")," * No olvide digitar la variable Espacio Amigable/Adolescente. Digite Cero si no tiene.",IF(P27&gt;$C27," * La variable Espacio Amigable/Adolescente no puede ser mayor al Total.",""))</f>
        <v/>
      </c>
      <c r="BV27" s="90" t="n"/>
      <c r="BW27" s="209">
        <f>IF(AND($C27&gt;0,R27="")," * No olvide digitar la variable "&amp;R$9&amp;". Digite Cero si no tiene.",IF(R27&gt;$C27," * La variable "&amp;R$9&amp;" no puede ser mayor al Total.",""))</f>
        <v/>
      </c>
      <c r="BX27" s="209">
        <f>IF(AND($C27&gt;0,S27="")," * No olvide digitar la variable "&amp;S$9&amp;". Digite Cero si no tiene.",IF(S27&gt;$C27," * La variable "&amp;S$9&amp;" no puede ser mayor al Total.",""))</f>
        <v/>
      </c>
      <c r="BZ27" s="52">
        <f>IF((J27+K27+L27)&lt;&gt;C27,1,0)</f>
        <v/>
      </c>
      <c r="CA27" s="51" t="n"/>
      <c r="CB27" s="52">
        <f>IF(AND(C27&gt;0,N27=""),1,IF(N27&gt;C27,1,0))</f>
        <v/>
      </c>
      <c r="CC27" s="52">
        <f>IF(AND(C27&gt;0,O27=""),1,IF(O27&gt;C27,1,0))</f>
        <v/>
      </c>
      <c r="CD27" s="52">
        <f>IF(AND($C27&gt;0,P27=""),1,IF(P27&gt;$C27,1,0))</f>
        <v/>
      </c>
      <c r="CE27" s="51" t="n"/>
      <c r="CF27" s="52">
        <f>IF(AND($C27&gt;0,R27=""),1,IF(R27&gt;$C27,1,0))</f>
        <v/>
      </c>
      <c r="CG27" s="52">
        <f>IF(AND($C27&gt;0,S27=""),1,IF(S27&gt;$C27,1,0))</f>
        <v/>
      </c>
    </row>
    <row r="28" ht="15" customFormat="1" customHeight="1" s="17">
      <c r="A28" s="3877" t="inlineStr">
        <is>
          <t>Familia con gestante en riesgo biomédico</t>
        </is>
      </c>
      <c r="B28" s="9644" t="n"/>
      <c r="C28" s="3936">
        <f>SUM(D28:G28)</f>
        <v/>
      </c>
      <c r="D28" s="3956" t="n"/>
      <c r="E28" s="3956" t="n"/>
      <c r="F28" s="3956" t="n"/>
      <c r="G28" s="3956" t="n"/>
      <c r="H28" s="3957" t="n"/>
      <c r="I28" s="3957" t="n"/>
      <c r="J28" s="3956" t="n"/>
      <c r="K28" s="3956" t="n"/>
      <c r="L28" s="3956" t="n"/>
      <c r="M28" s="3959" t="n"/>
      <c r="N28" s="5416" t="n"/>
      <c r="O28" s="4008" t="n"/>
      <c r="P28" s="4008" t="n"/>
      <c r="Q28" s="5467" t="n"/>
      <c r="R28" s="3660" t="n"/>
      <c r="S28" s="4008" t="n"/>
      <c r="T28" s="17">
        <f>BQ28&amp;BS28&amp;BT28&amp;BU28&amp;BW28&amp;BX28</f>
        <v/>
      </c>
      <c r="BQ28" s="209">
        <f>IF((J28+K28+L28)&lt;&gt;C28," * La suma de Primera visita + Segunda visita + Tercera o más visitas de seguimiento debe ser igual al Total.","")</f>
        <v/>
      </c>
      <c r="BR28" s="90" t="n"/>
      <c r="BS28" s="209">
        <f>IF(AND(C28&gt;0,N28="")," * No olvide digitar la variable Pueblos Originarios. Digite Cero si no tiene..",IF(N28&gt;C28," * La variable Pueblos Originarios no puede ser mayor al Total.",""))</f>
        <v/>
      </c>
      <c r="BT28" s="209">
        <f>IF(AND(C28&gt;0,O28="")," * No olvide digitar la variable Migrantes. Digite Cero si no tiene.",IF(O28&gt;C28," * La variable Migrantes no puede ser mayor al Total.",""))</f>
        <v/>
      </c>
      <c r="BU28" s="209">
        <f>IF(AND($C28&gt;0,P28="")," * No olvide digitar la variable Espacio Amigable/Adolescente. Digite Cero si no tiene.",IF(P28&gt;$C28," * La variable Espacio Amigable/Adolescente no puede ser mayor al Total.",""))</f>
        <v/>
      </c>
      <c r="BV28" s="90" t="n"/>
      <c r="BW28" s="209">
        <f>IF(AND($C28&gt;0,R28="")," * No olvide digitar la variable "&amp;R$9&amp;". Digite Cero si no tiene.",IF(R28&gt;$C28," * La variable "&amp;R$9&amp;" no puede ser mayor al Total.",""))</f>
        <v/>
      </c>
      <c r="BX28" s="209">
        <f>IF(AND($C28&gt;0,S28="")," * No olvide digitar la variable "&amp;S$9&amp;". Digite Cero si no tiene.",IF(S28&gt;$C28," * La variable "&amp;S$9&amp;" no puede ser mayor al Total.",""))</f>
        <v/>
      </c>
      <c r="BZ28" s="52">
        <f>IF((J28+K28+L28)&lt;&gt;C28,1,0)</f>
        <v/>
      </c>
      <c r="CA28" s="51" t="n"/>
      <c r="CB28" s="52">
        <f>IF(AND(C28&gt;0,N28=""),1,IF(N28&gt;C28,1,0))</f>
        <v/>
      </c>
      <c r="CC28" s="52">
        <f>IF(AND(C28&gt;0,O28=""),1,IF(O28&gt;C28,1,0))</f>
        <v/>
      </c>
      <c r="CD28" s="52">
        <f>IF(AND($C28&gt;0,P28=""),1,IF(P28&gt;$C28,1,0))</f>
        <v/>
      </c>
      <c r="CE28" s="51" t="n"/>
      <c r="CF28" s="52">
        <f>IF(AND($C28&gt;0,R28=""),1,IF(R28&gt;$C28,1,0))</f>
        <v/>
      </c>
      <c r="CG28" s="52">
        <f>IF(AND($C28&gt;0,S28=""),1,IF(S28&gt;$C28,1,0))</f>
        <v/>
      </c>
    </row>
    <row r="29" ht="15" customFormat="1" customHeight="1" s="17">
      <c r="A29" s="3877" t="inlineStr">
        <is>
          <t>Familia con otro riesgo psicosocial</t>
        </is>
      </c>
      <c r="B29" s="9644" t="n"/>
      <c r="C29" s="3936">
        <f>SUM(D29:G29)</f>
        <v/>
      </c>
      <c r="D29" s="3956" t="n">
        <v>4</v>
      </c>
      <c r="E29" s="3956" t="n">
        <v>1</v>
      </c>
      <c r="F29" s="3956" t="n">
        <v>0</v>
      </c>
      <c r="G29" s="3956" t="n">
        <v>0</v>
      </c>
      <c r="H29" s="3957" t="n">
        <v>0</v>
      </c>
      <c r="I29" s="3957" t="n">
        <v>0</v>
      </c>
      <c r="J29" s="3956" t="n">
        <v>3</v>
      </c>
      <c r="K29" s="3956" t="n">
        <v>1</v>
      </c>
      <c r="L29" s="3956" t="n">
        <v>1</v>
      </c>
      <c r="M29" s="3960" t="n">
        <v>0</v>
      </c>
      <c r="N29" s="5416" t="n">
        <v>0</v>
      </c>
      <c r="O29" s="4008" t="n">
        <v>0</v>
      </c>
      <c r="P29" s="4008" t="n">
        <v>0</v>
      </c>
      <c r="Q29" s="5467" t="n"/>
      <c r="R29" s="3660" t="n">
        <v>0</v>
      </c>
      <c r="S29" s="4008" t="n">
        <v>0</v>
      </c>
      <c r="T29" s="17">
        <f>BQ29&amp;BR29&amp;BS29&amp;BT29&amp;BU29&amp;BW29&amp;BX29</f>
        <v/>
      </c>
      <c r="BQ29" s="209">
        <f>IF((J29+K29+L29)&lt;&gt;C29," * La suma de Primera visita + Segunda visita + Tercera o más visitas de seguimiento debe ser igual al Total.","")</f>
        <v/>
      </c>
      <c r="BR29" s="209">
        <f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>
        <f>IF(AND(C29&gt;0,N29="")," * No olvide digitar la variable Pueblos Originarios. Digite Cero si no tiene..",IF(N29&gt;C29," * La variable Pueblos Originarios no puede ser mayor al Total.",""))</f>
        <v/>
      </c>
      <c r="BT29" s="209">
        <f>IF(AND(C29&gt;0,O29="")," * No olvide digitar la variable Migrantes. Digite Cero si no tiene.",IF(O29&gt;C29," * La variable Migrantes no puede ser mayor al Total.",""))</f>
        <v/>
      </c>
      <c r="BU29" s="209">
        <f>IF(AND($C29&gt;0,P29="")," * No olvide digitar la variable Espacio Amigable/Adolescente. Digite Cero si no tiene.",IF(P29&gt;$C29," * La variable Espacio Amigable/Adolescente no puede ser mayor al Total.",""))</f>
        <v/>
      </c>
      <c r="BV29" s="90" t="n"/>
      <c r="BW29" s="209">
        <f>IF(AND($C29&gt;0,R29="")," * No olvide digitar la variable "&amp;R$9&amp;". Digite Cero si no tiene.",IF(R29&gt;$C29," * La variable "&amp;R$9&amp;" no puede ser mayor al Total.",""))</f>
        <v/>
      </c>
      <c r="BX29" s="209">
        <f>IF(AND($C29&gt;0,S29="")," * No olvide digitar la variable "&amp;S$9&amp;". Digite Cero si no tiene.",IF(S29&gt;$C29," * La variable "&amp;S$9&amp;" no puede ser mayor al Total.",""))</f>
        <v/>
      </c>
      <c r="BZ29" s="52">
        <f>IF((J29+K29+L29)&lt;&gt;C29,1,0)</f>
        <v/>
      </c>
      <c r="CA29" s="52">
        <f>IF(AND(C29&gt;0,M29=""),1,IF(M29&gt;C29,1,0))</f>
        <v/>
      </c>
      <c r="CB29" s="52">
        <f>IF(AND(C29&gt;0,N29=""),1,IF(N29&gt;C29,1,0))</f>
        <v/>
      </c>
      <c r="CC29" s="52">
        <f>IF(AND(C29&gt;0,O29=""),1,IF(O29&gt;C29,1,0))</f>
        <v/>
      </c>
      <c r="CD29" s="52">
        <f>IF(AND($C29&gt;0,P29=""),1,IF(P29&gt;$C29,1,0))</f>
        <v/>
      </c>
      <c r="CE29" s="51" t="n"/>
      <c r="CF29" s="52">
        <f>IF(AND($C29&gt;0,R29=""),1,IF(R29&gt;$C29,1,0))</f>
        <v/>
      </c>
      <c r="CG29" s="52">
        <f>IF(AND($C29&gt;0,S29=""),1,IF(S29&gt;$C29,1,0))</f>
        <v/>
      </c>
    </row>
    <row r="30" ht="15" customFormat="1" customHeight="1" s="17">
      <c r="A30" s="3877" t="inlineStr">
        <is>
          <t>Familia con integrante con problema de salud mental</t>
        </is>
      </c>
      <c r="B30" s="9644" t="n"/>
      <c r="C30" s="3936">
        <f>SUM(D30:G30)</f>
        <v/>
      </c>
      <c r="D30" s="3956" t="n">
        <v>11</v>
      </c>
      <c r="E30" s="3956" t="n">
        <v>4</v>
      </c>
      <c r="F30" s="3956" t="n">
        <v>0</v>
      </c>
      <c r="G30" s="3956" t="n">
        <v>0</v>
      </c>
      <c r="H30" s="3957" t="n">
        <v>0</v>
      </c>
      <c r="I30" s="3957" t="n">
        <v>0</v>
      </c>
      <c r="J30" s="3956" t="n">
        <v>8</v>
      </c>
      <c r="K30" s="3956" t="n">
        <v>1</v>
      </c>
      <c r="L30" s="3956" t="n">
        <v>6</v>
      </c>
      <c r="M30" s="3960" t="n">
        <v>0</v>
      </c>
      <c r="N30" s="5416" t="n">
        <v>0</v>
      </c>
      <c r="O30" s="4008" t="n">
        <v>0</v>
      </c>
      <c r="P30" s="4008" t="n">
        <v>0</v>
      </c>
      <c r="Q30" s="5467" t="n"/>
      <c r="R30" s="3660" t="n">
        <v>0</v>
      </c>
      <c r="S30" s="4008" t="n">
        <v>0</v>
      </c>
      <c r="T30" s="17">
        <f>BQ30&amp;BR30&amp;BS30&amp;BT30&amp;BU30&amp;BW30&amp;BX30</f>
        <v/>
      </c>
      <c r="BQ30" s="209">
        <f>IF((J30+K30+L30)&lt;&gt;C30," * La suma de Primera visita + Segunda visita + Tercera o más visitas de seguimiento debe ser igual al Total.","")</f>
        <v/>
      </c>
      <c r="BR30" s="209">
        <f>IF(AND(C30&gt;0,M30="")," * No olvide digitar la variable Programa de Acompañamiento Psicosocial en APS. Si no tiene digite Cero.",IF(M30&gt;C30," * La variable Programa de Acompañamiento Psicosocial en APS no puede ser mayor al Total.",""))</f>
        <v/>
      </c>
      <c r="BS30" s="209">
        <f>IF(AND(C30&gt;0,N30="")," * No olvide digitar la variable Pueblos Originarios. Digite Cero si no tiene..",IF(N30&gt;C30," * La variable Pueblos Originarios no puede ser mayor al Total.",""))</f>
        <v/>
      </c>
      <c r="BT30" s="209">
        <f>IF(AND(C30&gt;0,O30="")," * No olvide digitar la variable Migrantes. Digite Cero si no tiene.",IF(O30&gt;C30," * La variable Migrantes no puede ser mayor al Total.",""))</f>
        <v/>
      </c>
      <c r="BU30" s="209">
        <f>IF(AND($C30&gt;0,P30="")," * No olvide digitar la variable Espacio Amigable/Adolescente. Digite Cero si no tiene.",IF(P30&gt;$C30," * La variable Espacio Amigable/Adolescente no puede ser mayor al Total.",""))</f>
        <v/>
      </c>
      <c r="BV30" s="90" t="n"/>
      <c r="BW30" s="209">
        <f>IF(AND($C30&gt;0,R30="")," * No olvide digitar la variable "&amp;R$9&amp;". Digite Cero si no tiene.",IF(R30&gt;$C30," * La variable "&amp;R$9&amp;" no puede ser mayor al Total.",""))</f>
        <v/>
      </c>
      <c r="BX30" s="209">
        <f>IF(AND($C30&gt;0,S30="")," * No olvide digitar la variable "&amp;S$9&amp;". Digite Cero si no tiene.",IF(S30&gt;$C30," * La variable "&amp;S$9&amp;" no puede ser mayor al Total.",""))</f>
        <v/>
      </c>
      <c r="BZ30" s="52">
        <f>IF((J30+K30+L30)&lt;&gt;C30,1,0)</f>
        <v/>
      </c>
      <c r="CA30" s="52">
        <f>IF(AND(C30&gt;0,M30=""),1,IF(M30&gt;C30,1,0))</f>
        <v/>
      </c>
      <c r="CB30" s="52">
        <f>IF(AND(C30&gt;0,N30=""),1,IF(N30&gt;C30,1,0))</f>
        <v/>
      </c>
      <c r="CC30" s="52">
        <f>IF(AND(C30&gt;0,O30=""),1,IF(O30&gt;C30,1,0))</f>
        <v/>
      </c>
      <c r="CD30" s="52">
        <f>IF(AND($C30&gt;0,P30=""),1,IF(P30&gt;$C30,1,0))</f>
        <v/>
      </c>
      <c r="CE30" s="51" t="n"/>
      <c r="CF30" s="52">
        <f>IF(AND($C30&gt;0,R30=""),1,IF(R30&gt;$C30,1,0))</f>
        <v/>
      </c>
      <c r="CG30" s="52">
        <f>IF(AND($C30&gt;0,S30=""),1,IF(S30&gt;$C30,1,0))</f>
        <v/>
      </c>
    </row>
    <row r="31" ht="15" customFormat="1" customHeight="1" s="17">
      <c r="A31" s="9072" t="inlineStr">
        <is>
          <t>Familia con niños/as de 5 a 9 años con problemas y/o trastornos de salud mental</t>
        </is>
      </c>
      <c r="B31" s="9644" t="n"/>
      <c r="C31" s="3936">
        <f>SUM(D31:G31)</f>
        <v/>
      </c>
      <c r="D31" s="3956" t="n"/>
      <c r="E31" s="3956" t="n"/>
      <c r="F31" s="3956" t="n"/>
      <c r="G31" s="3956" t="n"/>
      <c r="H31" s="3957" t="n"/>
      <c r="I31" s="3957" t="n"/>
      <c r="J31" s="3956" t="n"/>
      <c r="K31" s="3956" t="n"/>
      <c r="L31" s="3956" t="n"/>
      <c r="M31" s="3960" t="n"/>
      <c r="N31" s="5416" t="n"/>
      <c r="O31" s="4008" t="n"/>
      <c r="P31" s="4008" t="n"/>
      <c r="Q31" s="5467" t="n"/>
      <c r="R31" s="3660" t="n"/>
      <c r="S31" s="4008" t="n"/>
      <c r="T31" s="17">
        <f>BQ31&amp;BR31&amp;BS31&amp;BT31&amp;BU31&amp;BW31&amp;BX31</f>
        <v/>
      </c>
      <c r="BQ31" s="209">
        <f>IF((J31+K31+L31)&lt;&gt;C31," * La suma de Primera visita + Segunda visita + Tercera o más visitas de seguimiento debe ser igual al Total.","")</f>
        <v/>
      </c>
      <c r="BR31" s="209">
        <f>IF(AND(C31&gt;0,M31="")," * No olvide digitar la variable Programa de Acompañamiento Psicosocial en APS. Si no tiene digite Cero.",IF(M31&gt;C31," * La variable Programa de Acompañamiento Psicosocial en APS no puede ser mayor al Total.",""))</f>
        <v/>
      </c>
      <c r="BS31" s="209">
        <f>IF(AND(C31&gt;0,N31="")," * No olvide digitar la variable Pueblos Originarios. Digite Cero si no tiene..",IF(N31&gt;C31," * La variable Pueblos Originarios no puede ser mayor al Total.",""))</f>
        <v/>
      </c>
      <c r="BT31" s="209">
        <f>IF(AND(C31&gt;0,O31="")," * No olvide digitar la variable Migrantes. Digite Cero si no tiene.",IF(O31&gt;C31," * La variable Migrantes no puede ser mayor al Total.",""))</f>
        <v/>
      </c>
      <c r="BU31" s="209">
        <f>IF(AND($C31&gt;0,P31="")," * No olvide digitar la variable Espacio Amigable/Adolescente. Digite Cero si no tiene.",IF(P31&gt;$C31," * La variable Espacio Amigable/Adolescente no puede ser mayor al Total.",""))</f>
        <v/>
      </c>
      <c r="BV31" s="90" t="n"/>
      <c r="BW31" s="209">
        <f>IF(AND($C31&gt;0,R31="")," * No olvide digitar la variable "&amp;R$9&amp;". Digite Cero si no tiene.",IF(R31&gt;$C31," * La variable "&amp;R$9&amp;" no puede ser mayor al Total.",""))</f>
        <v/>
      </c>
      <c r="BX31" s="209">
        <f>IF(AND($C31&gt;0,S31="")," * No olvide digitar la variable "&amp;S$9&amp;". Digite Cero si no tiene.",IF(S31&gt;$C31," * La variable "&amp;S$9&amp;" no puede ser mayor al Total.",""))</f>
        <v/>
      </c>
      <c r="BZ31" s="52">
        <f>IF((J31+K31+L31)&lt;&gt;C31,1,0)</f>
        <v/>
      </c>
      <c r="CA31" s="52">
        <f>IF(AND(C31&gt;0,M31=""),1,IF(M31&gt;C31,1,0))</f>
        <v/>
      </c>
      <c r="CB31" s="52">
        <f>IF(AND(C31&gt;0,N31=""),1,IF(N31&gt;C31,1,0))</f>
        <v/>
      </c>
      <c r="CC31" s="52">
        <f>IF(AND(C31&gt;0,O31=""),1,IF(O31&gt;C31,1,0))</f>
        <v/>
      </c>
      <c r="CD31" s="52">
        <f>IF(AND($C31&gt;0,P31=""),1,IF(P31&gt;$C31,1,0))</f>
        <v/>
      </c>
      <c r="CE31" s="51" t="n"/>
      <c r="CF31" s="52">
        <f>IF(AND($C31&gt;0,R31=""),1,IF(R31&gt;$C31,1,0))</f>
        <v/>
      </c>
      <c r="CG31" s="52">
        <f>IF(AND($C31&gt;0,S31=""),1,IF(S31&gt;$C31,1,0))</f>
        <v/>
      </c>
    </row>
    <row r="32" ht="15" customFormat="1" customHeight="1" s="17">
      <c r="A32" s="9072" t="inlineStr">
        <is>
          <t>Familia con integrante alta hospitalización precoz</t>
        </is>
      </c>
      <c r="B32" s="9644" t="n"/>
      <c r="C32" s="3936">
        <f>SUM(D32:G32)</f>
        <v/>
      </c>
      <c r="D32" s="3956" t="n"/>
      <c r="E32" s="3956" t="n"/>
      <c r="F32" s="3956" t="n"/>
      <c r="G32" s="3956" t="n"/>
      <c r="H32" s="3957" t="n"/>
      <c r="I32" s="3957" t="n"/>
      <c r="J32" s="3956" t="n"/>
      <c r="K32" s="3956" t="n"/>
      <c r="L32" s="3956" t="n"/>
      <c r="M32" s="3961" t="n"/>
      <c r="N32" s="5416" t="n"/>
      <c r="O32" s="4008" t="n"/>
      <c r="P32" s="4008" t="n"/>
      <c r="Q32" s="5467" t="n"/>
      <c r="R32" s="3660" t="n"/>
      <c r="S32" s="4008" t="n"/>
      <c r="T32" s="17">
        <f>BQ32&amp;BR32&amp;BS32&amp;BT32&amp;BU32&amp;BW32&amp;BX32</f>
        <v/>
      </c>
      <c r="BQ32" s="209">
        <f>IF((J32+K32+L32)&lt;&gt;C32," * La suma de Primera visita + Segunda visita + Tercera o más visitas de seguimiento debe ser igual al Total.","")</f>
        <v/>
      </c>
      <c r="BR32" s="90" t="n"/>
      <c r="BS32" s="209">
        <f>IF(AND(C32&gt;0,N32="")," * No olvide digitar la variable Pueblos Originarios. Digite Cero si no tiene..",IF(N32&gt;C32," * La variable Pueblos Originarios no puede ser mayor al Total.",""))</f>
        <v/>
      </c>
      <c r="BT32" s="209">
        <f>IF(AND(C32&gt;0,O32="")," * No olvide digitar la variable Migrantes. Digite Cero si no tiene.",IF(O32&gt;C32," * La variable Migrantes no puede ser mayor al Total.",""))</f>
        <v/>
      </c>
      <c r="BU32" s="209">
        <f>IF(AND($C32&gt;0,P32="")," * No olvide digitar la variable Espacio Amigable/Adolescente. Digite Cero si no tiene.",IF(P32&gt;$C32," * La variable Espacio Amigable/Adolescente no puede ser mayor al Total.",""))</f>
        <v/>
      </c>
      <c r="BV32" s="90" t="n"/>
      <c r="BW32" s="209">
        <f>IF(AND($C32&gt;0,R32="")," * No olvide digitar la variable "&amp;R$9&amp;". Digite Cero si no tiene.",IF(R32&gt;$C32," * La variable "&amp;R$9&amp;" no puede ser mayor al Total.",""))</f>
        <v/>
      </c>
      <c r="BX32" s="209">
        <f>IF(AND($C32&gt;0,S32="")," * No olvide digitar la variable "&amp;S$9&amp;". Digite Cero si no tiene.",IF(S32&gt;$C32," * La variable "&amp;S$9&amp;" no puede ser mayor al Total.",""))</f>
        <v/>
      </c>
      <c r="BZ32" s="52">
        <f>IF((J32+K32+L32)&lt;&gt;C32,1,0)</f>
        <v/>
      </c>
      <c r="CA32" s="51" t="n"/>
      <c r="CB32" s="52">
        <f>IF(AND(C32&gt;0,N32=""),1,IF(N32&gt;C32,1,0))</f>
        <v/>
      </c>
      <c r="CC32" s="52">
        <f>IF(AND(C32&gt;0,O32=""),1,IF(O32&gt;C32,1,0))</f>
        <v/>
      </c>
      <c r="CD32" s="52">
        <f>IF(AND($C32&gt;0,P32=""),1,IF(P32&gt;$C32,1,0))</f>
        <v/>
      </c>
      <c r="CE32" s="51" t="n"/>
      <c r="CF32" s="52">
        <f>IF(AND($C32&gt;0,R32=""),1,IF(R32&gt;$C32,1,0))</f>
        <v/>
      </c>
      <c r="CG32" s="52">
        <f>IF(AND($C32&gt;0,S32=""),1,IF(S32&gt;$C32,1,0))</f>
        <v/>
      </c>
    </row>
    <row r="33" ht="15" customFormat="1" customHeight="1" s="17">
      <c r="A33" s="9072" t="inlineStr">
        <is>
          <t>Familia con integrante con multimorbilidad cronica (excluye dependencia severa)</t>
        </is>
      </c>
      <c r="B33" s="9644" t="n"/>
      <c r="C33" s="3936">
        <f>SUM(D33:G33)</f>
        <v/>
      </c>
      <c r="D33" s="3956" t="n"/>
      <c r="E33" s="3956" t="n"/>
      <c r="F33" s="3956" t="n"/>
      <c r="G33" s="3956" t="n"/>
      <c r="H33" s="3957" t="n"/>
      <c r="I33" s="3957" t="n"/>
      <c r="J33" s="3956" t="n"/>
      <c r="K33" s="3956" t="n"/>
      <c r="L33" s="3956" t="n"/>
      <c r="M33" s="3961" t="n"/>
      <c r="N33" s="5416" t="n"/>
      <c r="O33" s="4008" t="n"/>
      <c r="P33" s="4008" t="n"/>
      <c r="Q33" s="5467" t="n"/>
      <c r="R33" s="3660" t="n"/>
      <c r="S33" s="4008" t="n"/>
      <c r="T33" s="17">
        <f>BQ33&amp;BR33&amp;BS33&amp;BT33&amp;BU33&amp;BW33&amp;BX33</f>
        <v/>
      </c>
      <c r="BQ33" s="209">
        <f>IF((J33+K33+L33)&lt;&gt;C33," * La suma de Primera visita + Segunda visita + Tercera o más visitas de seguimiento debe ser igual al Total.","")</f>
        <v/>
      </c>
      <c r="BR33" s="90" t="n"/>
      <c r="BS33" s="209">
        <f>IF(AND(C33&gt;0,N33="")," * No olvide digitar la variable Pueblos Originarios. Digite Cero si no tiene..",IF(N33&gt;C33," * La variable Pueblos Originarios no puede ser mayor al Total.",""))</f>
        <v/>
      </c>
      <c r="BT33" s="209">
        <f>IF(AND(C33&gt;0,O33="")," * No olvide digitar la variable Migrantes. Digite Cero si no tiene.",IF(O33&gt;C33," * La variable Migrantes no puede ser mayor al Total.",""))</f>
        <v/>
      </c>
      <c r="BU33" s="209">
        <f>IF(AND($C33&gt;0,P33="")," * No olvide digitar la variable Espacio Amigable/Adolescente. Digite Cero si no tiene.",IF(P33&gt;$C33," * La variable Espacio Amigable/Adolescente no puede ser mayor al Total.",""))</f>
        <v/>
      </c>
      <c r="BV33" s="90" t="n"/>
      <c r="BW33" s="209">
        <f>IF(AND($C33&gt;0,R33="")," * No olvide digitar la variable "&amp;R$9&amp;". Digite Cero si no tiene.",IF(R33&gt;$C33," * La variable "&amp;R$9&amp;" no puede ser mayor al Total.",""))</f>
        <v/>
      </c>
      <c r="BX33" s="209">
        <f>IF(AND($C33&gt;0,S33="")," * No olvide digitar la variable "&amp;S$9&amp;". Digite Cero si no tiene.",IF(S33&gt;$C33," * La variable "&amp;S$9&amp;" no puede ser mayor al Total.",""))</f>
        <v/>
      </c>
      <c r="BZ33" s="52">
        <f>IF((J33+K33+L33)&lt;&gt;C33,1,0)</f>
        <v/>
      </c>
      <c r="CA33" s="51" t="n"/>
      <c r="CB33" s="52">
        <f>IF(AND(C33&gt;0,N33=""),1,IF(N33&gt;C33,1,0))</f>
        <v/>
      </c>
      <c r="CC33" s="52">
        <f>IF(AND(C33&gt;0,O33=""),1,IF(O33&gt;C33,1,0))</f>
        <v/>
      </c>
      <c r="CD33" s="52">
        <f>IF(AND($C33&gt;0,P33=""),1,IF(P33&gt;$C33,1,0))</f>
        <v/>
      </c>
      <c r="CE33" s="51" t="n"/>
      <c r="CF33" s="52">
        <f>IF(AND($C33&gt;0,R33=""),1,IF(R33&gt;$C33,1,0))</f>
        <v/>
      </c>
      <c r="CG33" s="52">
        <f>IF(AND($C33&gt;0,S33=""),1,IF(S33&gt;$C33,1,0))</f>
        <v/>
      </c>
    </row>
    <row r="34" ht="15" customFormat="1" customHeight="1" s="17">
      <c r="A34" s="9072" t="inlineStr">
        <is>
          <t>Familia con niños con necesidades especiales (NANEAS)</t>
        </is>
      </c>
      <c r="B34" s="9644" t="n"/>
      <c r="C34" s="3962">
        <f>SUM(D34:G34)</f>
        <v/>
      </c>
      <c r="D34" s="3956" t="n"/>
      <c r="E34" s="3956" t="n"/>
      <c r="F34" s="3956" t="n"/>
      <c r="G34" s="3956" t="n"/>
      <c r="H34" s="3957" t="n"/>
      <c r="I34" s="3957" t="n"/>
      <c r="J34" s="3956" t="n"/>
      <c r="K34" s="3956" t="n"/>
      <c r="L34" s="3956" t="n"/>
      <c r="M34" s="3960" t="n"/>
      <c r="N34" s="5460" t="n"/>
      <c r="O34" s="3227" t="n"/>
      <c r="P34" s="3227" t="n"/>
      <c r="Q34" s="5467" t="n"/>
      <c r="R34" s="22" t="n"/>
      <c r="S34" s="3227" t="n"/>
      <c r="T34" s="17">
        <f>BQ34&amp;BR34&amp;BS34&amp;BT34&amp;BU34&amp;BW34&amp;BX34</f>
        <v/>
      </c>
      <c r="BQ34" s="209">
        <f>IF((J34+K34+L34)&lt;&gt;C34," * La suma de Primera visita + Segunda visita + Tercera o más visitas de seguimiento debe ser igual al Total.","")</f>
        <v/>
      </c>
      <c r="BR34" s="209">
        <f>IF(AND(C34&gt;0,M34="")," * No olvide digitar la variable Programa de Acompañamiento Psicosocial en APS. Si no tiene digite Cero.",IF(M34&gt;C34," * La variable Programa de Acompañamiento Psicosocial en APS no puede ser mayor al Total.",""))</f>
        <v/>
      </c>
      <c r="BS34" s="209">
        <f>IF(AND(C34&gt;0,N34="")," * No olvide digitar la variable Pueblos Originarios. Digite Cero si no tiene..",IF(N34&gt;C34," * La variable Pueblos Originarios no puede ser mayor al Total.",""))</f>
        <v/>
      </c>
      <c r="BT34" s="209">
        <f>IF(AND(C34&gt;0,O34="")," * No olvide digitar la variable Migrantes. Digite Cero si no tiene.",IF(O34&gt;C34," * La variable Migrantes no puede ser mayor al Total.",""))</f>
        <v/>
      </c>
      <c r="BU34" s="209">
        <f>IF(AND($C34&gt;0,P34="")," * No olvide digitar la variable Espacio Amigable/Adolescente. Digite Cero si no tiene.",IF(P34&gt;$C34," * La variable Espacio Amigable/Adolescente no puede ser mayor al Total.",""))</f>
        <v/>
      </c>
      <c r="BV34" s="90" t="n"/>
      <c r="BW34" s="209">
        <f>IF(AND($C34&gt;0,R34="")," * No olvide digitar la variable "&amp;R$9&amp;". Digite Cero si no tiene.",IF(R34&gt;$C34," * La variable "&amp;R$9&amp;" no puede ser mayor al Total.",""))</f>
        <v/>
      </c>
      <c r="BX34" s="209">
        <f>IF(AND($C34&gt;0,S34="")," * No olvide digitar la variable "&amp;S$9&amp;". Digite Cero si no tiene.",IF(S34&gt;$C34," * La variable "&amp;S$9&amp;" no puede ser mayor al Total.",""))</f>
        <v/>
      </c>
      <c r="BZ34" s="52">
        <f>IF((J34+K34+L34)&lt;&gt;C34,1,0)</f>
        <v/>
      </c>
      <c r="CA34" s="52">
        <f>IF(AND(C34&gt;0,M34=""),1,IF(M34&gt;C34,1,0))</f>
        <v/>
      </c>
      <c r="CB34" s="52">
        <f>IF(AND(C34&gt;0,N34=""),1,IF(N34&gt;C34,1,0))</f>
        <v/>
      </c>
      <c r="CC34" s="52">
        <f>IF(AND(C34&gt;0,O34=""),1,IF(O34&gt;C34,1,0))</f>
        <v/>
      </c>
      <c r="CD34" s="52">
        <f>IF(AND($C34&gt;0,P34=""),1,IF(P34&gt;$C34,1,0))</f>
        <v/>
      </c>
      <c r="CE34" s="51" t="n"/>
      <c r="CF34" s="52">
        <f>IF(AND($C34&gt;0,R34=""),1,IF(R34&gt;$C34,1,0))</f>
        <v/>
      </c>
      <c r="CG34" s="52">
        <f>IF(AND($C34&gt;0,S34=""),1,IF(S34&gt;$C34,1,0))</f>
        <v/>
      </c>
    </row>
    <row r="35" ht="15" customFormat="1" customHeight="1" s="17">
      <c r="A35" s="10516" t="inlineStr">
        <is>
          <t>Familia con NNA trans femenino/masculino</t>
        </is>
      </c>
      <c r="B35" s="9720" t="n"/>
      <c r="C35" s="3937">
        <f>SUM(D35:G35)</f>
        <v/>
      </c>
      <c r="D35" s="3956" t="n"/>
      <c r="E35" s="3956" t="n"/>
      <c r="F35" s="3956" t="n"/>
      <c r="G35" s="3956" t="n"/>
      <c r="H35" s="151" t="n"/>
      <c r="I35" s="151" t="n"/>
      <c r="J35" s="3956" t="n"/>
      <c r="K35" s="3956" t="n"/>
      <c r="L35" s="3956" t="n"/>
      <c r="M35" s="3963" t="n"/>
      <c r="N35" s="5461" t="n"/>
      <c r="O35" s="1299" t="n"/>
      <c r="P35" s="1299" t="n"/>
      <c r="Q35" s="5468" t="n"/>
      <c r="R35" s="5462" t="n"/>
      <c r="S35" s="1299" t="n"/>
      <c r="T35" s="17">
        <f>BQ35&amp;BR35&amp;BS35&amp;BT35&amp;BU35&amp;BW35&amp;BX35</f>
        <v/>
      </c>
      <c r="BQ35" s="209">
        <f>IF((J35+K35+L35)&lt;&gt;C35," * La suma de Primera visita + Segunda visita + Tercera o más visitas de seguimiento debe ser igual al Total.","")</f>
        <v/>
      </c>
      <c r="BR35" s="209">
        <f>IF(AND(C35&gt;0,M35="")," * No olvide digitar la variable Programa de Acompañamiento Psicosocial en APS. Si no tiene digite Cero.",IF(M35&gt;C35," * La variable Programa de Acompañamiento Psicosocial en APS no puede ser mayor al Total.",""))</f>
        <v/>
      </c>
      <c r="BS35" s="209">
        <f>IF(AND(C35&gt;0,N35="")," * No olvide digitar la variable Pueblos Originarios. Digite Cero si no tiene..",IF(N35&gt;C35," * La variable Pueblos Originarios no puede ser mayor al Total.",""))</f>
        <v/>
      </c>
      <c r="BT35" s="209">
        <f>IF(AND(C35&gt;0,O35="")," * No olvide digitar la variable Migrantes. Digite Cero si no tiene.",IF(O35&gt;C35," * La variable Migrantes no puede ser mayor al Total.",""))</f>
        <v/>
      </c>
      <c r="BU35" s="209">
        <f>IF(AND($C35&gt;0,P35="")," * No olvide digitar la variable Espacio Amigable/Adolescente. Digite Cero si no tiene.",IF(P35&gt;$C35," * La variable Espacio Amigable/Adolescente no puede ser mayor al Total.",""))</f>
        <v/>
      </c>
      <c r="BV35" s="90" t="n"/>
      <c r="BW35" s="209">
        <f>IF(AND($C35&gt;0,R35="")," * No olvide digitar la variable "&amp;R$9&amp;". Digite Cero si no tiene.",IF(R35&gt;$C35," * La variable "&amp;R$9&amp;" no puede ser mayor al Total.",""))</f>
        <v/>
      </c>
      <c r="BX35" s="209">
        <f>IF(AND($C35&gt;0,S35="")," * No olvide digitar la variable "&amp;S$9&amp;". Digite Cero si no tiene.",IF(S35&gt;$C35," * La variable "&amp;S$9&amp;" no puede ser mayor al Total.",""))</f>
        <v/>
      </c>
      <c r="BZ35" s="52">
        <f>IF((J35+K35+L35)&lt;&gt;C35,1,0)</f>
        <v/>
      </c>
      <c r="CA35" s="52">
        <f>IF(AND(C35&gt;0,M35=""),1,IF(M35&gt;C35,1,0))</f>
        <v/>
      </c>
      <c r="CB35" s="52">
        <f>IF(AND(C35&gt;0,N35=""),1,IF(N35&gt;C35,1,0))</f>
        <v/>
      </c>
      <c r="CC35" s="52">
        <f>IF(AND(C35&gt;0,O35=""),1,IF(O35&gt;C35,1,0))</f>
        <v/>
      </c>
      <c r="CD35" s="52">
        <f>IF(AND($C35&gt;0,P35=""),1,IF(P35&gt;$C35,1,0))</f>
        <v/>
      </c>
      <c r="CE35" s="51" t="n"/>
      <c r="CF35" s="52">
        <f>IF(AND($C35&gt;0,R35=""),1,IF(R35&gt;$C35,1,0))</f>
        <v/>
      </c>
      <c r="CG35" s="52">
        <f>IF(AND($C35&gt;0,S35=""),1,IF(S35&gt;$C35,1,0))</f>
        <v/>
      </c>
    </row>
    <row r="36" ht="18" customFormat="1" customHeight="1" s="20">
      <c r="A36" s="10411" t="inlineStr">
        <is>
          <t>SECCIÓN A.1: VISITAS DOMICILIARIAS INTEGRALES A PERSONAS CON DEPENDENCIA SEVERA Y SUS CUIDADORES</t>
        </is>
      </c>
      <c r="B36" s="9617" t="n"/>
      <c r="C36" s="9617" t="n"/>
      <c r="D36" s="9617" t="n"/>
      <c r="E36" s="9617" t="n"/>
      <c r="F36" s="9617" t="n"/>
      <c r="G36" s="9617" t="n"/>
      <c r="H36" s="9617" t="n"/>
      <c r="I36" s="9617" t="n"/>
      <c r="J36" s="9617" t="n"/>
      <c r="K36" s="9617" t="n"/>
      <c r="L36" s="9617" t="n"/>
      <c r="M36" s="9617" t="n"/>
      <c r="N36" s="9617" t="n"/>
    </row>
    <row r="37" ht="63" customFormat="1" customHeight="1" s="17">
      <c r="A37" s="9977" t="inlineStr">
        <is>
          <t>CONCEPTOS</t>
        </is>
      </c>
      <c r="B37" s="9582" t="n"/>
      <c r="C37" s="8671" t="inlineStr">
        <is>
          <t xml:space="preserve">Visita de Ingreso al PADDS </t>
        </is>
      </c>
      <c r="D37" s="3589" t="inlineStr">
        <is>
          <t>Primera visita anual</t>
        </is>
      </c>
      <c r="E37" s="3909" t="inlineStr">
        <is>
          <t>Segunda visita anual</t>
        </is>
      </c>
      <c r="F37" s="3889" t="inlineStr">
        <is>
          <t>Tercera o más visitas de seguimiento anual</t>
        </is>
      </c>
      <c r="G37" s="3803" t="inlineStr">
        <is>
          <t xml:space="preserve">Elaboración Plan Cuidado Integral a persona con dependencia severa </t>
        </is>
      </c>
      <c r="H37" s="3909" t="inlineStr">
        <is>
          <t xml:space="preserve">Evaluación y actualización plan de cuidados a personas con dependencia severa </t>
        </is>
      </c>
      <c r="I37" s="3909" t="inlineStr">
        <is>
          <t>Elaboración plan de cuidados a cuidador</t>
        </is>
      </c>
      <c r="J37" s="9281" t="inlineStr">
        <is>
          <t xml:space="preserve">Evaluación y actualización plan de cuidados a cuidador </t>
        </is>
      </c>
      <c r="K37" s="9240" t="inlineStr">
        <is>
          <t>Migrantes</t>
        </is>
      </c>
      <c r="L37" s="9496" t="inlineStr">
        <is>
          <t>Pueblos originarios</t>
        </is>
      </c>
      <c r="M37" s="9240" t="inlineStr">
        <is>
          <t>Población en ECICEP</t>
        </is>
      </c>
      <c r="N37" s="8757" t="inlineStr">
        <is>
          <t xml:space="preserve">Población ELEAM o institucionalizada </t>
        </is>
      </c>
    </row>
    <row r="38" ht="30" customFormat="1" customHeight="1" s="17">
      <c r="A38" s="9690" t="inlineStr">
        <is>
          <t>A personas con dependencia severa en programa, por condiciones asociadas a dependencia severa</t>
        </is>
      </c>
      <c r="B38" s="3934" t="inlineStr">
        <is>
          <t>Familia con integrante con dependencia severa con diagnóstico de demencia</t>
        </is>
      </c>
      <c r="C38" s="3964" t="n">
        <v>6</v>
      </c>
      <c r="D38" s="3965" t="n">
        <v>19</v>
      </c>
      <c r="E38" s="853" t="n">
        <v>1</v>
      </c>
      <c r="F38" s="3966" t="n">
        <v>48</v>
      </c>
      <c r="G38" s="3965" t="n">
        <v>3</v>
      </c>
      <c r="H38" s="853" t="n">
        <v>12</v>
      </c>
      <c r="I38" s="853" t="n">
        <v>3</v>
      </c>
      <c r="J38" s="5163" t="n">
        <v>12</v>
      </c>
      <c r="K38" s="3964" t="n">
        <v>0</v>
      </c>
      <c r="L38" s="5173" t="n">
        <v>0</v>
      </c>
      <c r="M38" s="3964" t="n">
        <v>59</v>
      </c>
      <c r="N38" s="3967" t="n">
        <v>0</v>
      </c>
      <c r="O38" s="17">
        <f>BQ38&amp;BR38&amp;BS38&amp;BT38</f>
        <v/>
      </c>
      <c r="BQ38" s="209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/>
      </c>
      <c r="CA38" s="52">
        <f>IF(AND(SUM($C38:$F38)&gt;0,L38=""),1,IF(L38&gt;SUM($C38:$F38),1,0))</f>
        <v/>
      </c>
      <c r="CB38" s="52">
        <f>IF(AND(SUM($C38:$F38)&gt;0,M38=""),1,IF(M38&gt;SUM($C38:$F38),1,0))</f>
        <v/>
      </c>
      <c r="CC38" s="52">
        <f>IF(AND(SUM($C38:$F38)&gt;0,N38=""),1,IF(N38&gt;SUM($C38:$F38),1,0))</f>
        <v/>
      </c>
    </row>
    <row r="39" ht="42" customFormat="1" customHeight="1" s="17">
      <c r="A39" s="9588" t="n"/>
      <c r="B39" s="3968" t="inlineStr">
        <is>
          <t>Familia con integrante con dependencia severa con etapa terminal (excluye estadíos avanzados de demencia)</t>
        </is>
      </c>
      <c r="C39" s="3969" t="n"/>
      <c r="D39" s="3970" t="n">
        <v>9</v>
      </c>
      <c r="E39" s="3956" t="n">
        <v>0</v>
      </c>
      <c r="F39" s="3971" t="n">
        <v>4</v>
      </c>
      <c r="G39" s="3970" t="n"/>
      <c r="H39" s="1285" t="n">
        <v>8</v>
      </c>
      <c r="I39" s="1285" t="n"/>
      <c r="J39" s="5169" t="n">
        <v>8</v>
      </c>
      <c r="K39" s="1287" t="n">
        <v>0</v>
      </c>
      <c r="L39" s="5174" t="n">
        <v>0</v>
      </c>
      <c r="M39" s="3969" t="n">
        <v>3</v>
      </c>
      <c r="N39" s="3972" t="n">
        <v>0</v>
      </c>
      <c r="O39" s="17">
        <f>BQ39&amp;BR39&amp;BS39&amp;BT39</f>
        <v/>
      </c>
      <c r="BQ39" s="209">
        <f>IF(AND(SUM($C39:$F39)&gt;0,K39="")," * No olvide digitar la variable Migrantes. Digite Cero si no tiene.",IF(K39&gt;SUM($C39:$F39)," * La variable Migrantes no puede ser mayor a la suma de las variables de Visitas.",""))</f>
        <v/>
      </c>
      <c r="BR39" s="209">
        <f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>
        <f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>
        <f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>IF(AND(SUM($C39:$F39)&gt;0,K39=""),1,IF(K39&gt;SUM($C39:$F39),1,0))</f>
        <v/>
      </c>
      <c r="CA39" s="52">
        <f>IF(AND(SUM($C39:$F39)&gt;0,L39=""),1,IF(L39&gt;SUM($C39:$F39),1,0))</f>
        <v/>
      </c>
      <c r="CB39" s="52">
        <f>IF(AND(SUM($C39:$F39)&gt;0,M39=""),1,IF(M39&gt;SUM($C39:$F39),1,0))</f>
        <v/>
      </c>
      <c r="CC39" s="52">
        <f>IF(AND(SUM($C39:$F39)&gt;0,N39=""),1,IF(N39&gt;SUM($C39:$F39),1,0))</f>
        <v/>
      </c>
    </row>
    <row r="40" ht="42" customFormat="1" customHeight="1" s="17">
      <c r="A40" s="9589" t="n"/>
      <c r="B40" s="3904" t="inlineStr">
        <is>
          <t>Familia con integrante con dependencia severa sin diagnóstico de demencia y/o que no se encuentra en etapa terminal</t>
        </is>
      </c>
      <c r="C40" s="3973" t="n">
        <v>6</v>
      </c>
      <c r="D40" s="3974" t="n">
        <v>78</v>
      </c>
      <c r="E40" s="152" t="n">
        <v>0</v>
      </c>
      <c r="F40" s="153" t="n">
        <v>57</v>
      </c>
      <c r="G40" s="3974" t="n">
        <v>4</v>
      </c>
      <c r="H40" s="3975" t="n">
        <v>69</v>
      </c>
      <c r="I40" s="3975" t="n">
        <v>4</v>
      </c>
      <c r="J40" s="5170" t="n">
        <v>69</v>
      </c>
      <c r="K40" s="5168" t="n">
        <v>1</v>
      </c>
      <c r="L40" s="5175" t="n">
        <v>1</v>
      </c>
      <c r="M40" s="3973" t="n">
        <v>40</v>
      </c>
      <c r="N40" s="3976" t="n">
        <v>0</v>
      </c>
      <c r="O40" s="17">
        <f>BQ40&amp;BR40&amp;BS40&amp;BT40</f>
        <v/>
      </c>
      <c r="BQ40" s="209">
        <f>IF(AND(SUM($C40:$F40)&gt;0,K40="")," * No olvide digitar la variable Migrantes. Digite Cero si no tiene.",IF(K40&gt;SUM($C40:$F40)," * La variable Migrantes no puede ser mayor a la suma de las variables de Visitas.",""))</f>
        <v/>
      </c>
      <c r="BR40" s="209">
        <f>IF(AND(SUM($C40:$F40)&gt;0,L40="")," * No olvide digitar la variable Pueblos originarios. Digite Cero si no tiene.",IF(L40&gt;SUM($C40:$F40)," * La variable Pueblos originarios no puede ser mayor a la suma de las variables de Visitas.",""))</f>
        <v/>
      </c>
      <c r="BS40" s="209">
        <f>IF(AND(SUM($C40:$F40)&gt;0,M40="")," * No olvide digitar la variable Población en ECICEP. Digite Cero si no tiene.",IF(M40&gt;SUM($C40:$F40)," * La variable Población en ECICEP no puede ser mayor a la suma de las variables de Visitas.",""))</f>
        <v/>
      </c>
      <c r="BT40" s="209">
        <f>IF(AND(SUM($C40:$F40)&gt;0,N40="")," * No olvide digitar la variable Población ELEAM o institucionalizada. Digite Cero si no tiene.",IF(N40&gt;SUM($C40:$F40)," * La variable Población ELEAM o institucionalizada no puede ser mayor a la suma de las variables de Visitas.",""))</f>
        <v/>
      </c>
      <c r="BZ40" s="52">
        <f>IF(AND(SUM($C40:$F40)&gt;0,K40=""),1,IF(K40&gt;SUM($C40:$F40),1,0))</f>
        <v/>
      </c>
      <c r="CA40" s="52">
        <f>IF(AND(SUM($C40:$F40)&gt;0,L40=""),1,IF(L40&gt;SUM($C40:$F40),1,0))</f>
        <v/>
      </c>
      <c r="CB40" s="52">
        <f>IF(AND(SUM($C40:$F40)&gt;0,M40=""),1,IF(M40&gt;SUM($C40:$F40),1,0))</f>
        <v/>
      </c>
      <c r="CC40" s="52">
        <f>IF(AND(SUM($C40:$F40)&gt;0,N40=""),1,IF(N40&gt;SUM($C40:$F40),1,0))</f>
        <v/>
      </c>
    </row>
    <row r="41" ht="15" customFormat="1" customHeight="1" s="17">
      <c r="A41" s="10406" t="inlineStr">
        <is>
          <t>TOTAL</t>
        </is>
      </c>
      <c r="B41" s="9582" t="n"/>
      <c r="C41" s="3685">
        <f>SUM(C38:C40)</f>
        <v/>
      </c>
      <c r="D41" s="3725">
        <f>SUM(D38:D40)</f>
        <v/>
      </c>
      <c r="E41" s="3689">
        <f>SUM(E38:E40)</f>
        <v/>
      </c>
      <c r="F41" s="3687">
        <f>SUM(F38:F40)</f>
        <v/>
      </c>
      <c r="G41" s="3725">
        <f>SUM(G38:G40)</f>
        <v/>
      </c>
      <c r="H41" s="3689">
        <f>SUM(H38:H40)</f>
        <v/>
      </c>
      <c r="I41" s="3689">
        <f>SUM(I38:I40)</f>
        <v/>
      </c>
      <c r="J41" s="5165">
        <f>SUM(J38:J40)</f>
        <v/>
      </c>
      <c r="K41" s="5162">
        <f>SUM(K38:K40)</f>
        <v/>
      </c>
      <c r="L41" s="5176">
        <f>SUM(L38:L40)</f>
        <v/>
      </c>
      <c r="M41" s="5162">
        <f>SUM(M38:M40)</f>
        <v/>
      </c>
      <c r="N41" s="3686">
        <f>SUM(N38:N40)</f>
        <v/>
      </c>
    </row>
    <row r="42" ht="15" customFormat="1" customHeight="1" s="17">
      <c r="A42" s="10265" t="inlineStr">
        <is>
          <t>A personas con dependencia severa, por rango etario</t>
        </is>
      </c>
      <c r="B42" s="3977" t="inlineStr">
        <is>
          <t>0-9 años</t>
        </is>
      </c>
      <c r="C42" s="673" t="n">
        <v>3</v>
      </c>
      <c r="D42" s="673" t="n"/>
      <c r="E42" s="810" t="n"/>
      <c r="F42" s="3978" t="n"/>
      <c r="G42" s="710" t="n">
        <v>2</v>
      </c>
      <c r="H42" s="135" t="n"/>
      <c r="I42" s="810" t="n">
        <v>2</v>
      </c>
      <c r="J42" s="5166" t="n"/>
      <c r="K42" s="5179" t="n">
        <v>0</v>
      </c>
      <c r="L42" s="5177" t="n">
        <v>0</v>
      </c>
      <c r="M42" s="5167" t="n">
        <v>0</v>
      </c>
      <c r="N42" s="3931" t="n"/>
      <c r="O42" s="17">
        <f>BQ42&amp;BR42&amp;BS42</f>
        <v/>
      </c>
      <c r="BQ42" s="209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 t="n"/>
      <c r="BZ42" s="52">
        <f>IF(AND(SUM($C42:$F42)&gt;0,K42=""),1,IF(K42&gt;SUM($C42:$F42),1,0))</f>
        <v/>
      </c>
      <c r="CA42" s="52">
        <f>IF(AND(SUM($C42:$F42)&gt;0,L42=""),1,IF(L42&gt;SUM($C42:$F42),1,0))</f>
        <v/>
      </c>
      <c r="CB42" s="52">
        <f>IF(AND(SUM($C42:$F42)&gt;0,M42=""),1,IF(M42&gt;SUM($C42:$F42),1,0))</f>
        <v/>
      </c>
      <c r="CC42" s="51" t="n"/>
    </row>
    <row r="43" ht="15" customFormat="1" customHeight="1" s="17">
      <c r="A43" s="9588" t="n"/>
      <c r="B43" s="1286" t="inlineStr">
        <is>
          <t xml:space="preserve">10 - 14 años </t>
        </is>
      </c>
      <c r="C43" s="1287" t="n"/>
      <c r="D43" s="3979" t="n">
        <v>1</v>
      </c>
      <c r="E43" s="3956" t="n"/>
      <c r="F43" s="3971" t="n">
        <v>1</v>
      </c>
      <c r="G43" s="1288" t="n"/>
      <c r="H43" s="3956" t="n"/>
      <c r="I43" s="3956" t="n"/>
      <c r="J43" s="5164" t="n"/>
      <c r="K43" s="3969" t="n">
        <v>0</v>
      </c>
      <c r="L43" s="5174" t="n">
        <v>0</v>
      </c>
      <c r="M43" s="3969" t="n">
        <v>1</v>
      </c>
      <c r="N43" s="3980" t="n"/>
      <c r="O43" s="17">
        <f>BQ43&amp;BR43&amp;BS43</f>
        <v/>
      </c>
      <c r="BQ43" s="209">
        <f>IF(AND(SUM($C43:$F43)&gt;0,K43="")," * No olvide digitar la variable Migrantes. Digite Cero si no tiene.",IF(K43&gt;SUM($C43:$F43)," * La variable Migrantes no puede ser mayor a la suma de las variables de Visitas.",""))</f>
        <v/>
      </c>
      <c r="BR43" s="209">
        <f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>
        <f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 t="n"/>
      <c r="BZ43" s="52">
        <f>IF(AND(SUM($C43:$F43)&gt;0,K43=""),1,IF(K43&gt;SUM($C43:$F43),1,0))</f>
        <v/>
      </c>
      <c r="CA43" s="52">
        <f>IF(AND(SUM($C43:$F43)&gt;0,L43=""),1,IF(L43&gt;SUM($C43:$F43),1,0))</f>
        <v/>
      </c>
      <c r="CB43" s="52">
        <f>IF(AND(SUM($C43:$F43)&gt;0,M43=""),1,IF(M43&gt;SUM($C43:$F43),1,0))</f>
        <v/>
      </c>
      <c r="CC43" s="51" t="n"/>
    </row>
    <row r="44" ht="15" customFormat="1" customHeight="1" s="17">
      <c r="A44" s="9588" t="n"/>
      <c r="B44" s="3981" t="inlineStr">
        <is>
          <t>15 - 19 años</t>
        </is>
      </c>
      <c r="C44" s="3969" t="n"/>
      <c r="D44" s="3979" t="n">
        <v>5</v>
      </c>
      <c r="E44" s="135" t="n"/>
      <c r="F44" s="772" t="n">
        <v>1</v>
      </c>
      <c r="G44" s="1288" t="n"/>
      <c r="H44" s="3956" t="n">
        <v>4</v>
      </c>
      <c r="I44" s="135" t="n"/>
      <c r="J44" s="5171" t="n">
        <v>4</v>
      </c>
      <c r="K44" s="5167" t="n">
        <v>1</v>
      </c>
      <c r="L44" s="5174" t="n">
        <v>0</v>
      </c>
      <c r="M44" s="5167" t="n">
        <v>2</v>
      </c>
      <c r="N44" s="3980" t="n"/>
      <c r="O44" s="17">
        <f>BQ44&amp;BR44&amp;BS44</f>
        <v/>
      </c>
      <c r="BQ44" s="209">
        <f>IF(AND(SUM($C44:$F44)&gt;0,K44="")," * No olvide digitar la variable Migrantes. Digite Cero si no tiene.",IF(K44&gt;SUM($C44:$F44)," * La variable Migrantes no puede ser mayor a la suma de las variables de Visitas.",""))</f>
        <v/>
      </c>
      <c r="BR44" s="209">
        <f>IF(AND(SUM($C44:$F44)&gt;0,L44="")," * No olvide digitar la variable Pueblos originarios. Digite Cero si no tiene.",IF(L44&gt;SUM($C44:$F44)," * La variable Pueblos originarios no puede ser mayor a la suma de las variables de Visitas.",""))</f>
        <v/>
      </c>
      <c r="BS44" s="209">
        <f>IF(AND(SUM($C44:$F44)&gt;0,M44="")," * No olvide digitar la variable Población en ECICEP. Digite Cero si no tiene.",IF(M44&gt;SUM($C44:$F44)," * La variable Población en ECICEP no puede ser mayor a la suma de las variables de Visitas.",""))</f>
        <v/>
      </c>
      <c r="BT44" s="90" t="n"/>
      <c r="BZ44" s="52">
        <f>IF(AND(SUM($C44:$F44)&gt;0,K44=""),1,IF(K44&gt;SUM($C44:$F44),1,0))</f>
        <v/>
      </c>
      <c r="CA44" s="52">
        <f>IF(AND(SUM($C44:$F44)&gt;0,L44=""),1,IF(L44&gt;SUM($C44:$F44),1,0))</f>
        <v/>
      </c>
      <c r="CB44" s="52">
        <f>IF(AND(SUM($C44:$F44)&gt;0,M44=""),1,IF(M44&gt;SUM($C44:$F44),1,0))</f>
        <v/>
      </c>
      <c r="CC44" s="51" t="n"/>
    </row>
    <row r="45" ht="15" customFormat="1" customHeight="1" s="17">
      <c r="A45" s="9588" t="n"/>
      <c r="B45" s="3632" t="inlineStr">
        <is>
          <t>20 - 64 años</t>
        </is>
      </c>
      <c r="C45" s="673" t="n"/>
      <c r="D45" s="3979" t="n">
        <v>29</v>
      </c>
      <c r="E45" s="3956" t="n">
        <v>0</v>
      </c>
      <c r="F45" s="3971" t="n">
        <v>18</v>
      </c>
      <c r="G45" s="3970" t="n"/>
      <c r="H45" s="3956" t="n">
        <v>23</v>
      </c>
      <c r="I45" s="3956" t="n"/>
      <c r="J45" s="5171" t="n">
        <v>23</v>
      </c>
      <c r="K45" s="3969" t="n">
        <v>0</v>
      </c>
      <c r="L45" s="5174" t="n">
        <v>1</v>
      </c>
      <c r="M45" s="3969" t="n">
        <v>15</v>
      </c>
      <c r="N45" s="3931" t="n"/>
      <c r="O45" s="17">
        <f>BQ45&amp;BR45&amp;BS45</f>
        <v/>
      </c>
      <c r="BQ45" s="209">
        <f>IF(AND(SUM($C45:$F45)&gt;0,K45="")," * No olvide digitar la variable Migrantes. Digite Cero si no tiene.",IF(K45&gt;SUM($C45:$F45)," * La variable Migrantes no puede ser mayor a la suma de las variables de Visitas.",""))</f>
        <v/>
      </c>
      <c r="BR45" s="209">
        <f>IF(AND(SUM($C45:$F45)&gt;0,L45="")," * No olvide digitar la variable Pueblos originarios. Digite Cero si no tiene.",IF(L45&gt;SUM($C45:$F45)," * La variable Pueblos originarios no puede ser mayor a la suma de las variables de Visitas.",""))</f>
        <v/>
      </c>
      <c r="BS45" s="209">
        <f>IF(AND(SUM($C45:$F45)&gt;0,M45="")," * No olvide digitar la variable Población en ECICEP. Digite Cero si no tiene.",IF(M45&gt;SUM($C45:$F45)," * La variable Población en ECICEP no puede ser mayor a la suma de las variables de Visitas.",""))</f>
        <v/>
      </c>
      <c r="BT45" s="90" t="n"/>
      <c r="BZ45" s="52">
        <f>IF(AND(SUM($C45:$F45)&gt;0,K45=""),1,IF(K45&gt;SUM($C45:$F45),1,0))</f>
        <v/>
      </c>
      <c r="CA45" s="52">
        <f>IF(AND(SUM($C45:$F45)&gt;0,L45=""),1,IF(L45&gt;SUM($C45:$F45),1,0))</f>
        <v/>
      </c>
      <c r="CB45" s="52">
        <f>IF(AND(SUM($C45:$F45)&gt;0,M45=""),1,IF(M45&gt;SUM($C45:$F45),1,0))</f>
        <v/>
      </c>
      <c r="CC45" s="51" t="n"/>
    </row>
    <row r="46" ht="15" customFormat="1" customHeight="1" s="17">
      <c r="A46" s="9588" t="n"/>
      <c r="B46" s="3925" t="inlineStr">
        <is>
          <t>65 y más años</t>
        </is>
      </c>
      <c r="C46" s="3982" t="n">
        <v>9</v>
      </c>
      <c r="D46" s="3983" t="n">
        <v>71</v>
      </c>
      <c r="E46" s="152" t="n">
        <v>1</v>
      </c>
      <c r="F46" s="153" t="n">
        <v>89</v>
      </c>
      <c r="G46" s="3984" t="n">
        <v>5</v>
      </c>
      <c r="H46" s="152" t="n">
        <v>62</v>
      </c>
      <c r="I46" s="152" t="n">
        <v>5</v>
      </c>
      <c r="J46" s="154" t="n">
        <v>62</v>
      </c>
      <c r="K46" s="3973" t="n">
        <v>0</v>
      </c>
      <c r="L46" s="5175" t="n">
        <v>0</v>
      </c>
      <c r="M46" s="5168" t="n">
        <v>84</v>
      </c>
      <c r="N46" s="1192" t="n">
        <v>0</v>
      </c>
      <c r="O46" s="17">
        <f>BQ46&amp;BR46&amp;BS46&amp;BT46</f>
        <v/>
      </c>
      <c r="BQ46" s="209">
        <f>IF(AND(SUM($C46:$F46)&gt;0,K46="")," * No olvide digitar la variable Migrantes. Digite Cero si no tiene.",IF(K46&gt;SUM($C46:$F46)," * La variable Migrantes no puede ser mayor a la suma de las variables de Visitas.",""))</f>
        <v/>
      </c>
      <c r="BR46" s="209">
        <f>IF(AND(SUM($C46:$F46)&gt;0,L46="")," * No olvide digitar la variable Pueblos originarios. Digite Cero si no tiene.",IF(L46&gt;SUM($C46:$F46)," * La variable Pueblos originarios no puede ser mayor a la suma de las variables de Visitas.",""))</f>
        <v/>
      </c>
      <c r="BS46" s="209">
        <f>IF(AND(SUM($C46:$F46)&gt;0,M46="")," * No olvide digitar la variable Población en ECICEP. Digite Cero si no tiene.",IF(M46&gt;SUM($C46:$F46)," * La variable Población en ECICEP no puede ser mayor a la suma de las variables de Visitas.",""))</f>
        <v/>
      </c>
      <c r="BT46" s="209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>IF(AND(SUM($C46:$F46)&gt;0,K46=""),1,IF(K46&gt;SUM($C46:$F46),1,0))</f>
        <v/>
      </c>
      <c r="CA46" s="52">
        <f>IF(AND(SUM($C46:$F46)&gt;0,L46=""),1,IF(L46&gt;SUM($C46:$F46),1,0))</f>
        <v/>
      </c>
      <c r="CB46" s="52">
        <f>IF(AND(SUM($C46:$F46)&gt;0,M46=""),1,IF(M46&gt;SUM($C46:$F46),1,0))</f>
        <v/>
      </c>
      <c r="CC46" s="52">
        <f>IF(AND(SUM($C46:$F46)&gt;0,N46=""),1,IF(N46&gt;SUM($C46:$F46),1,0))</f>
        <v/>
      </c>
    </row>
    <row r="47" ht="15" customFormat="1" customHeight="1" s="17">
      <c r="A47" s="10406" t="inlineStr">
        <is>
          <t>TOTAL</t>
        </is>
      </c>
      <c r="B47" s="9582" t="n"/>
      <c r="C47" s="3509">
        <f>SUM(C42:C46)</f>
        <v/>
      </c>
      <c r="D47" s="3985">
        <f>SUM(D42:D46)</f>
        <v/>
      </c>
      <c r="E47" s="3986">
        <f>SUM(E42:E46)</f>
        <v/>
      </c>
      <c r="F47" s="3987">
        <f>SUM(F42:F46)</f>
        <v/>
      </c>
      <c r="G47" s="3985">
        <f>SUM(G42:G46)</f>
        <v/>
      </c>
      <c r="H47" s="3986">
        <f>SUM(H42:H46)</f>
        <v/>
      </c>
      <c r="I47" s="3986">
        <f>SUM(I42:I46)</f>
        <v/>
      </c>
      <c r="J47" s="5172">
        <f>SUM(J42:J46)</f>
        <v/>
      </c>
      <c r="K47" s="5180">
        <f>SUM(K42:K46)</f>
        <v/>
      </c>
      <c r="L47" s="5178">
        <f>SUM(L42:L46)</f>
        <v/>
      </c>
      <c r="M47" s="3509">
        <f>SUM(M42:M46)</f>
        <v/>
      </c>
      <c r="N47" s="3684">
        <f>SUM(N42:N46)</f>
        <v/>
      </c>
    </row>
    <row r="48" ht="18" customFormat="1" customHeight="1" s="20">
      <c r="A48" s="7990" t="inlineStr">
        <is>
          <t>SECCIÓN B: OTRAS VISITAS INTEGRALES</t>
        </is>
      </c>
    </row>
    <row r="49" ht="52.5" customFormat="1" customHeight="1" s="17">
      <c r="A49" s="9977" t="inlineStr">
        <is>
          <t>CONCEPTOS</t>
        </is>
      </c>
      <c r="B49" s="9582" t="n"/>
      <c r="C49" s="8336" t="inlineStr">
        <is>
          <t>TOTAL</t>
        </is>
      </c>
      <c r="D49" s="8336" t="inlineStr">
        <is>
          <t>Un Profesional</t>
        </is>
      </c>
      <c r="E49" s="8292" t="inlineStr">
        <is>
          <t>Dos o Más 
Profesionales</t>
        </is>
      </c>
      <c r="F49" s="3909" t="inlineStr">
        <is>
          <t xml:space="preserve">Un Profesional y 
un Técnico En Enfermería </t>
        </is>
      </c>
      <c r="G49" s="3988" t="inlineStr">
        <is>
          <t xml:space="preserve">Técnico En Enfermería </t>
        </is>
      </c>
      <c r="H49" s="8757" t="inlineStr">
        <is>
          <t>Facilitador/a Intercultural Pueblos Originarios</t>
        </is>
      </c>
      <c r="I49" s="9108" t="inlineStr">
        <is>
          <t>Agente Comunitario</t>
        </is>
      </c>
      <c r="J49" s="8399" t="inlineStr">
        <is>
          <t>Pueblos Originarios</t>
        </is>
      </c>
      <c r="K49" s="9240" t="inlineStr">
        <is>
          <t>Migrantes</t>
        </is>
      </c>
      <c r="L49" s="9460" t="inlineStr">
        <is>
          <t xml:space="preserve">SENAME/ Servicio Nacional de Reinserción social Juvenil </t>
        </is>
      </c>
      <c r="M49" s="9240" t="inlineStr">
        <is>
          <t>Servicio Nacional Protección Especializada a la Niñez y Adolescencia</t>
        </is>
      </c>
    </row>
    <row r="50" ht="15" customFormat="1" customHeight="1" s="17">
      <c r="A50" s="10243" t="inlineStr">
        <is>
          <t>Visita epidemiológica</t>
        </is>
      </c>
      <c r="B50" s="9643" t="n"/>
      <c r="C50" s="3990">
        <f>SUM(D50:F50)</f>
        <v/>
      </c>
      <c r="D50" s="3502" t="n"/>
      <c r="E50" s="835" t="n"/>
      <c r="F50" s="835" t="n"/>
      <c r="G50" s="3991" t="n"/>
      <c r="H50" s="3788" t="n"/>
      <c r="I50" s="3926" t="n"/>
      <c r="J50" s="3895" t="n"/>
      <c r="K50" s="3892" t="n"/>
      <c r="L50" s="3895" t="n"/>
      <c r="M50" s="3892" t="n"/>
      <c r="N50" s="17">
        <f>BQ50&amp;BR50&amp;BS50&amp;BT50&amp;BU50</f>
        <v/>
      </c>
      <c r="BQ50" s="209">
        <f>IF(AND(C50&gt;0,J50="")," * No olvide digitar la variable Pueblos Originarios. Digite Cero si no tiene.",IF(J50&gt;C50," * La variable Pueblos Originarios No puede ser mayor al Total.",""))</f>
        <v/>
      </c>
      <c r="BR50" s="209">
        <f>IF(AND(C50&gt;0,K50="")," * No olvide digitar la variable Migrantes. Digite Cero si no tiene.",IF(K50&gt;C50," * La variable Migrantes No puede ser mayor al Total.",""))</f>
        <v/>
      </c>
      <c r="BS50" s="209">
        <f>IF(AND(C50&gt;0,L50="")," * No olvide digitar la variable "&amp;L$49&amp;". Digite Cero si no tiene.",IF(L50&gt;C50," * La variable "&amp;L$49&amp;" No puede ser mayor al Total.",""))</f>
        <v/>
      </c>
      <c r="BT50" s="209">
        <f>IF(AND(C50&gt;0,M50="")," * No olvide digitar la variable "&amp;M$49&amp;". Digite Cero si no tiene.",IF(M50&gt;C50," * La variable "&amp;M$49&amp;" No puede ser mayor al Total.",""))</f>
        <v/>
      </c>
      <c r="BZ50" s="52">
        <f>IF(AND(C50&gt;0,J50=""),1,IF(J50&gt;C50,1,0))</f>
        <v/>
      </c>
      <c r="CA50" s="52">
        <f>IF(AND(C50&gt;0,K50=""),1,IF(K50&gt;C50,1,0))</f>
        <v/>
      </c>
      <c r="CB50" s="52">
        <f>IF(AND(C50&gt;0,L50=""),1,IF(L50&gt;C50,1,0))</f>
        <v/>
      </c>
      <c r="CC50" s="52">
        <f>IF(AND(C50&gt;0,M50=""),1,IF(M50&gt;C50,1,0))</f>
        <v/>
      </c>
    </row>
    <row r="51" ht="15" customFormat="1" customHeight="1" s="17">
      <c r="A51" s="3877" t="inlineStr">
        <is>
          <t>A lugar de trabajo (*)</t>
        </is>
      </c>
      <c r="B51" s="9644" t="n"/>
      <c r="C51" s="3992">
        <f>SUM(D51:F51)</f>
        <v/>
      </c>
      <c r="D51" s="3787" t="n"/>
      <c r="E51" s="3891" t="n"/>
      <c r="F51" s="3891" t="n"/>
      <c r="G51" s="3993" t="n"/>
      <c r="H51" s="3788" t="n"/>
      <c r="I51" s="3926" t="n"/>
      <c r="J51" s="3895" t="n"/>
      <c r="K51" s="3892" t="n"/>
      <c r="L51" s="3895" t="n"/>
      <c r="M51" s="3892" t="n"/>
      <c r="N51" s="17">
        <f>BQ51&amp;BR51&amp;BS51&amp;BT51&amp;BU51</f>
        <v/>
      </c>
      <c r="BQ51" s="209">
        <f>IF(AND(C51&gt;0,J51="")," * No olvide digitar la variable Pueblos Originarios. Digite Cero si no tiene.",IF(J51&gt;C51," * La variable Pueblos Originarios No puede ser mayor al Total.",""))</f>
        <v/>
      </c>
      <c r="BR51" s="209">
        <f>IF(AND(C51&gt;0,K51="")," * No olvide digitar la variable Migrantes. Digite Cero si no tiene.",IF(K51&gt;C51," * La variable Migrantes No puede ser mayor al Total.",""))</f>
        <v/>
      </c>
      <c r="BS51" s="209">
        <f>IF(AND(C51&gt;0,L51="")," * No olvide digitar la variable "&amp;L$49&amp;". Digite Cero si no tiene.",IF(L51&gt;C51," * La variable "&amp;L$49&amp;" No puede ser mayor al Total.",""))</f>
        <v/>
      </c>
      <c r="BT51" s="209">
        <f>IF(AND(C51&gt;0,M51="")," * No olvide digitar la variable "&amp;M$49&amp;". Digite Cero si no tiene.",IF(M51&gt;C51," * La variable "&amp;M$49&amp;" No puede ser mayor al Total.",""))</f>
        <v/>
      </c>
      <c r="BZ51" s="52">
        <f>IF(AND(C51&gt;0,J51=""),1,IF(J51&gt;C51,1,0))</f>
        <v/>
      </c>
      <c r="CA51" s="52">
        <f>IF(AND(C51&gt;0,K51=""),1,IF(K51&gt;C51,1,0))</f>
        <v/>
      </c>
      <c r="CB51" s="52">
        <f>IF(AND(C51&gt;0,L51=""),1,IF(L51&gt;C51,1,0))</f>
        <v/>
      </c>
      <c r="CC51" s="52">
        <f>IF(AND(C51&gt;0,M51=""),1,IF(M51&gt;C51,1,0))</f>
        <v/>
      </c>
    </row>
    <row r="52" ht="15" customFormat="1" customHeight="1" s="17">
      <c r="A52" s="3877" t="inlineStr">
        <is>
          <t>A colegio, salas cuna, jardín infantil (*)</t>
        </is>
      </c>
      <c r="B52" s="9644" t="n"/>
      <c r="C52" s="3936">
        <f>SUM(D52:F52)</f>
        <v/>
      </c>
      <c r="D52" s="3787" t="n"/>
      <c r="E52" s="3891" t="n"/>
      <c r="F52" s="3891" t="n"/>
      <c r="G52" s="3993" t="n"/>
      <c r="H52" s="3788" t="n"/>
      <c r="I52" s="3926" t="n"/>
      <c r="J52" s="3895" t="n"/>
      <c r="K52" s="3892" t="n"/>
      <c r="L52" s="3895" t="n"/>
      <c r="M52" s="3892" t="n"/>
      <c r="N52" s="17">
        <f>BQ52&amp;BR52&amp;BS52&amp;BT52&amp;BU52</f>
        <v/>
      </c>
      <c r="BQ52" s="209">
        <f>IF(AND(C52&gt;0,J52="")," * No olvide digitar la variable Pueblos Originarios. Digite Cero si no tiene.",IF(J52&gt;C52," * La variable Pueblos Originarios No puede ser mayor al Total.",""))</f>
        <v/>
      </c>
      <c r="BR52" s="209">
        <f>IF(AND(C52&gt;0,K52="")," * No olvide digitar la variable Migrantes. Digite Cero si no tiene.",IF(K52&gt;C52," * La variable Migrantes No puede ser mayor al Total.",""))</f>
        <v/>
      </c>
      <c r="BS52" s="209">
        <f>IF(AND(C52&gt;0,L52="")," * No olvide digitar la variable "&amp;L$49&amp;". Digite Cero si no tiene.",IF(L52&gt;C52," * La variable "&amp;L$49&amp;" No puede ser mayor al Total.",""))</f>
        <v/>
      </c>
      <c r="BT52" s="209">
        <f>IF(AND(C52&gt;0,M52="")," * No olvide digitar la variable "&amp;M$49&amp;". Digite Cero si no tiene.",IF(M52&gt;C52," * La variable "&amp;M$49&amp;" No puede ser mayor al Total.",""))</f>
        <v/>
      </c>
      <c r="BZ52" s="52">
        <f>IF(AND(C52&gt;0,J52=""),1,IF(J52&gt;C52,1,0))</f>
        <v/>
      </c>
      <c r="CA52" s="52">
        <f>IF(AND(C52&gt;0,K52=""),1,IF(K52&gt;C52,1,0))</f>
        <v/>
      </c>
      <c r="CB52" s="52">
        <f>IF(AND(C52&gt;0,L52=""),1,IF(L52&gt;C52,1,0))</f>
        <v/>
      </c>
      <c r="CC52" s="52">
        <f>IF(AND(C52&gt;0,M52=""),1,IF(M52&gt;C52,1,0))</f>
        <v/>
      </c>
    </row>
    <row r="53" ht="15" customFormat="1" customHeight="1" s="17">
      <c r="A53" s="10223" t="inlineStr">
        <is>
          <t>A grupo comunitario</t>
        </is>
      </c>
      <c r="B53" s="9720" t="n"/>
      <c r="C53" s="3936">
        <f>SUM(D53:F53)</f>
        <v/>
      </c>
      <c r="D53" s="3787" t="n"/>
      <c r="E53" s="1228" t="n"/>
      <c r="F53" s="3891" t="n"/>
      <c r="G53" s="1291" t="n"/>
      <c r="H53" s="1192" t="n"/>
      <c r="I53" s="3994" t="n"/>
      <c r="J53" s="1227" t="n"/>
      <c r="K53" s="1223" t="n"/>
      <c r="L53" s="1227" t="n"/>
      <c r="M53" s="1223" t="n"/>
      <c r="N53" s="17">
        <f>BQ53&amp;BR53&amp;BS53&amp;BT53&amp;BU53</f>
        <v/>
      </c>
      <c r="BQ53" s="209">
        <f>IF(AND(C53&gt;0,J53="")," * No olvide digitar la variable Pueblos Originarios. Digite Cero si no tiene.",IF(J53&gt;C53," * La variable Pueblos Originarios No puede ser mayor al Total.",""))</f>
        <v/>
      </c>
      <c r="BR53" s="209">
        <f>IF(AND(C53&gt;0,K53="")," * No olvide digitar la variable Migrantes. Digite Cero si no tiene.",IF(K53&gt;C53," * La variable Migrantes No puede ser mayor al Total.",""))</f>
        <v/>
      </c>
      <c r="BS53" s="209">
        <f>IF(AND(C53&gt;0,L53="")," * No olvide digitar la variable "&amp;L$49&amp;". Digite Cero si no tiene.",IF(L53&gt;C53," * La variable "&amp;L$49&amp;" No puede ser mayor al Total.",""))</f>
        <v/>
      </c>
      <c r="BT53" s="209">
        <f>IF(AND(C53&gt;0,M53="")," * No olvide digitar la variable "&amp;M$49&amp;". Digite Cero si no tiene.",IF(M53&gt;C53," * La variable "&amp;M$49&amp;" No puede ser mayor al Total.",""))</f>
        <v/>
      </c>
      <c r="BZ53" s="52">
        <f>IF(AND(C53&gt;0,J53=""),1,IF(J53&gt;C53,1,0))</f>
        <v/>
      </c>
      <c r="CA53" s="52">
        <f>IF(AND(C53&gt;0,K53=""),1,IF(K53&gt;C53,1,0))</f>
        <v/>
      </c>
      <c r="CB53" s="52">
        <f>IF(AND(C53&gt;0,L53=""),1,IF(L53&gt;C53,1,0))</f>
        <v/>
      </c>
      <c r="CC53" s="52">
        <f>IF(AND(C53&gt;0,M53=""),1,IF(M53&gt;C53,1,0))</f>
        <v/>
      </c>
    </row>
    <row r="54" ht="15" customFormat="1" customHeight="1" s="17">
      <c r="A54" s="10236" t="inlineStr">
        <is>
          <t>Visita integral de salud mental</t>
        </is>
      </c>
      <c r="B54" s="3694" t="inlineStr">
        <is>
          <t>A domicilio (Nivel secundario)</t>
        </is>
      </c>
      <c r="C54" s="3935">
        <f>SUM(D54:F54)</f>
        <v/>
      </c>
      <c r="D54" s="3502" t="n"/>
      <c r="E54" s="835" t="n"/>
      <c r="F54" s="835" t="n"/>
      <c r="G54" s="3991" t="n"/>
      <c r="H54" s="3805" t="n"/>
      <c r="I54" s="1965" t="n"/>
      <c r="J54" s="36" t="n"/>
      <c r="K54" s="1964" t="n"/>
      <c r="L54" s="36" t="n"/>
      <c r="M54" s="1964" t="n"/>
      <c r="N54" s="17">
        <f>BQ54&amp;BR54&amp;BS54&amp;BT54&amp;BU54</f>
        <v/>
      </c>
      <c r="BQ54" s="209">
        <f>IF(AND(C54&gt;0,J54="")," * No olvide digitar la variable Pueblos Originarios. Digite Cero si no tiene.",IF(J54&gt;C54," * La variable Pueblos Originarios No puede ser mayor al Total.",""))</f>
        <v/>
      </c>
      <c r="BR54" s="209">
        <f>IF(AND(C54&gt;0,K54="")," * No olvide digitar la variable Migrantes. Digite Cero si no tiene.",IF(K54&gt;C54," * La variable Migrantes No puede ser mayor al Total.",""))</f>
        <v/>
      </c>
      <c r="BS54" s="209">
        <f>IF(AND(C54&gt;0,L54="")," * No olvide digitar la variable "&amp;L$49&amp;". Digite Cero si no tiene.",IF(L54&gt;C54," * La variable "&amp;L$49&amp;" No puede ser mayor al Total.",""))</f>
        <v/>
      </c>
      <c r="BT54" s="209">
        <f>IF(AND(C54&gt;0,M54="")," * No olvide digitar la variable "&amp;M$49&amp;". Digite Cero si no tiene.",IF(M54&gt;C54," * La variable "&amp;M$49&amp;" No puede ser mayor al Total.",""))</f>
        <v/>
      </c>
      <c r="BZ54" s="52">
        <f>IF(AND(C54&gt;0,J54=""),1,IF(J54&gt;C54,1,0))</f>
        <v/>
      </c>
      <c r="CA54" s="52">
        <f>IF(AND(C54&gt;0,K54=""),1,IF(K54&gt;C54,1,0))</f>
        <v/>
      </c>
      <c r="CB54" s="52">
        <f>IF(AND(C54&gt;0,L54=""),1,IF(L54&gt;C54,1,0))</f>
        <v/>
      </c>
      <c r="CC54" s="52">
        <f>IF(AND(C54&gt;0,M54=""),1,IF(M54&gt;C54,1,0))</f>
        <v/>
      </c>
    </row>
    <row r="55" ht="15" customFormat="1" customHeight="1" s="17">
      <c r="A55" s="9588" t="n"/>
      <c r="B55" s="3697" t="inlineStr">
        <is>
          <t>A lugar de trabajo</t>
        </is>
      </c>
      <c r="C55" s="3936">
        <f>SUM(D55:F55)</f>
        <v/>
      </c>
      <c r="D55" s="3787" t="n"/>
      <c r="E55" s="3891" t="n"/>
      <c r="F55" s="3891" t="n"/>
      <c r="G55" s="3993" t="n"/>
      <c r="H55" s="3805" t="n"/>
      <c r="I55" s="1965" t="n"/>
      <c r="J55" s="36" t="n"/>
      <c r="K55" s="1964" t="n"/>
      <c r="L55" s="36" t="n"/>
      <c r="M55" s="1964" t="n"/>
      <c r="N55" s="17">
        <f>BQ55&amp;BR55&amp;BS55&amp;BT55&amp;BU55</f>
        <v/>
      </c>
      <c r="BQ55" s="209">
        <f>IF(AND(C55&gt;0,J55="")," * No olvide digitar la variable Pueblos Originarios. Digite Cero si no tiene.",IF(J55&gt;C55," * La variable Pueblos Originarios No puede ser mayor al Total.",""))</f>
        <v/>
      </c>
      <c r="BR55" s="209">
        <f>IF(AND(C55&gt;0,K55="")," * No olvide digitar la variable Migrantes. Digite Cero si no tiene.",IF(K55&gt;C55," * La variable Migrantes No puede ser mayor al Total.",""))</f>
        <v/>
      </c>
      <c r="BS55" s="209">
        <f>IF(AND(C55&gt;0,L55="")," * No olvide digitar la variable "&amp;L$49&amp;". Digite Cero si no tiene.",IF(L55&gt;C55," * La variable "&amp;L$49&amp;" No puede ser mayor al Total.",""))</f>
        <v/>
      </c>
      <c r="BT55" s="209">
        <f>IF(AND(C55&gt;0,M55="")," * No olvide digitar la variable "&amp;M$49&amp;". Digite Cero si no tiene.",IF(M55&gt;C55," * La variable "&amp;M$49&amp;" No puede ser mayor al Total.",""))</f>
        <v/>
      </c>
      <c r="BZ55" s="52">
        <f>IF(AND(C55&gt;0,J55=""),1,IF(J55&gt;C55,1,0))</f>
        <v/>
      </c>
      <c r="CA55" s="52">
        <f>IF(AND(C55&gt;0,K55=""),1,IF(K55&gt;C55,1,0))</f>
        <v/>
      </c>
      <c r="CB55" s="52">
        <f>IF(AND(C55&gt;0,L55=""),1,IF(L55&gt;C55,1,0))</f>
        <v/>
      </c>
      <c r="CC55" s="52">
        <f>IF(AND(C55&gt;0,M55=""),1,IF(M55&gt;C55,1,0))</f>
        <v/>
      </c>
    </row>
    <row r="56" ht="15" customFormat="1" customHeight="1" s="17">
      <c r="A56" s="9589" t="n"/>
      <c r="B56" s="3709" t="inlineStr">
        <is>
          <t>A establecimientos educacionales</t>
        </is>
      </c>
      <c r="C56" s="3937">
        <f>SUM(D56:F56)</f>
        <v/>
      </c>
      <c r="D56" s="3808" t="n"/>
      <c r="E56" s="3599" t="n"/>
      <c r="F56" s="3599" t="n"/>
      <c r="G56" s="1295" t="n"/>
      <c r="H56" s="3788" t="n"/>
      <c r="I56" s="3926" t="n"/>
      <c r="J56" s="3895" t="n"/>
      <c r="K56" s="3892" t="n"/>
      <c r="L56" s="3895" t="n"/>
      <c r="M56" s="3892" t="n"/>
      <c r="N56" s="17">
        <f>BQ56&amp;BR56&amp;BS56&amp;BT56&amp;BU56</f>
        <v/>
      </c>
      <c r="BQ56" s="209">
        <f>IF(AND(C56&gt;0,J56="")," * No olvide digitar la variable Pueblos Originarios. Digite Cero si no tiene.",IF(J56&gt;C56," * La variable Pueblos Originarios No puede ser mayor al Total.",""))</f>
        <v/>
      </c>
      <c r="BR56" s="209">
        <f>IF(AND(C56&gt;0,K56="")," * No olvide digitar la variable Migrantes. Digite Cero si no tiene.",IF(K56&gt;C56," * La variable Migrantes No puede ser mayor al Total.",""))</f>
        <v/>
      </c>
      <c r="BS56" s="209">
        <f>IF(AND(C56&gt;0,L56="")," * No olvide digitar la variable "&amp;L$49&amp;". Digite Cero si no tiene.",IF(L56&gt;C56," * La variable "&amp;L$49&amp;" No puede ser mayor al Total.",""))</f>
        <v/>
      </c>
      <c r="BT56" s="209">
        <f>IF(AND(C56&gt;0,M56="")," * No olvide digitar la variable "&amp;M$49&amp;". Digite Cero si no tiene.",IF(M56&gt;C56," * La variable "&amp;M$49&amp;" No puede ser mayor al Total.",""))</f>
        <v/>
      </c>
      <c r="BZ56" s="52">
        <f>IF(AND(C56&gt;0,J56=""),1,IF(J56&gt;C56,1,0))</f>
        <v/>
      </c>
      <c r="CA56" s="52">
        <f>IF(AND(C56&gt;0,K56=""),1,IF(K56&gt;C56,1,0))</f>
        <v/>
      </c>
      <c r="CB56" s="52">
        <f>IF(AND(C56&gt;0,L56=""),1,IF(L56&gt;C56,1,0))</f>
        <v/>
      </c>
      <c r="CC56" s="52">
        <f>IF(AND(C56&gt;0,M56=""),1,IF(M56&gt;C56,1,0))</f>
        <v/>
      </c>
    </row>
    <row r="57" ht="15" customFormat="1" customHeight="1" s="17">
      <c r="A57" s="10243" t="inlineStr">
        <is>
          <t>En sector rural</t>
        </is>
      </c>
      <c r="B57" s="9643" t="n"/>
      <c r="C57" s="3935">
        <f>SUM(D57:G57)</f>
        <v/>
      </c>
      <c r="D57" s="3502" t="n"/>
      <c r="E57" s="835" t="n"/>
      <c r="F57" s="835" t="n"/>
      <c r="G57" s="3995" t="n"/>
      <c r="H57" s="3520" t="n"/>
      <c r="I57" s="3996" t="n"/>
      <c r="J57" s="4512" t="n"/>
      <c r="K57" s="3519" t="n"/>
      <c r="L57" s="4512" t="n"/>
      <c r="M57" s="3519" t="n"/>
      <c r="N57" s="17">
        <f>BQ57&amp;BR57&amp;BS57&amp;BT57&amp;BU57</f>
        <v/>
      </c>
      <c r="BQ57" s="209">
        <f>IF(AND(C57&gt;0,J57="")," * No olvide digitar la variable Pueblos Originarios. Digite Cero si no tiene.",IF(J57&gt;C57," * La variable Pueblos Originarios No puede ser mayor al Total.",""))</f>
        <v/>
      </c>
      <c r="BR57" s="209">
        <f>IF(AND(C57&gt;0,K57="")," * No olvide digitar la variable Migrantes. Digite Cero si no tiene.",IF(K57&gt;C57," * La variable Migrantes No puede ser mayor al Total.",""))</f>
        <v/>
      </c>
      <c r="BS57" s="209">
        <f>IF(AND(C57&gt;0,L57="")," * No olvide digitar la variable "&amp;L$49&amp;". Digite Cero si no tiene.",IF(L57&gt;C57," * La variable "&amp;L$49&amp;" No puede ser mayor al Total.",""))</f>
        <v/>
      </c>
      <c r="BT57" s="209">
        <f>IF(AND(C57&gt;0,M57="")," * No olvide digitar la variable "&amp;M$49&amp;". Digite Cero si no tiene.",IF(M57&gt;C57," * La variable "&amp;M$49&amp;" No puede ser mayor al Total.",""))</f>
        <v/>
      </c>
      <c r="BZ57" s="52">
        <f>IF(AND(C57&gt;0,J57=""),1,IF(J57&gt;C57,1,0))</f>
        <v/>
      </c>
      <c r="CA57" s="52">
        <f>IF(AND(C57&gt;0,K57=""),1,IF(K57&gt;C57,1,0))</f>
        <v/>
      </c>
      <c r="CB57" s="52">
        <f>IF(AND(C57&gt;0,L57=""),1,IF(L57&gt;C57,1,0))</f>
        <v/>
      </c>
      <c r="CC57" s="52">
        <f>IF(AND(C57&gt;0,M57=""),1,IF(M57&gt;C57,1,0))</f>
        <v/>
      </c>
    </row>
    <row r="58" ht="15" customFormat="1" customHeight="1" s="17">
      <c r="A58" s="10517" t="inlineStr">
        <is>
          <t>Otras</t>
        </is>
      </c>
      <c r="B58" s="9720" t="n"/>
      <c r="C58" s="3937">
        <f>SUM(D58:G58)</f>
        <v/>
      </c>
      <c r="D58" s="3808" t="n"/>
      <c r="E58" s="3599" t="n"/>
      <c r="F58" s="3599" t="n"/>
      <c r="G58" s="1296" t="n"/>
      <c r="H58" s="1192" t="n"/>
      <c r="I58" s="3994" t="n"/>
      <c r="J58" s="1227" t="n"/>
      <c r="K58" s="1223" t="n"/>
      <c r="L58" s="1227" t="n"/>
      <c r="M58" s="1223" t="n"/>
      <c r="N58" s="17">
        <f>BQ58&amp;BR58&amp;BS58&amp;BT58&amp;BU58</f>
        <v/>
      </c>
      <c r="BQ58" s="209">
        <f>IF(AND(C58&gt;0,J58="")," * No olvide digitar la variable Pueblos Originarios. Digite Cero si no tiene.",IF(J58&gt;C58," * La variable Pueblos Originarios No puede ser mayor al Total.",""))</f>
        <v/>
      </c>
      <c r="BR58" s="209">
        <f>IF(AND(C58&gt;0,K58="")," * No olvide digitar la variable Migrantes. Digite Cero si no tiene.",IF(K58&gt;C58," * La variable Migrantes No puede ser mayor al Total.",""))</f>
        <v/>
      </c>
      <c r="BS58" s="209">
        <f>IF(AND(C58&gt;0,L58="")," * No olvide digitar la variable "&amp;L$49&amp;". Digite Cero si no tiene.",IF(L58&gt;C58," * La variable "&amp;L$49&amp;" No puede ser mayor al Total.",""))</f>
        <v/>
      </c>
      <c r="BT58" s="209">
        <f>IF(AND(C58&gt;0,M58="")," * No olvide digitar la variable "&amp;M$49&amp;". Digite Cero si no tiene.",IF(M58&gt;C58," * La variable "&amp;M$49&amp;" No puede ser mayor al Total.",""))</f>
        <v/>
      </c>
      <c r="BZ58" s="52">
        <f>IF(AND(C58&gt;0,J58=""),1,IF(J58&gt;C58,1,0))</f>
        <v/>
      </c>
      <c r="CA58" s="52">
        <f>IF(AND(C58&gt;0,K58=""),1,IF(K58&gt;C58,1,0))</f>
        <v/>
      </c>
      <c r="CB58" s="52">
        <f>IF(AND(C58&gt;0,L58=""),1,IF(L58&gt;C58,1,0))</f>
        <v/>
      </c>
      <c r="CC58" s="52">
        <f>IF(AND(C58&gt;0,M58=""),1,IF(M58&gt;C58,1,0))</f>
        <v/>
      </c>
    </row>
    <row r="59" ht="15" customFormat="1" customHeight="1" s="17">
      <c r="A59" s="10406" t="inlineStr">
        <is>
          <t>TOTAL</t>
        </is>
      </c>
      <c r="B59" s="9582" t="n"/>
      <c r="C59" s="3685">
        <f>SUM(C54:C58)+C50</f>
        <v/>
      </c>
      <c r="D59" s="3725">
        <f>SUM(D54:D58)+D50</f>
        <v/>
      </c>
      <c r="E59" s="3689">
        <f>SUM(E54:E58)+E50</f>
        <v/>
      </c>
      <c r="F59" s="3689">
        <f>SUM(F54:F58)+F50</f>
        <v/>
      </c>
      <c r="G59" s="3997">
        <f>SUM(G54:G58)+G50</f>
        <v/>
      </c>
      <c r="H59" s="3686">
        <f>SUM(H54:H58)+H50</f>
        <v/>
      </c>
      <c r="I59" s="3725">
        <f>SUM(I54:I58)+I50</f>
        <v/>
      </c>
      <c r="J59" s="5161">
        <f>SUM(J54:J58)+J50</f>
        <v/>
      </c>
      <c r="K59" s="5162">
        <f>SUM(K54:K58)+K50</f>
        <v/>
      </c>
      <c r="L59" s="5184">
        <f>SUM(L54:L58)+L50</f>
        <v/>
      </c>
      <c r="M59" s="5162">
        <f>SUM(M54:M58)+M50</f>
        <v/>
      </c>
    </row>
    <row r="60" ht="15" customFormat="1" customHeight="1" s="54">
      <c r="A60" s="54" t="inlineStr">
        <is>
          <t>(*) Excluye visita integral de salud mental.</t>
        </is>
      </c>
    </row>
    <row r="61" ht="18" customFormat="1" customHeight="1" s="20">
      <c r="A61" s="2" t="inlineStr">
        <is>
          <t>SECCIÓN C:  VISITAS CON FINES DE TRATAMIENTOS Y/O PROCEDIMIENTOS EN DOMICILIO A PERSONAS CON DEPENDENCIA</t>
        </is>
      </c>
    </row>
    <row r="62" ht="18" customFormat="1" customHeight="1" s="20">
      <c r="A62" s="10004" t="inlineStr">
        <is>
          <t>TIPO DE DEPENDENCIA</t>
        </is>
      </c>
      <c r="B62" s="9630" t="n"/>
      <c r="C62" s="9077" t="inlineStr">
        <is>
          <t>PROFESIONALES QUE PARTICIPAN EN LA VISITA DE TRATAMIENTO</t>
        </is>
      </c>
      <c r="D62" s="9617" t="n"/>
      <c r="E62" s="9617" t="n"/>
      <c r="F62" s="9617" t="n"/>
      <c r="G62" s="9617" t="n"/>
      <c r="H62" s="9617" t="n"/>
      <c r="I62" s="9617" t="n"/>
      <c r="J62" s="9617" t="n"/>
      <c r="K62" s="9617" t="n"/>
      <c r="L62" s="9617" t="n"/>
      <c r="M62" s="9617" t="n"/>
      <c r="N62" s="9617" t="n"/>
      <c r="O62" s="9617" t="n"/>
      <c r="P62" s="9617" t="n"/>
      <c r="Q62" s="8400" t="inlineStr">
        <is>
          <t>Pueblos Originarios</t>
        </is>
      </c>
      <c r="R62" s="7829" t="inlineStr">
        <is>
          <t>Migrantes</t>
        </is>
      </c>
      <c r="S62" s="8400" t="inlineStr">
        <is>
          <t>Población en ECICEP</t>
        </is>
      </c>
      <c r="T62" s="7829" t="inlineStr">
        <is>
          <t>Población ELEAM o Institucionalizada</t>
        </is>
      </c>
      <c r="U62" s="8400" t="inlineStr">
        <is>
          <t>Atención nutricional a personas con NED</t>
        </is>
      </c>
    </row>
    <row r="63" ht="24" customFormat="1" customHeight="1" s="17">
      <c r="A63" s="9638" t="n"/>
      <c r="B63" s="9639" t="n"/>
      <c r="C63" s="8757" t="inlineStr">
        <is>
          <t>N° DE VISITAS REALIZADAS</t>
        </is>
      </c>
      <c r="D63" s="8649" t="inlineStr">
        <is>
          <t>TOTAL PROFESIONALES</t>
        </is>
      </c>
      <c r="E63" s="3589" t="inlineStr">
        <is>
          <t>Médico/a</t>
        </is>
      </c>
      <c r="F63" s="3909" t="inlineStr">
        <is>
          <t>Odontólogo/a</t>
        </is>
      </c>
      <c r="G63" s="3909" t="inlineStr">
        <is>
          <t>Químico/a Farmacéutico/a</t>
        </is>
      </c>
      <c r="H63" s="3909" t="inlineStr">
        <is>
          <t>Enfermero/a</t>
        </is>
      </c>
      <c r="I63" s="3909" t="inlineStr">
        <is>
          <t>Kinesiólogo/a</t>
        </is>
      </c>
      <c r="J63" s="3909" t="inlineStr">
        <is>
          <t>Terapeuta Ocupacional</t>
        </is>
      </c>
      <c r="K63" s="3909" t="inlineStr">
        <is>
          <t>Fonoaudiólogo/a</t>
        </is>
      </c>
      <c r="L63" s="3909" t="inlineStr">
        <is>
          <t>Psicólogo/a</t>
        </is>
      </c>
      <c r="M63" s="3909" t="inlineStr">
        <is>
          <t>Nutricionista</t>
        </is>
      </c>
      <c r="N63" s="3909" t="inlineStr">
        <is>
          <t>Trabajador/a Social</t>
        </is>
      </c>
      <c r="O63" s="3909" t="inlineStr">
        <is>
          <t>Técnico en Enfermería</t>
        </is>
      </c>
      <c r="P63" s="9496" t="inlineStr">
        <is>
          <t>Otro</t>
        </is>
      </c>
      <c r="Q63" s="9610" t="n"/>
      <c r="R63" s="9591" t="n"/>
      <c r="S63" s="9610" t="n"/>
      <c r="T63" s="9591" t="n"/>
      <c r="U63" s="9610" t="n"/>
    </row>
    <row r="64" ht="15" customFormat="1" customHeight="1" s="17">
      <c r="A64" s="10243" t="inlineStr">
        <is>
          <t>Personas con dependencia leve</t>
        </is>
      </c>
      <c r="B64" s="9643" t="n"/>
      <c r="C64" s="3998" t="n"/>
      <c r="D64" s="3999">
        <f>SUM(E64:P64)</f>
        <v/>
      </c>
      <c r="E64" s="3502" t="n"/>
      <c r="F64" s="835" t="n"/>
      <c r="G64" s="835" t="n"/>
      <c r="H64" s="835" t="n"/>
      <c r="I64" s="835" t="n"/>
      <c r="J64" s="835" t="n"/>
      <c r="K64" s="835" t="n"/>
      <c r="L64" s="835" t="n"/>
      <c r="M64" s="835" t="n"/>
      <c r="N64" s="835" t="n"/>
      <c r="O64" s="835" t="n"/>
      <c r="P64" s="4512" t="n"/>
      <c r="Q64" s="3964" t="n"/>
      <c r="R64" s="5173" t="n"/>
      <c r="S64" s="3964" t="n"/>
      <c r="T64" s="5173" t="n"/>
      <c r="U64" s="3964" t="n"/>
      <c r="V64" s="17">
        <f>BQ64&amp;BR64&amp;BS64&amp;BT64&amp;BU64</f>
        <v/>
      </c>
      <c r="BQ64" s="209">
        <f>IF(AND($D64&gt;0,Q64="")," * No olvide digitar la variable Pueblos originarios. Digite Cero si no tiene.",IF(Q64&gt;$D64," * La variable Pueblos originarios No puede ser mayor al Total.",""))</f>
        <v/>
      </c>
      <c r="BR64" s="209">
        <f>IF(AND($D64&gt;0,R64="")," * No olvide digitar la variable Migrantes. Digite Cero si no tiene.",IF(R64&gt;$D64," * La variable Migrantes No puede ser mayor al Total.",""))</f>
        <v/>
      </c>
      <c r="BS64" s="209">
        <f>IF(AND($D64&gt;0,S64="")," * No olvide digitar la variable Población en ECICEP. Digite Cero si no tiene.",IF(S64&gt;$D64," * La variable Población en ECICEP No puede ser mayor al Total.",""))</f>
        <v/>
      </c>
      <c r="BT64" s="209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/>
      </c>
      <c r="CA64" s="52">
        <f>IF(AND($D64&gt;0,R64=""),1,IF(R64&gt;$D64,1,0))</f>
        <v/>
      </c>
      <c r="CB64" s="52">
        <f>IF(AND($D64&gt;0,S64=""),1,IF(S64&gt;$D64,1,0))</f>
        <v/>
      </c>
      <c r="CC64" s="52">
        <f>IF(AND($D64&gt;0,T64=""),1,IF(T64&gt;$D64,1,0))</f>
        <v/>
      </c>
      <c r="CD64" s="52">
        <f>IF(AND($D64&gt;0,U64=""),1,IF(U64&gt;$D64,1,0))</f>
        <v/>
      </c>
    </row>
    <row r="65" ht="15" customFormat="1" customHeight="1" s="17">
      <c r="A65" s="10223" t="inlineStr">
        <is>
          <t>Personas con dependencia moderada</t>
        </is>
      </c>
      <c r="B65" s="9720" t="n"/>
      <c r="C65" s="4000" t="n"/>
      <c r="D65" s="4001">
        <f>SUM(E65:P65)</f>
        <v/>
      </c>
      <c r="E65" s="3808" t="n"/>
      <c r="F65" s="3599" t="n"/>
      <c r="G65" s="3599" t="n"/>
      <c r="H65" s="3599" t="n"/>
      <c r="I65" s="3599" t="n"/>
      <c r="J65" s="3599" t="n"/>
      <c r="K65" s="3599" t="n"/>
      <c r="L65" s="3599" t="n"/>
      <c r="M65" s="3599" t="n"/>
      <c r="N65" s="3599" t="n"/>
      <c r="O65" s="3599" t="n"/>
      <c r="P65" s="1227" t="n"/>
      <c r="Q65" s="5168" t="n"/>
      <c r="R65" s="5182" t="n"/>
      <c r="S65" s="5168" t="n"/>
      <c r="T65" s="5182" t="n"/>
      <c r="U65" s="5168" t="n"/>
      <c r="V65" s="17">
        <f>BQ65&amp;BR65</f>
        <v/>
      </c>
      <c r="BQ65" s="209">
        <f>IF(AND(D65&gt;0,Q65="")," * No olvide digitar la variable Pueblos originarios. Digite Cero si no tiene.",IF(Q65&gt;D65," * La variable Pueblos originarios No puede ser mayor al Total.",""))</f>
        <v/>
      </c>
      <c r="BR65" s="209">
        <f>IF(AND(D65&gt;0,R65="")," * No olvide digitar la variable Migrantes. Digite Cero si no tiene.",IF(R65&gt;D65," * La variable Migrantes No puede ser mayor al Total.",""))</f>
        <v/>
      </c>
      <c r="BS65" s="209">
        <f>IF(AND($D65&gt;0,S65="")," * No olvide digitar la variable Población en ECICEP. Digite Cero si no tiene.",IF(S65&gt;$D65," * La variable Población en ECICEP No puede ser mayor al Total.",""))</f>
        <v/>
      </c>
      <c r="BT65" s="209">
        <f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>
        <f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/>
      </c>
      <c r="CA65" s="52">
        <f>IF(AND(D65&gt;0,R65=""),1,IF(R65&gt;D65,1,0))</f>
        <v/>
      </c>
      <c r="CB65" s="52">
        <f>IF(AND($D65&gt;0,S65=""),1,IF(S65&gt;$D65,1,0))</f>
        <v/>
      </c>
      <c r="CC65" s="52">
        <f>IF(AND($D65&gt;0,T65=""),1,IF(T65&gt;$D65,1,0))</f>
        <v/>
      </c>
      <c r="CD65" s="52">
        <f>IF(AND($D65&gt;0,U65=""),1,IF(U65&gt;$D65,1,0))</f>
        <v/>
      </c>
    </row>
    <row r="66" ht="15" customFormat="1" customHeight="1" s="17">
      <c r="A66" s="9690" t="inlineStr">
        <is>
          <t>Personas con dependencia severa</t>
        </is>
      </c>
      <c r="B66" s="3934" t="inlineStr">
        <is>
          <t>Oncológicos</t>
        </is>
      </c>
      <c r="C66" s="3998" t="n">
        <v>3</v>
      </c>
      <c r="D66" s="3999">
        <f>SUM(E66:P66)</f>
        <v/>
      </c>
      <c r="E66" s="1935" t="n"/>
      <c r="F66" s="793" t="n"/>
      <c r="G66" s="793" t="n"/>
      <c r="H66" s="793" t="n">
        <v>3</v>
      </c>
      <c r="I66" s="793" t="n"/>
      <c r="J66" s="793" t="n"/>
      <c r="K66" s="793" t="n"/>
      <c r="L66" s="793" t="n"/>
      <c r="M66" s="793" t="n"/>
      <c r="N66" s="793" t="n"/>
      <c r="O66" s="793" t="n"/>
      <c r="P66" s="36" t="n"/>
      <c r="Q66" s="5179" t="n"/>
      <c r="R66" s="5183" t="n"/>
      <c r="S66" s="5179" t="n"/>
      <c r="T66" s="5183" t="n"/>
      <c r="U66" s="5179" t="n"/>
      <c r="V66" s="17">
        <f>BQ66&amp;BR66</f>
        <v/>
      </c>
      <c r="BQ66" s="209">
        <f>IF(AND(D66&gt;0,Q66="")," * No olvide digitar la variable Pueblos originarios. Digite Cero si no tiene.",IF(Q66&gt;D66," * La variable Pueblos originarios No puede ser mayor al Total.",""))</f>
        <v/>
      </c>
      <c r="BR66" s="209">
        <f>IF(AND(D66&gt;0,R66="")," * No olvide digitar la variable Migrantes. Digite Cero si no tiene.",IF(R66&gt;D66," * La variable Migrantes No puede ser mayor al Total.",""))</f>
        <v/>
      </c>
      <c r="BS66" s="209">
        <f>IF(AND($D66&gt;0,S66="")," * No olvide digitar la variable Población en ECICEP. Digite Cero si no tiene.",IF(S66&gt;$D66," * La variable Población en ECICEP No puede ser mayor al Total.",""))</f>
        <v/>
      </c>
      <c r="BT66" s="209">
        <f>IF(AND($D66&gt;0,T66="")," * No olvide digitar la variable Población ELEAM o Institucionalizada. Digite Cero si no tiene.",IF(T66&gt;$D66," * La variable Población ELEAM o Institucionalizada No puede ser mayor al Total.",""))</f>
        <v/>
      </c>
      <c r="BU66" s="209">
        <f>IF(AND($D66&gt;0,U66="")," * No olvide digitar la variable Atención nutricional a personas con NED. Digite Cero si no tiene.",IF(U66&gt;$D66," * La variable Atención nutricional a personas con NED No puede ser mayor al Total.",""))</f>
        <v/>
      </c>
      <c r="BZ66" s="52">
        <f>IF(AND(D66&gt;0,Q66=""),1,IF(Q66&gt;D66,1,0))</f>
        <v/>
      </c>
      <c r="CA66" s="52">
        <f>IF(AND(D66&gt;0,R66=""),1,IF(R66&gt;D66,1,0))</f>
        <v/>
      </c>
      <c r="CB66" s="52">
        <f>IF(AND($D66&gt;0,S66=""),1,IF(S66&gt;$D66,1,0))</f>
        <v/>
      </c>
      <c r="CC66" s="52">
        <f>IF(AND($D66&gt;0,T66=""),1,IF(T66&gt;$D66,1,0))</f>
        <v/>
      </c>
      <c r="CD66" s="52">
        <f>IF(AND($D66&gt;0,U66=""),1,IF(U66&gt;$D66,1,0))</f>
        <v/>
      </c>
    </row>
    <row r="67" ht="15" customFormat="1" customHeight="1" s="17">
      <c r="A67" s="9588" t="n"/>
      <c r="B67" s="3709" t="inlineStr">
        <is>
          <t>No oncológicos</t>
        </is>
      </c>
      <c r="C67" s="4003" t="n">
        <v>547</v>
      </c>
      <c r="D67" s="3940">
        <f>SUM(E67:P67)</f>
        <v/>
      </c>
      <c r="E67" s="3808" t="n">
        <v>52</v>
      </c>
      <c r="F67" s="3599" t="n"/>
      <c r="G67" s="3599" t="n"/>
      <c r="H67" s="3599" t="n">
        <v>290</v>
      </c>
      <c r="I67" s="3599" t="n">
        <v>77</v>
      </c>
      <c r="J67" s="3599" t="n"/>
      <c r="K67" s="3599" t="n"/>
      <c r="L67" s="3599" t="n"/>
      <c r="M67" s="3599" t="n"/>
      <c r="N67" s="3599" t="n"/>
      <c r="O67" s="3599" t="n">
        <v>128</v>
      </c>
      <c r="P67" s="1227" t="n"/>
      <c r="Q67" s="5168" t="n"/>
      <c r="R67" s="5182" t="n"/>
      <c r="S67" s="5168" t="n"/>
      <c r="T67" s="5182" t="n"/>
      <c r="U67" s="5168" t="n"/>
      <c r="V67" s="17">
        <f>BQ67&amp;BR67</f>
        <v/>
      </c>
      <c r="BQ67" s="209">
        <f>IF(AND(D67&gt;0,Q67="")," * No olvide digitar la variable Pueblos originarios. Digite Cero si no tiene.",IF(Q67&gt;D67," * La variable Pueblos originarios No puede ser mayor al Total.",""))</f>
        <v/>
      </c>
      <c r="BR67" s="209">
        <f>IF(AND(D67&gt;0,R67="")," * No olvide digitar la variable Migrantes. Digite Cero si no tiene.",IF(R67&gt;D67," * La variable Migrantes No puede ser mayor al Total.",""))</f>
        <v/>
      </c>
      <c r="BS67" s="209">
        <f>IF(AND($D67&gt;0,S67="")," * No olvide digitar la variable Población en ECICEP. Digite Cero si no tiene.",IF(S67&gt;$D67," * La variable Población en ECICEP No puede ser mayor al Total.",""))</f>
        <v/>
      </c>
      <c r="BT67" s="209">
        <f>IF(AND($D67&gt;0,T67="")," * No olvide digitar la variable Población ELEAM o Institucionalizada. Digite Cero si no tiene.",IF(T67&gt;$D67," * La variable Población ELEAM o Institucionalizada No puede ser mayor al Total.",""))</f>
        <v/>
      </c>
      <c r="BU67" s="209">
        <f>IF(AND($D67&gt;0,U67="")," * No olvide digitar la variable Atención nutricional a personas con NED. Digite Cero si no tiene.",IF(U67&gt;$D67," * La variable Atención nutricional a personas con NED No puede ser mayor al Total.",""))</f>
        <v/>
      </c>
      <c r="BZ67" s="52">
        <f>IF(AND(D67&gt;0,Q67=""),1,IF(Q67&gt;D67,1,0))</f>
        <v/>
      </c>
      <c r="CA67" s="52">
        <f>IF(AND(D67&gt;0,R67=""),1,IF(R67&gt;D67,1,0))</f>
        <v/>
      </c>
      <c r="CB67" s="52">
        <f>IF(AND($D67&gt;0,S67=""),1,IF(S67&gt;$D67,1,0))</f>
        <v/>
      </c>
      <c r="CC67" s="52">
        <f>IF(AND($D67&gt;0,T67=""),1,IF(T67&gt;$D67,1,0))</f>
        <v/>
      </c>
      <c r="CD67" s="52">
        <f>IF(AND($D67&gt;0,U67=""),1,IF(U67&gt;$D67,1,0))</f>
        <v/>
      </c>
    </row>
    <row r="68" ht="15" customFormat="1" customHeight="1" s="17">
      <c r="A68" s="9588" t="n"/>
      <c r="B68" s="2377" t="inlineStr">
        <is>
          <t>Entrega fármacos/alimentos</t>
        </is>
      </c>
      <c r="C68" s="4004" t="n">
        <v>19</v>
      </c>
      <c r="D68" s="3941">
        <f>SUM(E68:P68)</f>
        <v/>
      </c>
      <c r="E68" s="1935" t="n"/>
      <c r="F68" s="793" t="n"/>
      <c r="G68" s="793" t="n"/>
      <c r="H68" s="793" t="n"/>
      <c r="I68" s="793" t="n"/>
      <c r="J68" s="793" t="n"/>
      <c r="K68" s="793" t="n"/>
      <c r="L68" s="793" t="n"/>
      <c r="M68" s="793" t="n"/>
      <c r="N68" s="793" t="n"/>
      <c r="O68" s="793" t="n">
        <v>19</v>
      </c>
      <c r="P68" s="36" t="n"/>
      <c r="Q68" s="5179" t="n"/>
      <c r="R68" s="5183" t="n"/>
      <c r="S68" s="5179" t="n"/>
      <c r="T68" s="5183" t="n"/>
      <c r="U68" s="5179" t="n"/>
      <c r="V68" s="17">
        <f>BQ68&amp;BR68</f>
        <v/>
      </c>
      <c r="BQ68" s="209">
        <f>IF(AND(D68&gt;0,Q68="")," * No olvide digitar la variable Pueblos originarios. Digite Cero si no tiene.",IF(Q68&gt;D68," * La variable Pueblos originarios No puede ser mayor al Total.",""))</f>
        <v/>
      </c>
      <c r="BR68" s="209">
        <f>IF(AND(D68&gt;0,R68="")," * No olvide digitar la variable Migrantes. Digite Cero si no tiene.",IF(R68&gt;D68," * La variable Migrantes No puede ser mayor al Total.",""))</f>
        <v/>
      </c>
      <c r="BS68" s="209">
        <f>IF(AND($D68&gt;0,S68="")," * No olvide digitar la variable Población en ECICEP. Digite Cero si no tiene.",IF(S68&gt;$D68," * La variable Población en ECICEP No puede ser mayor al Total.",""))</f>
        <v/>
      </c>
      <c r="BT68" s="209">
        <f>IF(AND($D68&gt;0,T68="")," * No olvide digitar la variable Población ELEAM o Institucionalizada. Digite Cero si no tiene.",IF(T68&gt;$D68," * La variable Población ELEAM o Institucionalizada No puede ser mayor al Total.",""))</f>
        <v/>
      </c>
      <c r="BU68" s="209">
        <f>IF(AND($D68&gt;0,U68="")," * No olvide digitar la variable Atención nutricional a personas con NED. Digite Cero si no tiene.",IF(U68&gt;$D68," * La variable Atención nutricional a personas con NED No puede ser mayor al Total.",""))</f>
        <v/>
      </c>
      <c r="BZ68" s="52">
        <f>IF(AND(D68&gt;0,Q68=""),1,IF(Q68&gt;D68,1,0))</f>
        <v/>
      </c>
      <c r="CA68" s="52">
        <f>IF(AND(D68&gt;0,R68=""),1,IF(R68&gt;D68,1,0))</f>
        <v/>
      </c>
      <c r="CB68" s="52">
        <f>IF(AND($D68&gt;0,S68=""),1,IF(S68&gt;$D68,1,0))</f>
        <v/>
      </c>
      <c r="CC68" s="52">
        <f>IF(AND($D68&gt;0,T68=""),1,IF(T68&gt;$D68,1,0))</f>
        <v/>
      </c>
      <c r="CD68" s="52">
        <f>IF(AND($D68&gt;0,U68=""),1,IF(U68&gt;$D68,1,0))</f>
        <v/>
      </c>
    </row>
    <row r="69" ht="15" customFormat="1" customHeight="1" s="17">
      <c r="A69" s="9589" t="n"/>
      <c r="B69" s="8369" t="inlineStr">
        <is>
          <t>Seguimiento remoto</t>
        </is>
      </c>
      <c r="C69" s="4005" t="n"/>
      <c r="D69" s="4001">
        <f>SUM(E69:P69)</f>
        <v/>
      </c>
      <c r="E69" s="2644" t="n"/>
      <c r="F69" s="155" t="n"/>
      <c r="G69" s="155" t="n"/>
      <c r="H69" s="155" t="n"/>
      <c r="I69" s="155" t="n"/>
      <c r="J69" s="155" t="n"/>
      <c r="K69" s="155" t="n"/>
      <c r="L69" s="155" t="n"/>
      <c r="M69" s="155" t="n"/>
      <c r="N69" s="155" t="n"/>
      <c r="O69" s="155" t="n"/>
      <c r="P69" s="5181" t="n"/>
      <c r="Q69" s="3973" t="n"/>
      <c r="R69" s="5175" t="n"/>
      <c r="S69" s="3973" t="n"/>
      <c r="T69" s="5175" t="n"/>
      <c r="U69" s="3973" t="n"/>
      <c r="V69" s="17">
        <f>BQ69&amp;BR69</f>
        <v/>
      </c>
      <c r="BQ69" s="209">
        <f>IF(AND(D69&gt;0,Q69="")," * No olvide digitar la variable Pueblos originarios. Digite Cero si no tiene.",IF(Q69&gt;D69," * La variable Pueblos originarios No puede ser mayor al Total.",""))</f>
        <v/>
      </c>
      <c r="BR69" s="209">
        <f>IF(AND(D69&gt;0,R69="")," * No olvide digitar la variable Migrantes. Digite Cero si no tiene.",IF(R69&gt;D69," * La variable Migrantes No puede ser mayor al Total.",""))</f>
        <v/>
      </c>
      <c r="BS69" s="209">
        <f>IF(AND($D69&gt;0,S69="")," * No olvide digitar la variable Población en ECICEP. Digite Cero si no tiene.",IF(S69&gt;$D69," * La variable Población en ECICEP No puede ser mayor al Total.",""))</f>
        <v/>
      </c>
      <c r="BT69" s="209">
        <f>IF(AND($D69&gt;0,T69="")," * No olvide digitar la variable Población ELEAM o Institucionalizada. Digite Cero si no tiene.",IF(T69&gt;$D69," * La variable Población ELEAM o Institucionalizada No puede ser mayor al Total.",""))</f>
        <v/>
      </c>
      <c r="BU69" s="209">
        <f>IF(AND($D69&gt;0,U69="")," * No olvide digitar la variable Atención nutricional a personas con NED. Digite Cero si no tiene.",IF(U69&gt;$D69," * La variable Atención nutricional a personas con NED No puede ser mayor al Total.",""))</f>
        <v/>
      </c>
      <c r="BZ69" s="52">
        <f>IF(AND(D69&gt;0,Q69=""),1,IF(Q69&gt;D69,1,0))</f>
        <v/>
      </c>
      <c r="CA69" s="52">
        <f>IF(AND(D69&gt;0,R69=""),1,IF(R69&gt;D69,1,0))</f>
        <v/>
      </c>
      <c r="CB69" s="52">
        <f>IF(AND($D69&gt;0,S69=""),1,IF(S69&gt;$D69,1,0))</f>
        <v/>
      </c>
      <c r="CC69" s="52">
        <f>IF(AND($D69&gt;0,T69=""),1,IF(T69&gt;$D69,1,0))</f>
        <v/>
      </c>
      <c r="CD69" s="52">
        <f>IF(AND($D69&gt;0,U69=""),1,IF(U69&gt;$D69,1,0))</f>
        <v/>
      </c>
    </row>
    <row r="70" ht="18" customFormat="1" customHeight="1" s="20">
      <c r="A70" s="2498" t="inlineStr">
        <is>
          <t>SECCIÓN D: RESCATE DE PACIENTES INASISTENTES</t>
        </is>
      </c>
    </row>
    <row r="71" ht="15" customFormat="1" customHeight="1" s="17">
      <c r="A71" s="10004" t="inlineStr">
        <is>
          <t>RANGO ETARIO</t>
        </is>
      </c>
      <c r="B71" s="9630" t="n"/>
      <c r="C71" s="4505" t="inlineStr">
        <is>
          <t>RESCATE EN DOMICILIO</t>
        </is>
      </c>
      <c r="D71" s="9584" t="n"/>
      <c r="E71" s="9584" t="n"/>
      <c r="F71" s="9584" t="n"/>
      <c r="G71" s="9647" t="n"/>
      <c r="H71" s="10094" t="inlineStr">
        <is>
          <t>RESCATE TELEFÓNICO</t>
        </is>
      </c>
      <c r="I71" s="9630" t="n"/>
    </row>
    <row r="72" ht="15" customFormat="1" customHeight="1" s="17">
      <c r="A72" s="642" t="n"/>
      <c r="B72" s="9718" t="n"/>
      <c r="C72" s="10095" t="inlineStr">
        <is>
          <t>TOTAL</t>
        </is>
      </c>
      <c r="D72" s="9977" t="inlineStr">
        <is>
          <t>Funcionario</t>
        </is>
      </c>
      <c r="E72" s="9584" t="n"/>
      <c r="F72" s="9582" t="n"/>
      <c r="G72" s="9982" t="inlineStr">
        <is>
          <t>Compra de servicio (*)</t>
        </is>
      </c>
      <c r="H72" s="9591" t="n"/>
      <c r="I72" s="9776" t="n"/>
    </row>
    <row r="73" ht="21" customFormat="1" customHeight="1" s="17">
      <c r="A73" s="9638" t="n"/>
      <c r="B73" s="9639" t="n"/>
      <c r="C73" s="9698" t="n"/>
      <c r="D73" s="3589" t="inlineStr">
        <is>
          <t xml:space="preserve">Técnico en enfermería </t>
        </is>
      </c>
      <c r="E73" s="3909" t="inlineStr">
        <is>
          <t>Administrativo</t>
        </is>
      </c>
      <c r="F73" s="3889" t="inlineStr">
        <is>
          <t>Otro</t>
        </is>
      </c>
      <c r="G73" s="9865" t="n"/>
      <c r="H73" s="8757" t="inlineStr">
        <is>
          <t>Desde el establecimiento</t>
        </is>
      </c>
      <c r="I73" s="8649" t="inlineStr">
        <is>
          <t>Compra de servicio (*)</t>
        </is>
      </c>
    </row>
    <row r="74" ht="15" customFormat="1" customHeight="1" s="17">
      <c r="A74" s="10237" t="inlineStr">
        <is>
          <t xml:space="preserve">Menos de 1 año </t>
        </is>
      </c>
      <c r="B74" s="9643" t="n"/>
      <c r="C74" s="3990">
        <f>SUM(D74:F74)+H74</f>
        <v/>
      </c>
      <c r="D74" s="3704" t="n">
        <v>0</v>
      </c>
      <c r="E74" s="841" t="n">
        <v>0</v>
      </c>
      <c r="F74" s="2455" t="n">
        <v>0</v>
      </c>
      <c r="G74" s="3705" t="n"/>
      <c r="H74" s="3840" t="n">
        <v>0</v>
      </c>
      <c r="I74" s="4006" t="n"/>
    </row>
    <row r="75" ht="15" customFormat="1" customHeight="1" s="17">
      <c r="A75" s="10518" t="inlineStr">
        <is>
          <t>1 - 4 años</t>
        </is>
      </c>
      <c r="B75" s="9644" t="n"/>
      <c r="C75" s="3992">
        <f>SUM(D75:F75)+H75</f>
        <v/>
      </c>
      <c r="D75" s="3655" t="n">
        <v>0</v>
      </c>
      <c r="E75" s="3662" t="n">
        <v>0</v>
      </c>
      <c r="F75" s="3657" t="n">
        <v>0</v>
      </c>
      <c r="G75" s="3720" t="n"/>
      <c r="H75" s="3845" t="n">
        <v>3</v>
      </c>
      <c r="I75" s="4008" t="n"/>
    </row>
    <row r="76" ht="15" customFormat="1" customHeight="1" s="17">
      <c r="A76" s="10518" t="inlineStr">
        <is>
          <t>5 - 9 años</t>
        </is>
      </c>
      <c r="B76" s="9644" t="n"/>
      <c r="C76" s="3992">
        <f>SUM(D76:F76)+H76</f>
        <v/>
      </c>
      <c r="D76" s="3655" t="n">
        <v>0</v>
      </c>
      <c r="E76" s="3662" t="n">
        <v>0</v>
      </c>
      <c r="F76" s="3657" t="n">
        <v>0</v>
      </c>
      <c r="G76" s="3720" t="n"/>
      <c r="H76" s="3845" t="n">
        <v>2</v>
      </c>
      <c r="I76" s="4008" t="n"/>
    </row>
    <row r="77" ht="15" customFormat="1" customHeight="1" s="17">
      <c r="A77" s="10519" t="inlineStr">
        <is>
          <t xml:space="preserve">10 - 14 años </t>
        </is>
      </c>
      <c r="B77" s="9644" t="n"/>
      <c r="C77" s="3992">
        <f>SUM(D77:F77)+H77</f>
        <v/>
      </c>
      <c r="D77" s="3655" t="n">
        <v>0</v>
      </c>
      <c r="E77" s="3662" t="n">
        <v>0</v>
      </c>
      <c r="F77" s="3657" t="n">
        <v>0</v>
      </c>
      <c r="G77" s="3720" t="n"/>
      <c r="H77" s="3845" t="n">
        <v>8</v>
      </c>
      <c r="I77" s="4008" t="n"/>
    </row>
    <row r="78" ht="15" customFormat="1" customHeight="1" s="17">
      <c r="A78" s="10519" t="inlineStr">
        <is>
          <t>15 - 19 años</t>
        </is>
      </c>
      <c r="B78" s="9644" t="n"/>
      <c r="C78" s="3992">
        <f>SUM(D78:F78)+H78</f>
        <v/>
      </c>
      <c r="D78" s="3655" t="n">
        <v>0</v>
      </c>
      <c r="E78" s="3662" t="n">
        <v>0</v>
      </c>
      <c r="F78" s="3657" t="n">
        <v>0</v>
      </c>
      <c r="G78" s="3720" t="n"/>
      <c r="H78" s="3845" t="n">
        <v>3</v>
      </c>
      <c r="I78" s="4008" t="n"/>
    </row>
    <row r="79" ht="15" customFormat="1" customHeight="1" s="17">
      <c r="A79" s="10518" t="inlineStr">
        <is>
          <t>20 - 24 años</t>
        </is>
      </c>
      <c r="B79" s="9644" t="n"/>
      <c r="C79" s="3992">
        <f>SUM(D79:F79)+H79</f>
        <v/>
      </c>
      <c r="D79" s="3655" t="n">
        <v>1</v>
      </c>
      <c r="E79" s="3662" t="n">
        <v>0</v>
      </c>
      <c r="F79" s="3657" t="n">
        <v>0</v>
      </c>
      <c r="G79" s="3720" t="n"/>
      <c r="H79" s="3845" t="n">
        <v>8</v>
      </c>
      <c r="I79" s="4008" t="n"/>
    </row>
    <row r="80" ht="15" customFormat="1" customHeight="1" s="17">
      <c r="A80" s="10518" t="inlineStr">
        <is>
          <t>25 - 64 años</t>
        </is>
      </c>
      <c r="B80" s="9644" t="n"/>
      <c r="C80" s="3992">
        <f>SUM(D80:F80)+H80</f>
        <v/>
      </c>
      <c r="D80" s="3655" t="n">
        <v>0</v>
      </c>
      <c r="E80" s="3662" t="n">
        <v>0</v>
      </c>
      <c r="F80" s="3657" t="n">
        <v>1</v>
      </c>
      <c r="G80" s="3720" t="n"/>
      <c r="H80" s="3845" t="n">
        <v>39</v>
      </c>
      <c r="I80" s="4008" t="n"/>
    </row>
    <row r="81" ht="15" customFormat="1" customHeight="1" s="17">
      <c r="A81" s="9944" t="inlineStr">
        <is>
          <t>65 y más años</t>
        </is>
      </c>
      <c r="B81" s="9720" t="n"/>
      <c r="C81" s="4010">
        <f>SUM(D81:F81)+H81</f>
        <v/>
      </c>
      <c r="D81" s="3678" t="n">
        <v>0</v>
      </c>
      <c r="E81" s="3712" t="n">
        <v>0</v>
      </c>
      <c r="F81" s="3679" t="n">
        <v>0</v>
      </c>
      <c r="G81" s="3710" t="n"/>
      <c r="H81" s="3847" t="n">
        <v>11</v>
      </c>
      <c r="I81" s="4011" t="n"/>
    </row>
    <row r="82" ht="15" customFormat="1" customHeight="1" s="17">
      <c r="A82" s="25" t="inlineStr">
        <is>
          <t>(*) No incluidas como producción del establecimiento.</t>
        </is>
      </c>
    </row>
    <row r="83" ht="18" customFormat="1" customHeight="1" s="20">
      <c r="A83" s="2" t="inlineStr">
        <is>
          <t>SECCIÓN E: OTRAS VISITAS PROGRAMA DE ACOMPAÑAMIENTO PSICOSOCIAL EN ATENCIÓN PRIMARIA</t>
        </is>
      </c>
    </row>
    <row r="84" ht="15" customFormat="1" customHeight="1" s="17">
      <c r="A84" s="10520" t="inlineStr">
        <is>
          <t>GRUPOS</t>
        </is>
      </c>
      <c r="B84" s="10520" t="inlineStr">
        <is>
          <t>TOTAL VISITAS</t>
        </is>
      </c>
      <c r="C84" s="9977" t="inlineStr">
        <is>
          <t xml:space="preserve">RANGO ETARIO </t>
        </is>
      </c>
      <c r="D84" s="9584" t="n"/>
      <c r="E84" s="9584" t="n"/>
      <c r="F84" s="9584" t="n"/>
      <c r="G84" s="9582" t="n"/>
    </row>
    <row r="85" ht="15" customFormat="1" customHeight="1" s="17">
      <c r="A85" s="10521" t="n"/>
      <c r="B85" s="10521" t="n"/>
      <c r="C85" s="3589" t="inlineStr">
        <is>
          <t>0 - 4 años</t>
        </is>
      </c>
      <c r="D85" s="3803" t="inlineStr">
        <is>
          <t>5 - 9 años</t>
        </is>
      </c>
      <c r="E85" s="3909" t="inlineStr">
        <is>
          <t>10 - 14 años</t>
        </is>
      </c>
      <c r="F85" s="3909" t="inlineStr">
        <is>
          <t>15 - 19 años</t>
        </is>
      </c>
      <c r="G85" s="3889" t="inlineStr">
        <is>
          <t>20 - 24 años</t>
        </is>
      </c>
    </row>
    <row r="86" ht="15" customFormat="1" customHeight="1" s="17">
      <c r="A86" s="3945" t="inlineStr">
        <is>
          <t>Establecimiento educacional</t>
        </is>
      </c>
      <c r="B86" s="3501">
        <f>SUM(C86:G86)</f>
        <v/>
      </c>
      <c r="C86" s="3704" t="n"/>
      <c r="D86" s="3824" t="n"/>
      <c r="E86" s="3824" t="n"/>
      <c r="F86" s="3824" t="n"/>
      <c r="G86" s="3650" t="n"/>
    </row>
    <row r="87" ht="15" customFormat="1" customHeight="1" s="17">
      <c r="A87" s="4013" t="inlineStr">
        <is>
          <t>A lugar de trabajo</t>
        </is>
      </c>
      <c r="B87" s="4014">
        <f>SUM(C87:G87)</f>
        <v/>
      </c>
      <c r="C87" s="3678" t="n"/>
      <c r="D87" s="3680" t="n"/>
      <c r="E87" s="3680" t="n"/>
      <c r="F87" s="3680" t="n"/>
      <c r="G87" s="1138" t="n"/>
    </row>
    <row r="88" ht="18" customFormat="1" customHeight="1" s="5">
      <c r="A88" s="2" t="inlineStr">
        <is>
          <t>SECCIÓN F: VISITA A ESTABLECIMIENTO EDUCACIONAL PROGRAMA DE APOYO A LA SALUD MENTAL INFANTIL (PASMI) EN ATENCIÓN PRIMARIA</t>
        </is>
      </c>
    </row>
    <row r="89" ht="21" customFormat="1" customHeight="1" s="17">
      <c r="A89" s="9061" t="inlineStr">
        <is>
          <t>CONCEPTO</t>
        </is>
      </c>
      <c r="B89" s="8403" t="inlineStr">
        <is>
          <t>Total Visitas 5 a 9 Años</t>
        </is>
      </c>
      <c r="C89" s="8403" t="inlineStr">
        <is>
          <t>N° de Niños/as Visitados 5 a 9 Años</t>
        </is>
      </c>
    </row>
    <row r="90" ht="15" customFormat="1" customHeight="1" s="17">
      <c r="A90" s="3890" t="inlineStr">
        <is>
          <t>Establecimiento educacional</t>
        </is>
      </c>
      <c r="B90" s="4015" t="n"/>
      <c r="C90" s="4015" t="n"/>
    </row>
    <row r="91" ht="18" customFormat="1" customHeight="1" s="20">
      <c r="A91" s="2" t="inlineStr">
        <is>
          <t>SECCIÓN G: CONSULTAS Y CONTROLES  DE ESPECIALIDAD RESUELTAS POR VISITAS DOMICILIARIAS</t>
        </is>
      </c>
    </row>
    <row r="92" ht="15" customFormat="1" customHeight="1" s="17">
      <c r="A92" s="10522" t="inlineStr">
        <is>
          <t>ACTIVIDADES</t>
        </is>
      </c>
      <c r="B92" s="10522" t="inlineStr">
        <is>
          <t>TOTAL</t>
        </is>
      </c>
      <c r="C92" s="10523" t="inlineStr">
        <is>
          <t>CONTROLES DE ESPECIALIDAD RESUELTOS POR VISITAS DOMICILIARIAS</t>
        </is>
      </c>
      <c r="D92" s="9602" t="n"/>
      <c r="E92" s="9602" t="n"/>
      <c r="F92" s="9602" t="n"/>
      <c r="G92" s="9602" t="n"/>
      <c r="H92" s="9602" t="n"/>
      <c r="I92" s="9602" t="n"/>
      <c r="J92" s="9602" t="n"/>
      <c r="K92" s="9602" t="n"/>
      <c r="L92" s="9602" t="n"/>
      <c r="M92" s="9602" t="n"/>
      <c r="N92" s="9602" t="n"/>
      <c r="O92" s="9602" t="n"/>
      <c r="P92" s="9602" t="n"/>
      <c r="Q92" s="9602" t="n"/>
      <c r="R92" s="9602" t="n"/>
      <c r="S92" s="10198" t="n"/>
      <c r="T92" s="10524" t="inlineStr">
        <is>
          <t>SEXO</t>
        </is>
      </c>
      <c r="U92" s="9630" t="n"/>
    </row>
    <row r="93" ht="15" customFormat="1" customHeight="1" s="17">
      <c r="A93" s="9627" t="n"/>
      <c r="B93" s="9627" t="n"/>
      <c r="C93" s="10525" t="inlineStr">
        <is>
          <t>RANGO ETARIO</t>
        </is>
      </c>
      <c r="D93" s="9584" t="n"/>
      <c r="E93" s="9584" t="n"/>
      <c r="F93" s="9584" t="n"/>
      <c r="G93" s="9584" t="n"/>
      <c r="H93" s="9584" t="n"/>
      <c r="I93" s="9584" t="n"/>
      <c r="J93" s="9584" t="n"/>
      <c r="K93" s="9584" t="n"/>
      <c r="L93" s="9584" t="n"/>
      <c r="M93" s="9584" t="n"/>
      <c r="N93" s="9584" t="n"/>
      <c r="O93" s="9584" t="n"/>
      <c r="P93" s="9584" t="n"/>
      <c r="Q93" s="9584" t="n"/>
      <c r="R93" s="9584" t="n"/>
      <c r="S93" s="9961" t="n"/>
      <c r="T93" s="9697" t="n"/>
      <c r="U93" s="9639" t="n"/>
    </row>
    <row r="94" ht="24.95" customFormat="1" customHeight="1" s="17">
      <c r="A94" s="9621" t="n"/>
      <c r="B94" s="9621" t="n"/>
      <c r="C94" s="3589" t="inlineStr">
        <is>
          <t>0 - 4 años</t>
        </is>
      </c>
      <c r="D94" s="3909" t="inlineStr">
        <is>
          <t>5 - 9 años</t>
        </is>
      </c>
      <c r="E94" s="3909" t="inlineStr">
        <is>
          <t>10 - 14 años</t>
        </is>
      </c>
      <c r="F94" s="3909" t="inlineStr">
        <is>
          <t>15 - 19 años</t>
        </is>
      </c>
      <c r="G94" s="3909" t="inlineStr">
        <is>
          <t>20 - 24 años</t>
        </is>
      </c>
      <c r="H94" s="3909" t="inlineStr">
        <is>
          <t>25 - 29 años</t>
        </is>
      </c>
      <c r="I94" s="3909" t="inlineStr">
        <is>
          <t>30 - 34 años</t>
        </is>
      </c>
      <c r="J94" s="3909" t="inlineStr">
        <is>
          <t>35 - 39 años</t>
        </is>
      </c>
      <c r="K94" s="3909" t="inlineStr">
        <is>
          <t>40 - 44 años</t>
        </is>
      </c>
      <c r="L94" s="3909" t="inlineStr">
        <is>
          <t>45 - 49 años</t>
        </is>
      </c>
      <c r="M94" s="3909" t="inlineStr">
        <is>
          <t>50 - 54 años</t>
        </is>
      </c>
      <c r="N94" s="3909" t="inlineStr">
        <is>
          <t>55 - 59 años</t>
        </is>
      </c>
      <c r="O94" s="3590" t="inlineStr">
        <is>
          <t>60 - 64 años</t>
        </is>
      </c>
      <c r="P94" s="3909" t="inlineStr">
        <is>
          <t>65 - 69 años</t>
        </is>
      </c>
      <c r="Q94" s="3909" t="inlineStr">
        <is>
          <t>70 - 74 años</t>
        </is>
      </c>
      <c r="R94" s="3909" t="inlineStr">
        <is>
          <t>75 - 79 años</t>
        </is>
      </c>
      <c r="S94" s="3889" t="inlineStr">
        <is>
          <t>80 y más años</t>
        </is>
      </c>
      <c r="T94" s="10526" t="inlineStr">
        <is>
          <t>Hombres</t>
        </is>
      </c>
      <c r="U94" s="10527" t="inlineStr">
        <is>
          <t>Mujeres</t>
        </is>
      </c>
    </row>
    <row r="95" ht="21" customFormat="1" customHeight="1" s="17">
      <c r="A95" s="4019" t="inlineStr">
        <is>
          <t>Pediatría (incluye totalidad de producción pediatrica de subespecialidades)</t>
        </is>
      </c>
      <c r="B95" s="10528">
        <f>SUM(C95:S95)</f>
        <v/>
      </c>
      <c r="C95" s="3704" t="n"/>
      <c r="D95" s="841" t="n"/>
      <c r="E95" s="841" t="n"/>
      <c r="F95" s="841" t="n"/>
      <c r="G95" s="841" t="n"/>
      <c r="H95" s="841" t="n"/>
      <c r="I95" s="841" t="n"/>
      <c r="J95" s="841" t="n"/>
      <c r="K95" s="841" t="n"/>
      <c r="L95" s="841" t="n"/>
      <c r="M95" s="841" t="n"/>
      <c r="N95" s="841" t="n"/>
      <c r="O95" s="841" t="n"/>
      <c r="P95" s="841" t="n"/>
      <c r="Q95" s="841" t="n"/>
      <c r="R95" s="841" t="n"/>
      <c r="S95" s="2455" t="n"/>
      <c r="T95" s="3704" t="n"/>
      <c r="U95" s="3650" t="n"/>
      <c r="V95" s="17">
        <f>BQ95&amp;BR95</f>
        <v/>
      </c>
      <c r="BQ95" s="209">
        <f>IF((T95+U95)&lt;&gt;B95," * El Total de Consultas Hombres + Mujeres debe ser igual al Total de Consultas Rango Etario","")</f>
        <v/>
      </c>
      <c r="BZ95" s="52">
        <f>IF((T95+U95)&lt;&gt;B95,1,0)</f>
        <v/>
      </c>
    </row>
    <row r="96" ht="15" customFormat="1" customHeight="1" s="17">
      <c r="A96" s="9065" t="inlineStr">
        <is>
          <t>Medicina Interna</t>
        </is>
      </c>
      <c r="B96" s="10528">
        <f>SUM(C96:S96)</f>
        <v/>
      </c>
      <c r="C96" s="3655" t="n"/>
      <c r="D96" s="3662" t="n"/>
      <c r="E96" s="3662" t="n"/>
      <c r="F96" s="3662" t="n"/>
      <c r="G96" s="3662" t="n"/>
      <c r="H96" s="3662" t="n"/>
      <c r="I96" s="3662" t="n"/>
      <c r="J96" s="3662" t="n"/>
      <c r="K96" s="3662" t="n"/>
      <c r="L96" s="3662" t="n"/>
      <c r="M96" s="3662" t="n"/>
      <c r="N96" s="3662" t="n"/>
      <c r="O96" s="3662" t="n"/>
      <c r="P96" s="3662" t="n"/>
      <c r="Q96" s="3662" t="n"/>
      <c r="R96" s="3662" t="n"/>
      <c r="S96" s="3657" t="n"/>
      <c r="T96" s="3655" t="n"/>
      <c r="U96" s="3656" t="n"/>
      <c r="V96" s="17">
        <f>BQ96&amp;BR96</f>
        <v/>
      </c>
      <c r="BQ96" s="209">
        <f>IF((T96+U96)&lt;&gt;B96," * El Total de Consultas Hombres + Mujeres debe ser igual al Total de Consultas Rango Etario","")</f>
        <v/>
      </c>
      <c r="BZ96" s="52">
        <f>IF((T96+U96)&lt;&gt;B96,1,0)</f>
        <v/>
      </c>
    </row>
    <row r="97" ht="15" customFormat="1" customHeight="1" s="17">
      <c r="A97" s="9065" t="inlineStr">
        <is>
          <t>Cirugía</t>
        </is>
      </c>
      <c r="B97" s="10528">
        <f>SUM(C97:S97)</f>
        <v/>
      </c>
      <c r="C97" s="3655" t="n"/>
      <c r="D97" s="3662" t="n"/>
      <c r="E97" s="3662" t="n"/>
      <c r="F97" s="3662" t="n"/>
      <c r="G97" s="3662" t="n"/>
      <c r="H97" s="3662" t="n"/>
      <c r="I97" s="3662" t="n"/>
      <c r="J97" s="3662" t="n"/>
      <c r="K97" s="3662" t="n"/>
      <c r="L97" s="3662" t="n"/>
      <c r="M97" s="3662" t="n"/>
      <c r="N97" s="3662" t="n"/>
      <c r="O97" s="3662" t="n"/>
      <c r="P97" s="3662" t="n"/>
      <c r="Q97" s="3662" t="n"/>
      <c r="R97" s="3662" t="n"/>
      <c r="S97" s="3657" t="n"/>
      <c r="T97" s="3655" t="n"/>
      <c r="U97" s="3656" t="n"/>
      <c r="V97" s="17">
        <f>BQ97&amp;BR97</f>
        <v/>
      </c>
      <c r="BQ97" s="209">
        <f>IF((T97+U97)&lt;&gt;B97," * El Total de Consultas Hombres + Mujeres debe ser igual al Total de Consultas Rango Etario","")</f>
        <v/>
      </c>
      <c r="BZ97" s="52">
        <f>IF((T97+U97)&lt;&gt;B97,1,0)</f>
        <v/>
      </c>
    </row>
    <row r="98" ht="21" customFormat="1" customHeight="1" s="17">
      <c r="A98" s="4019" t="inlineStr">
        <is>
          <t>Enfermedad respiratoria de adulto (Broncopulmonar)</t>
        </is>
      </c>
      <c r="B98" s="10528">
        <f>SUM(C98:S98)</f>
        <v/>
      </c>
      <c r="C98" s="3655" t="n"/>
      <c r="D98" s="3662" t="n"/>
      <c r="E98" s="3662" t="n"/>
      <c r="F98" s="3662" t="n"/>
      <c r="G98" s="3662" t="n"/>
      <c r="H98" s="3662" t="n"/>
      <c r="I98" s="3662" t="n"/>
      <c r="J98" s="3662" t="n"/>
      <c r="K98" s="3662" t="n"/>
      <c r="L98" s="3662" t="n"/>
      <c r="M98" s="3662" t="n"/>
      <c r="N98" s="3662" t="n"/>
      <c r="O98" s="3662" t="n"/>
      <c r="P98" s="3662" t="n"/>
      <c r="Q98" s="3662" t="n"/>
      <c r="R98" s="3662" t="n"/>
      <c r="S98" s="3657" t="n"/>
      <c r="T98" s="3655" t="n"/>
      <c r="U98" s="3656" t="n"/>
      <c r="V98" s="17">
        <f>BQ98&amp;BR98</f>
        <v/>
      </c>
      <c r="BQ98" s="209">
        <f>IF((T98+U98)&lt;&gt;B98," * El Total de Consultas Hombres + Mujeres debe ser igual al Total de Consultas Rango Etario","")</f>
        <v/>
      </c>
      <c r="BZ98" s="52">
        <f>IF((T98+U98)&lt;&gt;B98,1,0)</f>
        <v/>
      </c>
    </row>
    <row r="99" ht="15" customFormat="1" customHeight="1" s="17">
      <c r="A99" s="9065" t="inlineStr">
        <is>
          <t>Cardiología adulto</t>
        </is>
      </c>
      <c r="B99" s="10528">
        <f>SUM(C99:S99)</f>
        <v/>
      </c>
      <c r="C99" s="3655" t="n"/>
      <c r="D99" s="3662" t="n"/>
      <c r="E99" s="3662" t="n"/>
      <c r="F99" s="3662" t="n"/>
      <c r="G99" s="3662" t="n"/>
      <c r="H99" s="3662" t="n"/>
      <c r="I99" s="3662" t="n"/>
      <c r="J99" s="3662" t="n"/>
      <c r="K99" s="3662" t="n"/>
      <c r="L99" s="3662" t="n"/>
      <c r="M99" s="3662" t="n"/>
      <c r="N99" s="3662" t="n"/>
      <c r="O99" s="3662" t="n"/>
      <c r="P99" s="3662" t="n"/>
      <c r="Q99" s="3662" t="n"/>
      <c r="R99" s="3662" t="n"/>
      <c r="S99" s="3657" t="n"/>
      <c r="T99" s="3655" t="n"/>
      <c r="U99" s="3656" t="n"/>
      <c r="V99" s="17">
        <f>BQ99&amp;BR99</f>
        <v/>
      </c>
      <c r="BQ99" s="209">
        <f>IF((T99+U99)&lt;&gt;B99," * El Total de Consultas Hombres + Mujeres debe ser igual al Total de Consultas Rango Etario","")</f>
        <v/>
      </c>
      <c r="BZ99" s="52">
        <f>IF((T99+U99)&lt;&gt;B99,1,0)</f>
        <v/>
      </c>
    </row>
    <row r="100" ht="15" customFormat="1" customHeight="1" s="17">
      <c r="A100" s="9065" t="inlineStr">
        <is>
          <t>Endocrinología adulto</t>
        </is>
      </c>
      <c r="B100" s="10528">
        <f>SUM(C100:S100)</f>
        <v/>
      </c>
      <c r="C100" s="3655" t="n"/>
      <c r="D100" s="3662" t="n"/>
      <c r="E100" s="3662" t="n"/>
      <c r="F100" s="3662" t="n"/>
      <c r="G100" s="3662" t="n"/>
      <c r="H100" s="3662" t="n"/>
      <c r="I100" s="3662" t="n"/>
      <c r="J100" s="3662" t="n"/>
      <c r="K100" s="3662" t="n"/>
      <c r="L100" s="3662" t="n"/>
      <c r="M100" s="3662" t="n"/>
      <c r="N100" s="3662" t="n"/>
      <c r="O100" s="3662" t="n"/>
      <c r="P100" s="3662" t="n"/>
      <c r="Q100" s="3662" t="n"/>
      <c r="R100" s="3662" t="n"/>
      <c r="S100" s="3657" t="n"/>
      <c r="T100" s="3655" t="n"/>
      <c r="U100" s="3656" t="n"/>
      <c r="V100" s="17">
        <f>BQ100&amp;BR100</f>
        <v/>
      </c>
      <c r="BQ100" s="209">
        <f>IF((T100+U100)&lt;&gt;B100," * El Total de Consultas Hombres + Mujeres debe ser igual al Total de Consultas Rango Etario","")</f>
        <v/>
      </c>
      <c r="BZ100" s="52">
        <f>IF((T100+U100)&lt;&gt;B100,1,0)</f>
        <v/>
      </c>
    </row>
    <row r="101" ht="15" customFormat="1" customHeight="1" s="17">
      <c r="A101" s="9065" t="inlineStr">
        <is>
          <t>Reumatología adulto</t>
        </is>
      </c>
      <c r="B101" s="10528">
        <f>SUM(C101:S101)</f>
        <v/>
      </c>
      <c r="C101" s="3655" t="n"/>
      <c r="D101" s="3662" t="n"/>
      <c r="E101" s="3662" t="n"/>
      <c r="F101" s="3662" t="n"/>
      <c r="G101" s="3662" t="n"/>
      <c r="H101" s="3662" t="n"/>
      <c r="I101" s="3662" t="n"/>
      <c r="J101" s="3662" t="n"/>
      <c r="K101" s="3662" t="n"/>
      <c r="L101" s="3662" t="n"/>
      <c r="M101" s="3662" t="n"/>
      <c r="N101" s="3662" t="n"/>
      <c r="O101" s="3662" t="n"/>
      <c r="P101" s="3662" t="n"/>
      <c r="Q101" s="3662" t="n"/>
      <c r="R101" s="3662" t="n"/>
      <c r="S101" s="3657" t="n"/>
      <c r="T101" s="3655" t="n"/>
      <c r="U101" s="3656" t="n"/>
      <c r="V101" s="17">
        <f>BQ101&amp;BR101</f>
        <v/>
      </c>
      <c r="BQ101" s="209">
        <f>IF((T101+U101)&lt;&gt;B101," * El Total de Consultas Hombres + Mujeres debe ser igual al Total de Consultas Rango Etario","")</f>
        <v/>
      </c>
      <c r="BZ101" s="52">
        <f>IF((T101+U101)&lt;&gt;B101,1,0)</f>
        <v/>
      </c>
    </row>
    <row r="102" ht="15" customFormat="1" customHeight="1" s="17">
      <c r="A102" s="9065" t="inlineStr">
        <is>
          <t>Infectología adulto</t>
        </is>
      </c>
      <c r="B102" s="10528">
        <f>SUM(C102:S102)</f>
        <v/>
      </c>
      <c r="C102" s="3655" t="n"/>
      <c r="D102" s="3662" t="n"/>
      <c r="E102" s="3662" t="n"/>
      <c r="F102" s="3662" t="n"/>
      <c r="G102" s="3662" t="n"/>
      <c r="H102" s="3662" t="n"/>
      <c r="I102" s="3662" t="n"/>
      <c r="J102" s="3662" t="n"/>
      <c r="K102" s="3662" t="n"/>
      <c r="L102" s="3662" t="n"/>
      <c r="M102" s="3662" t="n"/>
      <c r="N102" s="3662" t="n"/>
      <c r="O102" s="3662" t="n"/>
      <c r="P102" s="3662" t="n"/>
      <c r="Q102" s="3662" t="n"/>
      <c r="R102" s="3662" t="n"/>
      <c r="S102" s="3657" t="n"/>
      <c r="T102" s="3655" t="n"/>
      <c r="U102" s="3656" t="n"/>
      <c r="V102" s="17">
        <f>BQ102&amp;BR102</f>
        <v/>
      </c>
      <c r="BQ102" s="209">
        <f>IF((T102+U102)&lt;&gt;B102," * El Total de Consultas Hombres + Mujeres debe ser igual al Total de Consultas Rango Etario","")</f>
        <v/>
      </c>
      <c r="BZ102" s="52">
        <f>IF((T102+U102)&lt;&gt;B102,1,0)</f>
        <v/>
      </c>
    </row>
    <row r="103" ht="15" customFormat="1" customHeight="1" s="17">
      <c r="A103" s="9065" t="inlineStr">
        <is>
          <t>Diabetología</t>
        </is>
      </c>
      <c r="B103" s="10528">
        <f>SUM(C103:S103)</f>
        <v/>
      </c>
      <c r="C103" s="3655" t="n"/>
      <c r="D103" s="3662" t="n"/>
      <c r="E103" s="3662" t="n"/>
      <c r="F103" s="3662" t="n"/>
      <c r="G103" s="3662" t="n"/>
      <c r="H103" s="3662" t="n"/>
      <c r="I103" s="3662" t="n"/>
      <c r="J103" s="3662" t="n"/>
      <c r="K103" s="3662" t="n"/>
      <c r="L103" s="3662" t="n"/>
      <c r="M103" s="3662" t="n"/>
      <c r="N103" s="3662" t="n"/>
      <c r="O103" s="3662" t="n"/>
      <c r="P103" s="3662" t="n"/>
      <c r="Q103" s="3662" t="n"/>
      <c r="R103" s="3662" t="n"/>
      <c r="S103" s="3657" t="n"/>
      <c r="T103" s="3655" t="n"/>
      <c r="U103" s="3656" t="n"/>
      <c r="V103" s="17">
        <f>BQ103&amp;BR103</f>
        <v/>
      </c>
      <c r="BQ103" s="209">
        <f>IF((T103+U103)&lt;&gt;B103," * El Total de Consultas Hombres + Mujeres debe ser igual al Total de Consultas Rango Etario","")</f>
        <v/>
      </c>
      <c r="BZ103" s="52">
        <f>IF((T103+U103)&lt;&gt;B103,1,0)</f>
        <v/>
      </c>
    </row>
    <row r="104" ht="15" customFormat="1" customHeight="1" s="17">
      <c r="A104" s="9065" t="inlineStr">
        <is>
          <t>Psiquiatría</t>
        </is>
      </c>
      <c r="B104" s="10528">
        <f>SUM(C104:S104)</f>
        <v/>
      </c>
      <c r="C104" s="3655" t="n"/>
      <c r="D104" s="3662" t="n"/>
      <c r="E104" s="3662" t="n"/>
      <c r="F104" s="3662" t="n"/>
      <c r="G104" s="3662" t="n"/>
      <c r="H104" s="3662" t="n"/>
      <c r="I104" s="3662" t="n"/>
      <c r="J104" s="3662" t="n"/>
      <c r="K104" s="3662" t="n"/>
      <c r="L104" s="3662" t="n"/>
      <c r="M104" s="3662" t="n"/>
      <c r="N104" s="3662" t="n"/>
      <c r="O104" s="3662" t="n"/>
      <c r="P104" s="3662" t="n"/>
      <c r="Q104" s="3662" t="n"/>
      <c r="R104" s="3662" t="n"/>
      <c r="S104" s="3657" t="n"/>
      <c r="T104" s="3655" t="n"/>
      <c r="U104" s="3656" t="n"/>
      <c r="V104" s="17">
        <f>BQ104&amp;BR104</f>
        <v/>
      </c>
      <c r="BQ104" s="209">
        <f>IF((T104+U104)&lt;&gt;B104," * El Total de Consultas Hombres + Mujeres debe ser igual al Total de Consultas Rango Etario","")</f>
        <v/>
      </c>
      <c r="BZ104" s="52">
        <f>IF((T104+U104)&lt;&gt;B104,1,0)</f>
        <v/>
      </c>
    </row>
    <row r="105" ht="15" customFormat="1" customHeight="1" s="17">
      <c r="A105" s="9065" t="inlineStr">
        <is>
          <t>Oftalmología</t>
        </is>
      </c>
      <c r="B105" s="10528">
        <f>SUM(C105:S105)</f>
        <v/>
      </c>
      <c r="C105" s="3655" t="n"/>
      <c r="D105" s="3662" t="n"/>
      <c r="E105" s="3662" t="n"/>
      <c r="F105" s="3662" t="n"/>
      <c r="G105" s="3662" t="n"/>
      <c r="H105" s="3662" t="n"/>
      <c r="I105" s="3662" t="n"/>
      <c r="J105" s="3662" t="n"/>
      <c r="K105" s="3662" t="n"/>
      <c r="L105" s="3662" t="n"/>
      <c r="M105" s="3662" t="n"/>
      <c r="N105" s="3662" t="n"/>
      <c r="O105" s="3662" t="n"/>
      <c r="P105" s="3662" t="n"/>
      <c r="Q105" s="3662" t="n"/>
      <c r="R105" s="3662" t="n"/>
      <c r="S105" s="3657" t="n"/>
      <c r="T105" s="3655" t="n"/>
      <c r="U105" s="3656" t="n"/>
      <c r="V105" s="17">
        <f>BQ105&amp;BR105</f>
        <v/>
      </c>
      <c r="BQ105" s="209">
        <f>IF((T105+U105)&lt;&gt;B105," * El Total de Consultas Hombres + Mujeres debe ser igual al Total de Consultas Rango Etario","")</f>
        <v/>
      </c>
      <c r="BZ105" s="52">
        <f>IF((T105+U105)&lt;&gt;B105,1,0)</f>
        <v/>
      </c>
    </row>
    <row r="106" ht="15" customFormat="1" customHeight="1" s="17">
      <c r="A106" s="9065" t="inlineStr">
        <is>
          <t>Otorrinolaringología</t>
        </is>
      </c>
      <c r="B106" s="10528">
        <f>SUM(C106:S106)</f>
        <v/>
      </c>
      <c r="C106" s="3655" t="n"/>
      <c r="D106" s="3662" t="n"/>
      <c r="E106" s="3662" t="n"/>
      <c r="F106" s="3662" t="n"/>
      <c r="G106" s="3662" t="n"/>
      <c r="H106" s="3662" t="n"/>
      <c r="I106" s="3662" t="n"/>
      <c r="J106" s="3662" t="n"/>
      <c r="K106" s="3662" t="n"/>
      <c r="L106" s="3662" t="n"/>
      <c r="M106" s="3662" t="n"/>
      <c r="N106" s="3662" t="n"/>
      <c r="O106" s="3662" t="n"/>
      <c r="P106" s="3662" t="n"/>
      <c r="Q106" s="3662" t="n"/>
      <c r="R106" s="3662" t="n"/>
      <c r="S106" s="3657" t="n"/>
      <c r="T106" s="3655" t="n"/>
      <c r="U106" s="3656" t="n"/>
      <c r="V106" s="17">
        <f>BQ106&amp;BR106</f>
        <v/>
      </c>
      <c r="BQ106" s="209">
        <f>IF((T106+U106)&lt;&gt;B106," * El Total de Consultas Hombres + Mujeres debe ser igual al Total de Consultas Rango Etario","")</f>
        <v/>
      </c>
      <c r="BZ106" s="52">
        <f>IF((T106+U106)&lt;&gt;B106,1,0)</f>
        <v/>
      </c>
    </row>
    <row r="107" ht="15" customFormat="1" customHeight="1" s="17">
      <c r="A107" s="9065" t="inlineStr">
        <is>
          <t>Obstetricia y Ginecología</t>
        </is>
      </c>
      <c r="B107" s="10528">
        <f>SUM(C107:S107)</f>
        <v/>
      </c>
      <c r="C107" s="3655" t="n"/>
      <c r="D107" s="3662" t="n"/>
      <c r="E107" s="3662" t="n"/>
      <c r="F107" s="3662" t="n"/>
      <c r="G107" s="3662" t="n"/>
      <c r="H107" s="3662" t="n"/>
      <c r="I107" s="3662" t="n"/>
      <c r="J107" s="3662" t="n"/>
      <c r="K107" s="3662" t="n"/>
      <c r="L107" s="3662" t="n"/>
      <c r="M107" s="3662" t="n"/>
      <c r="N107" s="3662" t="n"/>
      <c r="O107" s="3662" t="n"/>
      <c r="P107" s="3662" t="n"/>
      <c r="Q107" s="3662" t="n"/>
      <c r="R107" s="3662" t="n"/>
      <c r="S107" s="3657" t="n"/>
      <c r="T107" s="3655" t="n"/>
      <c r="U107" s="3656" t="n"/>
      <c r="V107" s="17">
        <f>BQ107&amp;BR107</f>
        <v/>
      </c>
      <c r="BQ107" s="209">
        <f>IF((T107+U107)&lt;&gt;B107," * El Total de Consultas Hombres + Mujeres debe ser igual al Total de Consultas Rango Etario","")</f>
        <v/>
      </c>
      <c r="BZ107" s="52">
        <f>IF((T107+U107)&lt;&gt;B107,1,0)</f>
        <v/>
      </c>
    </row>
    <row r="108" ht="15" customFormat="1" customHeight="1" s="17">
      <c r="A108" s="9065" t="inlineStr">
        <is>
          <t>Traumatología</t>
        </is>
      </c>
      <c r="B108" s="10528">
        <f>SUM(C108:S108)</f>
        <v/>
      </c>
      <c r="C108" s="3655" t="n"/>
      <c r="D108" s="3662" t="n"/>
      <c r="E108" s="3662" t="n"/>
      <c r="F108" s="3662" t="n"/>
      <c r="G108" s="3662" t="n"/>
      <c r="H108" s="3662" t="n"/>
      <c r="I108" s="3662" t="n"/>
      <c r="J108" s="3662" t="n"/>
      <c r="K108" s="3662" t="n"/>
      <c r="L108" s="3662" t="n"/>
      <c r="M108" s="3662" t="n"/>
      <c r="N108" s="3662" t="n"/>
      <c r="O108" s="3662" t="n"/>
      <c r="P108" s="3662" t="n"/>
      <c r="Q108" s="3662" t="n"/>
      <c r="R108" s="3662" t="n"/>
      <c r="S108" s="3657" t="n"/>
      <c r="T108" s="3655" t="n"/>
      <c r="U108" s="3656" t="n"/>
      <c r="V108" s="17">
        <f>BQ108&amp;BR108</f>
        <v/>
      </c>
      <c r="BQ108" s="209">
        <f>IF((T108+U108)&lt;&gt;B108," * El Total de Consultas Hombres + Mujeres debe ser igual al Total de Consultas Rango Etario","")</f>
        <v/>
      </c>
      <c r="BZ108" s="52">
        <f>IF((T108+U108)&lt;&gt;B108,1,0)</f>
        <v/>
      </c>
    </row>
    <row r="109" ht="15" customFormat="1" customHeight="1" s="17">
      <c r="A109" s="9065" t="inlineStr">
        <is>
          <t>Otras Especialidades Adulto</t>
        </is>
      </c>
      <c r="B109" s="10528">
        <f>SUM(C109:S109)</f>
        <v/>
      </c>
      <c r="C109" s="3678" t="n"/>
      <c r="D109" s="3712" t="n"/>
      <c r="E109" s="3712" t="n"/>
      <c r="F109" s="3712" t="n"/>
      <c r="G109" s="3712" t="n"/>
      <c r="H109" s="3712" t="n"/>
      <c r="I109" s="3712" t="n"/>
      <c r="J109" s="3712" t="n"/>
      <c r="K109" s="3712" t="n"/>
      <c r="L109" s="3712" t="n"/>
      <c r="M109" s="3712" t="n"/>
      <c r="N109" s="3712" t="n"/>
      <c r="O109" s="3712" t="n"/>
      <c r="P109" s="3712" t="n"/>
      <c r="Q109" s="3712" t="n"/>
      <c r="R109" s="3712" t="n"/>
      <c r="S109" s="3679" t="n"/>
      <c r="T109" s="3678" t="n"/>
      <c r="U109" s="1138" t="n"/>
      <c r="V109" s="17">
        <f>BQ109&amp;BR109</f>
        <v/>
      </c>
      <c r="BQ109" s="209">
        <f>IF((T109+U109)&lt;&gt;B109," * El Total de Consultas Hombres + Mujeres debe ser igual al Total de Consultas Rango Etario","")</f>
        <v/>
      </c>
      <c r="BZ109" s="52">
        <f>IF((T109+U109)&lt;&gt;B109,1,0)</f>
        <v/>
      </c>
    </row>
    <row r="110" ht="15" customFormat="1" customHeight="1" s="17">
      <c r="A110" s="10529" t="inlineStr">
        <is>
          <t>TOTAL</t>
        </is>
      </c>
      <c r="B110" s="10530">
        <f>SUM(C110:S110)</f>
        <v/>
      </c>
      <c r="C110" s="10531">
        <f>SUM(C95:C109)</f>
        <v/>
      </c>
      <c r="D110" s="10532">
        <f>SUM(D95:D109)</f>
        <v/>
      </c>
      <c r="E110" s="10532">
        <f>SUM(E95:E109)</f>
        <v/>
      </c>
      <c r="F110" s="10532">
        <f>SUM(F95:F109)</f>
        <v/>
      </c>
      <c r="G110" s="10532">
        <f>SUM(G95:G109)</f>
        <v/>
      </c>
      <c r="H110" s="10533">
        <f>SUM(H95:H109)</f>
        <v/>
      </c>
      <c r="I110" s="10532">
        <f>SUM(I95:I109)</f>
        <v/>
      </c>
      <c r="J110" s="10532">
        <f>SUM(J95:J109)</f>
        <v/>
      </c>
      <c r="K110" s="10532">
        <f>SUM(K95:K109)</f>
        <v/>
      </c>
      <c r="L110" s="10532">
        <f>SUM(L95:L109)</f>
        <v/>
      </c>
      <c r="M110" s="10532">
        <f>SUM(M95:M109)</f>
        <v/>
      </c>
      <c r="N110" s="10532">
        <f>SUM(N95:N109)</f>
        <v/>
      </c>
      <c r="O110" s="10532">
        <f>SUM(O95:O109)</f>
        <v/>
      </c>
      <c r="P110" s="10532">
        <f>SUM(P95:P109)</f>
        <v/>
      </c>
      <c r="Q110" s="10532">
        <f>SUM(Q95:Q109)</f>
        <v/>
      </c>
      <c r="R110" s="10532">
        <f>SUM(R95:R109)</f>
        <v/>
      </c>
      <c r="S110" s="10534">
        <f>SUM(S95:S109)</f>
        <v/>
      </c>
      <c r="T110" s="10531">
        <f>SUM(T95:T109)</f>
        <v/>
      </c>
      <c r="U110" s="10534">
        <f>SUM(U95:U109)</f>
        <v/>
      </c>
    </row>
    <row r="111" ht="18" customFormat="1" customHeight="1" s="20">
      <c r="A111" s="7990" t="inlineStr">
        <is>
          <t>SECCIÓN H: ACTIVIDADES EXTRAMURALES (EXCLUYE SECCIONES Y SUBSECCIONES A, B y C)</t>
        </is>
      </c>
    </row>
    <row r="112" ht="15" customFormat="1" customHeight="1" s="17">
      <c r="A112" s="10347" t="inlineStr">
        <is>
          <t>TIPO DE OPERATIVO</t>
        </is>
      </c>
      <c r="B112" s="10310" t="inlineStr">
        <is>
          <t>N° OPERATIVOS</t>
        </is>
      </c>
      <c r="C112" s="9939" t="inlineStr">
        <is>
          <t xml:space="preserve">TOTAL              </t>
        </is>
      </c>
      <c r="D112" s="9602" t="n"/>
      <c r="E112" s="9630" t="n"/>
      <c r="F112" s="10095" t="inlineStr">
        <is>
          <t>RANGO ETARIO Y SEXO</t>
        </is>
      </c>
      <c r="G112" s="9584" t="n"/>
      <c r="H112" s="9584" t="n"/>
      <c r="I112" s="9584" t="n"/>
      <c r="J112" s="9584" t="n"/>
      <c r="K112" s="9584" t="n"/>
      <c r="L112" s="9584" t="n"/>
      <c r="M112" s="9584" t="n"/>
      <c r="N112" s="9584" t="n"/>
      <c r="O112" s="9584" t="n"/>
      <c r="P112" s="9584" t="n"/>
      <c r="Q112" s="9584" t="n"/>
      <c r="R112" s="9584" t="n"/>
      <c r="S112" s="9584" t="n"/>
      <c r="T112" s="674" t="n"/>
      <c r="U112" s="116" t="n"/>
      <c r="V112" s="116" t="n"/>
      <c r="W112" s="116" t="n"/>
      <c r="X112" s="116" t="n"/>
      <c r="Y112" s="116" t="n"/>
      <c r="Z112" s="116" t="n"/>
      <c r="AA112" s="116" t="n"/>
      <c r="AB112" s="116" t="n"/>
      <c r="AC112" s="116" t="n"/>
      <c r="AD112" s="116" t="n"/>
      <c r="AE112" s="116" t="n"/>
      <c r="AF112" s="116" t="n"/>
      <c r="AG112" s="116" t="n"/>
      <c r="AH112" s="116" t="n"/>
      <c r="AI112" s="116" t="n"/>
      <c r="AJ112" s="116" t="n"/>
      <c r="AK112" s="116" t="n"/>
      <c r="AL112" s="116" t="n"/>
      <c r="AM112" s="116" t="n"/>
    </row>
    <row r="113" ht="15" customFormat="1" customHeight="1" s="17">
      <c r="B113" s="9588" t="n"/>
      <c r="C113" s="9638" t="n"/>
      <c r="D113" s="9697" t="n"/>
      <c r="E113" s="9639" t="n"/>
      <c r="F113" s="9240" t="inlineStr">
        <is>
          <t>0 - 14 años</t>
        </is>
      </c>
      <c r="G113" s="9647" t="n"/>
      <c r="H113" s="8400" t="inlineStr">
        <is>
          <t>15 - 29 años</t>
        </is>
      </c>
      <c r="I113" s="9582" t="n"/>
      <c r="J113" s="8400" t="inlineStr">
        <is>
          <t>30 - 44 años</t>
        </is>
      </c>
      <c r="K113" s="9582" t="n"/>
      <c r="L113" s="8400" t="inlineStr">
        <is>
          <t xml:space="preserve">45 - 59 años </t>
        </is>
      </c>
      <c r="M113" s="9582" t="n"/>
      <c r="N113" s="8400" t="inlineStr">
        <is>
          <t>60 - 64 años</t>
        </is>
      </c>
      <c r="O113" s="9582" t="n"/>
      <c r="P113" s="8400" t="inlineStr">
        <is>
          <t>65 - 79 años</t>
        </is>
      </c>
      <c r="Q113" s="9582" t="n"/>
      <c r="R113" s="8400" t="inlineStr">
        <is>
          <t>80 y más años</t>
        </is>
      </c>
      <c r="S113" s="9582" t="n"/>
    </row>
    <row r="114" ht="15" customFormat="1" customHeight="1" s="17">
      <c r="A114" s="9591" t="n"/>
      <c r="B114" s="9589" t="n"/>
      <c r="C114" s="3589" t="inlineStr">
        <is>
          <t>Ambos Sexos</t>
        </is>
      </c>
      <c r="D114" s="3803" t="inlineStr">
        <is>
          <t>Hombres</t>
        </is>
      </c>
      <c r="E114" s="8757" t="inlineStr">
        <is>
          <t>Mujeres</t>
        </is>
      </c>
      <c r="F114" s="3589" t="inlineStr">
        <is>
          <t>Hombres</t>
        </is>
      </c>
      <c r="G114" s="8757" t="inlineStr">
        <is>
          <t>Mujeres</t>
        </is>
      </c>
      <c r="H114" s="3589" t="inlineStr">
        <is>
          <t>Hombres</t>
        </is>
      </c>
      <c r="I114" s="8757" t="inlineStr">
        <is>
          <t>Mujeres</t>
        </is>
      </c>
      <c r="J114" s="3589" t="inlineStr">
        <is>
          <t>Hombres</t>
        </is>
      </c>
      <c r="K114" s="8757" t="inlineStr">
        <is>
          <t>Mujeres</t>
        </is>
      </c>
      <c r="L114" s="3589" t="inlineStr">
        <is>
          <t>Hombres</t>
        </is>
      </c>
      <c r="M114" s="8757" t="inlineStr">
        <is>
          <t>Mujeres</t>
        </is>
      </c>
      <c r="N114" s="3589" t="inlineStr">
        <is>
          <t>Hombres</t>
        </is>
      </c>
      <c r="O114" s="8757" t="inlineStr">
        <is>
          <t>Mujeres</t>
        </is>
      </c>
      <c r="P114" s="3589" t="inlineStr">
        <is>
          <t>Hombres</t>
        </is>
      </c>
      <c r="Q114" s="8757" t="inlineStr">
        <is>
          <t>Mujeres</t>
        </is>
      </c>
      <c r="R114" s="3589" t="inlineStr">
        <is>
          <t>Hombres</t>
        </is>
      </c>
      <c r="S114" s="8757" t="inlineStr">
        <is>
          <t>Mujeres</t>
        </is>
      </c>
    </row>
    <row r="115" ht="15" customFormat="1" customHeight="1" s="17">
      <c r="A115" s="3832" t="inlineStr">
        <is>
          <t>EMP</t>
        </is>
      </c>
      <c r="B115" s="3123" t="n"/>
      <c r="C115" s="3364">
        <f>SUM(D115+E115)</f>
        <v/>
      </c>
      <c r="D115" s="3335">
        <f>+F115+H115+J115+L115+N115+P115+R115</f>
        <v/>
      </c>
      <c r="E115" s="2510">
        <f>+G115+I115+K115+M115+O115+Q115+S115</f>
        <v/>
      </c>
      <c r="F115" s="3123" t="n"/>
      <c r="G115" s="3273" t="n"/>
      <c r="H115" s="3123" t="n"/>
      <c r="I115" s="3273" t="n"/>
      <c r="J115" s="3123" t="n"/>
      <c r="K115" s="3126" t="n"/>
      <c r="L115" s="3123" t="n"/>
      <c r="M115" s="3126" t="n"/>
      <c r="N115" s="3123" t="n"/>
      <c r="O115" s="3126" t="n"/>
      <c r="P115" s="3123" t="n"/>
      <c r="Q115" s="3126" t="n"/>
      <c r="R115" s="3123" t="n"/>
      <c r="S115" s="3126" t="n"/>
    </row>
    <row r="116" ht="15" customFormat="1" customHeight="1" s="17">
      <c r="A116" s="3663" t="inlineStr">
        <is>
          <t>Controles de Salud</t>
        </is>
      </c>
      <c r="B116" s="3655" t="n"/>
      <c r="C116" s="3762">
        <f>SUM(D116+E116)</f>
        <v/>
      </c>
      <c r="D116" s="400">
        <f>+F116+H116+J116+L116+N116+P116+R116</f>
        <v/>
      </c>
      <c r="E116" s="4026">
        <f>+G116+I116+K116+M116+O116+Q116+S116</f>
        <v/>
      </c>
      <c r="F116" s="1301" t="n"/>
      <c r="G116" s="3791" t="n"/>
      <c r="H116" s="3655" t="n"/>
      <c r="I116" s="3656" t="n"/>
      <c r="J116" s="3655" t="n"/>
      <c r="K116" s="3657" t="n"/>
      <c r="L116" s="3655" t="n"/>
      <c r="M116" s="3657" t="n"/>
      <c r="N116" s="3655" t="n"/>
      <c r="O116" s="3657" t="n"/>
      <c r="P116" s="3655" t="n"/>
      <c r="Q116" s="3657" t="n"/>
      <c r="R116" s="3655" t="n"/>
      <c r="S116" s="3657" t="n"/>
    </row>
    <row r="117" ht="15" customFormat="1" customHeight="1" s="17">
      <c r="A117" s="3697" t="inlineStr">
        <is>
          <t>Consultas de Salud</t>
        </is>
      </c>
      <c r="B117" s="3805" t="n"/>
      <c r="C117" s="640">
        <f>SUM(D117+E117)</f>
        <v/>
      </c>
      <c r="D117" s="400">
        <f>+F117+H117+J117+L117+N117+P117+R117</f>
        <v/>
      </c>
      <c r="E117" s="1249">
        <f>+G117+I117+K117+M117+O117+Q117+S117</f>
        <v/>
      </c>
      <c r="F117" s="3787" t="n"/>
      <c r="G117" s="1183" t="n"/>
      <c r="H117" s="36" t="n"/>
      <c r="I117" s="3791" t="n"/>
      <c r="J117" s="3789" t="n"/>
      <c r="K117" s="3805" t="n"/>
      <c r="L117" s="36" t="n"/>
      <c r="M117" s="3791" t="n"/>
      <c r="N117" s="36" t="n"/>
      <c r="O117" s="3791" t="n"/>
      <c r="P117" s="36" t="n"/>
      <c r="Q117" s="3791" t="n"/>
      <c r="R117" s="3787" t="n"/>
      <c r="S117" s="3805" t="n"/>
    </row>
    <row r="118" ht="15" customFormat="1" customHeight="1" s="17">
      <c r="A118" s="1145" t="inlineStr">
        <is>
          <t>Toma de muestra de exámenes</t>
        </is>
      </c>
      <c r="B118" s="2057" t="n"/>
      <c r="C118" s="1190">
        <f>SUM(D118+E118)</f>
        <v/>
      </c>
      <c r="D118" s="400">
        <f>+F118+H118+J118+L118+N118+P118+R118</f>
        <v/>
      </c>
      <c r="E118" s="1249">
        <f>+G118+I118+K118+M118+O118+Q118+S118</f>
        <v/>
      </c>
      <c r="F118" s="3912" t="n"/>
      <c r="G118" s="1183" t="n"/>
      <c r="H118" s="35" t="n"/>
      <c r="I118" s="1183" t="n"/>
      <c r="J118" s="1181" t="n"/>
      <c r="K118" s="2057" t="n"/>
      <c r="L118" s="37" t="n"/>
      <c r="M118" s="1183" t="n"/>
      <c r="N118" s="1179" t="n"/>
      <c r="O118" s="2057" t="n"/>
      <c r="P118" s="1184" t="n"/>
      <c r="Q118" s="1183" t="n"/>
      <c r="R118" s="1184" t="n"/>
      <c r="S118" s="1183" t="n"/>
    </row>
    <row r="119" ht="15" customFormat="1" customHeight="1" s="17">
      <c r="A119" s="779" t="inlineStr">
        <is>
          <t>Vacunación</t>
        </is>
      </c>
      <c r="B119" s="780" t="n"/>
      <c r="C119" s="781" t="n"/>
      <c r="D119" s="784" t="n"/>
      <c r="E119" s="782" t="n"/>
      <c r="F119" s="783" t="n"/>
      <c r="G119" s="782" t="n"/>
      <c r="H119" s="784" t="n"/>
      <c r="I119" s="785" t="n"/>
      <c r="J119" s="786" t="n"/>
      <c r="K119" s="785" t="n"/>
      <c r="L119" s="786" t="n"/>
      <c r="M119" s="782" t="n"/>
      <c r="N119" s="787" t="n"/>
      <c r="O119" s="785" t="n"/>
      <c r="P119" s="786" t="n"/>
      <c r="Q119" s="785" t="n"/>
      <c r="R119" s="786" t="n"/>
      <c r="S119" s="782" t="n"/>
    </row>
    <row r="120" ht="15" customFormat="1" customHeight="1" s="17">
      <c r="A120" s="3796" t="inlineStr">
        <is>
          <t>TOTAL</t>
        </is>
      </c>
      <c r="B120" s="3532">
        <f>SUM(B115:B119)</f>
        <v/>
      </c>
      <c r="C120" s="3685">
        <f>SUM(C115:C119)</f>
        <v/>
      </c>
      <c r="D120" s="3726">
        <f>SUM(D115:D119)</f>
        <v/>
      </c>
      <c r="E120" s="3687">
        <f>SUM(E115:E119)</f>
        <v/>
      </c>
      <c r="F120" s="3725">
        <f>SUM(F115:F119)</f>
        <v/>
      </c>
      <c r="G120" s="3687">
        <f>SUM(G115:G119)</f>
        <v/>
      </c>
      <c r="H120" s="3725">
        <f>SUM(H115:H119)</f>
        <v/>
      </c>
      <c r="I120" s="3687">
        <f>SUM(I115:I119)</f>
        <v/>
      </c>
      <c r="J120" s="3685">
        <f>SUM(J115:J119)</f>
        <v/>
      </c>
      <c r="K120" s="3688">
        <f>SUM(K115:K119)</f>
        <v/>
      </c>
      <c r="L120" s="3725">
        <f>SUM(L115:L119)</f>
        <v/>
      </c>
      <c r="M120" s="3687">
        <f>SUM(M115:M119)</f>
        <v/>
      </c>
      <c r="N120" s="3725">
        <f>SUM(N115:N119)</f>
        <v/>
      </c>
      <c r="O120" s="3687">
        <f>SUM(O115:O119)</f>
        <v/>
      </c>
      <c r="P120" s="3725">
        <f>SUM(P115:P119)</f>
        <v/>
      </c>
      <c r="Q120" s="3687">
        <f>SUM(Q115:Q119)</f>
        <v/>
      </c>
      <c r="R120" s="3725">
        <f>SUM(R115:R119)</f>
        <v/>
      </c>
      <c r="S120" s="3689">
        <f>SUM(S115:S119)</f>
        <v/>
      </c>
      <c r="T120" s="675" t="n"/>
    </row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 hidden="1" s="8286">
      <c r="A139" s="451">
        <f>SUM(C10:C35,D38:J47,#REF!,C50:C59,D64:D69,C74:C81,B86:B87,B90:C90,B95:B110)</f>
        <v/>
      </c>
      <c r="B139" s="452">
        <f>SUM(BW10:CA109)</f>
        <v/>
      </c>
    </row>
    <row r="140"/>
    <row r="141"/>
    <row r="142"/>
    <row r="143"/>
    <row r="144"/>
    <row r="145"/>
    <row r="146"/>
    <row r="147"/>
    <row r="148"/>
    <row r="149"/>
    <row r="150" hidden="1" s="8286">
      <c r="A150" s="68">
        <f>SUM(C10:C35,C38:J40,C42:J46,C50:C58,C64:D69,C74:C81,B86:B87,B95:B109,B90:C90,B115:C119)</f>
        <v/>
      </c>
      <c r="B150" s="68">
        <f>SUM(BZ10:CG109)</f>
        <v/>
      </c>
    </row>
    <row r="151"/>
    <row r="152"/>
    <row r="153"/>
    <row r="154"/>
    <row r="155"/>
    <row r="156"/>
    <row r="157"/>
    <row r="158"/>
    <row r="159"/>
    <row r="160"/>
    <row r="161" s="8286"/>
    <row r="162" s="8286"/>
    <row r="163" s="8286"/>
    <row r="164" s="8286"/>
    <row r="165" s="8286"/>
    <row r="166" s="8286"/>
    <row r="167" s="8286"/>
    <row r="168" s="8286"/>
    <row r="169" s="8286"/>
    <row r="170" s="8286"/>
    <row r="171" s="8286"/>
    <row r="172" s="8286"/>
    <row r="173" s="8286"/>
    <row r="174" s="8286"/>
    <row r="175" s="8286"/>
    <row r="176" s="8286"/>
    <row r="177" s="8286"/>
    <row r="178" s="8286"/>
    <row r="179" s="8286"/>
    <row r="180" s="8286"/>
    <row r="181" s="8286"/>
    <row r="182" s="8286"/>
    <row r="183" s="8286"/>
    <row r="184" s="8286"/>
    <row r="185" s="8286"/>
    <row r="186" s="8286"/>
    <row r="187" s="8286"/>
    <row r="188" s="8286"/>
    <row r="189" s="8286"/>
    <row r="190" s="8286"/>
    <row r="191" s="8286"/>
    <row r="192" s="8286"/>
    <row r="193" s="8286"/>
    <row r="194" s="8286"/>
    <row r="195" s="8286"/>
    <row r="196" s="8286"/>
    <row r="197" s="8286"/>
    <row r="198" s="8286"/>
    <row r="199" s="8286"/>
    <row r="200" s="8286"/>
    <row r="201" s="8286"/>
    <row r="202" s="8286"/>
    <row r="203" s="8286"/>
    <row r="204" s="8286"/>
    <row r="205" s="8286"/>
    <row r="206" s="8286"/>
    <row r="207" s="8286"/>
    <row r="208" s="8286"/>
    <row r="209" s="8286"/>
    <row r="210" s="8286"/>
    <row r="211" s="8286"/>
    <row r="212" s="8286"/>
    <row r="213" s="8286"/>
    <row r="214" s="8286"/>
    <row r="215" s="8286"/>
    <row r="216" s="8286"/>
    <row r="217" s="8286"/>
    <row r="218" s="8286"/>
    <row r="219" s="8286"/>
    <row r="220" s="8286"/>
    <row r="221" s="8286"/>
    <row r="222" s="8286"/>
    <row r="223" s="8286"/>
    <row r="224" s="8286"/>
    <row r="225" s="8286"/>
    <row r="226" s="8286"/>
    <row r="227" s="8286"/>
    <row r="228" s="8286"/>
    <row r="229" s="8286"/>
    <row r="230" s="8286"/>
    <row r="231" s="8286"/>
    <row r="232" s="8286"/>
    <row r="233" s="8286"/>
    <row r="234" s="8286"/>
    <row r="235" s="8286"/>
    <row r="236" s="8286"/>
    <row r="237" s="8286"/>
    <row r="238" s="8286"/>
    <row r="239" s="8286"/>
    <row r="240" s="8286"/>
    <row r="241" s="8286"/>
    <row r="242" s="8286"/>
    <row r="243" s="8286"/>
    <row r="244" s="8286"/>
    <row r="245" s="8286"/>
    <row r="246" s="8286"/>
    <row r="247" s="8286"/>
    <row r="248" s="8286"/>
    <row r="249" s="8286"/>
    <row r="250" s="8286"/>
    <row r="251" s="8286"/>
    <row r="252" s="8286"/>
    <row r="253" s="8286"/>
    <row r="254" s="8286"/>
    <row r="255" s="8286"/>
    <row r="256" s="8286"/>
    <row r="257" s="8286"/>
    <row r="258" s="8286"/>
    <row r="259" s="8286"/>
    <row r="260" s="8286"/>
    <row r="261" s="8286"/>
    <row r="262" s="8286"/>
    <row r="263" s="8286"/>
    <row r="264" s="8286"/>
    <row r="265" s="8286"/>
    <row r="266" s="8286"/>
    <row r="267" s="8286"/>
    <row r="268" s="8286"/>
    <row r="269" s="8286"/>
    <row r="270" s="8286"/>
    <row r="271" s="8286"/>
    <row r="272" s="8286"/>
    <row r="273" s="8286"/>
    <row r="274" s="8286"/>
    <row r="275" s="8286"/>
    <row r="276" s="8286"/>
    <row r="277" s="8286"/>
    <row r="278" s="8286"/>
    <row r="279" s="8286"/>
    <row r="280" s="8286"/>
    <row r="281" s="8286"/>
    <row r="282" s="8286"/>
    <row r="283" s="8286"/>
    <row r="284" s="8286"/>
    <row r="285" s="8286"/>
    <row r="286" s="8286"/>
    <row r="287" s="8286"/>
    <row r="288" s="8286"/>
    <row r="289" s="8286"/>
    <row r="290" s="8286"/>
    <row r="291" s="8286"/>
    <row r="292" s="8286"/>
    <row r="293" s="8286"/>
    <row r="294" s="8286"/>
    <row r="295" s="8286"/>
    <row r="296" s="8286"/>
    <row r="297" s="8286"/>
    <row r="298" s="8286"/>
    <row r="299" s="8286"/>
    <row r="300" s="8286"/>
    <row r="301" s="8286"/>
    <row r="302" s="8286"/>
    <row r="303" s="8286"/>
    <row r="304" s="8286"/>
    <row r="305" s="8286"/>
    <row r="306" s="8286"/>
    <row r="307" s="8286"/>
    <row r="308" s="8286"/>
    <row r="309" s="8286"/>
    <row r="310" s="8286"/>
    <row r="311" s="8286"/>
    <row r="312" s="8286"/>
    <row r="313" s="8286"/>
    <row r="314" s="8286"/>
    <row r="315" s="8286"/>
    <row r="316" s="8286"/>
    <row r="317" s="8286"/>
    <row r="318" s="8286"/>
    <row r="319" s="8286"/>
    <row r="320" s="8286"/>
    <row r="321" s="8286"/>
    <row r="322" s="8286"/>
    <row r="323" s="8286"/>
    <row r="324" s="8286"/>
    <row r="325" s="8286"/>
    <row r="326" s="8286"/>
    <row r="327" s="8286"/>
    <row r="328" s="8286"/>
    <row r="329" s="8286"/>
    <row r="330" s="8286"/>
    <row r="331" s="8286"/>
    <row r="332" s="8286"/>
    <row r="333" s="8286"/>
    <row r="334" s="8286"/>
    <row r="335" s="8286"/>
    <row r="336" s="8286"/>
    <row r="337" s="8286"/>
    <row r="338" s="8286"/>
    <row r="339" s="8286"/>
    <row r="340" s="8286"/>
    <row r="341" s="8286"/>
    <row r="342" s="8286"/>
    <row r="343" s="8286"/>
    <row r="344" s="8286"/>
    <row r="345" s="8286"/>
    <row r="346" s="8286"/>
    <row r="347" s="8286"/>
    <row r="348" s="8286"/>
    <row r="349" s="8286"/>
    <row r="350" s="8286"/>
    <row r="351" s="8286"/>
    <row r="352" s="8286"/>
    <row r="353" s="8286"/>
    <row r="354" s="8286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RBRV+HP1AMucKQeGrOV09w==" formatRows="1" sort="1" spinCount="100000" hashValue="LDz2Zvsbbzx/lkQUXbez8kMMiJ0C3v7L4KrvKOXwcOhRtjA1wsbiLvE27tRkQMe9GTUlb/Kg0GVXahgeUPyqeQ=="/>
  <mergeCells count="86">
    <mergeCell ref="A15:B15"/>
    <mergeCell ref="N113:O113"/>
    <mergeCell ref="A64:B64"/>
    <mergeCell ref="A51:B51"/>
    <mergeCell ref="A38:A40"/>
    <mergeCell ref="H113:I113"/>
    <mergeCell ref="B92:B94"/>
    <mergeCell ref="A41:B41"/>
    <mergeCell ref="A74:B74"/>
    <mergeCell ref="A27:B27"/>
    <mergeCell ref="A76:B76"/>
    <mergeCell ref="A33:B33"/>
    <mergeCell ref="A71:B73"/>
    <mergeCell ref="C71:G71"/>
    <mergeCell ref="A17:B17"/>
    <mergeCell ref="A53:B53"/>
    <mergeCell ref="A22:B22"/>
    <mergeCell ref="A35:B35"/>
    <mergeCell ref="A19:B19"/>
    <mergeCell ref="A28:B28"/>
    <mergeCell ref="A9:B9"/>
    <mergeCell ref="A30:B30"/>
    <mergeCell ref="A59:B59"/>
    <mergeCell ref="A11:B11"/>
    <mergeCell ref="A58:B58"/>
    <mergeCell ref="A42:A46"/>
    <mergeCell ref="A79:B79"/>
    <mergeCell ref="A36:N36"/>
    <mergeCell ref="A112:A114"/>
    <mergeCell ref="A37:B37"/>
    <mergeCell ref="C84:G84"/>
    <mergeCell ref="B84:B85"/>
    <mergeCell ref="A26:B26"/>
    <mergeCell ref="C112:E113"/>
    <mergeCell ref="A54:A56"/>
    <mergeCell ref="R62:R63"/>
    <mergeCell ref="A52:B52"/>
    <mergeCell ref="A10:B10"/>
    <mergeCell ref="B112:B114"/>
    <mergeCell ref="T92:U93"/>
    <mergeCell ref="A77:B77"/>
    <mergeCell ref="A34:B34"/>
    <mergeCell ref="A84:A85"/>
    <mergeCell ref="C92:S92"/>
    <mergeCell ref="P113:Q113"/>
    <mergeCell ref="A49:B49"/>
    <mergeCell ref="F112:S112"/>
    <mergeCell ref="H71:I72"/>
    <mergeCell ref="A66:A69"/>
    <mergeCell ref="A78:B78"/>
    <mergeCell ref="A65:B65"/>
    <mergeCell ref="A92:A94"/>
    <mergeCell ref="A75:B75"/>
    <mergeCell ref="A62:B63"/>
    <mergeCell ref="A80:B80"/>
    <mergeCell ref="C93:S93"/>
    <mergeCell ref="U62:U63"/>
    <mergeCell ref="A12:B12"/>
    <mergeCell ref="A21:B21"/>
    <mergeCell ref="A57:B57"/>
    <mergeCell ref="R113:S113"/>
    <mergeCell ref="A6:P6"/>
    <mergeCell ref="A32:B32"/>
    <mergeCell ref="A14:B14"/>
    <mergeCell ref="A23:B23"/>
    <mergeCell ref="G72:G73"/>
    <mergeCell ref="J113:K113"/>
    <mergeCell ref="L113:M113"/>
    <mergeCell ref="A24:B24"/>
    <mergeCell ref="T62:T63"/>
    <mergeCell ref="C62:P62"/>
    <mergeCell ref="D72:F72"/>
    <mergeCell ref="A16:B16"/>
    <mergeCell ref="A25:B25"/>
    <mergeCell ref="F113:G113"/>
    <mergeCell ref="A18:B18"/>
    <mergeCell ref="A50:B50"/>
    <mergeCell ref="A47:B47"/>
    <mergeCell ref="C72:C73"/>
    <mergeCell ref="A20:B20"/>
    <mergeCell ref="A29:B29"/>
    <mergeCell ref="A81:B81"/>
    <mergeCell ref="A13:B13"/>
    <mergeCell ref="A31:B31"/>
    <mergeCell ref="Q62:Q63"/>
    <mergeCell ref="S62:S63"/>
  </mergeCells>
  <dataValidations count="5">
    <dataValidation sqref="B90:C90 B115:B119 C38:N41 C47:N47 C64:C69 C86:G87 C95:U109 C119 D74:I81 E64:U69 F115:S118" showDropDown="0" showInputMessage="1" showErrorMessage="1" allowBlank="0" type="whole" operator="greaterThanOrEqual">
      <formula1>0</formula1>
    </dataValidation>
    <dataValidation sqref="D50:M58" showDropDown="0" showInputMessage="1" showErrorMessage="1" allowBlank="0" type="whole">
      <formula1>0</formula1>
      <formula2>9.99999999999999E+36</formula2>
    </dataValidation>
    <dataValidation sqref="C42:N46" showDropDown="0" showInputMessage="1" showErrorMessage="1" allowBlank="0" type="whole">
      <formula1>0</formula1>
      <formula2>9.99999999999999E+30</formula2>
    </dataValidation>
    <dataValidation sqref="D10:S35" showDropDown="0" showInputMessage="1" showErrorMessage="1" allowBlank="0" type="whole">
      <formula1>0</formula1>
      <formula2>9.99999999999999E+34</formula2>
    </dataValidation>
    <dataValidation sqref="D119:S119" showDropDown="0" showInputMessage="1" showErrorMessage="1" allowBlank="0" type="whole" operator="equal">
      <formula1>0</formula1>
    </dataValidation>
  </dataValidations>
  <pageMargins left="0.7" right="0.7" top="0.75" bottom="0.75" header="0.3" footer="0.3"/>
  <pageSetup orientation="portrait" paperSize="9"/>
</worksheet>
</file>

<file path=xl/worksheets/sheet20.xml><?xml version="1.0" encoding="utf-8"?>
<worksheet xmlns="http://schemas.openxmlformats.org/spreadsheetml/2006/main">
  <sheetPr codeName="Hoja20">
    <outlinePr summaryBelow="1" summaryRight="1"/>
    <pageSetUpPr/>
  </sheetPr>
  <dimension ref="A1:CR249"/>
  <sheetViews>
    <sheetView showGridLines="0" zoomScaleNormal="100" workbookViewId="0">
      <selection activeCell="A1" sqref="A1"/>
    </sheetView>
  </sheetViews>
  <sheetFormatPr baseColWidth="10" defaultColWidth="11.42578125" defaultRowHeight="15"/>
  <cols>
    <col width="46.42578125" customWidth="1" style="8286" min="1" max="1"/>
    <col width="22.85546875" customWidth="1" style="8286" min="2" max="2"/>
    <col width="28.42578125" customWidth="1" style="8286" min="3" max="3"/>
    <col width="17.42578125" customWidth="1" style="8286" min="4" max="4"/>
    <col width="14.140625" customWidth="1" style="8286" min="5" max="6"/>
    <col width="14.7109375" customWidth="1" style="8286" min="7" max="7"/>
    <col width="14.140625" customWidth="1" style="8286" min="8" max="8"/>
    <col width="13.5703125" customWidth="1" style="8286" min="9" max="9"/>
    <col width="14.7109375" customWidth="1" style="8286" min="10" max="13"/>
    <col width="10" customWidth="1" style="8286" min="26" max="26"/>
    <col width="10.28515625" customWidth="1" style="8286" min="29" max="29"/>
    <col width="15.7109375" customWidth="1" style="8286" min="34" max="35"/>
    <col width="11.42578125" customWidth="1" style="8286" min="75" max="78"/>
    <col hidden="1" width="11.42578125" customWidth="1" style="8286" min="79" max="98"/>
    <col hidden="1" style="8286" min="99" max="99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25">
        <f>CONCATENATE("AÑO: ",NOMBRE!B7)</f>
        <v/>
      </c>
    </row>
    <row r="6" ht="18" customHeight="1" s="8286">
      <c r="A6" s="7780" t="inlineStr">
        <is>
          <t>REM-27.  EDUCACIÓN PARA LA SALUD</t>
        </is>
      </c>
    </row>
    <row r="8" ht="18" customFormat="1" customHeight="1" s="5">
      <c r="A8" s="2502" t="inlineStr">
        <is>
          <t>SECCIÓN A: PERSONAS QUE INGRESAN A EDUCACIÓN GRUPAL SEGÚN ÁREAS TEMÁTICAS Y EDAD</t>
        </is>
      </c>
      <c r="B8" s="12" t="n"/>
      <c r="C8" s="12" t="n"/>
      <c r="D8" s="12" t="n"/>
      <c r="E8" s="12" t="n"/>
      <c r="F8" s="12" t="n"/>
      <c r="G8" s="12" t="n"/>
      <c r="H8" s="12" t="n"/>
      <c r="I8" s="12" t="n"/>
      <c r="J8" s="12" t="n"/>
      <c r="K8" s="12" t="n"/>
      <c r="L8" s="12" t="n"/>
      <c r="M8" s="12" t="n"/>
      <c r="N8" s="12" t="n"/>
      <c r="O8" s="12" t="n"/>
      <c r="P8" s="1" t="n"/>
      <c r="Q8" s="7" t="n"/>
      <c r="R8" s="7" t="n"/>
      <c r="S8" s="7" t="n"/>
      <c r="T8" s="7" t="n"/>
      <c r="U8" s="7" t="n"/>
      <c r="V8" s="7" t="n"/>
      <c r="W8" s="7" t="n"/>
      <c r="X8" s="7" t="n"/>
      <c r="Y8" s="7" t="n"/>
      <c r="Z8" s="7" t="n"/>
      <c r="AA8" s="7" t="n"/>
      <c r="AB8" s="7" t="n"/>
      <c r="AC8" s="7" t="n"/>
      <c r="AD8" s="236" t="n"/>
      <c r="AE8" s="236" t="n"/>
      <c r="AF8" s="236" t="n"/>
    </row>
    <row r="9" ht="30" customFormat="1" customHeight="1" s="17">
      <c r="A9" s="10004" t="inlineStr">
        <is>
          <t>ÁREAS TEMÁTICAS DE PREVENCIÓN</t>
        </is>
      </c>
      <c r="B9" s="9602" t="n"/>
      <c r="C9" s="9630" t="n"/>
      <c r="D9" s="9690" t="inlineStr">
        <is>
          <t>TOTAL</t>
        </is>
      </c>
      <c r="E9" s="8400" t="inlineStr">
        <is>
          <t>Madre, Padre o Cuidador de:</t>
        </is>
      </c>
      <c r="F9" s="9584" t="n"/>
      <c r="G9" s="9584" t="n"/>
      <c r="H9" s="9584" t="n"/>
      <c r="I9" s="9582" t="n"/>
      <c r="J9" s="9915" t="inlineStr">
        <is>
          <t>RANGO ETARIO</t>
        </is>
      </c>
      <c r="K9" s="9584" t="n"/>
      <c r="L9" s="9584" t="n"/>
      <c r="M9" s="9584" t="n"/>
      <c r="N9" s="9584" t="n"/>
      <c r="O9" s="9584" t="n"/>
      <c r="P9" s="9584" t="n"/>
      <c r="Q9" s="9584" t="n"/>
      <c r="R9" s="9584" t="n"/>
      <c r="S9" s="9584" t="n"/>
      <c r="T9" s="9584" t="n"/>
      <c r="U9" s="9584" t="n"/>
      <c r="V9" s="9584" t="n"/>
      <c r="W9" s="9584" t="n"/>
      <c r="X9" s="9595" t="n"/>
      <c r="Y9" s="10535" t="inlineStr">
        <is>
          <t>Gestantes</t>
        </is>
      </c>
      <c r="Z9" s="9617" t="n"/>
      <c r="AA9" s="9597" t="n"/>
      <c r="AB9" s="9916" t="inlineStr">
        <is>
          <t>Familias en Riesgo</t>
        </is>
      </c>
      <c r="AC9" s="8400" t="inlineStr">
        <is>
          <t>Pueblos Originarios</t>
        </is>
      </c>
      <c r="AD9" s="8400" t="inlineStr">
        <is>
          <t>Migrantes</t>
        </is>
      </c>
      <c r="AE9" s="9975" t="inlineStr">
        <is>
          <t>Espacios Amigables/ Adolescentes</t>
        </is>
      </c>
      <c r="AF9" s="10536" t="inlineStr">
        <is>
          <t>TRANS</t>
        </is>
      </c>
      <c r="AG9" s="9648" t="n"/>
      <c r="AH9" s="10326" t="inlineStr">
        <is>
          <t xml:space="preserve">SENAME/ Servicio Nacional de Reinserción social Juvenil 
</t>
        </is>
      </c>
      <c r="AI9" s="10311" t="inlineStr">
        <is>
          <t>Servicio Nacional Protección Especializada a la Niñez y Adolescencia</t>
        </is>
      </c>
    </row>
    <row r="10" ht="33" customFormat="1" customHeight="1" s="17">
      <c r="A10" s="9638" t="n"/>
      <c r="B10" s="9697" t="n"/>
      <c r="C10" s="9639" t="n"/>
      <c r="D10" s="9589" t="n"/>
      <c r="E10" s="8463" t="inlineStr">
        <is>
          <t>Menos de 1 año</t>
        </is>
      </c>
      <c r="F10" s="8292" t="inlineStr">
        <is>
          <t>Niños/as 12 - 23 meses</t>
        </is>
      </c>
      <c r="G10" s="8292" t="inlineStr">
        <is>
          <t>Niños/as de 2 - 5 años</t>
        </is>
      </c>
      <c r="H10" s="3909" t="inlineStr">
        <is>
          <t>Niños/as de 6 - 9 años</t>
        </is>
      </c>
      <c r="I10" s="3889" t="inlineStr">
        <is>
          <t>Niños/as de 10 - 14 años</t>
        </is>
      </c>
      <c r="J10" s="3589" t="inlineStr">
        <is>
          <t>10 - 14 años</t>
        </is>
      </c>
      <c r="K10" s="3909" t="inlineStr">
        <is>
          <t>15 - 19 años</t>
        </is>
      </c>
      <c r="L10" s="3909" t="inlineStr">
        <is>
          <t>20 - 24 años</t>
        </is>
      </c>
      <c r="M10" s="3909" t="inlineStr">
        <is>
          <t>25 - 29 años</t>
        </is>
      </c>
      <c r="N10" s="3909" t="inlineStr">
        <is>
          <t>30 - 34 años</t>
        </is>
      </c>
      <c r="O10" s="3909" t="inlineStr">
        <is>
          <t>35 - 39 años</t>
        </is>
      </c>
      <c r="P10" s="3909" t="inlineStr">
        <is>
          <t>40 - 44 años</t>
        </is>
      </c>
      <c r="Q10" s="3909" t="inlineStr">
        <is>
          <t>45 - 49 años</t>
        </is>
      </c>
      <c r="R10" s="3909" t="inlineStr">
        <is>
          <t>50 - 54 años</t>
        </is>
      </c>
      <c r="S10" s="3909" t="inlineStr">
        <is>
          <t>55 - 59 años</t>
        </is>
      </c>
      <c r="T10" s="3909" t="inlineStr">
        <is>
          <t>60 - 64 años</t>
        </is>
      </c>
      <c r="U10" s="3909" t="inlineStr">
        <is>
          <t>65 - 69 años</t>
        </is>
      </c>
      <c r="V10" s="3909" t="inlineStr">
        <is>
          <t>70 - 74 años</t>
        </is>
      </c>
      <c r="W10" s="3909" t="inlineStr">
        <is>
          <t>75 - 79 años</t>
        </is>
      </c>
      <c r="X10" s="3915" t="inlineStr">
        <is>
          <t>80 y más años</t>
        </is>
      </c>
      <c r="Y10" s="3803" t="inlineStr">
        <is>
          <t>APS</t>
        </is>
      </c>
      <c r="Z10" s="8671" t="inlineStr">
        <is>
          <t>Nivel Secundario</t>
        </is>
      </c>
      <c r="AA10" s="3915" t="inlineStr">
        <is>
          <t>Nivel Terciario</t>
        </is>
      </c>
      <c r="AB10" s="9890" t="n"/>
      <c r="AC10" s="9610" t="n"/>
      <c r="AD10" s="9610" t="n"/>
      <c r="AE10" s="9611" t="n"/>
      <c r="AF10" s="3589" t="inlineStr">
        <is>
          <t>Masculino</t>
        </is>
      </c>
      <c r="AG10" s="7976" t="inlineStr">
        <is>
          <t>Femenino</t>
        </is>
      </c>
      <c r="AH10" s="9610" t="n"/>
      <c r="AI10" s="9611" t="n"/>
    </row>
    <row r="11" ht="15" customFormat="1" customHeight="1" s="17">
      <c r="A11" s="10398" t="inlineStr">
        <is>
          <t>Educación en grupo</t>
        </is>
      </c>
      <c r="B11" s="10537" t="inlineStr">
        <is>
          <t xml:space="preserve">Estimulación desarrollo psicomotor </t>
        </is>
      </c>
      <c r="C11" s="9603" t="n"/>
      <c r="D11" s="3779">
        <f>SUM(E11:G11)</f>
        <v/>
      </c>
      <c r="E11" s="5194" t="n"/>
      <c r="F11" s="4655" t="n"/>
      <c r="G11" s="4655" t="n"/>
      <c r="H11" s="4027" t="n"/>
      <c r="I11" s="4028" t="n"/>
      <c r="J11" s="4027" t="n"/>
      <c r="K11" s="4029" t="n"/>
      <c r="L11" s="4029" t="n"/>
      <c r="M11" s="4030" t="n"/>
      <c r="N11" s="4030" t="n"/>
      <c r="O11" s="4030" t="n"/>
      <c r="P11" s="4030" t="n"/>
      <c r="Q11" s="4030" t="n"/>
      <c r="R11" s="4030" t="n"/>
      <c r="S11" s="4030" t="n"/>
      <c r="T11" s="4030" t="n"/>
      <c r="U11" s="4030" t="n"/>
      <c r="V11" s="4030" t="n"/>
      <c r="W11" s="4030" t="n"/>
      <c r="X11" s="4030" t="n"/>
      <c r="Y11" s="4031" t="n"/>
      <c r="Z11" s="4029" t="n"/>
      <c r="AA11" s="4032" t="n"/>
      <c r="AB11" s="5469" t="n"/>
      <c r="AC11" s="5189" t="n"/>
      <c r="AD11" s="5189" t="n"/>
      <c r="AE11" s="4312" t="n"/>
      <c r="AF11" s="3502" t="n"/>
      <c r="AG11" s="3520" t="n"/>
      <c r="AH11" s="5189" t="n"/>
      <c r="AI11" s="5185" t="n"/>
      <c r="AJ11">
        <f>CB11&amp;CC11&amp;CD11&amp;CE11&amp;CF11&amp;CG11&amp;CH11</f>
        <v/>
      </c>
      <c r="CB11" s="222" t="n"/>
      <c r="CC11" s="219">
        <f>IF(AND($D11&lt;&gt;0,AC11=""),"* No olvide ingresar la variable "&amp;AC$9&amp;""&amp;" (Digite CERO si no tiene).  ",IF(AC11&gt;$D11,"* La variable Pueblos Originarios no puede superar el Total. ",""))</f>
        <v/>
      </c>
      <c r="CD11" s="219">
        <f>IF(AND($D11&lt;&gt;0,AD11=""),"* No olvide ingresar la variable "&amp;AD$9&amp;""&amp;" (Digite CERO si no tiene).  ",IF(AD11&gt;$D11,"* La variable Migrantes no puede superar el Total. ",""))</f>
        <v/>
      </c>
      <c r="CE11" s="5193" t="n"/>
      <c r="CF11" s="219">
        <f>IF(AND(D11&gt;0,OR(AF11="",AG11="",))," * No olvide digitar la variable TRANS Masculino/Femenino (Digite CERO si no tiene). ",IF(AF11+AG11&gt;$D11,"* La suma de TRANS Masculino + Femenino no puede superar el Total. ",""))</f>
        <v/>
      </c>
      <c r="CG11" s="219">
        <f>IF(AND(D11&gt;0,AH11=""),"* No olvide digitar la variable "&amp;AH$9&amp;"(Digite CERO si no tiene). ",IF(AH11&gt;$D11,"* La variable "&amp;AH$9&amp;" no puede superar el Total. ",""))</f>
        <v/>
      </c>
      <c r="CH11" s="219">
        <f>IF(AND(D11&gt;0,AI11=""),"* No olvide digitar la variable "&amp;AI$9&amp;" (Digite CERO si no tiene). ",IF(AI11&gt;$D11,"* La variable "&amp;AI$9&amp;" no puede superar el Total. ",""))</f>
        <v/>
      </c>
      <c r="CK11" s="227" t="n"/>
      <c r="CL11" s="222" t="n"/>
      <c r="CM11" s="221">
        <f>IF(AND($D11&lt;&gt;0,AC11=""),1,IF(AC11&gt;$D11,1,0))</f>
        <v/>
      </c>
      <c r="CN11" s="221">
        <f>IF(AND($D11&lt;&gt;0,AD11=""),1,IF(AD11&gt;$D11,1,0))</f>
        <v/>
      </c>
      <c r="CO11" s="908" t="n"/>
      <c r="CP11" s="221">
        <f>IF(AND(D11&gt;0,OR(AF11="",AG11="",)),1,IF(AF11+AG11&gt;$D11,1,0))</f>
        <v/>
      </c>
      <c r="CQ11" s="378">
        <f>IF(AND(D11&gt;0,AH11=""),1,IF(AH11&gt;$D11,1,0))</f>
        <v/>
      </c>
      <c r="CR11" s="378">
        <f>IF(AND(D11&gt;0,AI11=""),1,IF(AI11&gt;$D11,1,0))</f>
        <v/>
      </c>
    </row>
    <row r="12" ht="21" customFormat="1" customHeight="1" s="17">
      <c r="A12" s="9588" t="n"/>
      <c r="B12" s="10398" t="inlineStr">
        <is>
          <t>Nutrición</t>
        </is>
      </c>
      <c r="C12" s="3934" t="inlineStr">
        <is>
          <t>Riesgo de malnutrición por exceso</t>
        </is>
      </c>
      <c r="D12" s="3595">
        <f>SUM(E12:X12)</f>
        <v/>
      </c>
      <c r="E12" s="3502" t="n"/>
      <c r="F12" s="835" t="n"/>
      <c r="G12" s="835" t="n"/>
      <c r="H12" s="835" t="n"/>
      <c r="I12" s="2337" t="n"/>
      <c r="J12" s="835" t="n"/>
      <c r="K12" s="835" t="n"/>
      <c r="L12" s="835" t="n"/>
      <c r="M12" s="835" t="n"/>
      <c r="N12" s="835" t="n"/>
      <c r="O12" s="835" t="n"/>
      <c r="P12" s="835" t="n"/>
      <c r="Q12" s="835" t="n"/>
      <c r="R12" s="835" t="n"/>
      <c r="S12" s="835" t="n"/>
      <c r="T12" s="835" t="n"/>
      <c r="U12" s="835" t="n"/>
      <c r="V12" s="835" t="n"/>
      <c r="W12" s="835" t="n"/>
      <c r="X12" s="1940" t="n"/>
      <c r="Y12" s="4033" t="n"/>
      <c r="Z12" s="847" t="n"/>
      <c r="AA12" s="2049" t="n"/>
      <c r="AB12" s="5213" t="n"/>
      <c r="AC12" s="5189" t="n"/>
      <c r="AD12" s="5189" t="n"/>
      <c r="AE12" s="5185" t="n"/>
      <c r="AF12" s="3502" t="n"/>
      <c r="AG12" s="3520" t="n"/>
      <c r="AH12" s="5189" t="n"/>
      <c r="AI12" s="5185" t="n"/>
      <c r="AJ12">
        <f>CB12&amp;CC12&amp;CD12&amp;CE12&amp;CF12&amp;CG12&amp;CH12</f>
        <v/>
      </c>
      <c r="CB12" s="219">
        <f>IF(AND($D12&lt;&gt;0,AB12=""),"* No olvide ingresar la columna "&amp;AB$9&amp;""&amp;" (Digite CERO si no tiene).  ",IF(AB12&gt;$D12,"* El Número de Familias en Riesgo no puede superar el Total. ",""))</f>
        <v/>
      </c>
      <c r="CC12" s="219">
        <f>IF(AND($D12&lt;&gt;0,AC12=""),"* No olvide ingresar la variable "&amp;AC$9&amp;""&amp;" (Digite CERO si no tiene).  ",IF(AC12&gt;$D12,"* La variable Pueblos Originarios no puede superar el Total. ",""))</f>
        <v/>
      </c>
      <c r="CD12" s="219">
        <f>IF(AND($D12&lt;&gt;0,AD12=""),"* No olvide ingresar la variable "&amp;AD$9&amp;""&amp;" (Digite CERO si no tiene).  ",IF(AD12&gt;$D12,"* La variable Migrantes no puede superar el Total. ",""))</f>
        <v/>
      </c>
      <c r="CE12" s="219">
        <f>IF(AND($D12&lt;&gt;0,AE12=""),"* No olvide ingresar la variable "&amp;AE$9&amp;""&amp;" (Digite CERO si no tiene).  ",IF(AE12&gt;$D12,"* La variable Espacios Amigables/ Adolescentes no puede superar el Total. ",""))</f>
        <v/>
      </c>
      <c r="CF12" s="219">
        <f>IF(AND(D12&gt;0,OR(AF12="",AG12="",))," * No olvide digitar la variable TRANS Masculino/Femenino (Digite CERO si no tiene). ",IF(AF12+AG12&gt;$D12,"* La suma de TRANS Masculino + Femenino no puede superar el Total. ",""))</f>
        <v/>
      </c>
      <c r="CG12" s="219">
        <f>IF(AND(D12&gt;0,AH12=""),"* No olvide digitar la variable "&amp;AH$9&amp;"(Digite CERO si no tiene). ",IF(AH12&gt;$D12,"* La variable "&amp;AH$9&amp;" no puede superar el Total. ",""))</f>
        <v/>
      </c>
      <c r="CH12" s="219">
        <f>IF(AND(D12&gt;0,AI12=""),"* No olvide digitar la variable "&amp;AI$9&amp;" (Digite CERO si no tiene). ",IF(AI12&gt;$D12,"* La variable "&amp;AI$9&amp;" no puede superar el Total. ",""))</f>
        <v/>
      </c>
      <c r="CK12" s="227" t="n"/>
      <c r="CL12" s="221">
        <f>IF(AND($D12&lt;&gt;0,AB12=""),1,IF(AB12&gt;$D12,1,0))</f>
        <v/>
      </c>
      <c r="CM12" s="221">
        <f>IF(AND($D12&lt;&gt;0,AC12=""),1,IF(AC12&gt;$D12,1,0))</f>
        <v/>
      </c>
      <c r="CN12" s="221">
        <f>IF(AND($D12&lt;&gt;0,AD12=""),1,IF(AD12&gt;$D12,1,0))</f>
        <v/>
      </c>
      <c r="CO12" s="221">
        <f>IF(AND($D12&lt;&gt;0,AE12=""),1,IF(AE12&gt;$D12,1,0))</f>
        <v/>
      </c>
      <c r="CP12" s="221">
        <f>IF(AND(D12&gt;0,OR(AF12="",AG12="",)),1,IF(AF12+AG12&gt;$D12,1,0))</f>
        <v/>
      </c>
      <c r="CQ12" s="378">
        <f>IF(AND(D12&gt;0,AI12=""),1,IF(AI12&gt;$D12,1,0))</f>
        <v/>
      </c>
      <c r="CR12" s="378">
        <f>IF(AND(D12&gt;0,AI12=""),1,IF(AI12&gt;$D12,1,0))</f>
        <v/>
      </c>
    </row>
    <row r="13" ht="15" customFormat="1" customHeight="1" s="17">
      <c r="A13" s="9588" t="n"/>
      <c r="B13" s="9588" t="n"/>
      <c r="C13" s="8775" t="inlineStr">
        <is>
          <t>Malnutrición por exceso</t>
        </is>
      </c>
      <c r="D13" s="3632">
        <f>SUM(E13:X13)</f>
        <v/>
      </c>
      <c r="E13" s="1935" t="n"/>
      <c r="F13" s="793" t="n"/>
      <c r="G13" s="793" t="n"/>
      <c r="H13" s="793" t="n"/>
      <c r="I13" s="755" t="n"/>
      <c r="J13" s="793" t="n"/>
      <c r="K13" s="793" t="n"/>
      <c r="L13" s="793" t="n"/>
      <c r="M13" s="793" t="n"/>
      <c r="N13" s="793" t="n"/>
      <c r="O13" s="793" t="n"/>
      <c r="P13" s="793" t="n"/>
      <c r="Q13" s="793" t="n"/>
      <c r="R13" s="793" t="n"/>
      <c r="S13" s="793" t="n"/>
      <c r="T13" s="793" t="n"/>
      <c r="U13" s="793" t="n"/>
      <c r="V13" s="793" t="n"/>
      <c r="W13" s="793" t="n"/>
      <c r="X13" s="3793" t="n"/>
      <c r="Y13" s="4034" t="n"/>
      <c r="Z13" s="3914" t="n"/>
      <c r="AA13" s="4035" t="n"/>
      <c r="AB13" s="5214" t="n"/>
      <c r="AC13" s="1964" t="n"/>
      <c r="AD13" s="1964" t="n"/>
      <c r="AE13" s="1186" t="n"/>
      <c r="AF13" s="1935" t="n"/>
      <c r="AG13" s="3805" t="n"/>
      <c r="AH13" s="1964" t="n"/>
      <c r="AI13" s="1186" t="n"/>
      <c r="AJ13">
        <f>CB13&amp;CC13&amp;CD13&amp;CE13&amp;CF13&amp;CG13&amp;CH13</f>
        <v/>
      </c>
      <c r="CB13" s="219">
        <f>IF(AND($D13&lt;&gt;0,AB13=""),"* No olvide ingresar la columna "&amp;AB$9&amp;""&amp;" (Digite CERO si no tiene).  ",IF(AB13&gt;$D13,"* El Número de Familias en Riesgo no puede superar el Total. ",""))</f>
        <v/>
      </c>
      <c r="CC13" s="219">
        <f>IF(AND($D13&lt;&gt;0,AC13=""),"* No olvide ingresar la variable "&amp;AC$9&amp;""&amp;" (Digite CERO si no tiene).  ",IF(AC13&gt;$D13,"* La variable Pueblos Originarios no puede superar el Total. ",""))</f>
        <v/>
      </c>
      <c r="CD13" s="219">
        <f>IF(AND($D13&lt;&gt;0,AD13=""),"* No olvide ingresar la variable "&amp;AD$9&amp;""&amp;" (Digite CERO si no tiene).  ",IF(AD13&gt;$D13,"* La variable Migrantes no puede superar el Total. ",""))</f>
        <v/>
      </c>
      <c r="CE13" s="219">
        <f>IF(AND($D13&lt;&gt;0,AE13=""),"* No olvide ingresar la variable "&amp;AE$9&amp;""&amp;" (Digite CERO si no tiene).  ",IF(AE13&gt;$D13,"* La variable Espacios Amigables/ Adolescentes no puede superar el Total. ",""))</f>
        <v/>
      </c>
      <c r="CF13" s="219">
        <f>IF(AND(D13&gt;0,OR(AF13="",AG13="",))," * No olvide digitar la variable TRANS Masculino/Femenino (Digite CERO si no tiene). ",IF(AF13+AG13&gt;$D13,"* La suma de TRANS Masculino + Femenino no puede superar el Total. ",""))</f>
        <v/>
      </c>
      <c r="CG13" s="219">
        <f>IF(AND(D13&gt;0,AH13=""),"* No olvide digitar la variable "&amp;AH$9&amp;"(Digite CERO si no tiene). ",IF(AH13&gt;$D13,"* La variable "&amp;AH$9&amp;" no puede superar el Total. ",""))</f>
        <v/>
      </c>
      <c r="CH13" s="219">
        <f>IF(AND(D13&gt;0,AI13=""),"* No olvide digitar la variable "&amp;AI$9&amp;" (Digite CERO si no tiene). ",IF(AI13&gt;$D13,"* La variable "&amp;AI$9&amp;" no puede superar el Total. ",""))</f>
        <v/>
      </c>
      <c r="CK13" s="227" t="n"/>
      <c r="CL13" s="221">
        <f>IF(AND($D13&lt;&gt;0,AB13=""),1,IF(AB13&gt;$D13,1,0))</f>
        <v/>
      </c>
      <c r="CM13" s="221">
        <f>IF(AND($D13&lt;&gt;0,AC13=""),1,IF(AC13&gt;$D13,1,0))</f>
        <v/>
      </c>
      <c r="CN13" s="221">
        <f>IF(AND($D13&lt;&gt;0,AD13=""),1,IF(AD13&gt;$D13,1,0))</f>
        <v/>
      </c>
      <c r="CO13" s="221">
        <f>IF(AND($D13&lt;&gt;0,AE13=""),1,IF(AE13&gt;$D13,1,0))</f>
        <v/>
      </c>
      <c r="CP13" s="221">
        <f>IF(AND(D13&gt;0,OR(AF13="",AG13="",)),1,IF(AF13+AG13&gt;$D13,1,0))</f>
        <v/>
      </c>
      <c r="CQ13" s="378">
        <f>IF(AND(D13&gt;0,AI13=""),1,IF(AI13&gt;$D13,1,0))</f>
        <v/>
      </c>
      <c r="CR13" s="378">
        <f>IF(AND(D13&gt;0,AI13=""),1,IF(AI13&gt;$D13,1,0))</f>
        <v/>
      </c>
    </row>
    <row r="14" ht="15" customFormat="1" customHeight="1" s="17">
      <c r="A14" s="9588" t="n"/>
      <c r="B14" s="9588" t="n"/>
      <c r="C14" s="3911" t="inlineStr">
        <is>
          <t>Malnutrición de déficit</t>
        </is>
      </c>
      <c r="D14" s="3632">
        <f>SUM(E14:X14)</f>
        <v/>
      </c>
      <c r="E14" s="3787" t="n"/>
      <c r="F14" s="3891" t="n"/>
      <c r="G14" s="3891" t="n"/>
      <c r="H14" s="3891" t="n"/>
      <c r="I14" s="3791" t="n"/>
      <c r="J14" s="3891" t="n"/>
      <c r="K14" s="3891" t="n"/>
      <c r="L14" s="3891" t="n"/>
      <c r="M14" s="3891" t="n"/>
      <c r="N14" s="3891" t="n"/>
      <c r="O14" s="3891" t="n"/>
      <c r="P14" s="3891" t="n"/>
      <c r="Q14" s="3891" t="n"/>
      <c r="R14" s="3891" t="n"/>
      <c r="S14" s="3891" t="n"/>
      <c r="T14" s="3891" t="n"/>
      <c r="U14" s="3891" t="n"/>
      <c r="V14" s="3891" t="n"/>
      <c r="W14" s="3891" t="n"/>
      <c r="X14" s="3793" t="n"/>
      <c r="Y14" s="4036" t="n"/>
      <c r="Z14" s="3914" t="n"/>
      <c r="AA14" s="4035" t="n"/>
      <c r="AB14" s="5215" t="n"/>
      <c r="AC14" s="3892" t="n"/>
      <c r="AD14" s="3892" t="n"/>
      <c r="AE14" s="3788" t="n"/>
      <c r="AF14" s="3787" t="n"/>
      <c r="AG14" s="3788" t="n"/>
      <c r="AH14" s="3892" t="n"/>
      <c r="AI14" s="3788" t="n"/>
      <c r="AJ14">
        <f>CB14&amp;CC14&amp;CD14&amp;CE14&amp;CF14&amp;CG14&amp;CH14</f>
        <v/>
      </c>
      <c r="CB14" s="219">
        <f>IF(AND($D14&lt;&gt;0,AB14=""),"* No olvide ingresar la columna "&amp;AB$9&amp;""&amp;" (Digite CERO si no tiene).  ",IF(AB14&gt;$D14,"* El Número de Familias en Riesgo no puede superar el Total. ",""))</f>
        <v/>
      </c>
      <c r="CC14" s="219">
        <f>IF(AND($D14&lt;&gt;0,AC14=""),"* No olvide ingresar la variable "&amp;AC$9&amp;""&amp;" (Digite CERO si no tiene).  ",IF(AC14&gt;$D14,"* La variable Pueblos Originarios no puede superar el Total. ",""))</f>
        <v/>
      </c>
      <c r="CD14" s="219">
        <f>IF(AND($D14&lt;&gt;0,AD14=""),"* No olvide ingresar la variable "&amp;AD$9&amp;""&amp;" (Digite CERO si no tiene).  ",IF(AD14&gt;$D14,"* La variable Migrantes no puede superar el Total. ",""))</f>
        <v/>
      </c>
      <c r="CE14" s="219">
        <f>IF(AND($D14&lt;&gt;0,AE14=""),"* No olvide ingresar la variable "&amp;AE$9&amp;""&amp;" (Digite CERO si no tiene).  ",IF(AE14&gt;$D14,"* La variable Espacios Amigables/ Adolescentes no puede superar el Total. ",""))</f>
        <v/>
      </c>
      <c r="CF14" s="219">
        <f>IF(AND(D14&gt;0,OR(AF14="",AG14="",))," * No olvide digitar la variable TRANS Masculino/Femenino (Digite CERO si no tiene). ",IF(AF14+AG14&gt;$D14,"* La suma de TRANS Masculino + Femenino no puede superar el Total. ",""))</f>
        <v/>
      </c>
      <c r="CG14" s="219">
        <f>IF(AND(D14&gt;0,AH14=""),"* No olvide digitar la variable "&amp;AH$9&amp;"(Digite CERO si no tiene). ",IF(AH14&gt;$D14,"* La variable "&amp;AH$9&amp;" no puede superar el Total. ",""))</f>
        <v/>
      </c>
      <c r="CH14" s="219">
        <f>IF(AND(D14&gt;0,AI14=""),"* No olvide digitar la variable "&amp;AI$9&amp;" (Digite CERO si no tiene). ",IF(AI14&gt;$D14,"* La variable "&amp;AI$9&amp;" no puede superar el Total. ",""))</f>
        <v/>
      </c>
      <c r="CK14" s="227" t="n"/>
      <c r="CL14" s="221">
        <f>IF(AND($D14&lt;&gt;0,AB14=""),1,IF(AB14&gt;$D14,1,0))</f>
        <v/>
      </c>
      <c r="CM14" s="221">
        <f>IF(AND($D14&lt;&gt;0,AC14=""),1,IF(AC14&gt;$D14,1,0))</f>
        <v/>
      </c>
      <c r="CN14" s="221">
        <f>IF(AND($D14&lt;&gt;0,AD14=""),1,IF(AD14&gt;$D14,1,0))</f>
        <v/>
      </c>
      <c r="CO14" s="221">
        <f>IF(AND($D14&lt;&gt;0,AE14=""),1,IF(AE14&gt;$D14,1,0))</f>
        <v/>
      </c>
      <c r="CP14" s="221">
        <f>IF(AND(D14&gt;0,OR(AF14="",AG14="",)),1,IF(AF14+AG14&gt;$D14,1,0))</f>
        <v/>
      </c>
      <c r="CQ14" s="378">
        <f>IF(AND(D14&gt;0,AI14=""),1,IF(AI14&gt;$D14,1,0))</f>
        <v/>
      </c>
      <c r="CR14" s="378">
        <f>IF(AND(D14&gt;0,AI14=""),1,IF(AI14&gt;$D14,1,0))</f>
        <v/>
      </c>
    </row>
    <row r="15" ht="15" customFormat="1" customHeight="1" s="17">
      <c r="A15" s="9588" t="n"/>
      <c r="B15" s="9589" t="n"/>
      <c r="C15" s="8771" t="inlineStr">
        <is>
          <t>Sin riesgo de malnutrición</t>
        </is>
      </c>
      <c r="D15" s="2669">
        <f>SUM(E15:X15)</f>
        <v/>
      </c>
      <c r="E15" s="2644" t="n"/>
      <c r="F15" s="155" t="n"/>
      <c r="G15" s="155" t="n"/>
      <c r="H15" s="155" t="n"/>
      <c r="I15" s="183" t="n"/>
      <c r="J15" s="155" t="n"/>
      <c r="K15" s="155" t="n"/>
      <c r="L15" s="155" t="n"/>
      <c r="M15" s="155" t="n"/>
      <c r="N15" s="155" t="n"/>
      <c r="O15" s="155" t="n"/>
      <c r="P15" s="155" t="n"/>
      <c r="Q15" s="155" t="n"/>
      <c r="R15" s="155" t="n"/>
      <c r="S15" s="155" t="n"/>
      <c r="T15" s="155" t="n"/>
      <c r="U15" s="155" t="n"/>
      <c r="V15" s="155" t="n"/>
      <c r="W15" s="155" t="n"/>
      <c r="X15" s="176" t="n"/>
      <c r="Y15" s="4037" t="n"/>
      <c r="Z15" s="174" t="n"/>
      <c r="AA15" s="175" t="n"/>
      <c r="AB15" s="5360" t="n"/>
      <c r="AC15" s="5362" t="n"/>
      <c r="AD15" s="5362" t="n"/>
      <c r="AE15" s="5420" t="n"/>
      <c r="AF15" s="2644" t="n"/>
      <c r="AG15" s="2645" t="n"/>
      <c r="AH15" s="2670" t="n"/>
      <c r="AI15" s="5186" t="n"/>
      <c r="AJ15">
        <f>CB15&amp;CC15&amp;CD15&amp;CE15&amp;CF15&amp;CG15&amp;CH15</f>
        <v/>
      </c>
      <c r="CB15" s="219">
        <f>IF(AND($D15&lt;&gt;0,AB15=""),"* No olvide ingresar la columna "&amp;AB$9&amp;""&amp;" (Digite CERO si no tiene).  ",IF(AB15&gt;$D15,"* El Número de Familias en Riesgo no puede superar el Total. ",""))</f>
        <v/>
      </c>
      <c r="CC15" s="219">
        <f>IF(AND($D15&lt;&gt;0,AC15=""),"* No olvide ingresar la variable "&amp;AC$9&amp;""&amp;" (Digite CERO si no tiene).  ",IF(AC15&gt;$D15,"* La variable Pueblos Originarios no puede superar el Total. ",""))</f>
        <v/>
      </c>
      <c r="CD15" s="219">
        <f>IF(AND($D15&lt;&gt;0,AD15=""),"* No olvide ingresar la variable "&amp;AD$9&amp;""&amp;" (Digite CERO si no tiene).  ",IF(AD15&gt;$D15,"* La variable Migrantes no puede superar el Total. ",""))</f>
        <v/>
      </c>
      <c r="CE15" s="219">
        <f>IF(AND($D15&lt;&gt;0,AE15=""),"* No olvide ingresar la variable "&amp;AE$9&amp;""&amp;" (Digite CERO si no tiene).  ",IF(AE15&gt;$D15,"* La variable Espacios Amigables/ Adolescentes no puede superar el Total. ",""))</f>
        <v/>
      </c>
      <c r="CF15" s="219">
        <f>IF(AND(D15&gt;0,OR(AF15="",AG15="",))," * No olvide digitar la variable TRANS Masculino/Femenino (Digite CERO si no tiene). ",IF(AF15+AG15&gt;$D15,"* La suma de TRANS Masculino + Femenino no puede superar el Total. ",""))</f>
        <v/>
      </c>
      <c r="CG15" s="219">
        <f>IF(AND(D15&gt;0,AH15=""),"* No olvide digitar la variable "&amp;AH$9&amp;"(Digite CERO si no tiene). ",IF(AH15&gt;$D15,"* La variable "&amp;AH$9&amp;" no puede superar el Total. ",""))</f>
        <v/>
      </c>
      <c r="CH15" s="219">
        <f>IF(AND(D15&gt;0,AI15=""),"* No olvide digitar la variable "&amp;AI$9&amp;" (Digite CERO si no tiene). ",IF(AI15&gt;$D15,"* La variable "&amp;AI$9&amp;" no puede superar el Total. ",""))</f>
        <v/>
      </c>
      <c r="CK15" s="227" t="n"/>
      <c r="CL15" s="221">
        <f>IF(AND($D15&lt;&gt;0,AB15=""),1,IF(AB15&gt;$D15,1,0))</f>
        <v/>
      </c>
      <c r="CM15" s="221">
        <f>IF(AND($D15&lt;&gt;0,AC15=""),1,IF(AC15&gt;$D15,1,0))</f>
        <v/>
      </c>
      <c r="CN15" s="221">
        <f>IF(AND($D15&lt;&gt;0,AD15=""),1,IF(AD15&gt;$D15,1,0))</f>
        <v/>
      </c>
      <c r="CO15" s="221">
        <f>IF(AND($D15&lt;&gt;0,AE15=""),1,IF(AE15&gt;$D15,1,0))</f>
        <v/>
      </c>
      <c r="CP15" s="221">
        <f>IF(AND(D15&gt;0,OR(AF15="",AG15="",)),1,IF(AF15+AG15&gt;$D15,1,0))</f>
        <v/>
      </c>
      <c r="CQ15" s="378">
        <f>IF(AND(D15&gt;0,AI15=""),1,IF(AI15&gt;$D15,1,0))</f>
        <v/>
      </c>
      <c r="CR15" s="378">
        <f>IF(AND(D15&gt;0,AI15=""),1,IF(AI15&gt;$D15,1,0))</f>
        <v/>
      </c>
    </row>
    <row r="16" ht="15" customFormat="1" customHeight="1" s="17">
      <c r="A16" s="9588" t="n"/>
      <c r="B16" s="10538" t="inlineStr">
        <is>
          <t>Prevención de IRA - ERA</t>
        </is>
      </c>
      <c r="C16" s="9935" t="n"/>
      <c r="D16" s="1946">
        <f>SUM(E16:X16)</f>
        <v/>
      </c>
      <c r="E16" s="1935" t="n"/>
      <c r="F16" s="793" t="n"/>
      <c r="G16" s="793" t="n"/>
      <c r="H16" s="793" t="n"/>
      <c r="I16" s="3805" t="n"/>
      <c r="J16" s="1432" t="n"/>
      <c r="K16" s="793" t="n"/>
      <c r="L16" s="793" t="n"/>
      <c r="M16" s="2261" t="n"/>
      <c r="N16" s="2261" t="n"/>
      <c r="O16" s="2261" t="n"/>
      <c r="P16" s="2261" t="n"/>
      <c r="Q16" s="2261" t="n"/>
      <c r="R16" s="2261" t="n"/>
      <c r="S16" s="2261" t="n"/>
      <c r="T16" s="2261" t="n"/>
      <c r="U16" s="2261" t="n"/>
      <c r="V16" s="2261" t="n"/>
      <c r="W16" s="2261" t="n"/>
      <c r="X16" s="2261" t="n"/>
      <c r="Y16" s="3918" t="n"/>
      <c r="Z16" s="794" t="n"/>
      <c r="AA16" s="795" t="n"/>
      <c r="AB16" s="5214" t="n"/>
      <c r="AC16" s="1964" t="n"/>
      <c r="AD16" s="1964" t="n"/>
      <c r="AE16" s="1186" t="n"/>
      <c r="AF16" s="1935" t="n"/>
      <c r="AG16" s="3805" t="n"/>
      <c r="AH16" s="1964" t="n"/>
      <c r="AI16" s="1186" t="n"/>
      <c r="AJ16">
        <f>CB16&amp;CC16&amp;CD16&amp;CE16&amp;CF16&amp;CG16&amp;CH16</f>
        <v/>
      </c>
      <c r="CB16" s="219">
        <f>IF(AND($D16&lt;&gt;0,AB16=""),"* No olvide ingresar la columna "&amp;AB$9&amp;""&amp;" (Digite CERO si no tiene).  ",IF(AB16&gt;$D16,"* El Número de Familias en Riesgo no puede superar el Total. ",""))</f>
        <v/>
      </c>
      <c r="CC16" s="219">
        <f>IF(AND($D16&lt;&gt;0,AC16=""),"* No olvide ingresar la variable "&amp;AC$9&amp;""&amp;" (Digite CERO si no tiene).  ",IF(AC16&gt;$D16,"* La variable Pueblos Originarios no puede superar el Total. ",""))</f>
        <v/>
      </c>
      <c r="CD16" s="219">
        <f>IF(AND($D16&lt;&gt;0,AD16=""),"* No olvide ingresar la variable "&amp;AD$9&amp;""&amp;" (Digite CERO si no tiene).  ",IF(AD16&gt;$D16,"* La variable Migrantes no puede superar el Total. ",""))</f>
        <v/>
      </c>
      <c r="CE16" s="219">
        <f>IF(AND($D16&lt;&gt;0,AE16=""),"* No olvide ingresar la variable "&amp;AE$9&amp;""&amp;" (Digite CERO si no tiene).  ",IF(AE16&gt;$D16,"* La variable Espacios Amigables/ Adolescentes no puede superar el Total. ",""))</f>
        <v/>
      </c>
      <c r="CF16" s="219">
        <f>IF(AND(D16&gt;0,OR(AF16="",AG16="",))," * No olvide digitar la variable TRANS Masculino/Femenino (Digite CERO si no tiene). ",IF(AF16+AG16&gt;$D16,"* La suma de TRANS Masculino + Femenino no puede superar el Total. ",""))</f>
        <v/>
      </c>
      <c r="CG16" s="219">
        <f>IF(AND(D16&gt;0,AH16=""),"* No olvide digitar la variable "&amp;AH$9&amp;"(Digite CERO si no tiene). ",IF(AH16&gt;$D16,"* La variable "&amp;AH$9&amp;" no puede superar el Total. ",""))</f>
        <v/>
      </c>
      <c r="CH16" s="219">
        <f>IF(AND(D16&gt;0,AI16=""),"* No olvide digitar la variable "&amp;AI$9&amp;" (Digite CERO si no tiene). ",IF(AI16&gt;$D16,"* La variable "&amp;AI$9&amp;" no puede superar el Total. ",""))</f>
        <v/>
      </c>
      <c r="CK16" s="227" t="n"/>
      <c r="CL16" s="221">
        <f>IF(AND($D16&lt;&gt;0,AB16=""),1,IF(AB16&gt;$D16,1,0))</f>
        <v/>
      </c>
      <c r="CM16" s="221">
        <f>IF(AND($D16&lt;&gt;0,AC16=""),1,IF(AC16&gt;$D16,1,0))</f>
        <v/>
      </c>
      <c r="CN16" s="221">
        <f>IF(AND($D16&lt;&gt;0,AD16=""),1,IF(AD16&gt;$D16,1,0))</f>
        <v/>
      </c>
      <c r="CO16" s="221">
        <f>IF(AND($D16&lt;&gt;0,AE16=""),1,IF(AE16&gt;$D16,1,0))</f>
        <v/>
      </c>
      <c r="CP16" s="221">
        <f>IF(AND(D16&gt;0,OR(AF16="",AG16="",)),1,IF(AF16+AG16&gt;$D16,1,0))</f>
        <v/>
      </c>
      <c r="CQ16" s="378">
        <f>IF(AND(D16&gt;0,AI16=""),1,IF(AI16&gt;$D16,1,0))</f>
        <v/>
      </c>
      <c r="CR16" s="378">
        <f>IF(AND(D16&gt;0,AI16=""),1,IF(AI16&gt;$D16,1,0))</f>
        <v/>
      </c>
    </row>
    <row r="17" ht="15" customFormat="1" customHeight="1" s="17">
      <c r="A17" s="9588" t="n"/>
      <c r="B17" s="3911" t="inlineStr">
        <is>
          <t>Prevención de accidentes</t>
        </is>
      </c>
      <c r="C17" s="9644" t="n"/>
      <c r="D17" s="3632">
        <f>SUM(E17:X17)</f>
        <v/>
      </c>
      <c r="E17" s="3787" t="n"/>
      <c r="F17" s="3891" t="n"/>
      <c r="G17" s="3891" t="n"/>
      <c r="H17" s="3891" t="n"/>
      <c r="I17" s="3788" t="n"/>
      <c r="J17" s="3789" t="n"/>
      <c r="K17" s="3891" t="n"/>
      <c r="L17" s="3891" t="n"/>
      <c r="M17" s="3790" t="n"/>
      <c r="N17" s="3790" t="n"/>
      <c r="O17" s="3790" t="n"/>
      <c r="P17" s="3790" t="n"/>
      <c r="Q17" s="3790" t="n"/>
      <c r="R17" s="3790" t="n"/>
      <c r="S17" s="3790" t="n"/>
      <c r="T17" s="3790" t="n"/>
      <c r="U17" s="3790" t="n"/>
      <c r="V17" s="3790" t="n"/>
      <c r="W17" s="3790" t="n"/>
      <c r="X17" s="3790" t="n"/>
      <c r="Y17" s="3919" t="n"/>
      <c r="Z17" s="3914" t="n"/>
      <c r="AA17" s="4035" t="n"/>
      <c r="AB17" s="5215" t="n"/>
      <c r="AC17" s="3892" t="n"/>
      <c r="AD17" s="3892" t="n"/>
      <c r="AE17" s="3788" t="n"/>
      <c r="AF17" s="3787" t="n"/>
      <c r="AG17" s="3788" t="n"/>
      <c r="AH17" s="3892" t="n"/>
      <c r="AI17" s="3788" t="n"/>
      <c r="AJ17">
        <f>CB17&amp;CC17&amp;CD17&amp;CE17&amp;CF17&amp;CG17&amp;CH17</f>
        <v/>
      </c>
      <c r="CB17" s="219">
        <f>IF(AND($D17&lt;&gt;0,AB17=""),"* No olvide ingresar la columna "&amp;AB$9&amp;""&amp;" (Digite CERO si no tiene).  ",IF(AB17&gt;$D17,"* El Número de Familias en Riesgo no puede superar el Total. ",""))</f>
        <v/>
      </c>
      <c r="CC17" s="219">
        <f>IF(AND($D17&lt;&gt;0,AC17=""),"* No olvide ingresar la variable "&amp;AC$9&amp;""&amp;" (Digite CERO si no tiene).  ",IF(AC17&gt;$D17,"* La variable Pueblos Originarios no puede superar el Total. ",""))</f>
        <v/>
      </c>
      <c r="CD17" s="219">
        <f>IF(AND($D17&lt;&gt;0,AD17=""),"* No olvide ingresar la variable "&amp;AD$9&amp;""&amp;" (Digite CERO si no tiene).  ",IF(AD17&gt;$D17,"* La variable Migrantes no puede superar el Total. ",""))</f>
        <v/>
      </c>
      <c r="CE17" s="219">
        <f>IF(AND($D17&lt;&gt;0,AE17=""),"* No olvide ingresar la variable "&amp;AE$9&amp;""&amp;" (Digite CERO si no tiene).  ",IF(AE17&gt;$D17,"* La variable Espacios Amigables/ Adolescentes no puede superar el Total. ",""))</f>
        <v/>
      </c>
      <c r="CF17" s="219">
        <f>IF(AND(D17&gt;0,OR(AF17="",AG17="",))," * No olvide digitar la variable TRANS Masculino/Femenino (Digite CERO si no tiene). ",IF(AF17+AG17&gt;$D17,"* La suma de TRANS Masculino + Femenino no puede superar el Total. ",""))</f>
        <v/>
      </c>
      <c r="CG17" s="219">
        <f>IF(AND(D17&gt;0,AH17=""),"* No olvide digitar la variable "&amp;AH$9&amp;"(Digite CERO si no tiene). ",IF(AH17&gt;$D17,"* La variable "&amp;AH$9&amp;" no puede superar el Total. ",""))</f>
        <v/>
      </c>
      <c r="CH17" s="219">
        <f>IF(AND(D17&gt;0,AI17=""),"* No olvide digitar la variable "&amp;AI$9&amp;" (Digite CERO si no tiene). ",IF(AI17&gt;$D17,"* La variable "&amp;AI$9&amp;" no puede superar el Total. ",""))</f>
        <v/>
      </c>
      <c r="CK17" s="227" t="n"/>
      <c r="CL17" s="221">
        <f>IF(AND($D17&lt;&gt;0,AB17=""),1,IF(AB17&gt;$D17,1,0))</f>
        <v/>
      </c>
      <c r="CM17" s="221">
        <f>IF(AND($D17&lt;&gt;0,AC17=""),1,IF(AC17&gt;$D17,1,0))</f>
        <v/>
      </c>
      <c r="CN17" s="221">
        <f>IF(AND($D17&lt;&gt;0,AD17=""),1,IF(AD17&gt;$D17,1,0))</f>
        <v/>
      </c>
      <c r="CO17" s="221">
        <f>IF(AND($D17&lt;&gt;0,AE17=""),1,IF(AE17&gt;$D17,1,0))</f>
        <v/>
      </c>
      <c r="CP17" s="221">
        <f>IF(AND(D17&gt;0,OR(AF17="",AG17="",)),1,IF(AF17+AG17&gt;$D17,1,0))</f>
        <v/>
      </c>
      <c r="CQ17" s="378">
        <f>IF(AND(D17&gt;0,AI17=""),1,IF(AI17&gt;$D17,1,0))</f>
        <v/>
      </c>
      <c r="CR17" s="378">
        <f>IF(AND(D17&gt;0,AI17=""),1,IF(AI17&gt;$D17,1,0))</f>
        <v/>
      </c>
    </row>
    <row r="18" ht="15" customFormat="1" customHeight="1" s="17">
      <c r="A18" s="9588" t="n"/>
      <c r="B18" s="3911" t="inlineStr">
        <is>
          <t>Salud buco-dental</t>
        </is>
      </c>
      <c r="C18" s="9644" t="n"/>
      <c r="D18" s="3632">
        <f>SUM(E18:X18)</f>
        <v/>
      </c>
      <c r="E18" s="3787" t="n"/>
      <c r="F18" s="3891" t="n"/>
      <c r="G18" s="3891" t="n"/>
      <c r="H18" s="3891" t="n"/>
      <c r="I18" s="3788" t="n"/>
      <c r="J18" s="3789" t="n"/>
      <c r="K18" s="3891" t="n"/>
      <c r="L18" s="3891" t="n"/>
      <c r="M18" s="3790" t="n"/>
      <c r="N18" s="3790" t="n"/>
      <c r="O18" s="3790" t="n"/>
      <c r="P18" s="3790" t="n"/>
      <c r="Q18" s="3790" t="n"/>
      <c r="R18" s="3790" t="n"/>
      <c r="S18" s="3790" t="n"/>
      <c r="T18" s="3790" t="n"/>
      <c r="U18" s="3790" t="n"/>
      <c r="V18" s="3790" t="n"/>
      <c r="W18" s="3790" t="n"/>
      <c r="X18" s="3790" t="n"/>
      <c r="Y18" s="3919" t="n"/>
      <c r="Z18" s="3914" t="n"/>
      <c r="AA18" s="4035" t="n"/>
      <c r="AB18" s="5215" t="n"/>
      <c r="AC18" s="3892" t="n"/>
      <c r="AD18" s="3892" t="n"/>
      <c r="AE18" s="3788" t="n"/>
      <c r="AF18" s="3787" t="n"/>
      <c r="AG18" s="3788" t="n"/>
      <c r="AH18" s="3892" t="n"/>
      <c r="AI18" s="3788" t="n"/>
      <c r="AJ18">
        <f>CB18&amp;CC18&amp;CD18&amp;CE18&amp;CF18&amp;CG18&amp;CH18</f>
        <v/>
      </c>
      <c r="CB18" s="219">
        <f>IF(AND($D18&lt;&gt;0,AB18=""),"* No olvide ingresar la columna "&amp;AB$9&amp;""&amp;" (Digite CERO si no tiene).  ",IF(AB18&gt;$D18,"* El Número de Familias en Riesgo no puede superar el Total. ",""))</f>
        <v/>
      </c>
      <c r="CC18" s="219">
        <f>IF(AND($D18&lt;&gt;0,AC18=""),"* No olvide ingresar la variable "&amp;AC$9&amp;""&amp;" (Digite CERO si no tiene).  ",IF(AC18&gt;$D18,"* La variable Pueblos Originarios no puede superar el Total. ",""))</f>
        <v/>
      </c>
      <c r="CD18" s="219">
        <f>IF(AND($D18&lt;&gt;0,AD18=""),"* No olvide ingresar la variable "&amp;AD$9&amp;""&amp;" (Digite CERO si no tiene).  ",IF(AD18&gt;$D18,"* La variable Migrantes no puede superar el Total. ",""))</f>
        <v/>
      </c>
      <c r="CE18" s="219">
        <f>IF(AND($D18&lt;&gt;0,AE18=""),"* No olvide ingresar la variable "&amp;AE$9&amp;""&amp;" (Digite CERO si no tiene).  ",IF(AE18&gt;$D18,"* La variable Espacios Amigables/ Adolescentes no puede superar el Total. ",""))</f>
        <v/>
      </c>
      <c r="CF18" s="219">
        <f>IF(AND(D18&gt;0,OR(AF18="",AG18="",))," * No olvide digitar la variable TRANS Masculino/Femenino (Digite CERO si no tiene). ",IF(AF18+AG18&gt;$D18,"* La suma de TRANS Masculino + Femenino no puede superar el Total. ",""))</f>
        <v/>
      </c>
      <c r="CG18" s="219">
        <f>IF(AND(D18&gt;0,AH18=""),"* No olvide digitar la variable "&amp;AH$9&amp;"(Digite CERO si no tiene). ",IF(AH18&gt;$D18,"* La variable "&amp;AH$9&amp;" no puede superar el Total. ",""))</f>
        <v/>
      </c>
      <c r="CH18" s="219">
        <f>IF(AND(D18&gt;0,AI18=""),"* No olvide digitar la variable "&amp;AI$9&amp;" (Digite CERO si no tiene). ",IF(AI18&gt;$D18,"* La variable "&amp;AI$9&amp;" no puede superar el Total. ",""))</f>
        <v/>
      </c>
      <c r="CK18" s="227" t="n"/>
      <c r="CL18" s="221">
        <f>IF(AND($D18&lt;&gt;0,AB18=""),1,IF(AB18&gt;$D18,1,0))</f>
        <v/>
      </c>
      <c r="CM18" s="221">
        <f>IF(AND($D18&lt;&gt;0,AC18=""),1,IF(AC18&gt;$D18,1,0))</f>
        <v/>
      </c>
      <c r="CN18" s="221">
        <f>IF(AND($D18&lt;&gt;0,AD18=""),1,IF(AD18&gt;$D18,1,0))</f>
        <v/>
      </c>
      <c r="CO18" s="221">
        <f>IF(AND($D18&lt;&gt;0,AE18=""),1,IF(AE18&gt;$D18,1,0))</f>
        <v/>
      </c>
      <c r="CP18" s="221">
        <f>IF(AND(D18&gt;0,OR(AF18="",AG18="",)),1,IF(AF18+AG18&gt;$D18,1,0))</f>
        <v/>
      </c>
      <c r="CQ18" s="378">
        <f>IF(AND(D18&gt;0,AI18=""),1,IF(AI18&gt;$D18,1,0))</f>
        <v/>
      </c>
      <c r="CR18" s="378">
        <f>IF(AND(D18&gt;0,AI18=""),1,IF(AI18&gt;$D18,1,0))</f>
        <v/>
      </c>
    </row>
    <row r="19" ht="15" customFormat="1" customHeight="1" s="17">
      <c r="A19" s="9588" t="n"/>
      <c r="B19" s="10539" t="inlineStr">
        <is>
          <t>Prevención violencia de género</t>
        </is>
      </c>
      <c r="C19" s="9646" t="n"/>
      <c r="D19" s="3598">
        <f>SUM(E19:X19)</f>
        <v/>
      </c>
      <c r="E19" s="3808" t="n"/>
      <c r="F19" s="3599" t="n"/>
      <c r="G19" s="3599" t="n"/>
      <c r="H19" s="3599" t="n"/>
      <c r="I19" s="1192" t="n"/>
      <c r="J19" s="3818" t="n"/>
      <c r="K19" s="3599" t="n"/>
      <c r="L19" s="3599" t="n"/>
      <c r="M19" s="3819" t="n"/>
      <c r="N19" s="3819" t="n"/>
      <c r="O19" s="3819" t="n"/>
      <c r="P19" s="3819" t="n"/>
      <c r="Q19" s="3819" t="n"/>
      <c r="R19" s="3819" t="n"/>
      <c r="S19" s="3819" t="n"/>
      <c r="T19" s="3819" t="n"/>
      <c r="U19" s="3819" t="n"/>
      <c r="V19" s="3819" t="n"/>
      <c r="W19" s="3819" t="n"/>
      <c r="X19" s="3819" t="n"/>
      <c r="Y19" s="3898" t="n"/>
      <c r="Z19" s="3599" t="n"/>
      <c r="AA19" s="3897" t="n"/>
      <c r="AB19" s="5249" t="n"/>
      <c r="AC19" s="1223" t="n"/>
      <c r="AD19" s="1223" t="n"/>
      <c r="AE19" s="1192" t="n"/>
      <c r="AF19" s="3808" t="n"/>
      <c r="AG19" s="1192" t="n"/>
      <c r="AH19" s="1223" t="n"/>
      <c r="AI19" s="1192" t="n"/>
      <c r="AJ19">
        <f>CB19&amp;CC19&amp;CD19&amp;CE19&amp;CF19&amp;CG19&amp;CH19</f>
        <v/>
      </c>
      <c r="CB19" s="219">
        <f>IF(AND($D19&lt;&gt;0,AB19=""),"* No olvide ingresar la columna "&amp;AB$9&amp;""&amp;" (Digite CERO si no tiene).  ",IF(AB19&gt;$D19,"* El Número de Familias en Riesgo no puede superar el Total. ",""))</f>
        <v/>
      </c>
      <c r="CC19" s="219">
        <f>IF(AND($D19&lt;&gt;0,AC19=""),"* No olvide ingresar la variable "&amp;AC$9&amp;""&amp;" (Digite CERO si no tiene).  ",IF(AC19&gt;$D19,"* La variable Pueblos Originarios no puede superar el Total. ",""))</f>
        <v/>
      </c>
      <c r="CD19" s="219">
        <f>IF(AND($D19&lt;&gt;0,AD19=""),"* No olvide ingresar la variable "&amp;AD$9&amp;""&amp;" (Digite CERO si no tiene).  ",IF(AD19&gt;$D19,"* La variable Migrantes no puede superar el Total. ",""))</f>
        <v/>
      </c>
      <c r="CE19" s="219">
        <f>IF(AND($D19&lt;&gt;0,AE19=""),"* No olvide ingresar la variable "&amp;AE$9&amp;""&amp;" (Digite CERO si no tiene).  ",IF(AE19&gt;$D19,"* La variable Espacios Amigables/ Adolescentes no puede superar el Total. ",""))</f>
        <v/>
      </c>
      <c r="CF19" s="219">
        <f>IF(AND(D19&gt;0,OR(AF19="",AG19="",))," * No olvide digitar la variable TRANS Masculino/Femenino (Digite CERO si no tiene). ",IF(AF19+AG19&gt;$D19,"* La suma de TRANS Masculino + Femenino no puede superar el Total. ",""))</f>
        <v/>
      </c>
      <c r="CG19" s="219">
        <f>IF(AND(D19&gt;0,AH19=""),"* No olvide digitar la variable "&amp;AH$9&amp;"(Digite CERO si no tiene). ",IF(AH19&gt;$D19,"* La variable "&amp;AH$9&amp;" no puede superar el Total. ",""))</f>
        <v/>
      </c>
      <c r="CH19" s="219">
        <f>IF(AND(D19&gt;0,AI19=""),"* No olvide digitar la variable "&amp;AI$9&amp;" (Digite CERO si no tiene). ",IF(AI19&gt;$D19,"* La variable "&amp;AI$9&amp;" no puede superar el Total. ",""))</f>
        <v/>
      </c>
      <c r="CK19" s="227" t="n"/>
      <c r="CL19" s="221">
        <f>IF(AND($D19&lt;&gt;0,AB19=""),1,IF(AB19&gt;$D19,1,0))</f>
        <v/>
      </c>
      <c r="CM19" s="221">
        <f>IF(AND($D19&lt;&gt;0,AC19=""),1,IF(AC19&gt;$D19,1,0))</f>
        <v/>
      </c>
      <c r="CN19" s="221">
        <f>IF(AND($D19&lt;&gt;0,AD19=""),1,IF(AD19&gt;$D19,1,0))</f>
        <v/>
      </c>
      <c r="CO19" s="221">
        <f>IF(AND($D19&lt;&gt;0,AE19=""),1,IF(AE19&gt;$D19,1,0))</f>
        <v/>
      </c>
      <c r="CP19" s="221">
        <f>IF(AND(D19&gt;0,OR(AF19="",AG19="",)),1,IF(AF19+AG19&gt;$D19,1,0))</f>
        <v/>
      </c>
      <c r="CQ19" s="378">
        <f>IF(AND(D19&gt;0,AI19=""),1,IF(AI19&gt;$D19,1,0))</f>
        <v/>
      </c>
      <c r="CR19" s="378">
        <f>IF(AND(D19&gt;0,AI19=""),1,IF(AI19&gt;$D19,1,0))</f>
        <v/>
      </c>
    </row>
    <row r="20" ht="15" customFormat="1" customHeight="1" s="17">
      <c r="A20" s="9588" t="n"/>
      <c r="B20" s="10236" t="inlineStr">
        <is>
          <t>Salud Sexual y reproductiva</t>
        </is>
      </c>
      <c r="C20" s="3906" t="inlineStr">
        <is>
          <t>Mujeres</t>
        </is>
      </c>
      <c r="D20" s="3595">
        <f>SUM(E20:X20)</f>
        <v/>
      </c>
      <c r="E20" s="1304" t="n"/>
      <c r="F20" s="1305" t="n"/>
      <c r="G20" s="1305" t="n"/>
      <c r="H20" s="1305" t="n"/>
      <c r="I20" s="1306" t="n"/>
      <c r="J20" s="3503" t="n"/>
      <c r="K20" s="835" t="n"/>
      <c r="L20" s="835" t="n"/>
      <c r="M20" s="2581" t="n"/>
      <c r="N20" s="2581" t="n"/>
      <c r="O20" s="2581" t="n"/>
      <c r="P20" s="2581" t="n"/>
      <c r="Q20" s="2581" t="n"/>
      <c r="R20" s="2581" t="n"/>
      <c r="S20" s="2581" t="n"/>
      <c r="T20" s="2581" t="n"/>
      <c r="U20" s="2581" t="n"/>
      <c r="V20" s="2581" t="n"/>
      <c r="W20" s="2581" t="n"/>
      <c r="X20" s="2581" t="n"/>
      <c r="Y20" s="3263" t="n"/>
      <c r="Z20" s="835" t="n"/>
      <c r="AA20" s="1940" t="n"/>
      <c r="AB20" s="5213" t="n"/>
      <c r="AC20" s="5189" t="n"/>
      <c r="AD20" s="5189" t="n"/>
      <c r="AE20" s="5185" t="n"/>
      <c r="AF20" s="3502" t="n"/>
      <c r="AG20" s="3520" t="n"/>
      <c r="AH20" s="5189" t="n"/>
      <c r="AI20" s="5185" t="n"/>
      <c r="AJ20">
        <f>CB20&amp;CC20&amp;CD20&amp;CE20&amp;CF20&amp;CG20&amp;CH20</f>
        <v/>
      </c>
      <c r="CB20" s="219">
        <f>IF(AND($D20&lt;&gt;0,AB20=""),"* No olvide ingresar la columna "&amp;AB$9&amp;""&amp;" (Digite CERO si no tiene).  ",IF(AB20&gt;$D20,"* El Número de Familias en Riesgo no puede superar el Total. ",""))</f>
        <v/>
      </c>
      <c r="CC20" s="219">
        <f>IF(AND($D20&lt;&gt;0,AC20=""),"* No olvide ingresar la variable "&amp;AC$9&amp;""&amp;" (Digite CERO si no tiene).  ",IF(AC20&gt;$D20,"* La variable Pueblos Originarios no puede superar el Total. ",""))</f>
        <v/>
      </c>
      <c r="CD20" s="219">
        <f>IF(AND($D20&lt;&gt;0,AD20=""),"* No olvide ingresar la variable "&amp;AD$9&amp;""&amp;" (Digite CERO si no tiene).  ",IF(AD20&gt;$D20,"* La variable Migrantes no puede superar el Total. ",""))</f>
        <v/>
      </c>
      <c r="CE20" s="219">
        <f>IF(AND($D20&lt;&gt;0,AE20=""),"* No olvide ingresar la variable "&amp;AE$9&amp;""&amp;" (Digite CERO si no tiene).  ",IF(AE20&gt;$D20,"* La variable Espacios Amigables/ Adolescentes no puede superar el Total. ",""))</f>
        <v/>
      </c>
      <c r="CF20" s="219">
        <f>IF(AND(D20&gt;0,OR(AF20="",AG20="",))," * No olvide digitar la variable TRANS Masculino/Femenino (Digite CERO si no tiene). ",IF(AF20+AG20&gt;$D20,"* La suma de TRANS Masculino + Femenino no puede superar el Total. ",""))</f>
        <v/>
      </c>
      <c r="CG20" s="219">
        <f>IF(AND(D20&gt;0,AH20=""),"* No olvide digitar la variable "&amp;AH$9&amp;"(Digite CERO si no tiene). ",IF(AH20&gt;$D20,"* La variable "&amp;AH$9&amp;" no puede superar el Total. ",""))</f>
        <v/>
      </c>
      <c r="CH20" s="219">
        <f>IF(AND(D20&gt;0,AI20=""),"* No olvide digitar la variable "&amp;AI$9&amp;" (Digite CERO si no tiene). ",IF(AI20&gt;$D20,"* La variable "&amp;AI$9&amp;" no puede superar el Total. ",""))</f>
        <v/>
      </c>
      <c r="CK20" s="227" t="n"/>
      <c r="CL20" s="221">
        <f>IF(AND($D20&lt;&gt;0,AB20=""),1,IF(AB20&gt;$D20,1,0))</f>
        <v/>
      </c>
      <c r="CM20" s="221">
        <f>IF(AND($D20&lt;&gt;0,AC20=""),1,IF(AC20&gt;$D20,1,0))</f>
        <v/>
      </c>
      <c r="CN20" s="221">
        <f>IF(AND($D20&lt;&gt;0,AD20=""),1,IF(AD20&gt;$D20,1,0))</f>
        <v/>
      </c>
      <c r="CO20" s="221">
        <f>IF(AND($D20&lt;&gt;0,AE20=""),1,IF(AE20&gt;$D20,1,0))</f>
        <v/>
      </c>
      <c r="CP20" s="221">
        <f>IF(AND(D20&gt;0,OR(AF20="",AG20="",)),1,IF(AF20+AG20&gt;$D20,1,0))</f>
        <v/>
      </c>
      <c r="CQ20" s="378">
        <f>IF(AND(D20&gt;0,AI20=""),1,IF(AI20&gt;$D20,1,0))</f>
        <v/>
      </c>
      <c r="CR20" s="378">
        <f>IF(AND(D20&gt;0,AI20=""),1,IF(AI20&gt;$D20,1,0))</f>
        <v/>
      </c>
    </row>
    <row r="21" ht="15" customFormat="1" customHeight="1" s="17">
      <c r="A21" s="9588" t="n"/>
      <c r="B21" s="9589" t="n"/>
      <c r="C21" s="9233" t="inlineStr">
        <is>
          <t>Hombres</t>
        </is>
      </c>
      <c r="D21" s="3598">
        <f>SUM(E21:X21)</f>
        <v/>
      </c>
      <c r="E21" s="1304" t="n"/>
      <c r="F21" s="1305" t="n"/>
      <c r="G21" s="1305" t="n"/>
      <c r="H21" s="1305" t="n"/>
      <c r="I21" s="1306" t="n"/>
      <c r="J21" s="3818" t="n"/>
      <c r="K21" s="3599" t="n"/>
      <c r="L21" s="3599" t="n"/>
      <c r="M21" s="3819" t="n"/>
      <c r="N21" s="3819" t="n"/>
      <c r="O21" s="3819" t="n"/>
      <c r="P21" s="3819" t="n"/>
      <c r="Q21" s="3819" t="n"/>
      <c r="R21" s="3819" t="n"/>
      <c r="S21" s="3819" t="n"/>
      <c r="T21" s="3819" t="n"/>
      <c r="U21" s="3819" t="n"/>
      <c r="V21" s="3819" t="n"/>
      <c r="W21" s="3819" t="n"/>
      <c r="X21" s="3819" t="n"/>
      <c r="Y21" s="3898" t="n"/>
      <c r="Z21" s="3599" t="n"/>
      <c r="AA21" s="3897" t="n"/>
      <c r="AB21" s="5249" t="n"/>
      <c r="AC21" s="1223" t="n"/>
      <c r="AD21" s="1223" t="n"/>
      <c r="AE21" s="1192" t="n"/>
      <c r="AF21" s="3808" t="n"/>
      <c r="AG21" s="1192" t="n"/>
      <c r="AH21" s="1223" t="n"/>
      <c r="AI21" s="1192" t="n"/>
      <c r="AJ21">
        <f>CB21&amp;CC21&amp;CD21&amp;CE21&amp;CF21&amp;CG21&amp;CH21</f>
        <v/>
      </c>
      <c r="CB21" s="219">
        <f>IF(AND($D21&lt;&gt;0,AB21=""),"* No olvide ingresar la columna "&amp;AB$9&amp;""&amp;" (Digite CERO si no tiene).  ",IF(AB21&gt;$D21,"* El Número de Familias en Riesgo no puede superar el Total. ",""))</f>
        <v/>
      </c>
      <c r="CC21" s="219">
        <f>IF(AND($D21&lt;&gt;0,AC21=""),"* No olvide ingresar la variable "&amp;AC$9&amp;""&amp;" (Digite CERO si no tiene).  ",IF(AC21&gt;$D21,"* La variable Pueblos Originarios no puede superar el Total. ",""))</f>
        <v/>
      </c>
      <c r="CD21" s="219">
        <f>IF(AND($D21&lt;&gt;0,AD21=""),"* No olvide ingresar la variable "&amp;AD$9&amp;""&amp;" (Digite CERO si no tiene).  ",IF(AD21&gt;$D21,"* La variable Migrantes no puede superar el Total. ",""))</f>
        <v/>
      </c>
      <c r="CE21" s="219">
        <f>IF(AND($D21&lt;&gt;0,AE21=""),"* No olvide ingresar la variable "&amp;AE$9&amp;""&amp;" (Digite CERO si no tiene).  ",IF(AE21&gt;$D21,"* La variable Espacios Amigables/ Adolescentes no puede superar el Total. ",""))</f>
        <v/>
      </c>
      <c r="CF21" s="219">
        <f>IF(AND(D21&gt;0,OR(AF21="",AG21="",))," * No olvide digitar la variable TRANS Masculino/Femenino (Digite CERO si no tiene). ",IF(AF21+AG21&gt;$D21,"* La suma de TRANS Masculino + Femenino no puede superar el Total. ",""))</f>
        <v/>
      </c>
      <c r="CG21" s="219">
        <f>IF(AND(D21&gt;0,AH21=""),"* No olvide digitar la variable "&amp;AH$9&amp;"(Digite CERO si no tiene). ",IF(AH21&gt;$D21,"* La variable "&amp;AH$9&amp;" no puede superar el Total. ",""))</f>
        <v/>
      </c>
      <c r="CH21" s="219">
        <f>IF(AND(D21&gt;0,AI21=""),"* No olvide digitar la variable "&amp;AI$9&amp;" (Digite CERO si no tiene). ",IF(AI21&gt;$D21,"* La variable "&amp;AI$9&amp;" no puede superar el Total. ",""))</f>
        <v/>
      </c>
      <c r="CK21" s="227" t="n"/>
      <c r="CL21" s="221">
        <f>IF(AND($D21&lt;&gt;0,AB21=""),1,IF(AB21&gt;$D21,1,0))</f>
        <v/>
      </c>
      <c r="CM21" s="221">
        <f>IF(AND($D21&lt;&gt;0,AC21=""),1,IF(AC21&gt;$D21,1,0))</f>
        <v/>
      </c>
      <c r="CN21" s="221">
        <f>IF(AND($D21&lt;&gt;0,AD21=""),1,IF(AD21&gt;$D21,1,0))</f>
        <v/>
      </c>
      <c r="CO21" s="221">
        <f>IF(AND($D21&lt;&gt;0,AE21=""),1,IF(AE21&gt;$D21,1,0))</f>
        <v/>
      </c>
      <c r="CP21" s="221">
        <f>IF(AND(D21&gt;0,OR(AF21="",AG21="",)),1,IF(AF21+AG21&gt;$D21,1,0))</f>
        <v/>
      </c>
      <c r="CQ21" s="378">
        <f>IF(AND(D21&gt;0,AI21=""),1,IF(AI21&gt;$D21,1,0))</f>
        <v/>
      </c>
      <c r="CR21" s="378">
        <f>IF(AND(D21&gt;0,AI21=""),1,IF(AI21&gt;$D21,1,0))</f>
        <v/>
      </c>
    </row>
    <row r="22" ht="15" customFormat="1" customHeight="1" s="17">
      <c r="A22" s="9588" t="n"/>
      <c r="B22" s="10538" t="inlineStr">
        <is>
          <t>Talleres de climaterio</t>
        </is>
      </c>
      <c r="C22" s="9935" t="n"/>
      <c r="D22" s="1946">
        <f>P22+Q22+R22+S22+T22</f>
        <v/>
      </c>
      <c r="E22" s="1304" t="n"/>
      <c r="F22" s="1305" t="n"/>
      <c r="G22" s="1305" t="n"/>
      <c r="H22" s="1305" t="n"/>
      <c r="I22" s="1306" t="n"/>
      <c r="J22" s="2898" t="n"/>
      <c r="K22" s="802" t="n"/>
      <c r="L22" s="802" t="n"/>
      <c r="M22" s="802" t="n"/>
      <c r="N22" s="802" t="n"/>
      <c r="O22" s="802" t="n"/>
      <c r="P22" s="2581" t="n"/>
      <c r="Q22" s="2261" t="n"/>
      <c r="R22" s="2261" t="n"/>
      <c r="S22" s="2261" t="n"/>
      <c r="T22" s="2261" t="n"/>
      <c r="U22" s="802" t="n"/>
      <c r="V22" s="802" t="n"/>
      <c r="W22" s="802" t="n"/>
      <c r="X22" s="4039" t="n"/>
      <c r="Y22" s="3918" t="n"/>
      <c r="Z22" s="794" t="n"/>
      <c r="AA22" s="795" t="n"/>
      <c r="AB22" s="5214" t="n"/>
      <c r="AC22" s="1964" t="n"/>
      <c r="AD22" s="1964" t="n"/>
      <c r="AE22" s="1186" t="n"/>
      <c r="AF22" s="1935" t="n"/>
      <c r="AG22" s="3805" t="n"/>
      <c r="AH22" s="1964" t="n"/>
      <c r="AI22" s="1186" t="n"/>
      <c r="AJ22">
        <f>CB22&amp;CC22&amp;CD22&amp;CE22&amp;CF22&amp;CG22&amp;CH22</f>
        <v/>
      </c>
      <c r="CB22" s="219">
        <f>IF(AND($D22&lt;&gt;0,AB22=""),"* No olvide ingresar la columna "&amp;AB$9&amp;""&amp;" (Digite CERO si no tiene).  ",IF(AB22&gt;$D22,"* El Número de Familias en Riesgo no puede superar el Total. ",""))</f>
        <v/>
      </c>
      <c r="CC22" s="219">
        <f>IF(AND($D22&lt;&gt;0,AC22=""),"* No olvide ingresar la variable "&amp;AC$9&amp;""&amp;" (Digite CERO si no tiene).  ",IF(AC22&gt;$D22,"* La variable Pueblos Originarios no puede superar el Total. ",""))</f>
        <v/>
      </c>
      <c r="CD22" s="219">
        <f>IF(AND($D22&lt;&gt;0,AD22=""),"* No olvide ingresar la variable "&amp;AD$9&amp;""&amp;" (Digite CERO si no tiene).  ",IF(AD22&gt;$D22,"* La variable Migrantes no puede superar el Total. ",""))</f>
        <v/>
      </c>
      <c r="CE22" s="219">
        <f>IF(AND($D22&lt;&gt;0,AE22=""),"* No olvide ingresar la variable "&amp;AE$9&amp;""&amp;" (Digite CERO si no tiene).  ",IF(AE22&gt;$D22,"* La variable Espacios Amigables/ Adolescentes no puede superar el Total. ",""))</f>
        <v/>
      </c>
      <c r="CF22" s="219">
        <f>IF(AND(D22&gt;0,OR(AF22="",AG22="",))," * No olvide digitar la variable TRANS Masculino/Femenino (Digite CERO si no tiene). ",IF(AF22+AG22&gt;$D22,"* La suma de TRANS Masculino + Femenino no puede superar el Total. ",""))</f>
        <v/>
      </c>
      <c r="CG22" s="219">
        <f>IF(AND(D22&gt;0,AH22=""),"* No olvide digitar la variable "&amp;AH$9&amp;"(Digite CERO si no tiene). ",IF(AH22&gt;$D22,"* La variable "&amp;AH$9&amp;" no puede superar el Total. ",""))</f>
        <v/>
      </c>
      <c r="CH22" s="219">
        <f>IF(AND(D22&gt;0,AI22=""),"* No olvide digitar la variable "&amp;AI$9&amp;" (Digite CERO si no tiene). ",IF(AI22&gt;$D22,"* La variable "&amp;AI$9&amp;" no puede superar el Total. ",""))</f>
        <v/>
      </c>
      <c r="CK22" s="227" t="n"/>
      <c r="CL22" s="221">
        <f>IF(AND($D22&lt;&gt;0,AB22=""),1,IF(AB22&gt;$D22,1,0))</f>
        <v/>
      </c>
      <c r="CM22" s="221">
        <f>IF(AND($D22&lt;&gt;0,AC22=""),1,IF(AC22&gt;$D22,1,0))</f>
        <v/>
      </c>
      <c r="CN22" s="221">
        <f>IF(AND($D22&lt;&gt;0,AD22=""),1,IF(AD22&gt;$D22,1,0))</f>
        <v/>
      </c>
      <c r="CO22" s="221">
        <f>IF(AND($D22&lt;&gt;0,AE22=""),1,IF(AE22&gt;$D22,1,0))</f>
        <v/>
      </c>
      <c r="CP22" s="221">
        <f>IF(AND(D22&gt;0,OR(AF22="",AG22="",)),1,IF(AF22+AG22&gt;$D22,1,0))</f>
        <v/>
      </c>
      <c r="CQ22" s="378">
        <f>IF(AND(D22&gt;0,AI22=""),1,IF(AI22&gt;$D22,1,0))</f>
        <v/>
      </c>
      <c r="CR22" s="378">
        <f>IF(AND(D22&gt;0,AI22=""),1,IF(AI22&gt;$D22,1,0))</f>
        <v/>
      </c>
    </row>
    <row r="23" ht="24.75" customFormat="1" customHeight="1" s="17">
      <c r="A23" s="9588" t="n"/>
      <c r="B23" s="10540" t="inlineStr">
        <is>
          <t>Educación prenatal (Nutrición-lactancia-crianza-autocuidado-preparación parto y otros)</t>
        </is>
      </c>
      <c r="C23" s="9718" t="n"/>
      <c r="D23" s="1308">
        <f>SUM(J23:S23)</f>
        <v/>
      </c>
      <c r="E23" s="1304" t="n"/>
      <c r="F23" s="1305" t="n"/>
      <c r="G23" s="1305" t="n"/>
      <c r="H23" s="1305" t="n"/>
      <c r="I23" s="1306" t="n"/>
      <c r="J23" s="1181" t="n">
        <v>0</v>
      </c>
      <c r="K23" s="1228" t="n">
        <v>0</v>
      </c>
      <c r="L23" s="1228" t="n">
        <v>0</v>
      </c>
      <c r="M23" s="1228" t="n">
        <v>0</v>
      </c>
      <c r="N23" s="1228" t="n">
        <v>0</v>
      </c>
      <c r="O23" s="1228" t="n">
        <v>0</v>
      </c>
      <c r="P23" s="1228" t="n">
        <v>0</v>
      </c>
      <c r="Q23" s="1228" t="n">
        <v>0</v>
      </c>
      <c r="R23" s="1228" t="n">
        <v>0</v>
      </c>
      <c r="S23" s="1228" t="n">
        <v>0</v>
      </c>
      <c r="T23" s="1309" t="n"/>
      <c r="U23" s="1309" t="n"/>
      <c r="V23" s="1309" t="n"/>
      <c r="W23" s="1309" t="n"/>
      <c r="X23" s="1309" t="n"/>
      <c r="Y23" s="1230" t="n">
        <v>0</v>
      </c>
      <c r="Z23" s="1228" t="n"/>
      <c r="AA23" s="1185" t="n"/>
      <c r="AB23" s="5248" t="n">
        <v>0</v>
      </c>
      <c r="AC23" s="1229" t="n">
        <v>0</v>
      </c>
      <c r="AD23" s="1229" t="n">
        <v>0</v>
      </c>
      <c r="AE23" s="1371" t="n"/>
      <c r="AF23" s="1179" t="n">
        <v>0</v>
      </c>
      <c r="AG23" s="1180" t="n">
        <v>0</v>
      </c>
      <c r="AH23" s="1229" t="n">
        <v>0</v>
      </c>
      <c r="AI23" s="1180" t="n">
        <v>0</v>
      </c>
      <c r="AJ23">
        <f>CB23&amp;CC23&amp;CD23&amp;CE23&amp;CF23&amp;CG23&amp;CH23</f>
        <v/>
      </c>
      <c r="CB23" s="219">
        <f>IF(AND($D23&lt;&gt;0,AB23=""),"* No olvide ingresar la columna "&amp;AB$9&amp;""&amp;" (Digite CERO si no tiene).  ",IF(AB23&gt;$D23,"* El Número de Familias en Riesgo no puede superar el Total. ",""))</f>
        <v/>
      </c>
      <c r="CC23" s="219">
        <f>IF(AND($D23&lt;&gt;0,AC23=""),"* No olvide ingresar la variable "&amp;AC$9&amp;""&amp;" (Digite CERO si no tiene).  ",IF(AC23&gt;$D23,"* La variable Pueblos Originarios no puede superar el Total. ",""))</f>
        <v/>
      </c>
      <c r="CD23" s="219">
        <f>IF(AND($D23&lt;&gt;0,AD23=""),"* No olvide ingresar la variable "&amp;AD$9&amp;""&amp;" (Digite CERO si no tiene).  ",IF(AD23&gt;$D23,"* La variable Migrantes no puede superar el Total. ",""))</f>
        <v/>
      </c>
      <c r="CE23" s="220" t="n"/>
      <c r="CF23" s="219">
        <f>IF(AND(D23&gt;0,OR(AF23="",AG23="",))," * No olvide digitar la variable TRANS Masculino/Femenino (Digite CERO si no tiene). ",IF(AF23+AG23&gt;$D23,"* La suma de TRANS Masculino + Femenino no puede superar el Total. ",""))</f>
        <v/>
      </c>
      <c r="CG23" s="219">
        <f>IF(AND(D23&gt;0,AH23=""),"* No olvide digitar la variable "&amp;AH$9&amp;"(Digite CERO si no tiene). ",IF(AH23&gt;$D23,"* La variable "&amp;AH$9&amp;" no puede superar el Total. ",""))</f>
        <v/>
      </c>
      <c r="CH23" s="219">
        <f>IF(AND(D23&gt;0,AI23=""),"* No olvide digitar la variable "&amp;AI$9&amp;" (Digite CERO si no tiene). ",IF(AI23&gt;$D23,"* La variable "&amp;AI$9&amp;" no puede superar el Total. ",""))</f>
        <v/>
      </c>
      <c r="CK23" s="227" t="n"/>
      <c r="CL23" s="221">
        <f>IF(AND($D23&lt;&gt;0,AB23=""),1,IF(AB23&gt;$D23,1,0))</f>
        <v/>
      </c>
      <c r="CM23" s="221">
        <f>IF(AND($D23&lt;&gt;0,AC23=""),1,IF(AC23&gt;$D23,1,0))</f>
        <v/>
      </c>
      <c r="CN23" s="221">
        <f>IF(AND($D23&lt;&gt;0,AD23=""),1,IF(AD23&gt;$D23,1,0))</f>
        <v/>
      </c>
      <c r="CO23" s="222" t="n"/>
      <c r="CP23" s="221">
        <f>IF(AND(D23&gt;0,OR(AF23="",AG23="",)),1,IF(AF23+AG23&gt;$D23,1,0))</f>
        <v/>
      </c>
      <c r="CQ23" s="378">
        <f>IF(AND(D23&gt;0,AI23=""),1,IF(AI23&gt;$D23,1,0))</f>
        <v/>
      </c>
      <c r="CR23" s="378">
        <f>IF(AND(D23&gt;0,AI23=""),1,IF(AI23&gt;$D23,1,0))</f>
        <v/>
      </c>
    </row>
    <row r="24" ht="15" customFormat="1" customHeight="1" s="17">
      <c r="A24" s="9588" t="n"/>
      <c r="B24" s="9690" t="inlineStr">
        <is>
          <t>Visita guiada a la maternidad</t>
        </is>
      </c>
      <c r="C24" s="8728" t="inlineStr">
        <is>
          <t>Primigesta</t>
        </is>
      </c>
      <c r="D24" s="3779">
        <f>SUM(J24:S24)</f>
        <v/>
      </c>
      <c r="E24" s="4040" t="n"/>
      <c r="F24" s="842" t="n"/>
      <c r="G24" s="842" t="n"/>
      <c r="H24" s="842" t="n"/>
      <c r="I24" s="3930" t="n"/>
      <c r="J24" s="3503" t="n"/>
      <c r="K24" s="2821" t="n"/>
      <c r="L24" s="2821" t="n"/>
      <c r="M24" s="2821" t="n"/>
      <c r="N24" s="2821" t="n"/>
      <c r="O24" s="2821" t="n"/>
      <c r="P24" s="2821" t="n"/>
      <c r="Q24" s="2821" t="n"/>
      <c r="R24" s="2821" t="n"/>
      <c r="S24" s="2821" t="n"/>
      <c r="T24" s="4041" t="n"/>
      <c r="U24" s="4041" t="n"/>
      <c r="V24" s="4041" t="n"/>
      <c r="W24" s="4041" t="n"/>
      <c r="X24" s="4041" t="n"/>
      <c r="Y24" s="3263" t="n"/>
      <c r="Z24" s="835" t="n"/>
      <c r="AA24" s="2823" t="n"/>
      <c r="AB24" s="5213" t="n"/>
      <c r="AC24" s="5189" t="n"/>
      <c r="AD24" s="5189" t="n"/>
      <c r="AE24" s="5413" t="n"/>
      <c r="AF24" s="3502" t="n"/>
      <c r="AG24" s="3520" t="n"/>
      <c r="AH24" s="5189" t="n"/>
      <c r="AI24" s="5185" t="n"/>
      <c r="AJ24">
        <f>CB24&amp;CC24&amp;CD24&amp;CE24&amp;CF24&amp;CG24&amp;CH24</f>
        <v/>
      </c>
      <c r="CB24" s="219">
        <f>IF(AND($D24&lt;&gt;0,AB24=""),"* No olvide ingresar la columna "&amp;AB$9&amp;""&amp;" (Digite CERO si no tiene).  ",IF(AB24&gt;$D24,"* El Número de Familias en Riesgo no puede superar el Total. ",""))</f>
        <v/>
      </c>
      <c r="CC24" s="219">
        <f>IF(AND($D24&lt;&gt;0,AC24=""),"* No olvide ingresar la variable "&amp;AC$9&amp;""&amp;" (Digite CERO si no tiene).  ",IF(AC24&gt;$D24,"* La variable Pueblos Originarios no puede superar el Total. ",""))</f>
        <v/>
      </c>
      <c r="CD24" s="219">
        <f>IF(AND($D24&lt;&gt;0,AD24=""),"* No olvide ingresar la variable "&amp;AD$9&amp;""&amp;" (Digite CERO si no tiene).  ",IF(AD24&gt;$D24,"* La variable Migrantes no puede superar el Total. ",""))</f>
        <v/>
      </c>
      <c r="CE24" s="220" t="n"/>
      <c r="CF24" s="219">
        <f>IF(AND(D24&gt;0,OR(AF24="",AG24="",))," * No olvide digitar la variable TRANS Masculino/Femenino (Digite CERO si no tiene). ",IF(AF24+AG24&gt;$D24,"* La suma de TRANS Masculino + Femenino no puede superar el Total. ",""))</f>
        <v/>
      </c>
      <c r="CG24" s="219">
        <f>IF(AND(D24&gt;0,AH24=""),"* No olvide digitar la variable "&amp;AH$9&amp;"(Digite CERO si no tiene). ",IF(AH24&gt;$D24,"* La variable "&amp;AH$9&amp;" no puede superar el Total. ",""))</f>
        <v/>
      </c>
      <c r="CH24" s="219">
        <f>IF(AND(D24&gt;0,AI24=""),"* No olvide digitar la variable "&amp;AI$9&amp;" (Digite CERO si no tiene). ",IF(AI24&gt;$D24,"* La variable "&amp;AI$9&amp;" no puede superar el Total. ",""))</f>
        <v/>
      </c>
      <c r="CK24" s="227" t="n"/>
      <c r="CL24" s="221">
        <f>IF(AND($D24&lt;&gt;0,AB24=""),1,IF(AB24&gt;$D24,1,0))</f>
        <v/>
      </c>
      <c r="CM24" s="221">
        <f>IF(AND($D24&lt;&gt;0,AC24=""),1,IF(AC24&gt;$D24,1,0))</f>
        <v/>
      </c>
      <c r="CN24" s="221">
        <f>IF(AND($D24&lt;&gt;0,AD24=""),1,IF(AD24&gt;$D24,1,0))</f>
        <v/>
      </c>
      <c r="CO24" s="222" t="n"/>
      <c r="CP24" s="221">
        <f>IF(AND(D24&gt;0,OR(AF24="",AG24="",)),1,IF(AF24+AG24&gt;$D24,1,0))</f>
        <v/>
      </c>
      <c r="CQ24" s="378">
        <f>IF(AND(D24&gt;0,AI24=""),1,IF(AI24&gt;$D24,1,0))</f>
        <v/>
      </c>
      <c r="CR24" s="378">
        <f>IF(AND(D24&gt;0,AI24=""),1,IF(AI24&gt;$D24,1,0))</f>
        <v/>
      </c>
    </row>
    <row r="25" ht="15" customFormat="1" customHeight="1" s="17">
      <c r="A25" s="9588" t="n"/>
      <c r="B25" s="9589" t="n"/>
      <c r="C25" s="3709" t="inlineStr">
        <is>
          <t>Multípara</t>
        </is>
      </c>
      <c r="D25" s="3598">
        <f>SUM(J25:S25)</f>
        <v/>
      </c>
      <c r="E25" s="4042" t="n"/>
      <c r="F25" s="4043" t="n"/>
      <c r="G25" s="4043" t="n"/>
      <c r="H25" s="4043" t="n"/>
      <c r="I25" s="1314" t="n"/>
      <c r="J25" s="3818" t="n"/>
      <c r="K25" s="3599" t="n"/>
      <c r="L25" s="3599" t="n"/>
      <c r="M25" s="3599" t="n"/>
      <c r="N25" s="3599" t="n"/>
      <c r="O25" s="3599" t="n"/>
      <c r="P25" s="3599" t="n"/>
      <c r="Q25" s="3599" t="n"/>
      <c r="R25" s="3599" t="n"/>
      <c r="S25" s="3599" t="n"/>
      <c r="T25" s="4044" t="n"/>
      <c r="U25" s="4044" t="n"/>
      <c r="V25" s="4044" t="n"/>
      <c r="W25" s="4044" t="n"/>
      <c r="X25" s="4044" t="n"/>
      <c r="Y25" s="4045" t="n"/>
      <c r="Z25" s="3913" t="n"/>
      <c r="AA25" s="3897" t="n"/>
      <c r="AB25" s="5249" t="n"/>
      <c r="AC25" s="1223" t="n"/>
      <c r="AD25" s="1223" t="n"/>
      <c r="AE25" s="1233" t="n"/>
      <c r="AF25" s="3808" t="n"/>
      <c r="AG25" s="1192" t="n"/>
      <c r="AH25" s="1223" t="n"/>
      <c r="AI25" s="1192" t="n"/>
      <c r="AJ25">
        <f>CB25&amp;CC25&amp;CD25&amp;CE25&amp;CF25&amp;CG25&amp;CH25</f>
        <v/>
      </c>
      <c r="CB25" s="219">
        <f>IF(AND($D25&lt;&gt;0,AB25=""),"* No olvide ingresar la columna "&amp;AB$9&amp;""&amp;" (Digite CERO si no tiene).  ",IF(AB25&gt;$D25,"* El Número de Familias en Riesgo no puede superar el Total. ",""))</f>
        <v/>
      </c>
      <c r="CC25" s="219">
        <f>IF(AND($D25&lt;&gt;0,AC25=""),"* No olvide ingresar la variable "&amp;AC$9&amp;""&amp;" (Digite CERO si no tiene).  ",IF(AC25&gt;$D25,"* La variable Pueblos Originarios no puede superar el Total. ",""))</f>
        <v/>
      </c>
      <c r="CD25" s="219">
        <f>IF(AND($D25&lt;&gt;0,AD25=""),"* No olvide ingresar la variable "&amp;AD$9&amp;""&amp;" (Digite CERO si no tiene).  ",IF(AD25&gt;$D25,"* La variable Migrantes no puede superar el Total. ",""))</f>
        <v/>
      </c>
      <c r="CE25" s="220" t="n"/>
      <c r="CF25" s="219">
        <f>IF(AND(D25&gt;0,OR(AF25="",AG25="",))," * No olvide digitar la variable TRANS Masculino/Femenino (Digite CERO si no tiene). ",IF(AF25+AG25&gt;$D25,"* La suma de TRANS Masculino + Femenino no puede superar el Total. ",""))</f>
        <v/>
      </c>
      <c r="CG25" s="219">
        <f>IF(AND(D25&gt;0,AH25=""),"* No olvide digitar la variable "&amp;AH$9&amp;"(Digite CERO si no tiene). ",IF(AH25&gt;$D25,"* La variable "&amp;AH$9&amp;" no puede superar el Total. ",""))</f>
        <v/>
      </c>
      <c r="CH25" s="219">
        <f>IF(AND(D25&gt;0,AI25=""),"* No olvide digitar la variable "&amp;AI$9&amp;" (Digite CERO si no tiene). ",IF(AI25&gt;$D25,"* La variable "&amp;AI$9&amp;" no puede superar el Total. ",""))</f>
        <v/>
      </c>
      <c r="CK25" s="227" t="n"/>
      <c r="CL25" s="221">
        <f>IF(AND($D25&lt;&gt;0,AB25=""),1,IF(AB25&gt;$D25,1,0))</f>
        <v/>
      </c>
      <c r="CM25" s="221">
        <f>IF(AND($D25&lt;&gt;0,AC25=""),1,IF(AC25&gt;$D25,1,0))</f>
        <v/>
      </c>
      <c r="CN25" s="221">
        <f>IF(AND($D25&lt;&gt;0,AD25=""),1,IF(AD25&gt;$D25,1,0))</f>
        <v/>
      </c>
      <c r="CO25" s="222" t="n"/>
      <c r="CP25" s="221">
        <f>IF(AND(D25&gt;0,OR(AF25="",AG25="",)),1,IF(AF25+AG25&gt;$D25,1,0))</f>
        <v/>
      </c>
      <c r="CQ25" s="378">
        <f>IF(AND(D25&gt;0,AI25=""),1,IF(AI25&gt;$D25,1,0))</f>
        <v/>
      </c>
      <c r="CR25" s="378">
        <f>IF(AND(D25&gt;0,AI25=""),1,IF(AI25&gt;$D25,1,0))</f>
        <v/>
      </c>
    </row>
    <row r="26" ht="15" customFormat="1" customHeight="1" s="17">
      <c r="A26" s="9588" t="n"/>
      <c r="B26" s="10541" t="inlineStr">
        <is>
          <t>Promoción de salud mental</t>
        </is>
      </c>
      <c r="C26" s="9718" t="n"/>
      <c r="D26" s="637">
        <f>SUM(H26:X26)</f>
        <v/>
      </c>
      <c r="E26" s="4047" t="n"/>
      <c r="F26" s="333" t="n"/>
      <c r="G26" s="333" t="n"/>
      <c r="H26" s="155" t="n"/>
      <c r="I26" s="2645" t="n"/>
      <c r="J26" s="2652" t="n"/>
      <c r="K26" s="155" t="n"/>
      <c r="L26" s="155" t="n"/>
      <c r="M26" s="155" t="n"/>
      <c r="N26" s="155" t="n"/>
      <c r="O26" s="155" t="n"/>
      <c r="P26" s="155" t="n"/>
      <c r="Q26" s="155" t="n"/>
      <c r="R26" s="155" t="n"/>
      <c r="S26" s="155" t="n"/>
      <c r="T26" s="155" t="n"/>
      <c r="U26" s="155" t="n"/>
      <c r="V26" s="155" t="n"/>
      <c r="W26" s="155" t="n"/>
      <c r="X26" s="155" t="n"/>
      <c r="Y26" s="159" t="n"/>
      <c r="Z26" s="155" t="n"/>
      <c r="AA26" s="176" t="n"/>
      <c r="AB26" s="5360" t="n"/>
      <c r="AC26" s="5362" t="n"/>
      <c r="AD26" s="5362" t="n"/>
      <c r="AE26" s="5420" t="n"/>
      <c r="AF26" s="2644" t="n"/>
      <c r="AG26" s="2645" t="n"/>
      <c r="AH26" s="2670" t="n"/>
      <c r="AI26" s="5186" t="n"/>
      <c r="AJ26">
        <f>CB26&amp;CC26&amp;CD26&amp;CE26&amp;CF26&amp;CG26&amp;CH26</f>
        <v/>
      </c>
      <c r="CB26" s="219">
        <f>IF(AND($D26&lt;&gt;0,AB26=""),"* No olvide ingresar la columna "&amp;AB$9&amp;""&amp;" (Digite CERO si no tiene).  ",IF(AB26&gt;$D26,"* El Número de Familias en Riesgo no puede superar el Total. ",""))</f>
        <v/>
      </c>
      <c r="CC26" s="219">
        <f>IF(AND($D26&lt;&gt;0,AC26=""),"* No olvide ingresar la variable "&amp;AC$9&amp;""&amp;" (Digite CERO si no tiene).  ",IF(AC26&gt;$D26,"* La variable Pueblos Originarios no puede superar el Total. ",""))</f>
        <v/>
      </c>
      <c r="CD26" s="219">
        <f>IF(AND($D26&lt;&gt;0,AD26=""),"* No olvide ingresar la variable "&amp;AD$9&amp;""&amp;" (Digite CERO si no tiene).  ",IF(AD26&gt;$D26,"* La variable Migrantes no puede superar el Total. ",""))</f>
        <v/>
      </c>
      <c r="CE26" s="219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>
        <f>IF(AND(D26&gt;0,OR(AF26="",AG26="",))," * No olvide digitar la variable TRANS Masculino/Femenino (Digite CERO si no tiene). ",IF(AF26+AG26&gt;$D26,"* La suma de TRANS Masculino + Femenino no puede superar el Total. ",""))</f>
        <v/>
      </c>
      <c r="CG26" s="219">
        <f>IF(AND(D26&gt;0,AH26=""),"* No olvide digitar la variable "&amp;AH$9&amp;"(Digite CERO si no tiene). ",IF(AH26&gt;$D26,"* La variable "&amp;AH$9&amp;" no puede superar el Total. ",""))</f>
        <v/>
      </c>
      <c r="CH26" s="219">
        <f>IF(AND(D26&gt;0,AI26=""),"* No olvide digitar la variable "&amp;AI$9&amp;" (Digite CERO si no tiene). ",IF(AI26&gt;$D26,"* La variable "&amp;AI$9&amp;" no puede superar el Total. ",""))</f>
        <v/>
      </c>
      <c r="CK26" s="227" t="n"/>
      <c r="CL26" s="221">
        <f>IF(AND($D26&lt;&gt;0,AB26=""),1,IF(AB26&gt;$D26,1,0))</f>
        <v/>
      </c>
      <c r="CM26" s="221">
        <f>IF(AND($D26&lt;&gt;0,AC26=""),1,IF(AC26&gt;$D26,1,0))</f>
        <v/>
      </c>
      <c r="CN26" s="221">
        <f>IF(AND($D26&lt;&gt;0,AD26=""),1,IF(AD26&gt;$D26,1,0))</f>
        <v/>
      </c>
      <c r="CO26" s="221">
        <f>IF(AND($D26&lt;&gt;0,AE26=""),1,IF(AE26&gt;$D26,1,0))</f>
        <v/>
      </c>
      <c r="CP26" s="221">
        <f>IF(AND(D26&gt;0,OR(AF26="",AG26="",)),1,IF(AF26+AG26&gt;$D26,1,0))</f>
        <v/>
      </c>
      <c r="CQ26" s="378">
        <f>IF(AND(D26&gt;0,AI26=""),1,IF(AI26&gt;$D26,1,0))</f>
        <v/>
      </c>
      <c r="CR26" s="378">
        <f>IF(AND(D26&gt;0,AI26=""),1,IF(AI26&gt;$D26,1,0))</f>
        <v/>
      </c>
    </row>
    <row r="27" ht="15" customFormat="1" customHeight="1" s="17">
      <c r="A27" s="9588" t="n"/>
      <c r="B27" s="10236" t="inlineStr">
        <is>
          <t>Promoción del desarrollo infantil temprano</t>
        </is>
      </c>
      <c r="C27" s="4048" t="inlineStr">
        <is>
          <t>Del lenguaje</t>
        </is>
      </c>
      <c r="D27" s="3779">
        <f>SUM(E27:F27)</f>
        <v/>
      </c>
      <c r="E27" s="1935" t="n"/>
      <c r="F27" s="802" t="n"/>
      <c r="G27" s="802" t="n"/>
      <c r="H27" s="173" t="n"/>
      <c r="I27" s="4049" t="n"/>
      <c r="J27" s="2898" t="n"/>
      <c r="K27" s="802" t="n"/>
      <c r="L27" s="802" t="n"/>
      <c r="M27" s="802" t="n"/>
      <c r="N27" s="802" t="n"/>
      <c r="O27" s="802" t="n"/>
      <c r="P27" s="802" t="n"/>
      <c r="Q27" s="802" t="n"/>
      <c r="R27" s="802" t="n"/>
      <c r="S27" s="802" t="n"/>
      <c r="T27" s="802" t="n"/>
      <c r="U27" s="802" t="n"/>
      <c r="V27" s="802" t="n"/>
      <c r="W27" s="802" t="n"/>
      <c r="X27" s="4039" t="n"/>
      <c r="Y27" s="454" t="n"/>
      <c r="Z27" s="173" t="n"/>
      <c r="AA27" s="4050" t="n"/>
      <c r="AB27" s="5213" t="n"/>
      <c r="AC27" s="5189" t="n"/>
      <c r="AD27" s="5189" t="n"/>
      <c r="AE27" s="4312" t="n"/>
      <c r="AF27" s="3502" t="n"/>
      <c r="AG27" s="3520" t="n"/>
      <c r="AH27" s="5189" t="n"/>
      <c r="AI27" s="5185" t="n"/>
      <c r="AJ27">
        <f>CB27&amp;CC27&amp;CD27&amp;CE27&amp;CF27&amp;CG27&amp;CH27</f>
        <v/>
      </c>
      <c r="CB27" s="219">
        <f>IF(AND($D27&lt;&gt;0,AB27=""),"* No olvide ingresar la columna "&amp;AB$9&amp;""&amp;" (Digite CERO si no tiene).  ",IF(AB27&gt;$D27,"* El Número de Familias en Riesgo no puede superar el Total. ",""))</f>
        <v/>
      </c>
      <c r="CC27" s="219">
        <f>IF(AND($D27&lt;&gt;0,AC27=""),"* No olvide ingresar la variable "&amp;AC$9&amp;""&amp;" (Digite CERO si no tiene).  ",IF(AC27&gt;$D27,"* La variable Pueblos Originarios no puede superar el Total. ",""))</f>
        <v/>
      </c>
      <c r="CD27" s="219">
        <f>IF(AND($D27&lt;&gt;0,AD27=""),"* No olvide ingresar la variable "&amp;AD$9&amp;""&amp;" (Digite CERO si no tiene).  ",IF(AD27&gt;$D27,"* La variable Migrantes no puede superar el Total. ",""))</f>
        <v/>
      </c>
      <c r="CE27" s="220" t="n"/>
      <c r="CF27" s="219">
        <f>IF(AND(D27&gt;0,OR(AF27="",AG27="",))," * No olvide digitar la variable TRANS Masculino/Femenino (Digite CERO si no tiene). ",IF(AF27+AG27&gt;$D27,"* La suma de TRANS Masculino + Femenino no puede superar el Total. ",""))</f>
        <v/>
      </c>
      <c r="CG27" s="219">
        <f>IF(AND(D27&gt;0,AH27=""),"* No olvide digitar la variable "&amp;AH$9&amp;"(Digite CERO si no tiene). ",IF(AH27&gt;$D27,"* La variable "&amp;AH$9&amp;" no puede superar el Total. ",""))</f>
        <v/>
      </c>
      <c r="CH27" s="219">
        <f>IF(AND(D27&gt;0,AI27=""),"* No olvide digitar la variable "&amp;AI$9&amp;" (Digite CERO si no tiene). ",IF(AI27&gt;$D27,"* La variable "&amp;AI$9&amp;" no puede superar el Total. ",""))</f>
        <v/>
      </c>
      <c r="CK27" s="227" t="n"/>
      <c r="CL27" s="221">
        <f>IF(AND($D27&lt;&gt;0,AB27=""),1,IF(AB27&gt;$D27,1,0))</f>
        <v/>
      </c>
      <c r="CM27" s="221">
        <f>IF(AND($D27&lt;&gt;0,AC27=""),1,IF(AC27&gt;$D27,1,0))</f>
        <v/>
      </c>
      <c r="CN27" s="221">
        <f>IF(AND($D27&lt;&gt;0,AD27=""),1,IF(AD27&gt;$D27,1,0))</f>
        <v/>
      </c>
      <c r="CO27" s="222" t="n"/>
      <c r="CP27" s="221">
        <f>IF(AND(D27&gt;0,OR(AF27="",AG27="",)),1,IF(AF27+AG27&gt;$D27,1,0))</f>
        <v/>
      </c>
      <c r="CQ27" s="378">
        <f>IF(AND(D27&gt;0,AI27=""),1,IF(AI27&gt;$D27,1,0))</f>
        <v/>
      </c>
      <c r="CR27" s="378">
        <f>IF(AND(D27&gt;0,AI27=""),1,IF(AI27&gt;$D27,1,0))</f>
        <v/>
      </c>
    </row>
    <row r="28" ht="15" customFormat="1" customHeight="1" s="17">
      <c r="A28" s="9588" t="n"/>
      <c r="B28" s="9588" t="n"/>
      <c r="C28" s="9087" t="inlineStr">
        <is>
          <t>Motor</t>
        </is>
      </c>
      <c r="D28" s="1308">
        <f>SUM(E28:G28)</f>
        <v/>
      </c>
      <c r="E28" s="3787" t="n"/>
      <c r="F28" s="802" t="n"/>
      <c r="G28" s="802" t="n"/>
      <c r="H28" s="1305" t="n"/>
      <c r="I28" s="1318" t="n"/>
      <c r="J28" s="4051" t="n"/>
      <c r="K28" s="4052" t="n"/>
      <c r="L28" s="4052" t="n"/>
      <c r="M28" s="4052" t="n"/>
      <c r="N28" s="4052" t="n"/>
      <c r="O28" s="4052" t="n"/>
      <c r="P28" s="4052" t="n"/>
      <c r="Q28" s="4052" t="n"/>
      <c r="R28" s="4052" t="n"/>
      <c r="S28" s="4052" t="n"/>
      <c r="T28" s="4052" t="n"/>
      <c r="U28" s="4052" t="n"/>
      <c r="V28" s="4052" t="n"/>
      <c r="W28" s="4052" t="n"/>
      <c r="X28" s="1309" t="n"/>
      <c r="Y28" s="1320" t="n"/>
      <c r="Z28" s="1305" t="n"/>
      <c r="AA28" s="1321" t="n"/>
      <c r="AB28" s="5215" t="n"/>
      <c r="AC28" s="3892" t="n"/>
      <c r="AD28" s="3892" t="n"/>
      <c r="AE28" s="3788" t="n"/>
      <c r="AF28" s="3787" t="n"/>
      <c r="AG28" s="3788" t="n"/>
      <c r="AH28" s="3892" t="n"/>
      <c r="AI28" s="3788" t="n"/>
      <c r="AJ28">
        <f>CB28&amp;CC28&amp;CD28&amp;CE28&amp;CF28&amp;CG28&amp;CH28</f>
        <v/>
      </c>
      <c r="CB28" s="219">
        <f>IF(AND($D28&lt;&gt;0,AB28=""),"* No olvide ingresar la columna "&amp;AB$9&amp;""&amp;" (Digite CERO si no tiene).  ",IF(AB28&gt;$D28,"* El Número de Familias en Riesgo no puede superar el Total. ",""))</f>
        <v/>
      </c>
      <c r="CC28" s="219">
        <f>IF(AND($D28&lt;&gt;0,AC28=""),"* No olvide ingresar la variable "&amp;AC$9&amp;""&amp;" (Digite CERO si no tiene).  ",IF(AC28&gt;$D28,"* La variable Pueblos Originarios no puede superar el Total. ",""))</f>
        <v/>
      </c>
      <c r="CD28" s="219">
        <f>IF(AND($D28&lt;&gt;0,AD28=""),"* No olvide ingresar la variable "&amp;AD$9&amp;""&amp;" (Digite CERO si no tiene).  ",IF(AD28&gt;$D28,"* La variable Migrantes no puede superar el Total. ",""))</f>
        <v/>
      </c>
      <c r="CE28" s="219">
        <f>IF(AND($D28&lt;&gt;0,AE28=""),"* No olvide ingresar la variable "&amp;AE$9&amp;""&amp;" (Digite CERO si no tiene).  ",IF(AE28&gt;$D28,"* La variable Espacios Amigables/ Adolescentes no puede superar el Total. ",""))</f>
        <v/>
      </c>
      <c r="CF28" s="219">
        <f>IF(AND(D28&gt;0,OR(AF28="",AG28="",))," * No olvide digitar la variable TRANS Masculino/Femenino (Digite CERO si no tiene). ",IF(AF28+AG28&gt;$D28,"* La suma de TRANS Masculino + Femenino no puede superar el Total. ",""))</f>
        <v/>
      </c>
      <c r="CG28" s="219">
        <f>IF(AND(D28&gt;0,AH28=""),"* No olvide digitar la variable "&amp;AH$9&amp;"(Digite CERO si no tiene). ",IF(AH28&gt;$D28,"* La variable "&amp;AH$9&amp;" no puede superar el Total. ",""))</f>
        <v/>
      </c>
      <c r="CH28" s="219">
        <f>IF(AND(D28&gt;0,AI28=""),"* No olvide digitar la variable "&amp;AI$9&amp;" (Digite CERO si no tiene). ",IF(AI28&gt;$D28,"* La variable "&amp;AI$9&amp;" no puede superar el Total. ",""))</f>
        <v/>
      </c>
      <c r="CK28" s="227" t="n"/>
      <c r="CL28" s="221">
        <f>IF(AND($D28&lt;&gt;0,AB28=""),1,IF(AB28&gt;$D28,1,0))</f>
        <v/>
      </c>
      <c r="CM28" s="221">
        <f>IF(AND($D28&lt;&gt;0,AC28=""),1,IF(AC28&gt;$D28,1,0))</f>
        <v/>
      </c>
      <c r="CN28" s="221">
        <f>IF(AND($D28&lt;&gt;0,AD28=""),1,IF(AD28&gt;$D28,1,0))</f>
        <v/>
      </c>
      <c r="CO28" s="221">
        <f>IF(AND($D28&lt;&gt;0,AE28=""),1,IF(AE28&gt;$D28,1,0))</f>
        <v/>
      </c>
      <c r="CP28" s="221">
        <f>IF(AND(D28&gt;0,OR(AF28="",AG28="",)),1,IF(AF28+AG28&gt;$D28,1,0))</f>
        <v/>
      </c>
      <c r="CQ28" s="378">
        <f>IF(AND(D28&gt;0,AI28=""),1,IF(AI28&gt;$D28,1,0))</f>
        <v/>
      </c>
      <c r="CR28" s="378">
        <f>IF(AND(D28&gt;0,AI28=""),1,IF(AI28&gt;$D28,1,0))</f>
        <v/>
      </c>
    </row>
    <row r="29" ht="15" customFormat="1" customHeight="1" s="17">
      <c r="A29" s="9588" t="n"/>
      <c r="B29" s="9589" t="n"/>
      <c r="C29" s="1232" t="inlineStr">
        <is>
          <t>Otros</t>
        </is>
      </c>
      <c r="D29" s="3598">
        <f>SUM(E29:G29)</f>
        <v/>
      </c>
      <c r="E29" s="3808" t="n"/>
      <c r="F29" s="2652" t="n"/>
      <c r="G29" s="2652" t="n"/>
      <c r="H29" s="4053" t="n"/>
      <c r="I29" s="4054" t="n"/>
      <c r="J29" s="4053" t="n"/>
      <c r="K29" s="4043" t="n"/>
      <c r="L29" s="4043" t="n"/>
      <c r="M29" s="4043" t="n"/>
      <c r="N29" s="4043" t="n"/>
      <c r="O29" s="4043" t="n"/>
      <c r="P29" s="4043" t="n"/>
      <c r="Q29" s="4043" t="n"/>
      <c r="R29" s="4043" t="n"/>
      <c r="S29" s="4043" t="n"/>
      <c r="T29" s="4043" t="n"/>
      <c r="U29" s="4043" t="n"/>
      <c r="V29" s="4043" t="n"/>
      <c r="W29" s="4043" t="n"/>
      <c r="X29" s="4044" t="n"/>
      <c r="Y29" s="4045" t="n"/>
      <c r="Z29" s="4043" t="n"/>
      <c r="AA29" s="4055" t="n"/>
      <c r="AB29" s="5360" t="n"/>
      <c r="AC29" s="5362" t="n"/>
      <c r="AD29" s="5362" t="n"/>
      <c r="AE29" s="5420" t="n"/>
      <c r="AF29" s="2644" t="n"/>
      <c r="AG29" s="2645" t="n"/>
      <c r="AH29" s="2670" t="n"/>
      <c r="AI29" s="5186" t="n"/>
      <c r="AJ29">
        <f>CB29&amp;CC29&amp;CD29&amp;CE29&amp;CF29&amp;CG29&amp;CH29</f>
        <v/>
      </c>
      <c r="CB29" s="219">
        <f>IF(AND($D29&lt;&gt;0,AB29=""),"* No olvide ingresar la columna "&amp;AB$9&amp;""&amp;" (Digite CERO si no tiene).  ",IF(AB29&gt;$D29,"* El Número de Familias en Riesgo no puede superar el Total. ",""))</f>
        <v/>
      </c>
      <c r="CC29" s="219">
        <f>IF(AND($D29&lt;&gt;0,AC29=""),"* No olvide ingresar la variable "&amp;AC$9&amp;""&amp;" (Digite CERO si no tiene).  ",IF(AC29&gt;$D29,"* La variable Pueblos Originarios no puede superar el Total. ",""))</f>
        <v/>
      </c>
      <c r="CD29" s="219">
        <f>IF(AND($D29&lt;&gt;0,AD29=""),"* No olvide ingresar la variable "&amp;AD$9&amp;""&amp;" (Digite CERO si no tiene).  ",IF(AD29&gt;$D29,"* La variable Migrantes no puede superar el Total. ",""))</f>
        <v/>
      </c>
      <c r="CE29" s="219">
        <f>IF(AND($D29&lt;&gt;0,AE29=""),"* No olvide ingresar la variable "&amp;AE$9&amp;""&amp;" (Digite CERO si no tiene).  ",IF(AE29&gt;$D29,"* La variable Espacios Amigables/ Adolescentes no puede superar el Total. ",""))</f>
        <v/>
      </c>
      <c r="CF29" s="219">
        <f>IF(AND(D29&gt;0,OR(AF29="",AG29="",))," * No olvide digitar la variable TRANS Masculino/Femenino (Digite CERO si no tiene). ",IF(AF29+AG29&gt;$D29,"* La suma de TRANS Masculino + Femenino no puede superar el Total. ",""))</f>
        <v/>
      </c>
      <c r="CG29" s="219">
        <f>IF(AND(D29&gt;0,AH29=""),"* No olvide digitar la variable "&amp;AH$9&amp;"(Digite CERO si no tiene). ",IF(AH29&gt;$D29,"* La variable "&amp;AH$9&amp;" no puede superar el Total. ",""))</f>
        <v/>
      </c>
      <c r="CH29" s="219">
        <f>IF(AND(D29&gt;0,AI29=""),"* No olvide digitar la variable "&amp;AI$9&amp;" (Digite CERO si no tiene). ",IF(AI29&gt;$D29,"* La variable "&amp;AI$9&amp;" no puede superar el Total. ",""))</f>
        <v/>
      </c>
      <c r="CK29" s="227" t="n"/>
      <c r="CL29" s="221">
        <f>IF(AND($D29&lt;&gt;0,AB29=""),1,IF(AB29&gt;$D29,1,0))</f>
        <v/>
      </c>
      <c r="CM29" s="221">
        <f>IF(AND($D29&lt;&gt;0,AC29=""),1,IF(AC29&gt;$D29,1,0))</f>
        <v/>
      </c>
      <c r="CN29" s="221">
        <f>IF(AND($D29&lt;&gt;0,AD29=""),1,IF(AD29&gt;$D29,1,0))</f>
        <v/>
      </c>
      <c r="CO29" s="221">
        <f>IF(AND($D29&lt;&gt;0,AE29=""),1,IF(AE29&gt;$D29,1,0))</f>
        <v/>
      </c>
      <c r="CP29" s="221">
        <f>IF(AND(D29&gt;0,OR(AF29="",AG29="",)),1,IF(AF29+AG29&gt;$D29,1,0))</f>
        <v/>
      </c>
      <c r="CQ29" s="378">
        <f>IF(AND(D29&gt;0,AI29=""),1,IF(AI29&gt;$D29,1,0))</f>
        <v/>
      </c>
      <c r="CR29" s="378">
        <f>IF(AND(D29&gt;0,AI29=""),1,IF(AI29&gt;$D29,1,0))</f>
        <v/>
      </c>
    </row>
    <row r="30" ht="15" customFormat="1" customHeight="1" s="17">
      <c r="A30" s="9588" t="n"/>
      <c r="B30" s="10236" t="inlineStr">
        <is>
          <t>Habilidades parentales</t>
        </is>
      </c>
      <c r="C30" s="3934" t="inlineStr">
        <is>
          <t>Nadie es perfecto</t>
        </is>
      </c>
      <c r="D30" s="3595">
        <f>SUM(E30:H30)</f>
        <v/>
      </c>
      <c r="E30" s="3502" t="n">
        <v>3</v>
      </c>
      <c r="F30" s="835" t="n">
        <v>0</v>
      </c>
      <c r="G30" s="835" t="n">
        <v>0</v>
      </c>
      <c r="H30" s="835" t="n">
        <v>0</v>
      </c>
      <c r="I30" s="3930" t="n"/>
      <c r="J30" s="3929" t="n"/>
      <c r="K30" s="842" t="n"/>
      <c r="L30" s="842" t="n"/>
      <c r="M30" s="4041" t="n"/>
      <c r="N30" s="4041" t="n"/>
      <c r="O30" s="4041" t="n"/>
      <c r="P30" s="4041" t="n"/>
      <c r="Q30" s="4041" t="n"/>
      <c r="R30" s="4041" t="n"/>
      <c r="S30" s="4041" t="n"/>
      <c r="T30" s="4041" t="n"/>
      <c r="U30" s="4041" t="n"/>
      <c r="V30" s="4041" t="n"/>
      <c r="W30" s="4041" t="n"/>
      <c r="X30" s="4041" t="n"/>
      <c r="Y30" s="4056" t="n">
        <v>3</v>
      </c>
      <c r="Z30" s="4029" t="n"/>
      <c r="AA30" s="4032" t="n"/>
      <c r="AB30" s="5213" t="n">
        <v>0</v>
      </c>
      <c r="AC30" s="5189" t="n">
        <v>0</v>
      </c>
      <c r="AD30" s="5189" t="n">
        <v>0</v>
      </c>
      <c r="AE30" s="5185" t="n">
        <v>0</v>
      </c>
      <c r="AF30" s="3502" t="n">
        <v>0</v>
      </c>
      <c r="AG30" s="3520" t="n">
        <v>0</v>
      </c>
      <c r="AH30" s="5189" t="n">
        <v>0</v>
      </c>
      <c r="AI30" s="5185" t="n">
        <v>0</v>
      </c>
      <c r="AJ30">
        <f>CB30&amp;CC30&amp;CD30&amp;CE30&amp;CF30&amp;CG30&amp;CH30</f>
        <v/>
      </c>
      <c r="CB30" s="219">
        <f>IF(AND($D30&lt;&gt;0,AB30=""),"* No olvide ingresar la columna "&amp;AB$9&amp;""&amp;" (Digite CERO si no tiene).  ",IF(AB30&gt;$D30,"* El Número de Familias en Riesgo no puede superar el Total. ",""))</f>
        <v/>
      </c>
      <c r="CC30" s="219">
        <f>IF(AND($D30&lt;&gt;0,AC30=""),"* No olvide ingresar la variable "&amp;AC$9&amp;""&amp;" (Digite CERO si no tiene).  ",IF(AC30&gt;$D30,"* La variable Pueblos Originarios no puede superar el Total. ",""))</f>
        <v/>
      </c>
      <c r="CD30" s="219">
        <f>IF(AND($D30&lt;&gt;0,AD30=""),"* No olvide ingresar la variable "&amp;AD$9&amp;""&amp;" (Digite CERO si no tiene).  ",IF(AD30&gt;$D30,"* La variable Migrantes no puede superar el Total. ",""))</f>
        <v/>
      </c>
      <c r="CE30" s="219">
        <f>IF(AND($D30&lt;&gt;0,AE30=""),"* No olvide ingresar la variable "&amp;AE$9&amp;""&amp;" (Digite CERO si no tiene).  ",IF(AE30&gt;$D30,"* La variable Espacios Amigables/ Adolescentes no puede superar el Total. ",""))</f>
        <v/>
      </c>
      <c r="CF30" s="219">
        <f>IF(AND(D30&gt;0,OR(AF30="",AG30="",))," * No olvide digitar la variable TRANS Masculino/Femenino (Digite CERO si no tiene). ",IF(AF30+AG30&gt;$D30,"* La suma de TRANS Masculino + Femenino no puede superar el Total. ",""))</f>
        <v/>
      </c>
      <c r="CG30" s="219">
        <f>IF(AND(D30&gt;0,AH30=""),"* No olvide digitar la variable "&amp;AH$9&amp;"(Digite CERO si no tiene). ",IF(AH30&gt;$D30,"* La variable "&amp;AH$9&amp;" no puede superar el Total. ",""))</f>
        <v/>
      </c>
      <c r="CH30" s="219">
        <f>IF(AND(D30&gt;0,AI30=""),"* No olvide digitar la variable "&amp;AI$9&amp;" (Digite CERO si no tiene). ",IF(AI30&gt;$D30,"* La variable "&amp;AI$9&amp;" no puede superar el Total. ",""))</f>
        <v/>
      </c>
      <c r="CK30" s="227" t="n"/>
      <c r="CL30" s="221">
        <f>IF(AND($D30&lt;&gt;0,AB30=""),1,IF(AB30&gt;$D30,1,0))</f>
        <v/>
      </c>
      <c r="CM30" s="221">
        <f>IF(AND($D30&lt;&gt;0,AC30=""),1,IF(AC30&gt;$D30,1,0))</f>
        <v/>
      </c>
      <c r="CN30" s="221">
        <f>IF(AND($D30&lt;&gt;0,AD30=""),1,IF(AD30&gt;$D30,1,0))</f>
        <v/>
      </c>
      <c r="CO30" s="221">
        <f>IF(AND($D30&lt;&gt;0,AE30=""),1,IF(AE30&gt;$D30,1,0))</f>
        <v/>
      </c>
      <c r="CP30" s="221">
        <f>IF(AND(D30&gt;0,OR(AF30="",AG30="",)),1,IF(AF30+AG30&gt;$D30,1,0))</f>
        <v/>
      </c>
      <c r="CQ30" s="378">
        <f>IF(AND(D30&gt;0,AI30=""),1,IF(AI30&gt;$D30,1,0))</f>
        <v/>
      </c>
      <c r="CR30" s="378">
        <f>IF(AND(D30&gt;0,AI30=""),1,IF(AI30&gt;$D30,1,0))</f>
        <v/>
      </c>
    </row>
    <row r="31" ht="15" customFormat="1" customHeight="1" s="17">
      <c r="A31" s="9588" t="n"/>
      <c r="B31" s="9588" t="n"/>
      <c r="C31" s="3968" t="inlineStr">
        <is>
          <t>Familias fuertes</t>
        </is>
      </c>
      <c r="D31" s="3632">
        <f>SUM(I31+J31)</f>
        <v/>
      </c>
      <c r="E31" s="1951" t="n"/>
      <c r="F31" s="794" t="n"/>
      <c r="G31" s="794" t="n"/>
      <c r="H31" s="794" t="n"/>
      <c r="I31" s="3788" t="n"/>
      <c r="J31" s="3789" t="n"/>
      <c r="K31" s="4052" t="n"/>
      <c r="L31" s="4052" t="n"/>
      <c r="M31" s="4057" t="n"/>
      <c r="N31" s="4057" t="n"/>
      <c r="O31" s="4057" t="n"/>
      <c r="P31" s="4057" t="n"/>
      <c r="Q31" s="4057" t="n"/>
      <c r="R31" s="4057" t="n"/>
      <c r="S31" s="4057" t="n"/>
      <c r="T31" s="4057" t="n"/>
      <c r="U31" s="4057" t="n"/>
      <c r="V31" s="4057" t="n"/>
      <c r="W31" s="4057" t="n"/>
      <c r="X31" s="4057" t="n"/>
      <c r="Y31" s="1320" t="n"/>
      <c r="Z31" s="1305" t="n"/>
      <c r="AA31" s="1321" t="n"/>
      <c r="AB31" s="5215" t="n"/>
      <c r="AC31" s="3892" t="n"/>
      <c r="AD31" s="3892" t="n"/>
      <c r="AE31" s="3788" t="n"/>
      <c r="AF31" s="3787" t="n"/>
      <c r="AG31" s="3788" t="n"/>
      <c r="AH31" s="3892" t="n"/>
      <c r="AI31" s="3788" t="n"/>
      <c r="AJ31">
        <f>CB31&amp;CC31&amp;CD31&amp;CE31&amp;CF31&amp;CG31&amp;CH31</f>
        <v/>
      </c>
      <c r="CB31" s="219">
        <f>IF(AND($D31&lt;&gt;0,AB31=""),"* No olvide ingresar la columna "&amp;AB$9&amp;""&amp;" (Digite CERO si no tiene).  ",IF(AB31&gt;$D31,"* El Número de Familias en Riesgo no puede superar el Total. ",""))</f>
        <v/>
      </c>
      <c r="CC31" s="219">
        <f>IF(AND($D31&lt;&gt;0,AC31=""),"* No olvide ingresar la variable "&amp;AC$9&amp;""&amp;" (Digite CERO si no tiene).  ",IF(AC31&gt;$D31,"* La variable Pueblos Originarios no puede superar el Total. ",""))</f>
        <v/>
      </c>
      <c r="CD31" s="219">
        <f>IF(AND($D31&lt;&gt;0,AD31=""),"* No olvide ingresar la variable "&amp;AD$9&amp;""&amp;" (Digite CERO si no tiene).  ",IF(AD31&gt;$D31,"* La variable Migrantes no puede superar el Total. ",""))</f>
        <v/>
      </c>
      <c r="CE31" s="219">
        <f>IF(AND($D31&lt;&gt;0,AE31=""),"* No olvide ingresar la variable "&amp;AE$9&amp;""&amp;" (Digite CERO si no tiene).  ",IF(AE31&gt;$D31,"* La variable Espacios Amigables/ Adolescentes no puede superar el Total. ",""))</f>
        <v/>
      </c>
      <c r="CF31" s="219">
        <f>IF(AND(D31&gt;0,OR(AF31="",AG31="",))," * No olvide digitar la variable TRANS Masculino/Femenino (Digite CERO si no tiene). ",IF(AF31+AG31&gt;$D31,"* La suma de TRANS Masculino + Femenino no puede superar el Total. ",""))</f>
        <v/>
      </c>
      <c r="CG31" s="219">
        <f>IF(AND(D31&gt;0,AH31=""),"* No olvide digitar la variable "&amp;AH$9&amp;"(Digite CERO si no tiene). ",IF(AH31&gt;$D31,"* La variable "&amp;AH$9&amp;" no puede superar el Total. ",""))</f>
        <v/>
      </c>
      <c r="CH31" s="219">
        <f>IF(AND(D31&gt;0,AI31=""),"* No olvide digitar la variable "&amp;AI$9&amp;" (Digite CERO si no tiene). ",IF(AI31&gt;$D31,"* La variable "&amp;AI$9&amp;" no puede superar el Total. ",""))</f>
        <v/>
      </c>
      <c r="CK31" s="227" t="n"/>
      <c r="CL31" s="221">
        <f>IF(AND($D31&lt;&gt;0,AB31=""),1,IF(AB31&gt;$D31,1,0))</f>
        <v/>
      </c>
      <c r="CM31" s="221">
        <f>IF(AND($D31&lt;&gt;0,AC31=""),1,IF(AC31&gt;$D31,1,0))</f>
        <v/>
      </c>
      <c r="CN31" s="221">
        <f>IF(AND($D31&lt;&gt;0,AD31=""),1,IF(AD31&gt;$D31,1,0))</f>
        <v/>
      </c>
      <c r="CO31" s="221">
        <f>IF(AND($D31&lt;&gt;0,AE31=""),1,IF(AE31&gt;$D31,1,0))</f>
        <v/>
      </c>
      <c r="CP31" s="221">
        <f>IF(AND(D31&gt;0,OR(AF31="",AG31="",)),1,IF(AF31+AG31&gt;$D31,1,0))</f>
        <v/>
      </c>
      <c r="CQ31" s="378">
        <f>IF(AND(D31&gt;0,AI31=""),1,IF(AI31&gt;$D31,1,0))</f>
        <v/>
      </c>
      <c r="CR31" s="378">
        <f>IF(AND(D31&gt;0,AI31=""),1,IF(AI31&gt;$D31,1,0))</f>
        <v/>
      </c>
    </row>
    <row r="32" ht="15" customFormat="1" customHeight="1" s="17">
      <c r="A32" s="9588" t="n"/>
      <c r="B32" s="9589" t="n"/>
      <c r="C32" s="1232" t="inlineStr">
        <is>
          <t>Otros</t>
        </is>
      </c>
      <c r="D32" s="3598">
        <f>SUM(E32:I32)</f>
        <v/>
      </c>
      <c r="E32" s="2644" t="n"/>
      <c r="F32" s="155" t="n"/>
      <c r="G32" s="155" t="n"/>
      <c r="H32" s="155" t="n"/>
      <c r="I32" s="1192" t="n"/>
      <c r="J32" s="4053" t="n"/>
      <c r="K32" s="4043" t="n"/>
      <c r="L32" s="4043" t="n"/>
      <c r="M32" s="4044" t="n"/>
      <c r="N32" s="4044" t="n"/>
      <c r="O32" s="4044" t="n"/>
      <c r="P32" s="4044" t="n"/>
      <c r="Q32" s="4044" t="n"/>
      <c r="R32" s="4044" t="n"/>
      <c r="S32" s="4044" t="n"/>
      <c r="T32" s="4044" t="n"/>
      <c r="U32" s="4044" t="n"/>
      <c r="V32" s="4044" t="n"/>
      <c r="W32" s="4044" t="n"/>
      <c r="X32" s="4044" t="n"/>
      <c r="Y32" s="4045" t="n"/>
      <c r="Z32" s="4043" t="n"/>
      <c r="AA32" s="4055" t="n"/>
      <c r="AB32" s="5249" t="n"/>
      <c r="AC32" s="1223" t="n"/>
      <c r="AD32" s="1223" t="n"/>
      <c r="AE32" s="1192" t="n"/>
      <c r="AF32" s="3808" t="n"/>
      <c r="AG32" s="1192" t="n"/>
      <c r="AH32" s="1223" t="n"/>
      <c r="AI32" s="1192" t="n"/>
      <c r="AJ32">
        <f>CB32&amp;CC32&amp;CD32&amp;CE32&amp;CF32&amp;CG32&amp;CH32</f>
        <v/>
      </c>
      <c r="CB32" s="219">
        <f>IF(AND($D32&lt;&gt;0,AB32=""),"* No olvide ingresar la columna "&amp;AB$9&amp;""&amp;" (Digite CERO si no tiene).  ",IF(AB32&gt;$D32,"* El Número de Familias en Riesgo no puede superar el Total. ",""))</f>
        <v/>
      </c>
      <c r="CC32" s="219">
        <f>IF(AND($D32&lt;&gt;0,AC32=""),"* No olvide ingresar la variable "&amp;AC$9&amp;""&amp;" (Digite CERO si no tiene).  ",IF(AC32&gt;$D32,"* La variable Pueblos Originarios no puede superar el Total. ",""))</f>
        <v/>
      </c>
      <c r="CD32" s="219">
        <f>IF(AND($D32&lt;&gt;0,AD32=""),"* No olvide ingresar la variable "&amp;AD$9&amp;""&amp;" (Digite CERO si no tiene).  ",IF(AD32&gt;$D32,"* La variable Migrantes no puede superar el Total. ",""))</f>
        <v/>
      </c>
      <c r="CE32" s="219">
        <f>IF(AND($D32&lt;&gt;0,AE32=""),"* No olvide ingresar la variable "&amp;AE$9&amp;""&amp;" (Digite CERO si no tiene).  ",IF(AE32&gt;$D32,"* La variable Espacios Amigables/ Adolescentes no puede superar el Total. ",""))</f>
        <v/>
      </c>
      <c r="CF32" s="219">
        <f>IF(AND(D32&gt;0,OR(AF32="",AG32="",))," * No olvide digitar la variable TRANS Masculino/Femenino (Digite CERO si no tiene). ",IF(AF32+AG32&gt;$D32,"* La suma de TRANS Masculino + Femenino no puede superar el Total. ",""))</f>
        <v/>
      </c>
      <c r="CG32" s="219">
        <f>IF(AND(D32&gt;0,AH32=""),"* No olvide digitar la variable "&amp;AH$9&amp;"(Digite CERO si no tiene). ",IF(AH32&gt;$D32,"* La variable "&amp;AH$9&amp;" no puede superar el Total. ",""))</f>
        <v/>
      </c>
      <c r="CH32" s="219">
        <f>IF(AND(D32&gt;0,AI32=""),"* No olvide digitar la variable "&amp;AI$9&amp;" (Digite CERO si no tiene). ",IF(AI32&gt;$D32,"* La variable "&amp;AI$9&amp;" no puede superar el Total. ",""))</f>
        <v/>
      </c>
      <c r="CK32" s="227" t="n"/>
      <c r="CL32" s="221">
        <f>IF(AND($D32&lt;&gt;0,AB32=""),1,IF(AB32&gt;$D32,1,0))</f>
        <v/>
      </c>
      <c r="CM32" s="221">
        <f>IF(AND($D32&lt;&gt;0,AC32=""),1,IF(AC32&gt;$D32,1,0))</f>
        <v/>
      </c>
      <c r="CN32" s="221">
        <f>IF(AND($D32&lt;&gt;0,AD32=""),1,IF(AD32&gt;$D32,1,0))</f>
        <v/>
      </c>
      <c r="CO32" s="221">
        <f>IF(AND($D32&lt;&gt;0,AE32=""),1,IF(AE32&gt;$D32,1,0))</f>
        <v/>
      </c>
      <c r="CP32" s="221">
        <f>IF(AND(D32&gt;0,OR(AF32="",AG32="",)),1,IF(AF32+AG32&gt;$D32,1,0))</f>
        <v/>
      </c>
      <c r="CQ32" s="378">
        <f>IF(AND(D32&gt;0,AI32=""),1,IF(AI32&gt;$D32,1,0))</f>
        <v/>
      </c>
      <c r="CR32" s="378">
        <f>IF(AND(D32&gt;0,AI32=""),1,IF(AI32&gt;$D32,1,0))</f>
        <v/>
      </c>
    </row>
    <row r="33" ht="15" customFormat="1" customHeight="1" s="17">
      <c r="A33" s="9588" t="n"/>
      <c r="B33" s="10542" t="inlineStr">
        <is>
          <t>Apoyo madre a madre</t>
        </is>
      </c>
      <c r="C33" s="9582" t="n"/>
      <c r="D33" s="3772">
        <f>SUM(E33:X33)</f>
        <v/>
      </c>
      <c r="E33" s="3773" t="n"/>
      <c r="F33" s="3901" t="n"/>
      <c r="G33" s="3901" t="n"/>
      <c r="H33" s="3901" t="n"/>
      <c r="I33" s="3774" t="n"/>
      <c r="J33" s="3775" t="n"/>
      <c r="K33" s="3901" t="n"/>
      <c r="L33" s="3901" t="n"/>
      <c r="M33" s="3776" t="n"/>
      <c r="N33" s="3776" t="n"/>
      <c r="O33" s="3776" t="n"/>
      <c r="P33" s="3776" t="n"/>
      <c r="Q33" s="3776" t="n"/>
      <c r="R33" s="3776" t="n"/>
      <c r="S33" s="3776" t="n"/>
      <c r="T33" s="3776" t="n"/>
      <c r="U33" s="3776" t="n"/>
      <c r="V33" s="3776" t="n"/>
      <c r="W33" s="3776" t="n"/>
      <c r="X33" s="3776" t="n"/>
      <c r="Y33" s="3902" t="n"/>
      <c r="Z33" s="3901" t="n"/>
      <c r="AA33" s="3778" t="n"/>
      <c r="AB33" s="5457" t="n"/>
      <c r="AC33" s="5422" t="n"/>
      <c r="AD33" s="5422" t="n"/>
      <c r="AE33" s="5419" t="n"/>
      <c r="AF33" s="3773" t="n"/>
      <c r="AG33" s="3774" t="n"/>
      <c r="AH33" s="4577" t="n"/>
      <c r="AI33" s="5187" t="n"/>
      <c r="AJ33">
        <f>CB33&amp;CC33&amp;CD33&amp;CE33&amp;CF33&amp;CG33&amp;CH33</f>
        <v/>
      </c>
      <c r="CB33" s="219">
        <f>IF(AND($D33&lt;&gt;0,AB33=""),"* No olvide ingresar la columna "&amp;AB$9&amp;""&amp;" (Digite CERO si no tiene).  ",IF(AB33&gt;$D33,"* El Número de Familias en Riesgo no puede superar el Total. ",""))</f>
        <v/>
      </c>
      <c r="CC33" s="219">
        <f>IF(AND($D33&lt;&gt;0,AC33=""),"* No olvide ingresar la variable "&amp;AC$9&amp;""&amp;" (Digite CERO si no tiene).  ",IF(AC33&gt;$D33,"* La variable Pueblos Originarios no puede superar el Total. ",""))</f>
        <v/>
      </c>
      <c r="CD33" s="219">
        <f>IF(AND($D33&lt;&gt;0,AD33=""),"* No olvide ingresar la variable "&amp;AD$9&amp;""&amp;" (Digite CERO si no tiene).  ",IF(AD33&gt;$D33,"* La variable Migrantes no puede superar el Total. ",""))</f>
        <v/>
      </c>
      <c r="CE33" s="219">
        <f>IF(AND($D33&lt;&gt;0,AE33=""),"* No olvide ingresar la variable "&amp;AE$9&amp;""&amp;" (Digite CERO si no tiene).  ",IF(AE33&gt;$D33,"* La variable Espacios Amigables/ Adolescentes no puede superar el Total. ",""))</f>
        <v/>
      </c>
      <c r="CF33" s="219">
        <f>IF(AND(D33&gt;0,OR(AF33="",AG33="",))," * No olvide digitar la variable TRANS Masculino/Femenino (Digite CERO si no tiene). ",IF(AF33+AG33&gt;$D33,"* La suma de TRANS Masculino + Femenino no puede superar el Total. ",""))</f>
        <v/>
      </c>
      <c r="CG33" s="219">
        <f>IF(AND(D33&gt;0,AH33=""),"* No olvide digitar la variable "&amp;AH$9&amp;"(Digite CERO si no tiene). ",IF(AH33&gt;$D33,"* La variable "&amp;AH$9&amp;" no puede superar el Total. ",""))</f>
        <v/>
      </c>
      <c r="CH33" s="219">
        <f>IF(AND(D33&gt;0,AI33=""),"* No olvide digitar la variable "&amp;AI$9&amp;" (Digite CERO si no tiene). ",IF(AI33&gt;$D33,"* La variable "&amp;AI$9&amp;" no puede superar el Total. ",""))</f>
        <v/>
      </c>
      <c r="CK33" s="227" t="n"/>
      <c r="CL33" s="221">
        <f>IF(AND($D33&lt;&gt;0,AB33=""),1,IF(AB33&gt;$D33,1,0))</f>
        <v/>
      </c>
      <c r="CM33" s="221">
        <f>IF(AND($D33&lt;&gt;0,AC33=""),1,IF(AC33&gt;$D33,1,0))</f>
        <v/>
      </c>
      <c r="CN33" s="221">
        <f>IF(AND($D33&lt;&gt;0,AD33=""),1,IF(AD33&gt;$D33,1,0))</f>
        <v/>
      </c>
      <c r="CO33" s="221">
        <f>IF(AND($D33&lt;&gt;0,AE33=""),1,IF(AE33&gt;$D33,1,0))</f>
        <v/>
      </c>
      <c r="CP33" s="221">
        <f>IF(AND(D33&gt;0,OR(AF33="",AG33="",)),1,IF(AF33+AG33&gt;$D33,1,0))</f>
        <v/>
      </c>
      <c r="CQ33" s="378">
        <f>IF(AND(D33&gt;0,AI33=""),1,IF(AI33&gt;$D33,1,0))</f>
        <v/>
      </c>
      <c r="CR33" s="378">
        <f>IF(AND(D33&gt;0,AI33=""),1,IF(AI33&gt;$D33,1,0))</f>
        <v/>
      </c>
    </row>
    <row r="34" ht="15" customFormat="1" customHeight="1" s="17">
      <c r="A34" s="9588" t="n"/>
      <c r="B34" s="8369" t="inlineStr">
        <is>
          <t>Prevención de salud mental</t>
        </is>
      </c>
      <c r="C34" s="9234" t="inlineStr">
        <is>
          <t>Prevención suicidio</t>
        </is>
      </c>
      <c r="D34" s="1946">
        <f>SUM(E34:X34)</f>
        <v/>
      </c>
      <c r="E34" s="1935" t="n"/>
      <c r="F34" s="793" t="n"/>
      <c r="G34" s="793" t="n"/>
      <c r="H34" s="793" t="n"/>
      <c r="I34" s="3805" t="n"/>
      <c r="J34" s="1432" t="n"/>
      <c r="K34" s="793" t="n"/>
      <c r="L34" s="793" t="n"/>
      <c r="M34" s="2261" t="n"/>
      <c r="N34" s="2261" t="n"/>
      <c r="O34" s="2261" t="n"/>
      <c r="P34" s="2261" t="n"/>
      <c r="Q34" s="2261" t="n"/>
      <c r="R34" s="2261" t="n"/>
      <c r="S34" s="2261" t="n"/>
      <c r="T34" s="2261" t="n"/>
      <c r="U34" s="2261" t="n"/>
      <c r="V34" s="2261" t="n"/>
      <c r="W34" s="2261" t="n"/>
      <c r="X34" s="2261" t="n"/>
      <c r="Y34" s="1966" t="n"/>
      <c r="Z34" s="793" t="n"/>
      <c r="AA34" s="792" t="n"/>
      <c r="AB34" s="5214" t="n"/>
      <c r="AC34" s="1964" t="n"/>
      <c r="AD34" s="1964" t="n"/>
      <c r="AE34" s="1186" t="n"/>
      <c r="AF34" s="1935" t="n"/>
      <c r="AG34" s="3805" t="n"/>
      <c r="AH34" s="1964" t="n"/>
      <c r="AI34" s="1186" t="n"/>
      <c r="AJ34">
        <f>CB34&amp;CC34&amp;CD34&amp;CE34&amp;CF34&amp;CG34&amp;CH34</f>
        <v/>
      </c>
      <c r="CB34" s="219">
        <f>IF(AND($D34&lt;&gt;0,AB34=""),"* No olvide ingresar la columna "&amp;AB$9&amp;""&amp;" (Digite CERO si no tiene).  ",IF(AB34&gt;$D34,"* El Número de Familias en Riesgo no puede superar el Total. ",""))</f>
        <v/>
      </c>
      <c r="CC34" s="219">
        <f>IF(AND($D34&lt;&gt;0,AC34=""),"* No olvide ingresar la variable "&amp;AC$9&amp;""&amp;" (Digite CERO si no tiene).  ",IF(AC34&gt;$D34,"* La variable Pueblos Originarios no puede superar el Total. ",""))</f>
        <v/>
      </c>
      <c r="CD34" s="219">
        <f>IF(AND($D34&lt;&gt;0,AD34=""),"* No olvide ingresar la variable "&amp;AD$9&amp;""&amp;" (Digite CERO si no tiene).  ",IF(AD34&gt;$D34,"* La variable Migrantes no puede superar el Total. ",""))</f>
        <v/>
      </c>
      <c r="CE34" s="219">
        <f>IF(AND($D34&lt;&gt;0,AE34=""),"* No olvide ingresar la variable "&amp;AE$9&amp;""&amp;" (Digite CERO si no tiene).  ",IF(AE34&gt;$D34,"* La variable Espacios Amigables/ Adolescentes no puede superar el Total. ",""))</f>
        <v/>
      </c>
      <c r="CF34" s="219">
        <f>IF(AND(D34&gt;0,OR(AF34="",AG34="",))," * No olvide digitar la variable TRANS Masculino/Femenino (Digite CERO si no tiene). ",IF(AF34+AG34&gt;$D34,"* La suma de TRANS Masculino + Femenino no puede superar el Total. ",""))</f>
        <v/>
      </c>
      <c r="CG34" s="219">
        <f>IF(AND(D34&gt;0,AH34=""),"* No olvide digitar la variable "&amp;AH$9&amp;"(Digite CERO si no tiene). ",IF(AH34&gt;$D34,"* La variable "&amp;AH$9&amp;" no puede superar el Total. ",""))</f>
        <v/>
      </c>
      <c r="CH34" s="219">
        <f>IF(AND(D34&gt;0,AI34=""),"* No olvide digitar la variable "&amp;AI$9&amp;" (Digite CERO si no tiene). ",IF(AI34&gt;$D34,"* La variable "&amp;AI$9&amp;" no puede superar el Total. ",""))</f>
        <v/>
      </c>
      <c r="CK34" s="227" t="n"/>
      <c r="CL34" s="221">
        <f>IF(AND($D34&lt;&gt;0,AB34=""),1,IF(AB34&gt;$D34,1,0))</f>
        <v/>
      </c>
      <c r="CM34" s="221">
        <f>IF(AND($D34&lt;&gt;0,AC34=""),1,IF(AC34&gt;$D34,1,0))</f>
        <v/>
      </c>
      <c r="CN34" s="221">
        <f>IF(AND($D34&lt;&gt;0,AD34=""),1,IF(AD34&gt;$D34,1,0))</f>
        <v/>
      </c>
      <c r="CO34" s="221">
        <f>IF(AND($D34&lt;&gt;0,AE34=""),1,IF(AE34&gt;$D34,1,0))</f>
        <v/>
      </c>
      <c r="CP34" s="221">
        <f>IF(AND(D34&gt;0,OR(AF34="",AG34="",)),1,IF(AF34+AG34&gt;$D34,1,0))</f>
        <v/>
      </c>
      <c r="CQ34" s="378">
        <f>IF(AND(D34&gt;0,AI34=""),1,IF(AI34&gt;$D34,1,0))</f>
        <v/>
      </c>
      <c r="CR34" s="378">
        <f>IF(AND(D34&gt;0,AI34=""),1,IF(AI34&gt;$D34,1,0))</f>
        <v/>
      </c>
    </row>
    <row r="35" ht="15" customFormat="1" customHeight="1" s="17">
      <c r="A35" s="9588" t="n"/>
      <c r="B35" s="9621" t="n"/>
      <c r="C35" s="8771" t="inlineStr">
        <is>
          <t>Prevención trastorno mental</t>
        </is>
      </c>
      <c r="D35" s="3632">
        <f>SUM(E35:X35)</f>
        <v/>
      </c>
      <c r="E35" s="3787" t="n"/>
      <c r="F35" s="3891" t="n"/>
      <c r="G35" s="3891" t="n"/>
      <c r="H35" s="3891" t="n"/>
      <c r="I35" s="3788" t="n"/>
      <c r="J35" s="3789" t="n"/>
      <c r="K35" s="3891" t="n"/>
      <c r="L35" s="3891" t="n"/>
      <c r="M35" s="3790" t="n"/>
      <c r="N35" s="3790" t="n"/>
      <c r="O35" s="3790" t="n"/>
      <c r="P35" s="3790" t="n"/>
      <c r="Q35" s="3790" t="n"/>
      <c r="R35" s="3790" t="n"/>
      <c r="S35" s="3790" t="n"/>
      <c r="T35" s="3790" t="n"/>
      <c r="U35" s="3790" t="n"/>
      <c r="V35" s="3790" t="n"/>
      <c r="W35" s="3790" t="n"/>
      <c r="X35" s="3790" t="n"/>
      <c r="Y35" s="3893" t="n"/>
      <c r="Z35" s="3891" t="n"/>
      <c r="AA35" s="3793" t="n"/>
      <c r="AB35" s="5215" t="n"/>
      <c r="AC35" s="3892" t="n"/>
      <c r="AD35" s="3892" t="n"/>
      <c r="AE35" s="3788" t="n"/>
      <c r="AF35" s="3787" t="n"/>
      <c r="AG35" s="3788" t="n"/>
      <c r="AH35" s="3892" t="n"/>
      <c r="AI35" s="3788" t="n"/>
      <c r="AJ35">
        <f>CB35&amp;CC35&amp;CD35&amp;CE35&amp;CF35&amp;CG35&amp;CH35</f>
        <v/>
      </c>
      <c r="CB35" s="219">
        <f>IF(AND($D35&lt;&gt;0,AB35=""),"* No olvide ingresar la columna "&amp;AB$9&amp;""&amp;" (Digite CERO si no tiene).  ",IF(AB35&gt;$D35,"* El Número de Familias en Riesgo no puede superar el Total. ",""))</f>
        <v/>
      </c>
      <c r="CC35" s="219">
        <f>IF(AND($D35&lt;&gt;0,AC35=""),"* No olvide ingresar la variable "&amp;AC$9&amp;""&amp;" (Digite CERO si no tiene).  ",IF(AC35&gt;$D35,"* La variable Pueblos Originarios no puede superar el Total. ",""))</f>
        <v/>
      </c>
      <c r="CD35" s="219">
        <f>IF(AND($D35&lt;&gt;0,AD35=""),"* No olvide ingresar la variable "&amp;AD$9&amp;""&amp;" (Digite CERO si no tiene).  ",IF(AD35&gt;$D35,"* La variable Migrantes no puede superar el Total. ",""))</f>
        <v/>
      </c>
      <c r="CE35" s="219">
        <f>IF(AND($D35&lt;&gt;0,AE35=""),"* No olvide ingresar la variable "&amp;AE$9&amp;""&amp;" (Digite CERO si no tiene).  ",IF(AE35&gt;$D35,"* La variable Espacios Amigables/ Adolescentes no puede superar el Total. ",""))</f>
        <v/>
      </c>
      <c r="CF35" s="219">
        <f>IF(AND(D35&gt;0,OR(AF35="",AG35="",))," * No olvide digitar la variable TRANS Masculino/Femenino (Digite CERO si no tiene). ",IF(AF35+AG35&gt;$D35,"* La suma de TRANS Masculino + Femenino no puede superar el Total. ",""))</f>
        <v/>
      </c>
      <c r="CG35" s="219">
        <f>IF(AND(D35&gt;0,AH35=""),"* No olvide digitar la variable "&amp;AH$9&amp;"(Digite CERO si no tiene). ",IF(AH35&gt;$D35,"* La variable "&amp;AH$9&amp;" no puede superar el Total. ",""))</f>
        <v/>
      </c>
      <c r="CH35" s="219">
        <f>IF(AND(D35&gt;0,AI35=""),"* No olvide digitar la variable "&amp;AI$9&amp;" (Digite CERO si no tiene). ",IF(AI35&gt;$D35,"* La variable "&amp;AI$9&amp;" no puede superar el Total. ",""))</f>
        <v/>
      </c>
      <c r="CK35" s="227" t="n"/>
      <c r="CL35" s="221">
        <f>IF(AND($D35&lt;&gt;0,AB35=""),1,IF(AB35&gt;$D35,1,0))</f>
        <v/>
      </c>
      <c r="CM35" s="221">
        <f>IF(AND($D35&lt;&gt;0,AC35=""),1,IF(AC35&gt;$D35,1,0))</f>
        <v/>
      </c>
      <c r="CN35" s="221">
        <f>IF(AND($D35&lt;&gt;0,AD35=""),1,IF(AD35&gt;$D35,1,0))</f>
        <v/>
      </c>
      <c r="CO35" s="221">
        <f>IF(AND($D35&lt;&gt;0,AE35=""),1,IF(AE35&gt;$D35,1,0))</f>
        <v/>
      </c>
      <c r="CP35" s="221">
        <f>IF(AND(D35&gt;0,OR(AF35="",AG35="",)),1,IF(AF35+AG35&gt;$D35,1,0))</f>
        <v/>
      </c>
      <c r="CQ35" s="378">
        <f>IF(AND(D35&gt;0,AI35=""),1,IF(AI35&gt;$D35,1,0))</f>
        <v/>
      </c>
      <c r="CR35" s="378">
        <f>IF(AND(D35&gt;0,AI35=""),1,IF(AI35&gt;$D35,1,0))</f>
        <v/>
      </c>
    </row>
    <row r="36" ht="15" customFormat="1" customHeight="1" s="17">
      <c r="A36" s="9588" t="n"/>
      <c r="B36" s="4244" t="inlineStr">
        <is>
          <t>Prevención alcohol y drogas</t>
        </is>
      </c>
      <c r="C36" s="9643" t="n"/>
      <c r="D36" s="3632">
        <f>SUM(E36:X36)</f>
        <v/>
      </c>
      <c r="E36" s="3787" t="n"/>
      <c r="F36" s="3891" t="n"/>
      <c r="G36" s="3891" t="n"/>
      <c r="H36" s="3891" t="n"/>
      <c r="I36" s="3788" t="n"/>
      <c r="J36" s="3789" t="n"/>
      <c r="K36" s="3891" t="n"/>
      <c r="L36" s="3891" t="n"/>
      <c r="M36" s="3790" t="n"/>
      <c r="N36" s="3790" t="n"/>
      <c r="O36" s="3790" t="n"/>
      <c r="P36" s="3790" t="n"/>
      <c r="Q36" s="3790" t="n"/>
      <c r="R36" s="3790" t="n"/>
      <c r="S36" s="3790" t="n"/>
      <c r="T36" s="3790" t="n"/>
      <c r="U36" s="3790" t="n"/>
      <c r="V36" s="3790" t="n"/>
      <c r="W36" s="3790" t="n"/>
      <c r="X36" s="3790" t="n"/>
      <c r="Y36" s="3893" t="n"/>
      <c r="Z36" s="3891" t="n"/>
      <c r="AA36" s="3793" t="n"/>
      <c r="AB36" s="5215" t="n"/>
      <c r="AC36" s="3892" t="n"/>
      <c r="AD36" s="3892" t="n"/>
      <c r="AE36" s="3788" t="n"/>
      <c r="AF36" s="3787" t="n"/>
      <c r="AG36" s="3788" t="n"/>
      <c r="AH36" s="3892" t="n"/>
      <c r="AI36" s="3788" t="n"/>
      <c r="AJ36">
        <f>CB36&amp;CC36&amp;CD36&amp;CE36&amp;CF36&amp;CG36&amp;CH36</f>
        <v/>
      </c>
      <c r="CB36" s="219">
        <f>IF(AND($D36&lt;&gt;0,AB36=""),"* No olvide ingresar la columna "&amp;AB$9&amp;""&amp;" (Digite CERO si no tiene).  ",IF(AB36&gt;$D36,"* El Número de Familias en Riesgo no puede superar el Total. ",""))</f>
        <v/>
      </c>
      <c r="CC36" s="219">
        <f>IF(AND($D36&lt;&gt;0,AC36=""),"* No olvide ingresar la variable "&amp;AC$9&amp;""&amp;" (Digite CERO si no tiene).  ",IF(AC36&gt;$D36,"* La variable Pueblos Originarios no puede superar el Total. ",""))</f>
        <v/>
      </c>
      <c r="CD36" s="219">
        <f>IF(AND($D36&lt;&gt;0,AD36=""),"* No olvide ingresar la variable "&amp;AD$9&amp;""&amp;" (Digite CERO si no tiene).  ",IF(AD36&gt;$D36,"* La variable Migrantes no puede superar el Total. ",""))</f>
        <v/>
      </c>
      <c r="CE36" s="219">
        <f>IF(AND($D36&lt;&gt;0,AE36=""),"* No olvide ingresar la variable "&amp;AE$9&amp;""&amp;" (Digite CERO si no tiene).  ",IF(AE36&gt;$D36,"* La variable Espacios Amigables/ Adolescentes no puede superar el Total. ",""))</f>
        <v/>
      </c>
      <c r="CF36" s="219">
        <f>IF(AND(D36&gt;0,OR(AF36="",AG36="",))," * No olvide digitar la variable TRANS Masculino/Femenino (Digite CERO si no tiene). ",IF(AF36+AG36&gt;$D36,"* La suma de TRANS Masculino + Femenino no puede superar el Total. ",""))</f>
        <v/>
      </c>
      <c r="CG36" s="219">
        <f>IF(AND(D36&gt;0,AH36=""),"* No olvide digitar la variable "&amp;AH$9&amp;"(Digite CERO si no tiene). ",IF(AH36&gt;$D36,"* La variable "&amp;AH$9&amp;" no puede superar el Total. ",""))</f>
        <v/>
      </c>
      <c r="CH36" s="219">
        <f>IF(AND(D36&gt;0,AI36=""),"* No olvide digitar la variable "&amp;AI$9&amp;" (Digite CERO si no tiene). ",IF(AI36&gt;$D36,"* La variable "&amp;AI$9&amp;" no puede superar el Total. ",""))</f>
        <v/>
      </c>
      <c r="CK36" s="227" t="n"/>
      <c r="CL36" s="221">
        <f>IF(AND($D36&lt;&gt;0,AB36=""),1,IF(AB36&gt;$D36,1,0))</f>
        <v/>
      </c>
      <c r="CM36" s="221">
        <f>IF(AND($D36&lt;&gt;0,AC36=""),1,IF(AC36&gt;$D36,1,0))</f>
        <v/>
      </c>
      <c r="CN36" s="221">
        <f>IF(AND($D36&lt;&gt;0,AD36=""),1,IF(AD36&gt;$D36,1,0))</f>
        <v/>
      </c>
      <c r="CO36" s="221">
        <f>IF(AND($D36&lt;&gt;0,AE36=""),1,IF(AE36&gt;$D36,1,0))</f>
        <v/>
      </c>
      <c r="CP36" s="221">
        <f>IF(AND(D36&gt;0,OR(AF36="",AG36="",)),1,IF(AF36+AG36&gt;$D36,1,0))</f>
        <v/>
      </c>
      <c r="CQ36" s="378">
        <f>IF(AND(D36&gt;0,AI36=""),1,IF(AI36&gt;$D36,1,0))</f>
        <v/>
      </c>
      <c r="CR36" s="378">
        <f>IF(AND(D36&gt;0,AI36=""),1,IF(AI36&gt;$D36,1,0))</f>
        <v/>
      </c>
    </row>
    <row r="37" ht="15" customFormat="1" customHeight="1" s="17">
      <c r="A37" s="9588" t="n"/>
      <c r="B37" s="10538" t="inlineStr">
        <is>
          <t>Antitabáquica (excluye REM 23)</t>
        </is>
      </c>
      <c r="C37" s="9935" t="n"/>
      <c r="D37" s="3632">
        <f>SUM(E37:X37)</f>
        <v/>
      </c>
      <c r="E37" s="3787" t="n"/>
      <c r="F37" s="3891" t="n"/>
      <c r="G37" s="3891" t="n"/>
      <c r="H37" s="3891" t="n"/>
      <c r="I37" s="3788" t="n"/>
      <c r="J37" s="3789" t="n"/>
      <c r="K37" s="3891" t="n"/>
      <c r="L37" s="3891" t="n"/>
      <c r="M37" s="3790" t="n"/>
      <c r="N37" s="3790" t="n"/>
      <c r="O37" s="3790" t="n"/>
      <c r="P37" s="3790" t="n"/>
      <c r="Q37" s="3790" t="n"/>
      <c r="R37" s="3790" t="n"/>
      <c r="S37" s="3790" t="n"/>
      <c r="T37" s="3790" t="n"/>
      <c r="U37" s="3790" t="n"/>
      <c r="V37" s="3790" t="n"/>
      <c r="W37" s="3790" t="n"/>
      <c r="X37" s="3790" t="n"/>
      <c r="Y37" s="3893" t="n"/>
      <c r="Z37" s="3891" t="n"/>
      <c r="AA37" s="3793" t="n"/>
      <c r="AB37" s="5215" t="n"/>
      <c r="AC37" s="3892" t="n"/>
      <c r="AD37" s="3892" t="n"/>
      <c r="AE37" s="3788" t="n"/>
      <c r="AF37" s="3787" t="n"/>
      <c r="AG37" s="3788" t="n"/>
      <c r="AH37" s="3892" t="n"/>
      <c r="AI37" s="3788" t="n"/>
      <c r="AJ37">
        <f>CB37&amp;CC37&amp;CD37&amp;CE37&amp;CF37&amp;CG37&amp;CH37</f>
        <v/>
      </c>
      <c r="CB37" s="219">
        <f>IF(AND($D37&lt;&gt;0,AB37=""),"* No olvide ingresar la columna "&amp;AB$9&amp;""&amp;" (Digite CERO si no tiene).  ",IF(AB37&gt;$D37,"* El Número de Familias en Riesgo no puede superar el Total. ",""))</f>
        <v/>
      </c>
      <c r="CC37" s="219">
        <f>IF(AND($D37&lt;&gt;0,AC37=""),"* No olvide ingresar la variable "&amp;AC$9&amp;""&amp;" (Digite CERO si no tiene).  ",IF(AC37&gt;$D37,"* La variable Pueblos Originarios no puede superar el Total. ",""))</f>
        <v/>
      </c>
      <c r="CD37" s="219">
        <f>IF(AND($D37&lt;&gt;0,AD37=""),"* No olvide ingresar la variable "&amp;AD$9&amp;""&amp;" (Digite CERO si no tiene).  ",IF(AD37&gt;$D37,"* La variable Migrantes no puede superar el Total. ",""))</f>
        <v/>
      </c>
      <c r="CE37" s="219">
        <f>IF(AND($D37&lt;&gt;0,AE37=""),"* No olvide ingresar la variable "&amp;AE$9&amp;""&amp;" (Digite CERO si no tiene).  ",IF(AE37&gt;$D37,"* La variable Espacios Amigables/ Adolescentes no puede superar el Total. ",""))</f>
        <v/>
      </c>
      <c r="CF37" s="219">
        <f>IF(AND(D37&gt;0,OR(AF37="",AG37="",))," * No olvide digitar la variable TRANS Masculino/Femenino (Digite CERO si no tiene). ",IF(AF37+AG37&gt;$D37,"* La suma de TRANS Masculino + Femenino no puede superar el Total. ",""))</f>
        <v/>
      </c>
      <c r="CG37" s="219">
        <f>IF(AND(D37&gt;0,AH37=""),"* No olvide digitar la variable "&amp;AH$9&amp;"(Digite CERO si no tiene). ",IF(AH37&gt;$D37,"* La variable "&amp;AH$9&amp;" no puede superar el Total. ",""))</f>
        <v/>
      </c>
      <c r="CH37" s="219">
        <f>IF(AND(D37&gt;0,AI37=""),"* No olvide digitar la variable "&amp;AI$9&amp;" (Digite CERO si no tiene). ",IF(AI37&gt;$D37,"* La variable "&amp;AI$9&amp;" no puede superar el Total. ",""))</f>
        <v/>
      </c>
      <c r="CK37" s="227" t="n"/>
      <c r="CL37" s="221">
        <f>IF(AND($D37&lt;&gt;0,AB37=""),1,IF(AB37&gt;$D37,1,0))</f>
        <v/>
      </c>
      <c r="CM37" s="221">
        <f>IF(AND($D37&lt;&gt;0,AC37=""),1,IF(AC37&gt;$D37,1,0))</f>
        <v/>
      </c>
      <c r="CN37" s="221">
        <f>IF(AND($D37&lt;&gt;0,AD37=""),1,IF(AD37&gt;$D37,1,0))</f>
        <v/>
      </c>
      <c r="CO37" s="221">
        <f>IF(AND($D37&lt;&gt;0,AE37=""),1,IF(AE37&gt;$D37,1,0))</f>
        <v/>
      </c>
      <c r="CP37" s="221">
        <f>IF(AND(D37&gt;0,OR(AF37="",AG37="",)),1,IF(AF37+AG37&gt;$D37,1,0))</f>
        <v/>
      </c>
      <c r="CQ37" s="378">
        <f>IF(AND(D37&gt;0,AI37=""),1,IF(AI37&gt;$D37,1,0))</f>
        <v/>
      </c>
      <c r="CR37" s="378">
        <f>IF(AND(D37&gt;0,AI37=""),1,IF(AI37&gt;$D37,1,0))</f>
        <v/>
      </c>
    </row>
    <row r="38" ht="15" customFormat="1" customHeight="1" s="17">
      <c r="A38" s="9588" t="n"/>
      <c r="B38" s="3877" t="inlineStr">
        <is>
          <t>Prevención de la transmisión vertical de VIH-Sífilis</t>
        </is>
      </c>
      <c r="C38" s="9644" t="n"/>
      <c r="D38" s="637">
        <f>SUM(J38:S38)</f>
        <v/>
      </c>
      <c r="E38" s="4058" t="n"/>
      <c r="F38" s="4052" t="n"/>
      <c r="G38" s="4052" t="n"/>
      <c r="H38" s="4052" t="n"/>
      <c r="I38" s="3980" t="n"/>
      <c r="J38" s="3789" t="n"/>
      <c r="K38" s="3891" t="n"/>
      <c r="L38" s="3891" t="n"/>
      <c r="M38" s="3790" t="n"/>
      <c r="N38" s="3790" t="n"/>
      <c r="O38" s="3790" t="n"/>
      <c r="P38" s="3790" t="n"/>
      <c r="Q38" s="3790" t="n"/>
      <c r="R38" s="3790" t="n"/>
      <c r="S38" s="3790" t="n"/>
      <c r="T38" s="4057" t="n"/>
      <c r="U38" s="4057" t="n"/>
      <c r="V38" s="4057" t="n"/>
      <c r="W38" s="4057" t="n"/>
      <c r="X38" s="4057" t="n"/>
      <c r="Y38" s="3893" t="n"/>
      <c r="Z38" s="3891" t="n"/>
      <c r="AA38" s="3793" t="n"/>
      <c r="AB38" s="5215" t="n"/>
      <c r="AC38" s="3892" t="n"/>
      <c r="AD38" s="3892" t="n"/>
      <c r="AE38" s="3788" t="n"/>
      <c r="AF38" s="3787" t="n"/>
      <c r="AG38" s="3788" t="n"/>
      <c r="AH38" s="3892" t="n"/>
      <c r="AI38" s="3788" t="n"/>
      <c r="AJ38">
        <f>CB38&amp;CC38&amp;CD38&amp;CE38&amp;CF38&amp;CG38&amp;CH38</f>
        <v/>
      </c>
      <c r="CB38" s="219">
        <f>IF(AND($D38&lt;&gt;0,AB38=""),"* No olvide ingresar la columna "&amp;AB$9&amp;""&amp;" (Digite CERO si no tiene).  ",IF(AB38&gt;$D38,"* El Número de Familias en Riesgo no puede superar el Total. ",""))</f>
        <v/>
      </c>
      <c r="CC38" s="219">
        <f>IF(AND($D38&lt;&gt;0,AC38=""),"* No olvide ingresar la variable "&amp;AC$9&amp;""&amp;" (Digite CERO si no tiene).  ",IF(AC38&gt;$D38,"* La variable Pueblos Originarios no puede superar el Total. ",""))</f>
        <v/>
      </c>
      <c r="CD38" s="219">
        <f>IF(AND($D38&lt;&gt;0,AD38=""),"* No olvide ingresar la variable "&amp;AD$9&amp;""&amp;" (Digite CERO si no tiene).  ",IF(AD38&gt;$D38,"* La variable Migrantes no puede superar el Total. ",""))</f>
        <v/>
      </c>
      <c r="CE38" s="219">
        <f>IF(AND($D38&lt;&gt;0,AE38=""),"* No olvide ingresar la variable "&amp;AE$9&amp;""&amp;" (Digite CERO si no tiene).  ",IF(AE38&gt;$D38,"* La variable Espacios Amigables/ Adolescentes no puede superar el Total. ",""))</f>
        <v/>
      </c>
      <c r="CF38" s="219">
        <f>IF(AND(D38&gt;0,OR(AF38="",AG38="",))," * No olvide digitar la variable TRANS Masculino/Femenino (Digite CERO si no tiene). ",IF(AF38+AG38&gt;$D38,"* La suma de TRANS Masculino + Femenino no puede superar el Total. ",""))</f>
        <v/>
      </c>
      <c r="CG38" s="219">
        <f>IF(AND(D38&gt;0,AH38=""),"* No olvide digitar la variable "&amp;AH$9&amp;"(Digite CERO si no tiene). ",IF(AH38&gt;$D38,"* La variable "&amp;AH$9&amp;" no puede superar el Total. ",""))</f>
        <v/>
      </c>
      <c r="CH38" s="219">
        <f>IF(AND(D38&gt;0,AI38=""),"* No olvide digitar la variable "&amp;AI$9&amp;" (Digite CERO si no tiene). ",IF(AI38&gt;$D38,"* La variable "&amp;AI$9&amp;" no puede superar el Total. ",""))</f>
        <v/>
      </c>
      <c r="CK38" s="227" t="n"/>
      <c r="CL38" s="221">
        <f>IF(AND($D38&lt;&gt;0,AB38=""),1,IF(AB38&gt;$D38,1,0))</f>
        <v/>
      </c>
      <c r="CM38" s="221">
        <f>IF(AND($D38&lt;&gt;0,AC38=""),1,IF(AC38&gt;$D38,1,0))</f>
        <v/>
      </c>
      <c r="CN38" s="221">
        <f>IF(AND($D38&lt;&gt;0,AD38=""),1,IF(AD38&gt;$D38,1,0))</f>
        <v/>
      </c>
      <c r="CO38" s="221">
        <f>IF(AND($D38&lt;&gt;0,AE38=""),1,IF(AE38&gt;$D38,1,0))</f>
        <v/>
      </c>
      <c r="CP38" s="221">
        <f>IF(AND(D38&gt;0,OR(AF38="",AG38="",)),1,IF(AF38+AG38&gt;$D38,1,0))</f>
        <v/>
      </c>
      <c r="CQ38" s="378">
        <f>IF(AND(D38&gt;0,AI38=""),1,IF(AI38&gt;$D38,1,0))</f>
        <v/>
      </c>
      <c r="CR38" s="378">
        <f>IF(AND(D38&gt;0,AI38=""),1,IF(AI38&gt;$D38,1,0))</f>
        <v/>
      </c>
    </row>
    <row r="39" ht="15" customFormat="1" customHeight="1" s="17">
      <c r="A39" s="9588" t="n"/>
      <c r="B39" s="10539" t="inlineStr">
        <is>
          <t>Otras áreas temáticas</t>
        </is>
      </c>
      <c r="C39" s="9646" t="n"/>
      <c r="D39" s="1308">
        <f>SUM(E39:X39)</f>
        <v/>
      </c>
      <c r="E39" s="1179" t="n"/>
      <c r="F39" s="1228" t="n"/>
      <c r="G39" s="1228" t="n"/>
      <c r="H39" s="1228" t="n"/>
      <c r="I39" s="1180" t="n"/>
      <c r="J39" s="1181" t="n"/>
      <c r="K39" s="1228" t="n"/>
      <c r="L39" s="1228" t="n"/>
      <c r="M39" s="1182" t="n"/>
      <c r="N39" s="1182" t="n"/>
      <c r="O39" s="1182" t="n"/>
      <c r="P39" s="1182" t="n"/>
      <c r="Q39" s="1182" t="n"/>
      <c r="R39" s="1182" t="n"/>
      <c r="S39" s="1182" t="n"/>
      <c r="T39" s="1182" t="n"/>
      <c r="U39" s="1182" t="n"/>
      <c r="V39" s="1182" t="n"/>
      <c r="W39" s="1182" t="n"/>
      <c r="X39" s="1182" t="n"/>
      <c r="Y39" s="1230" t="n"/>
      <c r="Z39" s="1228" t="n"/>
      <c r="AA39" s="1185" t="n"/>
      <c r="AB39" s="5248" t="n"/>
      <c r="AC39" s="1229" t="n"/>
      <c r="AD39" s="1229" t="n"/>
      <c r="AE39" s="1180" t="n"/>
      <c r="AF39" s="1179" t="n"/>
      <c r="AG39" s="1180" t="n"/>
      <c r="AH39" s="1229" t="n"/>
      <c r="AI39" s="1180" t="n"/>
      <c r="AJ39">
        <f>CB39&amp;CC39&amp;CD39&amp;CE39&amp;CF39&amp;CG39&amp;CH39</f>
        <v/>
      </c>
      <c r="CB39" s="219">
        <f>IF(AND($D39&lt;&gt;0,AB39=""),"* No olvide ingresar la columna "&amp;AB$9&amp;""&amp;" (Digite CERO si no tiene).  ",IF(AB39&gt;$D39,"* El Número de Familias en Riesgo no puede superar el Total. ",""))</f>
        <v/>
      </c>
      <c r="CC39" s="219">
        <f>IF(AND($D39&lt;&gt;0,AC39=""),"* No olvide ingresar la variable "&amp;AC$9&amp;""&amp;" (Digite CERO si no tiene).  ",IF(AC39&gt;$D39,"* La variable Pueblos Originarios no puede superar el Total. ",""))</f>
        <v/>
      </c>
      <c r="CD39" s="219">
        <f>IF(AND($D39&lt;&gt;0,AD39=""),"* No olvide ingresar la variable "&amp;AD$9&amp;""&amp;" (Digite CERO si no tiene).  ",IF(AD39&gt;$D39,"* La variable Migrantes no puede superar el Total. ",""))</f>
        <v/>
      </c>
      <c r="CE39" s="219">
        <f>IF(AND($D39&lt;&gt;0,AE39=""),"* No olvide ingresar la variable "&amp;AE$9&amp;""&amp;" (Digite CERO si no tiene).  ",IF(AE39&gt;$D39,"* La variable Espacios Amigables/ Adolescentes no puede superar el Total. ",""))</f>
        <v/>
      </c>
      <c r="CF39" s="219">
        <f>IF(AND(D39&gt;0,OR(AF39="",AG39="",))," * No olvide digitar la variable TRANS Masculino/Femenino (Digite CERO si no tiene). ",IF(AF39+AG39&gt;$D39,"* La suma de TRANS Masculino + Femenino no puede superar el Total. ",""))</f>
        <v/>
      </c>
      <c r="CG39" s="219">
        <f>IF(AND(D39&gt;0,AH39=""),"* No olvide digitar la variable "&amp;AH$9&amp;"(Digite CERO si no tiene). ",IF(AH39&gt;$D39,"* La variable "&amp;AH$9&amp;" no puede superar el Total. ",""))</f>
        <v/>
      </c>
      <c r="CH39" s="219">
        <f>IF(AND(D39&gt;0,AI39=""),"* No olvide digitar la variable "&amp;AI$9&amp;" (Digite CERO si no tiene). ",IF(AI39&gt;$D39,"* La variable "&amp;AI$9&amp;" no puede superar el Total. ",""))</f>
        <v/>
      </c>
      <c r="CK39" s="227" t="n"/>
      <c r="CL39" s="221">
        <f>IF(AND($D39&lt;&gt;0,AB39=""),1,IF(AB39&gt;$D39,1,0))</f>
        <v/>
      </c>
      <c r="CM39" s="221">
        <f>IF(AND($D39&lt;&gt;0,AC39=""),1,IF(AC39&gt;$D39,1,0))</f>
        <v/>
      </c>
      <c r="CN39" s="221">
        <f>IF(AND($D39&lt;&gt;0,AD39=""),1,IF(AD39&gt;$D39,1,0))</f>
        <v/>
      </c>
      <c r="CO39" s="221">
        <f>IF(AND($D39&lt;&gt;0,AE39=""),1,IF(AE39&gt;$D39,1,0))</f>
        <v/>
      </c>
      <c r="CP39" s="221">
        <f>IF(AND(D39&gt;0,OR(AF39="",AG39="",)),1,IF(AF39+AG39&gt;$D39,1,0))</f>
        <v/>
      </c>
      <c r="CQ39" s="378">
        <f>IF(AND(D39&gt;0,AI39=""),1,IF(AI39&gt;$D39,1,0))</f>
        <v/>
      </c>
      <c r="CR39" s="378">
        <f>IF(AND(D39&gt;0,AI39=""),1,IF(AI39&gt;$D39,1,0))</f>
        <v/>
      </c>
    </row>
    <row r="40" ht="15" customFormat="1" customHeight="1" s="17">
      <c r="A40" s="9588" t="n"/>
      <c r="B40" s="10543" t="inlineStr">
        <is>
          <t>Educación especial en adulto mayor</t>
        </is>
      </c>
      <c r="C40" s="4059" t="inlineStr">
        <is>
          <t>Estimulación de memoria</t>
        </is>
      </c>
      <c r="D40" s="3595">
        <f>SUM(U40:X40)</f>
        <v/>
      </c>
      <c r="E40" s="4040" t="n"/>
      <c r="F40" s="842" t="n"/>
      <c r="G40" s="842" t="n"/>
      <c r="H40" s="842" t="n"/>
      <c r="I40" s="3930" t="n"/>
      <c r="J40" s="3929" t="n"/>
      <c r="K40" s="842" t="n"/>
      <c r="L40" s="842" t="n"/>
      <c r="M40" s="842" t="n"/>
      <c r="N40" s="842" t="n"/>
      <c r="O40" s="842" t="n"/>
      <c r="P40" s="842" t="n"/>
      <c r="Q40" s="842" t="n"/>
      <c r="R40" s="842" t="n"/>
      <c r="S40" s="842" t="n"/>
      <c r="T40" s="842" t="n"/>
      <c r="U40" s="2581" t="n"/>
      <c r="V40" s="2581" t="n"/>
      <c r="W40" s="2581" t="n"/>
      <c r="X40" s="2581" t="n"/>
      <c r="Y40" s="4060" t="n"/>
      <c r="Z40" s="842" t="n"/>
      <c r="AA40" s="2416" t="n"/>
      <c r="AB40" s="5215" t="n"/>
      <c r="AC40" s="3892" t="n"/>
      <c r="AD40" s="3892" t="n"/>
      <c r="AE40" s="3788" t="n"/>
      <c r="AF40" s="3787" t="n"/>
      <c r="AG40" s="3788" t="n"/>
      <c r="AH40" s="3892" t="n"/>
      <c r="AI40" s="3788" t="n"/>
      <c r="AJ40">
        <f>CB40&amp;CC40&amp;CD40&amp;CE40&amp;CF40&amp;CG40&amp;CH40</f>
        <v/>
      </c>
      <c r="CB40" s="219">
        <f>IF(AND($D40&lt;&gt;0,AB40=""),"* No olvide ingresar la columna "&amp;AB$9&amp;""&amp;" (Digite CERO si no tiene).  ",IF(AB40&gt;$D40,"* El Número de Familias en Riesgo no puede superar el Total. ",""))</f>
        <v/>
      </c>
      <c r="CC40" s="219">
        <f>IF(AND($D40&lt;&gt;0,AC40=""),"* No olvide ingresar la variable "&amp;AC$9&amp;""&amp;" (Digite CERO si no tiene).  ",IF(AC40&gt;$D40,"* La variable Pueblos Originarios no puede superar el Total. ",""))</f>
        <v/>
      </c>
      <c r="CD40" s="219">
        <f>IF(AND($D40&lt;&gt;0,AD40=""),"* No olvide ingresar la variable "&amp;AD$9&amp;""&amp;" (Digite CERO si no tiene).  ",IF(AD40&gt;$D40,"* La variable Migrantes no puede superar el Total. ",""))</f>
        <v/>
      </c>
      <c r="CE40" s="219">
        <f>IF(AND($D40&lt;&gt;0,AE40=""),"* No olvide ingresar la variable "&amp;AE$9&amp;""&amp;" (Digite CERO si no tiene).  ",IF(AE40&gt;$D40,"* La variable Espacios Amigables/ Adolescentes no puede superar el Total. ",""))</f>
        <v/>
      </c>
      <c r="CF40" s="219">
        <f>IF(AND(D40&gt;0,OR(AF40="",AG40="",))," * No olvide digitar la variable TRANS Masculino/Femenino (Digite CERO si no tiene). ",IF(AF40+AG40&gt;$D40,"* La suma de TRANS Masculino + Femenino no puede superar el Total. ",""))</f>
        <v/>
      </c>
      <c r="CG40" s="219">
        <f>IF(AND(D40&gt;0,AH40=""),"* No olvide digitar la variable "&amp;AH$9&amp;"(Digite CERO si no tiene). ",IF(AH40&gt;$D40,"* La variable "&amp;AH$9&amp;" no puede superar el Total. ",""))</f>
        <v/>
      </c>
      <c r="CH40" s="219">
        <f>IF(AND(D40&gt;0,AI40=""),"* No olvide digitar la variable "&amp;AI$9&amp;" (Digite CERO si no tiene). ",IF(AI40&gt;$D40,"* La variable "&amp;AI$9&amp;" no puede superar el Total. ",""))</f>
        <v/>
      </c>
      <c r="CK40" s="227" t="n"/>
      <c r="CL40" s="221">
        <f>IF(AND($D40&lt;&gt;0,AB40=""),1,IF(AB40&gt;$D40,1,0))</f>
        <v/>
      </c>
      <c r="CM40" s="221">
        <f>IF(AND($D40&lt;&gt;0,AC40=""),1,IF(AC40&gt;$D40,1,0))</f>
        <v/>
      </c>
      <c r="CN40" s="221">
        <f>IF(AND($D40&lt;&gt;0,AD40=""),1,IF(AD40&gt;$D40,1,0))</f>
        <v/>
      </c>
      <c r="CO40" s="221">
        <f>IF(AND($D40&lt;&gt;0,AE40=""),1,IF(AE40&gt;$D40,1,0))</f>
        <v/>
      </c>
      <c r="CP40" s="221">
        <f>IF(AND(D40&gt;0,OR(AF40="",AG40="",)),1,IF(AF40+AG40&gt;$D40,1,0))</f>
        <v/>
      </c>
      <c r="CQ40" s="378">
        <f>IF(AND(D40&gt;0,AI40=""),1,IF(AI40&gt;$D40,1,0))</f>
        <v/>
      </c>
      <c r="CR40" s="378">
        <f>IF(AND(D40&gt;0,AI40=""),1,IF(AI40&gt;$D40,1,0))</f>
        <v/>
      </c>
    </row>
    <row r="41" ht="15" customFormat="1" customHeight="1" s="17">
      <c r="A41" s="9588" t="n"/>
      <c r="B41" s="9588" t="n"/>
      <c r="C41" s="4061" t="inlineStr">
        <is>
          <t>Prevención de caídas</t>
        </is>
      </c>
      <c r="D41" s="3632">
        <f>SUM(U41:X41)</f>
        <v/>
      </c>
      <c r="E41" s="4058" t="n"/>
      <c r="F41" s="4052" t="n"/>
      <c r="G41" s="4052" t="n"/>
      <c r="H41" s="4052" t="n"/>
      <c r="I41" s="3980" t="n"/>
      <c r="J41" s="4051" t="n"/>
      <c r="K41" s="4052" t="n"/>
      <c r="L41" s="4052" t="n"/>
      <c r="M41" s="4052" t="n"/>
      <c r="N41" s="4052" t="n"/>
      <c r="O41" s="4052" t="n"/>
      <c r="P41" s="4052" t="n"/>
      <c r="Q41" s="4052" t="n"/>
      <c r="R41" s="4052" t="n"/>
      <c r="S41" s="4052" t="n"/>
      <c r="T41" s="4052" t="n"/>
      <c r="U41" s="3790" t="n"/>
      <c r="V41" s="3790" t="n"/>
      <c r="W41" s="3790" t="n"/>
      <c r="X41" s="3790" t="n"/>
      <c r="Y41" s="3919" t="n"/>
      <c r="Z41" s="4052" t="n"/>
      <c r="AA41" s="4062" t="n"/>
      <c r="AB41" s="5215" t="n"/>
      <c r="AC41" s="3892" t="n"/>
      <c r="AD41" s="3892" t="n"/>
      <c r="AE41" s="3788" t="n"/>
      <c r="AF41" s="3787" t="n"/>
      <c r="AG41" s="3788" t="n"/>
      <c r="AH41" s="3892" t="n"/>
      <c r="AI41" s="3788" t="n"/>
      <c r="AJ41">
        <f>CB41&amp;CC41&amp;CD41&amp;CE41&amp;CF41&amp;CG41&amp;CH41</f>
        <v/>
      </c>
      <c r="CB41" s="219">
        <f>IF(AND($D41&lt;&gt;0,AB41=""),"* No olvide ingresar la columna "&amp;AB$9&amp;""&amp;" (Digite CERO si no tiene).  ",IF(AB41&gt;$D41,"* El Número de Familias en Riesgo no puede superar el Total. ",""))</f>
        <v/>
      </c>
      <c r="CC41" s="219">
        <f>IF(AND($D41&lt;&gt;0,AC41=""),"* No olvide ingresar la variable "&amp;AC$9&amp;""&amp;" (Digite CERO si no tiene).  ",IF(AC41&gt;$D41,"* La variable Pueblos Originarios no puede superar el Total. ",""))</f>
        <v/>
      </c>
      <c r="CD41" s="219">
        <f>IF(AND($D41&lt;&gt;0,AD41=""),"* No olvide ingresar la variable "&amp;AD$9&amp;""&amp;" (Digite CERO si no tiene).  ",IF(AD41&gt;$D41,"* La variable Migrantes no puede superar el Total. ",""))</f>
        <v/>
      </c>
      <c r="CE41" s="219">
        <f>IF(AND($D41&lt;&gt;0,AE41=""),"* No olvide ingresar la variable "&amp;AE$9&amp;""&amp;" (Digite CERO si no tiene).  ",IF(AE41&gt;$D41,"* La variable Espacios Amigables/ Adolescentes no puede superar el Total. ",""))</f>
        <v/>
      </c>
      <c r="CF41" s="219">
        <f>IF(AND(D41&gt;0,OR(AF41="",AG41="",))," * No olvide digitar la variable TRANS Masculino/Femenino (Digite CERO si no tiene). ",IF(AF41+AG41&gt;$D41,"* La suma de TRANS Masculino + Femenino no puede superar el Total. ",""))</f>
        <v/>
      </c>
      <c r="CG41" s="219">
        <f>IF(AND(D41&gt;0,AH41=""),"* No olvide digitar la variable "&amp;AH$9&amp;"(Digite CERO si no tiene). ",IF(AH41&gt;$D41,"* La variable "&amp;AH$9&amp;" no puede superar el Total. ",""))</f>
        <v/>
      </c>
      <c r="CH41" s="219">
        <f>IF(AND(D41&gt;0,AI41=""),"* No olvide digitar la variable "&amp;AI$9&amp;" (Digite CERO si no tiene). ",IF(AI41&gt;$D41,"* La variable "&amp;AI$9&amp;" no puede superar el Total. ",""))</f>
        <v/>
      </c>
      <c r="CK41" s="227" t="n"/>
      <c r="CL41" s="221">
        <f>IF(AND($D41&lt;&gt;0,AB41=""),1,IF(AB41&gt;$D41,1,0))</f>
        <v/>
      </c>
      <c r="CM41" s="221">
        <f>IF(AND($D41&lt;&gt;0,AC41=""),1,IF(AC41&gt;$D41,1,0))</f>
        <v/>
      </c>
      <c r="CN41" s="221">
        <f>IF(AND($D41&lt;&gt;0,AD41=""),1,IF(AD41&gt;$D41,1,0))</f>
        <v/>
      </c>
      <c r="CO41" s="221">
        <f>IF(AND($D41&lt;&gt;0,AE41=""),1,IF(AE41&gt;$D41,1,0))</f>
        <v/>
      </c>
      <c r="CP41" s="221">
        <f>IF(AND(D41&gt;0,OR(AF41="",AG41="",)),1,IF(AF41+AG41&gt;$D41,1,0))</f>
        <v/>
      </c>
      <c r="CQ41" s="378">
        <f>IF(AND(D41&gt;0,AI41=""),1,IF(AI41&gt;$D41,1,0))</f>
        <v/>
      </c>
      <c r="CR41" s="378">
        <f>IF(AND(D41&gt;0,AI41=""),1,IF(AI41&gt;$D41,1,0))</f>
        <v/>
      </c>
    </row>
    <row r="42" ht="15" customFormat="1" customHeight="1" s="17">
      <c r="A42" s="9588" t="n"/>
      <c r="B42" s="9588" t="n"/>
      <c r="C42" s="4063" t="inlineStr">
        <is>
          <t>Estimulación de actividad física</t>
        </is>
      </c>
      <c r="D42" s="3632">
        <f>SUM(U42:X42)</f>
        <v/>
      </c>
      <c r="E42" s="4058" t="n"/>
      <c r="F42" s="4052" t="n"/>
      <c r="G42" s="4052" t="n"/>
      <c r="H42" s="4052" t="n"/>
      <c r="I42" s="3980" t="n"/>
      <c r="J42" s="4051" t="n"/>
      <c r="K42" s="4052" t="n"/>
      <c r="L42" s="4052" t="n"/>
      <c r="M42" s="4052" t="n"/>
      <c r="N42" s="4052" t="n"/>
      <c r="O42" s="4052" t="n"/>
      <c r="P42" s="4052" t="n"/>
      <c r="Q42" s="4052" t="n"/>
      <c r="R42" s="4052" t="n"/>
      <c r="S42" s="4052" t="n"/>
      <c r="T42" s="4052" t="n"/>
      <c r="U42" s="3790" t="n"/>
      <c r="V42" s="3790" t="n"/>
      <c r="W42" s="3790" t="n"/>
      <c r="X42" s="3790" t="n"/>
      <c r="Y42" s="3919" t="n"/>
      <c r="Z42" s="4052" t="n"/>
      <c r="AA42" s="4062" t="n"/>
      <c r="AB42" s="5215" t="n"/>
      <c r="AC42" s="3892" t="n"/>
      <c r="AD42" s="3892" t="n"/>
      <c r="AE42" s="3788" t="n"/>
      <c r="AF42" s="3787" t="n"/>
      <c r="AG42" s="3788" t="n"/>
      <c r="AH42" s="3892" t="n"/>
      <c r="AI42" s="3788" t="n"/>
      <c r="AJ42">
        <f>CB42&amp;CC42&amp;CD42&amp;CE42&amp;CF42&amp;CG42&amp;CH42</f>
        <v/>
      </c>
      <c r="CB42" s="219">
        <f>IF(AND($D42&lt;&gt;0,AB42=""),"* No olvide ingresar la columna "&amp;AB$9&amp;""&amp;" (Digite CERO si no tiene).  ",IF(AB42&gt;$D42,"* El Número de Familias en Riesgo no puede superar el Total. ",""))</f>
        <v/>
      </c>
      <c r="CC42" s="219">
        <f>IF(AND($D42&lt;&gt;0,AC42=""),"* No olvide ingresar la variable "&amp;AC$9&amp;""&amp;" (Digite CERO si no tiene).  ",IF(AC42&gt;$D42,"* La variable Pueblos Originarios no puede superar el Total. ",""))</f>
        <v/>
      </c>
      <c r="CD42" s="219">
        <f>IF(AND($D42&lt;&gt;0,AD42=""),"* No olvide ingresar la variable "&amp;AD$9&amp;""&amp;" (Digite CERO si no tiene).  ",IF(AD42&gt;$D42,"* La variable Migrantes no puede superar el Total. ",""))</f>
        <v/>
      </c>
      <c r="CE42" s="219">
        <f>IF(AND($D42&lt;&gt;0,AE42=""),"* No olvide ingresar la variable "&amp;AE$9&amp;""&amp;" (Digite CERO si no tiene).  ",IF(AE42&gt;$D42,"* La variable Espacios Amigables/ Adolescentes no puede superar el Total. ",""))</f>
        <v/>
      </c>
      <c r="CF42" s="219">
        <f>IF(AND(D42&gt;0,OR(AF42="",AG42="",))," * No olvide digitar la variable TRANS Masculino/Femenino (Digite CERO si no tiene). ",IF(AF42+AG42&gt;$D42,"* La suma de TRANS Masculino + Femenino no puede superar el Total. ",""))</f>
        <v/>
      </c>
      <c r="CG42" s="219">
        <f>IF(AND(D42&gt;0,AH42=""),"* No olvide digitar la variable "&amp;AH$9&amp;"(Digite CERO si no tiene). ",IF(AH42&gt;$D42,"* La variable "&amp;AH$9&amp;" no puede superar el Total. ",""))</f>
        <v/>
      </c>
      <c r="CH42" s="219">
        <f>IF(AND(D42&gt;0,AI42=""),"* No olvide digitar la variable "&amp;AI$9&amp;" (Digite CERO si no tiene). ",IF(AI42&gt;$D42,"* La variable "&amp;AI$9&amp;" no puede superar el Total. ",""))</f>
        <v/>
      </c>
      <c r="CK42" s="227" t="n"/>
      <c r="CL42" s="221">
        <f>IF(AND($D42&lt;&gt;0,AB42=""),1,IF(AB42&gt;$D42,1,0))</f>
        <v/>
      </c>
      <c r="CM42" s="221">
        <f>IF(AND($D42&lt;&gt;0,AC42=""),1,IF(AC42&gt;$D42,1,0))</f>
        <v/>
      </c>
      <c r="CN42" s="221">
        <f>IF(AND($D42&lt;&gt;0,AD42=""),1,IF(AD42&gt;$D42,1,0))</f>
        <v/>
      </c>
      <c r="CO42" s="221">
        <f>IF(AND($D42&lt;&gt;0,AE42=""),1,IF(AE42&gt;$D42,1,0))</f>
        <v/>
      </c>
      <c r="CP42" s="221">
        <f>IF(AND(D42&gt;0,OR(AF42="",AG42="",)),1,IF(AF42+AG42&gt;$D42,1,0))</f>
        <v/>
      </c>
      <c r="CQ42" s="378">
        <f>IF(AND(D42&gt;0,AI42=""),1,IF(AI42&gt;$D42,1,0))</f>
        <v/>
      </c>
      <c r="CR42" s="378">
        <f>IF(AND(D42&gt;0,AI42=""),1,IF(AI42&gt;$D42,1,0))</f>
        <v/>
      </c>
    </row>
    <row r="43" ht="15" customFormat="1" customHeight="1" s="17">
      <c r="A43" s="9588" t="n"/>
      <c r="B43" s="9588" t="n"/>
      <c r="C43" s="4064" t="inlineStr">
        <is>
          <t>Auto cuidado</t>
        </is>
      </c>
      <c r="D43" s="3632">
        <f>SUM(U43:X43)</f>
        <v/>
      </c>
      <c r="E43" s="4058" t="n"/>
      <c r="F43" s="4052" t="n"/>
      <c r="G43" s="4052" t="n"/>
      <c r="H43" s="4052" t="n"/>
      <c r="I43" s="3980" t="n"/>
      <c r="J43" s="4051" t="n"/>
      <c r="K43" s="4052" t="n"/>
      <c r="L43" s="4052" t="n"/>
      <c r="M43" s="4057" t="n"/>
      <c r="N43" s="4057" t="n"/>
      <c r="O43" s="4057" t="n"/>
      <c r="P43" s="4057" t="n"/>
      <c r="Q43" s="4057" t="n"/>
      <c r="R43" s="4057" t="n"/>
      <c r="S43" s="4057" t="n"/>
      <c r="T43" s="4057" t="n"/>
      <c r="U43" s="3790" t="n"/>
      <c r="V43" s="3790" t="n"/>
      <c r="W43" s="3790" t="n"/>
      <c r="X43" s="3790" t="n"/>
      <c r="Y43" s="3919" t="n"/>
      <c r="Z43" s="4052" t="n"/>
      <c r="AA43" s="4062" t="n"/>
      <c r="AB43" s="5215" t="n"/>
      <c r="AC43" s="3892" t="n"/>
      <c r="AD43" s="3892" t="n"/>
      <c r="AE43" s="3788" t="n"/>
      <c r="AF43" s="3787" t="n"/>
      <c r="AG43" s="3788" t="n"/>
      <c r="AH43" s="3892" t="n"/>
      <c r="AI43" s="3788" t="n"/>
      <c r="AJ43">
        <f>CB43&amp;CC43&amp;CD43&amp;CE43&amp;CF43&amp;CG43&amp;CH43</f>
        <v/>
      </c>
      <c r="CB43" s="219">
        <f>IF(AND($D43&lt;&gt;0,AB43=""),"* No olvide ingresar la columna "&amp;AB$9&amp;""&amp;" (Digite CERO si no tiene).  ",IF(AB43&gt;$D43,"* El Número de Familias en Riesgo no puede superar el Total. ",""))</f>
        <v/>
      </c>
      <c r="CC43" s="219">
        <f>IF(AND($D43&lt;&gt;0,AC43=""),"* No olvide ingresar la variable "&amp;AC$9&amp;""&amp;" (Digite CERO si no tiene).  ",IF(AC43&gt;$D43,"* La variable Pueblos Originarios no puede superar el Total. ",""))</f>
        <v/>
      </c>
      <c r="CD43" s="219">
        <f>IF(AND($D43&lt;&gt;0,AD43=""),"* No olvide ingresar la variable "&amp;AD$9&amp;""&amp;" (Digite CERO si no tiene).  ",IF(AD43&gt;$D43,"* La variable Migrantes no puede superar el Total. ",""))</f>
        <v/>
      </c>
      <c r="CE43" s="219">
        <f>IF(AND($D43&lt;&gt;0,AE43=""),"* No olvide ingresar la variable "&amp;AE$9&amp;""&amp;" (Digite CERO si no tiene).  ",IF(AE43&gt;$D43,"* La variable Espacios Amigables/ Adolescentes no puede superar el Total. ",""))</f>
        <v/>
      </c>
      <c r="CF43" s="219">
        <f>IF(AND(D43&gt;0,OR(AF43="",AG43="",))," * No olvide digitar la variable TRANS Masculino/Femenino (Digite CERO si no tiene). ",IF(AF43+AG43&gt;$D43,"* La suma de TRANS Masculino + Femenino no puede superar el Total. ",""))</f>
        <v/>
      </c>
      <c r="CG43" s="219">
        <f>IF(AND(D43&gt;0,AH43=""),"* No olvide digitar la variable "&amp;AH$9&amp;"(Digite CERO si no tiene). ",IF(AH43&gt;$D43,"* La variable "&amp;AH$9&amp;" no puede superar el Total. ",""))</f>
        <v/>
      </c>
      <c r="CH43" s="219">
        <f>IF(AND(D43&gt;0,AI43=""),"* No olvide digitar la variable "&amp;AI$9&amp;" (Digite CERO si no tiene). ",IF(AI43&gt;$D43,"* La variable "&amp;AI$9&amp;" no puede superar el Total. ",""))</f>
        <v/>
      </c>
      <c r="CK43" s="227" t="n"/>
      <c r="CL43" s="221">
        <f>IF(AND($D43&lt;&gt;0,AB43=""),1,IF(AB43&gt;$D43,1,0))</f>
        <v/>
      </c>
      <c r="CM43" s="221">
        <f>IF(AND($D43&lt;&gt;0,AC43=""),1,IF(AC43&gt;$D43,1,0))</f>
        <v/>
      </c>
      <c r="CN43" s="221">
        <f>IF(AND($D43&lt;&gt;0,AD43=""),1,IF(AD43&gt;$D43,1,0))</f>
        <v/>
      </c>
      <c r="CO43" s="221">
        <f>IF(AND($D43&lt;&gt;0,AE43=""),1,IF(AE43&gt;$D43,1,0))</f>
        <v/>
      </c>
      <c r="CP43" s="221">
        <f>IF(AND(D43&gt;0,OR(AF43="",AG43="",)),1,IF(AF43+AG43&gt;$D43,1,0))</f>
        <v/>
      </c>
      <c r="CQ43" s="378">
        <f>IF(AND(D43&gt;0,AI43=""),1,IF(AI43&gt;$D43,1,0))</f>
        <v/>
      </c>
      <c r="CR43" s="378">
        <f>IF(AND(D43&gt;0,AI43=""),1,IF(AI43&gt;$D43,1,0))</f>
        <v/>
      </c>
    </row>
    <row r="44" ht="15" customFormat="1" customHeight="1" s="17">
      <c r="A44" s="9588" t="n"/>
      <c r="B44" s="10463" t="n"/>
      <c r="C44" s="456" t="inlineStr">
        <is>
          <t>Otras temáticas</t>
        </is>
      </c>
      <c r="D44" s="1308">
        <f>SUM(U44:X44)</f>
        <v/>
      </c>
      <c r="E44" s="652" t="n"/>
      <c r="F44" s="173" t="n"/>
      <c r="G44" s="173" t="n"/>
      <c r="H44" s="173" t="n"/>
      <c r="I44" s="2209" t="n"/>
      <c r="J44" s="205" t="n"/>
      <c r="K44" s="173" t="n"/>
      <c r="L44" s="173" t="n"/>
      <c r="M44" s="4039" t="n"/>
      <c r="N44" s="4039" t="n"/>
      <c r="O44" s="4039" t="n"/>
      <c r="P44" s="4039" t="n"/>
      <c r="Q44" s="4039" t="n"/>
      <c r="R44" s="4039" t="n"/>
      <c r="S44" s="4039" t="n"/>
      <c r="T44" s="4039" t="n"/>
      <c r="U44" s="3912" t="n"/>
      <c r="V44" s="3912" t="n"/>
      <c r="W44" s="3912" t="n"/>
      <c r="X44" s="3912" t="n"/>
      <c r="Y44" s="454" t="n"/>
      <c r="Z44" s="173" t="n"/>
      <c r="AA44" s="4050" t="n"/>
      <c r="AB44" s="5247" t="n"/>
      <c r="AC44" s="670" t="n"/>
      <c r="AD44" s="670" t="n"/>
      <c r="AE44" s="2057" t="n"/>
      <c r="AF44" s="645" t="n"/>
      <c r="AG44" s="2057" t="n"/>
      <c r="AH44" s="670" t="n"/>
      <c r="AI44" s="5188" t="n"/>
      <c r="AJ44">
        <f>CB44&amp;CC44&amp;CD44&amp;CE44&amp;CF44&amp;CG44&amp;CH44</f>
        <v/>
      </c>
      <c r="CB44" s="219">
        <f>IF(AND($D44&lt;&gt;0,AB44=""),"* No olvide ingresar la columna "&amp;AB$9&amp;""&amp;" (Digite CERO si no tiene).  ",IF(AB44&gt;$D44,"* El Número de Familias en Riesgo no puede superar el Total. ",""))</f>
        <v/>
      </c>
      <c r="CC44" s="219">
        <f>IF(AND($D44&lt;&gt;0,AC44=""),"* No olvide ingresar la variable "&amp;AC$9&amp;""&amp;" (Digite CERO si no tiene).  ",IF(AC44&gt;$D44,"* La variable Pueblos Originarios no puede superar el Total. ",""))</f>
        <v/>
      </c>
      <c r="CD44" s="219">
        <f>IF(AND($D44&lt;&gt;0,AD44=""),"* No olvide ingresar la variable "&amp;AD$9&amp;""&amp;" (Digite CERO si no tiene).  ",IF(AD44&gt;$D44,"* La variable Migrantes no puede superar el Total. ",""))</f>
        <v/>
      </c>
      <c r="CE44" s="219">
        <f>IF(AND($D44&lt;&gt;0,AE44=""),"* No olvide ingresar la variable "&amp;AE$9&amp;""&amp;" (Digite CERO si no tiene).  ",IF(AE44&gt;$D44,"* La variable Espacios Amigables/ Adolescentes no puede superar el Total. ",""))</f>
        <v/>
      </c>
      <c r="CF44" s="219">
        <f>IF(AND(D44&gt;0,OR(AF44="",AG44="",))," * No olvide digitar la variable TRANS Masculino/Femenino (Digite CERO si no tiene). ",IF(AF44+AG44&gt;$D44,"* La suma de TRANS Masculino + Femenino no puede superar el Total. ",""))</f>
        <v/>
      </c>
      <c r="CG44" s="219">
        <f>IF(AND(D44&gt;0,AH44=""),"* No olvide digitar la variable "&amp;AH$9&amp;"(Digite CERO si no tiene). ",IF(AH44&gt;$D44,"* La variable "&amp;AH$9&amp;" no puede superar el Total. ",""))</f>
        <v/>
      </c>
      <c r="CH44" s="219">
        <f>IF(AND(D44&gt;0,AI44=""),"* No olvide digitar la variable "&amp;AI$9&amp;" (Digite CERO si no tiene). ",IF(AI44&gt;$D44,"* La variable "&amp;AI$9&amp;" no puede superar el Total. ",""))</f>
        <v/>
      </c>
      <c r="CK44" s="227" t="n"/>
      <c r="CL44" s="221">
        <f>IF(AND($D44&lt;&gt;0,AB44=""),1,IF(AB44&gt;$D44,1,0))</f>
        <v/>
      </c>
      <c r="CM44" s="221">
        <f>IF(AND($D44&lt;&gt;0,AC44=""),1,IF(AC44&gt;$D44,1,0))</f>
        <v/>
      </c>
      <c r="CN44" s="221">
        <f>IF(AND($D44&lt;&gt;0,AD44=""),1,IF(AD44&gt;$D44,1,0))</f>
        <v/>
      </c>
      <c r="CO44" s="221">
        <f>IF(AND($D44&lt;&gt;0,AE44=""),1,IF(AE44&gt;$D44,1,0))</f>
        <v/>
      </c>
      <c r="CP44" s="221">
        <f>IF(AND(D44&gt;0,OR(AF44="",AG44="",)),1,IF(AF44+AG44&gt;$D44,1,0))</f>
        <v/>
      </c>
      <c r="CQ44" s="378">
        <f>IF(AND(D44&gt;0,AI44=""),1,IF(AI44&gt;$D44,1,0))</f>
        <v/>
      </c>
      <c r="CR44" s="378">
        <f>IF(AND(D44&gt;0,AI44=""),1,IF(AI44&gt;$D44,1,0))</f>
        <v/>
      </c>
    </row>
    <row r="45" ht="15" customFormat="1" customHeight="1" s="17">
      <c r="A45" s="9588" t="n"/>
      <c r="B45" s="10544" t="inlineStr">
        <is>
          <t>Uso racional de medicamentos</t>
        </is>
      </c>
      <c r="C45" s="9935" t="n"/>
      <c r="D45" s="3595">
        <f>SUM(E45:X45)</f>
        <v/>
      </c>
      <c r="E45" s="3502" t="n"/>
      <c r="F45" s="835" t="n"/>
      <c r="G45" s="835" t="n"/>
      <c r="H45" s="835" t="n"/>
      <c r="I45" s="3520" t="n"/>
      <c r="J45" s="3503" t="n"/>
      <c r="K45" s="835" t="n"/>
      <c r="L45" s="835" t="n"/>
      <c r="M45" s="2581" t="n"/>
      <c r="N45" s="2581" t="n"/>
      <c r="O45" s="2581" t="n"/>
      <c r="P45" s="2581" t="n"/>
      <c r="Q45" s="2581" t="n"/>
      <c r="R45" s="2581" t="n"/>
      <c r="S45" s="2581" t="n"/>
      <c r="T45" s="2581" t="n"/>
      <c r="U45" s="2581" t="n"/>
      <c r="V45" s="2581" t="n"/>
      <c r="W45" s="2581" t="n"/>
      <c r="X45" s="2581" t="n"/>
      <c r="Y45" s="4060" t="n"/>
      <c r="Z45" s="842" t="n"/>
      <c r="AA45" s="2416" t="n"/>
      <c r="AB45" s="5213" t="n"/>
      <c r="AC45" s="5189" t="n"/>
      <c r="AD45" s="5189" t="n"/>
      <c r="AE45" s="5185" t="n"/>
      <c r="AF45" s="3502" t="n"/>
      <c r="AG45" s="3520" t="n"/>
      <c r="AH45" s="5189" t="n"/>
      <c r="AI45" s="5185" t="n"/>
      <c r="AJ45">
        <f>CB45&amp;CC45&amp;CD45&amp;CE45&amp;CF45&amp;CG45&amp;CH45</f>
        <v/>
      </c>
      <c r="CB45" s="219">
        <f>IF(AND($D45&lt;&gt;0,AB45=""),"* No olvide ingresar la columna "&amp;AB$9&amp;""&amp;" (Digite CERO si no tiene).  ",IF(AB45&gt;$D45,"* El Número de Familias en Riesgo no puede superar el Total. ",""))</f>
        <v/>
      </c>
      <c r="CC45" s="219">
        <f>IF(AND($D45&lt;&gt;0,AC45=""),"* No olvide ingresar la variable "&amp;AC$9&amp;""&amp;" (Digite CERO si no tiene).  ",IF(AC45&gt;$D45,"* La variable Pueblos Originarios no puede superar el Total. ",""))</f>
        <v/>
      </c>
      <c r="CD45" s="219">
        <f>IF(AND($D45&lt;&gt;0,AD45=""),"* No olvide ingresar la variable "&amp;AD$9&amp;""&amp;" (Digite CERO si no tiene).  ",IF(AD45&gt;$D45,"* La variable Migrantes no puede superar el Total. ",""))</f>
        <v/>
      </c>
      <c r="CE45" s="219">
        <f>IF(AND($D45&lt;&gt;0,AE45=""),"* No olvide ingresar la variable "&amp;AE$9&amp;""&amp;" (Digite CERO si no tiene).  ",IF(AE45&gt;$D45,"* La variable Espacios Amigables/ Adolescentes no puede superar el Total. ",""))</f>
        <v/>
      </c>
      <c r="CF45" s="219">
        <f>IF(AND(D45&gt;0,OR(AF45="",AG45="",))," * No olvide digitar la variable TRANS Masculino/Femenino (Digite CERO si no tiene). ",IF(AF45+AG45&gt;$D45,"* La suma de TRANS Masculino + Femenino no puede superar el Total. ",""))</f>
        <v/>
      </c>
      <c r="CG45" s="219">
        <f>IF(AND(D45&gt;0,AH45=""),"* No olvide digitar la variable "&amp;AH$9&amp;"(Digite CERO si no tiene). ",IF(AH45&gt;$D45,"* La variable "&amp;AH$9&amp;" no puede superar el Total. ",""))</f>
        <v/>
      </c>
      <c r="CH45" s="219">
        <f>IF(AND(D45&gt;0,AI45=""),"* No olvide digitar la variable "&amp;AI$9&amp;" (Digite CERO si no tiene). ",IF(AI45&gt;$D45,"* La variable "&amp;AI$9&amp;" no puede superar el Total. ",""))</f>
        <v/>
      </c>
      <c r="CK45" s="227" t="n"/>
      <c r="CL45" s="221">
        <f>IF(AND($D45&lt;&gt;0,AB45=""),1,IF(AB45&gt;$D45,1,0))</f>
        <v/>
      </c>
      <c r="CM45" s="221">
        <f>IF(AND($D45&lt;&gt;0,AC45=""),1,IF(AC45&gt;$D45,1,0))</f>
        <v/>
      </c>
      <c r="CN45" s="221">
        <f>IF(AND($D45&lt;&gt;0,AD45=""),1,IF(AD45&gt;$D45,1,0))</f>
        <v/>
      </c>
      <c r="CO45" s="221">
        <f>IF(AND($D45&lt;&gt;0,AE45=""),1,IF(AE45&gt;$D45,1,0))</f>
        <v/>
      </c>
      <c r="CP45" s="221">
        <f>IF(AND(D45&gt;0,OR(AF45="",AG45="",)),1,IF(AF45+AG45&gt;$D45,1,0))</f>
        <v/>
      </c>
      <c r="CQ45" s="378">
        <f>IF(AND(D45&gt;0,AI45=""),1,IF(AI45&gt;$D45,1,0))</f>
        <v/>
      </c>
      <c r="CR45" s="378">
        <f>IF(AND(D45&gt;0,AI45=""),1,IF(AI45&gt;$D45,1,0))</f>
        <v/>
      </c>
    </row>
    <row r="46" ht="15" customFormat="1" customHeight="1" s="17">
      <c r="A46" s="9588" t="n"/>
      <c r="B46" s="10545" t="inlineStr">
        <is>
          <t>Resistencia antimicrobianos</t>
        </is>
      </c>
      <c r="C46" s="9776" t="n"/>
      <c r="D46" s="2669">
        <f>SUM(E46:X46)</f>
        <v/>
      </c>
      <c r="E46" s="2644" t="n"/>
      <c r="F46" s="155" t="n"/>
      <c r="G46" s="155" t="n"/>
      <c r="H46" s="155" t="n"/>
      <c r="I46" s="2645" t="n"/>
      <c r="J46" s="2652" t="n"/>
      <c r="K46" s="155" t="n"/>
      <c r="L46" s="155" t="n"/>
      <c r="M46" s="185" t="n"/>
      <c r="N46" s="185" t="n"/>
      <c r="O46" s="185" t="n"/>
      <c r="P46" s="185" t="n"/>
      <c r="Q46" s="185" t="n"/>
      <c r="R46" s="185" t="n"/>
      <c r="S46" s="185" t="n"/>
      <c r="T46" s="185" t="n"/>
      <c r="U46" s="185" t="n"/>
      <c r="V46" s="185" t="n"/>
      <c r="W46" s="185" t="n"/>
      <c r="X46" s="185" t="n"/>
      <c r="Y46" s="455" t="n"/>
      <c r="Z46" s="333" t="n"/>
      <c r="AA46" s="4055" t="n"/>
      <c r="AB46" s="5249" t="n"/>
      <c r="AC46" s="1223" t="n"/>
      <c r="AD46" s="1223" t="n"/>
      <c r="AE46" s="1192" t="n"/>
      <c r="AF46" s="3808" t="n"/>
      <c r="AG46" s="1192" t="n"/>
      <c r="AH46" s="1223" t="n"/>
      <c r="AI46" s="1192" t="n"/>
      <c r="AJ46">
        <f>CB46&amp;CC46&amp;CD46&amp;CE46&amp;CF46&amp;CG46&amp;CH46</f>
        <v/>
      </c>
      <c r="CB46" s="219">
        <f>IF(AND($D46&lt;&gt;0,AB46=""),"* No olvide ingresar la columna "&amp;AB$9&amp;""&amp;" (Digite CERO si no tiene).  ",IF(AB46&gt;$D46,"* El Número de Familias en Riesgo no puede superar el Total. ",""))</f>
        <v/>
      </c>
      <c r="CC46" s="219">
        <f>IF(AND($D46&lt;&gt;0,AC46=""),"* No olvide ingresar la variable "&amp;AC$9&amp;""&amp;" (Digite CERO si no tiene).  ",IF(AC46&gt;$D46,"* La variable Pueblos Originarios no puede superar el Total. ",""))</f>
        <v/>
      </c>
      <c r="CD46" s="219">
        <f>IF(AND($D46&lt;&gt;0,AD46=""),"* No olvide ingresar la variable "&amp;AD$9&amp;""&amp;" (Digite CERO si no tiene).  ",IF(AD46&gt;$D46,"* La variable Migrantes no puede superar el Total. ",""))</f>
        <v/>
      </c>
      <c r="CE46" s="219">
        <f>IF(AND($D46&lt;&gt;0,AE46=""),"* No olvide ingresar la variable "&amp;AE$9&amp;""&amp;" (Digite CERO si no tiene).  ",IF(AE46&gt;$D46,"* La variable Espacios Amigables/ Adolescentes no puede superar el Total. ",""))</f>
        <v/>
      </c>
      <c r="CF46" s="219">
        <f>IF(AND(D46&gt;0,OR(AF46="",AG46="",))," * No olvide digitar la variable TRANS Masculino/Femenino (Digite CERO si no tiene). ",IF(AF46+AG46&gt;$D46,"* La suma de TRANS Masculino + Femenino no puede superar el Total. ",""))</f>
        <v/>
      </c>
      <c r="CG46" s="219">
        <f>IF(AND(D46&gt;0,AH46=""),"* No olvide digitar la variable "&amp;AH$9&amp;"(Digite CERO si no tiene). ",IF(AH46&gt;$D46,"* La variable "&amp;AH$9&amp;" no puede superar el Total. ",""))</f>
        <v/>
      </c>
      <c r="CH46" s="219">
        <f>IF(AND(D46&gt;0,AI46=""),"* No olvide digitar la variable "&amp;AI$9&amp;" (Digite CERO si no tiene). ",IF(AI46&gt;$D46,"* La variable "&amp;AI$9&amp;" no puede superar el Total. ",""))</f>
        <v/>
      </c>
      <c r="CL46" s="221">
        <f>IF(AND($D46&lt;&gt;0,AB46=""),1,IF(AB46&gt;$D46,1,0))</f>
        <v/>
      </c>
      <c r="CM46" s="221">
        <f>IF(AND($D46&lt;&gt;0,AC46=""),1,IF(AC46&gt;$D46,1,0))</f>
        <v/>
      </c>
      <c r="CN46" s="221">
        <f>IF(AND($D46&lt;&gt;0,AD46=""),1,IF(AD46&gt;$D46,1,0))</f>
        <v/>
      </c>
      <c r="CO46" s="221">
        <f>IF(AND($D46&lt;&gt;0,AE46=""),1,IF(AE46&gt;$D46,1,0))</f>
        <v/>
      </c>
      <c r="CP46" s="221">
        <f>IF(AND(D46&gt;0,OR(AF46="",AG46="",)),1,IF(AF46+AG46&gt;$D46,1,0))</f>
        <v/>
      </c>
      <c r="CQ46" s="378">
        <f>IF(AND(D46&gt;0,AI46=""),1,IF(AI46&gt;$D46,1,0))</f>
        <v/>
      </c>
      <c r="CR46" s="378">
        <f>IF(AND(D46&gt;0,AI46=""),1,IF(AI46&gt;$D46,1,0))</f>
        <v/>
      </c>
    </row>
    <row r="47" ht="15" customFormat="1" customHeight="1" s="17">
      <c r="A47" s="9588" t="n"/>
      <c r="B47" s="10546" t="inlineStr">
        <is>
          <t xml:space="preserve">Capacitación a Cuidadores  PADDS </t>
        </is>
      </c>
      <c r="C47" s="4065" t="inlineStr">
        <is>
          <t>Autocuidado del Cuidador/a</t>
        </is>
      </c>
      <c r="D47" s="3632">
        <f>SUM(K47:X47)</f>
        <v/>
      </c>
      <c r="E47" s="4040" t="n"/>
      <c r="F47" s="842" t="n"/>
      <c r="G47" s="842" t="n"/>
      <c r="H47" s="842" t="n"/>
      <c r="I47" s="2415" t="n"/>
      <c r="J47" s="842" t="n"/>
      <c r="K47" s="3891" t="n"/>
      <c r="L47" s="3891" t="n"/>
      <c r="M47" s="3790" t="n"/>
      <c r="N47" s="3790" t="n"/>
      <c r="O47" s="3790" t="n"/>
      <c r="P47" s="3790" t="n"/>
      <c r="Q47" s="3790" t="n"/>
      <c r="R47" s="3790" t="n"/>
      <c r="S47" s="3790" t="n"/>
      <c r="T47" s="3790" t="n"/>
      <c r="U47" s="3790" t="n"/>
      <c r="V47" s="3790" t="n"/>
      <c r="W47" s="3790" t="n"/>
      <c r="X47" s="3790" t="n"/>
      <c r="Y47" s="4060" t="n"/>
      <c r="Z47" s="842" t="n"/>
      <c r="AA47" s="2416" t="n"/>
      <c r="AB47" s="5213" t="n"/>
      <c r="AC47" s="5189" t="n"/>
      <c r="AD47" s="5189" t="n"/>
      <c r="AE47" s="5185" t="n"/>
      <c r="AF47" s="3502" t="n"/>
      <c r="AG47" s="3520" t="n"/>
      <c r="AH47" s="5189" t="n"/>
      <c r="AI47" s="5185" t="n"/>
      <c r="AJ47">
        <f>CB47&amp;CC47&amp;CD47&amp;CE47&amp;CF47&amp;CG47&amp;CH47</f>
        <v/>
      </c>
      <c r="CB47" s="219">
        <f>IF(AND($D47&lt;&gt;0,AB47=""),"* No olvide ingresar la columna "&amp;AB$9&amp;""&amp;" (Digite CERO si no tiene).  ",IF(AB47&gt;$D47,"* El Número de Familias en Riesgo no puede superar el Total. ",""))</f>
        <v/>
      </c>
      <c r="CC47" s="219">
        <f>IF(AND($D47&lt;&gt;0,AC47=""),"* No olvide ingresar la variable "&amp;AC$9&amp;""&amp;" (Digite CERO si no tiene).  ",IF(AC47&gt;$D47,"* La variable Pueblos Originarios no puede superar el Total. ",""))</f>
        <v/>
      </c>
      <c r="CD47" s="219">
        <f>IF(AND($D47&lt;&gt;0,AD47=""),"* No olvide ingresar la variable "&amp;AD$9&amp;""&amp;" (Digite CERO si no tiene).  ",IF(AD47&gt;$D47,"* La variable Migrantes no puede superar el Total. ",""))</f>
        <v/>
      </c>
      <c r="CE47" s="219">
        <f>IF(AND($D47&lt;&gt;0,AE47=""),"* No olvide ingresar la variable "&amp;AE$9&amp;""&amp;" (Digite CERO si no tiene).  ",IF(AE47&gt;$D47,"* La variable Espacios Amigables/ Adolescentes no puede superar el Total. ",""))</f>
        <v/>
      </c>
      <c r="CF47" s="219">
        <f>IF(AND(D47&gt;0,OR(AF47="",AG47="",))," * No olvide digitar la variable TRANS Masculino/Femenino (Digite CERO si no tiene). ",IF(AF47+AG47&gt;$D47,"* La suma de TRANS Masculino + Femenino no puede superar el Total. ",""))</f>
        <v/>
      </c>
      <c r="CG47" s="219">
        <f>IF(AND(D47&gt;0,AH47=""),"* No olvide digitar la variable "&amp;AH$9&amp;"(Digite CERO si no tiene). ",IF(AH47&gt;$D47,"* La variable "&amp;AH$9&amp;" no puede superar el Total. ",""))</f>
        <v/>
      </c>
      <c r="CH47" s="219">
        <f>IF(AND(D47&gt;0,AI47=""),"* No olvide digitar la variable "&amp;AI$9&amp;" (Digite CERO si no tiene). ",IF(AI47&gt;$D47,"* La variable "&amp;AI$9&amp;" no puede superar el Total. ",""))</f>
        <v/>
      </c>
      <c r="CL47" s="221">
        <f>IF(AND($D47&lt;&gt;0,AB47=""),1,IF(AB47&gt;$D47,1,0))</f>
        <v/>
      </c>
      <c r="CM47" s="221">
        <f>IF(AND($D47&lt;&gt;0,AC47=""),1,IF(AC47&gt;$D47,1,0))</f>
        <v/>
      </c>
      <c r="CN47" s="221">
        <f>IF(AND($D47&lt;&gt;0,AD47=""),1,IF(AD47&gt;$D47,1,0))</f>
        <v/>
      </c>
      <c r="CO47" s="221">
        <f>IF(AND($D47&lt;&gt;0,AE47=""),1,IF(AE47&gt;$D47,1,0))</f>
        <v/>
      </c>
      <c r="CP47" s="221">
        <f>IF(AND(D47&gt;0,OR(AF47="",AG47="",)),1,IF(AF47+AG47&gt;$D47,1,0))</f>
        <v/>
      </c>
      <c r="CQ47" s="378">
        <f>IF(AND(D47&gt;0,AI47=""),1,IF(AI47&gt;$D47,1,0))</f>
        <v/>
      </c>
      <c r="CR47" s="378">
        <f>IF(AND(D47&gt;0,AI47=""),1,IF(AI47&gt;$D47,1,0))</f>
        <v/>
      </c>
    </row>
    <row r="48" ht="24" customFormat="1" customHeight="1" s="17">
      <c r="A48" s="9588" t="n"/>
      <c r="B48" s="642" t="n"/>
      <c r="C48" s="4066" t="inlineStr">
        <is>
          <t>Cuidados de la persona con Dependencia</t>
        </is>
      </c>
      <c r="D48" s="3632">
        <f>SUM(K48:X48)</f>
        <v/>
      </c>
      <c r="E48" s="4058" t="n"/>
      <c r="F48" s="4052" t="n"/>
      <c r="G48" s="4052" t="n"/>
      <c r="H48" s="4052" t="n"/>
      <c r="I48" s="3596" t="n"/>
      <c r="J48" s="4052" t="n"/>
      <c r="K48" s="3891" t="n"/>
      <c r="L48" s="3891" t="n"/>
      <c r="M48" s="3790" t="n"/>
      <c r="N48" s="3790" t="n"/>
      <c r="O48" s="3790" t="n"/>
      <c r="P48" s="3790" t="n"/>
      <c r="Q48" s="3790" t="n"/>
      <c r="R48" s="3790" t="n"/>
      <c r="S48" s="1182" t="n"/>
      <c r="T48" s="3790" t="n"/>
      <c r="U48" s="3790" t="n"/>
      <c r="V48" s="3790" t="n"/>
      <c r="W48" s="3790" t="n"/>
      <c r="X48" s="3790" t="n"/>
      <c r="Y48" s="3919" t="n"/>
      <c r="Z48" s="4052" t="n"/>
      <c r="AA48" s="4062" t="n"/>
      <c r="AB48" s="5215" t="n"/>
      <c r="AC48" s="3892" t="n"/>
      <c r="AD48" s="3892" t="n"/>
      <c r="AE48" s="3788" t="n"/>
      <c r="AF48" s="3787" t="n"/>
      <c r="AG48" s="3788" t="n"/>
      <c r="AH48" s="3892" t="n"/>
      <c r="AI48" s="3788" t="n"/>
      <c r="AJ48">
        <f>CB48&amp;CC48&amp;CD48&amp;CE48&amp;CF48&amp;CG48&amp;CH48</f>
        <v/>
      </c>
      <c r="CB48" s="219">
        <f>IF(AND($D48&lt;&gt;0,AB48=""),"* No olvide ingresar la columna "&amp;AB$9&amp;""&amp;" (Digite CERO si no tiene).  ",IF(AB48&gt;$D48,"* El Número de Familias en Riesgo no puede superar el Total. ",""))</f>
        <v/>
      </c>
      <c r="CC48" s="219">
        <f>IF(AND($D48&lt;&gt;0,AC48=""),"* No olvide ingresar la variable "&amp;AC$9&amp;""&amp;" (Digite CERO si no tiene).  ",IF(AC48&gt;$D48,"* La variable Pueblos Originarios no puede superar el Total. ",""))</f>
        <v/>
      </c>
      <c r="CD48" s="219">
        <f>IF(AND($D48&lt;&gt;0,AD48=""),"* No olvide ingresar la variable "&amp;AD$9&amp;""&amp;" (Digite CERO si no tiene).  ",IF(AD48&gt;$D48,"* La variable Migrantes no puede superar el Total. ",""))</f>
        <v/>
      </c>
      <c r="CE48" s="219">
        <f>IF(AND($D48&lt;&gt;0,AE48=""),"* No olvide ingresar la variable "&amp;AE$9&amp;""&amp;" (Digite CERO si no tiene).  ",IF(AE48&gt;$D48,"* La variable Espacios Amigables/ Adolescentes no puede superar el Total. ",""))</f>
        <v/>
      </c>
      <c r="CF48" s="219">
        <f>IF(AND(D48&gt;0,OR(AF48="",AG48="",))," * No olvide digitar la variable TRANS Masculino/Femenino (Digite CERO si no tiene). ",IF(AF48+AG48&gt;$D48,"* La suma de TRANS Masculino + Femenino no puede superar el Total. ",""))</f>
        <v/>
      </c>
      <c r="CG48" s="219">
        <f>IF(AND(D48&gt;0,AH48=""),"* No olvide digitar la variable "&amp;AH$9&amp;"(Digite CERO si no tiene). ",IF(AH48&gt;$D48,"* La variable "&amp;AH$9&amp;" no puede superar el Total. ",""))</f>
        <v/>
      </c>
      <c r="CH48" s="219">
        <f>IF(AND(D48&gt;0,AI48=""),"* No olvide digitar la variable "&amp;AI$9&amp;" (Digite CERO si no tiene). ",IF(AI48&gt;$D48,"* La variable "&amp;AI$9&amp;" no puede superar el Total. ",""))</f>
        <v/>
      </c>
      <c r="CL48" s="221">
        <f>IF(AND($D48&lt;&gt;0,AB48=""),1,IF(AB48&gt;$D48,1,0))</f>
        <v/>
      </c>
      <c r="CM48" s="221">
        <f>IF(AND($D48&lt;&gt;0,AC48=""),1,IF(AC48&gt;$D48,1,0))</f>
        <v/>
      </c>
      <c r="CN48" s="221">
        <f>IF(AND($D48&lt;&gt;0,AD48=""),1,IF(AD48&gt;$D48,1,0))</f>
        <v/>
      </c>
      <c r="CO48" s="221">
        <f>IF(AND($D48&lt;&gt;0,AE48=""),1,IF(AE48&gt;$D48,1,0))</f>
        <v/>
      </c>
      <c r="CP48" s="221">
        <f>IF(AND(D48&gt;0,OR(AF48="",AG48="",)),1,IF(AF48+AG48&gt;$D48,1,0))</f>
        <v/>
      </c>
      <c r="CQ48" s="378">
        <f>IF(AND(D48&gt;0,AI48=""),1,IF(AI48&gt;$D48,1,0))</f>
        <v/>
      </c>
      <c r="CR48" s="378">
        <f>IF(AND(D48&gt;0,AI48=""),1,IF(AI48&gt;$D48,1,0))</f>
        <v/>
      </c>
    </row>
    <row r="49" ht="30.75" customFormat="1" customHeight="1" s="17">
      <c r="A49" s="9588" t="n"/>
      <c r="B49" s="642" t="n"/>
      <c r="C49" s="4067" t="inlineStr">
        <is>
          <t>⁠Redes y sistemas de apoyo a la diada del cuidado</t>
        </is>
      </c>
      <c r="D49" s="3632">
        <f>SUM(K49:X49)</f>
        <v/>
      </c>
      <c r="E49" s="4058" t="n"/>
      <c r="F49" s="4052" t="n"/>
      <c r="G49" s="4052" t="n"/>
      <c r="H49" s="4052" t="n"/>
      <c r="I49" s="3596" t="n"/>
      <c r="J49" s="4052" t="n"/>
      <c r="K49" s="3891" t="n"/>
      <c r="L49" s="3891" t="n"/>
      <c r="M49" s="3790" t="n"/>
      <c r="N49" s="3790" t="n"/>
      <c r="O49" s="3790" t="n"/>
      <c r="P49" s="3790" t="n"/>
      <c r="Q49" s="3790" t="n"/>
      <c r="R49" s="3790" t="n"/>
      <c r="S49" s="3790" t="n"/>
      <c r="T49" s="3790" t="n"/>
      <c r="U49" s="3790" t="n"/>
      <c r="V49" s="3790" t="n"/>
      <c r="W49" s="3790" t="n"/>
      <c r="X49" s="3793" t="n"/>
      <c r="Y49" s="4036" t="n"/>
      <c r="Z49" s="4052" t="n"/>
      <c r="AA49" s="4062" t="n"/>
      <c r="AB49" s="5215" t="n"/>
      <c r="AC49" s="3892" t="n"/>
      <c r="AD49" s="3892" t="n"/>
      <c r="AE49" s="3788" t="n"/>
      <c r="AF49" s="3787" t="n"/>
      <c r="AG49" s="3788" t="n"/>
      <c r="AH49" s="3892" t="n"/>
      <c r="AI49" s="3788" t="n"/>
      <c r="AJ49">
        <f>CB49&amp;CC49&amp;CD49&amp;CE49&amp;CF49&amp;CG49&amp;CH49</f>
        <v/>
      </c>
      <c r="CB49" s="219">
        <f>IF(AND($D49&lt;&gt;0,AB49=""),"* No olvide ingresar la columna "&amp;AB$9&amp;""&amp;" (Digite CERO si no tiene).  ",IF(AB49&gt;$D49,"* El Número de Familias en Riesgo no puede superar el Total. ",""))</f>
        <v/>
      </c>
      <c r="CC49" s="219">
        <f>IF(AND($D49&lt;&gt;0,AC49=""),"* No olvide ingresar la variable "&amp;AC$9&amp;""&amp;" (Digite CERO si no tiene).  ",IF(AC49&gt;$D49,"* La variable Pueblos Originarios no puede superar el Total. ",""))</f>
        <v/>
      </c>
      <c r="CD49" s="219">
        <f>IF(AND($D49&lt;&gt;0,AD49=""),"* No olvide ingresar la variable "&amp;AD$9&amp;""&amp;" (Digite CERO si no tiene).  ",IF(AD49&gt;$D49,"* La variable Migrantes no puede superar el Total. ",""))</f>
        <v/>
      </c>
      <c r="CE49" s="219">
        <f>IF(AND($D49&lt;&gt;0,AE49=""),"* No olvide ingresar la variable "&amp;AE$9&amp;""&amp;" (Digite CERO si no tiene).  ",IF(AE49&gt;$D49,"* La variable Espacios Amigables/ Adolescentes no puede superar el Total. ",""))</f>
        <v/>
      </c>
      <c r="CF49" s="219">
        <f>IF(AND(D49&gt;0,OR(AF49="",AG49="",))," * No olvide digitar la variable TRANS Masculino/Femenino (Digite CERO si no tiene). ",IF(AF49+AG49&gt;$D49,"* La suma de TRANS Masculino + Femenino no puede superar el Total. ",""))</f>
        <v/>
      </c>
      <c r="CG49" s="219">
        <f>IF(AND(D49&gt;0,AH49=""),"* No olvide digitar la variable "&amp;AH$9&amp;"(Digite CERO si no tiene). ",IF(AH49&gt;$D49,"* La variable "&amp;AH$9&amp;" no puede superar el Total. ",""))</f>
        <v/>
      </c>
      <c r="CH49" s="219">
        <f>IF(AND(D49&gt;0,AI49=""),"* No olvide digitar la variable "&amp;AI$9&amp;" (Digite CERO si no tiene). ",IF(AI49&gt;$D49,"* La variable "&amp;AI$9&amp;" no puede superar el Total. ",""))</f>
        <v/>
      </c>
      <c r="CL49" s="221">
        <f>IF(AND($D49&lt;&gt;0,AB49=""),1,IF(AB49&gt;$D49,1,0))</f>
        <v/>
      </c>
      <c r="CM49" s="221">
        <f>IF(AND($D49&lt;&gt;0,AC49=""),1,IF(AC49&gt;$D49,1,0))</f>
        <v/>
      </c>
      <c r="CN49" s="221">
        <f>IF(AND($D49&lt;&gt;0,AD49=""),1,IF(AD49&gt;$D49,1,0))</f>
        <v/>
      </c>
      <c r="CO49" s="221">
        <f>IF(AND($D49&lt;&gt;0,AE49=""),1,IF(AE49&gt;$D49,1,0))</f>
        <v/>
      </c>
      <c r="CP49" s="221">
        <f>IF(AND(D49&gt;0,OR(AF49="",AG49="",)),1,IF(AF49+AG49&gt;$D49,1,0))</f>
        <v/>
      </c>
      <c r="CQ49" s="378">
        <f>IF(AND(D49&gt;0,AI49=""),1,IF(AI49&gt;$D49,1,0))</f>
        <v/>
      </c>
      <c r="CR49" s="378">
        <f>IF(AND(D49&gt;0,AI49=""),1,IF(AI49&gt;$D49,1,0))</f>
        <v/>
      </c>
    </row>
    <row r="50" ht="15" customFormat="1" customHeight="1" s="17">
      <c r="A50" s="9588" t="n"/>
      <c r="B50" s="642" t="n"/>
      <c r="C50" s="1328" t="inlineStr">
        <is>
          <t>Cuidados de fin de vida y duelo</t>
        </is>
      </c>
      <c r="D50" s="3632">
        <f>SUM(K50:X50)</f>
        <v/>
      </c>
      <c r="E50" s="4042" t="n"/>
      <c r="F50" s="4043" t="n"/>
      <c r="G50" s="4043" t="n"/>
      <c r="H50" s="4043" t="n"/>
      <c r="I50" s="1314" t="n"/>
      <c r="J50" s="4042" t="n"/>
      <c r="K50" s="3599" t="n"/>
      <c r="L50" s="3599" t="n"/>
      <c r="M50" s="3819" t="n"/>
      <c r="N50" s="3819" t="n"/>
      <c r="O50" s="3819" t="n"/>
      <c r="P50" s="3819" t="n"/>
      <c r="Q50" s="3819" t="n"/>
      <c r="R50" s="3819" t="n"/>
      <c r="S50" s="3819" t="n"/>
      <c r="T50" s="3819" t="n"/>
      <c r="U50" s="3819" t="n"/>
      <c r="V50" s="3819" t="n"/>
      <c r="W50" s="3819" t="n"/>
      <c r="X50" s="3897" t="n"/>
      <c r="Y50" s="455" t="n"/>
      <c r="Z50" s="4043" t="n"/>
      <c r="AA50" s="4055" t="n"/>
      <c r="AB50" s="5249" t="n"/>
      <c r="AC50" s="1223" t="n"/>
      <c r="AD50" s="1223" t="n"/>
      <c r="AE50" s="1192" t="n"/>
      <c r="AF50" s="3808" t="n"/>
      <c r="AG50" s="1192" t="n"/>
      <c r="AH50" s="1223" t="n"/>
      <c r="AI50" s="1192" t="n"/>
      <c r="AJ50">
        <f>CB50&amp;CC50&amp;CD50&amp;CE50&amp;CF50&amp;CG50&amp;CH50</f>
        <v/>
      </c>
      <c r="CB50" s="219">
        <f>IF(AND($D50&lt;&gt;0,AB50=""),"* No olvide ingresar la columna "&amp;AB$9&amp;""&amp;" (Digite CERO si no tiene).  ",IF(AB50&gt;$D50,"* El Número de Familias en Riesgo no puede superar el Total. ",""))</f>
        <v/>
      </c>
      <c r="CC50" s="219">
        <f>IF(AND($D50&lt;&gt;0,AC50=""),"* No olvide ingresar la variable "&amp;AC$9&amp;""&amp;" (Digite CERO si no tiene).  ",IF(AC50&gt;$D50,"* La variable Pueblos Originarios no puede superar el Total. ",""))</f>
        <v/>
      </c>
      <c r="CD50" s="219">
        <f>IF(AND($D50&lt;&gt;0,AD50=""),"* No olvide ingresar la variable "&amp;AD$9&amp;""&amp;" (Digite CERO si no tiene).  ",IF(AD50&gt;$D50,"* La variable Migrantes no puede superar el Total. ",""))</f>
        <v/>
      </c>
      <c r="CE50" s="219">
        <f>IF(AND($D50&lt;&gt;0,AE50=""),"* No olvide ingresar la variable "&amp;AE$9&amp;""&amp;" (Digite CERO si no tiene).  ",IF(AE50&gt;$D50,"* La variable Espacios Amigables/ Adolescentes no puede superar el Total. ",""))</f>
        <v/>
      </c>
      <c r="CF50" s="219">
        <f>IF(AND(D50&gt;0,OR(AF50="",AG50="",))," * No olvide digitar la variable TRANS Masculino/Femenino (Digite CERO si no tiene). ",IF(AF50+AG50&gt;$D50,"* La suma de TRANS Masculino + Femenino no puede superar el Total. ",""))</f>
        <v/>
      </c>
      <c r="CG50" s="219">
        <f>IF(AND(D50&gt;0,AH50=""),"* No olvide digitar la variable "&amp;AH$9&amp;"(Digite CERO si no tiene). ",IF(AH50&gt;$D50,"* La variable "&amp;AH$9&amp;" no puede superar el Total. ",""))</f>
        <v/>
      </c>
      <c r="CH50" s="219">
        <f>IF(AND(D50&gt;0,AI50=""),"* No olvide digitar la variable "&amp;AI$9&amp;" (Digite CERO si no tiene). ",IF(AI50&gt;$D50,"* La variable "&amp;AI$9&amp;" no puede superar el Total. ",""))</f>
        <v/>
      </c>
      <c r="CL50" s="221">
        <f>IF(AND($D50&lt;&gt;0,AB50=""),1,IF(AB50&gt;$D50,1,0))</f>
        <v/>
      </c>
      <c r="CM50" s="221">
        <f>IF(AND($D50&lt;&gt;0,AC50=""),1,IF(AC50&gt;$D50,1,0))</f>
        <v/>
      </c>
      <c r="CN50" s="221">
        <f>IF(AND($D50&lt;&gt;0,AD50=""),1,IF(AD50&gt;$D50,1,0))</f>
        <v/>
      </c>
      <c r="CO50" s="221">
        <f>IF(AND($D50&lt;&gt;0,AE50=""),1,IF(AE50&gt;$D50,1,0))</f>
        <v/>
      </c>
      <c r="CP50" s="221">
        <f>IF(AND(D50&gt;0,OR(AF50="",AG50="",)),1,IF(AF50+AG50&gt;$D50,1,0))</f>
        <v/>
      </c>
      <c r="CQ50" s="378">
        <f>IF(AND(D50&gt;0,AI50=""),1,IF(AI50&gt;$D50,1,0))</f>
        <v/>
      </c>
      <c r="CR50" s="378">
        <f>IF(AND(D50&gt;0,AI50=""),1,IF(AI50&gt;$D50,1,0))</f>
        <v/>
      </c>
    </row>
    <row r="51" ht="15" customFormat="1" customHeight="1" s="17">
      <c r="A51" s="9588" t="n"/>
      <c r="B51" s="10547" t="inlineStr">
        <is>
          <t xml:space="preserve">Educación en seguridad vial </t>
        </is>
      </c>
      <c r="C51" s="3906" t="inlineStr">
        <is>
          <t>Mujeres</t>
        </is>
      </c>
      <c r="D51" s="3595">
        <f>SUM(E51:X51)</f>
        <v/>
      </c>
      <c r="E51" s="3502" t="n"/>
      <c r="F51" s="835" t="n"/>
      <c r="G51" s="835" t="n"/>
      <c r="H51" s="835" t="n"/>
      <c r="I51" s="3520" t="n"/>
      <c r="J51" s="3502" t="n"/>
      <c r="K51" s="835" t="n"/>
      <c r="L51" s="835" t="n"/>
      <c r="M51" s="2581" t="n"/>
      <c r="N51" s="2581" t="n"/>
      <c r="O51" s="2581" t="n"/>
      <c r="P51" s="2581" t="n"/>
      <c r="Q51" s="2581" t="n"/>
      <c r="R51" s="2581" t="n"/>
      <c r="S51" s="2581" t="n"/>
      <c r="T51" s="2581" t="n"/>
      <c r="U51" s="2581" t="n"/>
      <c r="V51" s="2581" t="n"/>
      <c r="W51" s="2581" t="n"/>
      <c r="X51" s="1940" t="n"/>
      <c r="Y51" s="3893" t="n"/>
      <c r="Z51" s="3891" t="n"/>
      <c r="AA51" s="3793" t="n"/>
      <c r="AB51" s="5470" t="n"/>
      <c r="AC51" s="5189" t="n"/>
      <c r="AD51" s="5189" t="n"/>
      <c r="AE51" s="5185" t="n"/>
      <c r="AF51" s="3502" t="n"/>
      <c r="AG51" s="3520" t="n"/>
      <c r="AH51" s="5189" t="n"/>
      <c r="AI51" s="5185" t="n"/>
      <c r="AJ51">
        <f>CB51&amp;CC51&amp;CD51&amp;CE51&amp;CF51&amp;CG51&amp;CH51</f>
        <v/>
      </c>
      <c r="CB51" s="220" t="n"/>
      <c r="CC51" s="219">
        <f>IF(AND($D51&lt;&gt;0,AC51=""),"* No olvide ingresar la variable "&amp;AC$9&amp;""&amp;" (Digite CERO si no tiene).  ",IF(AC51&gt;$D51,"* La variable Pueblos Originarios no puede superar el Total. ",""))</f>
        <v/>
      </c>
      <c r="CD51" s="219">
        <f>IF(AND($D51&lt;&gt;0,AD51=""),"* No olvide ingresar la variable "&amp;AD$9&amp;""&amp;" (Digite CERO si no tiene).  ",IF(AD51&gt;$D51,"* La variable Migrantes no puede superar el Total. ",""))</f>
        <v/>
      </c>
      <c r="CE51" s="219">
        <f>IF(AND($D51&lt;&gt;0,AE51=""),"* No olvide ingresar la variable "&amp;AE$9&amp;""&amp;" (Digite CERO si no tiene).  ",IF(AE51&gt;$D51,"* La variable Espacios Amigables/ Adolescentes no puede superar el Total. ",""))</f>
        <v/>
      </c>
      <c r="CF51" s="219">
        <f>IF(AND(D51&gt;0,OR(AF51="",AG51="",))," * No olvide digitar la variable TRANS Masculino/Femenino (Digite CERO si no tiene). ",IF(AF51+AG51&gt;$D51,"* La suma de TRANS Masculino + Femenino no puede superar el Total. ",""))</f>
        <v/>
      </c>
      <c r="CG51" s="219">
        <f>IF(AND(D51&gt;0,AH51=""),"* No olvide digitar la variable "&amp;AH$9&amp;"(Digite CERO si no tiene). ",IF(AH51&gt;$D51,"* La variable "&amp;AH$9&amp;" no puede superar el Total. ",""))</f>
        <v/>
      </c>
      <c r="CH51" s="219">
        <f>IF(AND(D51&gt;0,AI51=""),"* No olvide digitar la variable "&amp;AI$9&amp;" (Digite CERO si no tiene). ",IF(AI51&gt;$D51,"* La variable "&amp;AI$9&amp;" no puede superar el Total. ",""))</f>
        <v/>
      </c>
      <c r="CL51" s="222" t="n"/>
      <c r="CM51" s="221">
        <f>IF(AND($D51&lt;&gt;0,AC51=""),1,IF(AC51&gt;$D51,1,0))</f>
        <v/>
      </c>
      <c r="CN51" s="221">
        <f>IF(AND($D51&lt;&gt;0,AD51=""),1,IF(AD51&gt;$D51,1,0))</f>
        <v/>
      </c>
      <c r="CO51" s="221">
        <f>IF(AND($D51&lt;&gt;0,AE51=""),1,IF(AE51&gt;$D51,1,0))</f>
        <v/>
      </c>
      <c r="CP51" s="221">
        <f>IF(AND(D51&gt;0,OR(AF51="",AG51="",)),1,IF(AF51+AG51&gt;$D51,1,0))</f>
        <v/>
      </c>
      <c r="CQ51" s="378">
        <f>IF(AND(D51&gt;0,AI51=""),1,IF(AI51&gt;$D51,1,0))</f>
        <v/>
      </c>
      <c r="CR51" s="378">
        <f>IF(AND(D51&gt;0,AI51=""),1,IF(AI51&gt;$D51,1,0))</f>
        <v/>
      </c>
    </row>
    <row r="52" ht="15" customFormat="1" customHeight="1" s="17">
      <c r="A52" s="9588" t="n"/>
      <c r="B52" s="9698" t="n"/>
      <c r="C52" s="9233" t="inlineStr">
        <is>
          <t>Hombres</t>
        </is>
      </c>
      <c r="D52" s="2669">
        <f>SUM(E52:X52)</f>
        <v/>
      </c>
      <c r="E52" s="204" t="n"/>
      <c r="F52" s="145" t="n"/>
      <c r="G52" s="145" t="n"/>
      <c r="H52" s="145" t="n"/>
      <c r="I52" s="2645" t="n"/>
      <c r="J52" s="204" t="n"/>
      <c r="K52" s="145" t="n"/>
      <c r="L52" s="145" t="n"/>
      <c r="M52" s="3912" t="n"/>
      <c r="N52" s="3912" t="n"/>
      <c r="O52" s="3912" t="n"/>
      <c r="P52" s="3912" t="n"/>
      <c r="Q52" s="3912" t="n"/>
      <c r="R52" s="3912" t="n"/>
      <c r="S52" s="3912" t="n"/>
      <c r="T52" s="3912" t="n"/>
      <c r="U52" s="3912" t="n"/>
      <c r="V52" s="3912" t="n"/>
      <c r="W52" s="3912" t="n"/>
      <c r="X52" s="3912" t="n"/>
      <c r="Y52" s="1230" t="n"/>
      <c r="Z52" s="1228" t="n"/>
      <c r="AA52" s="1185" t="n"/>
      <c r="AB52" s="5377" t="n"/>
      <c r="AC52" s="1223" t="n"/>
      <c r="AD52" s="5362" t="n"/>
      <c r="AE52" s="2057" t="n"/>
      <c r="AF52" s="645" t="n"/>
      <c r="AG52" s="2057" t="n"/>
      <c r="AH52" s="670" t="n"/>
      <c r="AI52" s="5188" t="n"/>
      <c r="AJ52">
        <f>CB52&amp;CC52&amp;CD52&amp;CE52&amp;CF52&amp;CG52&amp;CH52</f>
        <v/>
      </c>
      <c r="CB52" s="220" t="n"/>
      <c r="CC52" s="219">
        <f>IF(AND($D52&lt;&gt;0,AC52=""),"* No olvide ingresar la variable "&amp;AC$9&amp;""&amp;" (Digite CERO si no tiene).  ",IF(AC52&gt;$D52,"* La variable Pueblos Originarios no puede superar el Total. ",""))</f>
        <v/>
      </c>
      <c r="CD52" s="219">
        <f>IF(AND($D52&lt;&gt;0,AD52=""),"* No olvide ingresar la variable "&amp;AD$9&amp;""&amp;" (Digite CERO si no tiene).  ",IF(AD52&gt;$D52,"* La variable Migrantes no puede superar el Total. ",""))</f>
        <v/>
      </c>
      <c r="CE52" s="219">
        <f>IF(AND($D52&lt;&gt;0,AE52=""),"* No olvide ingresar la variable "&amp;AE$9&amp;""&amp;" (Digite CERO si no tiene).  ",IF(AE52&gt;$D52,"* La variable Espacios Amigables/ Adolescentes no puede superar el Total. ",""))</f>
        <v/>
      </c>
      <c r="CF52" s="219">
        <f>IF(AND(D52&gt;0,OR(AF52="",AG52="",))," * No olvide digitar la variable TRANS Masculino/Femenino (Digite CERO si no tiene). ",IF(AF52+AG52&gt;$D52,"* La suma de TRANS Masculino + Femenino no puede superar el Total. ",""))</f>
        <v/>
      </c>
      <c r="CG52" s="219">
        <f>IF(AND(D52&gt;0,AH52=""),"* No olvide digitar la variable "&amp;AH$9&amp;"(Digite CERO si no tiene). ",IF(AH52&gt;$D52,"* La variable "&amp;AH$9&amp;" no puede superar el Total. ",""))</f>
        <v/>
      </c>
      <c r="CH52" s="219">
        <f>IF(AND(D52&gt;0,AI52=""),"* No olvide digitar la variable "&amp;AI$9&amp;" (Digite CERO si no tiene). ",IF(AI52&gt;$D52,"* La variable "&amp;AI$9&amp;" no puede superar el Total. ",""))</f>
        <v/>
      </c>
      <c r="CL52" s="222" t="n"/>
      <c r="CM52" s="221">
        <f>IF(AND($D52&lt;&gt;0,AC52=""),1,IF(AC52&gt;$D52,1,0))</f>
        <v/>
      </c>
      <c r="CN52" s="221">
        <f>IF(AND($D52&lt;&gt;0,AD52=""),1,IF(AD52&gt;$D52,1,0))</f>
        <v/>
      </c>
      <c r="CO52" s="221">
        <f>IF(AND($D52&lt;&gt;0,AE52=""),1,IF(AE52&gt;$D52,1,0))</f>
        <v/>
      </c>
      <c r="CP52" s="221">
        <f>IF(AND(D52&gt;0,OR(AF52="",AG52="",)),1,IF(AF52+AG52&gt;$D52,1,0))</f>
        <v/>
      </c>
      <c r="CQ52" s="378">
        <f>IF(AND(D52&gt;0,AI52=""),1,IF(AI52&gt;$D52,1,0))</f>
        <v/>
      </c>
      <c r="CR52" s="378">
        <f>IF(AND(D52&gt;0,AI52=""),1,IF(AI52&gt;$D52,1,0))</f>
        <v/>
      </c>
    </row>
    <row r="53" ht="15" customFormat="1" customHeight="1" s="17">
      <c r="A53" s="9589" t="n"/>
      <c r="B53" s="10406" t="inlineStr">
        <is>
          <t>TOTAL</t>
        </is>
      </c>
      <c r="C53" s="9582" t="n"/>
      <c r="D53" s="3772">
        <f>SUM(E53:X53)</f>
        <v/>
      </c>
      <c r="E53" s="3797">
        <f>SUM(E11:E52)</f>
        <v/>
      </c>
      <c r="F53" s="3809">
        <f>SUM(F11:F52)</f>
        <v/>
      </c>
      <c r="G53" s="3809">
        <f>SUM(G11:G52)</f>
        <v/>
      </c>
      <c r="H53" s="3809">
        <f>SUM(H11:H52)</f>
        <v/>
      </c>
      <c r="I53" s="3532">
        <f>SUM(I11:I52)</f>
        <v/>
      </c>
      <c r="J53" s="3798">
        <f>SUM(J11:J52)</f>
        <v/>
      </c>
      <c r="K53" s="3809">
        <f>SUM(K11:K52)</f>
        <v/>
      </c>
      <c r="L53" s="3809">
        <f>SUM(L11:L52)</f>
        <v/>
      </c>
      <c r="M53" s="3799">
        <f>SUM(M11:M52)</f>
        <v/>
      </c>
      <c r="N53" s="3799">
        <f>SUM(N11:N52)</f>
        <v/>
      </c>
      <c r="O53" s="3799">
        <f>SUM(O11:O52)</f>
        <v/>
      </c>
      <c r="P53" s="3799">
        <f>SUM(P11:P52)</f>
        <v/>
      </c>
      <c r="Q53" s="3799">
        <f>SUM(Q11:Q52)</f>
        <v/>
      </c>
      <c r="R53" s="3799">
        <f>SUM(R11:R52)</f>
        <v/>
      </c>
      <c r="S53" s="3799">
        <f>SUM(S11:S52)</f>
        <v/>
      </c>
      <c r="T53" s="3799">
        <f>SUM(T11:T52)</f>
        <v/>
      </c>
      <c r="U53" s="3799">
        <f>SUM(U11:U52)</f>
        <v/>
      </c>
      <c r="V53" s="3799">
        <f>SUM(V11:V52)</f>
        <v/>
      </c>
      <c r="W53" s="3799">
        <f>SUM(W11:W52)</f>
        <v/>
      </c>
      <c r="X53" s="3799">
        <f>SUM(X11:X52)</f>
        <v/>
      </c>
      <c r="Y53" s="4068">
        <f>SUM(Y11:Y52)</f>
        <v/>
      </c>
      <c r="Z53" s="3809">
        <f>SUM(Z11:Z52)</f>
        <v/>
      </c>
      <c r="AA53" s="3802">
        <f>SUM(AA11:AA52)</f>
        <v/>
      </c>
      <c r="AB53" s="4068">
        <f>SUM(AB11:AB52)</f>
        <v/>
      </c>
      <c r="AC53" s="177">
        <f>SUM(AC11:AC52)</f>
        <v/>
      </c>
      <c r="AD53" s="3809">
        <f>SUM(AD11:AD52)</f>
        <v/>
      </c>
      <c r="AE53" s="3800">
        <f>SUM(AE11:AE52)</f>
        <v/>
      </c>
      <c r="AF53" s="3797">
        <f>SUM(AF11:AF52)</f>
        <v/>
      </c>
      <c r="AG53" s="3532">
        <f>SUM(AG11:AG52)</f>
        <v/>
      </c>
      <c r="AH53" s="4569">
        <f>SUM(AH11:AH52)</f>
        <v/>
      </c>
      <c r="AI53" s="5020">
        <f>SUM(AI11:AI52)</f>
        <v/>
      </c>
    </row>
    <row r="54" ht="18" customFormat="1" customHeight="1" s="5">
      <c r="A54" s="2502" t="inlineStr">
        <is>
          <t>SECCIÓN B: ACTIVIDADES DE EDUCACIÓN PARA LA SALUD SEGÚN PERSONAL QUE LAS REALIZA (SESIONES)</t>
        </is>
      </c>
      <c r="B54" s="2502" t="n"/>
      <c r="C54" s="2502" t="n"/>
      <c r="D54" s="2502" t="n"/>
      <c r="E54" s="2502" t="n"/>
      <c r="F54" s="2502" t="n"/>
      <c r="G54" s="4069" t="n"/>
      <c r="H54" s="4069" t="n"/>
      <c r="I54" s="7" t="n"/>
    </row>
    <row r="55" ht="42" customHeight="1" s="8286">
      <c r="A55" s="8400" t="inlineStr">
        <is>
          <t>ÁREAS TEMÁTICAS DE PREVENCIÓN</t>
        </is>
      </c>
      <c r="B55" s="9584" t="n"/>
      <c r="C55" s="9582" t="n"/>
      <c r="D55" s="8649" t="inlineStr">
        <is>
          <t>TOTAL</t>
        </is>
      </c>
      <c r="E55" s="8463" t="inlineStr">
        <is>
          <t>Un profesional</t>
        </is>
      </c>
      <c r="F55" s="3909" t="inlineStr">
        <is>
          <t xml:space="preserve">Dos o más profesionales </t>
        </is>
      </c>
      <c r="G55" s="3909" t="inlineStr">
        <is>
          <t xml:space="preserve">Un profesional y un Técnico en Enfermería </t>
        </is>
      </c>
      <c r="H55" s="3915" t="inlineStr">
        <is>
          <t xml:space="preserve">Técnico en Enfermería </t>
        </is>
      </c>
      <c r="I55" s="4070" t="inlineStr">
        <is>
          <t xml:space="preserve">Facilitador/a Intercultural Pueblos Originarios </t>
        </is>
      </c>
    </row>
    <row r="56" ht="15" customHeight="1" s="8286">
      <c r="A56" s="10250" t="inlineStr">
        <is>
          <t>Educación en grupo</t>
        </is>
      </c>
      <c r="B56" s="10537" t="inlineStr">
        <is>
          <t xml:space="preserve">Estimulación desarrollo psicomotor </t>
        </is>
      </c>
      <c r="C56" s="9603" t="n"/>
      <c r="D56" s="3779">
        <f>SUM(E56:H56)</f>
        <v/>
      </c>
      <c r="E56" s="2820" t="n"/>
      <c r="F56" s="2821" t="n"/>
      <c r="G56" s="2821" t="n"/>
      <c r="H56" s="4071" t="n"/>
      <c r="I56" s="4072" t="n"/>
      <c r="J56" s="226">
        <f>CA56</f>
        <v/>
      </c>
      <c r="CA56" s="219">
        <f>IF(AND($D56&lt;&gt;0,I56=""),"* No olvide ingresar la columna "&amp;I$55&amp;""&amp;" (Digite CERO si no tiene).  ",IF(I56&gt;$D56,"* La variable "&amp;I$55&amp;""&amp;" no puede superar el Total. ",""))</f>
        <v/>
      </c>
      <c r="CK56" s="378">
        <f>IF(AND($D56&lt;&gt;0,I56=""),1,IF(I56&gt;$D56,1,0))</f>
        <v/>
      </c>
    </row>
    <row r="57" ht="21" customHeight="1" s="8286">
      <c r="A57" s="9625" t="n"/>
      <c r="B57" s="10398" t="inlineStr">
        <is>
          <t>Nutrición</t>
        </is>
      </c>
      <c r="C57" s="3934" t="inlineStr">
        <is>
          <t>Riesgo de malnutrición por exceso</t>
        </is>
      </c>
      <c r="D57" s="3779">
        <f>SUM(E57:H57)</f>
        <v/>
      </c>
      <c r="E57" s="3502" t="n"/>
      <c r="F57" s="835" t="n"/>
      <c r="G57" s="835" t="n"/>
      <c r="H57" s="2581" t="n"/>
      <c r="I57" s="4073" t="n"/>
      <c r="J57" s="226">
        <f>CA57</f>
        <v/>
      </c>
      <c r="CA57" s="219">
        <f>IF(AND($D57&lt;&gt;0,I57=""),"* No olvide ingresar la columna "&amp;I$55&amp;""&amp;" (Digite CERO si no tiene).  ",IF(I57&gt;$D57,"* La variable "&amp;I$55&amp;""&amp;" no puede superar el Total. ",""))</f>
        <v/>
      </c>
      <c r="CK57" s="378">
        <f>IF(AND($D57&lt;&gt;0,I57=""),1,IF(I57&gt;$D57,1,0))</f>
        <v/>
      </c>
    </row>
    <row r="58">
      <c r="A58" s="9625" t="n"/>
      <c r="B58" s="9588" t="n"/>
      <c r="C58" s="8775" t="inlineStr">
        <is>
          <t>Malnutrición por exceso</t>
        </is>
      </c>
      <c r="D58" s="1308">
        <f>SUM(E58:H58)</f>
        <v/>
      </c>
      <c r="E58" s="3787" t="n"/>
      <c r="F58" s="3891" t="n"/>
      <c r="G58" s="3891" t="n"/>
      <c r="H58" s="3790" t="n"/>
      <c r="I58" s="4074" t="n"/>
      <c r="J58" s="226">
        <f>CA58</f>
        <v/>
      </c>
      <c r="CA58" s="219">
        <f>IF(AND($D58&lt;&gt;0,I58=""),"* No olvide ingresar la columna "&amp;I$55&amp;""&amp;" (Digite CERO si no tiene).  ",IF(I58&gt;$D58,"* La variable "&amp;I$55&amp;""&amp;" no puede superar el Total. ",""))</f>
        <v/>
      </c>
      <c r="CK58" s="378">
        <f>IF(AND($D58&lt;&gt;0,I58=""),1,IF(I58&gt;$D58,1,0))</f>
        <v/>
      </c>
    </row>
    <row r="59">
      <c r="A59" s="9625" t="n"/>
      <c r="B59" s="9588" t="n"/>
      <c r="C59" s="3911" t="inlineStr">
        <is>
          <t>Malnutrición de déficit</t>
        </is>
      </c>
      <c r="D59" s="3632">
        <f>SUM(E59:H59)</f>
        <v/>
      </c>
      <c r="E59" s="3787" t="n"/>
      <c r="F59" s="3891" t="n"/>
      <c r="G59" s="3891" t="n"/>
      <c r="H59" s="3790" t="n"/>
      <c r="I59" s="4074" t="n"/>
      <c r="J59" s="226">
        <f>CA59</f>
        <v/>
      </c>
      <c r="CA59" s="219">
        <f>IF(AND($D59&lt;&gt;0,I59=""),"* No olvide ingresar la columna "&amp;I$55&amp;""&amp;" (Digite CERO si no tiene).  ",IF(I59&gt;$D59,"* La variable "&amp;I$55&amp;""&amp;" no puede superar el Total. ",""))</f>
        <v/>
      </c>
      <c r="CK59" s="378">
        <f>IF(AND($D59&lt;&gt;0,I59=""),1,IF(I59&gt;$D59,1,0))</f>
        <v/>
      </c>
    </row>
    <row r="60">
      <c r="A60" s="9625" t="n"/>
      <c r="B60" s="9589" t="n"/>
      <c r="C60" s="8771" t="inlineStr">
        <is>
          <t>Sin riesgo de malnutrición</t>
        </is>
      </c>
      <c r="D60" s="2669">
        <f>SUM(E60:H60)</f>
        <v/>
      </c>
      <c r="E60" s="2644" t="n"/>
      <c r="F60" s="155" t="n"/>
      <c r="G60" s="155" t="n"/>
      <c r="H60" s="185" t="n"/>
      <c r="I60" s="457" t="n"/>
      <c r="J60" s="226">
        <f>CA60</f>
        <v/>
      </c>
      <c r="CA60" s="219">
        <f>IF(AND($D60&lt;&gt;0,I60=""),"* No olvide ingresar la columna "&amp;I$55&amp;""&amp;" (Digite CERO si no tiene).  ",IF(I60&gt;$D60,"* La variable "&amp;I$55&amp;""&amp;" no puede superar el Total. ",""))</f>
        <v/>
      </c>
      <c r="CK60" s="378">
        <f>IF(AND($D60&lt;&gt;0,I60=""),1,IF(I60&gt;$D60,1,0))</f>
        <v/>
      </c>
    </row>
    <row r="61">
      <c r="A61" s="9625" t="n"/>
      <c r="B61" s="10538" t="inlineStr">
        <is>
          <t>Prevención de IRA - ERA</t>
        </is>
      </c>
      <c r="C61" s="9935" t="n"/>
      <c r="D61" s="637">
        <f>SUM(E61:H61)</f>
        <v/>
      </c>
      <c r="E61" s="1935" t="n"/>
      <c r="F61" s="793" t="n"/>
      <c r="G61" s="793" t="n"/>
      <c r="H61" s="2261" t="n"/>
      <c r="I61" s="4075" t="n"/>
      <c r="J61" s="226">
        <f>CA61</f>
        <v/>
      </c>
      <c r="CA61" s="219">
        <f>IF(AND($D61&lt;&gt;0,I61=""),"* No olvide ingresar la columna "&amp;I$55&amp;""&amp;" (Digite CERO si no tiene).  ",IF(I61&gt;$D61,"* La variable "&amp;I$55&amp;""&amp;" no puede superar el Total. ",""))</f>
        <v/>
      </c>
      <c r="CK61" s="378">
        <f>IF(AND($D61&lt;&gt;0,I61=""),1,IF(I61&gt;$D61,1,0))</f>
        <v/>
      </c>
    </row>
    <row r="62">
      <c r="A62" s="9625" t="n"/>
      <c r="B62" s="3911" t="inlineStr">
        <is>
          <t>Prevención de accidentes</t>
        </is>
      </c>
      <c r="C62" s="9644" t="n"/>
      <c r="D62" s="1308">
        <f>SUM(E62:H62)</f>
        <v/>
      </c>
      <c r="E62" s="3787" t="n"/>
      <c r="F62" s="3891" t="n"/>
      <c r="G62" s="3891" t="n"/>
      <c r="H62" s="3790" t="n"/>
      <c r="I62" s="4074" t="n"/>
      <c r="J62" s="226">
        <f>CA62</f>
        <v/>
      </c>
      <c r="CA62" s="219">
        <f>IF(AND($D62&lt;&gt;0,I62=""),"* No olvide ingresar la columna "&amp;I$55&amp;""&amp;" (Digite CERO si no tiene).  ",IF(I62&gt;$D62,"* La variable "&amp;I$55&amp;""&amp;" no puede superar el Total. ",""))</f>
        <v/>
      </c>
      <c r="CK62" s="378">
        <f>IF(AND($D62&lt;&gt;0,I62=""),1,IF(I62&gt;$D62,1,0))</f>
        <v/>
      </c>
    </row>
    <row r="63">
      <c r="A63" s="9625" t="n"/>
      <c r="B63" s="3911" t="inlineStr">
        <is>
          <t>Salud buco-dental</t>
        </is>
      </c>
      <c r="C63" s="9644" t="n"/>
      <c r="D63" s="1308">
        <f>SUM(E63:H63)</f>
        <v/>
      </c>
      <c r="E63" s="3787" t="n"/>
      <c r="F63" s="3891" t="n"/>
      <c r="G63" s="3891" t="n"/>
      <c r="H63" s="3790" t="n"/>
      <c r="I63" s="4074" t="n"/>
      <c r="J63" s="226">
        <f>CA63</f>
        <v/>
      </c>
      <c r="CA63" s="219">
        <f>IF(AND($D63&lt;&gt;0,I63=""),"* No olvide ingresar la columna "&amp;I$55&amp;""&amp;" (Digite CERO si no tiene).  ",IF(I63&gt;$D63,"* La variable "&amp;I$55&amp;""&amp;" no puede superar el Total. ",""))</f>
        <v/>
      </c>
      <c r="CK63" s="378">
        <f>IF(AND($D63&lt;&gt;0,I63=""),1,IF(I63&gt;$D63,1,0))</f>
        <v/>
      </c>
    </row>
    <row r="64">
      <c r="A64" s="9625" t="n"/>
      <c r="B64" s="10539" t="inlineStr">
        <is>
          <t>Prevención violencia de género</t>
        </is>
      </c>
      <c r="C64" s="9646" t="n"/>
      <c r="D64" s="1308">
        <f>SUM(E64:H64)</f>
        <v/>
      </c>
      <c r="E64" s="1179" t="n"/>
      <c r="F64" s="1228" t="n"/>
      <c r="G64" s="1228" t="n"/>
      <c r="H64" s="1182" t="n"/>
      <c r="I64" s="1329" t="n"/>
      <c r="J64" s="226">
        <f>CA64</f>
        <v/>
      </c>
      <c r="CA64" s="219">
        <f>IF(AND($D64&lt;&gt;0,I64=""),"* No olvide ingresar la columna "&amp;I$55&amp;""&amp;" (Digite CERO si no tiene).  ",IF(I64&gt;$D64,"* La variable "&amp;I$55&amp;""&amp;" no puede superar el Total. ",""))</f>
        <v/>
      </c>
      <c r="CK64" s="378">
        <f>IF(AND($D64&lt;&gt;0,I64=""),1,IF(I64&gt;$D64,1,0))</f>
        <v/>
      </c>
    </row>
    <row r="65" ht="21" customHeight="1" s="8286">
      <c r="A65" s="9625" t="n"/>
      <c r="B65" s="9690" t="inlineStr">
        <is>
          <t>Salud sexual y reproductiva</t>
        </is>
      </c>
      <c r="C65" s="3864" t="inlineStr">
        <is>
          <t xml:space="preserve">Hombres </t>
        </is>
      </c>
      <c r="D65" s="3779">
        <f>SUM(E65:H65)</f>
        <v/>
      </c>
      <c r="E65" s="3502" t="n"/>
      <c r="F65" s="835" t="n"/>
      <c r="G65" s="835" t="n"/>
      <c r="H65" s="2581" t="n"/>
      <c r="I65" s="4073" t="n"/>
      <c r="J65" s="226">
        <f>CA65</f>
        <v/>
      </c>
      <c r="CA65" s="219">
        <f>IF(AND($D65&lt;&gt;0,I65=""),"* No olvide ingresar la columna "&amp;I$55&amp;""&amp;" (Digite CERO si no tiene).  ",IF(I65&gt;$D65,"* La variable "&amp;I$55&amp;""&amp;" no puede superar el Total. ",""))</f>
        <v/>
      </c>
      <c r="CK65" s="378">
        <f>IF(AND($D65&lt;&gt;0,I65=""),1,IF(I65&gt;$D65,1,0))</f>
        <v/>
      </c>
    </row>
    <row r="66">
      <c r="A66" s="9625" t="n"/>
      <c r="B66" s="9589" t="n"/>
      <c r="C66" s="8749" t="inlineStr">
        <is>
          <t>Mujeres</t>
        </is>
      </c>
      <c r="D66" s="3598">
        <f>SUM(E66:H66)</f>
        <v/>
      </c>
      <c r="E66" s="3808" t="n"/>
      <c r="F66" s="3599" t="n"/>
      <c r="G66" s="3599" t="n"/>
      <c r="H66" s="3819" t="n"/>
      <c r="I66" s="4076" t="n"/>
      <c r="J66" s="226" t="n"/>
      <c r="CA66" s="219">
        <f>IF(AND($D66&lt;&gt;0,I66=""),"* No olvide ingresar la columna "&amp;I$55&amp;""&amp;" (Digite CERO si no tiene).  ",IF(I66&gt;$D66,"* La variable "&amp;I$55&amp;""&amp;" no puede superar el Total. ",""))</f>
        <v/>
      </c>
      <c r="CK66" s="378">
        <f>IF(AND($D66&lt;&gt;0,I66=""),1,IF(I66&gt;$D66,1,0))</f>
        <v/>
      </c>
    </row>
    <row r="67">
      <c r="A67" s="9625" t="n"/>
      <c r="B67" s="10538" t="inlineStr">
        <is>
          <t>Talleres de climaterio</t>
        </is>
      </c>
      <c r="C67" s="9935" t="n"/>
      <c r="D67" s="637">
        <f>SUM(E67:H67)</f>
        <v/>
      </c>
      <c r="E67" s="645" t="n"/>
      <c r="F67" s="145" t="n"/>
      <c r="G67" s="145" t="n"/>
      <c r="H67" s="3912" t="n"/>
      <c r="I67" s="458" t="n"/>
      <c r="J67" s="226">
        <f>CA67</f>
        <v/>
      </c>
      <c r="CA67" s="219">
        <f>IF(AND($D67&lt;&gt;0,I67=""),"* No olvide ingresar la columna "&amp;I$55&amp;""&amp;" (Digite CERO si no tiene).  ",IF(I67&gt;$D67,"* La variable "&amp;I$55&amp;""&amp;" no puede superar el Total. ",""))</f>
        <v/>
      </c>
      <c r="CK67" s="378">
        <f>IF(AND($D67&lt;&gt;0,I67=""),1,IF(I67&gt;$D67,1,0))</f>
        <v/>
      </c>
    </row>
    <row r="68" ht="21" customHeight="1" s="8286">
      <c r="A68" s="9625" t="n"/>
      <c r="B68" s="10245" t="inlineStr">
        <is>
          <t>Educación prenatal (Nutrición-lactancia-crianza-autocuidado-preparación parto y otros)</t>
        </is>
      </c>
      <c r="C68" s="9646" t="n"/>
      <c r="D68" s="1308">
        <f>SUM(E68:H68)</f>
        <v/>
      </c>
      <c r="E68" s="1179" t="n"/>
      <c r="F68" s="1228" t="n"/>
      <c r="G68" s="1228" t="n"/>
      <c r="H68" s="1182" t="n"/>
      <c r="I68" s="1329" t="n"/>
      <c r="J68" s="226">
        <f>CA68</f>
        <v/>
      </c>
      <c r="CA68" s="219">
        <f>IF(AND($D68&lt;&gt;0,I68=""),"* No olvide ingresar la columna "&amp;I$55&amp;""&amp;" (Digite CERO si no tiene).  ",IF(I68&gt;$D68,"* La variable "&amp;I$55&amp;""&amp;" no puede superar el Total. ",""))</f>
        <v/>
      </c>
      <c r="CK68" s="378">
        <f>IF(AND($D68&lt;&gt;0,I68=""),1,IF(I68&gt;$D68,1,0))</f>
        <v/>
      </c>
    </row>
    <row r="69" ht="15" customHeight="1" s="8286">
      <c r="A69" s="9625" t="n"/>
      <c r="B69" s="9240" t="inlineStr">
        <is>
          <t>Visita guiada a la maternidad</t>
        </is>
      </c>
      <c r="C69" s="8728" t="inlineStr">
        <is>
          <t>Primigesta</t>
        </is>
      </c>
      <c r="D69" s="3595">
        <f>SUM(E69:H69)</f>
        <v/>
      </c>
      <c r="E69" s="3502" t="n"/>
      <c r="F69" s="835" t="n"/>
      <c r="G69" s="835" t="n"/>
      <c r="H69" s="2581" t="n"/>
      <c r="I69" s="4073" t="n"/>
      <c r="J69" s="226">
        <f>CA69</f>
        <v/>
      </c>
      <c r="CA69" s="219">
        <f>IF(AND($D69&lt;&gt;0,I69=""),"* No olvide ingresar la columna "&amp;I$55&amp;""&amp;" (Digite CERO si no tiene).  ",IF(I69&gt;$D69,"* La variable "&amp;I$55&amp;""&amp;" no puede superar el Total. ",""))</f>
        <v/>
      </c>
      <c r="CK69" s="378">
        <f>IF(AND($D69&lt;&gt;0,I69=""),1,IF(I69&gt;$D69,1,0))</f>
        <v/>
      </c>
    </row>
    <row r="70" ht="15" customHeight="1" s="8286">
      <c r="A70" s="9625" t="n"/>
      <c r="B70" s="9621" t="n"/>
      <c r="C70" s="3709" t="inlineStr">
        <is>
          <t>Multípara</t>
        </is>
      </c>
      <c r="D70" s="3598">
        <f>SUM(E70:H70)</f>
        <v/>
      </c>
      <c r="E70" s="3808" t="n"/>
      <c r="F70" s="3599" t="n"/>
      <c r="G70" s="3599" t="n"/>
      <c r="H70" s="3819" t="n"/>
      <c r="I70" s="4076" t="n"/>
      <c r="J70" s="226">
        <f>CA70</f>
        <v/>
      </c>
      <c r="CA70" s="219">
        <f>IF(AND($D70&lt;&gt;0,I70=""),"* No olvide ingresar la columna "&amp;I$55&amp;""&amp;" (Digite CERO si no tiene).  ",IF(I70&gt;$D70,"* La variable "&amp;I$55&amp;""&amp;" no puede superar el Total. ",""))</f>
        <v/>
      </c>
      <c r="CK70" s="378">
        <f>IF(AND($D70&lt;&gt;0,I70=""),1,IF(I70&gt;$D70,1,0))</f>
        <v/>
      </c>
    </row>
    <row r="71">
      <c r="A71" s="9625" t="n"/>
      <c r="B71" s="10541" t="inlineStr">
        <is>
          <t>Promoción de salud mental</t>
        </is>
      </c>
      <c r="C71" s="9718" t="n"/>
      <c r="D71" s="637">
        <f>SUM(E71:H71)</f>
        <v/>
      </c>
      <c r="E71" s="645" t="n"/>
      <c r="F71" s="145" t="n"/>
      <c r="G71" s="145" t="n"/>
      <c r="H71" s="3912" t="n"/>
      <c r="I71" s="458" t="n"/>
      <c r="J71" s="226">
        <f>CA71</f>
        <v/>
      </c>
      <c r="CA71" s="219">
        <f>IF(AND($D71&lt;&gt;0,I71=""),"* No olvide ingresar la columna "&amp;I$55&amp;""&amp;" (Digite CERO si no tiene).  ",IF(I71&gt;$D71,"* La variable "&amp;I$55&amp;""&amp;" no puede superar el Total. ",""))</f>
        <v/>
      </c>
      <c r="CK71" s="378">
        <f>IF(AND($D71&lt;&gt;0,I71=""),1,IF(I71&gt;$D71,1,0))</f>
        <v/>
      </c>
    </row>
    <row r="72" ht="15" customHeight="1" s="8286">
      <c r="A72" s="9625" t="n"/>
      <c r="B72" s="10236" t="inlineStr">
        <is>
          <t>Promoción del desarrollo infantil temprano</t>
        </is>
      </c>
      <c r="C72" s="4048" t="inlineStr">
        <is>
          <t>Del lenguaje</t>
        </is>
      </c>
      <c r="D72" s="3595">
        <f>SUM(E72:H72)</f>
        <v/>
      </c>
      <c r="E72" s="3503" t="n"/>
      <c r="F72" s="835" t="n"/>
      <c r="G72" s="835" t="n"/>
      <c r="H72" s="2581" t="n"/>
      <c r="I72" s="4073" t="n"/>
      <c r="J72" s="226">
        <f>CA72</f>
        <v/>
      </c>
      <c r="CA72" s="219">
        <f>IF(AND($D72&lt;&gt;0,I72=""),"* No olvide ingresar la columna "&amp;I$55&amp;""&amp;" (Digite CERO si no tiene).  ",IF(I72&gt;$D72,"* La variable "&amp;I$55&amp;""&amp;" no puede superar el Total. ",""))</f>
        <v/>
      </c>
      <c r="CK72" s="378">
        <f>IF(AND($D72&lt;&gt;0,I72=""),1,IF(I72&gt;$D72,1,0))</f>
        <v/>
      </c>
    </row>
    <row r="73" ht="15" customHeight="1" s="8286">
      <c r="A73" s="9625" t="n"/>
      <c r="B73" s="9588" t="n"/>
      <c r="C73" s="9087" t="inlineStr">
        <is>
          <t>Motor</t>
        </is>
      </c>
      <c r="D73" s="3632">
        <f>SUM(E73:H73)</f>
        <v/>
      </c>
      <c r="E73" s="3789" t="n"/>
      <c r="F73" s="3891" t="n"/>
      <c r="G73" s="3891" t="n"/>
      <c r="H73" s="3790" t="n"/>
      <c r="I73" s="4074" t="n"/>
      <c r="J73" s="226">
        <f>CA73</f>
        <v/>
      </c>
      <c r="CA73" s="219">
        <f>IF(AND($D73&lt;&gt;0,I73=""),"* No olvide ingresar la columna "&amp;I$55&amp;""&amp;" (Digite CERO si no tiene).  ",IF(I73&gt;$D73,"* La variable "&amp;I$55&amp;""&amp;" no puede superar el Total. ",""))</f>
        <v/>
      </c>
      <c r="CK73" s="378">
        <f>IF(AND($D73&lt;&gt;0,I73=""),1,IF(I73&gt;$D73,1,0))</f>
        <v/>
      </c>
    </row>
    <row r="74">
      <c r="A74" s="9625" t="n"/>
      <c r="B74" s="9589" t="n"/>
      <c r="C74" s="1232" t="inlineStr">
        <is>
          <t>Otros</t>
        </is>
      </c>
      <c r="D74" s="3598">
        <f>SUM(E74:H74)</f>
        <v/>
      </c>
      <c r="E74" s="3818" t="n"/>
      <c r="F74" s="3599" t="n"/>
      <c r="G74" s="3599" t="n"/>
      <c r="H74" s="3819" t="n"/>
      <c r="I74" s="4076" t="n"/>
      <c r="J74" s="226">
        <f>CA74</f>
        <v/>
      </c>
      <c r="CA74" s="219">
        <f>IF(AND($D74&lt;&gt;0,I74=""),"* No olvide ingresar la columna "&amp;I$55&amp;""&amp;" (Digite CERO si no tiene).  ",IF(I74&gt;$D74,"* La variable "&amp;I$55&amp;""&amp;" no puede superar el Total. ",""))</f>
        <v/>
      </c>
      <c r="CK74" s="378">
        <f>IF(AND($D74&lt;&gt;0,I74=""),1,IF(I74&gt;$D74,1,0))</f>
        <v/>
      </c>
    </row>
    <row r="75">
      <c r="A75" s="9625" t="n"/>
      <c r="B75" s="10236" t="inlineStr">
        <is>
          <t>Habilidades parentales</t>
        </is>
      </c>
      <c r="C75" s="3934" t="inlineStr">
        <is>
          <t>Nadie es perfecto</t>
        </is>
      </c>
      <c r="D75" s="3779">
        <f>SUM(E75:H75)</f>
        <v/>
      </c>
      <c r="E75" s="3502" t="n"/>
      <c r="F75" s="835" t="n"/>
      <c r="G75" s="835" t="n"/>
      <c r="H75" s="2581" t="n"/>
      <c r="I75" s="4073" t="n"/>
      <c r="J75" s="226">
        <f>CA75</f>
        <v/>
      </c>
      <c r="CA75" s="219">
        <f>IF(AND($D75&lt;&gt;0,I75=""),"* No olvide ingresar la columna "&amp;I$55&amp;""&amp;" (Digite CERO si no tiene).  ",IF(I75&gt;$D75,"* La variable "&amp;I$55&amp;""&amp;" no puede superar el Total. ",""))</f>
        <v/>
      </c>
      <c r="CK75" s="378">
        <f>IF(AND($D75&lt;&gt;0,I75=""),1,IF(I75&gt;$D75,1,0))</f>
        <v/>
      </c>
    </row>
    <row r="76" ht="15" customHeight="1" s="8286">
      <c r="A76" s="9625" t="n"/>
      <c r="B76" s="9588" t="n"/>
      <c r="C76" s="3968" t="inlineStr">
        <is>
          <t>Familias fuertes</t>
        </is>
      </c>
      <c r="D76" s="1308">
        <f>SUM(E76:H76)</f>
        <v/>
      </c>
      <c r="E76" s="3787" t="n"/>
      <c r="F76" s="3891" t="n"/>
      <c r="G76" s="3891" t="n"/>
      <c r="H76" s="3790" t="n"/>
      <c r="I76" s="4074" t="n"/>
      <c r="J76" s="226">
        <f>CA76</f>
        <v/>
      </c>
      <c r="CA76" s="219">
        <f>IF(AND($D76&lt;&gt;0,I76=""),"* No olvide ingresar la columna "&amp;I$55&amp;""&amp;" (Digite CERO si no tiene).  ",IF(I76&gt;$D76,"* La variable "&amp;I$55&amp;""&amp;" no puede superar el Total. ",""))</f>
        <v/>
      </c>
      <c r="CK76" s="378">
        <f>IF(AND($D76&lt;&gt;0,I76=""),1,IF(I76&gt;$D76,1,0))</f>
        <v/>
      </c>
    </row>
    <row r="77">
      <c r="A77" s="9625" t="n"/>
      <c r="B77" s="9589" t="n"/>
      <c r="C77" s="1232" t="inlineStr">
        <is>
          <t>Otros</t>
        </is>
      </c>
      <c r="D77" s="3598">
        <f>SUM(E77:H77)</f>
        <v/>
      </c>
      <c r="E77" s="3808" t="n"/>
      <c r="F77" s="3599" t="n"/>
      <c r="G77" s="3599" t="n"/>
      <c r="H77" s="3819" t="n"/>
      <c r="I77" s="4076" t="n"/>
      <c r="J77" s="226">
        <f>CA77</f>
        <v/>
      </c>
      <c r="CA77" s="219">
        <f>IF(AND($D77&lt;&gt;0,I77=""),"* No olvide ingresar la columna "&amp;I$55&amp;""&amp;" (Digite CERO si no tiene).  ",IF(I77&gt;$D77,"* La variable "&amp;I$55&amp;""&amp;" no puede superar el Total. ",""))</f>
        <v/>
      </c>
      <c r="CK77" s="378">
        <f>IF(AND($D77&lt;&gt;0,I77=""),1,IF(I77&gt;$D77,1,0))</f>
        <v/>
      </c>
    </row>
    <row r="78">
      <c r="A78" s="9625" t="n"/>
      <c r="B78" s="10542" t="inlineStr">
        <is>
          <t>Apoyo madre a madre</t>
        </is>
      </c>
      <c r="C78" s="9582" t="n"/>
      <c r="D78" s="3772">
        <f>SUM(E78:H78)</f>
        <v/>
      </c>
      <c r="E78" s="3773" t="n"/>
      <c r="F78" s="3901" t="n"/>
      <c r="G78" s="3901" t="n"/>
      <c r="H78" s="3776" t="n"/>
      <c r="I78" s="4077" t="n"/>
      <c r="J78" s="226">
        <f>CA78</f>
        <v/>
      </c>
      <c r="CA78" s="219">
        <f>IF(AND($D78&lt;&gt;0,I78=""),"* No olvide ingresar la columna "&amp;I$55&amp;""&amp;" (Digite CERO si no tiene).  ",IF(I78&gt;$D78,"* La variable "&amp;I$55&amp;""&amp;" no puede superar el Total. ",""))</f>
        <v/>
      </c>
      <c r="CK78" s="378">
        <f>IF(AND($D78&lt;&gt;0,I78=""),1,IF(I78&gt;$D78,1,0))</f>
        <v/>
      </c>
    </row>
    <row r="79" ht="15" customHeight="1" s="8286">
      <c r="A79" s="9625" t="n"/>
      <c r="B79" s="8369" t="inlineStr">
        <is>
          <t>Prevención de salud mental</t>
        </is>
      </c>
      <c r="C79" s="9234" t="inlineStr">
        <is>
          <t>Prevención suicidio</t>
        </is>
      </c>
      <c r="D79" s="637">
        <f>SUM(E79:H79)</f>
        <v/>
      </c>
      <c r="E79" s="1935" t="n"/>
      <c r="F79" s="793" t="n"/>
      <c r="G79" s="793" t="n"/>
      <c r="H79" s="2261" t="n"/>
      <c r="I79" s="4075" t="n"/>
      <c r="J79" s="226">
        <f>CA79</f>
        <v/>
      </c>
      <c r="CA79" s="219">
        <f>IF(AND($D79&lt;&gt;0,I79=""),"* No olvide ingresar la columna "&amp;I$55&amp;""&amp;" (Digite CERO si no tiene).  ",IF(I79&gt;$D79,"* La variable "&amp;I$55&amp;""&amp;" no puede superar el Total. ",""))</f>
        <v/>
      </c>
      <c r="CK79" s="378">
        <f>IF(AND($D79&lt;&gt;0,I79=""),1,IF(I79&gt;$D79,1,0))</f>
        <v/>
      </c>
    </row>
    <row r="80">
      <c r="A80" s="9625" t="n"/>
      <c r="B80" s="9621" t="n"/>
      <c r="C80" s="8771" t="inlineStr">
        <is>
          <t>Prevención trastorno mental</t>
        </is>
      </c>
      <c r="D80" s="1308">
        <f>SUM(E80:H80)</f>
        <v/>
      </c>
      <c r="E80" s="3787" t="n"/>
      <c r="F80" s="3891" t="n"/>
      <c r="G80" s="3891" t="n"/>
      <c r="H80" s="3790" t="n"/>
      <c r="I80" s="4074" t="n"/>
      <c r="J80" s="226">
        <f>CA80</f>
        <v/>
      </c>
      <c r="CA80" s="219">
        <f>IF(AND($D80&lt;&gt;0,I80=""),"* No olvide ingresar la columna "&amp;I$55&amp;""&amp;" (Digite CERO si no tiene).  ",IF(I80&gt;$D80,"* La variable "&amp;I$55&amp;""&amp;" no puede superar el Total. ",""))</f>
        <v/>
      </c>
      <c r="CK80" s="378">
        <f>IF(AND($D80&lt;&gt;0,I80=""),1,IF(I80&gt;$D80,1,0))</f>
        <v/>
      </c>
    </row>
    <row r="81" ht="15" customHeight="1" s="8286">
      <c r="A81" s="9625" t="n"/>
      <c r="B81" s="4244" t="inlineStr">
        <is>
          <t>Prevención alcohol y drogas</t>
        </is>
      </c>
      <c r="C81" s="9643" t="n"/>
      <c r="D81" s="1308">
        <f>SUM(E81:H81)</f>
        <v/>
      </c>
      <c r="E81" s="3787" t="n"/>
      <c r="F81" s="3891" t="n"/>
      <c r="G81" s="3891" t="n"/>
      <c r="H81" s="3790" t="n"/>
      <c r="I81" s="4074" t="n"/>
      <c r="J81" s="226">
        <f>CA81</f>
        <v/>
      </c>
      <c r="CA81" s="219">
        <f>IF(AND($D81&lt;&gt;0,I81=""),"* No olvide ingresar la columna "&amp;I$55&amp;""&amp;" (Digite CERO si no tiene).  ",IF(I81&gt;$D81,"* La variable "&amp;I$55&amp;""&amp;" no puede superar el Total. ",""))</f>
        <v/>
      </c>
      <c r="CK81" s="378">
        <f>IF(AND($D81&lt;&gt;0,I81=""),1,IF(I81&gt;$D81,1,0))</f>
        <v/>
      </c>
    </row>
    <row r="82">
      <c r="A82" s="9625" t="n"/>
      <c r="B82" s="10538" t="inlineStr">
        <is>
          <t>Antitabáquica (excluye REM 23)</t>
        </is>
      </c>
      <c r="C82" s="9935" t="n"/>
      <c r="D82" s="1308">
        <f>SUM(E82:H82)</f>
        <v/>
      </c>
      <c r="E82" s="3787" t="n"/>
      <c r="F82" s="3891" t="n"/>
      <c r="G82" s="3891" t="n"/>
      <c r="H82" s="3790" t="n"/>
      <c r="I82" s="4074" t="n"/>
      <c r="J82" s="226">
        <f>CA82</f>
        <v/>
      </c>
      <c r="CA82" s="219">
        <f>IF(AND($D82&lt;&gt;0,I82=""),"* No olvide ingresar la columna "&amp;I$55&amp;""&amp;" (Digite CERO si no tiene).  ",IF(I82&gt;$D82,"* La variable "&amp;I$55&amp;""&amp;" no puede superar el Total. ",""))</f>
        <v/>
      </c>
      <c r="CK82" s="378">
        <f>IF(AND($D82&lt;&gt;0,I82=""),1,IF(I82&gt;$D82,1,0))</f>
        <v/>
      </c>
    </row>
    <row r="83" ht="15" customHeight="1" s="8286">
      <c r="A83" s="9625" t="n"/>
      <c r="B83" s="3877" t="inlineStr">
        <is>
          <t>Prevención de la transmisión vertical de VIH-Sífilis</t>
        </is>
      </c>
      <c r="C83" s="9644" t="n"/>
      <c r="D83" s="1308">
        <f>SUM(E83:H83)</f>
        <v/>
      </c>
      <c r="E83" s="1179" t="n"/>
      <c r="F83" s="1228" t="n"/>
      <c r="G83" s="1228" t="n"/>
      <c r="H83" s="1182" t="n"/>
      <c r="I83" s="1329" t="n"/>
      <c r="J83" s="226">
        <f>CA83</f>
        <v/>
      </c>
      <c r="CA83" s="219">
        <f>IF(AND($D83&lt;&gt;0,I83=""),"* No olvide ingresar la columna "&amp;I$55&amp;""&amp;" (Digite CERO si no tiene).  ",IF(I83&gt;$D83,"* La variable "&amp;I$55&amp;""&amp;" no puede superar el Total. ",""))</f>
        <v/>
      </c>
      <c r="CK83" s="378">
        <f>IF(AND($D83&lt;&gt;0,I83=""),1,IF(I83&gt;$D83,1,0))</f>
        <v/>
      </c>
    </row>
    <row r="84">
      <c r="A84" s="9625" t="n"/>
      <c r="B84" s="10539" t="inlineStr">
        <is>
          <t>Otras áreas temáticas</t>
        </is>
      </c>
      <c r="C84" s="9646" t="n"/>
      <c r="D84" s="1308">
        <f>SUM(E84:H84)</f>
        <v/>
      </c>
      <c r="E84" s="1179" t="n"/>
      <c r="F84" s="1228" t="n"/>
      <c r="G84" s="1228" t="n"/>
      <c r="H84" s="1182" t="n"/>
      <c r="I84" s="1329" t="n"/>
      <c r="J84" s="226">
        <f>CA84</f>
        <v/>
      </c>
      <c r="CA84" s="219">
        <f>IF(AND($D84&lt;&gt;0,I84=""),"* No olvide ingresar la columna "&amp;I$55&amp;""&amp;" (Digite CERO si no tiene).  ",IF(I84&gt;$D84,"* La variable "&amp;I$55&amp;""&amp;" no puede superar el Total. ",""))</f>
        <v/>
      </c>
      <c r="CK84" s="378">
        <f>IF(AND($D84&lt;&gt;0,I84=""),1,IF(I84&gt;$D84,1,0))</f>
        <v/>
      </c>
    </row>
    <row r="85" ht="15" customHeight="1" s="8286">
      <c r="A85" s="9625" t="n"/>
      <c r="B85" s="10236" t="inlineStr">
        <is>
          <t>Educación especial en adulto mayor</t>
        </is>
      </c>
      <c r="C85" s="4059" t="inlineStr">
        <is>
          <t>Estimulación de memoria</t>
        </is>
      </c>
      <c r="D85" s="3779">
        <f>SUM(E85:H85)</f>
        <v/>
      </c>
      <c r="E85" s="3502" t="n"/>
      <c r="F85" s="835" t="n"/>
      <c r="G85" s="835" t="n"/>
      <c r="H85" s="2581" t="n"/>
      <c r="I85" s="4073" t="n"/>
      <c r="J85" s="226">
        <f>CA85</f>
        <v/>
      </c>
      <c r="CA85" s="219">
        <f>IF(AND($D85&lt;&gt;0,I85=""),"* No olvide ingresar la columna "&amp;I$55&amp;""&amp;" (Digite CERO si no tiene).  ",IF(I85&gt;$D85,"* La variable "&amp;I$55&amp;""&amp;" no puede superar el Total. ",""))</f>
        <v/>
      </c>
      <c r="CK85" s="378">
        <f>IF(AND($D85&lt;&gt;0,I85=""),1,IF(I85&gt;$D85,1,0))</f>
        <v/>
      </c>
    </row>
    <row r="86">
      <c r="A86" s="9625" t="n"/>
      <c r="B86" s="9588" t="n"/>
      <c r="C86" s="4061" t="inlineStr">
        <is>
          <t>Prevención de caídas</t>
        </is>
      </c>
      <c r="D86" s="1308">
        <f>SUM(E86:H86)</f>
        <v/>
      </c>
      <c r="E86" s="3787" t="n"/>
      <c r="F86" s="3891" t="n"/>
      <c r="G86" s="3891" t="n"/>
      <c r="H86" s="3790" t="n"/>
      <c r="I86" s="4074" t="n"/>
      <c r="J86" s="226">
        <f>CA86</f>
        <v/>
      </c>
      <c r="CA86" s="219">
        <f>IF(AND($D86&lt;&gt;0,I86=""),"* No olvide ingresar la columna "&amp;I$55&amp;""&amp;" (Digite CERO si no tiene).  ",IF(I86&gt;$D86,"* La variable "&amp;I$55&amp;""&amp;" no puede superar el Total. ",""))</f>
        <v/>
      </c>
      <c r="CK86" s="378">
        <f>IF(AND($D86&lt;&gt;0,I86=""),1,IF(I86&gt;$D86,1,0))</f>
        <v/>
      </c>
    </row>
    <row r="87" ht="15" customHeight="1" s="8286">
      <c r="A87" s="9625" t="n"/>
      <c r="B87" s="9588" t="n"/>
      <c r="C87" s="4063" t="inlineStr">
        <is>
          <t>Estimulación de actividad física</t>
        </is>
      </c>
      <c r="D87" s="1308">
        <f>SUM(E87:H87)</f>
        <v/>
      </c>
      <c r="E87" s="1179" t="n"/>
      <c r="F87" s="1228" t="n"/>
      <c r="G87" s="1228" t="n"/>
      <c r="H87" s="1182" t="n"/>
      <c r="I87" s="1329" t="n"/>
      <c r="J87" s="226">
        <f>CA87</f>
        <v/>
      </c>
      <c r="CA87" s="219">
        <f>IF(AND($D87&lt;&gt;0,I87=""),"* No olvide ingresar la columna "&amp;I$55&amp;""&amp;" (Digite CERO si no tiene).  ",IF(I87&gt;$D87,"* La variable "&amp;I$55&amp;""&amp;" no puede superar el Total. ",""))</f>
        <v/>
      </c>
      <c r="CK87" s="378">
        <f>IF(AND($D87&lt;&gt;0,I87=""),1,IF(I87&gt;$D87,1,0))</f>
        <v/>
      </c>
    </row>
    <row r="88">
      <c r="A88" s="9625" t="n"/>
      <c r="B88" s="9588" t="n"/>
      <c r="C88" s="4064" t="inlineStr">
        <is>
          <t>Auto cuidado</t>
        </is>
      </c>
      <c r="D88" s="1308">
        <f>SUM(E88:H88)</f>
        <v/>
      </c>
      <c r="E88" s="1179" t="n"/>
      <c r="F88" s="1228" t="n"/>
      <c r="G88" s="1228" t="n"/>
      <c r="H88" s="1182" t="n"/>
      <c r="I88" s="1329" t="n"/>
      <c r="J88" s="226">
        <f>CA88</f>
        <v/>
      </c>
      <c r="CA88" s="219">
        <f>IF(AND($D88&lt;&gt;0,I88=""),"* No olvide ingresar la columna "&amp;I$55&amp;""&amp;" (Digite CERO si no tiene).  ",IF(I88&gt;$D88,"* La variable "&amp;I$55&amp;""&amp;" no puede superar el Total. ",""))</f>
        <v/>
      </c>
      <c r="CK88" s="378">
        <f>IF(AND($D88&lt;&gt;0,I88=""),1,IF(I88&gt;$D88,1,0))</f>
        <v/>
      </c>
    </row>
    <row r="89" ht="15" customHeight="1" s="8286">
      <c r="A89" s="9625" t="n"/>
      <c r="B89" s="9589" t="n"/>
      <c r="C89" s="4078" t="inlineStr">
        <is>
          <t>Otras temáticas</t>
        </is>
      </c>
      <c r="D89" s="1308">
        <f>SUM(E89:H89)</f>
        <v/>
      </c>
      <c r="E89" s="1179" t="n"/>
      <c r="F89" s="1228" t="n"/>
      <c r="G89" s="1228" t="n"/>
      <c r="H89" s="1182" t="n"/>
      <c r="I89" s="1329" t="n"/>
      <c r="J89" s="226">
        <f>CA89</f>
        <v/>
      </c>
      <c r="CA89" s="219">
        <f>IF(AND($D89&lt;&gt;0,I89=""),"* No olvide ingresar la columna "&amp;I$55&amp;""&amp;" (Digite CERO si no tiene).  ",IF(I89&gt;$D89,"* La variable "&amp;I$55&amp;""&amp;" no puede superar el Total. ",""))</f>
        <v/>
      </c>
      <c r="CK89" s="378">
        <f>IF(AND($D89&lt;&gt;0,I89=""),1,IF(I89&gt;$D89,1,0))</f>
        <v/>
      </c>
    </row>
    <row r="90" ht="15" customHeight="1" s="8286">
      <c r="A90" s="9625" t="n"/>
      <c r="B90" s="10548" t="inlineStr">
        <is>
          <t>Uso racional de medicamentos</t>
        </is>
      </c>
      <c r="C90" s="9643" t="n"/>
      <c r="D90" s="3595">
        <f>SUM(E90:H90)</f>
        <v/>
      </c>
      <c r="E90" s="3502" t="n"/>
      <c r="F90" s="835" t="n"/>
      <c r="G90" s="835" t="n"/>
      <c r="H90" s="3518" t="n"/>
      <c r="I90" s="4073" t="n"/>
      <c r="J90" s="226">
        <f>CA90</f>
        <v/>
      </c>
      <c r="CA90" s="219">
        <f>IF(AND($D90&lt;&gt;0,I90=""),"* No olvide ingresar la columna "&amp;I$55&amp;""&amp;" (Digite CERO si no tiene).  ",IF(I90&gt;$D90,"* La variable "&amp;I$55&amp;""&amp;" no puede superar el Total. ",""))</f>
        <v/>
      </c>
      <c r="CK90" s="378">
        <f>IF(AND($D90&lt;&gt;0,I90=""),1,IF(I90&gt;$D90,1,0))</f>
        <v/>
      </c>
    </row>
    <row r="91" ht="15.75" customHeight="1" s="8286">
      <c r="A91" s="9625" t="n"/>
      <c r="B91" s="10545" t="inlineStr">
        <is>
          <t>Resistencia antimicrobianos</t>
        </is>
      </c>
      <c r="C91" s="9776" t="n"/>
      <c r="D91" s="2669">
        <f>SUM(E91:H91)</f>
        <v/>
      </c>
      <c r="E91" s="2644" t="n"/>
      <c r="F91" s="155" t="n"/>
      <c r="G91" s="155" t="n"/>
      <c r="H91" s="2646" t="n"/>
      <c r="I91" s="457" t="n"/>
      <c r="J91" s="226">
        <f>CA91</f>
        <v/>
      </c>
      <c r="CA91" s="219">
        <f>IF(AND($D91&lt;&gt;0,I91=""),"* No olvide ingresar la columna "&amp;I$55&amp;""&amp;" (Digite CERO si no tiene).  ",IF(I91&gt;$D91,"* La variable "&amp;I$55&amp;""&amp;" no puede superar el Total. ",""))</f>
        <v/>
      </c>
      <c r="CK91" s="378">
        <f>IF(AND($D91&lt;&gt;0,I91=""),1,IF(I91&gt;$D91,1,0))</f>
        <v/>
      </c>
    </row>
    <row r="92">
      <c r="A92" s="9625" t="n"/>
      <c r="B92" s="10546" t="inlineStr">
        <is>
          <t xml:space="preserve">Capacitación a Cuidadores  PADDS </t>
        </is>
      </c>
      <c r="C92" s="4065" t="inlineStr">
        <is>
          <t>Autocuidado del Cuidador/a</t>
        </is>
      </c>
      <c r="D92" s="3595">
        <f>SUM(E92:H92)</f>
        <v/>
      </c>
      <c r="E92" s="3502" t="n"/>
      <c r="F92" s="835" t="n"/>
      <c r="G92" s="835" t="n"/>
      <c r="H92" s="3518" t="n"/>
      <c r="I92" s="4073" t="n"/>
      <c r="J92" s="226">
        <f>CA92</f>
        <v/>
      </c>
      <c r="CA92" s="219">
        <f>IF(AND($D92&lt;&gt;0,I92=""),"* No olvide ingresar la columna "&amp;I$55&amp;""&amp;" (Digite CERO si no tiene).  ",IF(I92&gt;$D92,"* La variable "&amp;I$55&amp;""&amp;" no puede superar el Total. ",""))</f>
        <v/>
      </c>
      <c r="CK92" s="378">
        <f>IF(AND($D92&lt;&gt;0,I92=""),1,IF(I92&gt;$D92,1,0))</f>
        <v/>
      </c>
    </row>
    <row r="93" ht="22.5" customHeight="1" s="8286">
      <c r="A93" s="9625" t="n"/>
      <c r="B93" s="642" t="n"/>
      <c r="C93" s="4066" t="inlineStr">
        <is>
          <t>Cuidados de la persona con Dependencia</t>
        </is>
      </c>
      <c r="D93" s="3632">
        <f>SUM(E93:H93)</f>
        <v/>
      </c>
      <c r="E93" s="3787" t="n"/>
      <c r="F93" s="3891" t="n"/>
      <c r="G93" s="3891" t="n"/>
      <c r="H93" s="3895" t="n"/>
      <c r="I93" s="4074" t="n"/>
      <c r="J93" s="226">
        <f>CA93</f>
        <v/>
      </c>
      <c r="CA93" s="219">
        <f>IF(AND($D93&lt;&gt;0,I93=""),"* No olvide ingresar la columna "&amp;I$55&amp;""&amp;" (Digite CERO si no tiene).  ",IF(I93&gt;$D93,"* La variable "&amp;I$55&amp;""&amp;" no puede superar el Total. ",""))</f>
        <v/>
      </c>
      <c r="CK93" s="378">
        <f>IF(AND($D93&lt;&gt;0,I93=""),1,IF(I93&gt;$D93,1,0))</f>
        <v/>
      </c>
    </row>
    <row r="94" ht="21" customHeight="1" s="8286">
      <c r="A94" s="9625" t="n"/>
      <c r="B94" s="642" t="n"/>
      <c r="C94" s="4067" t="inlineStr">
        <is>
          <t>⁠Redes y sistemas de apoyo a la diada del cuidado</t>
        </is>
      </c>
      <c r="D94" s="3632">
        <f>SUM(E94:H94)</f>
        <v/>
      </c>
      <c r="E94" s="3787" t="n"/>
      <c r="F94" s="3891" t="n"/>
      <c r="G94" s="3891" t="n"/>
      <c r="H94" s="3895" t="n"/>
      <c r="I94" s="4074" t="n"/>
      <c r="J94" s="226">
        <f>CA94</f>
        <v/>
      </c>
      <c r="CA94" s="219">
        <f>IF(AND($D94&lt;&gt;0,I94=""),"* No olvide ingresar la columna "&amp;I$55&amp;""&amp;" (Digite CERO si no tiene).  ",IF(I94&gt;$D94,"* La variable "&amp;I$55&amp;""&amp;" no puede superar el Total. ",""))</f>
        <v/>
      </c>
      <c r="CK94" s="378">
        <f>IF(AND($D94&lt;&gt;0,I94=""),1,IF(I94&gt;$D94,1,0))</f>
        <v/>
      </c>
    </row>
    <row r="95">
      <c r="A95" s="9625" t="n"/>
      <c r="B95" s="642" t="n"/>
      <c r="C95" s="1328" t="inlineStr">
        <is>
          <t>Cuidados de fin de vida y duelo</t>
        </is>
      </c>
      <c r="D95" s="1308">
        <f>SUM(E95:H95)</f>
        <v/>
      </c>
      <c r="E95" s="2644" t="n"/>
      <c r="F95" s="155" t="n"/>
      <c r="G95" s="155" t="n"/>
      <c r="H95" s="2646" t="n"/>
      <c r="I95" s="457" t="n"/>
      <c r="J95" s="226">
        <f>CA95</f>
        <v/>
      </c>
      <c r="CA95" s="219">
        <f>IF(AND($D95&lt;&gt;0,I95=""),"* No olvide ingresar la columna "&amp;I$55&amp;""&amp;" (Digite CERO si no tiene).  ",IF(I95&gt;$D95,"* La variable "&amp;I$55&amp;""&amp;" no puede superar el Total. ",""))</f>
        <v/>
      </c>
      <c r="CK95" s="378">
        <f>IF(AND($D95&lt;&gt;0,I95=""),1,IF(I95&gt;$D95,1,0))</f>
        <v/>
      </c>
    </row>
    <row r="96" ht="15" customHeight="1" s="8286">
      <c r="A96" s="9625" t="n"/>
      <c r="B96" s="10549" t="inlineStr">
        <is>
          <t xml:space="preserve">Educación en seguridad vial </t>
        </is>
      </c>
      <c r="C96" s="3864" t="inlineStr">
        <is>
          <t xml:space="preserve">Hombres </t>
        </is>
      </c>
      <c r="D96" s="3595">
        <f>SUM(E96:H96)</f>
        <v/>
      </c>
      <c r="E96" s="3502" t="n"/>
      <c r="F96" s="3503" t="n"/>
      <c r="G96" s="3503" t="n"/>
      <c r="H96" s="3518" t="n"/>
      <c r="I96" s="4073" t="n"/>
      <c r="J96" s="226">
        <f>CA96</f>
        <v/>
      </c>
      <c r="CA96" s="219">
        <f>IF(AND($D96&lt;&gt;0,I96=""),"* No olvide ingresar la columna "&amp;I$55&amp;""&amp;" (Digite CERO si no tiene).  ",IF(I96&gt;$D96,"* La variable "&amp;I$55&amp;""&amp;" no puede superar el Total. ",""))</f>
        <v/>
      </c>
      <c r="CK96" s="378">
        <f>IF(AND($D96&lt;&gt;0,I96=""),1,IF(I96&gt;$D96,1,0))</f>
        <v/>
      </c>
    </row>
    <row r="97">
      <c r="A97" s="9625" t="n"/>
      <c r="B97" s="10124" t="n"/>
      <c r="C97" s="8749" t="inlineStr">
        <is>
          <t>Mujeres</t>
        </is>
      </c>
      <c r="D97" s="3598">
        <f>SUM(E97:H97)</f>
        <v/>
      </c>
      <c r="E97" s="3808" t="n"/>
      <c r="F97" s="3818" t="n"/>
      <c r="G97" s="3818" t="n"/>
      <c r="H97" s="1227" t="n"/>
      <c r="I97" s="4076" t="n"/>
      <c r="J97" s="226">
        <f>CA97</f>
        <v/>
      </c>
      <c r="CA97" s="219">
        <f>IF(AND($D97&lt;&gt;0,I97=""),"* No olvide ingresar la columna "&amp;I$55&amp;""&amp;" (Digite CERO si no tiene).  ",IF(I97&gt;$D97,"* La variable "&amp;I$55&amp;""&amp;" no puede superar el Total. ",""))</f>
        <v/>
      </c>
      <c r="CK97" s="378">
        <f>IF(AND($D97&lt;&gt;0,I97=""),1,IF(I97&gt;$D97,1,0))</f>
        <v/>
      </c>
    </row>
    <row r="98">
      <c r="A98" s="9641" t="n"/>
      <c r="B98" s="10550" t="inlineStr">
        <is>
          <t>TOTAL</t>
        </is>
      </c>
      <c r="C98" s="9582" t="n"/>
      <c r="D98" s="3772">
        <f>SUM(E98:H98)</f>
        <v/>
      </c>
      <c r="E98" s="3797">
        <f>SUM(E56:E97)</f>
        <v/>
      </c>
      <c r="F98" s="3797">
        <f>SUM(F56:F97)</f>
        <v/>
      </c>
      <c r="G98" s="3797">
        <f>SUM(G56:G97)</f>
        <v/>
      </c>
      <c r="H98" s="3797">
        <f>SUM(H56:H97)</f>
        <v/>
      </c>
      <c r="I98" s="3797">
        <f>SUM(I56:I97)</f>
        <v/>
      </c>
      <c r="CA98" s="226" t="n"/>
      <c r="CK98" s="226" t="n"/>
    </row>
    <row r="99" ht="18" customFormat="1" customHeight="1" s="5">
      <c r="A99" s="2502" t="inlineStr">
        <is>
          <t>SECCIÓN C: EDUCACIÓN GRUPAL A GESTANTES DE ALTO RIESGO OBSTÉTRICO (Nivel Secundario)</t>
        </is>
      </c>
      <c r="B99" s="2502" t="n"/>
      <c r="C99" s="2502" t="n"/>
      <c r="D99" s="2502" t="n"/>
      <c r="E99" s="459" t="n"/>
      <c r="F99" s="459" t="n"/>
      <c r="G99" s="459" t="n"/>
      <c r="H99" s="459" t="n"/>
      <c r="I99" s="459" t="n"/>
      <c r="J99" s="459" t="n"/>
      <c r="K99" s="1" t="n"/>
      <c r="L99" s="1" t="n"/>
      <c r="M99" s="1" t="n"/>
      <c r="N99" s="7" t="n"/>
      <c r="O99" s="7" t="n"/>
      <c r="P99" s="7" t="n"/>
      <c r="Q99" s="7" t="n"/>
      <c r="R99" s="7" t="n"/>
      <c r="S99" s="7" t="n"/>
      <c r="T99" s="7" t="n"/>
      <c r="U99" s="7" t="n"/>
      <c r="V99" s="7" t="n"/>
      <c r="W99" s="7" t="n"/>
    </row>
    <row r="100" ht="15" customHeight="1" s="8286">
      <c r="A100" s="8400" t="inlineStr">
        <is>
          <t>TEMAS</t>
        </is>
      </c>
      <c r="B100" s="9584" t="n"/>
      <c r="C100" s="9582" t="n"/>
      <c r="D100" s="8649" t="inlineStr">
        <is>
          <t>Total de sesiones</t>
        </is>
      </c>
      <c r="E100" s="9095" t="n"/>
      <c r="G100" s="7" t="n"/>
      <c r="H100" s="7" t="n"/>
      <c r="I100" s="7" t="n"/>
      <c r="J100" s="7" t="n"/>
      <c r="K100" s="7" t="n"/>
      <c r="L100" s="7" t="n"/>
      <c r="M100" s="7" t="n"/>
      <c r="N100" s="7" t="n"/>
      <c r="O100" s="7" t="n"/>
      <c r="P100" s="7" t="n"/>
      <c r="Q100" s="7" t="n"/>
      <c r="R100" s="6" t="n"/>
      <c r="S100" s="6" t="n"/>
      <c r="T100" s="6" t="n"/>
      <c r="U100" s="6" t="n"/>
      <c r="V100" s="6" t="n"/>
      <c r="W100" s="6" t="n"/>
    </row>
    <row r="101" ht="15" customHeight="1" s="8286">
      <c r="A101" s="9922" t="inlineStr">
        <is>
          <t>Autocuidado según patología</t>
        </is>
      </c>
      <c r="B101" s="9814" t="n"/>
      <c r="C101" s="9643" t="n"/>
      <c r="D101" s="4079" t="n"/>
      <c r="E101" s="9095" t="n"/>
      <c r="G101" s="7" t="n"/>
      <c r="H101" s="7" t="n"/>
      <c r="I101" s="7" t="n"/>
      <c r="J101" s="7" t="n"/>
      <c r="K101" s="7" t="n"/>
      <c r="L101" s="7" t="n"/>
      <c r="M101" s="7" t="n"/>
      <c r="N101" s="7" t="n"/>
      <c r="O101" s="7" t="n"/>
      <c r="P101" s="7" t="n"/>
      <c r="Q101" s="7" t="n"/>
      <c r="R101" s="6" t="n"/>
      <c r="S101" s="6" t="n"/>
      <c r="T101" s="6" t="n"/>
      <c r="U101" s="6" t="n"/>
      <c r="V101" s="6" t="n"/>
      <c r="W101" s="6" t="n"/>
    </row>
    <row r="102" ht="15" customHeight="1" s="8286">
      <c r="A102" s="10518" t="inlineStr">
        <is>
          <t>Preparación para el parto</t>
        </is>
      </c>
      <c r="B102" s="10208" t="n"/>
      <c r="C102" s="9644" t="n"/>
      <c r="D102" s="4079" t="n"/>
      <c r="E102" s="9095" t="n"/>
      <c r="G102" s="7" t="n"/>
      <c r="H102" s="7" t="n"/>
      <c r="I102" s="7" t="n"/>
      <c r="J102" s="7" t="n"/>
      <c r="K102" s="7" t="n"/>
      <c r="L102" s="7" t="n"/>
      <c r="M102" s="7" t="n"/>
      <c r="N102" s="7" t="n"/>
      <c r="O102" s="7" t="n"/>
      <c r="P102" s="7" t="n"/>
      <c r="Q102" s="7" t="n"/>
      <c r="R102" s="6" t="n"/>
      <c r="S102" s="6" t="n"/>
      <c r="T102" s="6" t="n"/>
      <c r="U102" s="6" t="n"/>
      <c r="V102" s="6" t="n"/>
      <c r="W102" s="6" t="n"/>
    </row>
    <row r="103" ht="15" customHeight="1" s="8286">
      <c r="A103" s="9944" t="inlineStr">
        <is>
          <t>Taller de educación prenatal</t>
        </is>
      </c>
      <c r="B103" s="9817" t="n"/>
      <c r="C103" s="9720" t="n"/>
      <c r="D103" s="4080" t="n"/>
      <c r="E103" s="7" t="n"/>
      <c r="F103" s="7" t="n"/>
      <c r="G103" s="7" t="n"/>
      <c r="H103" s="7" t="n"/>
      <c r="I103" s="7" t="n"/>
      <c r="J103" s="7" t="n"/>
      <c r="K103" s="7" t="n"/>
      <c r="L103" s="7" t="n"/>
      <c r="M103" s="7" t="n"/>
      <c r="N103" s="7" t="n"/>
      <c r="O103" s="7" t="n"/>
      <c r="P103" s="7" t="n"/>
      <c r="Q103" s="7" t="n"/>
      <c r="R103" s="6" t="n"/>
      <c r="S103" s="6" t="n"/>
      <c r="T103" s="6" t="n"/>
      <c r="U103" s="6" t="n"/>
      <c r="V103" s="6" t="n"/>
      <c r="W103" s="6" t="n"/>
    </row>
    <row r="104" ht="18" customHeight="1" s="8286">
      <c r="A104" s="3923" t="inlineStr">
        <is>
          <t>SECCIÓN D: TALLERES PROGRAMA "MÁS A.M AUTOVALENTES"</t>
        </is>
      </c>
      <c r="B104" s="4081" t="n"/>
      <c r="C104" s="4082" t="n"/>
      <c r="D104" s="235" t="n"/>
      <c r="E104" s="460" t="n"/>
      <c r="F104" s="235" t="n"/>
      <c r="G104" s="235" t="n"/>
      <c r="H104" s="235" t="n"/>
      <c r="I104" s="235" t="n"/>
      <c r="J104" s="235" t="n"/>
      <c r="K104" s="235" t="n"/>
      <c r="L104" s="235" t="n"/>
      <c r="M104" s="235" t="n"/>
      <c r="N104" s="235" t="n"/>
      <c r="O104" s="235" t="n"/>
      <c r="P104" s="235" t="n"/>
      <c r="Q104" s="235" t="n"/>
      <c r="R104" s="235" t="n"/>
      <c r="S104" s="235" t="n"/>
      <c r="T104" s="235" t="n"/>
      <c r="U104" s="235" t="n"/>
      <c r="V104" s="235" t="n"/>
      <c r="W104" s="235" t="n"/>
    </row>
    <row r="105">
      <c r="A105" s="10199" t="inlineStr">
        <is>
          <t>TIPO DE TALLER</t>
        </is>
      </c>
      <c r="B105" s="9602" t="n"/>
      <c r="C105" s="9630" t="n"/>
      <c r="D105" s="10551" t="inlineStr">
        <is>
          <t>Nº de sesiones</t>
        </is>
      </c>
      <c r="E105" s="9240" t="inlineStr">
        <is>
          <t xml:space="preserve">N° de sesiones según Modalidad </t>
        </is>
      </c>
      <c r="F105" s="9584" t="n"/>
      <c r="G105" s="9647" t="n"/>
      <c r="H105" s="8103" t="inlineStr">
        <is>
          <t>Nº de Participantes</t>
        </is>
      </c>
      <c r="I105" s="235" t="n"/>
      <c r="J105" s="235" t="n"/>
      <c r="K105" s="235" t="n"/>
      <c r="L105" s="235" t="n"/>
      <c r="M105" s="235" t="n"/>
      <c r="N105" s="235" t="n"/>
      <c r="O105" s="235" t="n"/>
      <c r="P105" s="235" t="n"/>
      <c r="Q105" s="235" t="n"/>
      <c r="R105" s="235" t="n"/>
      <c r="S105" s="235" t="n"/>
      <c r="T105" s="235" t="n"/>
      <c r="U105" s="235" t="n"/>
      <c r="V105" s="235" t="n"/>
      <c r="W105" s="235" t="n"/>
    </row>
    <row r="106" ht="31.5" customHeight="1" s="8286">
      <c r="A106" s="9697" t="n"/>
      <c r="B106" s="9697" t="n"/>
      <c r="C106" s="9639" t="n"/>
      <c r="D106" s="9614" t="n"/>
      <c r="E106" s="3851" t="inlineStr">
        <is>
          <t>Presencial  Espacios comunitarios</t>
        </is>
      </c>
      <c r="F106" s="4083" t="inlineStr">
        <is>
          <t xml:space="preserve">Presencial Domicilio </t>
        </is>
      </c>
      <c r="G106" s="4084" t="inlineStr">
        <is>
          <t>Remota</t>
        </is>
      </c>
      <c r="H106" s="9672" t="n"/>
      <c r="I106" s="235" t="n"/>
      <c r="J106" s="235" t="n"/>
      <c r="K106" s="235" t="n"/>
      <c r="L106" s="235" t="n"/>
      <c r="M106" s="235" t="n"/>
      <c r="N106" s="235" t="n"/>
      <c r="O106" s="235" t="n"/>
      <c r="P106" s="235" t="n"/>
      <c r="Q106" s="235" t="n"/>
      <c r="R106" s="235" t="n"/>
      <c r="S106" s="235" t="n"/>
      <c r="T106" s="235" t="n"/>
      <c r="U106" s="235" t="n"/>
      <c r="V106" s="235" t="n"/>
      <c r="W106" s="235" t="n"/>
    </row>
    <row r="107" ht="15" customHeight="1" s="8286">
      <c r="A107" s="10243" t="inlineStr">
        <is>
          <t>Estimulación de funciones motoras y prevención de caídas</t>
        </is>
      </c>
      <c r="B107" s="9814" t="n"/>
      <c r="C107" s="9643" t="n"/>
      <c r="D107" s="4085">
        <f>SUM(E107:G107)</f>
        <v/>
      </c>
      <c r="E107" s="4086" t="n">
        <v>36</v>
      </c>
      <c r="F107" s="854" t="n"/>
      <c r="G107" s="4087" t="n">
        <v>8</v>
      </c>
      <c r="H107" s="4088" t="n">
        <v>852</v>
      </c>
      <c r="I107" s="226">
        <f>CA107</f>
        <v/>
      </c>
      <c r="J107" s="235" t="n"/>
      <c r="K107" s="235" t="n"/>
      <c r="L107" s="235" t="n"/>
      <c r="M107" s="235" t="n"/>
      <c r="N107" s="235" t="n"/>
      <c r="O107" s="235" t="n"/>
      <c r="P107" s="235" t="n"/>
      <c r="Q107" s="235" t="n"/>
      <c r="R107" s="235" t="n"/>
      <c r="S107" s="235" t="n"/>
      <c r="T107" s="235" t="n"/>
      <c r="U107" s="235" t="n"/>
      <c r="V107" s="235" t="n"/>
      <c r="W107" s="235" t="n"/>
      <c r="CA107" s="90">
        <f>IF(AND(D107&gt;0,H107="")," * No olvide digitar la variable "&amp;H$105&amp;""&amp;". Digite CERO si no tiene.","")</f>
        <v/>
      </c>
      <c r="CB107" s="226" t="n"/>
      <c r="CC107" s="17" t="n"/>
      <c r="CD107" s="17" t="n"/>
      <c r="CE107" s="17" t="n"/>
      <c r="CF107" s="17" t="n"/>
      <c r="CG107" s="17" t="n"/>
      <c r="CH107" s="17" t="n"/>
      <c r="CI107" s="17" t="n"/>
      <c r="CJ107" s="17" t="n"/>
      <c r="CK107" s="52">
        <f>IF(AND(D107&gt;0,H107=""),1,0)</f>
        <v/>
      </c>
    </row>
    <row r="108" ht="15" customHeight="1" s="8286">
      <c r="A108" s="3877" t="inlineStr">
        <is>
          <t>Estimulación de funciones congnitivas</t>
        </is>
      </c>
      <c r="B108" s="10208" t="n"/>
      <c r="C108" s="9644" t="n"/>
      <c r="D108" s="4089">
        <f>SUM(E108:G108)</f>
        <v/>
      </c>
      <c r="E108" s="4090" t="n">
        <v>20</v>
      </c>
      <c r="F108" s="4091" t="n"/>
      <c r="G108" s="4092" t="n">
        <v>4</v>
      </c>
      <c r="H108" s="4093" t="n">
        <v>468</v>
      </c>
      <c r="I108" s="226">
        <f>CA108</f>
        <v/>
      </c>
      <c r="J108" s="235" t="n"/>
      <c r="K108" s="235" t="n"/>
      <c r="L108" s="235" t="n"/>
      <c r="M108" s="235" t="n"/>
      <c r="N108" s="235" t="n"/>
      <c r="O108" s="235" t="n"/>
      <c r="P108" s="235" t="n"/>
      <c r="Q108" s="235" t="n"/>
      <c r="R108" s="235" t="n"/>
      <c r="S108" s="235" t="n"/>
      <c r="T108" s="235" t="n"/>
      <c r="U108" s="235" t="n"/>
      <c r="V108" s="235" t="n"/>
      <c r="W108" s="235" t="n"/>
      <c r="CA108" s="90">
        <f>IF(AND(D108&gt;0,H108="")," * No olvide digitar la variable "&amp;H$105&amp;""&amp;". Digite CERO si no tiene.","")</f>
        <v/>
      </c>
      <c r="CK108" s="52">
        <f>IF(AND(D108&gt;0,H108=""),1,0)</f>
        <v/>
      </c>
    </row>
    <row r="109" ht="15" customHeight="1" s="8286">
      <c r="A109" s="10114" t="inlineStr">
        <is>
          <t>Autocuidado y estilos de vida saludables</t>
        </is>
      </c>
      <c r="B109" s="9817" t="n"/>
      <c r="C109" s="9720" t="n"/>
      <c r="D109" s="4094">
        <f>SUM(E109:G109)</f>
        <v/>
      </c>
      <c r="E109" s="4095" t="n">
        <v>16</v>
      </c>
      <c r="F109" s="4096" t="n"/>
      <c r="G109" s="4097" t="n">
        <v>4</v>
      </c>
      <c r="H109" s="1334" t="n">
        <v>384</v>
      </c>
      <c r="I109" s="226">
        <f>CA109</f>
        <v/>
      </c>
      <c r="J109" s="235" t="n"/>
      <c r="K109" s="235" t="n"/>
      <c r="L109" s="235" t="n"/>
      <c r="M109" s="235" t="n"/>
      <c r="N109" s="235" t="n"/>
      <c r="O109" s="235" t="n"/>
      <c r="P109" s="235" t="n"/>
      <c r="Q109" s="235" t="n"/>
      <c r="R109" s="235" t="n"/>
      <c r="S109" s="235" t="n"/>
      <c r="T109" s="235" t="n"/>
      <c r="U109" s="235" t="n"/>
      <c r="V109" s="235" t="n"/>
      <c r="W109" s="235" t="n"/>
      <c r="CA109" s="90">
        <f>IF(AND(D109&gt;0,H109="")," * No olvide digitar la variable "&amp;H$105&amp;""&amp;". Digite CERO si no tiene.","")</f>
        <v/>
      </c>
      <c r="CK109" s="52">
        <f>IF(AND(D109&gt;0,H109=""),1,0)</f>
        <v/>
      </c>
    </row>
    <row r="110" ht="15" customHeight="1" s="8286">
      <c r="A110" s="4098" t="inlineStr">
        <is>
          <t xml:space="preserve">                                                                                FORMATO DE TALLER </t>
        </is>
      </c>
      <c r="B110" s="4099" t="n"/>
      <c r="C110" s="4099" t="n"/>
      <c r="D110" s="4099" t="n"/>
      <c r="E110" s="4099" t="n"/>
      <c r="F110" s="4099" t="n"/>
      <c r="G110" s="4100" t="n"/>
      <c r="H110" s="4101" t="n"/>
      <c r="I110" s="676" t="n"/>
      <c r="J110" s="235" t="n"/>
      <c r="K110" s="235" t="n"/>
      <c r="L110" s="235" t="n"/>
      <c r="M110" s="235" t="n"/>
      <c r="N110" s="235" t="n"/>
      <c r="O110" s="235" t="n"/>
      <c r="P110" s="235" t="n"/>
      <c r="Q110" s="235" t="n"/>
      <c r="R110" s="235" t="n"/>
      <c r="S110" s="235" t="n"/>
      <c r="T110" s="235" t="n"/>
      <c r="U110" s="235" t="n"/>
      <c r="V110" s="235" t="n"/>
      <c r="W110" s="235" t="n"/>
      <c r="CA110" s="226" t="n"/>
    </row>
    <row r="111" ht="15" customHeight="1" s="8286">
      <c r="A111" s="10552" t="inlineStr">
        <is>
          <t xml:space="preserve">Grupal </t>
        </is>
      </c>
      <c r="B111" s="9814" t="n"/>
      <c r="C111" s="9643" t="n"/>
      <c r="D111" s="4102">
        <f>SUM(E111:G111)</f>
        <v/>
      </c>
      <c r="E111" s="4086" t="n">
        <v>72</v>
      </c>
      <c r="F111" s="854" t="n"/>
      <c r="G111" s="4103" t="n">
        <v>16</v>
      </c>
      <c r="H111" s="4088" t="n">
        <v>1704</v>
      </c>
      <c r="I111" s="226">
        <f>CA111</f>
        <v/>
      </c>
      <c r="J111" s="235" t="n"/>
      <c r="K111" s="235" t="n"/>
      <c r="L111" s="235" t="n"/>
      <c r="M111" s="235" t="n"/>
      <c r="N111" s="235" t="n"/>
      <c r="O111" s="235" t="n"/>
      <c r="P111" s="235" t="n"/>
      <c r="Q111" s="235" t="n"/>
      <c r="R111" s="235" t="n"/>
      <c r="S111" s="235" t="n"/>
      <c r="T111" s="235" t="n"/>
      <c r="U111" s="235" t="n"/>
      <c r="V111" s="235" t="n"/>
      <c r="W111" s="235" t="n"/>
      <c r="CA111" s="90">
        <f>IF(AND(D111&gt;0,H111="")," * No olvide digitar la variable "&amp;H$105&amp;""&amp;". Digite CERO si no tiene.","")</f>
        <v/>
      </c>
      <c r="CK111" s="52">
        <f>IF(AND(D111&gt;0,H111=""),1,0)</f>
        <v/>
      </c>
    </row>
    <row r="112" ht="15" customHeight="1" s="8286">
      <c r="A112" s="10553" t="inlineStr">
        <is>
          <t>Individual</t>
        </is>
      </c>
      <c r="B112" s="9817" t="n"/>
      <c r="C112" s="9720" t="n"/>
      <c r="D112" s="4104">
        <f>SUM(E112:G112)</f>
        <v/>
      </c>
      <c r="E112" s="4095" t="n"/>
      <c r="F112" s="4096" t="n"/>
      <c r="G112" s="4097" t="n"/>
      <c r="H112" s="4105" t="n"/>
      <c r="I112" s="226">
        <f>CA112</f>
        <v/>
      </c>
      <c r="J112" s="235" t="n"/>
      <c r="K112" s="235" t="n"/>
      <c r="L112" s="235" t="n"/>
      <c r="M112" s="235" t="n"/>
      <c r="N112" s="235" t="n"/>
      <c r="O112" s="235" t="n"/>
      <c r="P112" s="235" t="n"/>
      <c r="Q112" s="235" t="n"/>
      <c r="R112" s="235" t="n"/>
      <c r="S112" s="235" t="n"/>
      <c r="T112" s="235" t="n"/>
      <c r="U112" s="235" t="n"/>
      <c r="V112" s="235" t="n"/>
      <c r="W112" s="235" t="n"/>
      <c r="CA112" s="90">
        <f>IF(AND(D112&gt;0,H112="")," * No olvide digitar la variable "&amp;H$105&amp;""&amp;". Digite CERO si no tiene.","")</f>
        <v/>
      </c>
      <c r="CK112" s="52">
        <f>IF(AND(D112&gt;0,H112=""),1,0)</f>
        <v/>
      </c>
    </row>
    <row r="113" ht="18" customHeight="1" s="8286">
      <c r="A113" s="3923" t="inlineStr">
        <is>
          <t>SECCIÓN E: TALLERES PROGRAMA ELIGE VIDA SANA</t>
        </is>
      </c>
      <c r="B113" s="4081" t="n"/>
      <c r="C113" s="4082" t="n"/>
      <c r="D113" s="235" t="n"/>
      <c r="E113" s="460" t="n"/>
      <c r="F113" s="235" t="n"/>
      <c r="G113" s="235" t="n"/>
      <c r="H113" s="235" t="n"/>
      <c r="I113" s="235" t="n"/>
      <c r="J113" s="235" t="n"/>
      <c r="K113" s="235" t="n"/>
      <c r="L113" s="235" t="n"/>
      <c r="M113" s="235" t="n"/>
      <c r="N113" s="235" t="n"/>
      <c r="O113" s="235" t="n"/>
      <c r="P113" s="235" t="n"/>
      <c r="Q113" s="235" t="n"/>
      <c r="R113" s="235" t="n"/>
      <c r="S113" s="235" t="n"/>
      <c r="T113" s="235" t="n"/>
      <c r="U113" s="235" t="n"/>
      <c r="V113" s="235" t="n"/>
      <c r="W113" s="235" t="n"/>
    </row>
    <row r="114" ht="15" customFormat="1" customHeight="1" s="17">
      <c r="A114" s="10004" t="inlineStr">
        <is>
          <t>TALLER</t>
        </is>
      </c>
      <c r="B114" s="9602" t="n"/>
      <c r="C114" s="9630" t="n"/>
      <c r="D114" s="9240" t="inlineStr">
        <is>
          <t>Nº de sesiones</t>
        </is>
      </c>
      <c r="E114" s="9975" t="inlineStr">
        <is>
          <t>Nº de Participantes</t>
        </is>
      </c>
      <c r="F114" s="8400" t="inlineStr">
        <is>
          <t>Madre, padre o cuidador de:</t>
        </is>
      </c>
      <c r="G114" s="9582" t="n"/>
      <c r="H114" s="10396" t="inlineStr">
        <is>
          <t>RANGO ETARIO</t>
        </is>
      </c>
      <c r="I114" s="9584" t="n"/>
      <c r="J114" s="9584" t="n"/>
      <c r="K114" s="9584" t="n"/>
      <c r="L114" s="9584" t="n"/>
      <c r="M114" s="9584" t="n"/>
      <c r="N114" s="9584" t="n"/>
      <c r="O114" s="9584" t="n"/>
      <c r="P114" s="9584" t="n"/>
      <c r="Q114" s="9584" t="n"/>
      <c r="R114" s="9584" t="n"/>
      <c r="S114" s="9584" t="n"/>
      <c r="T114" s="9584" t="n"/>
      <c r="U114" s="9595" t="n"/>
      <c r="V114" s="10554" t="inlineStr">
        <is>
          <t>Gestantes</t>
        </is>
      </c>
      <c r="W114" s="10250" t="inlineStr">
        <is>
          <t>Post Parto</t>
        </is>
      </c>
    </row>
    <row r="115" ht="23.25" customFormat="1" customHeight="1" s="17">
      <c r="A115" s="9638" t="n"/>
      <c r="B115" s="9697" t="n"/>
      <c r="C115" s="9639" t="n"/>
      <c r="D115" s="9621" t="n"/>
      <c r="E115" s="9611" t="n"/>
      <c r="F115" s="3589" t="inlineStr">
        <is>
          <t>Menores de 1 año</t>
        </is>
      </c>
      <c r="G115" s="3889" t="inlineStr">
        <is>
          <t>Niños 12 - 23 meses</t>
        </is>
      </c>
      <c r="H115" s="3803" t="inlineStr">
        <is>
          <t>Menor de 2 años</t>
        </is>
      </c>
      <c r="I115" s="3909" t="inlineStr">
        <is>
          <t>2 - 4 años</t>
        </is>
      </c>
      <c r="J115" s="3590" t="inlineStr">
        <is>
          <t>5 - 9 años</t>
        </is>
      </c>
      <c r="K115" s="3590" t="inlineStr">
        <is>
          <t>10 - 14 años</t>
        </is>
      </c>
      <c r="L115" s="3590" t="inlineStr">
        <is>
          <t>15 - 19 años</t>
        </is>
      </c>
      <c r="M115" s="3590" t="inlineStr">
        <is>
          <t>20 - 24 años</t>
        </is>
      </c>
      <c r="N115" s="3590" t="inlineStr">
        <is>
          <t>25 - 29 años</t>
        </is>
      </c>
      <c r="O115" s="3590" t="inlineStr">
        <is>
          <t>30 - 34 años</t>
        </is>
      </c>
      <c r="P115" s="3590" t="inlineStr">
        <is>
          <t>35 - 39 años</t>
        </is>
      </c>
      <c r="Q115" s="3590" t="inlineStr">
        <is>
          <t>40 - 44 años</t>
        </is>
      </c>
      <c r="R115" s="3590" t="inlineStr">
        <is>
          <t>45 - 49 años</t>
        </is>
      </c>
      <c r="S115" s="3590" t="inlineStr">
        <is>
          <t>50 - 54 años</t>
        </is>
      </c>
      <c r="T115" s="3590" t="inlineStr">
        <is>
          <t>55 - 59 años</t>
        </is>
      </c>
      <c r="U115" s="4106" t="inlineStr">
        <is>
          <t>60 - 64 años</t>
        </is>
      </c>
      <c r="V115" s="10088" t="n"/>
      <c r="W115" s="9641" t="n"/>
    </row>
    <row r="116" ht="15" customFormat="1" customHeight="1" s="17">
      <c r="A116" s="10112" t="inlineStr">
        <is>
          <t>Círculo de actividad física</t>
        </is>
      </c>
      <c r="B116" s="9814" t="n"/>
      <c r="C116" s="9643" t="n"/>
      <c r="D116" s="4107" t="n"/>
      <c r="E116" s="4108">
        <f>+F116+G116+H116+I116+J116+K116+L116+M116+N116+O116+P116+Q116+R116+S116+T116+U116</f>
        <v/>
      </c>
      <c r="F116" s="4086" t="n"/>
      <c r="G116" s="4109" t="n"/>
      <c r="H116" s="4110" t="n"/>
      <c r="I116" s="854" t="n"/>
      <c r="J116" s="854" t="n"/>
      <c r="K116" s="854" t="n"/>
      <c r="L116" s="854" t="n"/>
      <c r="M116" s="854" t="n"/>
      <c r="N116" s="854" t="n"/>
      <c r="O116" s="854" t="n"/>
      <c r="P116" s="854" t="n"/>
      <c r="Q116" s="854" t="n"/>
      <c r="R116" s="854" t="n"/>
      <c r="S116" s="854" t="n"/>
      <c r="T116" s="854" t="n"/>
      <c r="U116" s="4111" t="n"/>
      <c r="V116" s="5190" t="n"/>
      <c r="W116" s="4109" t="n"/>
      <c r="X116" s="17">
        <f>CA116&amp;CB116&amp;CC116</f>
        <v/>
      </c>
      <c r="CA116" s="90">
        <f>IF(AND(E116&gt;0,V116="")," * No olvide digitar la variable Gestantes. Digite CERO si no tiene.","")</f>
        <v/>
      </c>
      <c r="CB116" s="90">
        <f>IF(AND(E116&gt;0,W116="")," * No olvide digitar la variable Post Parto. Digite CERO si no tiene.","")</f>
        <v/>
      </c>
      <c r="CC116" s="90">
        <f>IF((V116+W116)&gt;E116," * La suma de Gestantes + Post Parto debe ser menor o igual al Nº de Participantes.","")</f>
        <v/>
      </c>
      <c r="CK116" s="52">
        <f>IF(AND(E116&gt;0,V116=""),1,0)</f>
        <v/>
      </c>
      <c r="CL116" s="52">
        <f>IF(AND(E116&gt;0,W116=""),1,0)</f>
        <v/>
      </c>
      <c r="CM116" s="52">
        <f>IF((V116+W116)&gt;E116,1,0)</f>
        <v/>
      </c>
    </row>
    <row r="117" ht="15" customFormat="1" customHeight="1" s="17">
      <c r="A117" s="3877" t="inlineStr">
        <is>
          <t>Círculo de vida sana</t>
        </is>
      </c>
      <c r="B117" s="10208" t="n"/>
      <c r="C117" s="9644" t="n"/>
      <c r="D117" s="4113" t="n"/>
      <c r="E117" s="3908">
        <f>+F117+G117+H117+I117+J117+K117+L117+M117+N117+O117+P117+Q117+R117+S117+T117+U117</f>
        <v/>
      </c>
      <c r="F117" s="4090" t="n"/>
      <c r="G117" s="4114" t="n"/>
      <c r="H117" s="4115" t="n"/>
      <c r="I117" s="4091" t="n"/>
      <c r="J117" s="4091" t="n"/>
      <c r="K117" s="4091" t="n"/>
      <c r="L117" s="4091" t="n"/>
      <c r="M117" s="4091" t="n"/>
      <c r="N117" s="4091" t="n"/>
      <c r="O117" s="4091" t="n"/>
      <c r="P117" s="4091" t="n"/>
      <c r="Q117" s="4091" t="n"/>
      <c r="R117" s="4091" t="n"/>
      <c r="S117" s="4091" t="n"/>
      <c r="T117" s="4091" t="n"/>
      <c r="U117" s="4116" t="n"/>
      <c r="V117" s="5191" t="n"/>
      <c r="W117" s="4114" t="n"/>
      <c r="X117" s="17">
        <f>CA117&amp;CB117&amp;CC117</f>
        <v/>
      </c>
      <c r="CA117" s="90">
        <f>IF(AND(E117&gt;0,V117="")," * No olvide digitar la variable Gestantes. Digite CERO si no tiene.","")</f>
        <v/>
      </c>
      <c r="CB117" s="90">
        <f>IF(AND(E117&gt;0,W117="")," * No olvide digitar la variable Post Parto. Digite CERO si no tiene.","")</f>
        <v/>
      </c>
      <c r="CC117" s="90">
        <f>IF((V117+W117)&gt;E117," * La suma de Gestantes + Post Parto debe ser menor o igual al Nº de Participantes.","")</f>
        <v/>
      </c>
      <c r="CK117" s="52">
        <f>IF(AND(E117&gt;0,V117=""),1,0)</f>
        <v/>
      </c>
      <c r="CL117" s="52">
        <f>IF(AND(E117&gt;0,W117=""),1,0)</f>
        <v/>
      </c>
      <c r="CM117" s="52">
        <f>IF((V117+W117)&gt;E117,1,0)</f>
        <v/>
      </c>
    </row>
    <row r="118" ht="15" customFormat="1" customHeight="1" s="17">
      <c r="A118" s="10223" t="inlineStr">
        <is>
          <t>Actividades masivas</t>
        </is>
      </c>
      <c r="B118" s="9817" t="n"/>
      <c r="C118" s="9720" t="n"/>
      <c r="D118" s="4117" t="n"/>
      <c r="E118" s="1335">
        <f>+F118+G118+H118+I118+J118+K118+L118+M118+N118+O118+P118+Q118+R118+S118+T118+U118</f>
        <v/>
      </c>
      <c r="F118" s="4095" t="n"/>
      <c r="G118" s="1336" t="n"/>
      <c r="H118" s="4118" t="n"/>
      <c r="I118" s="4096" t="n"/>
      <c r="J118" s="4096" t="n"/>
      <c r="K118" s="4096" t="n"/>
      <c r="L118" s="4096" t="n"/>
      <c r="M118" s="4096" t="n"/>
      <c r="N118" s="4096" t="n"/>
      <c r="O118" s="4096" t="n"/>
      <c r="P118" s="4096" t="n"/>
      <c r="Q118" s="4096" t="n"/>
      <c r="R118" s="4096" t="n"/>
      <c r="S118" s="4096" t="n"/>
      <c r="T118" s="4096" t="n"/>
      <c r="U118" s="4119" t="n"/>
      <c r="V118" s="5192" t="n"/>
      <c r="W118" s="1336" t="n"/>
      <c r="X118" s="17">
        <f>CA118&amp;CB118&amp;CC118</f>
        <v/>
      </c>
      <c r="CA118" s="90">
        <f>IF(AND(E118&gt;0,V118="")," * No olvide digitar la variable Gestantes. Digite CERO si no tiene.","")</f>
        <v/>
      </c>
      <c r="CB118" s="90">
        <f>IF(AND(E118&gt;0,W118="")," * No olvide digitar la variable Post Parto. Digite CERO si no tiene.","")</f>
        <v/>
      </c>
      <c r="CC118" s="90">
        <f>IF((V118+W118)&gt;E118," * La suma de Gestantes + Post Parto debe ser menor o igual al Nº de Participantes.","")</f>
        <v/>
      </c>
      <c r="CK118" s="52">
        <f>IF(AND(E118&gt;0,V118=""),1,0)</f>
        <v/>
      </c>
      <c r="CL118" s="52">
        <f>IF(AND(E118&gt;0,W118=""),1,0)</f>
        <v/>
      </c>
      <c r="CM118" s="52">
        <f>IF((V118+W118)&gt;E118,1,0)</f>
        <v/>
      </c>
    </row>
    <row r="119" ht="18" customHeight="1" s="8286">
      <c r="A119" s="3923" t="inlineStr">
        <is>
          <t>SECCIÓN F: INTERVENCIONES POR PATRÓN DE CONSUMO DE ALCOHOL, TABACO Y OTRAS DROGAS</t>
        </is>
      </c>
      <c r="B119" s="4082" t="n"/>
      <c r="C119" s="4082" t="n"/>
      <c r="D119" s="461" t="n"/>
      <c r="E119" s="235" t="n"/>
      <c r="F119" s="235" t="n"/>
      <c r="G119" s="235" t="n"/>
      <c r="H119" s="3" t="n"/>
      <c r="I119" s="235" t="n"/>
      <c r="J119" s="235" t="n"/>
      <c r="K119" s="235" t="n"/>
      <c r="L119" s="235" t="n"/>
      <c r="M119" s="235" t="n"/>
    </row>
    <row r="120" ht="15" customFormat="1" customHeight="1" s="17">
      <c r="A120" s="10199" t="inlineStr">
        <is>
          <t>TIPO DE INTERVENCIÓN</t>
        </is>
      </c>
      <c r="B120" s="9602" t="n"/>
      <c r="C120" s="9630" t="n"/>
      <c r="D120" s="9240" t="inlineStr">
        <is>
          <t>Nº de intervenciones</t>
        </is>
      </c>
      <c r="E120" s="9915" t="inlineStr">
        <is>
          <t>RANGO ETARIO</t>
        </is>
      </c>
      <c r="F120" s="9584" t="n"/>
      <c r="G120" s="9584" t="n"/>
      <c r="H120" s="9584" t="n"/>
      <c r="I120" s="9584" t="n"/>
      <c r="J120" s="9595" t="n"/>
      <c r="K120" s="10413" t="inlineStr">
        <is>
          <t>SEXO</t>
        </is>
      </c>
      <c r="L120" s="9648" t="n"/>
    </row>
    <row r="121" ht="15" customFormat="1" customHeight="1" s="17">
      <c r="A121" s="9697" t="n"/>
      <c r="B121" s="9697" t="n"/>
      <c r="C121" s="9639" t="n"/>
      <c r="D121" s="9621" t="n"/>
      <c r="E121" s="3589" t="inlineStr">
        <is>
          <t>10-14 años</t>
        </is>
      </c>
      <c r="F121" s="3803" t="inlineStr">
        <is>
          <t>15-19 años</t>
        </is>
      </c>
      <c r="G121" s="3909" t="inlineStr">
        <is>
          <t>20-24 años</t>
        </is>
      </c>
      <c r="H121" s="3909" t="inlineStr">
        <is>
          <t>25-44 años</t>
        </is>
      </c>
      <c r="I121" s="8671" t="inlineStr">
        <is>
          <t>45-64 años</t>
        </is>
      </c>
      <c r="J121" s="3915" t="inlineStr">
        <is>
          <t>65 o más años</t>
        </is>
      </c>
      <c r="K121" s="3803" t="inlineStr">
        <is>
          <t>Hombres</t>
        </is>
      </c>
      <c r="L121" s="8757" t="inlineStr">
        <is>
          <t>Mujeres</t>
        </is>
      </c>
    </row>
    <row r="122" ht="15" customFormat="1" customHeight="1" s="17">
      <c r="A122" s="10226" t="inlineStr">
        <is>
          <t>Intervención Mínima
(Bajo riesgo)</t>
        </is>
      </c>
      <c r="B122" s="9630" t="n"/>
      <c r="C122" s="3906" t="inlineStr">
        <is>
          <t>Alcohol</t>
        </is>
      </c>
      <c r="D122" s="3785">
        <f>SUM(E122:J122)</f>
        <v/>
      </c>
      <c r="E122" s="3502" t="n"/>
      <c r="F122" s="3503" t="n"/>
      <c r="G122" s="835" t="n">
        <v>13</v>
      </c>
      <c r="H122" s="835" t="n">
        <v>68</v>
      </c>
      <c r="I122" s="835" t="n">
        <v>93</v>
      </c>
      <c r="J122" s="3517" t="n">
        <v>91</v>
      </c>
      <c r="K122" s="3503" t="n">
        <v>80</v>
      </c>
      <c r="L122" s="3520" t="n">
        <v>185</v>
      </c>
      <c r="M122" s="676">
        <f>CA122&amp;CB122</f>
        <v/>
      </c>
      <c r="CA122" s="219">
        <f>IF((K122+L122)&lt;&gt;D122," * El Nº de intervenciones debe ser igual a la suma por Sexo (Hombres + Mujeres).","")</f>
        <v/>
      </c>
      <c r="CB122" s="226" t="n"/>
      <c r="CK122" s="221">
        <f>IF((K122+L122)&lt;&gt;D122,1,0)</f>
        <v/>
      </c>
    </row>
    <row r="123" ht="15" customFormat="1" customHeight="1" s="17">
      <c r="A123" s="642" t="n"/>
      <c r="B123" s="9718" t="n"/>
      <c r="C123" s="4121" t="inlineStr">
        <is>
          <t>Tabaco</t>
        </is>
      </c>
      <c r="D123" s="3785">
        <f>SUM(E123:J123)</f>
        <v/>
      </c>
      <c r="E123" s="3787" t="n"/>
      <c r="F123" s="3789" t="n"/>
      <c r="G123" s="3891" t="n"/>
      <c r="H123" s="3891" t="n"/>
      <c r="I123" s="3891" t="n"/>
      <c r="J123" s="3894" t="n"/>
      <c r="K123" s="3789" t="n"/>
      <c r="L123" s="3788" t="n"/>
      <c r="M123" s="676">
        <f>CA123&amp;CB123</f>
        <v/>
      </c>
      <c r="CA123" s="219">
        <f>IF((K123+L123)&lt;&gt;D123," * El Nº de intervenciones debe ser igual a la suma por Sexo (Hombres + Mujeres).","")</f>
        <v/>
      </c>
      <c r="CB123" s="226" t="n"/>
      <c r="CK123" s="221">
        <f>IF((K123+L123)&lt;&gt;D123,1,0)</f>
        <v/>
      </c>
    </row>
    <row r="124" ht="15" customFormat="1" customHeight="1" s="17">
      <c r="A124" s="9638" t="n"/>
      <c r="B124" s="9639" t="n"/>
      <c r="C124" s="4121" t="inlineStr">
        <is>
          <t>Drogas</t>
        </is>
      </c>
      <c r="D124" s="3598">
        <f>SUM(E124:J124)</f>
        <v/>
      </c>
      <c r="E124" s="3808" t="n"/>
      <c r="F124" s="3818" t="n"/>
      <c r="G124" s="3599" t="n"/>
      <c r="H124" s="3599" t="n"/>
      <c r="I124" s="3599" t="n"/>
      <c r="J124" s="3899" t="n"/>
      <c r="K124" s="3818" t="n"/>
      <c r="L124" s="1192" t="n"/>
      <c r="M124" s="676">
        <f>CA124&amp;CB124</f>
        <v/>
      </c>
      <c r="CA124" s="219">
        <f>IF((K124+L124)&lt;&gt;D124," * El Nº de intervenciones debe ser igual a la suma por Sexo (Hombres + Mujeres).","")</f>
        <v/>
      </c>
      <c r="CB124" s="226" t="n"/>
      <c r="CK124" s="221">
        <f>IF((K124+L124)&lt;&gt;D124,1,0)</f>
        <v/>
      </c>
    </row>
    <row r="125" ht="15" customFormat="1" customHeight="1" s="17">
      <c r="A125" s="10226" t="inlineStr">
        <is>
          <t>Intervención breve o motivacional
(Riesgo)</t>
        </is>
      </c>
      <c r="B125" s="9630" t="n"/>
      <c r="C125" s="3906" t="inlineStr">
        <is>
          <t>Alcohol</t>
        </is>
      </c>
      <c r="D125" s="8320">
        <f>SUM(E125:J125)</f>
        <v/>
      </c>
      <c r="E125" s="1935" t="n"/>
      <c r="F125" s="1432" t="n"/>
      <c r="G125" s="793" t="n">
        <v>2</v>
      </c>
      <c r="H125" s="793" t="n">
        <v>6</v>
      </c>
      <c r="I125" s="793" t="n">
        <v>2</v>
      </c>
      <c r="J125" s="4002" t="n">
        <v>26</v>
      </c>
      <c r="K125" s="1432" t="n">
        <v>3</v>
      </c>
      <c r="L125" s="3805" t="n">
        <v>33</v>
      </c>
      <c r="M125" s="676">
        <f>CA125&amp;CB125</f>
        <v/>
      </c>
      <c r="CA125" s="219">
        <f>IF((K125+L125)&lt;&gt;D125," * El Nº de intervenciones debe ser igual a la suma por Sexo (Hombres + Mujeres).","")</f>
        <v/>
      </c>
      <c r="CB125" s="226" t="n"/>
      <c r="CK125" s="221">
        <f>IF((K125+L125)&lt;&gt;D125,1,0)</f>
        <v/>
      </c>
    </row>
    <row r="126" ht="15" customFormat="1" customHeight="1" s="17">
      <c r="A126" s="642" t="n"/>
      <c r="B126" s="9718" t="n"/>
      <c r="C126" s="4121" t="inlineStr">
        <is>
          <t>Tabaco</t>
        </is>
      </c>
      <c r="D126" s="3785">
        <f>SUM(E126:J126)</f>
        <v/>
      </c>
      <c r="E126" s="1179" t="n"/>
      <c r="F126" s="1181" t="n"/>
      <c r="G126" s="1228" t="n"/>
      <c r="H126" s="1228" t="n"/>
      <c r="I126" s="1228" t="n"/>
      <c r="J126" s="1231" t="n"/>
      <c r="K126" s="1181" t="n"/>
      <c r="L126" s="1180" t="n"/>
      <c r="M126" s="676">
        <f>CA126&amp;CB126</f>
        <v/>
      </c>
      <c r="CA126" s="219">
        <f>IF((K126+L126)&lt;&gt;D126," * El Nº de intervenciones debe ser igual a la suma por Sexo (Hombres + Mujeres).","")</f>
        <v/>
      </c>
      <c r="CB126" s="226" t="n"/>
      <c r="CK126" s="221">
        <f>IF((K126+L126)&lt;&gt;D126,1,0)</f>
        <v/>
      </c>
    </row>
    <row r="127" ht="15" customFormat="1" customHeight="1" s="17">
      <c r="A127" s="9638" t="n"/>
      <c r="B127" s="9639" t="n"/>
      <c r="C127" s="4121" t="inlineStr">
        <is>
          <t>Drogas</t>
        </is>
      </c>
      <c r="D127" s="3598">
        <f>SUM(E127:J127)</f>
        <v/>
      </c>
      <c r="E127" s="1179" t="n"/>
      <c r="F127" s="1181" t="n"/>
      <c r="G127" s="1228" t="n"/>
      <c r="H127" s="1228" t="n"/>
      <c r="I127" s="1228" t="n"/>
      <c r="J127" s="1231" t="n"/>
      <c r="K127" s="1181" t="n"/>
      <c r="L127" s="1180" t="n"/>
      <c r="M127" s="676">
        <f>CA127&amp;CB127</f>
        <v/>
      </c>
      <c r="CA127" s="219">
        <f>IF((K127+L127)&lt;&gt;D127," * El Nº de intervenciones debe ser igual a la suma por Sexo (Hombres + Mujeres).","")</f>
        <v/>
      </c>
      <c r="CB127" s="226" t="n"/>
      <c r="CK127" s="221">
        <f>IF((K127+L127)&lt;&gt;D127,1,0)</f>
        <v/>
      </c>
    </row>
    <row r="128" ht="15" customFormat="1" customHeight="1" s="17">
      <c r="A128" s="10226" t="inlineStr">
        <is>
          <t>Intervención referida asistida
(Perjudicial o dependencia)</t>
        </is>
      </c>
      <c r="B128" s="9630" t="n"/>
      <c r="C128" s="3906" t="inlineStr">
        <is>
          <t>Alcohol</t>
        </is>
      </c>
      <c r="D128" s="8320">
        <f>SUM(E128:J128)</f>
        <v/>
      </c>
      <c r="E128" s="3502" t="n"/>
      <c r="F128" s="3503" t="n"/>
      <c r="G128" s="835" t="n"/>
      <c r="H128" s="835" t="n"/>
      <c r="I128" s="835" t="n"/>
      <c r="J128" s="3517" t="n"/>
      <c r="K128" s="3503" t="n"/>
      <c r="L128" s="3520" t="n"/>
      <c r="M128" s="676">
        <f>CA128&amp;CB128</f>
        <v/>
      </c>
      <c r="CA128" s="219">
        <f>IF((K128+L128)&lt;&gt;D128," * El Nº de intervenciones debe ser igual a la suma por Sexo (Hombres + Mujeres).","")</f>
        <v/>
      </c>
      <c r="CB128" s="226" t="n"/>
      <c r="CK128" s="221">
        <f>IF((K128+L128)&lt;&gt;D128,1,0)</f>
        <v/>
      </c>
    </row>
    <row r="129" ht="15" customFormat="1" customHeight="1" s="17">
      <c r="A129" s="642" t="n"/>
      <c r="B129" s="9718" t="n"/>
      <c r="C129" s="4121" t="inlineStr">
        <is>
          <t>Tabaco</t>
        </is>
      </c>
      <c r="D129" s="3785">
        <f>SUM(E129:J129)</f>
        <v/>
      </c>
      <c r="E129" s="3787" t="n"/>
      <c r="F129" s="3789" t="n"/>
      <c r="G129" s="3891" t="n"/>
      <c r="H129" s="3891" t="n"/>
      <c r="I129" s="3891" t="n"/>
      <c r="J129" s="3894" t="n"/>
      <c r="K129" s="3789" t="n"/>
      <c r="L129" s="3788" t="n"/>
      <c r="M129" s="676">
        <f>CA129&amp;CB129</f>
        <v/>
      </c>
      <c r="CA129" s="219">
        <f>IF((K129+L129)&lt;&gt;D129," * El Nº de intervenciones debe ser igual a la suma por Sexo (Hombres + Mujeres).","")</f>
        <v/>
      </c>
      <c r="CB129" s="226" t="n"/>
      <c r="CK129" s="221">
        <f>IF((K129+L129)&lt;&gt;D129,1,0)</f>
        <v/>
      </c>
    </row>
    <row r="130" ht="15" customFormat="1" customHeight="1" s="17">
      <c r="A130" s="9638" t="n"/>
      <c r="B130" s="9639" t="n"/>
      <c r="C130" s="4121" t="inlineStr">
        <is>
          <t>Drogas</t>
        </is>
      </c>
      <c r="D130" s="3598">
        <f>SUM(E130:J130)</f>
        <v/>
      </c>
      <c r="E130" s="3808" t="n"/>
      <c r="F130" s="3818" t="n"/>
      <c r="G130" s="3599" t="n"/>
      <c r="H130" s="3599" t="n"/>
      <c r="I130" s="3599" t="n"/>
      <c r="J130" s="3899" t="n"/>
      <c r="K130" s="3818" t="n"/>
      <c r="L130" s="1192" t="n"/>
      <c r="M130" s="676">
        <f>CA130&amp;CB130</f>
        <v/>
      </c>
      <c r="CA130" s="219">
        <f>IF((K130+L130)&lt;&gt;D130," * El Nº de intervenciones debe ser igual a la suma por Sexo (Hombres + Mujeres).","")</f>
        <v/>
      </c>
      <c r="CB130" s="226" t="n"/>
      <c r="CK130" s="221">
        <f>IF((K130+L130)&lt;&gt;D130,1,0)</f>
        <v/>
      </c>
    </row>
    <row r="131" ht="18" customHeight="1" s="8286">
      <c r="A131" s="3923" t="inlineStr">
        <is>
          <t>SECCIÓN G: PERSONAS QUE INGRESAN A TALLERES PARA PADRES DEL PROGRAMA DE APOYO A LA SALUD MENTAL INFANTIL (PASMI)</t>
        </is>
      </c>
      <c r="B131" s="4081" t="n"/>
      <c r="C131" s="4081" t="n"/>
      <c r="D131" s="4081" t="n"/>
      <c r="E131" s="4122" t="n"/>
      <c r="F131" s="4122" t="n"/>
      <c r="G131" s="235" t="n"/>
      <c r="H131" s="235" t="n"/>
      <c r="I131" s="235" t="n"/>
      <c r="J131" s="235" t="n"/>
      <c r="K131" s="235" t="n"/>
      <c r="L131" s="235" t="n"/>
    </row>
    <row r="132" ht="24" customHeight="1" s="8286">
      <c r="A132" s="8462" t="inlineStr">
        <is>
          <t>CONCEPTO</t>
        </is>
      </c>
      <c r="B132" s="9108" t="inlineStr">
        <is>
          <t>Total de Padres, Madres o Cuidadores de 5 a 9 años</t>
        </is>
      </c>
      <c r="C132" s="7976" t="inlineStr">
        <is>
          <t>Total de talleres</t>
        </is>
      </c>
      <c r="D132" s="7253" t="inlineStr">
        <is>
          <t>Total de sesiones</t>
        </is>
      </c>
      <c r="E132" s="235" t="n"/>
      <c r="F132" s="235" t="n"/>
      <c r="G132" s="235" t="n"/>
      <c r="H132" s="235" t="n"/>
      <c r="I132" s="235" t="n"/>
      <c r="J132" s="235" t="n"/>
      <c r="K132" s="235" t="n"/>
      <c r="L132" s="235" t="n"/>
    </row>
    <row r="133" ht="15" customHeight="1" s="8286">
      <c r="A133" s="3928" t="inlineStr">
        <is>
          <t>Taller Nadie es Perfecto (PASMI)</t>
        </is>
      </c>
      <c r="B133" s="4123" t="n"/>
      <c r="C133" s="3775" t="n"/>
      <c r="D133" s="3900" t="n"/>
      <c r="E133" s="913" t="n"/>
      <c r="F133" s="235" t="n"/>
      <c r="G133" s="235" t="n"/>
      <c r="H133" s="235" t="n"/>
      <c r="I133" s="235" t="n"/>
      <c r="J133" s="235" t="n"/>
      <c r="K133" s="235" t="n"/>
      <c r="L133" s="235" t="n"/>
    </row>
    <row r="134" ht="18" customHeight="1" s="8286">
      <c r="A134" s="3923" t="inlineStr">
        <is>
          <t>SECCIÓN H: ORGANIZACIONES SOCIALES DE LA RED DEL PROGRAMA MÁS ADULTOS MAYORES AUTOVALENTES</t>
        </is>
      </c>
      <c r="B134" s="4081" t="n"/>
      <c r="C134" s="4081" t="n"/>
      <c r="D134" s="4081" t="n"/>
      <c r="E134" s="4124" t="n"/>
      <c r="F134" s="4124" t="n"/>
      <c r="G134" s="4124" t="n"/>
      <c r="H134" s="4124" t="n"/>
      <c r="I134" s="4124" t="n"/>
      <c r="J134" s="235" t="n"/>
      <c r="K134" s="235" t="n"/>
      <c r="L134" s="235" t="n"/>
    </row>
    <row r="135" ht="15" customFormat="1" customHeight="1" s="17">
      <c r="A135" s="9694" t="inlineStr">
        <is>
          <t>CONCEPTO</t>
        </is>
      </c>
      <c r="B135" s="8400" t="inlineStr">
        <is>
          <t>POR TIPO DE ORGANIZACIÓN</t>
        </is>
      </c>
      <c r="C135" s="9584" t="n"/>
      <c r="D135" s="9584" t="n"/>
      <c r="E135" s="9584" t="n"/>
      <c r="F135" s="9584" t="n"/>
      <c r="G135" s="9584" t="n"/>
      <c r="H135" s="9584" t="n"/>
      <c r="I135" s="9582" t="n"/>
      <c r="J135" s="6" t="n"/>
      <c r="K135" s="6" t="n"/>
      <c r="L135" s="6" t="n"/>
    </row>
    <row r="136" ht="42.75" customFormat="1" customHeight="1" s="17">
      <c r="A136" s="9589" t="n"/>
      <c r="B136" s="8670" t="inlineStr">
        <is>
          <t>N° Total de Organizaciones</t>
        </is>
      </c>
      <c r="C136" s="3589" t="inlineStr">
        <is>
          <t>Clubes de Adultos Mayores</t>
        </is>
      </c>
      <c r="D136" s="3909" t="inlineStr">
        <is>
          <t>Centros de Madres</t>
        </is>
      </c>
      <c r="E136" s="3909" t="inlineStr">
        <is>
          <t>Clubes Deportivos</t>
        </is>
      </c>
      <c r="F136" s="3909" t="inlineStr">
        <is>
          <t>Uniones Comunales de Adultos Mayores</t>
        </is>
      </c>
      <c r="G136" s="3909" t="inlineStr">
        <is>
          <t>Junta de Vecinos</t>
        </is>
      </c>
      <c r="H136" s="3909" t="inlineStr">
        <is>
          <t>Organizaciones Informales</t>
        </is>
      </c>
      <c r="I136" s="8757" t="inlineStr">
        <is>
          <t>Otras organizaciones Formales</t>
        </is>
      </c>
      <c r="J136" s="6" t="n"/>
      <c r="K136" s="6" t="n"/>
      <c r="L136" s="6" t="n"/>
    </row>
    <row r="137" ht="31.5" customFormat="1" customHeight="1" s="17">
      <c r="A137" s="3694" t="inlineStr">
        <is>
          <t>Organizaciones ingresadas al programa de estimulación funcional del programa más adultos mayores autovalentes</t>
        </is>
      </c>
      <c r="B137" s="3999">
        <f>SUM(C137:I137)</f>
        <v/>
      </c>
      <c r="C137" s="3502" t="n"/>
      <c r="D137" s="835" t="n"/>
      <c r="E137" s="835" t="n"/>
      <c r="F137" s="835" t="n"/>
      <c r="G137" s="835" t="n"/>
      <c r="H137" s="835" t="n"/>
      <c r="I137" s="3520" t="n"/>
      <c r="J137" s="6" t="n"/>
      <c r="K137" s="6" t="n"/>
      <c r="L137" s="6" t="n"/>
    </row>
    <row r="138" ht="21" customFormat="1" customHeight="1" s="17">
      <c r="A138" s="3697" t="inlineStr">
        <is>
          <t>Organizaciones con lideres comunitarios capacitados por el programa más adultos mayores autovalentes</t>
        </is>
      </c>
      <c r="B138" s="3939">
        <f>SUM(C138:I138)</f>
        <v/>
      </c>
      <c r="C138" s="3787" t="n"/>
      <c r="D138" s="3891" t="n"/>
      <c r="E138" s="3891" t="n"/>
      <c r="F138" s="3891" t="n"/>
      <c r="G138" s="3891" t="n"/>
      <c r="H138" s="3891" t="n"/>
      <c r="I138" s="3788" t="n"/>
      <c r="J138" s="6" t="n"/>
      <c r="K138" s="6" t="n"/>
      <c r="L138" s="6" t="n"/>
    </row>
    <row r="139" ht="15" customFormat="1" customHeight="1" s="17">
      <c r="A139" s="4125" t="inlineStr">
        <is>
          <t>N° de lideres Capacitados por tipo de organización</t>
        </is>
      </c>
      <c r="B139" s="4001">
        <f>SUM(C139:I139)</f>
        <v/>
      </c>
      <c r="C139" s="2644" t="n"/>
      <c r="D139" s="155" t="n"/>
      <c r="E139" s="155" t="n"/>
      <c r="F139" s="155" t="n"/>
      <c r="G139" s="155" t="n"/>
      <c r="H139" s="155" t="n"/>
      <c r="I139" s="2645" t="n"/>
      <c r="J139" s="6" t="n"/>
      <c r="K139" s="6" t="n"/>
      <c r="L139" s="6" t="n"/>
    </row>
    <row r="140" ht="18" customHeight="1" s="8286">
      <c r="A140" s="3923" t="inlineStr">
        <is>
          <t>SECCIÓN I: SERVICIOS DE LA RED DEL PROGRAMA MÁS ADULTOS MAYORES AUTOVALENTES</t>
        </is>
      </c>
      <c r="B140" s="235" t="n"/>
      <c r="C140" s="235" t="n"/>
      <c r="D140" s="235" t="n"/>
      <c r="E140" s="235" t="n"/>
      <c r="F140" s="235" t="n"/>
      <c r="G140" s="235" t="n"/>
      <c r="H140" s="235" t="n"/>
      <c r="I140" s="235" t="n"/>
      <c r="J140" s="235" t="n"/>
      <c r="K140" s="235" t="n"/>
      <c r="L140" s="235" t="n"/>
      <c r="M140" s="235" t="n"/>
    </row>
    <row r="141" ht="15" customFormat="1" customHeight="1" s="17">
      <c r="A141" s="9694" t="inlineStr">
        <is>
          <t>CONCEPTO</t>
        </is>
      </c>
      <c r="B141" s="9690" t="inlineStr">
        <is>
          <t>N° Total de Servicios</t>
        </is>
      </c>
      <c r="C141" s="8490" t="inlineStr">
        <is>
          <t>POR TIPO DE SERVICIO</t>
        </is>
      </c>
      <c r="D141" s="9584" t="n"/>
      <c r="E141" s="9584" t="n"/>
      <c r="F141" s="9584" t="n"/>
      <c r="G141" s="9584" t="n"/>
      <c r="H141" s="9584" t="n"/>
      <c r="I141" s="9584" t="n"/>
      <c r="J141" s="9584" t="n"/>
      <c r="K141" s="9584" t="n"/>
      <c r="L141" s="9584" t="n"/>
      <c r="M141" s="9582" t="n"/>
    </row>
    <row r="142" ht="31.5" customFormat="1" customHeight="1" s="17">
      <c r="A142" s="9589" t="n"/>
      <c r="B142" s="9589" t="n"/>
      <c r="C142" s="3589" t="inlineStr">
        <is>
          <t xml:space="preserve">Unidad Municipal de Personas Mayores </t>
        </is>
      </c>
      <c r="D142" s="3909" t="inlineStr">
        <is>
          <t>Unidad Municipal de Atención Social</t>
        </is>
      </c>
      <c r="E142" s="3909" t="inlineStr">
        <is>
          <t>Unidad Municipal de Deportes</t>
        </is>
      </c>
      <c r="F142" s="3909" t="inlineStr">
        <is>
          <t>Unidad Municipal Turismo</t>
        </is>
      </c>
      <c r="G142" s="3909" t="inlineStr">
        <is>
          <t>Unidad Municipal Educación</t>
        </is>
      </c>
      <c r="H142" s="3909" t="inlineStr">
        <is>
          <t>Biblioteca Municipal</t>
        </is>
      </c>
      <c r="I142" s="3909" t="inlineStr">
        <is>
          <t>Unidad Cultural Municipal</t>
        </is>
      </c>
      <c r="J142" s="3909" t="inlineStr">
        <is>
          <t>Otras Unidades Municipales</t>
        </is>
      </c>
      <c r="K142" s="3909" t="inlineStr">
        <is>
          <t>Escuelas o Colegios</t>
        </is>
      </c>
      <c r="L142" s="3909" t="inlineStr">
        <is>
          <t>Universidades</t>
        </is>
      </c>
      <c r="M142" s="8757" t="inlineStr">
        <is>
          <t>Otras Unidades externas al Municipio</t>
        </is>
      </c>
    </row>
    <row r="143" ht="21" customFormat="1" customHeight="1" s="17">
      <c r="A143" s="3694" t="inlineStr">
        <is>
          <t>Servicios Locales con oferta programática para personas mayores (total o parcial)</t>
        </is>
      </c>
      <c r="B143" s="3999">
        <f>SUM(C143:M143)</f>
        <v/>
      </c>
      <c r="C143" s="3502" t="n"/>
      <c r="D143" s="835" t="n"/>
      <c r="E143" s="835" t="n"/>
      <c r="F143" s="835" t="n"/>
      <c r="G143" s="835" t="n"/>
      <c r="H143" s="835" t="n"/>
      <c r="I143" s="835" t="n"/>
      <c r="J143" s="835" t="n"/>
      <c r="K143" s="835" t="n"/>
      <c r="L143" s="835" t="n"/>
      <c r="M143" s="3520" t="n"/>
    </row>
    <row r="144" ht="42" customFormat="1" customHeight="1" s="17">
      <c r="A144" s="3336" t="inlineStr">
        <is>
          <t>Servicios locales con planes intersectoriales para el fomento del autocuidado y estimulación funcional del desarrollo junto al Programa Más Adultos Mayores Autovalentes</t>
        </is>
      </c>
      <c r="B144" s="4001">
        <f>SUM(C144:M144)</f>
        <v/>
      </c>
      <c r="C144" s="2644" t="n"/>
      <c r="D144" s="155" t="n"/>
      <c r="E144" s="155" t="n"/>
      <c r="F144" s="155" t="n"/>
      <c r="G144" s="155" t="n"/>
      <c r="H144" s="155" t="n"/>
      <c r="I144" s="155" t="n"/>
      <c r="J144" s="155" t="n"/>
      <c r="K144" s="155" t="n"/>
      <c r="L144" s="155" t="n"/>
      <c r="M144" s="2645" t="n"/>
    </row>
    <row r="145" ht="18" customHeight="1" s="8286">
      <c r="A145" s="3923" t="inlineStr">
        <is>
          <t xml:space="preserve">SECCIÓN J: TALLERES GRUPALES  DE LACTANCIA MATERNA EN ATENCIÓN PRIMARIA </t>
        </is>
      </c>
      <c r="B145" s="237" t="n"/>
      <c r="C145" s="235" t="n"/>
      <c r="D145" s="235" t="n"/>
      <c r="E145" s="235" t="n"/>
      <c r="F145" s="235" t="n"/>
      <c r="G145" s="235" t="n"/>
      <c r="H145" s="235" t="n"/>
      <c r="I145" s="235" t="n"/>
      <c r="J145" s="235" t="n"/>
      <c r="K145" s="235" t="n"/>
      <c r="L145" s="235" t="n"/>
      <c r="M145" s="235" t="n"/>
      <c r="N145" s="235" t="n"/>
      <c r="O145" s="235" t="n"/>
      <c r="P145" s="235" t="n"/>
    </row>
    <row r="146" ht="15" customFormat="1" customHeight="1" s="17">
      <c r="A146" s="9694" t="inlineStr">
        <is>
          <t>CONCEPTO</t>
        </is>
      </c>
      <c r="B146" s="9693" t="inlineStr">
        <is>
          <t>Nº de talleres</t>
        </is>
      </c>
      <c r="C146" s="10555" t="inlineStr">
        <is>
          <t>RANGO ETARIO</t>
        </is>
      </c>
      <c r="D146" s="9617" t="n"/>
      <c r="E146" s="9617" t="n"/>
      <c r="F146" s="9597" t="n"/>
      <c r="G146" s="9916" t="inlineStr">
        <is>
          <t>Pueblos Originarios</t>
        </is>
      </c>
      <c r="H146" s="8400" t="inlineStr">
        <is>
          <t>Migrantes</t>
        </is>
      </c>
      <c r="I146" s="6" t="n"/>
      <c r="J146" s="6" t="n"/>
      <c r="K146" s="6" t="n"/>
      <c r="L146" s="6" t="n"/>
      <c r="M146" s="6" t="n"/>
      <c r="N146" s="6" t="n"/>
      <c r="O146" s="6" t="n"/>
      <c r="P146" s="6" t="n"/>
    </row>
    <row r="147" ht="30" customFormat="1" customHeight="1" s="17">
      <c r="A147" s="9589" t="n"/>
      <c r="B147" s="10028" t="n"/>
      <c r="C147" s="3888" t="inlineStr">
        <is>
          <t xml:space="preserve"> De 0 a 29 días</t>
        </is>
      </c>
      <c r="D147" s="3909" t="inlineStr">
        <is>
          <t>De 1 mes a 2 meses 29 días</t>
        </is>
      </c>
      <c r="E147" s="3909" t="inlineStr">
        <is>
          <t>De 3 meses a 5 meses 29 días</t>
        </is>
      </c>
      <c r="F147" s="3915" t="inlineStr">
        <is>
          <t>De 6 meses a 11 meses 29 días</t>
        </is>
      </c>
      <c r="G147" s="9890" t="n"/>
      <c r="H147" s="9610" t="n"/>
      <c r="I147" s="6" t="n"/>
      <c r="J147" s="6" t="n"/>
      <c r="K147" s="6" t="n"/>
      <c r="L147" s="6" t="n"/>
      <c r="M147" s="6" t="n"/>
      <c r="N147" s="6" t="n"/>
      <c r="O147" s="6" t="n"/>
      <c r="P147" s="6" t="n"/>
    </row>
    <row r="148" ht="21" customFormat="1" customHeight="1" s="17">
      <c r="A148" s="3694" t="inlineStr">
        <is>
          <t>Número de Talleres de Lactancia Materna realizada en Atención Primaria a menores de un año</t>
        </is>
      </c>
      <c r="B148" s="3996" t="n"/>
      <c r="C148" s="3263" t="n"/>
      <c r="D148" s="835" t="n"/>
      <c r="E148" s="835" t="n"/>
      <c r="F148" s="1940" t="n"/>
      <c r="G148" s="4512" t="n"/>
      <c r="H148" s="5189" t="n"/>
      <c r="I148" s="676">
        <f>CA148&amp;CB148</f>
        <v/>
      </c>
      <c r="J148" s="235" t="n"/>
      <c r="K148" s="235" t="n"/>
      <c r="L148" s="235" t="n"/>
      <c r="M148" s="235" t="n"/>
      <c r="N148" s="235" t="n"/>
      <c r="O148" s="235" t="n"/>
      <c r="P148" s="235" t="n"/>
      <c r="Q148" s="235" t="n"/>
      <c r="R148" s="235" t="n"/>
      <c r="S148" s="235" t="n"/>
      <c r="T148" s="235" t="n"/>
      <c r="U148" s="235" t="n"/>
      <c r="V148" s="235" t="n"/>
      <c r="W148" s="235" t="n"/>
      <c r="X148" s="235" t="n"/>
      <c r="Y148" s="235" t="n"/>
      <c r="Z148" s="235" t="n"/>
      <c r="AA148" s="235" t="n"/>
      <c r="AB148" s="235" t="n"/>
      <c r="AC148" s="235" t="n"/>
      <c r="AD148" s="235" t="n"/>
      <c r="AE148" s="235" t="n"/>
      <c r="AF148" s="235" t="n"/>
      <c r="AG148" s="235" t="n"/>
      <c r="AH148" s="235" t="n"/>
      <c r="AI148" s="235" t="n"/>
      <c r="AJ148" s="235" t="n"/>
      <c r="AK148" s="235" t="n"/>
      <c r="AL148" s="235" t="n"/>
      <c r="AM148" s="235" t="n"/>
      <c r="AN148" s="235" t="n"/>
      <c r="AO148" s="235" t="n"/>
      <c r="AP148" s="235" t="n"/>
      <c r="AQ148" s="235" t="n"/>
      <c r="AR148" s="235" t="n"/>
      <c r="AS148" s="235" t="n"/>
      <c r="AT148" s="235" t="n"/>
      <c r="AU148" s="235" t="n"/>
      <c r="AV148" s="235" t="n"/>
      <c r="AW148" s="235" t="n"/>
      <c r="AX148" s="235" t="n"/>
      <c r="AY148" s="235" t="n"/>
      <c r="AZ148" s="235" t="n"/>
      <c r="BA148" s="235" t="n"/>
      <c r="BB148" s="235" t="n"/>
      <c r="BC148" s="235" t="n"/>
      <c r="BD148" s="235" t="n"/>
      <c r="BE148" s="235" t="n"/>
      <c r="BF148" s="235" t="n"/>
      <c r="BG148" s="235" t="n"/>
      <c r="BH148" s="235" t="n"/>
      <c r="BI148" s="235" t="n"/>
      <c r="BJ148" s="235" t="n"/>
      <c r="BK148" s="235" t="n"/>
      <c r="BL148" s="235" t="n"/>
      <c r="BM148" s="235" t="n"/>
      <c r="BN148" s="235" t="n"/>
      <c r="BO148" s="235" t="n"/>
      <c r="BP148" s="235" t="n"/>
      <c r="BQ148" s="235" t="n"/>
      <c r="BR148" s="235" t="n"/>
      <c r="BS148" s="235" t="n"/>
      <c r="BT148" s="235" t="n"/>
      <c r="BU148" s="235" t="n"/>
      <c r="BV148" s="235" t="n"/>
      <c r="BW148" s="235" t="n"/>
      <c r="BX148" s="235" t="n"/>
      <c r="BY148" s="909" t="n"/>
      <c r="BZ148" s="909" t="n"/>
      <c r="CA148" s="90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 t="n"/>
      <c r="CD148" s="226" t="n"/>
      <c r="CE148" s="226" t="n"/>
      <c r="CF148" s="226" t="n"/>
      <c r="CK148" s="376">
        <f>IF(AND(G148="",SUM(C148:F148)&lt;&gt;0),1,0)</f>
        <v/>
      </c>
      <c r="CL148" s="376">
        <f>IF(AND(H148="",SUM(C148:F148)&lt;&gt;0),1,0)</f>
        <v/>
      </c>
      <c r="CM148" s="376">
        <f>IF(SUM(C148:F148)&lt;G148,1,0)</f>
        <v/>
      </c>
      <c r="CN148" s="376">
        <f>IF(SUM(C148:F148)&lt;H148,1,0)</f>
        <v/>
      </c>
    </row>
    <row r="149" ht="21" customFormat="1" customHeight="1" s="17">
      <c r="A149" s="3336" t="inlineStr">
        <is>
          <t>Número de participantes de Talleres de Lactancia Materna en Atención Primaria a Menores de un año</t>
        </is>
      </c>
      <c r="B149" s="4126" t="n"/>
      <c r="C149" s="159" t="n"/>
      <c r="D149" s="155" t="n"/>
      <c r="E149" s="155" t="n"/>
      <c r="F149" s="176" t="n"/>
      <c r="G149" s="5181" t="n"/>
      <c r="H149" s="5362" t="n"/>
      <c r="I149" s="676">
        <f>CA149&amp;CB149&amp;CC149&amp;CD149</f>
        <v/>
      </c>
      <c r="J149" s="235" t="n"/>
      <c r="K149" s="235" t="n"/>
      <c r="L149" s="235" t="n"/>
      <c r="M149" s="235" t="n"/>
      <c r="N149" s="235" t="n"/>
      <c r="O149" s="235" t="n"/>
      <c r="P149" s="235" t="n"/>
      <c r="Q149" s="235" t="n"/>
      <c r="R149" s="235" t="n"/>
      <c r="S149" s="235" t="n"/>
      <c r="T149" s="235" t="n"/>
      <c r="U149" s="235" t="n"/>
      <c r="V149" s="235" t="n"/>
      <c r="W149" s="235" t="n"/>
      <c r="X149" s="235" t="n"/>
      <c r="Y149" s="235" t="n"/>
      <c r="Z149" s="235" t="n"/>
      <c r="AA149" s="235" t="n"/>
      <c r="AB149" s="235" t="n"/>
      <c r="AC149" s="235" t="n"/>
      <c r="AD149" s="235" t="n"/>
      <c r="AE149" s="235" t="n"/>
      <c r="AF149" s="235" t="n"/>
      <c r="AG149" s="235" t="n"/>
      <c r="AH149" s="235" t="n"/>
      <c r="AI149" s="235" t="n"/>
      <c r="AJ149" s="235" t="n"/>
      <c r="AK149" s="235" t="n"/>
      <c r="AL149" s="235" t="n"/>
      <c r="AM149" s="235" t="n"/>
      <c r="AN149" s="235" t="n"/>
      <c r="AO149" s="235" t="n"/>
      <c r="AP149" s="235" t="n"/>
      <c r="AQ149" s="235" t="n"/>
      <c r="AR149" s="235" t="n"/>
      <c r="AS149" s="235" t="n"/>
      <c r="AT149" s="235" t="n"/>
      <c r="AU149" s="235" t="n"/>
      <c r="AV149" s="235" t="n"/>
      <c r="AW149" s="235" t="n"/>
      <c r="AX149" s="235" t="n"/>
      <c r="AY149" s="235" t="n"/>
      <c r="AZ149" s="235" t="n"/>
      <c r="BA149" s="235" t="n"/>
      <c r="BB149" s="235" t="n"/>
      <c r="BC149" s="235" t="n"/>
      <c r="BD149" s="235" t="n"/>
      <c r="BE149" s="235" t="n"/>
      <c r="BF149" s="235" t="n"/>
      <c r="BG149" s="235" t="n"/>
      <c r="BH149" s="235" t="n"/>
      <c r="BI149" s="235" t="n"/>
      <c r="BJ149" s="235" t="n"/>
      <c r="BK149" s="235" t="n"/>
      <c r="BL149" s="235" t="n"/>
      <c r="BM149" s="235" t="n"/>
      <c r="BN149" s="235" t="n"/>
      <c r="BO149" s="235" t="n"/>
      <c r="BP149" s="235" t="n"/>
      <c r="BQ149" s="235" t="n"/>
      <c r="BR149" s="235" t="n"/>
      <c r="BS149" s="235" t="n"/>
      <c r="BT149" s="235" t="n"/>
      <c r="BU149" s="235" t="n"/>
      <c r="BV149" s="235" t="n"/>
      <c r="BW149" s="235" t="n"/>
      <c r="BX149" s="235" t="n"/>
      <c r="BY149" s="909" t="n"/>
      <c r="BZ149" s="909" t="n"/>
      <c r="CA149" s="90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 t="n"/>
      <c r="CD149" s="226" t="n"/>
      <c r="CE149" s="226" t="n"/>
      <c r="CF149" s="226" t="n"/>
      <c r="CK149" s="376">
        <f>IF(AND(G149="",SUM(C149:F149)&lt;&gt;0),1,0)</f>
        <v/>
      </c>
      <c r="CL149" s="376">
        <f>IF(AND(H149="",SUM(C149:F149)&lt;&gt;0),1,0)</f>
        <v/>
      </c>
      <c r="CM149" s="376">
        <f>IF(SUM(C149:F149)&lt;G149,1,0)</f>
        <v/>
      </c>
      <c r="CN149" s="376">
        <f>IF(SUM(C149:F149)&lt;H149,1,0)</f>
        <v/>
      </c>
    </row>
    <row r="150" ht="18" customHeight="1" s="8286">
      <c r="A150" s="462" t="inlineStr">
        <is>
          <t>SECCIÓN K: INTERVENCIONES POSTERIOR AL TAMIZAJE DE SALUD MENTAL</t>
        </is>
      </c>
      <c r="B150" s="462" t="n"/>
      <c r="C150" s="462" t="n"/>
      <c r="D150" s="463" t="n"/>
      <c r="E150" s="464" t="n"/>
      <c r="F150" s="464" t="n"/>
      <c r="G150" s="464" t="n"/>
      <c r="H150" s="464" t="n"/>
      <c r="I150" s="464" t="n"/>
      <c r="J150" s="465" t="n"/>
      <c r="K150" s="464" t="n"/>
      <c r="L150" s="464" t="n"/>
      <c r="M150" s="464" t="n"/>
      <c r="N150" s="464" t="n"/>
      <c r="O150" s="464" t="n"/>
      <c r="P150" s="464" t="n"/>
    </row>
    <row r="151" ht="15" customFormat="1" customHeight="1" s="17">
      <c r="A151" s="10556" t="inlineStr">
        <is>
          <t>TIPO DE INTERVENCIÓN</t>
        </is>
      </c>
      <c r="B151" s="9724" t="n"/>
      <c r="C151" s="9827" t="n"/>
      <c r="D151" s="10557" t="inlineStr">
        <is>
          <t>Nº de intervenciones</t>
        </is>
      </c>
      <c r="E151" s="10558" t="inlineStr">
        <is>
          <t>POR RANGO ETARIO</t>
        </is>
      </c>
      <c r="F151" s="9584" t="n"/>
      <c r="G151" s="9584" t="n"/>
      <c r="H151" s="9584" t="n"/>
      <c r="I151" s="9584" t="n"/>
      <c r="J151" s="9584" t="n"/>
      <c r="K151" s="9584" t="n"/>
      <c r="L151" s="9584" t="n"/>
      <c r="M151" s="9584" t="n"/>
      <c r="N151" s="9584" t="n"/>
      <c r="O151" s="9584" t="n"/>
      <c r="P151" s="9595" t="n"/>
      <c r="Q151" s="10556" t="inlineStr">
        <is>
          <t>SEXO</t>
        </is>
      </c>
      <c r="R151" s="9726" t="n"/>
    </row>
    <row r="152" ht="20.1" customFormat="1" customHeight="1" s="17">
      <c r="A152" s="9833" t="n"/>
      <c r="B152" s="9833" t="n"/>
      <c r="C152" s="9672" t="n"/>
      <c r="D152" s="9843" t="n"/>
      <c r="E152" s="466" t="inlineStr">
        <is>
          <t>0-4 años</t>
        </is>
      </c>
      <c r="F152" s="467" t="inlineStr">
        <is>
          <t>5-9 años</t>
        </is>
      </c>
      <c r="G152" s="467" t="inlineStr">
        <is>
          <t>10-14 años</t>
        </is>
      </c>
      <c r="H152" s="467" t="inlineStr">
        <is>
          <t>15-19 años</t>
        </is>
      </c>
      <c r="I152" s="467" t="inlineStr">
        <is>
          <t>20-24 años</t>
        </is>
      </c>
      <c r="J152" s="467" t="inlineStr">
        <is>
          <t>25-29 años</t>
        </is>
      </c>
      <c r="K152" s="467" t="inlineStr">
        <is>
          <t>30-44 años</t>
        </is>
      </c>
      <c r="L152" s="467" t="inlineStr">
        <is>
          <t>45-59 años</t>
        </is>
      </c>
      <c r="M152" s="467" t="inlineStr">
        <is>
          <t xml:space="preserve">60 a 64 años </t>
        </is>
      </c>
      <c r="N152" s="467" t="inlineStr">
        <is>
          <t>65-69 años</t>
        </is>
      </c>
      <c r="O152" s="467" t="inlineStr">
        <is>
          <t>70-79 años</t>
        </is>
      </c>
      <c r="P152" s="468" t="inlineStr">
        <is>
          <t>80 y más años</t>
        </is>
      </c>
      <c r="Q152" s="469" t="inlineStr">
        <is>
          <t>Hombres</t>
        </is>
      </c>
      <c r="R152" s="470" t="inlineStr">
        <is>
          <t>Mujeres</t>
        </is>
      </c>
    </row>
    <row r="153" ht="15" customFormat="1" customHeight="1" s="17">
      <c r="A153" s="10559" t="inlineStr">
        <is>
          <t>Consejería en contexto de tamizaje</t>
        </is>
      </c>
      <c r="B153" s="9827" t="n"/>
      <c r="C153" s="471" t="inlineStr">
        <is>
          <t>Nº DE M-CHAT-R/F</t>
        </is>
      </c>
      <c r="D153" s="472">
        <f>+E153</f>
        <v/>
      </c>
      <c r="E153" s="473" t="n"/>
      <c r="F153" s="474" t="n"/>
      <c r="G153" s="474" t="n"/>
      <c r="H153" s="474" t="n"/>
      <c r="I153" s="474" t="n"/>
      <c r="J153" s="474" t="n"/>
      <c r="K153" s="474" t="n"/>
      <c r="L153" s="474" t="n"/>
      <c r="M153" s="474" t="n"/>
      <c r="N153" s="474" t="n"/>
      <c r="O153" s="474" t="n"/>
      <c r="P153" s="475" t="n"/>
      <c r="Q153" s="476" t="n"/>
      <c r="R153" s="477" t="n"/>
      <c r="S153" s="17">
        <f>CA153&amp;CB153</f>
        <v/>
      </c>
      <c r="CA153" s="914" t="n"/>
      <c r="CB153" s="219">
        <f>IF((D153&lt;&gt; Q153+R153)," * La suma de Sexo (Hombres + Mujeres) debe ser igual al N° de Intervenciones.","")</f>
        <v/>
      </c>
      <c r="CK153" s="127">
        <f>IF(AND(D153&gt;0,Q153="",R153=""),1,0)</f>
        <v/>
      </c>
      <c r="CL153" s="221">
        <f>IF((D153&lt;&gt; Q153+R153),1,0)</f>
        <v/>
      </c>
    </row>
    <row r="154" ht="15" customFormat="1" customHeight="1" s="17">
      <c r="A154" s="9727" t="n"/>
      <c r="B154" s="9668" t="n"/>
      <c r="C154" s="478" t="inlineStr">
        <is>
          <t>Nº de Cuestionario PSC-17</t>
        </is>
      </c>
      <c r="D154" s="472">
        <f>+F154</f>
        <v/>
      </c>
      <c r="E154" s="479" t="n"/>
      <c r="F154" s="480" t="n"/>
      <c r="G154" s="481" t="n"/>
      <c r="H154" s="481" t="n"/>
      <c r="I154" s="481" t="n"/>
      <c r="J154" s="481" t="n"/>
      <c r="K154" s="481" t="n"/>
      <c r="L154" s="481" t="n"/>
      <c r="M154" s="481" t="n"/>
      <c r="N154" s="481" t="n"/>
      <c r="O154" s="481" t="n"/>
      <c r="P154" s="482" t="n"/>
      <c r="Q154" s="483" t="n"/>
      <c r="R154" s="484" t="n"/>
      <c r="S154" s="17">
        <f>CA154&amp;CB154</f>
        <v/>
      </c>
      <c r="CA154" s="788" t="n"/>
      <c r="CB154" s="219">
        <f>IF((D154&lt;&gt; Q154+R154)," * La suma de Sexo (Hombres + Mujeres) debe ser igual al N° de Intervenciones.","")</f>
        <v/>
      </c>
      <c r="CK154" s="127">
        <f>IF(AND(D154&gt;0,Q154="",R154=""),1,0)</f>
        <v/>
      </c>
      <c r="CL154" s="221">
        <f>IF((D154&lt;&gt; Q154+R154),1,0)</f>
        <v/>
      </c>
    </row>
    <row r="155" ht="15" customFormat="1" customHeight="1" s="17">
      <c r="A155" s="9727" t="n"/>
      <c r="B155" s="9668" t="n"/>
      <c r="C155" s="478" t="inlineStr">
        <is>
          <t>Nº de Cuestionario PSC-Y-17</t>
        </is>
      </c>
      <c r="D155" s="472">
        <f>+G155</f>
        <v/>
      </c>
      <c r="E155" s="479" t="n"/>
      <c r="F155" s="481" t="n"/>
      <c r="G155" s="480" t="n"/>
      <c r="H155" s="481" t="n"/>
      <c r="I155" s="481" t="n"/>
      <c r="J155" s="481" t="n"/>
      <c r="K155" s="481" t="n"/>
      <c r="L155" s="481" t="n"/>
      <c r="M155" s="481" t="n"/>
      <c r="N155" s="481" t="n"/>
      <c r="O155" s="481" t="n"/>
      <c r="P155" s="482" t="n"/>
      <c r="Q155" s="483" t="n"/>
      <c r="R155" s="484" t="n"/>
      <c r="S155" s="17">
        <f>CA155&amp;CB155</f>
        <v/>
      </c>
      <c r="CA155" s="788" t="n"/>
      <c r="CB155" s="219">
        <f>IF((D155&lt;&gt; Q155+R155)," * La suma de Sexo (Hombres + Mujeres) debe ser igual al N° de Intervenciones.","")</f>
        <v/>
      </c>
      <c r="CK155" s="127">
        <f>IF(AND(D155&gt;0,Q155="",R155=""),1,0)</f>
        <v/>
      </c>
      <c r="CL155" s="221">
        <f>IF((D155&lt;&gt; Q155+R155),1,0)</f>
        <v/>
      </c>
    </row>
    <row r="156" ht="23.25" customFormat="1" customHeight="1" s="17">
      <c r="A156" s="9727" t="n"/>
      <c r="B156" s="9668" t="n"/>
      <c r="C156" s="250" t="inlineStr">
        <is>
          <t>N° de Cuestionario PHQ-9 modificado para Adolescentes</t>
        </is>
      </c>
      <c r="D156" s="472">
        <f>+H156</f>
        <v/>
      </c>
      <c r="E156" s="479" t="n"/>
      <c r="F156" s="481" t="n"/>
      <c r="G156" s="481" t="n"/>
      <c r="H156" s="480" t="n"/>
      <c r="I156" s="481" t="n"/>
      <c r="J156" s="481" t="n"/>
      <c r="K156" s="481" t="n"/>
      <c r="L156" s="481" t="n"/>
      <c r="M156" s="481" t="n"/>
      <c r="N156" s="481" t="n"/>
      <c r="O156" s="481" t="n"/>
      <c r="P156" s="482" t="n"/>
      <c r="Q156" s="483" t="n"/>
      <c r="R156" s="484" t="n"/>
      <c r="S156" s="17">
        <f>CA156&amp;CB156</f>
        <v/>
      </c>
      <c r="CA156" s="788" t="n"/>
      <c r="CB156" s="219">
        <f>IF((D156&lt;&gt; Q156+R156)," * La suma de Sexo (Hombres + Mujeres) debe ser igual al N° de Intervenciones.","")</f>
        <v/>
      </c>
      <c r="CK156" s="127">
        <f>IF(AND(D156&gt;0,Q156="",R156=""),1,0)</f>
        <v/>
      </c>
      <c r="CL156" s="221">
        <f>IF((D156&lt;&gt; Q156+R156),1,0)</f>
        <v/>
      </c>
    </row>
    <row r="157" ht="22.5" customFormat="1" customHeight="1" s="17">
      <c r="A157" s="9727" t="n"/>
      <c r="B157" s="9668" t="n"/>
      <c r="C157" s="250" t="inlineStr">
        <is>
          <t xml:space="preserve">N° de Cuestionario PHQ-9 para Adultos </t>
        </is>
      </c>
      <c r="D157" s="472">
        <f>+I157+J157+K157+L157+M157</f>
        <v/>
      </c>
      <c r="E157" s="479" t="n"/>
      <c r="F157" s="481" t="n"/>
      <c r="G157" s="481" t="n"/>
      <c r="H157" s="481" t="n"/>
      <c r="I157" s="480" t="n"/>
      <c r="J157" s="480" t="n"/>
      <c r="K157" s="480" t="n"/>
      <c r="L157" s="480" t="n"/>
      <c r="M157" s="480" t="n"/>
      <c r="N157" s="481" t="n"/>
      <c r="O157" s="481" t="n"/>
      <c r="P157" s="482" t="n"/>
      <c r="Q157" s="483" t="n"/>
      <c r="R157" s="484" t="n"/>
      <c r="S157" s="17">
        <f>CA157&amp;CB157</f>
        <v/>
      </c>
      <c r="CA157" s="788" t="n"/>
      <c r="CB157" s="219">
        <f>IF((D157&lt;&gt; Q157+R157)," * La suma de Sexo (Hombres + Mujeres) debe ser igual al N° de Intervenciones.","")</f>
        <v/>
      </c>
      <c r="CK157" s="127">
        <f>IF(AND(D157&gt;0,Q157="",R157=""),1,0)</f>
        <v/>
      </c>
      <c r="CL157" s="221">
        <f>IF((D157&lt;&gt; Q157+R157),1,0)</f>
        <v/>
      </c>
    </row>
    <row r="158" ht="15" customFormat="1" customHeight="1" s="17">
      <c r="A158" s="9727" t="n"/>
      <c r="B158" s="9668" t="n"/>
      <c r="C158" s="485" t="inlineStr">
        <is>
          <t>N° de Escala CAPE-P15</t>
        </is>
      </c>
      <c r="D158" s="472">
        <f>+G158+H158+I158+J158</f>
        <v/>
      </c>
      <c r="E158" s="479" t="n"/>
      <c r="F158" s="481" t="n"/>
      <c r="G158" s="480" t="n"/>
      <c r="H158" s="480" t="n"/>
      <c r="I158" s="480" t="n"/>
      <c r="J158" s="480" t="n"/>
      <c r="K158" s="481" t="n"/>
      <c r="L158" s="481" t="n"/>
      <c r="M158" s="481" t="n"/>
      <c r="N158" s="481" t="n"/>
      <c r="O158" s="481" t="n"/>
      <c r="P158" s="482" t="n"/>
      <c r="Q158" s="483" t="n"/>
      <c r="R158" s="484" t="n"/>
      <c r="S158" s="17">
        <f>CA158&amp;CB158</f>
        <v/>
      </c>
      <c r="CA158" s="788" t="n"/>
      <c r="CB158" s="219">
        <f>IF((D158&lt;&gt; Q158+R158)," * La suma de Sexo (Hombres + Mujeres) debe ser igual al N° de Intervenciones.","")</f>
        <v/>
      </c>
      <c r="CK158" s="127">
        <f>IF(AND(D158&gt;0,Q158="",R158=""),1,0)</f>
        <v/>
      </c>
      <c r="CL158" s="221">
        <f>IF((D158&lt;&gt; Q158+R158),1,0)</f>
        <v/>
      </c>
    </row>
    <row r="159" ht="15" customFormat="1" customHeight="1" s="17">
      <c r="A159" s="9727" t="n"/>
      <c r="B159" s="9668" t="n"/>
      <c r="C159" s="485" t="inlineStr">
        <is>
          <t xml:space="preserve">N° de escala de Columbia </t>
        </is>
      </c>
      <c r="D159" s="472">
        <f>+G159+H159+I159+J159+K159+L159+M159+N159+O159+P159</f>
        <v/>
      </c>
      <c r="E159" s="479" t="n"/>
      <c r="F159" s="481" t="n"/>
      <c r="G159" s="480" t="n"/>
      <c r="H159" s="480" t="n"/>
      <c r="I159" s="480" t="n"/>
      <c r="J159" s="480" t="n"/>
      <c r="K159" s="480" t="n"/>
      <c r="L159" s="480" t="n"/>
      <c r="M159" s="480" t="n"/>
      <c r="N159" s="480" t="n"/>
      <c r="O159" s="480" t="n"/>
      <c r="P159" s="486" t="n"/>
      <c r="Q159" s="487" t="n"/>
      <c r="R159" s="488" t="n"/>
      <c r="S159" s="17">
        <f>CA159&amp;CB159</f>
        <v/>
      </c>
      <c r="CA159" s="788" t="n"/>
      <c r="CB159" s="219">
        <f>IF((D159&lt;&gt; Q159+R159)," * La suma de Sexo (Hombres + Mujeres) debe ser igual al N° de Intervenciones.","")</f>
        <v/>
      </c>
      <c r="CK159" s="127">
        <f>IF(AND(D159&gt;0,Q159="",R159=""),1,0)</f>
        <v/>
      </c>
      <c r="CL159" s="221">
        <f>IF((D159&lt;&gt; Q159+R159),1,0)</f>
        <v/>
      </c>
    </row>
    <row r="160" ht="23.25" customFormat="1" customHeight="1" s="17">
      <c r="A160" s="9609" t="n"/>
      <c r="B160" s="9855" t="n"/>
      <c r="C160" s="489" t="inlineStr">
        <is>
          <t>N° de Escala de Depresión Geriatríca de YESAVAGE GDS-15</t>
        </is>
      </c>
      <c r="D160" s="490">
        <f>M160+N160+O160+P160</f>
        <v/>
      </c>
      <c r="E160" s="491" t="n"/>
      <c r="F160" s="492" t="n"/>
      <c r="G160" s="492" t="n"/>
      <c r="H160" s="492" t="n"/>
      <c r="I160" s="492" t="n"/>
      <c r="J160" s="492" t="n"/>
      <c r="K160" s="492" t="n"/>
      <c r="L160" s="492" t="n"/>
      <c r="M160" s="493" t="n"/>
      <c r="N160" s="493" t="n"/>
      <c r="O160" s="493" t="n"/>
      <c r="P160" s="494" t="n"/>
      <c r="Q160" s="495" t="n"/>
      <c r="R160" s="496" t="n"/>
      <c r="S160" s="17">
        <f>CA160&amp;CB160</f>
        <v/>
      </c>
      <c r="CA160" s="788" t="n"/>
      <c r="CB160" s="219">
        <f>IF((D160&lt;&gt; Q160+R160)," * La suma de Sexo (Hombres + Mujeres) debe ser igual al N° de Intervenciones.","")</f>
        <v/>
      </c>
      <c r="CK160" s="127">
        <f>IF(AND(D160&gt;0,Q160="",R160=""),1,0)</f>
        <v/>
      </c>
      <c r="CL160" s="221">
        <f>IF((D160&lt;&gt; Q160+R160),1,0)</f>
        <v/>
      </c>
    </row>
    <row r="161" ht="15" customFormat="1" customHeight="1" s="17">
      <c r="A161" s="10560" t="inlineStr">
        <is>
          <t>Referencia asistida en contexto de tamizaje</t>
        </is>
      </c>
      <c r="B161" s="10198" t="n"/>
      <c r="C161" s="677" t="inlineStr">
        <is>
          <t>Nº DE M-CHAT-R/F</t>
        </is>
      </c>
      <c r="D161" s="678">
        <f>+E161</f>
        <v/>
      </c>
      <c r="E161" s="497" t="n"/>
      <c r="F161" s="498" t="n"/>
      <c r="G161" s="498" t="n"/>
      <c r="H161" s="498" t="n"/>
      <c r="I161" s="498" t="n"/>
      <c r="J161" s="498" t="n"/>
      <c r="K161" s="498" t="n"/>
      <c r="L161" s="498" t="n"/>
      <c r="M161" s="498" t="n"/>
      <c r="N161" s="498" t="n"/>
      <c r="O161" s="498" t="n"/>
      <c r="P161" s="499" t="n"/>
      <c r="Q161" s="497" t="n"/>
      <c r="R161" s="500" t="n"/>
      <c r="S161" s="17">
        <f>CA161&amp;CB161</f>
        <v/>
      </c>
      <c r="CA161" s="788" t="n"/>
      <c r="CB161" s="219">
        <f>IF((D161&lt;&gt; Q161+R161)," * La suma de Sexo (Hombres + Mujeres) debe ser igual al N° de Intervenciones.","")</f>
        <v/>
      </c>
      <c r="CK161" s="127">
        <f>IF(AND(D161&gt;0,Q161="",R161=""),1,0)</f>
        <v/>
      </c>
      <c r="CL161" s="221">
        <f>IF((D161&lt;&gt; Q161+R161),1,0)</f>
        <v/>
      </c>
    </row>
    <row r="162" ht="15" customFormat="1" customHeight="1" s="17">
      <c r="A162" s="642" t="n"/>
      <c r="B162" s="9668" t="n"/>
      <c r="C162" s="478" t="inlineStr">
        <is>
          <t>Nº de Cuestionario PSC-17</t>
        </is>
      </c>
      <c r="D162" s="501">
        <f>+F162</f>
        <v/>
      </c>
      <c r="E162" s="502" t="n"/>
      <c r="F162" s="480" t="n"/>
      <c r="G162" s="481" t="n"/>
      <c r="H162" s="481" t="n"/>
      <c r="I162" s="481" t="n"/>
      <c r="J162" s="481" t="n"/>
      <c r="K162" s="481" t="n"/>
      <c r="L162" s="481" t="n"/>
      <c r="M162" s="481" t="n"/>
      <c r="N162" s="481" t="n"/>
      <c r="O162" s="481" t="n"/>
      <c r="P162" s="482" t="n"/>
      <c r="Q162" s="483" t="n"/>
      <c r="R162" s="484" t="n"/>
      <c r="S162" s="17">
        <f>CA162&amp;CB162</f>
        <v/>
      </c>
      <c r="CA162" s="788" t="n"/>
      <c r="CB162" s="219">
        <f>IF((D162&lt;&gt; Q162+R162)," * La suma de Sexo (Hombres + Mujeres) debe ser igual al N° de Intervenciones.","")</f>
        <v/>
      </c>
      <c r="CK162" s="127">
        <f>IF(AND(D162&gt;0,Q162="",R162=""),1,0)</f>
        <v/>
      </c>
      <c r="CL162" s="221">
        <f>IF((D162&lt;&gt; Q162+R162),1,0)</f>
        <v/>
      </c>
    </row>
    <row r="163" ht="15" customFormat="1" customHeight="1" s="17">
      <c r="A163" s="642" t="n"/>
      <c r="B163" s="9668" t="n"/>
      <c r="C163" s="478" t="inlineStr">
        <is>
          <t>Nº de Cuestionario PSC-Y-17</t>
        </is>
      </c>
      <c r="D163" s="501">
        <f>+G163</f>
        <v/>
      </c>
      <c r="E163" s="502" t="n"/>
      <c r="F163" s="481" t="n"/>
      <c r="G163" s="480" t="n"/>
      <c r="H163" s="481" t="n"/>
      <c r="I163" s="481" t="n"/>
      <c r="J163" s="481" t="n"/>
      <c r="K163" s="481" t="n"/>
      <c r="L163" s="481" t="n"/>
      <c r="M163" s="481" t="n"/>
      <c r="N163" s="481" t="n"/>
      <c r="O163" s="481" t="n"/>
      <c r="P163" s="482" t="n"/>
      <c r="Q163" s="483" t="n"/>
      <c r="R163" s="484" t="n"/>
      <c r="S163" s="17">
        <f>CA163&amp;CB163</f>
        <v/>
      </c>
      <c r="CA163" s="788" t="n"/>
      <c r="CB163" s="219">
        <f>IF((D163&lt;&gt; Q163+R163)," * La suma de Sexo (Hombres + Mujeres) debe ser igual al N° de Intervenciones.","")</f>
        <v/>
      </c>
      <c r="CK163" s="127">
        <f>IF(AND(D163&gt;0,Q163="",R163=""),1,0)</f>
        <v/>
      </c>
      <c r="CL163" s="221">
        <f>IF((D163&lt;&gt; Q163+R163),1,0)</f>
        <v/>
      </c>
    </row>
    <row r="164" ht="23.25" customFormat="1" customHeight="1" s="17">
      <c r="A164" s="642" t="n"/>
      <c r="B164" s="9668" t="n"/>
      <c r="C164" s="250" t="inlineStr">
        <is>
          <t>N° de Cuestionario PHQ-9 modificado para Adolescentes</t>
        </is>
      </c>
      <c r="D164" s="501">
        <f>+H164</f>
        <v/>
      </c>
      <c r="E164" s="502" t="n"/>
      <c r="F164" s="481" t="n"/>
      <c r="G164" s="481" t="n"/>
      <c r="H164" s="480" t="n"/>
      <c r="I164" s="481" t="n"/>
      <c r="J164" s="481" t="n"/>
      <c r="K164" s="481" t="n"/>
      <c r="L164" s="481" t="n"/>
      <c r="M164" s="481" t="n"/>
      <c r="N164" s="481" t="n"/>
      <c r="O164" s="481" t="n"/>
      <c r="P164" s="482" t="n"/>
      <c r="Q164" s="483" t="n"/>
      <c r="R164" s="484" t="n"/>
      <c r="S164" s="17">
        <f>CA164&amp;CB164</f>
        <v/>
      </c>
      <c r="CA164" s="788" t="n"/>
      <c r="CB164" s="219">
        <f>IF((D164&lt;&gt; Q164+R164)," * La suma de Sexo (Hombres + Mujeres) debe ser igual al N° de Intervenciones.","")</f>
        <v/>
      </c>
      <c r="CK164" s="127">
        <f>IF(AND(D164&gt;0,Q164="",R164=""),1,0)</f>
        <v/>
      </c>
      <c r="CL164" s="221">
        <f>IF((D164&lt;&gt; Q164+R164),1,0)</f>
        <v/>
      </c>
    </row>
    <row r="165" ht="20.1" customFormat="1" customHeight="1" s="17">
      <c r="A165" s="642" t="n"/>
      <c r="B165" s="9668" t="n"/>
      <c r="C165" s="250" t="inlineStr">
        <is>
          <t xml:space="preserve">N° de Cuestionario PHQ-9 para Adultos </t>
        </is>
      </c>
      <c r="D165" s="501">
        <f>+I165+J165+K165+L165+M165</f>
        <v/>
      </c>
      <c r="E165" s="502" t="n"/>
      <c r="F165" s="481" t="n"/>
      <c r="G165" s="481" t="n"/>
      <c r="H165" s="481" t="n"/>
      <c r="I165" s="480" t="n"/>
      <c r="J165" s="480" t="n"/>
      <c r="K165" s="480" t="n"/>
      <c r="L165" s="480" t="n"/>
      <c r="M165" s="480" t="n"/>
      <c r="N165" s="481" t="n"/>
      <c r="O165" s="481" t="n"/>
      <c r="P165" s="482" t="n"/>
      <c r="Q165" s="483" t="n"/>
      <c r="R165" s="484" t="n"/>
      <c r="S165" s="17">
        <f>CA165&amp;CB165</f>
        <v/>
      </c>
      <c r="CA165" s="788" t="n"/>
      <c r="CB165" s="219">
        <f>IF((D165&lt;&gt; Q165+R165)," * La suma de Sexo (Hombres + Mujeres) debe ser igual al N° de Intervenciones.","")</f>
        <v/>
      </c>
      <c r="CK165" s="127">
        <f>IF(AND(D165&gt;0,Q165="",R165=""),1,0)</f>
        <v/>
      </c>
      <c r="CL165" s="221">
        <f>IF((D165&lt;&gt; Q165+R165),1,0)</f>
        <v/>
      </c>
    </row>
    <row r="166" ht="15" customFormat="1" customHeight="1" s="17">
      <c r="A166" s="642" t="n"/>
      <c r="B166" s="9668" t="n"/>
      <c r="C166" s="485" t="inlineStr">
        <is>
          <t>N° de Escala CAPE-P15</t>
        </is>
      </c>
      <c r="D166" s="501">
        <f>+G166+H166+I166+J166</f>
        <v/>
      </c>
      <c r="E166" s="502" t="n"/>
      <c r="F166" s="481" t="n"/>
      <c r="G166" s="480" t="n"/>
      <c r="H166" s="480" t="n"/>
      <c r="I166" s="480" t="n"/>
      <c r="J166" s="503" t="n"/>
      <c r="K166" s="481" t="n"/>
      <c r="L166" s="481" t="n"/>
      <c r="M166" s="481" t="n"/>
      <c r="N166" s="481" t="n"/>
      <c r="O166" s="481" t="n"/>
      <c r="P166" s="482" t="n"/>
      <c r="Q166" s="483" t="n"/>
      <c r="R166" s="484" t="n"/>
      <c r="S166" s="17">
        <f>CA166&amp;CB166</f>
        <v/>
      </c>
      <c r="CA166" s="788" t="n"/>
      <c r="CB166" s="219">
        <f>IF((D166&lt;&gt; Q166+R166)," * La suma de Sexo (Hombres + Mujeres) debe ser igual al N° de Intervenciones.","")</f>
        <v/>
      </c>
      <c r="CK166" s="127">
        <f>IF(AND(D166&gt;0,Q166="",R166=""),1,0)</f>
        <v/>
      </c>
      <c r="CL166" s="221">
        <f>IF((D166&lt;&gt; Q166+R166),1,0)</f>
        <v/>
      </c>
    </row>
    <row r="167" ht="15" customFormat="1" customHeight="1" s="17">
      <c r="A167" s="642" t="n"/>
      <c r="B167" s="9668" t="n"/>
      <c r="C167" s="485" t="inlineStr">
        <is>
          <t xml:space="preserve">N° de escala de Columbia </t>
        </is>
      </c>
      <c r="D167" s="501">
        <f>+G167+H167+I167+J167+K167+L167+M167+N167+O167+P167</f>
        <v/>
      </c>
      <c r="E167" s="502" t="n"/>
      <c r="F167" s="481" t="n"/>
      <c r="G167" s="480" t="n"/>
      <c r="H167" s="480" t="n"/>
      <c r="I167" s="480" t="n"/>
      <c r="J167" s="480" t="n"/>
      <c r="K167" s="480" t="n"/>
      <c r="L167" s="480" t="n"/>
      <c r="M167" s="480" t="n"/>
      <c r="N167" s="503" t="n"/>
      <c r="O167" s="503" t="n"/>
      <c r="P167" s="504" t="n"/>
      <c r="Q167" s="487" t="n"/>
      <c r="R167" s="488" t="n"/>
      <c r="S167" s="17">
        <f>CA167&amp;CB167</f>
        <v/>
      </c>
      <c r="CA167" s="788" t="n"/>
      <c r="CB167" s="219">
        <f>IF((D167&lt;&gt; Q167+R167)," * La suma de Sexo (Hombres + Mujeres) debe ser igual al N° de Intervenciones.","")</f>
        <v/>
      </c>
      <c r="CK167" s="127">
        <f>IF(AND(D167&gt;0,Q167="",R167=""),1,0)</f>
        <v/>
      </c>
      <c r="CL167" s="221">
        <f>IF((D167&lt;&gt; Q167+R167),1,0)</f>
        <v/>
      </c>
    </row>
    <row r="168" ht="24.75" customFormat="1" customHeight="1" s="17">
      <c r="A168" s="9698" t="n"/>
      <c r="B168" s="9855" t="n"/>
      <c r="C168" s="505" t="inlineStr">
        <is>
          <t>N° de Escala de Depresión Geriatríca de YESAVAGE GDS-15</t>
        </is>
      </c>
      <c r="D168" s="506">
        <f>M168+N168+O168+P168</f>
        <v/>
      </c>
      <c r="E168" s="507" t="n"/>
      <c r="F168" s="492" t="n"/>
      <c r="G168" s="492" t="n"/>
      <c r="H168" s="492" t="n"/>
      <c r="I168" s="492" t="n"/>
      <c r="J168" s="492" t="n"/>
      <c r="K168" s="508" t="n"/>
      <c r="L168" s="509" t="n"/>
      <c r="M168" s="510" t="n"/>
      <c r="N168" s="510" t="n"/>
      <c r="O168" s="510" t="n"/>
      <c r="P168" s="494" t="n"/>
      <c r="Q168" s="495" t="n"/>
      <c r="R168" s="496" t="n"/>
      <c r="S168" s="17">
        <f>CA168&amp;CB168</f>
        <v/>
      </c>
      <c r="CA168" s="788" t="n"/>
      <c r="CB168" s="219">
        <f>IF((D168&lt;&gt; Q168+R168)," * La suma de Sexo (Hombres + Mujeres) debe ser igual al N° de Intervenciones.","")</f>
        <v/>
      </c>
      <c r="CK168" s="127">
        <f>IF(AND(D168&gt;0,Q168="",R168=""),1,0)</f>
        <v/>
      </c>
      <c r="CL168" s="221">
        <f>IF((D168&lt;&gt; Q168+R168),1,0)</f>
        <v/>
      </c>
    </row>
    <row r="169" ht="18" customHeight="1" s="8286">
      <c r="A169" s="511" t="inlineStr">
        <is>
          <t>SECCIÓN L: ACTIVIDADES DE EDUCACIÓN PARA LA SALUD SEGÚN PERSONAL QUE LAS REALIZA (SESIONES) (PRAIS) (Contenidas en Sección B)</t>
        </is>
      </c>
      <c r="C169" s="6" t="n"/>
      <c r="D169" s="6" t="n"/>
      <c r="E169" s="6" t="n"/>
      <c r="F169" s="8" t="n"/>
      <c r="G169" s="8" t="n"/>
      <c r="H169" s="8" t="n"/>
      <c r="I169" s="8" t="n"/>
      <c r="J169" s="235" t="n"/>
      <c r="K169" s="235" t="n"/>
      <c r="L169" s="235" t="n"/>
      <c r="M169" s="235" t="n"/>
      <c r="N169" s="235" t="n"/>
      <c r="O169" s="235" t="n"/>
      <c r="P169" s="235" t="n"/>
      <c r="Q169" s="235" t="n"/>
      <c r="R169" s="235" t="n"/>
      <c r="S169" s="235" t="n"/>
      <c r="T169" s="235" t="n"/>
      <c r="U169" s="235" t="n"/>
      <c r="V169" s="235" t="n"/>
      <c r="W169" s="235" t="n"/>
      <c r="X169" s="235" t="n"/>
      <c r="Y169" s="235" t="n"/>
      <c r="Z169" s="235" t="n"/>
      <c r="AA169" s="235" t="n"/>
      <c r="AB169" s="235" t="n"/>
      <c r="AC169" s="235" t="n"/>
      <c r="AD169" s="235" t="n"/>
      <c r="AE169" s="235" t="n"/>
      <c r="AF169" s="235" t="n"/>
      <c r="AG169" s="235" t="n"/>
      <c r="AH169" s="235" t="n"/>
      <c r="AI169" s="235" t="n"/>
    </row>
    <row r="170" ht="42" customHeight="1" s="8286">
      <c r="A170" s="8400" t="inlineStr">
        <is>
          <t>ÁREAS TEMÁTICAS DE PREVENCIÓN</t>
        </is>
      </c>
      <c r="B170" s="9584" t="n"/>
      <c r="C170" s="9582" t="n"/>
      <c r="D170" s="8649" t="inlineStr">
        <is>
          <t>TOTAL</t>
        </is>
      </c>
      <c r="E170" s="8463" t="inlineStr">
        <is>
          <t>Un Profesional</t>
        </is>
      </c>
      <c r="F170" s="3909" t="inlineStr">
        <is>
          <t xml:space="preserve">Dos o más profesionales </t>
        </is>
      </c>
      <c r="G170" s="3909" t="inlineStr">
        <is>
          <t xml:space="preserve">Un profesional y un Técnico en Enfermería </t>
        </is>
      </c>
      <c r="H170" s="3915" t="inlineStr">
        <is>
          <t xml:space="preserve">Técnico en Enfermería </t>
        </is>
      </c>
      <c r="I170" s="4070" t="inlineStr">
        <is>
          <t xml:space="preserve">Facilitador/a Intercultural Pueblos Originarios </t>
        </is>
      </c>
      <c r="J170" s="235" t="n"/>
      <c r="K170" s="235" t="n"/>
      <c r="L170" s="235" t="n"/>
      <c r="M170" s="235" t="n"/>
      <c r="N170" s="235" t="n"/>
      <c r="O170" s="235" t="n"/>
      <c r="P170" s="235" t="n"/>
      <c r="Q170" s="235" t="n"/>
      <c r="R170" s="235" t="n"/>
      <c r="S170" s="235" t="n"/>
      <c r="T170" s="235" t="n"/>
      <c r="U170" s="235" t="n"/>
      <c r="V170" s="235" t="n"/>
      <c r="W170" s="235" t="n"/>
      <c r="X170" s="235" t="n"/>
      <c r="Y170" s="235" t="n"/>
      <c r="Z170" s="235" t="n"/>
      <c r="AA170" s="235" t="n"/>
      <c r="AB170" s="235" t="n"/>
      <c r="AC170" s="235" t="n"/>
      <c r="AD170" s="235" t="n"/>
      <c r="AE170" s="235" t="n"/>
      <c r="AF170" s="235" t="n"/>
      <c r="AG170" s="235" t="n"/>
      <c r="AH170" s="235" t="n"/>
      <c r="AI170" s="235" t="n"/>
    </row>
    <row r="171" ht="15" customHeight="1" s="8286">
      <c r="A171" s="10398" t="inlineStr">
        <is>
          <t>Educación en grupo</t>
        </is>
      </c>
      <c r="B171" s="10537" t="inlineStr">
        <is>
          <t xml:space="preserve">Estimulación desarrollo psicomotor </t>
        </is>
      </c>
      <c r="C171" s="9603" t="n"/>
      <c r="D171" s="3779">
        <f>SUM(E171:H171)</f>
        <v/>
      </c>
      <c r="E171" s="2820" t="n"/>
      <c r="F171" s="2821" t="n"/>
      <c r="G171" s="2821" t="n"/>
      <c r="H171" s="4071" t="n"/>
      <c r="I171" s="4072" t="n"/>
      <c r="J171" s="235">
        <f>CA171</f>
        <v/>
      </c>
      <c r="K171" s="235" t="n"/>
      <c r="L171" s="235" t="n"/>
      <c r="M171" s="235" t="n"/>
      <c r="N171" s="235" t="n"/>
      <c r="O171" s="235" t="n"/>
      <c r="P171" s="235" t="n"/>
      <c r="Q171" s="235" t="n"/>
      <c r="R171" s="235" t="n"/>
      <c r="S171" s="235" t="n"/>
      <c r="T171" s="235" t="n"/>
      <c r="U171" s="235" t="n"/>
      <c r="V171" s="235" t="n"/>
      <c r="W171" s="235" t="n"/>
      <c r="X171" s="235" t="n"/>
      <c r="Y171" s="235" t="n"/>
      <c r="Z171" s="235" t="n"/>
      <c r="AA171" s="235" t="n"/>
      <c r="AB171" s="235" t="n"/>
      <c r="AC171" s="235" t="n"/>
      <c r="AD171" s="235" t="n"/>
      <c r="AE171" s="235" t="n"/>
      <c r="AF171" s="235" t="n"/>
      <c r="AG171" s="235" t="n"/>
      <c r="AH171" s="235" t="n"/>
      <c r="AI171" s="235" t="n"/>
      <c r="CA171" s="90">
        <f>IF(AND(D171&gt;0,I171="")," * No olvide digitar la variable "&amp;I$170&amp;""&amp;". Digite Cero si no tiene.",IF(I171&gt;D171," * La variable "&amp;I$170&amp;""&amp;" No puede ser mayor al Total.",""))</f>
        <v/>
      </c>
      <c r="CK171" s="127">
        <f>IF(AND(D171&gt;0,I171=""),1,IF(I171&gt;D171,1,0))</f>
        <v/>
      </c>
    </row>
    <row r="172" ht="21" customHeight="1" s="8286">
      <c r="A172" s="9588" t="n"/>
      <c r="B172" s="10398" t="inlineStr">
        <is>
          <t>Nutrición</t>
        </is>
      </c>
      <c r="C172" s="3934" t="inlineStr">
        <is>
          <t>Riesgo de malnutrición por exceso</t>
        </is>
      </c>
      <c r="D172" s="3779">
        <f>SUM(E172:H172)</f>
        <v/>
      </c>
      <c r="E172" s="3502" t="n"/>
      <c r="F172" s="835" t="n"/>
      <c r="G172" s="835" t="n"/>
      <c r="H172" s="2581" t="n"/>
      <c r="I172" s="4073" t="n"/>
      <c r="J172" s="235">
        <f>CA172</f>
        <v/>
      </c>
      <c r="K172" s="235" t="n"/>
      <c r="L172" s="235" t="n"/>
      <c r="M172" s="235" t="n"/>
      <c r="N172" s="235" t="n"/>
      <c r="O172" s="235" t="n"/>
      <c r="P172" s="235" t="n"/>
      <c r="Q172" s="235" t="n"/>
      <c r="R172" s="235" t="n"/>
      <c r="S172" s="235" t="n"/>
      <c r="T172" s="235" t="n"/>
      <c r="U172" s="235" t="n"/>
      <c r="V172" s="235" t="n"/>
      <c r="W172" s="235" t="n"/>
      <c r="X172" s="235" t="n"/>
      <c r="Y172" s="235" t="n"/>
      <c r="Z172" s="235" t="n"/>
      <c r="AA172" s="235" t="n"/>
      <c r="AB172" s="235" t="n"/>
      <c r="AC172" s="235" t="n"/>
      <c r="AD172" s="235" t="n"/>
      <c r="AE172" s="235" t="n"/>
      <c r="AF172" s="235" t="n"/>
      <c r="AG172" s="235" t="n"/>
      <c r="AH172" s="235" t="n"/>
      <c r="AI172" s="235" t="n"/>
      <c r="CA172" s="90">
        <f>IF(AND(D172&gt;0,I172="")," * No olvide digitar la variable "&amp;I$170&amp;""&amp;". Digite Cero si no tiene.",IF(I172&gt;D172," * La variable "&amp;I$170&amp;""&amp;" No puede ser mayor al Total.",""))</f>
        <v/>
      </c>
      <c r="CK172" s="127">
        <f>IF(AND(D172&gt;0,I172=""),1,IF(I172&gt;D172,1,0))</f>
        <v/>
      </c>
    </row>
    <row r="173" ht="15" customHeight="1" s="8286">
      <c r="A173" s="9588" t="n"/>
      <c r="B173" s="9588" t="n"/>
      <c r="C173" s="8775" t="inlineStr">
        <is>
          <t>Malnutrición por exceso</t>
        </is>
      </c>
      <c r="D173" s="1308">
        <f>SUM(E173:H173)</f>
        <v/>
      </c>
      <c r="E173" s="3787" t="n"/>
      <c r="F173" s="3891" t="n"/>
      <c r="G173" s="3891" t="n"/>
      <c r="H173" s="3790" t="n"/>
      <c r="I173" s="4074" t="n"/>
      <c r="J173" s="235">
        <f>CA173</f>
        <v/>
      </c>
      <c r="K173" s="235" t="n"/>
      <c r="L173" s="235" t="n"/>
      <c r="M173" s="235" t="n"/>
      <c r="N173" s="235" t="n"/>
      <c r="O173" s="235" t="n"/>
      <c r="P173" s="235" t="n"/>
      <c r="Q173" s="235" t="n"/>
      <c r="R173" s="235" t="n"/>
      <c r="S173" s="235" t="n"/>
      <c r="T173" s="235" t="n"/>
      <c r="U173" s="235" t="n"/>
      <c r="V173" s="235" t="n"/>
      <c r="W173" s="235" t="n"/>
      <c r="X173" s="235" t="n"/>
      <c r="Y173" s="235" t="n"/>
      <c r="Z173" s="235" t="n"/>
      <c r="AA173" s="235" t="n"/>
      <c r="AB173" s="235" t="n"/>
      <c r="AC173" s="235" t="n"/>
      <c r="AD173" s="235" t="n"/>
      <c r="AE173" s="235" t="n"/>
      <c r="AF173" s="235" t="n"/>
      <c r="AG173" s="235" t="n"/>
      <c r="AH173" s="235" t="n"/>
      <c r="AI173" s="235" t="n"/>
      <c r="CA173" s="90">
        <f>IF(AND(D173&gt;0,I173="")," * No olvide digitar la variable "&amp;I$170&amp;""&amp;". Digite Cero si no tiene.",IF(I173&gt;D173," * La variable "&amp;I$170&amp;""&amp;" No puede ser mayor al Total.",""))</f>
        <v/>
      </c>
      <c r="CK173" s="127">
        <f>IF(AND(D173&gt;0,I173=""),1,IF(I173&gt;D173,1,0))</f>
        <v/>
      </c>
    </row>
    <row r="174" ht="15" customHeight="1" s="8286">
      <c r="A174" s="9588" t="n"/>
      <c r="B174" s="9588" t="n"/>
      <c r="C174" s="3911" t="inlineStr">
        <is>
          <t>Malnutrición de déficit</t>
        </is>
      </c>
      <c r="D174" s="3632">
        <f>SUM(E174:H174)</f>
        <v/>
      </c>
      <c r="E174" s="3787" t="n"/>
      <c r="F174" s="3891" t="n"/>
      <c r="G174" s="3891" t="n"/>
      <c r="H174" s="3790" t="n"/>
      <c r="I174" s="4074" t="n"/>
      <c r="J174" s="235">
        <f>CA174</f>
        <v/>
      </c>
      <c r="K174" s="235" t="n"/>
      <c r="L174" s="235" t="n"/>
      <c r="M174" s="235" t="n"/>
      <c r="N174" s="235" t="n"/>
      <c r="O174" s="235" t="n"/>
      <c r="P174" s="235" t="n"/>
      <c r="Q174" s="235" t="n"/>
      <c r="R174" s="235" t="n"/>
      <c r="S174" s="235" t="n"/>
      <c r="T174" s="235" t="n"/>
      <c r="U174" s="235" t="n"/>
      <c r="V174" s="235" t="n"/>
      <c r="W174" s="235" t="n"/>
      <c r="X174" s="235" t="n"/>
      <c r="Y174" s="235" t="n"/>
      <c r="Z174" s="235" t="n"/>
      <c r="AA174" s="235" t="n"/>
      <c r="AB174" s="235" t="n"/>
      <c r="AC174" s="235" t="n"/>
      <c r="AD174" s="235" t="n"/>
      <c r="AE174" s="235" t="n"/>
      <c r="AF174" s="235" t="n"/>
      <c r="AG174" s="235" t="n"/>
      <c r="AH174" s="235" t="n"/>
      <c r="AI174" s="235" t="n"/>
      <c r="CA174" s="90">
        <f>IF(AND(D174&gt;0,I174="")," * No olvide digitar la variable "&amp;I$170&amp;""&amp;". Digite Cero si no tiene.",IF(I174&gt;D174," * La variable "&amp;I$170&amp;""&amp;" No puede ser mayor al Total.",""))</f>
        <v/>
      </c>
      <c r="CK174" s="127">
        <f>IF(AND(D174&gt;0,I174=""),1,IF(I174&gt;D174,1,0))</f>
        <v/>
      </c>
    </row>
    <row r="175" ht="15" customHeight="1" s="8286">
      <c r="A175" s="9588" t="n"/>
      <c r="B175" s="9589" t="n"/>
      <c r="C175" s="8771" t="inlineStr">
        <is>
          <t>Sin riesgo de malnutrición</t>
        </is>
      </c>
      <c r="D175" s="2669">
        <f>SUM(E175:H175)</f>
        <v/>
      </c>
      <c r="E175" s="2644" t="n"/>
      <c r="F175" s="155" t="n"/>
      <c r="G175" s="155" t="n"/>
      <c r="H175" s="185" t="n"/>
      <c r="I175" s="457" t="n"/>
      <c r="J175" s="235">
        <f>CA175</f>
        <v/>
      </c>
      <c r="K175" s="235" t="n"/>
      <c r="L175" s="235" t="n"/>
      <c r="M175" s="235" t="n"/>
      <c r="N175" s="235" t="n"/>
      <c r="O175" s="235" t="n"/>
      <c r="P175" s="235" t="n"/>
      <c r="Q175" s="235" t="n"/>
      <c r="R175" s="235" t="n"/>
      <c r="S175" s="235" t="n"/>
      <c r="T175" s="235" t="n"/>
      <c r="U175" s="235" t="n"/>
      <c r="V175" s="235" t="n"/>
      <c r="W175" s="235" t="n"/>
      <c r="X175" s="235" t="n"/>
      <c r="Y175" s="235" t="n"/>
      <c r="Z175" s="235" t="n"/>
      <c r="AA175" s="235" t="n"/>
      <c r="AB175" s="235" t="n"/>
      <c r="AC175" s="235" t="n"/>
      <c r="AD175" s="235" t="n"/>
      <c r="AE175" s="235" t="n"/>
      <c r="AF175" s="235" t="n"/>
      <c r="AG175" s="235" t="n"/>
      <c r="AH175" s="235" t="n"/>
      <c r="AI175" s="235" t="n"/>
      <c r="CA175" s="90">
        <f>IF(AND(D175&gt;0,I175="")," * No olvide digitar la variable "&amp;I$170&amp;""&amp;". Digite Cero si no tiene.",IF(I175&gt;D175," * La variable "&amp;I$170&amp;""&amp;" No puede ser mayor al Total.",""))</f>
        <v/>
      </c>
      <c r="CK175" s="127">
        <f>IF(AND(D175&gt;0,I175=""),1,IF(I175&gt;D175,1,0))</f>
        <v/>
      </c>
    </row>
    <row r="176" ht="15" customHeight="1" s="8286">
      <c r="A176" s="9588" t="n"/>
      <c r="B176" s="10538" t="inlineStr">
        <is>
          <t>Prevención de IRA - ERA</t>
        </is>
      </c>
      <c r="C176" s="9935" t="n"/>
      <c r="D176" s="637">
        <f>SUM(E176:H176)</f>
        <v/>
      </c>
      <c r="E176" s="1935" t="n"/>
      <c r="F176" s="793" t="n"/>
      <c r="G176" s="793" t="n"/>
      <c r="H176" s="2261" t="n"/>
      <c r="I176" s="4075" t="n"/>
      <c r="J176" s="235">
        <f>CA176</f>
        <v/>
      </c>
      <c r="K176" s="235" t="n"/>
      <c r="L176" s="235" t="n"/>
      <c r="M176" s="235" t="n"/>
      <c r="N176" s="235" t="n"/>
      <c r="O176" s="235" t="n"/>
      <c r="P176" s="235" t="n"/>
      <c r="Q176" s="235" t="n"/>
      <c r="R176" s="235" t="n"/>
      <c r="S176" s="235" t="n"/>
      <c r="T176" s="235" t="n"/>
      <c r="U176" s="235" t="n"/>
      <c r="V176" s="235" t="n"/>
      <c r="W176" s="235" t="n"/>
      <c r="X176" s="235" t="n"/>
      <c r="Y176" s="235" t="n"/>
      <c r="Z176" s="235" t="n"/>
      <c r="AA176" s="235" t="n"/>
      <c r="AB176" s="235" t="n"/>
      <c r="AC176" s="235" t="n"/>
      <c r="AD176" s="235" t="n"/>
      <c r="AE176" s="235" t="n"/>
      <c r="AF176" s="235" t="n"/>
      <c r="AG176" s="235" t="n"/>
      <c r="AH176" s="235" t="n"/>
      <c r="AI176" s="235" t="n"/>
      <c r="CA176" s="90">
        <f>IF(AND(D176&gt;0,I176="")," * No olvide digitar la variable "&amp;I$170&amp;""&amp;". Digite Cero si no tiene.",IF(I176&gt;D176," * La variable "&amp;I$170&amp;""&amp;" No puede ser mayor al Total.",""))</f>
        <v/>
      </c>
      <c r="CK176" s="127">
        <f>IF(AND(D176&gt;0,I176=""),1,IF(I176&gt;D176,1,0))</f>
        <v/>
      </c>
    </row>
    <row r="177" ht="15" customHeight="1" s="8286">
      <c r="A177" s="9588" t="n"/>
      <c r="B177" s="3911" t="inlineStr">
        <is>
          <t>Prevención de accidentes</t>
        </is>
      </c>
      <c r="C177" s="9644" t="n"/>
      <c r="D177" s="1308">
        <f>SUM(E177:H177)</f>
        <v/>
      </c>
      <c r="E177" s="3787" t="n"/>
      <c r="F177" s="3891" t="n"/>
      <c r="G177" s="3891" t="n"/>
      <c r="H177" s="3790" t="n"/>
      <c r="I177" s="4074" t="n"/>
      <c r="J177" s="235">
        <f>CA177</f>
        <v/>
      </c>
      <c r="K177" s="235" t="n"/>
      <c r="L177" s="235" t="n"/>
      <c r="M177" s="235" t="n"/>
      <c r="N177" s="235" t="n"/>
      <c r="O177" s="235" t="n"/>
      <c r="P177" s="235" t="n"/>
      <c r="Q177" s="235" t="n"/>
      <c r="R177" s="235" t="n"/>
      <c r="S177" s="235" t="n"/>
      <c r="T177" s="235" t="n"/>
      <c r="U177" s="235" t="n"/>
      <c r="V177" s="235" t="n"/>
      <c r="W177" s="235" t="n"/>
      <c r="X177" s="235" t="n"/>
      <c r="Y177" s="235" t="n"/>
      <c r="Z177" s="235" t="n"/>
      <c r="AA177" s="235" t="n"/>
      <c r="AB177" s="235" t="n"/>
      <c r="AC177" s="235" t="n"/>
      <c r="AD177" s="235" t="n"/>
      <c r="AE177" s="235" t="n"/>
      <c r="AF177" s="235" t="n"/>
      <c r="AG177" s="235" t="n"/>
      <c r="AH177" s="235" t="n"/>
      <c r="AI177" s="235" t="n"/>
      <c r="CA177" s="90">
        <f>IF(AND(D177&gt;0,I177="")," * No olvide digitar la variable "&amp;I$170&amp;""&amp;". Digite Cero si no tiene.",IF(I177&gt;D177," * La variable "&amp;I$170&amp;""&amp;" No puede ser mayor al Total.",""))</f>
        <v/>
      </c>
      <c r="CK177" s="127">
        <f>IF(AND(D177&gt;0,I177=""),1,IF(I177&gt;D177,1,0))</f>
        <v/>
      </c>
    </row>
    <row r="178" ht="15" customHeight="1" s="8286">
      <c r="A178" s="9588" t="n"/>
      <c r="B178" s="3911" t="inlineStr">
        <is>
          <t>Salud buco-dental</t>
        </is>
      </c>
      <c r="C178" s="9644" t="n"/>
      <c r="D178" s="1308">
        <f>SUM(E178:H178)</f>
        <v/>
      </c>
      <c r="E178" s="3787" t="n"/>
      <c r="F178" s="3891" t="n"/>
      <c r="G178" s="3891" t="n"/>
      <c r="H178" s="3790" t="n"/>
      <c r="I178" s="4074" t="n"/>
      <c r="J178" s="235">
        <f>CA178</f>
        <v/>
      </c>
      <c r="K178" s="235" t="n"/>
      <c r="L178" s="235" t="n"/>
      <c r="M178" s="235" t="n"/>
      <c r="N178" s="235" t="n"/>
      <c r="O178" s="235" t="n"/>
      <c r="P178" s="235" t="n"/>
      <c r="Q178" s="235" t="n"/>
      <c r="R178" s="235" t="n"/>
      <c r="S178" s="235" t="n"/>
      <c r="T178" s="235" t="n"/>
      <c r="U178" s="235" t="n"/>
      <c r="V178" s="235" t="n"/>
      <c r="W178" s="235" t="n"/>
      <c r="X178" s="235" t="n"/>
      <c r="Y178" s="235" t="n"/>
      <c r="Z178" s="235" t="n"/>
      <c r="AA178" s="235" t="n"/>
      <c r="AB178" s="235" t="n"/>
      <c r="AC178" s="235" t="n"/>
      <c r="AD178" s="235" t="n"/>
      <c r="AE178" s="235" t="n"/>
      <c r="AF178" s="235" t="n"/>
      <c r="AG178" s="235" t="n"/>
      <c r="AH178" s="235" t="n"/>
      <c r="AI178" s="235" t="n"/>
      <c r="CA178" s="90">
        <f>IF(AND(D178&gt;0,I178="")," * No olvide digitar la variable "&amp;I$170&amp;""&amp;". Digite Cero si no tiene.",IF(I178&gt;D178," * La variable "&amp;I$170&amp;""&amp;" No puede ser mayor al Total.",""))</f>
        <v/>
      </c>
      <c r="CK178" s="127">
        <f>IF(AND(D178&gt;0,I178=""),1,IF(I178&gt;D178,1,0))</f>
        <v/>
      </c>
    </row>
    <row r="179" ht="15" customHeight="1" s="8286">
      <c r="A179" s="9588" t="n"/>
      <c r="B179" s="10539" t="inlineStr">
        <is>
          <t>Prevención violencia de género</t>
        </is>
      </c>
      <c r="C179" s="9646" t="n"/>
      <c r="D179" s="1308">
        <f>SUM(E179:H179)</f>
        <v/>
      </c>
      <c r="E179" s="3787" t="n"/>
      <c r="F179" s="3891" t="n"/>
      <c r="G179" s="3891" t="n"/>
      <c r="H179" s="3790" t="n"/>
      <c r="I179" s="4074" t="n"/>
      <c r="J179" s="235">
        <f>CA179</f>
        <v/>
      </c>
      <c r="K179" s="235" t="n"/>
      <c r="L179" s="235" t="n"/>
      <c r="M179" s="235" t="n"/>
      <c r="N179" s="235" t="n"/>
      <c r="O179" s="235" t="n"/>
      <c r="P179" s="235" t="n"/>
      <c r="Q179" s="235" t="n"/>
      <c r="R179" s="235" t="n"/>
      <c r="S179" s="235" t="n"/>
      <c r="T179" s="235" t="n"/>
      <c r="U179" s="235" t="n"/>
      <c r="V179" s="235" t="n"/>
      <c r="W179" s="235" t="n"/>
      <c r="X179" s="235" t="n"/>
      <c r="Y179" s="235" t="n"/>
      <c r="Z179" s="235" t="n"/>
      <c r="AA179" s="235" t="n"/>
      <c r="AB179" s="235" t="n"/>
      <c r="AC179" s="235" t="n"/>
      <c r="AD179" s="235" t="n"/>
      <c r="AE179" s="235" t="n"/>
      <c r="AF179" s="235" t="n"/>
      <c r="AG179" s="235" t="n"/>
      <c r="AH179" s="235" t="n"/>
      <c r="AI179" s="235" t="n"/>
      <c r="CA179" s="90">
        <f>IF(AND(D179&gt;0,I179="")," * No olvide digitar la variable "&amp;I$170&amp;""&amp;". Digite Cero si no tiene.",IF(I179&gt;D179," * La variable "&amp;I$170&amp;""&amp;" No puede ser mayor al Total.",""))</f>
        <v/>
      </c>
      <c r="CK179" s="127">
        <f>IF(AND(D179&gt;0,I179=""),1,IF(I179&gt;D179,1,0))</f>
        <v/>
      </c>
    </row>
    <row r="180" ht="15" customHeight="1" s="8286">
      <c r="A180" s="9588" t="n"/>
      <c r="B180" s="3911" t="inlineStr">
        <is>
          <t>Salud sexual y reproductiva</t>
        </is>
      </c>
      <c r="C180" s="9644" t="n"/>
      <c r="D180" s="1308">
        <f>SUM(E180:H180)</f>
        <v/>
      </c>
      <c r="E180" s="3787" t="n"/>
      <c r="F180" s="3891" t="n"/>
      <c r="G180" s="3891" t="n"/>
      <c r="H180" s="3790" t="n"/>
      <c r="I180" s="4074" t="n"/>
      <c r="J180" s="235">
        <f>CA180</f>
        <v/>
      </c>
      <c r="K180" s="235" t="n"/>
      <c r="L180" s="235" t="n"/>
      <c r="M180" s="235" t="n"/>
      <c r="N180" s="235" t="n"/>
      <c r="O180" s="235" t="n"/>
      <c r="P180" s="235" t="n"/>
      <c r="Q180" s="235" t="n"/>
      <c r="R180" s="235" t="n"/>
      <c r="S180" s="235" t="n"/>
      <c r="T180" s="235" t="n"/>
      <c r="U180" s="235" t="n"/>
      <c r="V180" s="235" t="n"/>
      <c r="W180" s="235" t="n"/>
      <c r="X180" s="235" t="n"/>
      <c r="Y180" s="235" t="n"/>
      <c r="Z180" s="235" t="n"/>
      <c r="AA180" s="235" t="n"/>
      <c r="AB180" s="235" t="n"/>
      <c r="AC180" s="235" t="n"/>
      <c r="AD180" s="235" t="n"/>
      <c r="AE180" s="235" t="n"/>
      <c r="AF180" s="235" t="n"/>
      <c r="AG180" s="235" t="n"/>
      <c r="AH180" s="235" t="n"/>
      <c r="AI180" s="235" t="n"/>
      <c r="CA180" s="90">
        <f>IF(AND(D180&gt;0,I180="")," * No olvide digitar la variable "&amp;I$170&amp;""&amp;". Digite Cero si no tiene.",IF(I180&gt;D180," * La variable "&amp;I$170&amp;""&amp;" No puede ser mayor al Total.",""))</f>
        <v/>
      </c>
      <c r="CK180" s="127">
        <f>IF(AND(D180&gt;0,I180=""),1,IF(I180&gt;D180,1,0))</f>
        <v/>
      </c>
    </row>
    <row r="181" ht="15" customHeight="1" s="8286">
      <c r="A181" s="9588" t="n"/>
      <c r="B181" s="10538" t="inlineStr">
        <is>
          <t>Talleres de climaterio</t>
        </is>
      </c>
      <c r="C181" s="9935" t="n"/>
      <c r="D181" s="1308">
        <f>SUM(E181:H181)</f>
        <v/>
      </c>
      <c r="E181" s="1179" t="n"/>
      <c r="F181" s="1228" t="n"/>
      <c r="G181" s="1228" t="n"/>
      <c r="H181" s="1182" t="n"/>
      <c r="I181" s="1329" t="n"/>
      <c r="J181" s="235">
        <f>CA181</f>
        <v/>
      </c>
      <c r="K181" s="235" t="n"/>
      <c r="L181" s="235" t="n"/>
      <c r="M181" s="235" t="n"/>
      <c r="N181" s="235" t="n"/>
      <c r="O181" s="235" t="n"/>
      <c r="P181" s="235" t="n"/>
      <c r="Q181" s="235" t="n"/>
      <c r="R181" s="235" t="n"/>
      <c r="S181" s="235" t="n"/>
      <c r="T181" s="235" t="n"/>
      <c r="U181" s="235" t="n"/>
      <c r="V181" s="235" t="n"/>
      <c r="W181" s="235" t="n"/>
      <c r="X181" s="235" t="n"/>
      <c r="Y181" s="235" t="n"/>
      <c r="Z181" s="235" t="n"/>
      <c r="AA181" s="235" t="n"/>
      <c r="AB181" s="235" t="n"/>
      <c r="AC181" s="235" t="n"/>
      <c r="AD181" s="235" t="n"/>
      <c r="AE181" s="235" t="n"/>
      <c r="AF181" s="235" t="n"/>
      <c r="AG181" s="235" t="n"/>
      <c r="AH181" s="235" t="n"/>
      <c r="AI181" s="235" t="n"/>
      <c r="CA181" s="90">
        <f>IF(AND(D181&gt;0,I181="")," * No olvide digitar la variable "&amp;I$170&amp;""&amp;". Digite Cero si no tiene.",IF(I181&gt;D181," * La variable "&amp;I$170&amp;""&amp;" No puede ser mayor al Total.",""))</f>
        <v/>
      </c>
      <c r="CK181" s="127">
        <f>IF(AND(D181&gt;0,I181=""),1,IF(I181&gt;D181,1,0))</f>
        <v/>
      </c>
    </row>
    <row r="182" ht="30.75" customHeight="1" s="8286">
      <c r="A182" s="9588" t="n"/>
      <c r="B182" s="3877" t="inlineStr">
        <is>
          <t>Educación prenatal (Nutrición-lactancia-crianza-autocuidado-preparación parto y otros)</t>
        </is>
      </c>
      <c r="C182" s="9644" t="n"/>
      <c r="D182" s="1308">
        <f>SUM(E182:H182)</f>
        <v/>
      </c>
      <c r="E182" s="1179" t="n"/>
      <c r="F182" s="1228" t="n"/>
      <c r="G182" s="1228" t="n"/>
      <c r="H182" s="1182" t="n"/>
      <c r="I182" s="1329" t="n"/>
      <c r="J182" s="235">
        <f>CA182</f>
        <v/>
      </c>
      <c r="K182" s="235" t="n"/>
      <c r="L182" s="235" t="n"/>
      <c r="M182" s="235" t="n"/>
      <c r="N182" s="235" t="n"/>
      <c r="O182" s="235" t="n"/>
      <c r="P182" s="235" t="n"/>
      <c r="Q182" s="235" t="n"/>
      <c r="R182" s="235" t="n"/>
      <c r="S182" s="235" t="n"/>
      <c r="T182" s="235" t="n"/>
      <c r="U182" s="235" t="n"/>
      <c r="V182" s="235" t="n"/>
      <c r="W182" s="235" t="n"/>
      <c r="X182" s="235" t="n"/>
      <c r="Y182" s="235" t="n"/>
      <c r="Z182" s="235" t="n"/>
      <c r="AA182" s="235" t="n"/>
      <c r="AB182" s="235" t="n"/>
      <c r="AC182" s="235" t="n"/>
      <c r="AD182" s="235" t="n"/>
      <c r="AE182" s="235" t="n"/>
      <c r="AF182" s="235" t="n"/>
      <c r="AG182" s="235" t="n"/>
      <c r="AH182" s="235" t="n"/>
      <c r="AI182" s="235" t="n"/>
      <c r="CA182" s="90">
        <f>IF(AND(D182&gt;0,I182="")," * No olvide digitar la variable "&amp;I$170&amp;""&amp;". Digite Cero si no tiene.",IF(I182&gt;D182," * La variable "&amp;I$170&amp;""&amp;" No puede ser mayor al Total.",""))</f>
        <v/>
      </c>
      <c r="CK182" s="127">
        <f>IF(AND(D182&gt;0,I182=""),1,IF(I182&gt;D182,1,0))</f>
        <v/>
      </c>
    </row>
    <row r="183" ht="15" customHeight="1" s="8286">
      <c r="A183" s="9588" t="n"/>
      <c r="B183" s="3877" t="inlineStr">
        <is>
          <t>Visita guiada a la maternidad</t>
        </is>
      </c>
      <c r="C183" s="9644" t="n"/>
      <c r="D183" s="1308">
        <f>SUM(E183:H183)</f>
        <v/>
      </c>
      <c r="E183" s="1179" t="n"/>
      <c r="F183" s="1228" t="n"/>
      <c r="G183" s="1228" t="n"/>
      <c r="H183" s="1182" t="n"/>
      <c r="I183" s="1329" t="n"/>
      <c r="J183" s="235">
        <f>CA183</f>
        <v/>
      </c>
      <c r="K183" s="235" t="n"/>
      <c r="L183" s="235" t="n"/>
      <c r="M183" s="235" t="n"/>
      <c r="N183" s="235" t="n"/>
      <c r="O183" s="235" t="n"/>
      <c r="P183" s="235" t="n"/>
      <c r="Q183" s="235" t="n"/>
      <c r="R183" s="235" t="n"/>
      <c r="S183" s="235" t="n"/>
      <c r="T183" s="235" t="n"/>
      <c r="U183" s="235" t="n"/>
      <c r="V183" s="235" t="n"/>
      <c r="W183" s="235" t="n"/>
      <c r="X183" s="235" t="n"/>
      <c r="Y183" s="235" t="n"/>
      <c r="Z183" s="235" t="n"/>
      <c r="AA183" s="235" t="n"/>
      <c r="AB183" s="235" t="n"/>
      <c r="AC183" s="235" t="n"/>
      <c r="AD183" s="235" t="n"/>
      <c r="AE183" s="235" t="n"/>
      <c r="AF183" s="235" t="n"/>
      <c r="AG183" s="235" t="n"/>
      <c r="AH183" s="235" t="n"/>
      <c r="AI183" s="235" t="n"/>
      <c r="CA183" s="90">
        <f>IF(AND(D183&gt;0,I183="")," * No olvide digitar la variable "&amp;I$170&amp;""&amp;". Digite Cero si no tiene.",IF(I183&gt;D183," * La variable "&amp;I$170&amp;""&amp;" No puede ser mayor al Total.",""))</f>
        <v/>
      </c>
      <c r="CK183" s="127">
        <f>IF(AND(D183&gt;0,I183=""),1,IF(I183&gt;D183,1,0))</f>
        <v/>
      </c>
    </row>
    <row r="184" ht="15" customHeight="1" s="8286">
      <c r="A184" s="9588" t="n"/>
      <c r="B184" s="10539" t="inlineStr">
        <is>
          <t>Promoción de salud mental</t>
        </is>
      </c>
      <c r="C184" s="9646" t="n"/>
      <c r="D184" s="1308">
        <f>SUM(E184:H184)</f>
        <v/>
      </c>
      <c r="E184" s="1179" t="n"/>
      <c r="F184" s="1228" t="n"/>
      <c r="G184" s="1228" t="n"/>
      <c r="H184" s="1182" t="n"/>
      <c r="I184" s="1329" t="n"/>
      <c r="J184" s="235">
        <f>CA184</f>
        <v/>
      </c>
      <c r="K184" s="235" t="n"/>
      <c r="L184" s="235" t="n"/>
      <c r="M184" s="235" t="n"/>
      <c r="N184" s="235" t="n"/>
      <c r="O184" s="235" t="n"/>
      <c r="P184" s="235" t="n"/>
      <c r="Q184" s="235" t="n"/>
      <c r="R184" s="235" t="n"/>
      <c r="S184" s="235" t="n"/>
      <c r="T184" s="235" t="n"/>
      <c r="U184" s="235" t="n"/>
      <c r="V184" s="235" t="n"/>
      <c r="W184" s="235" t="n"/>
      <c r="X184" s="235" t="n"/>
      <c r="Y184" s="235" t="n"/>
      <c r="Z184" s="235" t="n"/>
      <c r="AA184" s="235" t="n"/>
      <c r="AB184" s="235" t="n"/>
      <c r="AC184" s="235" t="n"/>
      <c r="AD184" s="235" t="n"/>
      <c r="AE184" s="235" t="n"/>
      <c r="AF184" s="235" t="n"/>
      <c r="AG184" s="235" t="n"/>
      <c r="AH184" s="235" t="n"/>
      <c r="AI184" s="235" t="n"/>
      <c r="CA184" s="90">
        <f>IF(AND(D184&gt;0,I184="")," * No olvide digitar la variable "&amp;I$170&amp;""&amp;". Digite Cero si no tiene.",IF(I184&gt;D184," * La variable "&amp;I$170&amp;""&amp;" No puede ser mayor al Total.",""))</f>
        <v/>
      </c>
      <c r="CK184" s="127">
        <f>IF(AND(D184&gt;0,I184=""),1,IF(I184&gt;D184,1,0))</f>
        <v/>
      </c>
    </row>
    <row r="185" ht="15" customHeight="1" s="8286">
      <c r="A185" s="9588" t="n"/>
      <c r="B185" s="10236" t="inlineStr">
        <is>
          <t>Promoción del desarrollo infantil temprano</t>
        </is>
      </c>
      <c r="C185" s="4048" t="inlineStr">
        <is>
          <t>Del lenguaje</t>
        </is>
      </c>
      <c r="D185" s="3595">
        <f>SUM(E185:H185)</f>
        <v/>
      </c>
      <c r="E185" s="3503" t="n"/>
      <c r="F185" s="835" t="n"/>
      <c r="G185" s="835" t="n"/>
      <c r="H185" s="2581" t="n"/>
      <c r="I185" s="4073" t="n"/>
      <c r="J185" s="235">
        <f>CA185</f>
        <v/>
      </c>
      <c r="K185" s="235" t="n"/>
      <c r="L185" s="235" t="n"/>
      <c r="M185" s="235" t="n"/>
      <c r="N185" s="235" t="n"/>
      <c r="O185" s="235" t="n"/>
      <c r="P185" s="235" t="n"/>
      <c r="Q185" s="235" t="n"/>
      <c r="R185" s="235" t="n"/>
      <c r="S185" s="235" t="n"/>
      <c r="T185" s="235" t="n"/>
      <c r="U185" s="235" t="n"/>
      <c r="V185" s="235" t="n"/>
      <c r="W185" s="235" t="n"/>
      <c r="X185" s="235" t="n"/>
      <c r="Y185" s="235" t="n"/>
      <c r="Z185" s="235" t="n"/>
      <c r="AA185" s="235" t="n"/>
      <c r="AB185" s="235" t="n"/>
      <c r="AC185" s="235" t="n"/>
      <c r="AD185" s="235" t="n"/>
      <c r="AE185" s="235" t="n"/>
      <c r="AF185" s="235" t="n"/>
      <c r="AG185" s="235" t="n"/>
      <c r="AH185" s="235" t="n"/>
      <c r="AI185" s="235" t="n"/>
      <c r="CA185" s="90">
        <f>IF(AND(D185&gt;0,I185="")," * No olvide digitar la variable "&amp;I$170&amp;""&amp;". Digite Cero si no tiene.",IF(I185&gt;D185," * La variable "&amp;I$170&amp;""&amp;" No puede ser mayor al Total.",""))</f>
        <v/>
      </c>
      <c r="CK185" s="127">
        <f>IF(AND(D185&gt;0,I185=""),1,IF(I185&gt;D185,1,0))</f>
        <v/>
      </c>
    </row>
    <row r="186" ht="15" customHeight="1" s="8286">
      <c r="A186" s="9588" t="n"/>
      <c r="B186" s="9588" t="n"/>
      <c r="C186" s="9087" t="inlineStr">
        <is>
          <t>Motor</t>
        </is>
      </c>
      <c r="D186" s="3632">
        <f>SUM(E186:H186)</f>
        <v/>
      </c>
      <c r="E186" s="3789" t="n"/>
      <c r="F186" s="3891" t="n"/>
      <c r="G186" s="3891" t="n"/>
      <c r="H186" s="3790" t="n"/>
      <c r="I186" s="4074" t="n"/>
      <c r="J186" s="235">
        <f>CA186</f>
        <v/>
      </c>
      <c r="K186" s="235" t="n"/>
      <c r="L186" s="235" t="n"/>
      <c r="M186" s="235" t="n"/>
      <c r="N186" s="235" t="n"/>
      <c r="O186" s="235" t="n"/>
      <c r="P186" s="235" t="n"/>
      <c r="Q186" s="235" t="n"/>
      <c r="R186" s="235" t="n"/>
      <c r="S186" s="235" t="n"/>
      <c r="T186" s="235" t="n"/>
      <c r="U186" s="235" t="n"/>
      <c r="V186" s="235" t="n"/>
      <c r="W186" s="235" t="n"/>
      <c r="X186" s="235" t="n"/>
      <c r="Y186" s="235" t="n"/>
      <c r="Z186" s="235" t="n"/>
      <c r="AA186" s="235" t="n"/>
      <c r="AB186" s="235" t="n"/>
      <c r="AC186" s="235" t="n"/>
      <c r="AD186" s="235" t="n"/>
      <c r="AE186" s="235" t="n"/>
      <c r="AF186" s="235" t="n"/>
      <c r="AG186" s="235" t="n"/>
      <c r="AH186" s="235" t="n"/>
      <c r="AI186" s="235" t="n"/>
      <c r="CA186" s="90">
        <f>IF(AND(D186&gt;0,I186="")," * No olvide digitar la variable "&amp;I$170&amp;""&amp;". Digite Cero si no tiene.",IF(I186&gt;D186," * La variable "&amp;I$170&amp;""&amp;" No puede ser mayor al Total.",""))</f>
        <v/>
      </c>
      <c r="CK186" s="127">
        <f>IF(AND(D186&gt;0,I186=""),1,IF(I186&gt;D186,1,0))</f>
        <v/>
      </c>
    </row>
    <row r="187" ht="15" customHeight="1" s="8286">
      <c r="A187" s="9588" t="n"/>
      <c r="B187" s="9589" t="n"/>
      <c r="C187" s="1232" t="inlineStr">
        <is>
          <t>Otros</t>
        </is>
      </c>
      <c r="D187" s="3598">
        <f>SUM(E187:H187)</f>
        <v/>
      </c>
      <c r="E187" s="3818" t="n"/>
      <c r="F187" s="3599" t="n"/>
      <c r="G187" s="3599" t="n"/>
      <c r="H187" s="3819" t="n"/>
      <c r="I187" s="4076" t="n"/>
      <c r="J187" s="235">
        <f>CA187</f>
        <v/>
      </c>
      <c r="K187" s="235" t="n"/>
      <c r="L187" s="235" t="n"/>
      <c r="M187" s="235" t="n"/>
      <c r="N187" s="235" t="n"/>
      <c r="O187" s="235" t="n"/>
      <c r="P187" s="235" t="n"/>
      <c r="Q187" s="235" t="n"/>
      <c r="R187" s="235" t="n"/>
      <c r="S187" s="235" t="n"/>
      <c r="T187" s="235" t="n"/>
      <c r="U187" s="235" t="n"/>
      <c r="V187" s="235" t="n"/>
      <c r="W187" s="235" t="n"/>
      <c r="X187" s="235" t="n"/>
      <c r="Y187" s="235" t="n"/>
      <c r="Z187" s="235" t="n"/>
      <c r="AA187" s="235" t="n"/>
      <c r="AB187" s="235" t="n"/>
      <c r="AC187" s="235" t="n"/>
      <c r="AD187" s="235" t="n"/>
      <c r="AE187" s="235" t="n"/>
      <c r="AF187" s="235" t="n"/>
      <c r="AG187" s="235" t="n"/>
      <c r="AH187" s="235" t="n"/>
      <c r="AI187" s="235" t="n"/>
      <c r="CA187" s="90">
        <f>IF(AND(D187&gt;0,I187="")," * No olvide digitar la variable "&amp;I$170&amp;""&amp;". Digite Cero si no tiene.",IF(I187&gt;D187," * La variable "&amp;I$170&amp;""&amp;" No puede ser mayor al Total.",""))</f>
        <v/>
      </c>
      <c r="CK187" s="127">
        <f>IF(AND(D187&gt;0,I187=""),1,IF(I187&gt;D187,1,0))</f>
        <v/>
      </c>
    </row>
    <row r="188" ht="15" customHeight="1" s="8286">
      <c r="A188" s="9588" t="n"/>
      <c r="B188" s="10236" t="inlineStr">
        <is>
          <t>Habilidades parentales</t>
        </is>
      </c>
      <c r="C188" s="3934" t="inlineStr">
        <is>
          <t>Nadie es perfecto</t>
        </is>
      </c>
      <c r="D188" s="3779">
        <f>SUM(E188:H188)</f>
        <v/>
      </c>
      <c r="E188" s="3502" t="n"/>
      <c r="F188" s="835" t="n"/>
      <c r="G188" s="835" t="n"/>
      <c r="H188" s="2581" t="n"/>
      <c r="I188" s="4073" t="n"/>
      <c r="J188" s="235">
        <f>CA188</f>
        <v/>
      </c>
      <c r="K188" s="235" t="n"/>
      <c r="L188" s="235" t="n"/>
      <c r="M188" s="235" t="n"/>
      <c r="N188" s="235" t="n"/>
      <c r="O188" s="235" t="n"/>
      <c r="P188" s="235" t="n"/>
      <c r="Q188" s="235" t="n"/>
      <c r="R188" s="235" t="n"/>
      <c r="S188" s="235" t="n"/>
      <c r="T188" s="235" t="n"/>
      <c r="U188" s="235" t="n"/>
      <c r="V188" s="235" t="n"/>
      <c r="W188" s="235" t="n"/>
      <c r="X188" s="235" t="n"/>
      <c r="Y188" s="235" t="n"/>
      <c r="Z188" s="235" t="n"/>
      <c r="AA188" s="235" t="n"/>
      <c r="AB188" s="235" t="n"/>
      <c r="AC188" s="235" t="n"/>
      <c r="AD188" s="235" t="n"/>
      <c r="AE188" s="235" t="n"/>
      <c r="AF188" s="235" t="n"/>
      <c r="AG188" s="235" t="n"/>
      <c r="AH188" s="235" t="n"/>
      <c r="AI188" s="235" t="n"/>
      <c r="CA188" s="90">
        <f>IF(AND(D188&gt;0,I188="")," * No olvide digitar la variable "&amp;I$170&amp;""&amp;". Digite Cero si no tiene.",IF(I188&gt;D188," * La variable "&amp;I$170&amp;""&amp;" No puede ser mayor al Total.",""))</f>
        <v/>
      </c>
      <c r="CK188" s="127">
        <f>IF(AND(D188&gt;0,I188=""),1,IF(I188&gt;D188,1,0))</f>
        <v/>
      </c>
    </row>
    <row r="189" ht="15" customHeight="1" s="8286">
      <c r="A189" s="9588" t="n"/>
      <c r="B189" s="9588" t="n"/>
      <c r="C189" s="3968" t="inlineStr">
        <is>
          <t>Familias fuertes</t>
        </is>
      </c>
      <c r="D189" s="1308">
        <f>SUM(E189:H189)</f>
        <v/>
      </c>
      <c r="E189" s="3787" t="n"/>
      <c r="F189" s="3891" t="n"/>
      <c r="G189" s="3891" t="n"/>
      <c r="H189" s="3790" t="n"/>
      <c r="I189" s="4074" t="n"/>
      <c r="J189" s="235">
        <f>CA189</f>
        <v/>
      </c>
      <c r="K189" s="235" t="n"/>
      <c r="L189" s="235" t="n"/>
      <c r="M189" s="235" t="n"/>
      <c r="N189" s="235" t="n"/>
      <c r="O189" s="235" t="n"/>
      <c r="P189" s="235" t="n"/>
      <c r="Q189" s="235" t="n"/>
      <c r="R189" s="235" t="n"/>
      <c r="S189" s="235" t="n"/>
      <c r="T189" s="235" t="n"/>
      <c r="U189" s="235" t="n"/>
      <c r="V189" s="235" t="n"/>
      <c r="W189" s="235" t="n"/>
      <c r="X189" s="235" t="n"/>
      <c r="Y189" s="235" t="n"/>
      <c r="Z189" s="235" t="n"/>
      <c r="AA189" s="235" t="n"/>
      <c r="AB189" s="235" t="n"/>
      <c r="AC189" s="235" t="n"/>
      <c r="AD189" s="235" t="n"/>
      <c r="AE189" s="235" t="n"/>
      <c r="AF189" s="235" t="n"/>
      <c r="AG189" s="235" t="n"/>
      <c r="AH189" s="235" t="n"/>
      <c r="AI189" s="235" t="n"/>
      <c r="CA189" s="90">
        <f>IF(AND(D189&gt;0,I189="")," * No olvide digitar la variable "&amp;I$170&amp;""&amp;". Digite Cero si no tiene.",IF(I189&gt;D189," * La variable "&amp;I$170&amp;""&amp;" No puede ser mayor al Total.",""))</f>
        <v/>
      </c>
      <c r="CK189" s="127">
        <f>IF(AND(D189&gt;0,I189=""),1,IF(I189&gt;D189,1,0))</f>
        <v/>
      </c>
    </row>
    <row r="190" ht="15" customHeight="1" s="8286">
      <c r="A190" s="9588" t="n"/>
      <c r="B190" s="9589" t="n"/>
      <c r="C190" s="1232" t="inlineStr">
        <is>
          <t>Otros</t>
        </is>
      </c>
      <c r="D190" s="3598">
        <f>SUM(E190:H190)</f>
        <v/>
      </c>
      <c r="E190" s="3808" t="n"/>
      <c r="F190" s="3599" t="n"/>
      <c r="G190" s="3599" t="n"/>
      <c r="H190" s="3819" t="n"/>
      <c r="I190" s="4076" t="n"/>
      <c r="J190" s="235">
        <f>CA190</f>
        <v/>
      </c>
      <c r="K190" s="235" t="n"/>
      <c r="L190" s="235" t="n"/>
      <c r="M190" s="235" t="n"/>
      <c r="N190" s="235" t="n"/>
      <c r="O190" s="235" t="n"/>
      <c r="P190" s="235" t="n"/>
      <c r="Q190" s="235" t="n"/>
      <c r="R190" s="235" t="n"/>
      <c r="S190" s="235" t="n"/>
      <c r="T190" s="235" t="n"/>
      <c r="U190" s="235" t="n"/>
      <c r="V190" s="235" t="n"/>
      <c r="W190" s="235" t="n"/>
      <c r="X190" s="235" t="n"/>
      <c r="Y190" s="235" t="n"/>
      <c r="Z190" s="235" t="n"/>
      <c r="AA190" s="235" t="n"/>
      <c r="AB190" s="235" t="n"/>
      <c r="AC190" s="235" t="n"/>
      <c r="AD190" s="235" t="n"/>
      <c r="AE190" s="235" t="n"/>
      <c r="AF190" s="235" t="n"/>
      <c r="AG190" s="235" t="n"/>
      <c r="AH190" s="235" t="n"/>
      <c r="AI190" s="235" t="n"/>
      <c r="CA190" s="90">
        <f>IF(AND(D190&gt;0,I190="")," * No olvide digitar la variable "&amp;I$170&amp;""&amp;". Digite Cero si no tiene.",IF(I190&gt;D190," * La variable "&amp;I$170&amp;""&amp;" No puede ser mayor al Total.",""))</f>
        <v/>
      </c>
      <c r="CK190" s="127">
        <f>IF(AND(D190&gt;0,I190=""),1,IF(I190&gt;D190,1,0))</f>
        <v/>
      </c>
    </row>
    <row r="191" ht="15" customHeight="1" s="8286">
      <c r="A191" s="9588" t="n"/>
      <c r="B191" s="10542" t="inlineStr">
        <is>
          <t>Apoyo madre a madre</t>
        </is>
      </c>
      <c r="C191" s="9582" t="n"/>
      <c r="D191" s="3772">
        <f>SUM(E191:H191)</f>
        <v/>
      </c>
      <c r="E191" s="3773" t="n"/>
      <c r="F191" s="3901" t="n"/>
      <c r="G191" s="3901" t="n"/>
      <c r="H191" s="3776" t="n"/>
      <c r="I191" s="4077" t="n"/>
      <c r="J191" s="235">
        <f>CA191</f>
        <v/>
      </c>
      <c r="K191" s="235" t="n"/>
      <c r="L191" s="235" t="n"/>
      <c r="M191" s="235" t="n"/>
      <c r="N191" s="235" t="n"/>
      <c r="O191" s="235" t="n"/>
      <c r="P191" s="235" t="n"/>
      <c r="Q191" s="235" t="n"/>
      <c r="R191" s="235" t="n"/>
      <c r="S191" s="235" t="n"/>
      <c r="T191" s="235" t="n"/>
      <c r="U191" s="235" t="n"/>
      <c r="V191" s="235" t="n"/>
      <c r="W191" s="235" t="n"/>
      <c r="X191" s="235" t="n"/>
      <c r="Y191" s="235" t="n"/>
      <c r="Z191" s="235" t="n"/>
      <c r="AA191" s="235" t="n"/>
      <c r="AB191" s="235" t="n"/>
      <c r="AC191" s="235" t="n"/>
      <c r="AD191" s="235" t="n"/>
      <c r="AE191" s="235" t="n"/>
      <c r="AF191" s="235" t="n"/>
      <c r="AG191" s="235" t="n"/>
      <c r="AH191" s="235" t="n"/>
      <c r="AI191" s="235" t="n"/>
      <c r="CA191" s="90">
        <f>IF(AND(D191&gt;0,I191="")," * No olvide digitar la variable "&amp;I$170&amp;""&amp;". Digite Cero si no tiene.",IF(I191&gt;D191," * La variable "&amp;I$170&amp;""&amp;" No puede ser mayor al Total.",""))</f>
        <v/>
      </c>
      <c r="CK191" s="127">
        <f>IF(AND(D191&gt;0,I191=""),1,IF(I191&gt;D191,1,0))</f>
        <v/>
      </c>
    </row>
    <row r="192" ht="15" customHeight="1" s="8286">
      <c r="A192" s="9588" t="n"/>
      <c r="B192" s="8369" t="inlineStr">
        <is>
          <t>Prevención de salud mental</t>
        </is>
      </c>
      <c r="C192" s="9234" t="inlineStr">
        <is>
          <t>Prevención suicidio</t>
        </is>
      </c>
      <c r="D192" s="637">
        <f>SUM(E192:H192)</f>
        <v/>
      </c>
      <c r="E192" s="1935" t="n"/>
      <c r="F192" s="793" t="n"/>
      <c r="G192" s="793" t="n"/>
      <c r="H192" s="2261" t="n"/>
      <c r="I192" s="4075" t="n"/>
      <c r="J192" s="235">
        <f>CA192</f>
        <v/>
      </c>
      <c r="K192" s="235" t="n"/>
      <c r="L192" s="235" t="n"/>
      <c r="M192" s="235" t="n"/>
      <c r="N192" s="235" t="n"/>
      <c r="O192" s="235" t="n"/>
      <c r="P192" s="235" t="n"/>
      <c r="Q192" s="235" t="n"/>
      <c r="R192" s="235" t="n"/>
      <c r="S192" s="235" t="n"/>
      <c r="T192" s="235" t="n"/>
      <c r="U192" s="235" t="n"/>
      <c r="V192" s="235" t="n"/>
      <c r="W192" s="235" t="n"/>
      <c r="X192" s="235" t="n"/>
      <c r="Y192" s="235" t="n"/>
      <c r="Z192" s="235" t="n"/>
      <c r="AA192" s="235" t="n"/>
      <c r="AB192" s="235" t="n"/>
      <c r="AC192" s="235" t="n"/>
      <c r="AD192" s="235" t="n"/>
      <c r="AE192" s="235" t="n"/>
      <c r="AF192" s="235" t="n"/>
      <c r="AG192" s="235" t="n"/>
      <c r="AH192" s="235" t="n"/>
      <c r="AI192" s="235" t="n"/>
      <c r="CA192" s="90">
        <f>IF(AND(D192&gt;0,I192="")," * No olvide digitar la variable "&amp;I$170&amp;""&amp;". Digite Cero si no tiene.",IF(I192&gt;D192," * La variable "&amp;I$170&amp;""&amp;" No puede ser mayor al Total.",""))</f>
        <v/>
      </c>
      <c r="CK192" s="127">
        <f>IF(AND(D192&gt;0,I192=""),1,IF(I192&gt;D192,1,0))</f>
        <v/>
      </c>
    </row>
    <row r="193" ht="15" customHeight="1" s="8286">
      <c r="A193" s="9588" t="n"/>
      <c r="B193" s="9621" t="n"/>
      <c r="C193" s="8771" t="inlineStr">
        <is>
          <t>Prevención trastorno mental</t>
        </is>
      </c>
      <c r="D193" s="1308">
        <f>SUM(E193:H193)</f>
        <v/>
      </c>
      <c r="E193" s="3787" t="n"/>
      <c r="F193" s="3891" t="n"/>
      <c r="G193" s="3891" t="n"/>
      <c r="H193" s="3790" t="n"/>
      <c r="I193" s="4074" t="n"/>
      <c r="J193" s="235">
        <f>CA193</f>
        <v/>
      </c>
      <c r="K193" s="235" t="n"/>
      <c r="L193" s="235" t="n"/>
      <c r="M193" s="235" t="n"/>
      <c r="N193" s="235" t="n"/>
      <c r="O193" s="235" t="n"/>
      <c r="P193" s="235" t="n"/>
      <c r="Q193" s="235" t="n"/>
      <c r="R193" s="235" t="n"/>
      <c r="S193" s="235" t="n"/>
      <c r="T193" s="235" t="n"/>
      <c r="U193" s="235" t="n"/>
      <c r="V193" s="235" t="n"/>
      <c r="W193" s="235" t="n"/>
      <c r="X193" s="235" t="n"/>
      <c r="Y193" s="235" t="n"/>
      <c r="Z193" s="235" t="n"/>
      <c r="AA193" s="235" t="n"/>
      <c r="AB193" s="235" t="n"/>
      <c r="AC193" s="235" t="n"/>
      <c r="AD193" s="235" t="n"/>
      <c r="AE193" s="235" t="n"/>
      <c r="AF193" s="235" t="n"/>
      <c r="AG193" s="235" t="n"/>
      <c r="AH193" s="235" t="n"/>
      <c r="AI193" s="235" t="n"/>
      <c r="CA193" s="90">
        <f>IF(AND(D193&gt;0,I193="")," * No olvide digitar la variable "&amp;I$170&amp;""&amp;". Digite Cero si no tiene.",IF(I193&gt;D193," * La variable "&amp;I$170&amp;""&amp;" No puede ser mayor al Total.",""))</f>
        <v/>
      </c>
      <c r="CK193" s="127">
        <f>IF(AND(D193&gt;0,I193=""),1,IF(I193&gt;D193,1,0))</f>
        <v/>
      </c>
    </row>
    <row r="194" ht="15" customHeight="1" s="8286">
      <c r="A194" s="9588" t="n"/>
      <c r="B194" s="4244" t="inlineStr">
        <is>
          <t>Prevención alcohol y drogas</t>
        </is>
      </c>
      <c r="C194" s="9643" t="n"/>
      <c r="D194" s="1308">
        <f>SUM(E194:H194)</f>
        <v/>
      </c>
      <c r="E194" s="3787" t="n"/>
      <c r="F194" s="3891" t="n"/>
      <c r="G194" s="3891" t="n"/>
      <c r="H194" s="3790" t="n"/>
      <c r="I194" s="4074" t="n"/>
      <c r="J194" s="235">
        <f>CA194</f>
        <v/>
      </c>
      <c r="K194" s="235" t="n"/>
      <c r="L194" s="235" t="n"/>
      <c r="M194" s="235" t="n"/>
      <c r="N194" s="235" t="n"/>
      <c r="O194" s="235" t="n"/>
      <c r="P194" s="235" t="n"/>
      <c r="Q194" s="235" t="n"/>
      <c r="R194" s="235" t="n"/>
      <c r="S194" s="235" t="n"/>
      <c r="T194" s="235" t="n"/>
      <c r="U194" s="235" t="n"/>
      <c r="V194" s="235" t="n"/>
      <c r="W194" s="235" t="n"/>
      <c r="X194" s="235" t="n"/>
      <c r="Y194" s="235" t="n"/>
      <c r="Z194" s="235" t="n"/>
      <c r="AA194" s="235" t="n"/>
      <c r="AB194" s="235" t="n"/>
      <c r="AC194" s="235" t="n"/>
      <c r="AD194" s="235" t="n"/>
      <c r="AE194" s="235" t="n"/>
      <c r="AF194" s="235" t="n"/>
      <c r="AG194" s="235" t="n"/>
      <c r="AH194" s="235" t="n"/>
      <c r="AI194" s="235" t="n"/>
      <c r="CA194" s="90">
        <f>IF(AND(D194&gt;0,I194="")," * No olvide digitar la variable "&amp;I$170&amp;""&amp;". Digite Cero si no tiene.",IF(I194&gt;D194," * La variable "&amp;I$170&amp;""&amp;" No puede ser mayor al Total.",""))</f>
        <v/>
      </c>
      <c r="CK194" s="127">
        <f>IF(AND(D194&gt;0,I194=""),1,IF(I194&gt;D194,1,0))</f>
        <v/>
      </c>
    </row>
    <row r="195" ht="15" customHeight="1" s="8286">
      <c r="A195" s="9588" t="n"/>
      <c r="B195" s="10538" t="inlineStr">
        <is>
          <t>Antitabáquica (excluye REM 23)</t>
        </is>
      </c>
      <c r="C195" s="9935" t="n"/>
      <c r="D195" s="1308">
        <f>SUM(E195:H195)</f>
        <v/>
      </c>
      <c r="E195" s="3787" t="n"/>
      <c r="F195" s="3891" t="n"/>
      <c r="G195" s="3891" t="n"/>
      <c r="H195" s="3790" t="n"/>
      <c r="I195" s="4074" t="n"/>
      <c r="J195" s="235">
        <f>CA195</f>
        <v/>
      </c>
      <c r="K195" s="235" t="n"/>
      <c r="L195" s="235" t="n"/>
      <c r="M195" s="235" t="n"/>
      <c r="N195" s="235" t="n"/>
      <c r="O195" s="235" t="n"/>
      <c r="P195" s="235" t="n"/>
      <c r="Q195" s="235" t="n"/>
      <c r="R195" s="235" t="n"/>
      <c r="S195" s="235" t="n"/>
      <c r="T195" s="235" t="n"/>
      <c r="U195" s="235" t="n"/>
      <c r="V195" s="235" t="n"/>
      <c r="W195" s="235" t="n"/>
      <c r="X195" s="235" t="n"/>
      <c r="Y195" s="235" t="n"/>
      <c r="Z195" s="235" t="n"/>
      <c r="AA195" s="235" t="n"/>
      <c r="AB195" s="235" t="n"/>
      <c r="AC195" s="235" t="n"/>
      <c r="AD195" s="235" t="n"/>
      <c r="AE195" s="235" t="n"/>
      <c r="AF195" s="235" t="n"/>
      <c r="AG195" s="235" t="n"/>
      <c r="AH195" s="235" t="n"/>
      <c r="AI195" s="235" t="n"/>
      <c r="CA195" s="90">
        <f>IF(AND(D195&gt;0,I195="")," * No olvide digitar la variable "&amp;I$170&amp;""&amp;". Digite Cero si no tiene.",IF(I195&gt;D195," * La variable "&amp;I$170&amp;""&amp;" No puede ser mayor al Total.",""))</f>
        <v/>
      </c>
      <c r="CK195" s="127">
        <f>IF(AND(D195&gt;0,I195=""),1,IF(I195&gt;D195,1,0))</f>
        <v/>
      </c>
    </row>
    <row r="196" ht="15" customHeight="1" s="8286">
      <c r="A196" s="9588" t="n"/>
      <c r="B196" s="3877" t="inlineStr">
        <is>
          <t>Prevención de la transmisión vertical de VIH-Sífilis</t>
        </is>
      </c>
      <c r="C196" s="9644" t="n"/>
      <c r="D196" s="1308">
        <f>SUM(E196:H196)</f>
        <v/>
      </c>
      <c r="E196" s="1179" t="n"/>
      <c r="F196" s="1228" t="n"/>
      <c r="G196" s="1228" t="n"/>
      <c r="H196" s="1182" t="n"/>
      <c r="I196" s="1329" t="n"/>
      <c r="J196" s="235">
        <f>CA196</f>
        <v/>
      </c>
      <c r="K196" s="235" t="n"/>
      <c r="L196" s="235" t="n"/>
      <c r="M196" s="235" t="n"/>
      <c r="N196" s="235" t="n"/>
      <c r="O196" s="235" t="n"/>
      <c r="P196" s="235" t="n"/>
      <c r="Q196" s="235" t="n"/>
      <c r="R196" s="235" t="n"/>
      <c r="S196" s="235" t="n"/>
      <c r="T196" s="235" t="n"/>
      <c r="U196" s="235" t="n"/>
      <c r="V196" s="235" t="n"/>
      <c r="W196" s="235" t="n"/>
      <c r="X196" s="235" t="n"/>
      <c r="Y196" s="235" t="n"/>
      <c r="Z196" s="235" t="n"/>
      <c r="AA196" s="235" t="n"/>
      <c r="AB196" s="235" t="n"/>
      <c r="AC196" s="235" t="n"/>
      <c r="AD196" s="235" t="n"/>
      <c r="AE196" s="235" t="n"/>
      <c r="AF196" s="235" t="n"/>
      <c r="AG196" s="235" t="n"/>
      <c r="AH196" s="235" t="n"/>
      <c r="AI196" s="235" t="n"/>
      <c r="CA196" s="90">
        <f>IF(AND(D196&gt;0,I196="")," * No olvide digitar la variable "&amp;I$170&amp;""&amp;". Digite Cero si no tiene.",IF(I196&gt;D196," * La variable "&amp;I$170&amp;""&amp;" No puede ser mayor al Total.",""))</f>
        <v/>
      </c>
      <c r="CK196" s="127">
        <f>IF(AND(D196&gt;0,I196=""),1,IF(I196&gt;D196,1,0))</f>
        <v/>
      </c>
    </row>
    <row r="197" ht="15" customHeight="1" s="8286">
      <c r="A197" s="9588" t="n"/>
      <c r="B197" s="10539" t="inlineStr">
        <is>
          <t>Otras áreas temáticas</t>
        </is>
      </c>
      <c r="C197" s="9646" t="n"/>
      <c r="D197" s="1308">
        <f>SUM(E197:H197)</f>
        <v/>
      </c>
      <c r="E197" s="1179" t="n"/>
      <c r="F197" s="1228" t="n"/>
      <c r="G197" s="1228" t="n"/>
      <c r="H197" s="1182" t="n"/>
      <c r="I197" s="1329" t="n"/>
      <c r="J197" s="235">
        <f>CA197</f>
        <v/>
      </c>
      <c r="K197" s="235" t="n"/>
      <c r="L197" s="235" t="n"/>
      <c r="M197" s="235" t="n"/>
      <c r="N197" s="235" t="n"/>
      <c r="O197" s="235" t="n"/>
      <c r="P197" s="235" t="n"/>
      <c r="Q197" s="235" t="n"/>
      <c r="R197" s="235" t="n"/>
      <c r="S197" s="235" t="n"/>
      <c r="T197" s="235" t="n"/>
      <c r="U197" s="235" t="n"/>
      <c r="V197" s="235" t="n"/>
      <c r="W197" s="235" t="n"/>
      <c r="X197" s="235" t="n"/>
      <c r="Y197" s="235" t="n"/>
      <c r="Z197" s="235" t="n"/>
      <c r="AA197" s="235" t="n"/>
      <c r="AB197" s="235" t="n"/>
      <c r="AC197" s="235" t="n"/>
      <c r="AD197" s="235" t="n"/>
      <c r="AE197" s="235" t="n"/>
      <c r="AF197" s="235" t="n"/>
      <c r="AG197" s="235" t="n"/>
      <c r="AH197" s="235" t="n"/>
      <c r="AI197" s="235" t="n"/>
      <c r="CA197" s="90">
        <f>IF(AND(D197&gt;0,I197="")," * No olvide digitar la variable "&amp;I$170&amp;""&amp;". Digite Cero si no tiene.",IF(I197&gt;D197," * La variable "&amp;I$170&amp;""&amp;" No puede ser mayor al Total.",""))</f>
        <v/>
      </c>
      <c r="CK197" s="127">
        <f>IF(AND(D197&gt;0,I197=""),1,IF(I197&gt;D197,1,0))</f>
        <v/>
      </c>
    </row>
    <row r="198" ht="15" customHeight="1" s="8286">
      <c r="A198" s="9588" t="n"/>
      <c r="B198" s="10236" t="inlineStr">
        <is>
          <t>Educación especial en adulto mayor</t>
        </is>
      </c>
      <c r="C198" s="4059" t="inlineStr">
        <is>
          <t>Estimulación de memoria</t>
        </is>
      </c>
      <c r="D198" s="3779">
        <f>SUM(E198:H198)</f>
        <v/>
      </c>
      <c r="E198" s="3502" t="n"/>
      <c r="F198" s="835" t="n"/>
      <c r="G198" s="835" t="n"/>
      <c r="H198" s="2581" t="n"/>
      <c r="I198" s="4073" t="n"/>
      <c r="J198" s="235">
        <f>CA198</f>
        <v/>
      </c>
      <c r="K198" s="235" t="n"/>
      <c r="L198" s="235" t="n"/>
      <c r="M198" s="235" t="n"/>
      <c r="N198" s="235" t="n"/>
      <c r="O198" s="235" t="n"/>
      <c r="P198" s="235" t="n"/>
      <c r="Q198" s="235" t="n"/>
      <c r="R198" s="235" t="n"/>
      <c r="S198" s="235" t="n"/>
      <c r="T198" s="235" t="n"/>
      <c r="U198" s="235" t="n"/>
      <c r="V198" s="235" t="n"/>
      <c r="W198" s="235" t="n"/>
      <c r="X198" s="235" t="n"/>
      <c r="Y198" s="235" t="n"/>
      <c r="Z198" s="235" t="n"/>
      <c r="AA198" s="235" t="n"/>
      <c r="AB198" s="235" t="n"/>
      <c r="AC198" s="235" t="n"/>
      <c r="AD198" s="235" t="n"/>
      <c r="AE198" s="235" t="n"/>
      <c r="AF198" s="235" t="n"/>
      <c r="AG198" s="235" t="n"/>
      <c r="AH198" s="235" t="n"/>
      <c r="AI198" s="235" t="n"/>
      <c r="CA198" s="90">
        <f>IF(AND(D198&gt;0,I198="")," * No olvide digitar la variable "&amp;I$170&amp;""&amp;". Digite Cero si no tiene.",IF(I198&gt;D198," * La variable "&amp;I$170&amp;""&amp;" No puede ser mayor al Total.",""))</f>
        <v/>
      </c>
      <c r="CK198" s="127">
        <f>IF(AND(D198&gt;0,I198=""),1,IF(I198&gt;D198,1,0))</f>
        <v/>
      </c>
    </row>
    <row r="199" ht="15" customHeight="1" s="8286">
      <c r="A199" s="9588" t="n"/>
      <c r="B199" s="9588" t="n"/>
      <c r="C199" s="4061" t="inlineStr">
        <is>
          <t>Prevención de caídas</t>
        </is>
      </c>
      <c r="D199" s="1308">
        <f>SUM(E199:H199)</f>
        <v/>
      </c>
      <c r="E199" s="3787" t="n"/>
      <c r="F199" s="3891" t="n"/>
      <c r="G199" s="3891" t="n"/>
      <c r="H199" s="3790" t="n"/>
      <c r="I199" s="4074" t="n"/>
      <c r="J199" s="235">
        <f>CA199</f>
        <v/>
      </c>
      <c r="K199" s="235" t="n"/>
      <c r="L199" s="235" t="n"/>
      <c r="M199" s="235" t="n"/>
      <c r="N199" s="235" t="n"/>
      <c r="O199" s="235" t="n"/>
      <c r="P199" s="235" t="n"/>
      <c r="Q199" s="235" t="n"/>
      <c r="R199" s="235" t="n"/>
      <c r="S199" s="235" t="n"/>
      <c r="T199" s="235" t="n"/>
      <c r="U199" s="235" t="n"/>
      <c r="V199" s="235" t="n"/>
      <c r="W199" s="235" t="n"/>
      <c r="X199" s="235" t="n"/>
      <c r="Y199" s="235" t="n"/>
      <c r="Z199" s="235" t="n"/>
      <c r="AA199" s="235" t="n"/>
      <c r="AB199" s="235" t="n"/>
      <c r="AC199" s="235" t="n"/>
      <c r="AD199" s="235" t="n"/>
      <c r="AE199" s="235" t="n"/>
      <c r="AF199" s="235" t="n"/>
      <c r="AG199" s="235" t="n"/>
      <c r="AH199" s="235" t="n"/>
      <c r="AI199" s="235" t="n"/>
      <c r="CA199" s="90">
        <f>IF(AND(D199&gt;0,I199="")," * No olvide digitar la variable "&amp;I$170&amp;""&amp;". Digite Cero si no tiene.",IF(I199&gt;D199," * La variable "&amp;I$170&amp;""&amp;" No puede ser mayor al Total.",""))</f>
        <v/>
      </c>
      <c r="CK199" s="127">
        <f>IF(AND(D199&gt;0,I199=""),1,IF(I199&gt;D199,1,0))</f>
        <v/>
      </c>
    </row>
    <row r="200" ht="15" customHeight="1" s="8286">
      <c r="A200" s="9588" t="n"/>
      <c r="B200" s="9589" t="n"/>
      <c r="C200" s="4063" t="inlineStr">
        <is>
          <t>Estimulación de actividad física</t>
        </is>
      </c>
      <c r="D200" s="1308">
        <f>SUM(E200:H200)</f>
        <v/>
      </c>
      <c r="E200" s="1179" t="n"/>
      <c r="F200" s="1228" t="n"/>
      <c r="G200" s="1228" t="n"/>
      <c r="H200" s="1182" t="n"/>
      <c r="I200" s="1329" t="n"/>
      <c r="J200" s="235">
        <f>CA200</f>
        <v/>
      </c>
      <c r="K200" s="235" t="n"/>
      <c r="L200" s="235" t="n"/>
      <c r="M200" s="235" t="n"/>
      <c r="N200" s="235" t="n"/>
      <c r="O200" s="235" t="n"/>
      <c r="P200" s="235" t="n"/>
      <c r="Q200" s="235" t="n"/>
      <c r="R200" s="235" t="n"/>
      <c r="S200" s="235" t="n"/>
      <c r="T200" s="235" t="n"/>
      <c r="U200" s="235" t="n"/>
      <c r="V200" s="235" t="n"/>
      <c r="W200" s="235" t="n"/>
      <c r="X200" s="235" t="n"/>
      <c r="Y200" s="235" t="n"/>
      <c r="Z200" s="235" t="n"/>
      <c r="AA200" s="235" t="n"/>
      <c r="AB200" s="235" t="n"/>
      <c r="AC200" s="235" t="n"/>
      <c r="AD200" s="235" t="n"/>
      <c r="AE200" s="235" t="n"/>
      <c r="AF200" s="235" t="n"/>
      <c r="AG200" s="235" t="n"/>
      <c r="AH200" s="235" t="n"/>
      <c r="AI200" s="235" t="n"/>
      <c r="CA200" s="90">
        <f>IF(AND(D200&gt;0,I200="")," * No olvide digitar la variable "&amp;I$170&amp;""&amp;". Digite Cero si no tiene.",IF(I200&gt;D200," * La variable "&amp;I$170&amp;""&amp;" No puede ser mayor al Total.",""))</f>
        <v/>
      </c>
      <c r="CK200" s="127">
        <f>IF(AND(D200&gt;0,I200=""),1,IF(I200&gt;D200,1,0))</f>
        <v/>
      </c>
    </row>
    <row r="201" ht="15" customHeight="1" s="8286">
      <c r="A201" s="9588" t="n"/>
      <c r="B201" s="10548" t="inlineStr">
        <is>
          <t>Uso racional de medicamentos</t>
        </is>
      </c>
      <c r="C201" s="9643" t="n"/>
      <c r="D201" s="3595">
        <f>SUM(E201:H201)</f>
        <v/>
      </c>
      <c r="E201" s="3502" t="n"/>
      <c r="F201" s="835" t="n"/>
      <c r="G201" s="835" t="n"/>
      <c r="H201" s="3518" t="n"/>
      <c r="I201" s="4073" t="n"/>
      <c r="J201" s="235">
        <f>CA201</f>
        <v/>
      </c>
      <c r="K201" s="235" t="n"/>
      <c r="L201" s="235" t="n"/>
      <c r="M201" s="235" t="n"/>
      <c r="N201" s="235" t="n"/>
      <c r="O201" s="235" t="n"/>
      <c r="P201" s="235" t="n"/>
      <c r="Q201" s="235" t="n"/>
      <c r="R201" s="235" t="n"/>
      <c r="S201" s="235" t="n"/>
      <c r="T201" s="235" t="n"/>
      <c r="U201" s="235" t="n"/>
      <c r="V201" s="235" t="n"/>
      <c r="W201" s="235" t="n"/>
      <c r="X201" s="235" t="n"/>
      <c r="Y201" s="235" t="n"/>
      <c r="Z201" s="235" t="n"/>
      <c r="AA201" s="235" t="n"/>
      <c r="AB201" s="235" t="n"/>
      <c r="AC201" s="235" t="n"/>
      <c r="AD201" s="235" t="n"/>
      <c r="AE201" s="235" t="n"/>
      <c r="AF201" s="235" t="n"/>
      <c r="AG201" s="235" t="n"/>
      <c r="AH201" s="235" t="n"/>
      <c r="AI201" s="235" t="n"/>
      <c r="CA201" s="90">
        <f>IF(AND(D201&gt;0,I201="")," * No olvide digitar la variable "&amp;I$170&amp;""&amp;". Digite Cero si no tiene.",IF(I201&gt;D201," * La variable "&amp;I$170&amp;""&amp;" No puede ser mayor al Total.",""))</f>
        <v/>
      </c>
      <c r="CK201" s="127">
        <f>IF(AND(D201&gt;0,I201=""),1,IF(I201&gt;D201,1,0))</f>
        <v/>
      </c>
    </row>
    <row r="202" ht="15" customHeight="1" s="8286">
      <c r="A202" s="9588" t="n"/>
      <c r="B202" s="10545" t="inlineStr">
        <is>
          <t>Resistencia antimicrobianos</t>
        </is>
      </c>
      <c r="C202" s="9776" t="n"/>
      <c r="D202" s="2669">
        <f>SUM(E202:H202)</f>
        <v/>
      </c>
      <c r="E202" s="2644" t="n"/>
      <c r="F202" s="155" t="n"/>
      <c r="G202" s="155" t="n"/>
      <c r="H202" s="2646" t="n"/>
      <c r="I202" s="457" t="n"/>
      <c r="J202" s="235">
        <f>CA202</f>
        <v/>
      </c>
      <c r="K202" s="235" t="n"/>
      <c r="L202" s="235" t="n"/>
      <c r="M202" s="235" t="n"/>
      <c r="N202" s="235" t="n"/>
      <c r="O202" s="235" t="n"/>
      <c r="P202" s="235" t="n"/>
      <c r="Q202" s="235" t="n"/>
      <c r="R202" s="235" t="n"/>
      <c r="S202" s="235" t="n"/>
      <c r="T202" s="235" t="n"/>
      <c r="U202" s="235" t="n"/>
      <c r="V202" s="235" t="n"/>
      <c r="W202" s="235" t="n"/>
      <c r="X202" s="235" t="n"/>
      <c r="Y202" s="235" t="n"/>
      <c r="Z202" s="235" t="n"/>
      <c r="AA202" s="235" t="n"/>
      <c r="AB202" s="235" t="n"/>
      <c r="AC202" s="235" t="n"/>
      <c r="AD202" s="235" t="n"/>
      <c r="AE202" s="235" t="n"/>
      <c r="AF202" s="235" t="n"/>
      <c r="AG202" s="235" t="n"/>
      <c r="AH202" s="235" t="n"/>
      <c r="AI202" s="235" t="n"/>
      <c r="CA202" s="90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>IF(AND(D202&gt;0,I202=""),1,IF(I202&gt;D202,1,0))</f>
        <v/>
      </c>
    </row>
    <row r="203" ht="15" customHeight="1" s="8286">
      <c r="A203" s="9589" t="n"/>
      <c r="B203" s="10561" t="inlineStr">
        <is>
          <t>TOTAL</t>
        </is>
      </c>
      <c r="C203" s="10562" t="n"/>
      <c r="D203" s="3772">
        <f>SUM(E203:H203)</f>
        <v/>
      </c>
      <c r="E203" s="3797">
        <f>SUM(E171:E202)</f>
        <v/>
      </c>
      <c r="F203" s="3798">
        <f>SUM(F171:F202)</f>
        <v/>
      </c>
      <c r="G203" s="3798">
        <f>SUM(G171:G202)</f>
        <v/>
      </c>
      <c r="H203" s="4127">
        <f>SUM(H171:H202)</f>
        <v/>
      </c>
      <c r="I203" s="4128">
        <f>SUM(I171:I202)</f>
        <v/>
      </c>
      <c r="J203" s="913" t="n"/>
      <c r="K203" s="235" t="n"/>
      <c r="L203" s="235" t="n"/>
      <c r="M203" s="235" t="n"/>
      <c r="N203" s="235" t="n"/>
      <c r="O203" s="235" t="n"/>
      <c r="P203" s="235" t="n"/>
      <c r="Q203" s="235" t="n"/>
      <c r="R203" s="235" t="n"/>
      <c r="S203" s="235" t="n"/>
      <c r="T203" s="235" t="n"/>
      <c r="U203" s="235" t="n"/>
      <c r="V203" s="235" t="n"/>
      <c r="W203" s="235" t="n"/>
      <c r="X203" s="235" t="n"/>
      <c r="Y203" s="235" t="n"/>
      <c r="Z203" s="235" t="n"/>
      <c r="AA203" s="235" t="n"/>
      <c r="AB203" s="235" t="n"/>
      <c r="AC203" s="235" t="n"/>
      <c r="AD203" s="235" t="n"/>
      <c r="AE203" s="235" t="n"/>
      <c r="AF203" s="235" t="n"/>
      <c r="AG203" s="235" t="n"/>
      <c r="AH203" s="235" t="n"/>
      <c r="AI203" s="235" t="n"/>
    </row>
    <row r="204" ht="18" customHeight="1" s="8286">
      <c r="A204" s="511" t="inlineStr">
        <is>
          <t>SECCIÓN M: EDUCACIÓN PARA PROGRAMA DE SALUD CARDIOVASCULAR</t>
        </is>
      </c>
      <c r="B204" s="237" t="n"/>
      <c r="C204" s="237" t="n"/>
      <c r="D204" s="237" t="n"/>
      <c r="E204" s="237" t="n"/>
      <c r="F204" s="4081" t="n"/>
      <c r="G204" s="4081" t="inlineStr">
        <is>
          <t xml:space="preserve"> </t>
        </is>
      </c>
      <c r="H204" s="4129" t="n"/>
      <c r="I204" s="4129" t="n"/>
      <c r="J204" s="4124" t="n"/>
      <c r="K204" s="4124" t="n"/>
      <c r="L204" s="4124" t="n"/>
      <c r="M204" s="4124" t="n"/>
      <c r="N204" s="4124" t="n"/>
      <c r="O204" s="4124" t="n"/>
      <c r="P204" s="4124" t="n"/>
      <c r="Q204" s="4124" t="n"/>
      <c r="R204" s="4124" t="n"/>
      <c r="S204" s="4124" t="n"/>
      <c r="T204" s="4124" t="n"/>
      <c r="U204" s="4124" t="n"/>
      <c r="V204" s="4124" t="n"/>
      <c r="W204" s="4124" t="n"/>
      <c r="X204" s="4124" t="n"/>
      <c r="Y204" s="3948" t="n"/>
      <c r="Z204" s="3948" t="n"/>
      <c r="AA204" s="3948" t="n"/>
      <c r="AB204" s="3948" t="n"/>
      <c r="AC204" s="3948" t="n"/>
      <c r="AD204" s="3948" t="n"/>
      <c r="AE204" s="3948" t="n"/>
      <c r="AF204" s="3948" t="n"/>
      <c r="AG204" s="3948" t="n"/>
      <c r="AH204" s="3948" t="n"/>
      <c r="AI204" s="6" t="n"/>
    </row>
    <row r="205">
      <c r="A205" s="10164" t="inlineStr">
        <is>
          <t>TIPO DE EDUCACIÓN</t>
        </is>
      </c>
      <c r="B205" s="10247" t="inlineStr">
        <is>
          <t>PROFESIONAL/OTROS</t>
        </is>
      </c>
      <c r="C205" s="9939" t="inlineStr">
        <is>
          <t>TOTAL</t>
        </is>
      </c>
      <c r="D205" s="9602" t="n"/>
      <c r="E205" s="9630" t="n"/>
      <c r="F205" s="9976" t="inlineStr">
        <is>
          <t>POR RANGO ETARIO Y SEXO</t>
        </is>
      </c>
      <c r="G205" s="9584" t="n"/>
      <c r="H205" s="9584" t="n"/>
      <c r="I205" s="9584" t="n"/>
      <c r="J205" s="9584" t="n"/>
      <c r="K205" s="9584" t="n"/>
      <c r="L205" s="9584" t="n"/>
      <c r="M205" s="9584" t="n"/>
      <c r="N205" s="9584" t="n"/>
      <c r="O205" s="9584" t="n"/>
      <c r="P205" s="9584" t="n"/>
      <c r="Q205" s="9584" t="n"/>
      <c r="R205" s="9584" t="n"/>
      <c r="S205" s="9584" t="n"/>
      <c r="T205" s="9584" t="n"/>
      <c r="U205" s="9584" t="n"/>
      <c r="V205" s="9584" t="n"/>
      <c r="W205" s="9584" t="n"/>
      <c r="X205" s="9584" t="n"/>
      <c r="Y205" s="9584" t="n"/>
      <c r="Z205" s="9584" t="n"/>
      <c r="AA205" s="9584" t="n"/>
      <c r="AB205" s="9584" t="n"/>
      <c r="AC205" s="9584" t="n"/>
      <c r="AD205" s="9584" t="n"/>
      <c r="AE205" s="9584" t="n"/>
      <c r="AF205" s="9584" t="n"/>
      <c r="AG205" s="9595" t="n"/>
      <c r="AH205" s="10341" t="inlineStr">
        <is>
          <t>Beneficiarios</t>
        </is>
      </c>
      <c r="AI205" s="642" t="n"/>
    </row>
    <row r="206">
      <c r="A206" s="9627" t="n"/>
      <c r="B206" s="9588" t="n"/>
      <c r="C206" s="9638" t="n"/>
      <c r="D206" s="9697" t="n"/>
      <c r="E206" s="9639" t="n"/>
      <c r="F206" s="8400" t="inlineStr">
        <is>
          <t>15 - 19 años</t>
        </is>
      </c>
      <c r="G206" s="9582" t="n"/>
      <c r="H206" s="9977" t="inlineStr">
        <is>
          <t>20 - 24 años</t>
        </is>
      </c>
      <c r="I206" s="9582" t="n"/>
      <c r="J206" s="9977" t="inlineStr">
        <is>
          <t>25 - 29 años</t>
        </is>
      </c>
      <c r="K206" s="9582" t="n"/>
      <c r="L206" s="9977" t="inlineStr">
        <is>
          <t>30 - 34 años</t>
        </is>
      </c>
      <c r="M206" s="9582" t="n"/>
      <c r="N206" s="9977" t="inlineStr">
        <is>
          <t>35 - 39 años</t>
        </is>
      </c>
      <c r="O206" s="9582" t="n"/>
      <c r="P206" s="9977" t="inlineStr">
        <is>
          <t>40 - 44 años</t>
        </is>
      </c>
      <c r="Q206" s="9582" t="n"/>
      <c r="R206" s="9977" t="inlineStr">
        <is>
          <t>45 - 49 años</t>
        </is>
      </c>
      <c r="S206" s="9582" t="n"/>
      <c r="T206" s="9977" t="inlineStr">
        <is>
          <t>50 - 54 años</t>
        </is>
      </c>
      <c r="U206" s="9582" t="n"/>
      <c r="V206" s="9977" t="inlineStr">
        <is>
          <t>55 - 59 años</t>
        </is>
      </c>
      <c r="W206" s="9582" t="n"/>
      <c r="X206" s="9977" t="inlineStr">
        <is>
          <t>60 - 64 años</t>
        </is>
      </c>
      <c r="Y206" s="9582" t="n"/>
      <c r="Z206" s="9977" t="inlineStr">
        <is>
          <t>65 - 69 años</t>
        </is>
      </c>
      <c r="AA206" s="9582" t="n"/>
      <c r="AB206" s="9977" t="inlineStr">
        <is>
          <t>70 - 74 años</t>
        </is>
      </c>
      <c r="AC206" s="9582" t="n"/>
      <c r="AD206" s="9977" t="inlineStr">
        <is>
          <t>75 - 79 años</t>
        </is>
      </c>
      <c r="AE206" s="9582" t="n"/>
      <c r="AF206" s="9915" t="inlineStr">
        <is>
          <t>80 y mas años</t>
        </is>
      </c>
      <c r="AG206" s="9595" t="n"/>
      <c r="AH206" s="10342" t="n"/>
    </row>
    <row r="207">
      <c r="A207" s="9621" t="n"/>
      <c r="B207" s="9589" t="n"/>
      <c r="C207" s="3642" t="inlineStr">
        <is>
          <t>Ambos Sexos</t>
        </is>
      </c>
      <c r="D207" s="3803" t="inlineStr">
        <is>
          <t>Hombres</t>
        </is>
      </c>
      <c r="E207" s="8757" t="inlineStr">
        <is>
          <t>Mujeres</t>
        </is>
      </c>
      <c r="F207" s="3589" t="inlineStr">
        <is>
          <t>Hombres</t>
        </is>
      </c>
      <c r="G207" s="8757" t="inlineStr">
        <is>
          <t>Mujeres</t>
        </is>
      </c>
      <c r="H207" s="3589" t="inlineStr">
        <is>
          <t>Hombres</t>
        </is>
      </c>
      <c r="I207" s="8757" t="inlineStr">
        <is>
          <t>Mujeres</t>
        </is>
      </c>
      <c r="J207" s="3589" t="inlineStr">
        <is>
          <t>Hombres</t>
        </is>
      </c>
      <c r="K207" s="8757" t="inlineStr">
        <is>
          <t>Mujeres</t>
        </is>
      </c>
      <c r="L207" s="3589" t="inlineStr">
        <is>
          <t>Hombres</t>
        </is>
      </c>
      <c r="M207" s="8757" t="inlineStr">
        <is>
          <t>Mujeres</t>
        </is>
      </c>
      <c r="N207" s="3589" t="inlineStr">
        <is>
          <t>Hombres</t>
        </is>
      </c>
      <c r="O207" s="8757" t="inlineStr">
        <is>
          <t>Mujeres</t>
        </is>
      </c>
      <c r="P207" s="3589" t="inlineStr">
        <is>
          <t>Hombres</t>
        </is>
      </c>
      <c r="Q207" s="8757" t="inlineStr">
        <is>
          <t>Mujeres</t>
        </is>
      </c>
      <c r="R207" s="3589" t="inlineStr">
        <is>
          <t>Hombres</t>
        </is>
      </c>
      <c r="S207" s="8757" t="inlineStr">
        <is>
          <t>Mujeres</t>
        </is>
      </c>
      <c r="T207" s="3589" t="inlineStr">
        <is>
          <t>Hombres</t>
        </is>
      </c>
      <c r="U207" s="8757" t="inlineStr">
        <is>
          <t>Mujeres</t>
        </is>
      </c>
      <c r="V207" s="3589" t="inlineStr">
        <is>
          <t>Hombres</t>
        </is>
      </c>
      <c r="W207" s="8757" t="inlineStr">
        <is>
          <t>Mujeres</t>
        </is>
      </c>
      <c r="X207" s="3589" t="inlineStr">
        <is>
          <t>Hombres</t>
        </is>
      </c>
      <c r="Y207" s="8757" t="inlineStr">
        <is>
          <t>Mujeres</t>
        </is>
      </c>
      <c r="Z207" s="3589" t="inlineStr">
        <is>
          <t>Hombres</t>
        </is>
      </c>
      <c r="AA207" s="8757" t="inlineStr">
        <is>
          <t>Mujeres</t>
        </is>
      </c>
      <c r="AB207" s="3589" t="inlineStr">
        <is>
          <t>Hombres</t>
        </is>
      </c>
      <c r="AC207" s="8757" t="inlineStr">
        <is>
          <t>Mujeres</t>
        </is>
      </c>
      <c r="AD207" s="3589" t="inlineStr">
        <is>
          <t>Hombres</t>
        </is>
      </c>
      <c r="AE207" s="8757" t="inlineStr">
        <is>
          <t>Mujeres</t>
        </is>
      </c>
      <c r="AF207" s="3589" t="inlineStr">
        <is>
          <t>Hombres</t>
        </is>
      </c>
      <c r="AG207" s="8672" t="inlineStr">
        <is>
          <t>Mujeres</t>
        </is>
      </c>
      <c r="AH207" s="10088" t="n"/>
    </row>
    <row r="208" ht="15" customHeight="1" s="8286">
      <c r="A208" s="10563" t="inlineStr">
        <is>
          <t>Individual</t>
        </is>
      </c>
      <c r="B208" s="3594" t="inlineStr">
        <is>
          <t>Médico/a</t>
        </is>
      </c>
      <c r="C208" s="4130">
        <f>SUM(D208:E208)</f>
        <v/>
      </c>
      <c r="D208" s="4131">
        <f>+F208+H208+J208+L208+N208+P208+R208+T208+V208+X208+Z208+AB208+AD208+AF208</f>
        <v/>
      </c>
      <c r="E208" s="4132">
        <f>+G208+I208+K208+M208+O208+Q208+S208+U208+W208+Y208+AA208+AC208+AE208+AG208</f>
        <v/>
      </c>
      <c r="F208" s="3787" t="n"/>
      <c r="G208" s="3791" t="n"/>
      <c r="H208" s="3787" t="n"/>
      <c r="I208" s="3791" t="n"/>
      <c r="J208" s="3787" t="n"/>
      <c r="K208" s="3791" t="n"/>
      <c r="L208" s="3787" t="n"/>
      <c r="M208" s="3791" t="n"/>
      <c r="N208" s="3787" t="n"/>
      <c r="O208" s="3791" t="n"/>
      <c r="P208" s="3787" t="n"/>
      <c r="Q208" s="3791" t="n"/>
      <c r="R208" s="3787" t="n"/>
      <c r="S208" s="3791" t="n"/>
      <c r="T208" s="3787" t="n"/>
      <c r="U208" s="3791" t="n"/>
      <c r="V208" s="3787" t="n"/>
      <c r="W208" s="3791" t="n"/>
      <c r="X208" s="3787" t="n"/>
      <c r="Y208" s="3791" t="n"/>
      <c r="Z208" s="3787" t="n"/>
      <c r="AA208" s="3791" t="n"/>
      <c r="AB208" s="3787" t="n"/>
      <c r="AC208" s="3791" t="n"/>
      <c r="AD208" s="3787" t="n"/>
      <c r="AE208" s="3791" t="n"/>
      <c r="AF208" s="3787" t="n"/>
      <c r="AG208" s="3793" t="n"/>
      <c r="AH208" s="3788" t="n"/>
      <c r="AI208" s="676">
        <f>$CA208</f>
        <v/>
      </c>
      <c r="CA208" s="219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>IF(AND($C208&lt;&gt;0,AH208=""),1,IF(AH208&gt;$C208,1,0))</f>
        <v/>
      </c>
    </row>
    <row r="209" ht="15" customHeight="1" s="8286">
      <c r="A209" s="10564" t="n"/>
      <c r="B209" s="1934" t="inlineStr">
        <is>
          <t>Enfermera/o</t>
        </is>
      </c>
      <c r="C209" s="4133">
        <f>SUM(D209:E209)</f>
        <v/>
      </c>
      <c r="D209" s="1338">
        <f>+F209+H209+J209+L209+N209+P209+R209+T209+V209+X209+Z209+AB209+AD209+AF209</f>
        <v/>
      </c>
      <c r="E209" s="1339">
        <f>+G209+I209+K209+M209+O209+Q209+S209+U209+W209+Y209+AA209+AC209+AE209+AG209</f>
        <v/>
      </c>
      <c r="F209" s="1179" t="n"/>
      <c r="G209" s="1183" t="n"/>
      <c r="H209" s="1179" t="n"/>
      <c r="I209" s="1183" t="n"/>
      <c r="J209" s="1179" t="n"/>
      <c r="K209" s="1183" t="n"/>
      <c r="L209" s="1179" t="n"/>
      <c r="M209" s="1183" t="n"/>
      <c r="N209" s="1179" t="n"/>
      <c r="O209" s="1183" t="n"/>
      <c r="P209" s="1179" t="n"/>
      <c r="Q209" s="1183" t="n"/>
      <c r="R209" s="1179" t="n"/>
      <c r="S209" s="1183" t="n"/>
      <c r="T209" s="1179" t="n"/>
      <c r="U209" s="1183" t="n"/>
      <c r="V209" s="1179" t="n"/>
      <c r="W209" s="1183" t="n"/>
      <c r="X209" s="1179" t="n"/>
      <c r="Y209" s="1183" t="n"/>
      <c r="Z209" s="1179" t="n"/>
      <c r="AA209" s="1183" t="n"/>
      <c r="AB209" s="1179" t="n"/>
      <c r="AC209" s="1183" t="n"/>
      <c r="AD209" s="1179" t="n"/>
      <c r="AE209" s="1183" t="n"/>
      <c r="AF209" s="1179" t="n"/>
      <c r="AG209" s="1185" t="n"/>
      <c r="AH209" s="1180" t="n"/>
      <c r="AI209" s="676">
        <f>$CA209</f>
        <v/>
      </c>
      <c r="CA209" s="219">
        <f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>IF(AND($C209&lt;&gt;0,AH209=""),1,IF(AH209&gt;$C209,1,0))</f>
        <v/>
      </c>
    </row>
    <row r="210" ht="15" customHeight="1" s="8286">
      <c r="A210" s="10564" t="n"/>
      <c r="B210" s="3632" t="inlineStr">
        <is>
          <t>Nutricionista</t>
        </is>
      </c>
      <c r="C210" s="4133">
        <f>SUM(D210:E210)</f>
        <v/>
      </c>
      <c r="D210" s="1338">
        <f>+F210+H210+J210+L210+N210+P210+R210+T210+V210+X210+Z210+AB210+AD210+AF210</f>
        <v/>
      </c>
      <c r="E210" s="1339">
        <f>+G210+I210+K210+M210+O210+Q210+S210+U210+W210+Y210+AA210+AC210+AE210+AG210</f>
        <v/>
      </c>
      <c r="F210" s="1179" t="n"/>
      <c r="G210" s="1183" t="n"/>
      <c r="H210" s="1179" t="n"/>
      <c r="I210" s="1183" t="n"/>
      <c r="J210" s="1179" t="n"/>
      <c r="K210" s="1183" t="n"/>
      <c r="L210" s="1179" t="n"/>
      <c r="M210" s="1183" t="n"/>
      <c r="N210" s="1179" t="n"/>
      <c r="O210" s="1183" t="n"/>
      <c r="P210" s="1179" t="n"/>
      <c r="Q210" s="1183" t="n"/>
      <c r="R210" s="1179" t="n"/>
      <c r="S210" s="1183" t="n"/>
      <c r="T210" s="1179" t="n"/>
      <c r="U210" s="1183" t="n"/>
      <c r="V210" s="1179" t="n"/>
      <c r="W210" s="1183" t="n"/>
      <c r="X210" s="1179" t="n"/>
      <c r="Y210" s="1183" t="n"/>
      <c r="Z210" s="1179" t="n"/>
      <c r="AA210" s="1183" t="n"/>
      <c r="AB210" s="1179" t="n"/>
      <c r="AC210" s="1183" t="n"/>
      <c r="AD210" s="1179" t="n"/>
      <c r="AE210" s="1183" t="n"/>
      <c r="AF210" s="1179" t="n"/>
      <c r="AG210" s="1185" t="n"/>
      <c r="AH210" s="1180" t="n"/>
      <c r="AI210" s="676">
        <f>$CA210</f>
        <v/>
      </c>
      <c r="CA210" s="219">
        <f>IF(AND($C210&lt;&gt;0,AH210=""),"* No olvide ingresar la variable "&amp;AH$205&amp;""&amp;". Digite CERO si no tiene. ",IF(AH210&gt;$C210,"* La variable Beneficiarios no puede superar el Total Ambos Sexos. ",""))</f>
        <v/>
      </c>
      <c r="CK210" s="221">
        <f>IF(AND($C210&lt;&gt;0,AH210=""),1,IF(AH210&gt;$C210,1,0))</f>
        <v/>
      </c>
    </row>
    <row r="211" ht="15" customHeight="1" s="8286">
      <c r="A211" s="10564" t="n"/>
      <c r="B211" s="1340" t="inlineStr">
        <is>
          <t>Podóloga/o Clínico</t>
        </is>
      </c>
      <c r="C211" s="4133">
        <f>SUM(D211:E211)</f>
        <v/>
      </c>
      <c r="D211" s="1338">
        <f>+F211+H211+J211+L211+N211+P211+R211+T211+V211+X211+Z211+AB211+AD211+AF211</f>
        <v/>
      </c>
      <c r="E211" s="1339">
        <f>+G211+I211+K211+M211+O211+Q211+S211+U211+W211+Y211+AA211+AC211+AE211+AG211</f>
        <v/>
      </c>
      <c r="F211" s="1179" t="n"/>
      <c r="G211" s="1183" t="n"/>
      <c r="H211" s="1179" t="n"/>
      <c r="I211" s="1183" t="n"/>
      <c r="J211" s="1179" t="n"/>
      <c r="K211" s="1183" t="n"/>
      <c r="L211" s="1179" t="n"/>
      <c r="M211" s="1183" t="n"/>
      <c r="N211" s="1179" t="n"/>
      <c r="O211" s="1183" t="n"/>
      <c r="P211" s="1179" t="n"/>
      <c r="Q211" s="1183" t="n"/>
      <c r="R211" s="1179" t="n"/>
      <c r="S211" s="1183" t="n"/>
      <c r="T211" s="1179" t="n"/>
      <c r="U211" s="1183" t="n"/>
      <c r="V211" s="1179" t="n"/>
      <c r="W211" s="1183" t="n"/>
      <c r="X211" s="1179" t="n"/>
      <c r="Y211" s="1183" t="n"/>
      <c r="Z211" s="1179" t="n"/>
      <c r="AA211" s="1183" t="n"/>
      <c r="AB211" s="1179" t="n"/>
      <c r="AC211" s="1183" t="n"/>
      <c r="AD211" s="1179" t="n"/>
      <c r="AE211" s="1183" t="n"/>
      <c r="AF211" s="1179" t="n"/>
      <c r="AG211" s="1185" t="n"/>
      <c r="AH211" s="1180" t="n"/>
      <c r="AI211" s="676">
        <f>$CA211</f>
        <v/>
      </c>
      <c r="CA211" s="219">
        <f>IF(AND($C211&lt;&gt;0,AH211=""),"* No olvide ingresar la variable "&amp;AH$205&amp;""&amp;". Digite CERO si no tiene. ",IF(AH211&gt;$C211,"* La variable Beneficiarios no puede superar el Total Ambos Sexos. ",""))</f>
        <v/>
      </c>
      <c r="CK211" s="221">
        <f>IF(AND($C211&lt;&gt;0,AH211=""),1,IF(AH211&gt;$C211,1,0))</f>
        <v/>
      </c>
    </row>
    <row r="212" ht="15" customHeight="1" s="8286">
      <c r="A212" s="10564" t="n"/>
      <c r="B212" s="1934" t="inlineStr">
        <is>
          <t>Técnico en Enfermería</t>
        </is>
      </c>
      <c r="C212" s="1476">
        <f>SUM(D212:E212)</f>
        <v/>
      </c>
      <c r="D212" s="4131">
        <f>+F212+H212+J212+L212+N212+P212+R212+T212+V212+X212+Z212+AB212+AD212+AF212</f>
        <v/>
      </c>
      <c r="E212" s="4132">
        <f>+G212+I212+K212+M212+O212+Q212+S212+U212+W212+Y212+AA212+AC212+AE212+AG212</f>
        <v/>
      </c>
      <c r="F212" s="3787" t="n"/>
      <c r="G212" s="3791" t="n"/>
      <c r="H212" s="3787" t="n"/>
      <c r="I212" s="3791" t="n"/>
      <c r="J212" s="3787" t="n"/>
      <c r="K212" s="3791" t="n"/>
      <c r="L212" s="3787" t="n"/>
      <c r="M212" s="3791" t="n"/>
      <c r="N212" s="3787" t="n"/>
      <c r="O212" s="3791" t="n"/>
      <c r="P212" s="3787" t="n"/>
      <c r="Q212" s="3791" t="n"/>
      <c r="R212" s="3787" t="n"/>
      <c r="S212" s="3791" t="n"/>
      <c r="T212" s="3787" t="n"/>
      <c r="U212" s="3791" t="n"/>
      <c r="V212" s="3787" t="n"/>
      <c r="W212" s="3791" t="n"/>
      <c r="X212" s="3787" t="n"/>
      <c r="Y212" s="3791" t="n"/>
      <c r="Z212" s="3787" t="n"/>
      <c r="AA212" s="3791" t="n"/>
      <c r="AB212" s="3787" t="n"/>
      <c r="AC212" s="3791" t="n"/>
      <c r="AD212" s="3787" t="n"/>
      <c r="AE212" s="3791" t="n"/>
      <c r="AF212" s="3787" t="n"/>
      <c r="AG212" s="3793" t="n"/>
      <c r="AH212" s="4074" t="n"/>
      <c r="AI212" s="676">
        <f>$CA212</f>
        <v/>
      </c>
      <c r="CA212" s="219">
        <f>IF(AND($C212&lt;&gt;0,AH212=""),"* No olvide ingresar la variable "&amp;AH$205&amp;""&amp;". Digite CERO si no tiene. ",IF(AH212&gt;$C212,"* La variable Beneficiarios no puede superar el Total Ambos Sexos. ",""))</f>
        <v/>
      </c>
      <c r="CK212" s="221">
        <f>IF(AND($C212&lt;&gt;0,AH212=""),1,IF(AH212&gt;$C212,1,0))</f>
        <v/>
      </c>
    </row>
    <row r="213" ht="15" customHeight="1" s="8286">
      <c r="A213" s="10565" t="n"/>
      <c r="B213" s="3597" t="inlineStr">
        <is>
          <t>Otros profesionales</t>
        </is>
      </c>
      <c r="C213" s="1476">
        <f>SUM(D213:E213)</f>
        <v/>
      </c>
      <c r="D213" s="4131">
        <f>+F213+H213+J213+L213+N213+P213+R213+T213+V213+X213+Z213+AB213+AD213+AF213</f>
        <v/>
      </c>
      <c r="E213" s="4132">
        <f>+G213+I213+K213+M213+O213+Q213+S213+U213+W213+Y213+AA213+AC213+AE213+AG213</f>
        <v/>
      </c>
      <c r="F213" s="3808" t="n"/>
      <c r="G213" s="3601" t="n"/>
      <c r="H213" s="3808" t="n"/>
      <c r="I213" s="3601" t="n"/>
      <c r="J213" s="3808" t="n"/>
      <c r="K213" s="3601" t="n"/>
      <c r="L213" s="3808" t="n"/>
      <c r="M213" s="3601" t="n"/>
      <c r="N213" s="3808" t="n"/>
      <c r="O213" s="3601" t="n"/>
      <c r="P213" s="3808" t="n"/>
      <c r="Q213" s="3601" t="n"/>
      <c r="R213" s="3808" t="n"/>
      <c r="S213" s="3601" t="n"/>
      <c r="T213" s="3808" t="n"/>
      <c r="U213" s="3601" t="n"/>
      <c r="V213" s="3808" t="n"/>
      <c r="W213" s="3601" t="n"/>
      <c r="X213" s="3808" t="n"/>
      <c r="Y213" s="3601" t="n"/>
      <c r="Z213" s="3808" t="n"/>
      <c r="AA213" s="3601" t="n"/>
      <c r="AB213" s="3808" t="n"/>
      <c r="AC213" s="3601" t="n"/>
      <c r="AD213" s="3808" t="n"/>
      <c r="AE213" s="3601" t="n"/>
      <c r="AF213" s="3808" t="n"/>
      <c r="AG213" s="3897" t="n"/>
      <c r="AH213" s="4076" t="n"/>
      <c r="AI213" s="676">
        <f>$CA213</f>
        <v/>
      </c>
      <c r="CA213" s="219">
        <f>IF(AND($C213&lt;&gt;0,AH213=""),"* No olvide ingresar la variable "&amp;AH$205&amp;""&amp;". Digite CERO si no tiene. ",IF(AH213&gt;$C213,"* La variable Beneficiarios no puede superar el Total Ambos Sexos. ",""))</f>
        <v/>
      </c>
      <c r="CK213" s="221">
        <f>IF(AND($C213&lt;&gt;0,AH213=""),1,IF(AH213&gt;$C213,1,0))</f>
        <v/>
      </c>
    </row>
    <row r="214" ht="15" customHeight="1" s="8286">
      <c r="A214" s="4456" t="inlineStr">
        <is>
          <t>Taller grupal</t>
        </is>
      </c>
      <c r="B214" s="3594" t="inlineStr">
        <is>
          <t>Equipo multidisciplinario</t>
        </is>
      </c>
      <c r="C214" s="4134">
        <f>SUM(D214:E214)</f>
        <v/>
      </c>
      <c r="D214" s="4135">
        <f>+F214+H214+J214+L214+N214+P214+R214+T214+V214+X214+Z214+AB214+AD214+AF214</f>
        <v/>
      </c>
      <c r="E214" s="4136">
        <f>+G214+I214+K214+M214+O214+Q214+S214+U214+W214+Y214+AA214+AC214+AE214+AG214</f>
        <v/>
      </c>
      <c r="F214" s="3502" t="n"/>
      <c r="G214" s="2337" t="n"/>
      <c r="H214" s="3502" t="n"/>
      <c r="I214" s="2337" t="n"/>
      <c r="J214" s="3502" t="n"/>
      <c r="K214" s="2337" t="n"/>
      <c r="L214" s="3502" t="n"/>
      <c r="M214" s="2337" t="n"/>
      <c r="N214" s="3502" t="n"/>
      <c r="O214" s="2337" t="n"/>
      <c r="P214" s="3502" t="n"/>
      <c r="Q214" s="2337" t="n"/>
      <c r="R214" s="3502" t="n"/>
      <c r="S214" s="2337" t="n"/>
      <c r="T214" s="3502" t="n"/>
      <c r="U214" s="2337" t="n"/>
      <c r="V214" s="3502" t="n"/>
      <c r="W214" s="2337" t="n"/>
      <c r="X214" s="3502" t="n"/>
      <c r="Y214" s="2337" t="n"/>
      <c r="Z214" s="3502" t="n"/>
      <c r="AA214" s="2337" t="n"/>
      <c r="AB214" s="3502" t="n"/>
      <c r="AC214" s="2337" t="n"/>
      <c r="AD214" s="3502" t="n"/>
      <c r="AE214" s="2337" t="n"/>
      <c r="AF214" s="3502" t="n"/>
      <c r="AG214" s="1940" t="n"/>
      <c r="AH214" s="3520" t="n"/>
      <c r="AI214" s="676">
        <f>$CA214</f>
        <v/>
      </c>
      <c r="CA214" s="219">
        <f>IF(AND($C214&lt;&gt;0,AH214=""),"* No olvide ingresar la variable "&amp;AH$205&amp;""&amp;". Digite CERO si no tiene. ",IF(AH214&gt;$C214,"* La variable Beneficiarios no puede superar el Total Ambos Sexos. ",""))</f>
        <v/>
      </c>
      <c r="CK214" s="221">
        <f>IF(AND($C214&lt;&gt;0,AH214=""),1,IF(AH214&gt;$C214,1,0))</f>
        <v/>
      </c>
    </row>
    <row r="215">
      <c r="A215" s="9621" t="n"/>
      <c r="B215" s="3597" t="inlineStr">
        <is>
          <t>Sólo un profesional</t>
        </is>
      </c>
      <c r="C215" s="4137">
        <f>SUM(D215:E215)</f>
        <v/>
      </c>
      <c r="D215" s="4138">
        <f>+F215+H215+J215+L215+N215+P215+R215+T215+V215+X215+Z215+AB215+AD215+AF215</f>
        <v/>
      </c>
      <c r="E215" s="1341">
        <f>+G215+I215+K215+M215+O215+Q215+S215+U215+W215+Y215+AA215+AC215+AE215+AG215</f>
        <v/>
      </c>
      <c r="F215" s="3808" t="n"/>
      <c r="G215" s="3601" t="n"/>
      <c r="H215" s="3808" t="n"/>
      <c r="I215" s="3601" t="n"/>
      <c r="J215" s="3808" t="n"/>
      <c r="K215" s="3601" t="n"/>
      <c r="L215" s="3808" t="n"/>
      <c r="M215" s="3601" t="n"/>
      <c r="N215" s="3808" t="n"/>
      <c r="O215" s="3601" t="n"/>
      <c r="P215" s="3808" t="n"/>
      <c r="Q215" s="3601" t="n"/>
      <c r="R215" s="3808" t="n"/>
      <c r="S215" s="3601" t="n"/>
      <c r="T215" s="3808" t="n"/>
      <c r="U215" s="3601" t="n"/>
      <c r="V215" s="3808" t="n"/>
      <c r="W215" s="3601" t="n"/>
      <c r="X215" s="3808" t="n"/>
      <c r="Y215" s="3601" t="n"/>
      <c r="Z215" s="3808" t="n"/>
      <c r="AA215" s="3601" t="n"/>
      <c r="AB215" s="3808" t="n"/>
      <c r="AC215" s="3601" t="n"/>
      <c r="AD215" s="3808" t="n"/>
      <c r="AE215" s="3601" t="n"/>
      <c r="AF215" s="3808" t="n"/>
      <c r="AG215" s="3897" t="n"/>
      <c r="AH215" s="1192" t="n"/>
      <c r="AI215" s="676">
        <f>$CA215</f>
        <v/>
      </c>
      <c r="CA215" s="219">
        <f>IF(AND($C215&lt;&gt;0,AH215=""),"* No olvide ingresar la variable "&amp;AH$205&amp;""&amp;". Digite CERO si no tiene. ",IF(AH215&gt;$C215,"* La variable Beneficiarios no puede superar el Total Ambos Sexos. ",""))</f>
        <v/>
      </c>
      <c r="CK215" s="221">
        <f>IF(AND($C215&lt;&gt;0,AH215=""),1,IF(AH215&gt;$C215,1,0))</f>
        <v/>
      </c>
    </row>
    <row r="249" hidden="1" s="8286">
      <c r="A249" s="915">
        <f>SUM(D11:D52,D56:D96,D101:D103,D107:D109,D111:D112,D116:E118,D122:D130,B133:D133,B137:B139,B143:B144,B148:F149,D153:D168,D171:D202,C208:C215)</f>
        <v/>
      </c>
      <c r="B249" s="915">
        <f>SUM(CK11:CR215)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xHhgcbCDl5lZhy1mAFZm2Q==" formatRows="1" sort="1" spinCount="100000" hashValue="f+DMN6Rl2N5v14vyW+TYryubUoyCpQ1N8ZTyrpI4CE2TzuWD80M1iibVC9kWR6SJIszLfSx95ttAX+KNVJRENw=="/>
  <mergeCells count="161">
    <mergeCell ref="F206:G206"/>
    <mergeCell ref="B135:I135"/>
    <mergeCell ref="B91:C91"/>
    <mergeCell ref="H206:I206"/>
    <mergeCell ref="B22:C22"/>
    <mergeCell ref="T206:U206"/>
    <mergeCell ref="V206:W206"/>
    <mergeCell ref="AF206:AG206"/>
    <mergeCell ref="A114:C115"/>
    <mergeCell ref="B67:C67"/>
    <mergeCell ref="D151:D152"/>
    <mergeCell ref="B61:C61"/>
    <mergeCell ref="B85:B89"/>
    <mergeCell ref="A105:C106"/>
    <mergeCell ref="B182:C182"/>
    <mergeCell ref="B38:C38"/>
    <mergeCell ref="A141:A142"/>
    <mergeCell ref="B191:C191"/>
    <mergeCell ref="B78:C78"/>
    <mergeCell ref="AC9:AC10"/>
    <mergeCell ref="B178:C178"/>
    <mergeCell ref="H105:H106"/>
    <mergeCell ref="B72:B74"/>
    <mergeCell ref="AE9:AE10"/>
    <mergeCell ref="B192:B193"/>
    <mergeCell ref="E101:F101"/>
    <mergeCell ref="A171:A203"/>
    <mergeCell ref="B183:C183"/>
    <mergeCell ref="D114:D115"/>
    <mergeCell ref="V114:V115"/>
    <mergeCell ref="B177:C177"/>
    <mergeCell ref="A151:C152"/>
    <mergeCell ref="B33:C33"/>
    <mergeCell ref="E100:F100"/>
    <mergeCell ref="B64:C64"/>
    <mergeCell ref="A205:A207"/>
    <mergeCell ref="E151:P151"/>
    <mergeCell ref="B63:C63"/>
    <mergeCell ref="B26:C26"/>
    <mergeCell ref="B197:C197"/>
    <mergeCell ref="J9:X9"/>
    <mergeCell ref="E102:F102"/>
    <mergeCell ref="B16:C16"/>
    <mergeCell ref="A118:C118"/>
    <mergeCell ref="B90:C90"/>
    <mergeCell ref="AB9:AB10"/>
    <mergeCell ref="A55:C55"/>
    <mergeCell ref="B18:C18"/>
    <mergeCell ref="AB206:AC206"/>
    <mergeCell ref="B180:C180"/>
    <mergeCell ref="A128:B130"/>
    <mergeCell ref="B195:C195"/>
    <mergeCell ref="B188:B190"/>
    <mergeCell ref="B11:C11"/>
    <mergeCell ref="AH9:AH10"/>
    <mergeCell ref="A11:A53"/>
    <mergeCell ref="B69:B70"/>
    <mergeCell ref="B179:C179"/>
    <mergeCell ref="J206:K206"/>
    <mergeCell ref="B53:C53"/>
    <mergeCell ref="A208:A213"/>
    <mergeCell ref="L206:M206"/>
    <mergeCell ref="B172:B175"/>
    <mergeCell ref="AF9:AG9"/>
    <mergeCell ref="B75:B77"/>
    <mergeCell ref="D9:D10"/>
    <mergeCell ref="A170:C170"/>
    <mergeCell ref="F205:AG205"/>
    <mergeCell ref="B196:C196"/>
    <mergeCell ref="B37:C37"/>
    <mergeCell ref="B92:B95"/>
    <mergeCell ref="K120:L120"/>
    <mergeCell ref="B84:C84"/>
    <mergeCell ref="C146:F146"/>
    <mergeCell ref="AD206:AE206"/>
    <mergeCell ref="B79:B80"/>
    <mergeCell ref="A56:A98"/>
    <mergeCell ref="A161:B168"/>
    <mergeCell ref="AH205:AH207"/>
    <mergeCell ref="H146:H147"/>
    <mergeCell ref="A108:C108"/>
    <mergeCell ref="A153:B160"/>
    <mergeCell ref="B47:B50"/>
    <mergeCell ref="B194:C194"/>
    <mergeCell ref="B81:C81"/>
    <mergeCell ref="A9:C10"/>
    <mergeCell ref="Q151:R151"/>
    <mergeCell ref="A101:C101"/>
    <mergeCell ref="C141:M141"/>
    <mergeCell ref="B56:C56"/>
    <mergeCell ref="B184:C184"/>
    <mergeCell ref="B71:C71"/>
    <mergeCell ref="B176:C176"/>
    <mergeCell ref="B40:B44"/>
    <mergeCell ref="D105:D106"/>
    <mergeCell ref="H114:U114"/>
    <mergeCell ref="B98:C98"/>
    <mergeCell ref="F114:G114"/>
    <mergeCell ref="B185:B187"/>
    <mergeCell ref="B34:B35"/>
    <mergeCell ref="B17:C17"/>
    <mergeCell ref="B57:B60"/>
    <mergeCell ref="B82:C82"/>
    <mergeCell ref="E9:I9"/>
    <mergeCell ref="E114:E115"/>
    <mergeCell ref="B171:C171"/>
    <mergeCell ref="A112:C112"/>
    <mergeCell ref="B19:C19"/>
    <mergeCell ref="B146:B147"/>
    <mergeCell ref="B20:B21"/>
    <mergeCell ref="X206:Y206"/>
    <mergeCell ref="P206:Q206"/>
    <mergeCell ref="Z206:AA206"/>
    <mergeCell ref="B83:C83"/>
    <mergeCell ref="R206:S206"/>
    <mergeCell ref="A122:B124"/>
    <mergeCell ref="A107:C107"/>
    <mergeCell ref="B141:B142"/>
    <mergeCell ref="A120:C121"/>
    <mergeCell ref="AD9:AD10"/>
    <mergeCell ref="B45:C45"/>
    <mergeCell ref="B62:C62"/>
    <mergeCell ref="W114:W115"/>
    <mergeCell ref="B96:B97"/>
    <mergeCell ref="AI9:AI10"/>
    <mergeCell ref="B205:B207"/>
    <mergeCell ref="B30:B32"/>
    <mergeCell ref="B202:C202"/>
    <mergeCell ref="B12:B15"/>
    <mergeCell ref="B46:C46"/>
    <mergeCell ref="A146:A147"/>
    <mergeCell ref="E105:G105"/>
    <mergeCell ref="B198:B200"/>
    <mergeCell ref="D120:D121"/>
    <mergeCell ref="B39:C39"/>
    <mergeCell ref="A116:C116"/>
    <mergeCell ref="B23:C23"/>
    <mergeCell ref="A100:C100"/>
    <mergeCell ref="G146:G147"/>
    <mergeCell ref="B181:C181"/>
    <mergeCell ref="A135:A136"/>
    <mergeCell ref="A109:C109"/>
    <mergeCell ref="A214:A215"/>
    <mergeCell ref="B24:B25"/>
    <mergeCell ref="E120:J120"/>
    <mergeCell ref="C205:E206"/>
    <mergeCell ref="B65:B66"/>
    <mergeCell ref="A102:C102"/>
    <mergeCell ref="A117:C117"/>
    <mergeCell ref="A111:C111"/>
    <mergeCell ref="A125:B127"/>
    <mergeCell ref="B27:B29"/>
    <mergeCell ref="B201:C201"/>
    <mergeCell ref="B68:C68"/>
    <mergeCell ref="B51:B52"/>
    <mergeCell ref="A103:C103"/>
    <mergeCell ref="Y9:AA9"/>
    <mergeCell ref="B36:C36"/>
    <mergeCell ref="B203:C203"/>
    <mergeCell ref="A6:X6"/>
    <mergeCell ref="N206:O206"/>
  </mergeCells>
  <dataValidations count="5">
    <dataValidation sqref="D153:D168 E107:H109 E111:H112 AF11:AI52" showDropDown="0" showInputMessage="1" showErrorMessage="1" allowBlank="0" type="whole" operator="greaterThanOrEqual">
      <formula1>0</formula1>
    </dataValidation>
    <dataValidation sqref="B133:D133 B137:I139 B143:M144 B148:H149 C208:AH215 D11:D53 D56:I98 D101:D103 D107:D109 D111:D112 D116:W118 D122:L130 D171:I203 E53:AI53" showDropDown="0" showInputMessage="1" showErrorMessage="1" allowBlank="0" error="Valor no Permitido" type="whole" operator="greaterThanOrEqual">
      <formula1>0</formula1>
    </dataValidation>
    <dataValidation sqref="A6 A8:A56 A99:A105 A107:A144 A145:P145 A146:A149 A170:A208 A214 A249:B249 B8:B20 B22:B24 B26:B40 B45:B47 B53:B65 B67:C69 B71:B85 B90:B92 B98:C104 B107:C109 B111:C111 B113:C132 B134:D136 B140:B141 B146:C147 B170:B214 C8:C24 C26:C49 C51:C64 C71:C94 C140:C142 C170:C182 C184:C207 D8:Y10 D54:I55 D99:D100 D104:D105 D113:I115 D119:L121 D131:D132 D140:I140 D142:M142 D147:F147 D170:I170 D204:I204 D205:F207 E99:E106 E131:I136 F99:H104 F106:H106 G146:H146 G206:AG207 H105 I99:I106 I110 I146:P149 J99:W115 J131:L140 J169:J204 K169:L189 K197:L204 M119:M140 M169:AI204 Q148:BZ149 Z8:AA8 Z10:AA10 AB8:AB10 AC8:AF8 AC9 AD9:AF10 AG10 AH205 AI208:AI215 CC148:CF149 CK148:CN149" showDropDown="0" showInputMessage="1" showErrorMessage="1" allowBlank="0" error="Valor no Permitido"/>
    <dataValidation sqref="E153:R168" showDropDown="0" showInputMessage="1" showErrorMessage="1" allowBlank="0" type="whole">
      <formula1>0</formula1>
      <formula2>9.99999999999999E+35</formula2>
    </dataValidation>
    <dataValidation sqref="E11:AE52" showDropDown="0" showInputMessage="1" showErrorMessage="1" allowBlank="0" type="whole">
      <formula1>0</formula1>
      <formula2>9.99999999999999E+37</formula2>
    </dataValidation>
  </dataValidations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>
  <sheetPr codeName="Hoja21">
    <outlinePr summaryBelow="1" summaryRight="1"/>
    <pageSetUpPr/>
  </sheetPr>
  <dimension ref="A1:DI351"/>
  <sheetViews>
    <sheetView showGridLines="0" zoomScaleNormal="100" workbookViewId="0">
      <selection activeCell="A1" sqref="A1"/>
    </sheetView>
  </sheetViews>
  <sheetFormatPr baseColWidth="10" defaultColWidth="11.42578125" defaultRowHeight="15"/>
  <cols>
    <col width="49.85546875" customWidth="1" style="8286" min="1" max="1"/>
    <col width="26.85546875" customWidth="1" style="8286" min="2" max="2"/>
    <col width="16.28515625" customWidth="1" style="8286" min="3" max="3"/>
    <col width="19.28515625" customWidth="1" style="8286" min="4" max="4"/>
    <col width="12.7109375" customWidth="1" style="8286" min="5" max="6"/>
    <col width="15" customWidth="1" style="8286" min="7" max="7"/>
    <col width="14.5703125" customWidth="1" style="8286" min="8" max="8"/>
    <col width="12.7109375" customWidth="1" style="8286" min="9" max="40"/>
    <col width="14.42578125" customWidth="1" style="8286" min="41" max="41"/>
    <col width="12.7109375" customWidth="1" style="8286" min="42" max="42"/>
    <col width="14.42578125" customWidth="1" style="8286" min="43" max="43"/>
    <col width="12.42578125" customWidth="1" style="8286" min="44" max="44"/>
    <col width="13.28515625" customWidth="1" style="8286" min="46" max="46"/>
    <col width="12.28515625" customWidth="1" style="8286" min="48" max="48"/>
    <col hidden="1" style="8286" min="57" max="73"/>
    <col hidden="1" width="11" customWidth="1" style="8286" min="74" max="77"/>
    <col hidden="1" width="13.28515625" customWidth="1" style="8286" min="78" max="78"/>
    <col hidden="1" width="11.42578125" customWidth="1" style="20" min="79" max="83"/>
    <col hidden="1" width="11.42578125" customWidth="1" style="8286" min="84" max="89"/>
    <col hidden="1" width="11.42578125" customWidth="1" style="20" min="90" max="98"/>
    <col width="11.42578125" customWidth="1" style="20" min="99" max="105"/>
    <col width="11.42578125" customWidth="1" style="20" min="106" max="113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25">
        <f>CONCATENATE("AÑO: ",NOMBRE!B7)</f>
        <v/>
      </c>
    </row>
    <row r="6" ht="18" customFormat="1" customHeight="1" s="8">
      <c r="A6" s="7780" t="inlineStr">
        <is>
          <t>REM-28. REHABILITACIÓN INTEGRAL</t>
        </is>
      </c>
      <c r="O6" s="512" t="n"/>
      <c r="P6" s="6" t="n"/>
      <c r="Q6" s="6" t="n"/>
      <c r="R6" s="6" t="n"/>
      <c r="S6" s="6" t="n"/>
      <c r="T6" s="6" t="n"/>
      <c r="U6" s="6" t="n"/>
      <c r="V6" s="6" t="n"/>
      <c r="W6" s="6" t="n"/>
      <c r="X6" s="6" t="n"/>
      <c r="Y6" s="6" t="n"/>
      <c r="Z6" s="6" t="n"/>
      <c r="AA6" s="6" t="n"/>
      <c r="AB6" s="6" t="n"/>
      <c r="AC6" s="6" t="n"/>
      <c r="AD6" s="6" t="n"/>
      <c r="AE6" s="6" t="n"/>
      <c r="AF6" s="6" t="n"/>
      <c r="AG6" s="6" t="n"/>
      <c r="AH6" s="6" t="n"/>
      <c r="AI6" s="6" t="n"/>
      <c r="AJ6" s="6" t="n"/>
      <c r="AK6" s="6" t="n"/>
      <c r="AL6" s="6" t="n"/>
      <c r="AM6" s="6" t="n"/>
      <c r="AN6" s="6" t="n"/>
      <c r="AO6" s="6" t="n"/>
      <c r="BU6" s="329" t="n"/>
      <c r="BV6" s="329" t="n"/>
      <c r="BW6" s="329" t="n"/>
      <c r="BX6" s="329" t="n"/>
      <c r="BY6" s="329" t="n"/>
      <c r="BZ6" s="329" t="n"/>
      <c r="CA6" s="34" t="n"/>
      <c r="CB6" s="34" t="n"/>
      <c r="CC6" s="34" t="n"/>
      <c r="CD6" s="34" t="n"/>
      <c r="CE6" s="34" t="n"/>
      <c r="CL6" s="34" t="n"/>
      <c r="CM6" s="34" t="n"/>
      <c r="CN6" s="34" t="n"/>
      <c r="CO6" s="34" t="n"/>
      <c r="CP6" s="34" t="n"/>
      <c r="CQ6" s="34" t="n"/>
    </row>
    <row r="8" ht="18" customHeight="1" s="8286">
      <c r="A8" s="1" t="inlineStr">
        <is>
          <t xml:space="preserve">SECCIÓN A:  ATENCIONES DE REHABILITACIÓN NIVEL PRIMARIO  </t>
        </is>
      </c>
      <c r="B8" s="7" t="n"/>
      <c r="C8" s="7" t="n"/>
      <c r="D8" s="7" t="n"/>
      <c r="E8" s="7" t="n"/>
      <c r="F8" s="7" t="n"/>
      <c r="G8" s="7" t="n"/>
      <c r="H8" s="7" t="n"/>
      <c r="I8" s="7" t="n"/>
      <c r="J8" s="7" t="n"/>
      <c r="K8" s="7" t="n"/>
      <c r="L8" s="7" t="n"/>
      <c r="M8" s="7" t="n"/>
      <c r="N8" s="7" t="n"/>
      <c r="O8" s="7" t="n"/>
      <c r="P8" s="7" t="n"/>
      <c r="Q8" s="7" t="n"/>
      <c r="R8" s="7" t="n"/>
      <c r="S8" s="7" t="n"/>
      <c r="T8" s="7" t="n"/>
      <c r="U8" s="7" t="n"/>
      <c r="V8" s="7" t="n"/>
      <c r="W8" s="7" t="n"/>
      <c r="X8" s="7" t="n"/>
      <c r="Y8" s="7" t="n"/>
      <c r="Z8" s="7" t="n"/>
      <c r="AA8" s="7" t="n"/>
      <c r="AB8" s="7" t="n"/>
      <c r="AC8" s="7" t="n"/>
      <c r="AD8" s="7" t="n"/>
      <c r="AE8" s="7" t="n"/>
      <c r="AF8" s="7" t="n"/>
      <c r="AG8" s="7" t="n"/>
      <c r="AH8" s="7" t="n"/>
      <c r="AI8" s="7" t="n"/>
      <c r="AJ8" s="7" t="n"/>
      <c r="AK8" s="7" t="n"/>
      <c r="AL8" s="7" t="n"/>
      <c r="AM8" s="7" t="n"/>
      <c r="AN8" s="7" t="n"/>
      <c r="AO8" s="7" t="n"/>
      <c r="AP8" s="7" t="n"/>
      <c r="AQ8" s="7" t="n"/>
      <c r="AR8" s="7" t="n"/>
      <c r="AS8" s="7" t="n"/>
    </row>
    <row r="9" ht="18" customHeight="1" s="8286">
      <c r="A9" s="657" t="inlineStr">
        <is>
          <t xml:space="preserve">SECCIÓN A.1: INGRESOS Y EGRESOS  A ATENCIONES DE REHABILITACIÓN EN EL NIVEL PRIMARIO </t>
        </is>
      </c>
      <c r="B9" s="646" t="n"/>
      <c r="C9" s="7" t="n"/>
      <c r="D9" s="5" t="n"/>
      <c r="E9" s="7" t="n"/>
      <c r="F9" s="7" t="n"/>
      <c r="G9" s="7" t="n"/>
      <c r="H9" s="7" t="n"/>
      <c r="I9" s="7" t="n"/>
      <c r="J9" s="7" t="n"/>
      <c r="K9" s="7" t="n"/>
      <c r="L9" s="7" t="n"/>
      <c r="M9" s="7" t="n"/>
      <c r="N9" s="7" t="n"/>
      <c r="O9" s="7" t="n"/>
      <c r="P9" s="7" t="n"/>
      <c r="Q9" s="7" t="n"/>
      <c r="R9" s="7" t="n"/>
      <c r="S9" s="7" t="n"/>
      <c r="T9" s="7" t="n"/>
      <c r="U9" s="7" t="n"/>
      <c r="V9" s="7" t="n"/>
      <c r="W9" s="7" t="n"/>
      <c r="X9" s="7" t="n"/>
      <c r="Y9" s="7" t="n"/>
      <c r="Z9" s="7" t="n"/>
      <c r="AA9" s="7" t="n"/>
      <c r="AB9" s="7" t="n"/>
      <c r="AC9" s="7" t="n"/>
      <c r="AD9" s="7" t="n"/>
      <c r="AE9" s="7" t="n"/>
      <c r="AF9" s="7" t="n"/>
      <c r="AG9" s="7" t="n"/>
      <c r="AH9" s="7" t="n"/>
      <c r="AI9" s="7" t="n"/>
      <c r="AJ9" s="7" t="n"/>
      <c r="AK9" s="7" t="n"/>
      <c r="AL9" s="7" t="n"/>
      <c r="AM9" s="7" t="n"/>
      <c r="AN9" s="7" t="n"/>
      <c r="AO9" s="7" t="n"/>
      <c r="AP9" s="7" t="n"/>
      <c r="AQ9" s="7" t="n"/>
      <c r="AR9" s="7" t="n"/>
      <c r="AS9" s="7" t="n"/>
    </row>
    <row r="10">
      <c r="A10" s="9690" t="inlineStr">
        <is>
          <t>TIPO DE INGRESO</t>
        </is>
      </c>
      <c r="B10" s="9914" t="inlineStr">
        <is>
          <t>TOTAL</t>
        </is>
      </c>
      <c r="C10" s="9602" t="n"/>
      <c r="D10" s="9630" t="n"/>
      <c r="E10" s="9915" t="inlineStr">
        <is>
          <t>RANGO ETARIO Y SEXO</t>
        </is>
      </c>
      <c r="F10" s="9584" t="n"/>
      <c r="G10" s="9584" t="n"/>
      <c r="H10" s="9584" t="n"/>
      <c r="I10" s="9584" t="n"/>
      <c r="J10" s="9584" t="n"/>
      <c r="K10" s="9584" t="n"/>
      <c r="L10" s="9584" t="n"/>
      <c r="M10" s="9584" t="n"/>
      <c r="N10" s="9584" t="n"/>
      <c r="O10" s="9584" t="n"/>
      <c r="P10" s="9584" t="n"/>
      <c r="Q10" s="9584" t="n"/>
      <c r="R10" s="9584" t="n"/>
      <c r="S10" s="9584" t="n"/>
      <c r="T10" s="9584" t="n"/>
      <c r="U10" s="9584" t="n"/>
      <c r="V10" s="9584" t="n"/>
      <c r="W10" s="9584" t="n"/>
      <c r="X10" s="9584" t="n"/>
      <c r="Y10" s="9584" t="n"/>
      <c r="Z10" s="9584" t="n"/>
      <c r="AA10" s="9584" t="n"/>
      <c r="AB10" s="9584" t="n"/>
      <c r="AC10" s="9584" t="n"/>
      <c r="AD10" s="9584" t="n"/>
      <c r="AE10" s="9584" t="n"/>
      <c r="AF10" s="9584" t="n"/>
      <c r="AG10" s="9584" t="n"/>
      <c r="AH10" s="9584" t="n"/>
      <c r="AI10" s="9584" t="n"/>
      <c r="AJ10" s="9584" t="n"/>
      <c r="AK10" s="9584" t="n"/>
      <c r="AL10" s="9595" t="n"/>
      <c r="AM10" s="10566" t="inlineStr">
        <is>
          <t>TIPO DE ESTRATEGIA</t>
        </is>
      </c>
      <c r="AN10" s="9617" t="n"/>
      <c r="AO10" s="9617" t="n"/>
      <c r="AP10" s="9597" t="n"/>
      <c r="AQ10" s="9916" t="inlineStr">
        <is>
          <t>Personas con discapacidad (con RND)</t>
        </is>
      </c>
      <c r="AR10" s="8400" t="inlineStr">
        <is>
          <t>Pueblos Originarios</t>
        </is>
      </c>
      <c r="AS10" s="9920" t="inlineStr">
        <is>
          <t>Migrantes</t>
        </is>
      </c>
    </row>
    <row r="11" ht="15" customHeight="1" s="8286">
      <c r="A11" s="9588" t="n"/>
      <c r="B11" s="642" t="n"/>
      <c r="D11" s="9718" t="n"/>
      <c r="E11" s="8400" t="inlineStr">
        <is>
          <t>0 - 4 años</t>
        </is>
      </c>
      <c r="F11" s="9582" t="n"/>
      <c r="G11" s="8400" t="inlineStr">
        <is>
          <t>5 - 9 años</t>
        </is>
      </c>
      <c r="H11" s="9582" t="n"/>
      <c r="I11" s="8400" t="inlineStr">
        <is>
          <t>10 - 14 años</t>
        </is>
      </c>
      <c r="J11" s="9582" t="n"/>
      <c r="K11" s="8400" t="inlineStr">
        <is>
          <t>15 - 19 años</t>
        </is>
      </c>
      <c r="L11" s="9582" t="n"/>
      <c r="M11" s="8400" t="inlineStr">
        <is>
          <t>20 - 24 años</t>
        </is>
      </c>
      <c r="N11" s="9582" t="n"/>
      <c r="O11" s="8400" t="inlineStr">
        <is>
          <t>25-29 años</t>
        </is>
      </c>
      <c r="P11" s="9582" t="n"/>
      <c r="Q11" s="8400" t="inlineStr">
        <is>
          <t>30-34 años</t>
        </is>
      </c>
      <c r="R11" s="9582" t="n"/>
      <c r="S11" s="8400" t="inlineStr">
        <is>
          <t>35 - 39 años</t>
        </is>
      </c>
      <c r="T11" s="9582" t="n"/>
      <c r="U11" s="8400" t="inlineStr">
        <is>
          <t>40 - 44 años</t>
        </is>
      </c>
      <c r="V11" s="9582" t="n"/>
      <c r="W11" s="8400" t="inlineStr">
        <is>
          <t>45- 49 años</t>
        </is>
      </c>
      <c r="X11" s="9582" t="n"/>
      <c r="Y11" s="8400" t="inlineStr">
        <is>
          <t>50 - 54 años</t>
        </is>
      </c>
      <c r="Z11" s="9582" t="n"/>
      <c r="AA11" s="8400" t="inlineStr">
        <is>
          <t>55 - 59 años</t>
        </is>
      </c>
      <c r="AB11" s="9582" t="n"/>
      <c r="AC11" s="8400" t="inlineStr">
        <is>
          <t>60 - 64 años</t>
        </is>
      </c>
      <c r="AD11" s="9582" t="n"/>
      <c r="AE11" s="8400" t="inlineStr">
        <is>
          <t>65 - 69 años</t>
        </is>
      </c>
      <c r="AF11" s="9582" t="n"/>
      <c r="AG11" s="8400" t="inlineStr">
        <is>
          <t>70 - 74 años</t>
        </is>
      </c>
      <c r="AH11" s="9582" t="n"/>
      <c r="AI11" s="8400" t="inlineStr">
        <is>
          <t>75 - 79 años</t>
        </is>
      </c>
      <c r="AJ11" s="9582" t="n"/>
      <c r="AK11" s="9915" t="inlineStr">
        <is>
          <t>80 y más años</t>
        </is>
      </c>
      <c r="AL11" s="9595" t="n"/>
      <c r="AM11" s="9980" t="inlineStr">
        <is>
          <t xml:space="preserve">Rehabilitación NNA </t>
        </is>
      </c>
      <c r="AN11" s="9280" t="inlineStr">
        <is>
          <t>Rehabilitación Integral APS</t>
        </is>
      </c>
      <c r="AO11" s="10567" t="inlineStr">
        <is>
          <t xml:space="preserve">Otros Rehabilitación </t>
        </is>
      </c>
      <c r="AP11" s="10313" t="inlineStr">
        <is>
          <t>Rehabilitación móvil (rural)</t>
        </is>
      </c>
      <c r="AQ11" s="9978" t="n"/>
      <c r="AR11" s="9614" t="n"/>
      <c r="AS11" s="9625" t="n"/>
    </row>
    <row r="12">
      <c r="A12" s="9589" t="n"/>
      <c r="B12" s="4140" t="inlineStr">
        <is>
          <t>Ambos Sexos</t>
        </is>
      </c>
      <c r="C12" s="4141" t="inlineStr">
        <is>
          <t>Hombres</t>
        </is>
      </c>
      <c r="D12" s="9162" t="inlineStr">
        <is>
          <t>Mujeres</t>
        </is>
      </c>
      <c r="E12" s="4140" t="inlineStr">
        <is>
          <t>Hombres</t>
        </is>
      </c>
      <c r="F12" s="9162" t="inlineStr">
        <is>
          <t>Mujeres</t>
        </is>
      </c>
      <c r="G12" s="4140" t="inlineStr">
        <is>
          <t>Hombres</t>
        </is>
      </c>
      <c r="H12" s="9162" t="inlineStr">
        <is>
          <t>Mujeres</t>
        </is>
      </c>
      <c r="I12" s="4140" t="inlineStr">
        <is>
          <t>Hombres</t>
        </is>
      </c>
      <c r="J12" s="9162" t="inlineStr">
        <is>
          <t>Mujeres</t>
        </is>
      </c>
      <c r="K12" s="4140" t="inlineStr">
        <is>
          <t>Hombres</t>
        </is>
      </c>
      <c r="L12" s="9162" t="inlineStr">
        <is>
          <t>Mujeres</t>
        </is>
      </c>
      <c r="M12" s="4140" t="inlineStr">
        <is>
          <t>Hombres</t>
        </is>
      </c>
      <c r="N12" s="9162" t="inlineStr">
        <is>
          <t>Mujeres</t>
        </is>
      </c>
      <c r="O12" s="4140" t="inlineStr">
        <is>
          <t>Hombres</t>
        </is>
      </c>
      <c r="P12" s="9162" t="inlineStr">
        <is>
          <t>Mujeres</t>
        </is>
      </c>
      <c r="Q12" s="4140" t="inlineStr">
        <is>
          <t>Hombres</t>
        </is>
      </c>
      <c r="R12" s="9162" t="inlineStr">
        <is>
          <t>Mujeres</t>
        </is>
      </c>
      <c r="S12" s="4140" t="inlineStr">
        <is>
          <t>Hombres</t>
        </is>
      </c>
      <c r="T12" s="9162" t="inlineStr">
        <is>
          <t>Mujeres</t>
        </is>
      </c>
      <c r="U12" s="4140" t="inlineStr">
        <is>
          <t>Hombres</t>
        </is>
      </c>
      <c r="V12" s="9162" t="inlineStr">
        <is>
          <t>Mujeres</t>
        </is>
      </c>
      <c r="W12" s="4140" t="inlineStr">
        <is>
          <t>Hombres</t>
        </is>
      </c>
      <c r="X12" s="9162" t="inlineStr">
        <is>
          <t>Mujeres</t>
        </is>
      </c>
      <c r="Y12" s="4140" t="inlineStr">
        <is>
          <t>Hombres</t>
        </is>
      </c>
      <c r="Z12" s="9162" t="inlineStr">
        <is>
          <t>Mujeres</t>
        </is>
      </c>
      <c r="AA12" s="4140" t="inlineStr">
        <is>
          <t>Hombres</t>
        </is>
      </c>
      <c r="AB12" s="9162" t="inlineStr">
        <is>
          <t>Mujeres</t>
        </is>
      </c>
      <c r="AC12" s="4140" t="inlineStr">
        <is>
          <t>Hombres</t>
        </is>
      </c>
      <c r="AD12" s="9162" t="inlineStr">
        <is>
          <t>Mujeres</t>
        </is>
      </c>
      <c r="AE12" s="4140" t="inlineStr">
        <is>
          <t>Hombres</t>
        </is>
      </c>
      <c r="AF12" s="9162" t="inlineStr">
        <is>
          <t>Mujeres</t>
        </is>
      </c>
      <c r="AG12" s="4140" t="inlineStr">
        <is>
          <t>Hombres</t>
        </is>
      </c>
      <c r="AH12" s="9162" t="inlineStr">
        <is>
          <t>Mujeres</t>
        </is>
      </c>
      <c r="AI12" s="4140" t="inlineStr">
        <is>
          <t>Hombres</t>
        </is>
      </c>
      <c r="AJ12" s="9162" t="inlineStr">
        <is>
          <t>Mujeres</t>
        </is>
      </c>
      <c r="AK12" s="4140" t="inlineStr">
        <is>
          <t>Hombres</t>
        </is>
      </c>
      <c r="AL12" s="4142" t="inlineStr">
        <is>
          <t>Mujeres</t>
        </is>
      </c>
      <c r="AM12" s="9604" t="n"/>
      <c r="AN12" s="9870" t="n"/>
      <c r="AO12" s="9605" t="n"/>
      <c r="AP12" s="10314" t="n"/>
      <c r="AQ12" s="9890" t="n"/>
      <c r="AR12" s="9610" t="n"/>
      <c r="AS12" s="9641" t="n"/>
    </row>
    <row r="13" ht="15" customHeight="1" s="8286">
      <c r="A13" s="4143" t="inlineStr">
        <is>
          <t>Ingresos</t>
        </is>
      </c>
      <c r="B13" s="4144">
        <f>SUM(C13:D13)</f>
        <v/>
      </c>
      <c r="C13" s="4145">
        <f>SUM(E13,G13,I13,K13,M13,O13,Q13,S13,U13,W13,Y13,AA13,AC13,AE13,AG13,AI13,AK13)</f>
        <v/>
      </c>
      <c r="D13" s="4146">
        <f>SUM(F13,H13,J13,L13,N13,P13,R13,T13,V13,X13,Z13,AB13,AD13,AF13,AH13,AJ13,AL13)</f>
        <v/>
      </c>
      <c r="E13" s="4147" t="n"/>
      <c r="F13" s="4148" t="n"/>
      <c r="G13" s="4147" t="n"/>
      <c r="H13" s="4149" t="n"/>
      <c r="I13" s="4147" t="n"/>
      <c r="J13" s="4149" t="n"/>
      <c r="K13" s="4147" t="n"/>
      <c r="L13" s="4149" t="n"/>
      <c r="M13" s="4147" t="n"/>
      <c r="N13" s="4149" t="n"/>
      <c r="O13" s="4147" t="n"/>
      <c r="P13" s="4149" t="n"/>
      <c r="Q13" s="4147" t="n"/>
      <c r="R13" s="4149" t="n"/>
      <c r="S13" s="4147" t="n"/>
      <c r="T13" s="4149" t="n"/>
      <c r="U13" s="4147" t="n"/>
      <c r="V13" s="4149" t="n"/>
      <c r="W13" s="4147" t="n"/>
      <c r="X13" s="4149" t="n"/>
      <c r="Y13" s="4147" t="n"/>
      <c r="Z13" s="4149" t="n"/>
      <c r="AA13" s="4147" t="n"/>
      <c r="AB13" s="4149" t="n"/>
      <c r="AC13" s="4147" t="n"/>
      <c r="AD13" s="4149" t="n"/>
      <c r="AE13" s="4147" t="n"/>
      <c r="AF13" s="4149" t="n"/>
      <c r="AG13" s="4147" t="n"/>
      <c r="AH13" s="4149" t="n"/>
      <c r="AI13" s="4147" t="n"/>
      <c r="AJ13" s="4149" t="n"/>
      <c r="AK13" s="4147" t="n"/>
      <c r="AL13" s="4150" t="n"/>
      <c r="AM13" s="4151" t="n"/>
      <c r="AN13" s="4152" t="n"/>
      <c r="AO13" s="4152" t="n"/>
      <c r="AP13" s="4153" t="n"/>
      <c r="AQ13" s="5457" t="n"/>
      <c r="AR13" s="5422" t="n"/>
      <c r="AS13" s="4148" t="n"/>
      <c r="AT13" s="218">
        <f>CA13&amp;CB13&amp;CC13&amp;CD13</f>
        <v/>
      </c>
      <c r="BY13" s="226" t="n"/>
      <c r="BZ13" s="226" t="n"/>
      <c r="CA13" s="219">
        <f>IF(AM13+AN13+AO13+AP13&lt;&gt;$B13,"* La suma de "&amp;AM$10&amp;""&amp;" no puede ser distinto del Total Ambos Sexos. ","")</f>
        <v/>
      </c>
      <c r="CB13" s="219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>
        <f>IF(AND($B13&lt;&gt;0,AR13=""),"* No olvide ingresar la variable Pueblos Originarios. Digite CERO si no tiene. ",IF(AR13&gt;$B13,"* La variable Pueblos Originarios no puede superar el Total Ambos Sexos. ",""))</f>
        <v/>
      </c>
      <c r="CD13" s="219">
        <f>IF(AND($B13&lt;&gt;0,AS13=""),"* No olvide ingresar la variable Migrantes. Digite CERO si no tiene.  ",IF(AS13&gt;$B13,"* La variable Migrantes no puede superar el Total Ambos Sexos. ",""))</f>
        <v/>
      </c>
      <c r="CE13" s="226" t="n"/>
      <c r="CL13" s="226" t="n"/>
      <c r="CM13" s="261">
        <f>IF(AM13+AN13+AO13+AP13&lt;&gt;$B13,1,0)</f>
        <v/>
      </c>
      <c r="CN13" s="378">
        <f>IF(AND($B13&lt;&gt;0,AQ13=""),1,IF(AQ13&gt;$B13,1,0))</f>
        <v/>
      </c>
      <c r="CO13" s="378">
        <f>IF(AND($B13&lt;&gt;0,AR13=""),1,IF(AR13&gt;$B13,1,0))</f>
        <v/>
      </c>
      <c r="CP13" s="378">
        <f>IF(AND($B13&lt;&gt;0,AS13=""),1,IF(AS13&gt;$B13,1,0))</f>
        <v/>
      </c>
    </row>
    <row r="14" ht="15" customHeight="1" s="8286">
      <c r="A14" s="1930" t="inlineStr">
        <is>
          <t>Ingresos con plan de tratamiento integral (PTI)</t>
        </is>
      </c>
      <c r="B14" s="4154">
        <f>SUM(C14:D14)</f>
        <v/>
      </c>
      <c r="C14" s="4155">
        <f>SUM(E14,G14,I14,K14,M14,O14,Q14,S14,U14,W14,Y14,AA14,AC14,AE14,AG14,AI14,AK14)</f>
        <v/>
      </c>
      <c r="D14" s="4156">
        <f>SUM(F14,H14,J14,L14,N14,P14,R14,T14,V14,X14,Z14,AB14,AD14,AF14,AH14,AJ14,AL14)</f>
        <v/>
      </c>
      <c r="E14" s="1935" t="n"/>
      <c r="F14" s="3805" t="n"/>
      <c r="G14" s="1935" t="n"/>
      <c r="H14" s="755" t="n"/>
      <c r="I14" s="1935" t="n"/>
      <c r="J14" s="755" t="n"/>
      <c r="K14" s="1935" t="n"/>
      <c r="L14" s="755" t="n"/>
      <c r="M14" s="1935" t="n"/>
      <c r="N14" s="755" t="n"/>
      <c r="O14" s="1935" t="n"/>
      <c r="P14" s="755" t="n"/>
      <c r="Q14" s="1935" t="n"/>
      <c r="R14" s="755" t="n"/>
      <c r="S14" s="1935" t="n"/>
      <c r="T14" s="755" t="n"/>
      <c r="U14" s="1935" t="n"/>
      <c r="V14" s="755" t="n"/>
      <c r="W14" s="1935" t="n"/>
      <c r="X14" s="755" t="n"/>
      <c r="Y14" s="1935" t="n"/>
      <c r="Z14" s="755" t="n"/>
      <c r="AA14" s="1935" t="n"/>
      <c r="AB14" s="755" t="n"/>
      <c r="AC14" s="1935" t="n"/>
      <c r="AD14" s="755" t="n"/>
      <c r="AE14" s="1935" t="n"/>
      <c r="AF14" s="755" t="n"/>
      <c r="AG14" s="1935" t="n"/>
      <c r="AH14" s="755" t="n"/>
      <c r="AI14" s="1935" t="n"/>
      <c r="AJ14" s="755" t="n"/>
      <c r="AK14" s="1935" t="n"/>
      <c r="AL14" s="792" t="n"/>
      <c r="AM14" s="1966" t="n"/>
      <c r="AN14" s="793" t="n"/>
      <c r="AO14" s="793" t="n"/>
      <c r="AP14" s="4002" t="n"/>
      <c r="AQ14" s="5214" t="n"/>
      <c r="AR14" s="1964" t="n"/>
      <c r="AS14" s="3805" t="n"/>
      <c r="AT14" s="218">
        <f>CA14&amp;CB14&amp;CC14&amp;CD14</f>
        <v/>
      </c>
      <c r="BY14" s="226" t="n"/>
      <c r="BZ14" s="226" t="n"/>
      <c r="CA14" s="219">
        <f>IF(AM14+AN14+AO14+AP14&lt;&gt;$B14,"* La suma de "&amp;AM$10&amp;""&amp;" no puede ser distinto del Total Ambos Sexos. ","")</f>
        <v/>
      </c>
      <c r="CB14" s="219">
        <f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>
        <f>IF(AND($B14&lt;&gt;0,AR14=""),"* No olvide ingresar la variable Pueblos Originarios. Digite CERO si no tiene. ",IF(AR14&gt;$B14,"* La variable Pueblos Originarios no puede superar el Total Ambos Sexos. ",""))</f>
        <v/>
      </c>
      <c r="CD14" s="219">
        <f>IF(AND($B14&lt;&gt;0,AS14=""),"* No olvide ingresar la variable Migrantes. Digite CERO si no tiene.  ",IF(AS14&gt;$B14,"* La variable Migrantes no puede superar el Total Ambos Sexos. ",""))</f>
        <v/>
      </c>
      <c r="CE14" s="226" t="n"/>
      <c r="CL14" s="226" t="n"/>
      <c r="CM14" s="261">
        <f>IF(AM14+AN14+AO14+AP14&lt;&gt;$B14,1,0)</f>
        <v/>
      </c>
      <c r="CN14" s="378">
        <f>IF(AND($B14&lt;&gt;0,AQ14=""),1,IF(AQ14&gt;$B14,1,0))</f>
        <v/>
      </c>
      <c r="CO14" s="378">
        <f>IF(AND($B14&lt;&gt;0,AR14=""),1,IF(AR14&gt;$B14,1,0))</f>
        <v/>
      </c>
      <c r="CP14" s="378">
        <f>IF(AND($B14&lt;&gt;0,AS14=""),1,IF(AS14&gt;$B14,1,0))</f>
        <v/>
      </c>
    </row>
    <row r="15" ht="19.5" customHeight="1" s="8286">
      <c r="A15" s="1144" t="inlineStr">
        <is>
          <t>Ingresos con plan de tratamiento integral (PTI) con objetivos para el trabajo</t>
        </is>
      </c>
      <c r="B15" s="1132">
        <f>SUM(C15:D15)</f>
        <v/>
      </c>
      <c r="C15" s="4157">
        <f>SUM(E15,G15,I15,K15,M15,O15,Q15,S15,U15,W15,Y15,AA15,AC15,AE15,AG15,AI15,AK15)</f>
        <v/>
      </c>
      <c r="D15" s="4158">
        <f>SUM(F15,H15,J15,L15,N15,P15,R15,T15,V15,X15,Z15,AB15,AD15,AF15,AH15,AJ15,AL15)</f>
        <v/>
      </c>
      <c r="E15" s="1325" t="n"/>
      <c r="F15" s="3980" t="n"/>
      <c r="G15" s="1325" t="n"/>
      <c r="H15" s="877" t="n"/>
      <c r="I15" s="1325" t="n"/>
      <c r="J15" s="877" t="n"/>
      <c r="K15" s="1325" t="n"/>
      <c r="L15" s="877" t="n"/>
      <c r="M15" s="1935" t="n"/>
      <c r="N15" s="755" t="n"/>
      <c r="O15" s="1935" t="n"/>
      <c r="P15" s="755" t="n"/>
      <c r="Q15" s="1172" t="n"/>
      <c r="R15" s="886" t="n"/>
      <c r="S15" s="1172" t="n"/>
      <c r="T15" s="886" t="n"/>
      <c r="U15" s="1172" t="n"/>
      <c r="V15" s="886" t="n"/>
      <c r="W15" s="1172" t="n"/>
      <c r="X15" s="886" t="n"/>
      <c r="Y15" s="1172" t="n"/>
      <c r="Z15" s="886" t="n"/>
      <c r="AA15" s="1172" t="n"/>
      <c r="AB15" s="886" t="n"/>
      <c r="AC15" s="1172" t="n"/>
      <c r="AD15" s="886" t="n"/>
      <c r="AE15" s="1172" t="n"/>
      <c r="AF15" s="886" t="n"/>
      <c r="AG15" s="1172" t="n"/>
      <c r="AH15" s="886" t="n"/>
      <c r="AI15" s="1172" t="n"/>
      <c r="AJ15" s="886" t="n"/>
      <c r="AK15" s="1172" t="n"/>
      <c r="AL15" s="1929" t="n"/>
      <c r="AM15" s="887" t="n"/>
      <c r="AN15" s="2001" t="n"/>
      <c r="AO15" s="2001" t="n"/>
      <c r="AP15" s="3894" t="n"/>
      <c r="AQ15" s="5215" t="n"/>
      <c r="AR15" s="3892" t="n"/>
      <c r="AS15" s="3788" t="n"/>
      <c r="AT15" s="218">
        <f>CA15&amp;CB15&amp;CC15&amp;CD15</f>
        <v/>
      </c>
      <c r="BY15" s="226" t="n"/>
      <c r="BZ15" s="226" t="n"/>
      <c r="CA15" s="219">
        <f>IF(AM15+AN15+AO15+AP15&lt;&gt;$B15,"* La suma de "&amp;AM$10&amp;""&amp;" no puede ser distinto del Total Ambos Sexos. ","")</f>
        <v/>
      </c>
      <c r="CB15" s="219">
        <f>IF(AND($B15&lt;&gt;0,AQ15=""),"* No olvide ingresar la variable Personas con discapacidad (con RND). Digite Cero si no tiene. ",IF(AQ15&gt;$B15,"* La variable Personas con discapacidad (con RND) no puede superar el Total Ambos Sexos. ",""))</f>
        <v/>
      </c>
      <c r="CC15" s="219">
        <f>IF(AND($B15&lt;&gt;0,AR15=""),"* No olvide ingresar la variable Pueblos Originarios. Digite CERO si no tiene. ",IF(AR15&gt;$B15,"* La variable Pueblos Originarios no puede superar el Total Ambos Sexos. ",""))</f>
        <v/>
      </c>
      <c r="CD15" s="219">
        <f>IF(AND($B15&lt;&gt;0,AS15=""),"* No olvide ingresar la variable Migrantes. Digite CERO si no tiene.  ",IF(AS15&gt;$B15,"* La variable Migrantes no puede superar el Total Ambos Sexos. ",""))</f>
        <v/>
      </c>
      <c r="CE15" s="226" t="n"/>
      <c r="CL15" s="226" t="n"/>
      <c r="CM15" s="261">
        <f>IF(AM15+AN15+AO15+AP15&lt;&gt;$B15,1,0)</f>
        <v/>
      </c>
      <c r="CN15" s="378">
        <f>IF(AND($B15&lt;&gt;0,AQ15=""),1,IF(AQ15&gt;$B15,1,0))</f>
        <v/>
      </c>
      <c r="CO15" s="378">
        <f>IF(AND($B15&lt;&gt;0,AR15=""),1,IF(AR15&gt;$B15,1,0))</f>
        <v/>
      </c>
      <c r="CP15" s="378">
        <f>IF(AND($B15&lt;&gt;0,AS15=""),1,IF(AS15&gt;$B15,1,0))</f>
        <v/>
      </c>
    </row>
    <row r="16" ht="15" customHeight="1" s="8286">
      <c r="A16" s="2316" t="inlineStr">
        <is>
          <t>Ingresos de usuarios con cuidador</t>
        </is>
      </c>
      <c r="B16" s="2309">
        <f>SUM(C16:D16)</f>
        <v/>
      </c>
      <c r="C16" s="1343">
        <f>SUM(E16,G16,I16,K16,M16,O16,Q16,S16,U16,W16,Y16,AA16,AC16,AE16,AG16,AI16,AK16)</f>
        <v/>
      </c>
      <c r="D16" s="894">
        <f>SUM(F16,H16,J16,L16,N16,P16,R16,T16,V16,X16,Z16,AB16,AD16,AF16,AH16,AJ16,AL16)</f>
        <v/>
      </c>
      <c r="E16" s="1172" t="n"/>
      <c r="F16" s="3788" t="n"/>
      <c r="G16" s="1172" t="n"/>
      <c r="H16" s="886" t="n"/>
      <c r="I16" s="1172" t="n"/>
      <c r="J16" s="886" t="n"/>
      <c r="K16" s="1172" t="n"/>
      <c r="L16" s="886" t="n"/>
      <c r="M16" s="1172" t="n"/>
      <c r="N16" s="886" t="n"/>
      <c r="O16" s="1172" t="n"/>
      <c r="P16" s="886" t="n"/>
      <c r="Q16" s="1172" t="n"/>
      <c r="R16" s="886" t="n"/>
      <c r="S16" s="1172" t="n"/>
      <c r="T16" s="886" t="n"/>
      <c r="U16" s="1172" t="n"/>
      <c r="V16" s="886" t="n"/>
      <c r="W16" s="1172" t="n"/>
      <c r="X16" s="886" t="n"/>
      <c r="Y16" s="1172" t="n"/>
      <c r="Z16" s="886" t="n"/>
      <c r="AA16" s="1172" t="n"/>
      <c r="AB16" s="886" t="n"/>
      <c r="AC16" s="1172" t="n"/>
      <c r="AD16" s="886" t="n"/>
      <c r="AE16" s="1172" t="n"/>
      <c r="AF16" s="886" t="n"/>
      <c r="AG16" s="1172" t="n"/>
      <c r="AH16" s="886" t="n"/>
      <c r="AI16" s="1172" t="n"/>
      <c r="AJ16" s="886" t="n"/>
      <c r="AK16" s="1172" t="n"/>
      <c r="AL16" s="1929" t="n"/>
      <c r="AM16" s="887" t="n"/>
      <c r="AN16" s="2001" t="n"/>
      <c r="AO16" s="2001" t="n"/>
      <c r="AP16" s="3894" t="n"/>
      <c r="AQ16" s="5215" t="n"/>
      <c r="AR16" s="3892" t="n"/>
      <c r="AS16" s="3788" t="n"/>
      <c r="AT16" s="218">
        <f>CA16&amp;CB16&amp;CC16&amp;CD16</f>
        <v/>
      </c>
      <c r="BY16" s="226" t="n"/>
      <c r="BZ16" s="226" t="n"/>
      <c r="CA16" s="219">
        <f>IF(AM16+AN16+AO16+AP16&lt;&gt;$B16,"* La suma de "&amp;AM$10&amp;""&amp;" no puede ser distinto del Total Ambos Sexos. ","")</f>
        <v/>
      </c>
      <c r="CB16" s="219">
        <f>IF(AND($B16&lt;&gt;0,AQ16=""),"* No olvide ingresar la variable Personas con discapacidad (con RND). Digite Cero si no tiene. ",IF(AQ16&gt;$B16,"* La variable Personas con discapacidad (con RND) no puede superar el Total Ambos Sexos. ",""))</f>
        <v/>
      </c>
      <c r="CC16" s="219">
        <f>IF(AND($B16&lt;&gt;0,AR16=""),"* No olvide ingresar la variable Pueblos Originarios. Digite CERO si no tiene. ",IF(AR16&gt;$B16,"* La variable Pueblos Originarios no puede superar el Total Ambos Sexos. ",""))</f>
        <v/>
      </c>
      <c r="CD16" s="219">
        <f>IF(AND($B16&lt;&gt;0,AS16=""),"* No olvide ingresar la variable Migrantes. Digite CERO si no tiene.  ",IF(AS16&gt;$B16,"* La variable Migrantes no puede superar el Total Ambos Sexos. ",""))</f>
        <v/>
      </c>
      <c r="CE16" s="226" t="n"/>
      <c r="CL16" s="226" t="n"/>
      <c r="CM16" s="261">
        <f>IF(AM16+AN16+AO16+AP16&lt;&gt;$B16,1,0)</f>
        <v/>
      </c>
      <c r="CN16" s="378">
        <f>IF(AND($B16&lt;&gt;0,AQ16=""),1,IF(AQ16&gt;$B16,1,0))</f>
        <v/>
      </c>
      <c r="CO16" s="378">
        <f>IF(AND($B16&lt;&gt;0,AR16=""),1,IF(AR16&gt;$B16,1,0))</f>
        <v/>
      </c>
      <c r="CP16" s="378">
        <f>IF(AND($B16&lt;&gt;0,AS16=""),1,IF(AS16&gt;$B16,1,0))</f>
        <v/>
      </c>
    </row>
    <row r="17" ht="15" customHeight="1" s="8286">
      <c r="A17" s="1144" t="inlineStr">
        <is>
          <t>Reingreso</t>
        </is>
      </c>
      <c r="B17" s="1344">
        <f>SUM(C17:D17)</f>
        <v/>
      </c>
      <c r="C17" s="3856">
        <f>SUM(E17,G17,I17,K17,M17,O17,Q17,S17,U17,W17,Y17,AA17,AC17,AE17,AG17,AI17,AK17)</f>
        <v/>
      </c>
      <c r="D17" s="894">
        <f>SUM(F17,H17,J17,L17,N17,P17,R17,T17,V17,X17,Z17,AB17,AD17,AF17,AH17,AJ17,AL17)</f>
        <v/>
      </c>
      <c r="E17" s="645" t="n"/>
      <c r="F17" s="886" t="n"/>
      <c r="G17" s="1172" t="n"/>
      <c r="H17" s="886" t="n"/>
      <c r="I17" s="1172" t="n"/>
      <c r="J17" s="886" t="n"/>
      <c r="K17" s="1172" t="n"/>
      <c r="L17" s="886" t="n"/>
      <c r="M17" s="1172" t="n"/>
      <c r="N17" s="886" t="n"/>
      <c r="O17" s="1172" t="n"/>
      <c r="P17" s="886" t="n"/>
      <c r="Q17" s="1172" t="n"/>
      <c r="R17" s="886" t="n"/>
      <c r="S17" s="1172" t="n"/>
      <c r="T17" s="886" t="n"/>
      <c r="U17" s="1172" t="n"/>
      <c r="V17" s="886" t="n"/>
      <c r="W17" s="1172" t="n"/>
      <c r="X17" s="886" t="n"/>
      <c r="Y17" s="1172" t="n"/>
      <c r="Z17" s="886" t="n"/>
      <c r="AA17" s="1172" t="n"/>
      <c r="AB17" s="886" t="n"/>
      <c r="AC17" s="1172" t="n"/>
      <c r="AD17" s="886" t="n"/>
      <c r="AE17" s="1172" t="n"/>
      <c r="AF17" s="886" t="n"/>
      <c r="AG17" s="1172" t="n"/>
      <c r="AH17" s="886" t="n"/>
      <c r="AI17" s="1172" t="n"/>
      <c r="AJ17" s="886" t="n"/>
      <c r="AK17" s="1172" t="n"/>
      <c r="AL17" s="1929" t="n"/>
      <c r="AM17" s="1230" t="n"/>
      <c r="AN17" s="2001" t="n"/>
      <c r="AO17" s="2001" t="n"/>
      <c r="AP17" s="3894" t="n"/>
      <c r="AQ17" s="5248" t="n"/>
      <c r="AR17" s="1229" t="n"/>
      <c r="AS17" s="1180" t="n"/>
      <c r="AT17" s="218">
        <f>CA17&amp;CB17&amp;CC17&amp;CD17</f>
        <v/>
      </c>
      <c r="BY17" s="226" t="n"/>
      <c r="BZ17" s="226" t="n"/>
      <c r="CA17" s="219">
        <f>IF(AM17+AN17+AO17+AP17&lt;&gt;$B17,"* La suma de "&amp;AM$10&amp;""&amp;" no puede ser distinto del Total Ambos Sexos. ","")</f>
        <v/>
      </c>
      <c r="CB17" s="219">
        <f>IF(AND($B17&lt;&gt;0,AQ17=""),"* No olvide ingresar la variable Personas con discapacidad (con RND). Digite Cero si no tiene. ",IF(AQ17&gt;$B17,"* La variable Personas con discapacidad (con RND) no puede superar el Total Ambos Sexos. ",""))</f>
        <v/>
      </c>
      <c r="CC17" s="219">
        <f>IF(AND($B17&lt;&gt;0,AR17=""),"* No olvide ingresar la variable Pueblos Originarios. Digite CERO si no tiene. ",IF(AR17&gt;$B17,"* La variable Pueblos Originarios no puede superar el Total Ambos Sexos. ",""))</f>
        <v/>
      </c>
      <c r="CD17" s="219">
        <f>IF(AND($B17&lt;&gt;0,AS17=""),"* No olvide ingresar la variable Migrantes. Digite CERO si no tiene.  ",IF(AS17&gt;$B17,"* La variable Migrantes no puede superar el Total Ambos Sexos. ",""))</f>
        <v/>
      </c>
      <c r="CE17" s="226" t="n"/>
      <c r="CL17" s="226" t="n"/>
      <c r="CM17" s="261">
        <f>IF(AM17+AN17+AO17+AP17&lt;&gt;$B17,1,0)</f>
        <v/>
      </c>
      <c r="CN17" s="378">
        <f>IF(AND($B17&lt;&gt;0,AQ17=""),1,IF(AQ17&gt;$B17,1,0))</f>
        <v/>
      </c>
      <c r="CO17" s="378">
        <f>IF(AND($B17&lt;&gt;0,AR17=""),1,IF(AR17&gt;$B17,1,0))</f>
        <v/>
      </c>
      <c r="CP17" s="378">
        <f>IF(AND($B17&lt;&gt;0,AS17=""),1,IF(AS17&gt;$B17,1,0))</f>
        <v/>
      </c>
    </row>
    <row r="18" ht="15" customHeight="1" s="8286">
      <c r="A18" s="1144" t="inlineStr">
        <is>
          <t>Ingresos con PTI cuidador</t>
        </is>
      </c>
      <c r="B18" s="3885">
        <f>SUM(C18:D18)</f>
        <v/>
      </c>
      <c r="C18" s="4159">
        <f>SUM(E18,G18,I18,K18,M18,O18,Q18,S18,U18,W18,Y18,AA18,AC18,AE18,AG18,AI18,AK18)</f>
        <v/>
      </c>
      <c r="D18" s="7764">
        <f>SUM(F18,H18,J18,L18,N18,P18,R18,T18,V18,X18,Z18,AB18,AD18,AF18,AH18,AJ18,AL18)</f>
        <v/>
      </c>
      <c r="E18" s="4042" t="n"/>
      <c r="F18" s="2671" t="n"/>
      <c r="G18" s="4047" t="n"/>
      <c r="H18" s="360" t="n"/>
      <c r="I18" s="4047" t="n"/>
      <c r="J18" s="360" t="n"/>
      <c r="K18" s="1172" t="n"/>
      <c r="L18" s="886" t="n"/>
      <c r="M18" s="1172" t="n"/>
      <c r="N18" s="886" t="n"/>
      <c r="O18" s="2644" t="n"/>
      <c r="P18" s="183" t="n"/>
      <c r="Q18" s="2644" t="n"/>
      <c r="R18" s="183" t="n"/>
      <c r="S18" s="2644" t="n"/>
      <c r="T18" s="183" t="n"/>
      <c r="U18" s="2644" t="n"/>
      <c r="V18" s="183" t="n"/>
      <c r="W18" s="2644" t="n"/>
      <c r="X18" s="183" t="n"/>
      <c r="Y18" s="2644" t="n"/>
      <c r="Z18" s="183" t="n"/>
      <c r="AA18" s="2644" t="n"/>
      <c r="AB18" s="183" t="n"/>
      <c r="AC18" s="2644" t="n"/>
      <c r="AD18" s="183" t="n"/>
      <c r="AE18" s="2644" t="n"/>
      <c r="AF18" s="183" t="n"/>
      <c r="AG18" s="2644" t="n"/>
      <c r="AH18" s="183" t="n"/>
      <c r="AI18" s="2644" t="n"/>
      <c r="AJ18" s="183" t="n"/>
      <c r="AK18" s="2644" t="n"/>
      <c r="AL18" s="176" t="n"/>
      <c r="AM18" s="3898" t="n"/>
      <c r="AN18" s="155" t="n"/>
      <c r="AO18" s="155" t="n"/>
      <c r="AP18" s="3899" t="n"/>
      <c r="AQ18" s="5249" t="n"/>
      <c r="AR18" s="1223" t="n"/>
      <c r="AS18" s="1192" t="n"/>
      <c r="AT18" s="218">
        <f>CA18&amp;CB18&amp;CC18&amp;CD18</f>
        <v/>
      </c>
      <c r="BY18" s="226" t="n"/>
      <c r="BZ18" s="226" t="n"/>
      <c r="CA18" s="219">
        <f>IF(AM18+AN18+AO18+AP18&lt;&gt;$B18,"* La suma de "&amp;AM$10&amp;""&amp;" no puede ser distinto del Total Ambos Sexos. ","")</f>
        <v/>
      </c>
      <c r="CB18" s="219">
        <f>IF(AND($B18&lt;&gt;0,AQ18=""),"* No olvide ingresar la variable Personas con discapacidad (con RND). Digite Cero si no tiene. ",IF(AQ18&gt;$B18,"* La variable Personas con discapacidad (con RND) no puede superar el Total Ambos Sexos. ",""))</f>
        <v/>
      </c>
      <c r="CC18" s="219">
        <f>IF(AND($B18&lt;&gt;0,AR18=""),"* No olvide ingresar la variable Pueblos Originarios. Digite CERO si no tiene. ",IF(AR18&gt;$B18,"* La variable Pueblos Originarios no puede superar el Total Ambos Sexos. ",""))</f>
        <v/>
      </c>
      <c r="CD18" s="219">
        <f>IF(AND($B18&lt;&gt;0,AS18=""),"* No olvide ingresar la variable Migrantes. Digite CERO si no tiene.  ",IF(AS18&gt;$B18,"* La variable Migrantes no puede superar el Total Ambos Sexos. ",""))</f>
        <v/>
      </c>
      <c r="CE18" s="226" t="n"/>
      <c r="CL18" s="226" t="n"/>
      <c r="CM18" s="261">
        <f>IF(AM18+AN18+AO18+AP18&lt;&gt;$B18,1,0)</f>
        <v/>
      </c>
      <c r="CN18" s="378">
        <f>IF(AND($B18&lt;&gt;0,AQ18=""),1,IF(AQ18&gt;$B18,1,0))</f>
        <v/>
      </c>
      <c r="CO18" s="378">
        <f>IF(AND($B18&lt;&gt;0,AR18=""),1,IF(AR18&gt;$B18,1,0))</f>
        <v/>
      </c>
      <c r="CP18" s="378">
        <f>IF(AND($B18&lt;&gt;0,AS18=""),1,IF(AS18&gt;$B18,1,0))</f>
        <v/>
      </c>
    </row>
    <row r="19" ht="15" customHeight="1" s="8286">
      <c r="A19" s="4143" t="inlineStr">
        <is>
          <t>Egresos</t>
        </is>
      </c>
      <c r="B19" s="3885">
        <f>SUM(C19:D19)</f>
        <v/>
      </c>
      <c r="C19" s="3858">
        <f>SUM(E19,G19,I19,K19,M19,O19,Q19,S19,U19,W19,Y19,AA19,AC19,AE19,AG19,AI19,AK19)</f>
        <v/>
      </c>
      <c r="D19" s="4146">
        <f>SUM(F19,H19,J19,L19,N19,P19,R19,T19,V19,X19,Z19,AB19,AD19,AF19,AH19,AJ19,AL19)</f>
        <v/>
      </c>
      <c r="E19" s="4144">
        <f>SUM(E20:E24)</f>
        <v/>
      </c>
      <c r="F19" s="4146">
        <f>SUM(F20:F24)</f>
        <v/>
      </c>
      <c r="G19" s="4144">
        <f>SUM(G20:G24)</f>
        <v/>
      </c>
      <c r="H19" s="4160">
        <f>SUM(H20:H24)</f>
        <v/>
      </c>
      <c r="I19" s="4144">
        <f>SUM(I20:I24)</f>
        <v/>
      </c>
      <c r="J19" s="4160">
        <f>SUM(J20:J24)</f>
        <v/>
      </c>
      <c r="K19" s="4144">
        <f>SUM(K20:K24)</f>
        <v/>
      </c>
      <c r="L19" s="4160">
        <f>SUM(L20:L24)</f>
        <v/>
      </c>
      <c r="M19" s="4144">
        <f>SUM(M20:M24)</f>
        <v/>
      </c>
      <c r="N19" s="4160">
        <f>SUM(N20:N24)</f>
        <v/>
      </c>
      <c r="O19" s="4144">
        <f>SUM(O20:O24)</f>
        <v/>
      </c>
      <c r="P19" s="4160">
        <f>SUM(P20:P24)</f>
        <v/>
      </c>
      <c r="Q19" s="4144">
        <f>SUM(Q20:Q24)</f>
        <v/>
      </c>
      <c r="R19" s="4160">
        <f>SUM(R20:R24)</f>
        <v/>
      </c>
      <c r="S19" s="4144">
        <f>SUM(S20:S24)</f>
        <v/>
      </c>
      <c r="T19" s="4160">
        <f>SUM(T20:T24)</f>
        <v/>
      </c>
      <c r="U19" s="4144">
        <f>SUM(U20:U24)</f>
        <v/>
      </c>
      <c r="V19" s="4160">
        <f>SUM(V20:V24)</f>
        <v/>
      </c>
      <c r="W19" s="4144">
        <f>SUM(W20:W24)</f>
        <v/>
      </c>
      <c r="X19" s="4160">
        <f>SUM(X20:X24)</f>
        <v/>
      </c>
      <c r="Y19" s="4144">
        <f>SUM(Y20:Y24)</f>
        <v/>
      </c>
      <c r="Z19" s="4160">
        <f>SUM(Z20:Z24)</f>
        <v/>
      </c>
      <c r="AA19" s="4144">
        <f>SUM(AA20:AA24)</f>
        <v/>
      </c>
      <c r="AB19" s="4160">
        <f>SUM(AB20:AB24)</f>
        <v/>
      </c>
      <c r="AC19" s="4144">
        <f>SUM(AC20:AC24)</f>
        <v/>
      </c>
      <c r="AD19" s="4160">
        <f>SUM(AD20:AD24)</f>
        <v/>
      </c>
      <c r="AE19" s="4144">
        <f>SUM(AE20:AE24)</f>
        <v/>
      </c>
      <c r="AF19" s="4160">
        <f>SUM(AF20:AF24)</f>
        <v/>
      </c>
      <c r="AG19" s="4144">
        <f>SUM(AG20:AG24)</f>
        <v/>
      </c>
      <c r="AH19" s="4160">
        <f>SUM(AH20:AH24)</f>
        <v/>
      </c>
      <c r="AI19" s="4144">
        <f>SUM(AI20:AI24)</f>
        <v/>
      </c>
      <c r="AJ19" s="4160">
        <f>SUM(AJ20:AJ24)</f>
        <v/>
      </c>
      <c r="AK19" s="4144">
        <f>SUM(AK20:AK24)</f>
        <v/>
      </c>
      <c r="AL19" s="4161">
        <f>SUM(AL20:AL24)</f>
        <v/>
      </c>
      <c r="AM19" s="4162">
        <f>SUM(AM20:AM24)</f>
        <v/>
      </c>
      <c r="AN19" s="4163">
        <f>SUM(AN20:AN24)</f>
        <v/>
      </c>
      <c r="AO19" s="4163">
        <f>SUM(AO20:AO24)</f>
        <v/>
      </c>
      <c r="AP19" s="4164">
        <f>SUM(AP20:AP24)</f>
        <v/>
      </c>
      <c r="AQ19" s="5471">
        <f>SUM(AQ20:AQ24)</f>
        <v/>
      </c>
      <c r="AR19" s="5472">
        <f>SUM(AR20:AR24)</f>
        <v/>
      </c>
      <c r="AS19" s="4146">
        <f>SUM(AS20:AS24)</f>
        <v/>
      </c>
      <c r="AT19" s="116" t="n"/>
      <c r="BY19" s="226" t="n"/>
      <c r="BZ19" s="226" t="n"/>
      <c r="CA19" s="226" t="n"/>
      <c r="CB19" s="226" t="n"/>
      <c r="CC19" s="226" t="n"/>
      <c r="CD19" s="226" t="n"/>
      <c r="CE19" s="226" t="n"/>
      <c r="CL19" s="226" t="n"/>
    </row>
    <row r="20" ht="15" customHeight="1" s="8286">
      <c r="A20" s="4165" t="inlineStr">
        <is>
          <t>Egresos por alta</t>
        </is>
      </c>
      <c r="B20" s="1344">
        <f>SUM(C20:D20)</f>
        <v/>
      </c>
      <c r="C20" s="1343">
        <f>SUM(E20,G20,I20,K20,M20,O20,Q20,S20,U20,W20,Y20,AA20,AC20,AE20,AG20,AI20,AK20)</f>
        <v/>
      </c>
      <c r="D20" s="3945">
        <f>SUM(F20,H20,J20,L20,N20,P20,R20,T20,V20,X20,Z20,AB20,AD20,AF20,AH20,AJ20,AL20)</f>
        <v/>
      </c>
      <c r="E20" s="1179" t="n"/>
      <c r="F20" s="1180" t="n"/>
      <c r="G20" s="1179" t="n"/>
      <c r="H20" s="1183" t="n"/>
      <c r="I20" s="1179" t="n"/>
      <c r="J20" s="1183" t="n"/>
      <c r="K20" s="1179" t="n"/>
      <c r="L20" s="1183" t="n"/>
      <c r="M20" s="1179" t="n"/>
      <c r="N20" s="1183" t="n"/>
      <c r="O20" s="1179" t="n"/>
      <c r="P20" s="1183" t="n"/>
      <c r="Q20" s="1179" t="n"/>
      <c r="R20" s="1183" t="n"/>
      <c r="S20" s="1179" t="n"/>
      <c r="T20" s="1183" t="n"/>
      <c r="U20" s="1179" t="n"/>
      <c r="V20" s="1183" t="n"/>
      <c r="W20" s="1179" t="n"/>
      <c r="X20" s="1183" t="n"/>
      <c r="Y20" s="1179" t="n"/>
      <c r="Z20" s="1183" t="n"/>
      <c r="AA20" s="1179" t="n"/>
      <c r="AB20" s="1183" t="n"/>
      <c r="AC20" s="1179" t="n"/>
      <c r="AD20" s="1183" t="n"/>
      <c r="AE20" s="1179" t="n"/>
      <c r="AF20" s="1183" t="n"/>
      <c r="AG20" s="1179" t="n"/>
      <c r="AH20" s="1183" t="n"/>
      <c r="AI20" s="1179" t="n"/>
      <c r="AJ20" s="1183" t="n"/>
      <c r="AK20" s="1179" t="n"/>
      <c r="AL20" s="1185" t="n"/>
      <c r="AM20" s="3903" t="n"/>
      <c r="AN20" s="1228" t="n"/>
      <c r="AO20" s="1228" t="n"/>
      <c r="AP20" s="1231" t="n"/>
      <c r="AQ20" s="5458" t="n"/>
      <c r="AR20" s="5456" t="n"/>
      <c r="AS20" s="3784" t="n"/>
      <c r="AT20" s="218">
        <f>CA20&amp;CB20&amp;CC20&amp;CD20</f>
        <v/>
      </c>
      <c r="BY20" s="226" t="n"/>
      <c r="BZ20" s="226" t="n"/>
      <c r="CA20" s="219">
        <f>IF(AM20+AN20+AO20+AP20&lt;&gt;$B20,"* La suma de "&amp;AM$10&amp;""&amp;" no puede ser distinto del Total Ambos Sexos. ","")</f>
        <v/>
      </c>
      <c r="CB20" s="219">
        <f>IF(AND($B20&lt;&gt;0,AQ20=""),"* No olvide ingresar la variable Personas con discapacidad (con RND). Digite Cero si no tiene. ",IF(AQ20&gt;$B20,"* La variable Personas con discapacidad (con RND) no puede superar el Total Ambos Sexos. ",""))</f>
        <v/>
      </c>
      <c r="CC20" s="219">
        <f>IF(AND($B20&lt;&gt;0,AR20=""),"* No olvide ingresar la variable Pueblos Originarios. Digite CERO si no tiene. ",IF(AR20&gt;$B20,"* La variable Pueblos Originarios no puede superar el Total Ambos Sexos. ",""))</f>
        <v/>
      </c>
      <c r="CD20" s="219">
        <f>IF(AND($B20&lt;&gt;0,AS20=""),"* No olvide ingresar la variable Migrantes. Digite CERO si no tiene.  ",IF(AS20&gt;$B20,"* La variable Migrantes no puede superar el Total Ambos Sexos. ",""))</f>
        <v/>
      </c>
      <c r="CE20" s="226" t="n"/>
      <c r="CL20" s="226" t="n"/>
      <c r="CM20" s="261">
        <f>IF(AM20+AN20+AO20+AP20&lt;&gt;$B20,1,0)</f>
        <v/>
      </c>
      <c r="CN20" s="378">
        <f>IF(AND($B20&lt;&gt;0,AQ20=""),1,IF(AQ20&gt;$B20,1,0))</f>
        <v/>
      </c>
      <c r="CO20" s="378">
        <f>IF(AND($B20&lt;&gt;0,AR20=""),1,IF(AR20&gt;$B20,1,0))</f>
        <v/>
      </c>
      <c r="CP20" s="378">
        <f>IF(AND($B20&lt;&gt;0,AS20=""),1,IF(AS20&gt;$B20,1,0))</f>
        <v/>
      </c>
    </row>
    <row r="21" ht="15" customHeight="1" s="8286">
      <c r="A21" s="1144" t="inlineStr">
        <is>
          <t>Egresos por abandono</t>
        </is>
      </c>
      <c r="B21" s="2309">
        <f>SUM(C21:D21)</f>
        <v/>
      </c>
      <c r="C21" s="3856">
        <f>SUM(E21,G21,I21,K21,M21,O21,Q21,S21,U21,W21,Y21,AA21,AC21,AE21,AG21,AI21,AK21)</f>
        <v/>
      </c>
      <c r="D21" s="4158">
        <f>SUM(F21,H21,J21,L21,N21,P21,R21,T21,V21,X21,Z21,AB21,AD21,AF21,AH21,AJ21,AL21)</f>
        <v/>
      </c>
      <c r="E21" s="1172" t="n"/>
      <c r="F21" s="3788" t="n"/>
      <c r="G21" s="1172" t="n"/>
      <c r="H21" s="886" t="n"/>
      <c r="I21" s="1172" t="n"/>
      <c r="J21" s="886" t="n"/>
      <c r="K21" s="1172" t="n"/>
      <c r="L21" s="886" t="n"/>
      <c r="M21" s="1172" t="n"/>
      <c r="N21" s="886" t="n"/>
      <c r="O21" s="1172" t="n"/>
      <c r="P21" s="886" t="n"/>
      <c r="Q21" s="1172" t="n"/>
      <c r="R21" s="886" t="n"/>
      <c r="S21" s="1172" t="n"/>
      <c r="T21" s="886" t="n"/>
      <c r="U21" s="1172" t="n"/>
      <c r="V21" s="886" t="n"/>
      <c r="W21" s="1172" t="n"/>
      <c r="X21" s="886" t="n"/>
      <c r="Y21" s="1172" t="n"/>
      <c r="Z21" s="886" t="n"/>
      <c r="AA21" s="1172" t="n"/>
      <c r="AB21" s="886" t="n"/>
      <c r="AC21" s="1172" t="n"/>
      <c r="AD21" s="886" t="n"/>
      <c r="AE21" s="1172" t="n"/>
      <c r="AF21" s="886" t="n"/>
      <c r="AG21" s="1172" t="n"/>
      <c r="AH21" s="886" t="n"/>
      <c r="AI21" s="1172" t="n"/>
      <c r="AJ21" s="886" t="n"/>
      <c r="AK21" s="1172" t="n"/>
      <c r="AL21" s="1929" t="n"/>
      <c r="AM21" s="887" t="n"/>
      <c r="AN21" s="2001" t="n"/>
      <c r="AO21" s="2001" t="n"/>
      <c r="AP21" s="3894" t="n"/>
      <c r="AQ21" s="5215" t="n"/>
      <c r="AR21" s="3892" t="n"/>
      <c r="AS21" s="3788" t="n"/>
      <c r="AT21" s="218">
        <f>CA21&amp;CB21&amp;CC21&amp;CD21</f>
        <v/>
      </c>
      <c r="BY21" s="226" t="n"/>
      <c r="BZ21" s="226" t="n"/>
      <c r="CA21" s="219">
        <f>IF(AM21+AN21+AO21+AP21&lt;&gt;$B21,"* La suma de "&amp;AM$10&amp;""&amp;" no puede ser distinto del Total Ambos Sexos. ","")</f>
        <v/>
      </c>
      <c r="CB21" s="219">
        <f>IF(AND($B21&lt;&gt;0,AQ21=""),"* No olvide ingresar la variable Personas con discapacidad (con RND). Digite Cero si no tiene. ",IF(AQ21&gt;$B21,"* La variable Personas con discapacidad (con RND) no puede superar el Total Ambos Sexos. ",""))</f>
        <v/>
      </c>
      <c r="CC21" s="219">
        <f>IF(AND($B21&lt;&gt;0,AR21=""),"* No olvide ingresar la variable Pueblos Originarios. Digite CERO si no tiene. ",IF(AR21&gt;$B21,"* La variable Pueblos Originarios no puede superar el Total Ambos Sexos. ",""))</f>
        <v/>
      </c>
      <c r="CD21" s="219">
        <f>IF(AND($B21&lt;&gt;0,AS21=""),"* No olvide ingresar la variable Migrantes. Digite CERO si no tiene.  ",IF(AS21&gt;$B21,"* La variable Migrantes no puede superar el Total Ambos Sexos. ",""))</f>
        <v/>
      </c>
      <c r="CE21" s="226" t="n"/>
      <c r="CL21" s="226" t="n"/>
      <c r="CM21" s="261">
        <f>IF(AM21+AN21+AO21+AP21&lt;&gt;$B21,1,0)</f>
        <v/>
      </c>
      <c r="CN21" s="378">
        <f>IF(AND($B21&lt;&gt;0,AQ21=""),1,IF(AQ21&gt;$B21,1,0))</f>
        <v/>
      </c>
      <c r="CO21" s="378">
        <f>IF(AND($B21&lt;&gt;0,AR21=""),1,IF(AR21&gt;$B21,1,0))</f>
        <v/>
      </c>
      <c r="CP21" s="378">
        <f>IF(AND($B21&lt;&gt;0,AS21=""),1,IF(AS21&gt;$B21,1,0))</f>
        <v/>
      </c>
    </row>
    <row r="22" ht="15" customHeight="1" s="8286">
      <c r="A22" s="1145" t="inlineStr">
        <is>
          <t>Egresos por fallecimiento</t>
        </is>
      </c>
      <c r="B22" s="654">
        <f>SUM(C22:D22)</f>
        <v/>
      </c>
      <c r="C22" s="265">
        <f>SUM(E22,G22,I22,K22,M22,O22,Q22,S22,U22,W22,Y22,AA22,AC22,AE22,AG22,AI22,AK22)</f>
        <v/>
      </c>
      <c r="D22" s="4166">
        <f>SUM(F22,H22,J22,L22,N22,P22,R22,T22,V22,X22,Z22,AB22,AD22,AF22,AH22,AJ22,AL22)</f>
        <v/>
      </c>
      <c r="E22" s="645" t="n"/>
      <c r="F22" s="2057" t="n"/>
      <c r="G22" s="645" t="n"/>
      <c r="H22" s="3933" t="n"/>
      <c r="I22" s="645" t="n"/>
      <c r="J22" s="3933" t="n"/>
      <c r="K22" s="645" t="n"/>
      <c r="L22" s="3933" t="n"/>
      <c r="M22" s="645" t="n"/>
      <c r="N22" s="3933" t="n"/>
      <c r="O22" s="645" t="n"/>
      <c r="P22" s="3933" t="n"/>
      <c r="Q22" s="645" t="n"/>
      <c r="R22" s="3933" t="n"/>
      <c r="S22" s="645" t="n"/>
      <c r="T22" s="3933" t="n"/>
      <c r="U22" s="645" t="n"/>
      <c r="V22" s="3933" t="n"/>
      <c r="W22" s="645" t="n"/>
      <c r="X22" s="3933" t="n"/>
      <c r="Y22" s="645" t="n"/>
      <c r="Z22" s="3933" t="n"/>
      <c r="AA22" s="645" t="n"/>
      <c r="AB22" s="3933" t="n"/>
      <c r="AC22" s="645" t="n"/>
      <c r="AD22" s="3933" t="n"/>
      <c r="AE22" s="645" t="n"/>
      <c r="AF22" s="3933" t="n"/>
      <c r="AG22" s="645" t="n"/>
      <c r="AH22" s="3933" t="n"/>
      <c r="AI22" s="645" t="n"/>
      <c r="AJ22" s="3933" t="n"/>
      <c r="AK22" s="645" t="n"/>
      <c r="AL22" s="3905" t="n"/>
      <c r="AM22" s="42" t="n"/>
      <c r="AN22" s="145" t="n"/>
      <c r="AO22" s="145" t="n"/>
      <c r="AP22" s="43" t="n"/>
      <c r="AQ22" s="5247" t="n"/>
      <c r="AR22" s="670" t="n"/>
      <c r="AS22" s="2057" t="n"/>
      <c r="AT22" s="218">
        <f>CA22&amp;CB22&amp;CC22&amp;CD22</f>
        <v/>
      </c>
      <c r="BY22" s="226" t="n"/>
      <c r="BZ22" s="226" t="n"/>
      <c r="CA22" s="219">
        <f>IF(AM22+AN22+AO22+AP22&lt;&gt;$B22,"* La suma de "&amp;AM$10&amp;""&amp;" no puede ser distinto del Total Ambos Sexos. ","")</f>
        <v/>
      </c>
      <c r="CB22" s="219">
        <f>IF(AND($B22&lt;&gt;0,AQ22=""),"* No olvide ingresar la variable Personas con discapacidad (con RND). Digite Cero si no tiene. ",IF(AQ22&gt;$B22,"* La variable Personas con discapacidad (con RND) no puede superar el Total Ambos Sexos. ",""))</f>
        <v/>
      </c>
      <c r="CC22" s="219">
        <f>IF(AND($B22&lt;&gt;0,AR22=""),"* No olvide ingresar la variable Pueblos Originarios. Digite CERO si no tiene. ",IF(AR22&gt;$B22,"* La variable Pueblos Originarios no puede superar el Total Ambos Sexos. ",""))</f>
        <v/>
      </c>
      <c r="CD22" s="219">
        <f>IF(AND($B22&lt;&gt;0,AS22=""),"* No olvide ingresar la variable Migrantes. Digite CERO si no tiene.  ",IF(AS22&gt;$B22,"* La variable Migrantes no puede superar el Total Ambos Sexos. ",""))</f>
        <v/>
      </c>
      <c r="CE22" s="226" t="n"/>
      <c r="CL22" s="226" t="n"/>
      <c r="CM22" s="261">
        <f>IF(AM22+AN22+AO22+AP22&lt;&gt;$B22,1,0)</f>
        <v/>
      </c>
      <c r="CN22" s="378">
        <f>IF(AND($B22&lt;&gt;0,AQ22=""),1,IF(AQ22&gt;$B22,1,0))</f>
        <v/>
      </c>
      <c r="CO22" s="378">
        <f>IF(AND($B22&lt;&gt;0,AR22=""),1,IF(AR22&gt;$B22,1,0))</f>
        <v/>
      </c>
      <c r="CP22" s="378">
        <f>IF(AND($B22&lt;&gt;0,AS22=""),1,IF(AS22&gt;$B22,1,0))</f>
        <v/>
      </c>
    </row>
    <row r="23" ht="15" customHeight="1" s="8286">
      <c r="A23" s="4167" t="inlineStr">
        <is>
          <t>Egresos por otras causas</t>
        </is>
      </c>
      <c r="B23" s="2309">
        <f>SUM(C23:D23)</f>
        <v/>
      </c>
      <c r="C23" s="3856">
        <f>SUM(E23,G23,I23,K23,M23,O23,Q23,S23,U23,W23,Y23,AA23,AC23,AE23,AG23,AI23,AK23)</f>
        <v/>
      </c>
      <c r="D23" s="4158">
        <f>SUM(F23,H23,J23,L23,N23,P23,R23,T23,V23,X23,Z23,AB23,AD23,AF23,AH23,AJ23,AL23)</f>
        <v/>
      </c>
      <c r="E23" s="1172" t="n"/>
      <c r="F23" s="3788" t="n"/>
      <c r="G23" s="1172" t="n"/>
      <c r="H23" s="886" t="n"/>
      <c r="I23" s="1172" t="n"/>
      <c r="J23" s="886" t="n"/>
      <c r="K23" s="1172" t="n"/>
      <c r="L23" s="886" t="n"/>
      <c r="M23" s="1172" t="n"/>
      <c r="N23" s="886" t="n"/>
      <c r="O23" s="1172" t="n"/>
      <c r="P23" s="886" t="n"/>
      <c r="Q23" s="1172" t="n"/>
      <c r="R23" s="886" t="n"/>
      <c r="S23" s="1172" t="n"/>
      <c r="T23" s="886" t="n"/>
      <c r="U23" s="1172" t="n"/>
      <c r="V23" s="886" t="n"/>
      <c r="W23" s="1172" t="n"/>
      <c r="X23" s="886" t="n"/>
      <c r="Y23" s="1172" t="n"/>
      <c r="Z23" s="886" t="n"/>
      <c r="AA23" s="1172" t="n"/>
      <c r="AB23" s="886" t="n"/>
      <c r="AC23" s="1172" t="n"/>
      <c r="AD23" s="886" t="n"/>
      <c r="AE23" s="1172" t="n"/>
      <c r="AF23" s="886" t="n"/>
      <c r="AG23" s="1172" t="n"/>
      <c r="AH23" s="886" t="n"/>
      <c r="AI23" s="1172" t="n"/>
      <c r="AJ23" s="886" t="n"/>
      <c r="AK23" s="1172" t="n"/>
      <c r="AL23" s="1929" t="n"/>
      <c r="AM23" s="887" t="n"/>
      <c r="AN23" s="2001" t="n"/>
      <c r="AO23" s="2001" t="n"/>
      <c r="AP23" s="3894" t="n"/>
      <c r="AQ23" s="5215" t="n"/>
      <c r="AR23" s="3892" t="n"/>
      <c r="AS23" s="3788" t="n"/>
      <c r="AT23" s="218">
        <f>CA23&amp;CB23&amp;CC23&amp;CD23</f>
        <v/>
      </c>
      <c r="BY23" s="226" t="n"/>
      <c r="BZ23" s="226" t="n"/>
      <c r="CA23" s="219">
        <f>IF(AM23+AN23+AO23+AP23&lt;&gt;$B23,"* La suma de "&amp;AM$10&amp;""&amp;" no puede ser distinto del Total Ambos Sexos. ","")</f>
        <v/>
      </c>
      <c r="CB23" s="219">
        <f>IF(AND($B23&lt;&gt;0,AQ23=""),"* No olvide ingresar la variable Personas con discapacidad (con RND). Digite Cero si no tiene. ",IF(AQ23&gt;$B23,"* La variable Personas con discapacidad (con RND) no puede superar el Total Ambos Sexos. ",""))</f>
        <v/>
      </c>
      <c r="CC23" s="219">
        <f>IF(AND($B23&lt;&gt;0,AR23=""),"* No olvide ingresar la variable Pueblos Originarios. Digite CERO si no tiene. ",IF(AR23&gt;$B23,"* La variable Pueblos Originarios no puede superar el Total Ambos Sexos. ",""))</f>
        <v/>
      </c>
      <c r="CD23" s="219">
        <f>IF(AND($B23&lt;&gt;0,AS23=""),"* No olvide ingresar la variable Migrantes. Digite CERO si no tiene.  ",IF(AS23&gt;$B23,"* La variable Migrantes no puede superar el Total Ambos Sexos. ",""))</f>
        <v/>
      </c>
      <c r="CE23" s="226" t="n"/>
      <c r="CL23" s="226" t="n"/>
      <c r="CM23" s="261">
        <f>IF(AM23+AN23+AO23+AP23&lt;&gt;$B23,1,0)</f>
        <v/>
      </c>
      <c r="CN23" s="378">
        <f>IF(AND($B23&lt;&gt;0,AQ23=""),1,IF(AQ23&gt;$B23,1,0))</f>
        <v/>
      </c>
      <c r="CO23" s="378">
        <f>IF(AND($B23&lt;&gt;0,AR23=""),1,IF(AR23&gt;$B23,1,0))</f>
        <v/>
      </c>
      <c r="CP23" s="378">
        <f>IF(AND($B23&lt;&gt;0,AS23=""),1,IF(AS23&gt;$B23,1,0))</f>
        <v/>
      </c>
    </row>
    <row r="24" ht="15" customHeight="1" s="8286">
      <c r="A24" s="3709" t="inlineStr">
        <is>
          <t>Egresos con PTI cuidador</t>
        </is>
      </c>
      <c r="B24" s="3885">
        <f>SUM(C24:D24)</f>
        <v/>
      </c>
      <c r="C24" s="3858">
        <f>SUM(E24,G24,I24,K24,M24,O24,Q24,S24,U24,W24,Y24,AA24,AC24,AE24,AG24,AI24,AK24)</f>
        <v/>
      </c>
      <c r="D24" s="2562">
        <f>SUM(F24,H24,J24,L24,N24,P24,R24,T24,V24,X24,Z24,AB24,AD24,AF24,AH24,AJ24,AL24)</f>
        <v/>
      </c>
      <c r="E24" s="2644" t="n"/>
      <c r="F24" s="2645" t="n"/>
      <c r="G24" s="2644" t="n"/>
      <c r="H24" s="183" t="n"/>
      <c r="I24" s="2644" t="n"/>
      <c r="J24" s="183" t="n"/>
      <c r="K24" s="2644" t="n"/>
      <c r="L24" s="183" t="n"/>
      <c r="M24" s="2644" t="n"/>
      <c r="N24" s="183" t="n"/>
      <c r="O24" s="2644" t="n"/>
      <c r="P24" s="183" t="n"/>
      <c r="Q24" s="2644" t="n"/>
      <c r="R24" s="183" t="n"/>
      <c r="S24" s="2644" t="n"/>
      <c r="T24" s="183" t="n"/>
      <c r="U24" s="2644" t="n"/>
      <c r="V24" s="183" t="n"/>
      <c r="W24" s="2644" t="n"/>
      <c r="X24" s="183" t="n"/>
      <c r="Y24" s="2644" t="n"/>
      <c r="Z24" s="183" t="n"/>
      <c r="AA24" s="2644" t="n"/>
      <c r="AB24" s="183" t="n"/>
      <c r="AC24" s="2644" t="n"/>
      <c r="AD24" s="183" t="n"/>
      <c r="AE24" s="2644" t="n"/>
      <c r="AF24" s="183" t="n"/>
      <c r="AG24" s="2644" t="n"/>
      <c r="AH24" s="183" t="n"/>
      <c r="AI24" s="2644" t="n"/>
      <c r="AJ24" s="183" t="n"/>
      <c r="AK24" s="2644" t="n"/>
      <c r="AL24" s="176" t="n"/>
      <c r="AM24" s="159" t="n"/>
      <c r="AN24" s="155" t="n"/>
      <c r="AO24" s="155" t="n"/>
      <c r="AP24" s="2647" t="n"/>
      <c r="AQ24" s="5360" t="n"/>
      <c r="AR24" s="5362" t="n"/>
      <c r="AS24" s="2645" t="n"/>
      <c r="AT24" s="218">
        <f>CA24&amp;CB24&amp;CC24&amp;CD24</f>
        <v/>
      </c>
      <c r="BY24" s="226" t="n"/>
      <c r="BZ24" s="226" t="n"/>
      <c r="CA24" s="219">
        <f>IF(AM24+AN24+AO24+AP24&lt;&gt;$B24,"* La suma de "&amp;AM$10&amp;""&amp;" no puede ser distinto del Total Ambos Sexos. ","")</f>
        <v/>
      </c>
      <c r="CB24" s="219">
        <f>IF(AND($B24&lt;&gt;0,AQ24=""),"* No olvide ingresar la variable Personas con discapacidad (con RND). Digite Cero si no tiene. ",IF(AQ24&gt;$B24,"* La variable Personas con discapacidad (con RND) no puede superar el Total Ambos Sexos. ",""))</f>
        <v/>
      </c>
      <c r="CC24" s="219">
        <f>IF(AND($B24&lt;&gt;0,AR24=""),"* No olvide ingresar la variable Pueblos Originarios. Digite CERO si no tiene. ",IF(AR24&gt;$B24,"* La variable Pueblos Originarios no puede superar el Total Ambos Sexos. ",""))</f>
        <v/>
      </c>
      <c r="CD24" s="219">
        <f>IF(AND($B24&lt;&gt;0,AS24=""),"* No olvide ingresar la variable Migrantes. Digite CERO si no tiene.  ",IF(AS24&gt;$B24,"* La variable Migrantes no puede superar el Total Ambos Sexos. ",""))</f>
        <v/>
      </c>
      <c r="CE24" s="226" t="n"/>
      <c r="CL24" s="226" t="n"/>
      <c r="CM24" s="261">
        <f>IF(AM24+AN24+AO24+AP24&lt;&gt;$B24,1,0)</f>
        <v/>
      </c>
      <c r="CN24" s="378">
        <f>IF(AND($B24&lt;&gt;0,AQ24=""),1,IF(AQ24&gt;$B24,1,0))</f>
        <v/>
      </c>
      <c r="CO24" s="378">
        <f>IF(AND($B24&lt;&gt;0,AR24=""),1,IF(AR24&gt;$B24,1,0))</f>
        <v/>
      </c>
      <c r="CP24" s="378">
        <f>IF(AND($B24&lt;&gt;0,AS24=""),1,IF(AS24&gt;$B24,1,0))</f>
        <v/>
      </c>
    </row>
    <row r="25" ht="18" customHeight="1" s="8286">
      <c r="A25" s="657" t="inlineStr">
        <is>
          <t>SECCIÓN A.2: INGRESOS POR CONDICIÓN DE SALUD</t>
        </is>
      </c>
      <c r="B25" s="646" t="n"/>
      <c r="C25" s="7" t="n"/>
      <c r="D25" s="5" t="n"/>
      <c r="E25" s="7" t="n"/>
      <c r="F25" s="7" t="n"/>
      <c r="G25" s="7" t="n"/>
      <c r="H25" s="7" t="n"/>
      <c r="I25" s="7" t="n"/>
      <c r="J25" s="7" t="n"/>
      <c r="K25" s="7" t="n"/>
      <c r="L25" s="7" t="n"/>
      <c r="M25" s="7" t="n"/>
      <c r="N25" s="7" t="n"/>
      <c r="O25" s="7" t="n"/>
      <c r="P25" s="7" t="n"/>
      <c r="Q25" s="7" t="n"/>
      <c r="R25" s="7" t="n"/>
      <c r="S25" s="7" t="n"/>
      <c r="T25" s="7" t="n"/>
      <c r="U25" s="7" t="n"/>
      <c r="V25" s="7" t="n"/>
      <c r="W25" s="7" t="n"/>
      <c r="X25" s="7" t="n"/>
      <c r="Y25" s="7" t="n"/>
      <c r="Z25" s="7" t="n"/>
      <c r="AA25" s="7" t="n"/>
      <c r="AB25" s="7" t="n"/>
      <c r="AC25" s="7" t="n"/>
      <c r="AD25" s="7" t="n"/>
      <c r="AE25" s="7" t="n"/>
      <c r="AF25" s="7" t="n"/>
      <c r="AG25" s="7" t="n"/>
      <c r="AH25" s="7" t="n"/>
      <c r="AI25" s="7" t="n"/>
      <c r="AJ25" s="7" t="n"/>
      <c r="AK25" s="7" t="n"/>
      <c r="AL25" s="7" t="n"/>
      <c r="AM25" s="7" t="n"/>
      <c r="AN25" s="7" t="n"/>
      <c r="AO25" s="7" t="n"/>
      <c r="AP25" s="7" t="n"/>
      <c r="AQ25" s="7" t="n"/>
    </row>
    <row r="26">
      <c r="A26" s="10250" t="inlineStr">
        <is>
          <t>CONDICIÓN DE SALUD</t>
        </is>
      </c>
      <c r="B26" s="9939" t="inlineStr">
        <is>
          <t>TOTAL</t>
        </is>
      </c>
      <c r="C26" s="9602" t="n"/>
      <c r="D26" s="9630" t="n"/>
      <c r="E26" s="9915" t="inlineStr">
        <is>
          <t>RANGO ETARIO Y SEXO</t>
        </is>
      </c>
      <c r="F26" s="9584" t="n"/>
      <c r="G26" s="9584" t="n"/>
      <c r="H26" s="9584" t="n"/>
      <c r="I26" s="9584" t="n"/>
      <c r="J26" s="9584" t="n"/>
      <c r="K26" s="9584" t="n"/>
      <c r="L26" s="9584" t="n"/>
      <c r="M26" s="9584" t="n"/>
      <c r="N26" s="9584" t="n"/>
      <c r="O26" s="9584" t="n"/>
      <c r="P26" s="9584" t="n"/>
      <c r="Q26" s="9584" t="n"/>
      <c r="R26" s="9584" t="n"/>
      <c r="S26" s="9584" t="n"/>
      <c r="T26" s="9584" t="n"/>
      <c r="U26" s="9584" t="n"/>
      <c r="V26" s="9584" t="n"/>
      <c r="W26" s="9584" t="n"/>
      <c r="X26" s="9584" t="n"/>
      <c r="Y26" s="9584" t="n"/>
      <c r="Z26" s="9584" t="n"/>
      <c r="AA26" s="9584" t="n"/>
      <c r="AB26" s="9584" t="n"/>
      <c r="AC26" s="9584" t="n"/>
      <c r="AD26" s="9584" t="n"/>
      <c r="AE26" s="9584" t="n"/>
      <c r="AF26" s="9584" t="n"/>
      <c r="AG26" s="9584" t="n"/>
      <c r="AH26" s="9584" t="n"/>
      <c r="AI26" s="9584" t="n"/>
      <c r="AJ26" s="9584" t="n"/>
      <c r="AK26" s="9584" t="n"/>
      <c r="AL26" s="9595" t="n"/>
      <c r="AM26" s="10568" t="inlineStr">
        <is>
          <t xml:space="preserve">TIPO DE ESTRATEGIA </t>
        </is>
      </c>
      <c r="AN26" s="9617" t="n"/>
      <c r="AO26" s="9617" t="n"/>
      <c r="AP26" s="9648" t="n"/>
      <c r="BZ26" s="20" t="n"/>
    </row>
    <row r="27" ht="15" customHeight="1" s="8286">
      <c r="A27" s="9625" t="n"/>
      <c r="B27" s="9638" t="n"/>
      <c r="C27" s="9697" t="n"/>
      <c r="D27" s="9639" t="n"/>
      <c r="E27" s="8400" t="inlineStr">
        <is>
          <t>0 a 4 años</t>
        </is>
      </c>
      <c r="F27" s="9582" t="n"/>
      <c r="G27" s="8400" t="inlineStr">
        <is>
          <t>5 a 9 años</t>
        </is>
      </c>
      <c r="H27" s="9582" t="n"/>
      <c r="I27" s="8400" t="inlineStr">
        <is>
          <t>10 - 14</t>
        </is>
      </c>
      <c r="J27" s="9582" t="n"/>
      <c r="K27" s="8400" t="inlineStr">
        <is>
          <t xml:space="preserve">15 - 19 </t>
        </is>
      </c>
      <c r="L27" s="9582" t="n"/>
      <c r="M27" s="8400" t="inlineStr">
        <is>
          <t xml:space="preserve">20 - 24 </t>
        </is>
      </c>
      <c r="N27" s="9582" t="n"/>
      <c r="O27" s="8400" t="inlineStr">
        <is>
          <t>25-29</t>
        </is>
      </c>
      <c r="P27" s="9582" t="n"/>
      <c r="Q27" s="8400" t="inlineStr">
        <is>
          <t>30-34</t>
        </is>
      </c>
      <c r="R27" s="9582" t="n"/>
      <c r="S27" s="8400" t="inlineStr">
        <is>
          <t>35 - 39</t>
        </is>
      </c>
      <c r="T27" s="9582" t="n"/>
      <c r="U27" s="8400" t="inlineStr">
        <is>
          <t>40 - 44</t>
        </is>
      </c>
      <c r="V27" s="9582" t="n"/>
      <c r="W27" s="8400" t="inlineStr">
        <is>
          <t>45- 49</t>
        </is>
      </c>
      <c r="X27" s="9582" t="n"/>
      <c r="Y27" s="8400" t="inlineStr">
        <is>
          <t>50 - 54</t>
        </is>
      </c>
      <c r="Z27" s="9582" t="n"/>
      <c r="AA27" s="8400" t="inlineStr">
        <is>
          <t>55 - 59</t>
        </is>
      </c>
      <c r="AB27" s="9582" t="n"/>
      <c r="AC27" s="8400" t="inlineStr">
        <is>
          <t>60 - 64</t>
        </is>
      </c>
      <c r="AD27" s="9582" t="n"/>
      <c r="AE27" s="8400" t="inlineStr">
        <is>
          <t>65 - 69</t>
        </is>
      </c>
      <c r="AF27" s="9582" t="n"/>
      <c r="AG27" s="8400" t="inlineStr">
        <is>
          <t>70 - 74</t>
        </is>
      </c>
      <c r="AH27" s="9582" t="n"/>
      <c r="AI27" s="8400" t="inlineStr">
        <is>
          <t>75 - 79</t>
        </is>
      </c>
      <c r="AJ27" s="9582" t="n"/>
      <c r="AK27" s="10095" t="inlineStr">
        <is>
          <t>80 y más años</t>
        </is>
      </c>
      <c r="AL27" s="9584" t="n"/>
      <c r="AM27" s="10569" t="inlineStr">
        <is>
          <t>Rehabilitación NNA</t>
        </is>
      </c>
      <c r="AN27" s="9280" t="inlineStr">
        <is>
          <t>Rehabilitación Integral APS</t>
        </is>
      </c>
      <c r="AO27" s="10567" t="inlineStr">
        <is>
          <t xml:space="preserve">Otros Rehabilitación </t>
        </is>
      </c>
      <c r="AP27" s="10570" t="inlineStr">
        <is>
          <t>Rehabilitación móvil (rural)</t>
        </is>
      </c>
      <c r="BZ27" s="20" t="n"/>
    </row>
    <row r="28">
      <c r="A28" s="9641" t="n"/>
      <c r="B28" s="4140" t="inlineStr">
        <is>
          <t>Ambos Sexos</t>
        </is>
      </c>
      <c r="C28" s="4141" t="inlineStr">
        <is>
          <t>Hombres</t>
        </is>
      </c>
      <c r="D28" s="9162" t="inlineStr">
        <is>
          <t>Mujeres</t>
        </is>
      </c>
      <c r="E28" s="4140" t="inlineStr">
        <is>
          <t>Hombres</t>
        </is>
      </c>
      <c r="F28" s="9162" t="inlineStr">
        <is>
          <t>Mujeres</t>
        </is>
      </c>
      <c r="G28" s="4140" t="inlineStr">
        <is>
          <t>Hombres</t>
        </is>
      </c>
      <c r="H28" s="9162" t="inlineStr">
        <is>
          <t>Mujeres</t>
        </is>
      </c>
      <c r="I28" s="4140" t="inlineStr">
        <is>
          <t>Hombres</t>
        </is>
      </c>
      <c r="J28" s="9162" t="inlineStr">
        <is>
          <t>Mujeres</t>
        </is>
      </c>
      <c r="K28" s="4140" t="inlineStr">
        <is>
          <t>Hombres</t>
        </is>
      </c>
      <c r="L28" s="9162" t="inlineStr">
        <is>
          <t>Mujeres</t>
        </is>
      </c>
      <c r="M28" s="4141" t="inlineStr">
        <is>
          <t>Hombres</t>
        </is>
      </c>
      <c r="N28" s="9162" t="inlineStr">
        <is>
          <t>Mujeres</t>
        </is>
      </c>
      <c r="O28" s="4140" t="inlineStr">
        <is>
          <t>Hombres</t>
        </is>
      </c>
      <c r="P28" s="9162" t="inlineStr">
        <is>
          <t>Mujeres</t>
        </is>
      </c>
      <c r="Q28" s="4140" t="inlineStr">
        <is>
          <t>Hombres</t>
        </is>
      </c>
      <c r="R28" s="9162" t="inlineStr">
        <is>
          <t>Mujeres</t>
        </is>
      </c>
      <c r="S28" s="4140" t="inlineStr">
        <is>
          <t>Hombres</t>
        </is>
      </c>
      <c r="T28" s="9162" t="inlineStr">
        <is>
          <t>Mujeres</t>
        </is>
      </c>
      <c r="U28" s="4140" t="inlineStr">
        <is>
          <t>Hombres</t>
        </is>
      </c>
      <c r="V28" s="9162" t="inlineStr">
        <is>
          <t>Mujeres</t>
        </is>
      </c>
      <c r="W28" s="4140" t="inlineStr">
        <is>
          <t>Hombres</t>
        </is>
      </c>
      <c r="X28" s="9162" t="inlineStr">
        <is>
          <t>Mujeres</t>
        </is>
      </c>
      <c r="Y28" s="4140" t="inlineStr">
        <is>
          <t>Hombres</t>
        </is>
      </c>
      <c r="Z28" s="9162" t="inlineStr">
        <is>
          <t>Mujeres</t>
        </is>
      </c>
      <c r="AA28" s="4140" t="inlineStr">
        <is>
          <t>Hombres</t>
        </is>
      </c>
      <c r="AB28" s="9162" t="inlineStr">
        <is>
          <t>Mujeres</t>
        </is>
      </c>
      <c r="AC28" s="4140" t="inlineStr">
        <is>
          <t>Hombres</t>
        </is>
      </c>
      <c r="AD28" s="9162" t="inlineStr">
        <is>
          <t>Mujeres</t>
        </is>
      </c>
      <c r="AE28" s="4140" t="inlineStr">
        <is>
          <t>Hombres</t>
        </is>
      </c>
      <c r="AF28" s="9162" t="inlineStr">
        <is>
          <t>Mujeres</t>
        </is>
      </c>
      <c r="AG28" s="4140" t="inlineStr">
        <is>
          <t>Hombres</t>
        </is>
      </c>
      <c r="AH28" s="9162" t="inlineStr">
        <is>
          <t>Mujeres</t>
        </is>
      </c>
      <c r="AI28" s="4140" t="inlineStr">
        <is>
          <t>Hombres</t>
        </is>
      </c>
      <c r="AJ28" s="9162" t="inlineStr">
        <is>
          <t>Mujeres</t>
        </is>
      </c>
      <c r="AK28" s="4140" t="inlineStr">
        <is>
          <t>Hombres</t>
        </is>
      </c>
      <c r="AL28" s="8671" t="inlineStr">
        <is>
          <t>Mujeres</t>
        </is>
      </c>
      <c r="AM28" s="10088" t="n"/>
      <c r="AN28" s="9870" t="n"/>
      <c r="AO28" s="9605" t="n"/>
      <c r="AP28" s="9705" t="n"/>
      <c r="BZ28" s="20" t="n"/>
      <c r="CM28" s="925">
        <f>IF(B29&lt;&gt;SUM(B30:B52),1,0)</f>
        <v/>
      </c>
    </row>
    <row r="29">
      <c r="A29" s="4168" t="inlineStr">
        <is>
          <t>Total ingreso (N° de personas)</t>
        </is>
      </c>
      <c r="B29" s="4169">
        <f>SUM(C29:D29)</f>
        <v/>
      </c>
      <c r="C29" s="4170">
        <f>+E29+G29+I29+K29+M29+O29+Q29+S29+U29+W29+Y29+AA29+AC29+AE29+AG29+AI29+AK29</f>
        <v/>
      </c>
      <c r="D29" s="4171">
        <f>+F29+H29+J29+L29+N29+P29+R29+T29+V29+X29+Z29+AB29+AD29+AF29+AH29+AJ29+AL29</f>
        <v/>
      </c>
      <c r="E29" s="4172" t="n"/>
      <c r="F29" s="4173" t="n"/>
      <c r="G29" s="4172" t="n"/>
      <c r="H29" s="4174" t="n"/>
      <c r="I29" s="4172" t="n"/>
      <c r="J29" s="4174" t="n"/>
      <c r="K29" s="4172" t="n"/>
      <c r="L29" s="4173" t="n"/>
      <c r="M29" s="4175" t="n"/>
      <c r="N29" s="4174" t="n"/>
      <c r="O29" s="4175" t="n"/>
      <c r="P29" s="4174" t="n"/>
      <c r="Q29" s="4175" t="n"/>
      <c r="R29" s="4174" t="n"/>
      <c r="S29" s="4175" t="n"/>
      <c r="T29" s="4174" t="n"/>
      <c r="U29" s="4175" t="n"/>
      <c r="V29" s="4174" t="n"/>
      <c r="W29" s="4175" t="n"/>
      <c r="X29" s="4174" t="n"/>
      <c r="Y29" s="4175" t="n"/>
      <c r="Z29" s="4174" t="n"/>
      <c r="AA29" s="4175" t="n"/>
      <c r="AB29" s="4174" t="n"/>
      <c r="AC29" s="4175" t="n"/>
      <c r="AD29" s="4174" t="n"/>
      <c r="AE29" s="4175" t="n"/>
      <c r="AF29" s="4174" t="n"/>
      <c r="AG29" s="4175" t="n"/>
      <c r="AH29" s="4174" t="n"/>
      <c r="AI29" s="4175" t="n"/>
      <c r="AJ29" s="4174" t="n"/>
      <c r="AK29" s="4175" t="n"/>
      <c r="AL29" s="4176" t="n"/>
      <c r="AM29" s="4177" t="n"/>
      <c r="AN29" s="4175" t="n"/>
      <c r="AO29" s="4175" t="n"/>
      <c r="AP29" s="4174" t="n"/>
      <c r="AQ29" s="218">
        <f>CB29&amp;CA29&amp;CC29&amp;CD29&amp;CE29&amp;CF29</f>
        <v/>
      </c>
      <c r="BV29" s="226" t="n"/>
      <c r="BW29" s="226" t="n"/>
      <c r="BX29" s="226" t="n"/>
      <c r="BY29" s="226" t="n"/>
      <c r="CA29" s="910">
        <f>IF(CM28=1,"* Existen Condiciones de Salud que son mayores al Total de Ingreso (N° Personas). ","")</f>
        <v/>
      </c>
      <c r="CB29" s="910">
        <f>IF(CM29=1," * El total de Ingresos debe ser igual a la suma de los Tipos de Estrategia. ","")</f>
        <v/>
      </c>
      <c r="CC29" s="513">
        <f>IF(CN29=1,"* Existen Condiciones de Salud en la variable Rehabilitación NNA que son Mayores a los Ingreso (N° Personas). ","")</f>
        <v/>
      </c>
      <c r="CD29" s="513">
        <f>IF(CO29=1,"* Existen Condiciones de Salud en la variable Rehabilitación Integral APS que son Mayores a los Ingreso (N° Personas). ","")</f>
        <v/>
      </c>
      <c r="CE29" s="513">
        <f>IF(CP29=1,"* Existen Condiciones de Salud en la variable Otros Rehabilitación que son Mayores a los Ingreso (N° Personas). ","")</f>
        <v/>
      </c>
      <c r="CF29" s="513">
        <f>IF(CQ29=1,"* Existen Condiciones de Salud en la variable Rehabilitación móvil (rural) que son Mayores a los Ingreso (N° Personas). ","")</f>
        <v/>
      </c>
      <c r="CM29" s="378">
        <f>IF(SUM(AM29:AP29)=B29,0,1)</f>
        <v/>
      </c>
      <c r="CN29" s="378">
        <f>IF($AM29&lt;MAX($AM30:$AM50),1,0)</f>
        <v/>
      </c>
      <c r="CO29" s="378">
        <f>IF(AN29&lt;MAX(AN30:AN50),1,0)</f>
        <v/>
      </c>
      <c r="CP29" s="378">
        <f>IF(AO29&lt;MAX(AO30:AO50),1,0)</f>
        <v/>
      </c>
      <c r="CQ29" s="378">
        <f>IF(AP29&lt;MAX(AP30:AP50),1,0)</f>
        <v/>
      </c>
    </row>
    <row r="30">
      <c r="A30" s="4178" t="inlineStr">
        <is>
          <t>Dolor cervical agudo</t>
        </is>
      </c>
      <c r="B30" s="3878">
        <f>SUM(C30:D30)</f>
        <v/>
      </c>
      <c r="C30" s="4179">
        <f>+E30+G30+I30+K30+M30+O30+Q30+S30+U30+W30+Y30+AA30+AC30+AE30+AG30+AI30+AK30</f>
        <v/>
      </c>
      <c r="D30" s="4180">
        <f>+F30+H30+J30+L30+N30+P30+R30+T30+V30+X30+Z30+AB30+AD30+AF30+AH30+AJ30+AL30</f>
        <v/>
      </c>
      <c r="E30" s="1971" t="n"/>
      <c r="F30" s="750" t="n"/>
      <c r="G30" s="1971" t="n"/>
      <c r="H30" s="3649" t="n"/>
      <c r="I30" s="1971" t="n"/>
      <c r="J30" s="3649" t="n"/>
      <c r="K30" s="1971" t="n"/>
      <c r="L30" s="750" t="n"/>
      <c r="M30" s="1452" t="n"/>
      <c r="N30" s="3649" t="n"/>
      <c r="O30" s="1452" t="n"/>
      <c r="P30" s="3649" t="n"/>
      <c r="Q30" s="1452" t="n"/>
      <c r="R30" s="3649" t="n"/>
      <c r="S30" s="1452" t="n"/>
      <c r="T30" s="3649" t="n"/>
      <c r="U30" s="1452" t="n"/>
      <c r="V30" s="3649" t="n"/>
      <c r="W30" s="1452" t="n"/>
      <c r="X30" s="3649" t="n"/>
      <c r="Y30" s="1452" t="n"/>
      <c r="Z30" s="3649" t="n"/>
      <c r="AA30" s="1452" t="n"/>
      <c r="AB30" s="3649" t="n"/>
      <c r="AC30" s="1452" t="n"/>
      <c r="AD30" s="3649" t="n"/>
      <c r="AE30" s="1452" t="n"/>
      <c r="AF30" s="3649" t="n"/>
      <c r="AG30" s="1452" t="n"/>
      <c r="AH30" s="3649" t="n"/>
      <c r="AI30" s="1452" t="n"/>
      <c r="AJ30" s="3649" t="n"/>
      <c r="AK30" s="1452" t="n"/>
      <c r="AL30" s="22" t="n"/>
      <c r="AM30" s="2687" t="n"/>
      <c r="AN30" s="1452" t="n"/>
      <c r="AO30" s="1452" t="n"/>
      <c r="AP30" s="3649" t="n"/>
      <c r="AQ30" s="218">
        <f>CA30&amp;CB30&amp;CC30&amp;CD30&amp;CE30&amp;CF30</f>
        <v/>
      </c>
      <c r="BV30" s="226" t="n"/>
      <c r="BW30" s="226" t="n"/>
      <c r="BX30" s="226" t="n"/>
      <c r="BY30" s="226" t="n"/>
      <c r="CA30" s="226" t="n"/>
      <c r="CB30" s="910">
        <f>IF(CM30=1," * El total de Ingresos debe ser igual a la suma de los Tipos de Estrategia. ","")</f>
        <v/>
      </c>
      <c r="CC30" s="8337" t="n"/>
      <c r="CD30" s="8337" t="n"/>
      <c r="CE30" s="8337" t="n"/>
      <c r="CF30" s="8337" t="n"/>
      <c r="CM30" s="378">
        <f>IF(SUM(AM30:AP30)=B30,0,1)</f>
        <v/>
      </c>
      <c r="CN30" s="226" t="n"/>
      <c r="CO30" s="226" t="n"/>
      <c r="CP30" s="226" t="n"/>
    </row>
    <row r="31">
      <c r="A31" s="4178" t="inlineStr">
        <is>
          <t>Dolor lumbar agudo</t>
        </is>
      </c>
      <c r="B31" s="4181">
        <f>SUM(C31:D31)</f>
        <v/>
      </c>
      <c r="C31" s="3653">
        <f>+E31+G31+I31+K31+M31+O31+Q31+S31+U31+W31+Y31+AA31+AC31+AE31+AG31+AI31+AK31</f>
        <v/>
      </c>
      <c r="D31" s="3654">
        <f>+F31+H31+J31+L31+N31+P31+R31+T31+V31+X31+Z31+AB31+AD31+AF31+AH31+AJ31+AL31</f>
        <v/>
      </c>
      <c r="E31" s="1124" t="n"/>
      <c r="F31" s="878" t="n"/>
      <c r="G31" s="1124" t="n"/>
      <c r="H31" s="3656" t="n"/>
      <c r="I31" s="1124" t="n"/>
      <c r="J31" s="3656" t="n"/>
      <c r="K31" s="1124" t="n"/>
      <c r="L31" s="878" t="n"/>
      <c r="M31" s="3658" t="n"/>
      <c r="N31" s="3656" t="n"/>
      <c r="O31" s="3658" t="n"/>
      <c r="P31" s="3656" t="n"/>
      <c r="Q31" s="3658" t="n"/>
      <c r="R31" s="3656" t="n"/>
      <c r="S31" s="3658" t="n"/>
      <c r="T31" s="3656" t="n"/>
      <c r="U31" s="3658" t="n"/>
      <c r="V31" s="3656" t="n"/>
      <c r="W31" s="3658" t="n"/>
      <c r="X31" s="3656" t="n"/>
      <c r="Y31" s="3658" t="n"/>
      <c r="Z31" s="3656" t="n"/>
      <c r="AA31" s="3658" t="n"/>
      <c r="AB31" s="3656" t="n"/>
      <c r="AC31" s="3658" t="n"/>
      <c r="AD31" s="3656" t="n"/>
      <c r="AE31" s="3658" t="n"/>
      <c r="AF31" s="3656" t="n"/>
      <c r="AG31" s="3658" t="n"/>
      <c r="AH31" s="3656" t="n"/>
      <c r="AI31" s="3658" t="n"/>
      <c r="AJ31" s="3656" t="n"/>
      <c r="AK31" s="3658" t="n"/>
      <c r="AL31" s="3660" t="n"/>
      <c r="AM31" s="2688" t="n"/>
      <c r="AN31" s="3658" t="n"/>
      <c r="AO31" s="3658" t="n"/>
      <c r="AP31" s="3656" t="n"/>
      <c r="AQ31" s="218">
        <f>CA31&amp;CB31</f>
        <v/>
      </c>
      <c r="BV31" s="226" t="n"/>
      <c r="BW31" s="226" t="n"/>
      <c r="BX31" s="226" t="n"/>
      <c r="BY31" s="226" t="n"/>
      <c r="CA31" s="226" t="n"/>
      <c r="CB31" s="910">
        <f>IF(CM31=1," * El total de Ingresos debe ser igual a la suma de los Tipos de Estrategia. ","")</f>
        <v/>
      </c>
      <c r="CC31" s="8337" t="n"/>
      <c r="CD31" s="8337" t="n"/>
      <c r="CE31" s="8337" t="n"/>
      <c r="CF31" s="8337" t="n"/>
      <c r="CM31" s="378">
        <f>IF(SUM(AM31:AP31)=B31,0,1)</f>
        <v/>
      </c>
      <c r="CN31" s="374" t="n"/>
      <c r="CO31" s="374" t="n"/>
      <c r="CP31" s="374" t="n"/>
    </row>
    <row r="32">
      <c r="A32" s="4182" t="inlineStr">
        <is>
          <t>Hombro doloroso agudo</t>
        </is>
      </c>
      <c r="B32" s="1254">
        <f>SUM(C32:D32)</f>
        <v/>
      </c>
      <c r="C32" s="3653">
        <f>+E32+G32+I32+K32+M32+O32+Q32+S32+U32+W32+Y32+AA32+AC32+AE32+AG32+AI32+AK32</f>
        <v/>
      </c>
      <c r="D32" s="3654">
        <f>+F32+H32+J32+L32+N32+P32+R32+T32+V32+X32+Z32+AB32+AD32+AF32+AH32+AJ32+AL32</f>
        <v/>
      </c>
      <c r="E32" s="1124" t="n"/>
      <c r="F32" s="878" t="n"/>
      <c r="G32" s="1124" t="n"/>
      <c r="H32" s="3656" t="n"/>
      <c r="I32" s="1124" t="n"/>
      <c r="J32" s="3656" t="n"/>
      <c r="K32" s="1124" t="n"/>
      <c r="L32" s="878" t="n"/>
      <c r="M32" s="3658" t="n"/>
      <c r="N32" s="3656" t="n"/>
      <c r="O32" s="3658" t="n"/>
      <c r="P32" s="3656" t="n"/>
      <c r="Q32" s="3658" t="n"/>
      <c r="R32" s="3656" t="n"/>
      <c r="S32" s="3658" t="n"/>
      <c r="T32" s="3656" t="n"/>
      <c r="U32" s="3658" t="n"/>
      <c r="V32" s="3656" t="n"/>
      <c r="W32" s="3658" t="n"/>
      <c r="X32" s="3656" t="n"/>
      <c r="Y32" s="3658" t="n"/>
      <c r="Z32" s="3656" t="n"/>
      <c r="AA32" s="3658" t="n"/>
      <c r="AB32" s="3656" t="n"/>
      <c r="AC32" s="3658" t="n"/>
      <c r="AD32" s="3656" t="n"/>
      <c r="AE32" s="3658" t="n"/>
      <c r="AF32" s="3656" t="n"/>
      <c r="AG32" s="3658" t="n"/>
      <c r="AH32" s="3656" t="n"/>
      <c r="AI32" s="3658" t="n"/>
      <c r="AJ32" s="3656" t="n"/>
      <c r="AK32" s="3658" t="n"/>
      <c r="AL32" s="3660" t="n"/>
      <c r="AM32" s="2688" t="n"/>
      <c r="AN32" s="3658" t="n"/>
      <c r="AO32" s="3658" t="n"/>
      <c r="AP32" s="3656" t="n"/>
      <c r="AQ32" s="218">
        <f>CA32&amp;CB32</f>
        <v/>
      </c>
      <c r="BV32" s="226" t="n"/>
      <c r="BW32" s="226" t="n"/>
      <c r="BX32" s="226" t="n"/>
      <c r="BY32" s="226" t="n"/>
      <c r="CA32" s="226" t="n"/>
      <c r="CB32" s="910">
        <f>IF(CM32=1," * El total de Ingresos debe ser igual a la suma de los Tipos de Estrategia. ","")</f>
        <v/>
      </c>
      <c r="CC32" s="8337" t="n"/>
      <c r="CD32" s="8337" t="n"/>
      <c r="CE32" s="8337" t="n"/>
      <c r="CF32" s="8337" t="n"/>
      <c r="CM32" s="378">
        <f>IF(SUM(AM32:AP32)=B32,0,1)</f>
        <v/>
      </c>
      <c r="CN32" s="374" t="n"/>
      <c r="CO32" s="374" t="n"/>
      <c r="CP32" s="374" t="n"/>
    </row>
    <row r="33">
      <c r="A33" s="4182" t="inlineStr">
        <is>
          <t>Otro dolor musculoesquelético agudo</t>
        </is>
      </c>
      <c r="B33" s="1254">
        <f>SUM(C33:D33)</f>
        <v/>
      </c>
      <c r="C33" s="3653">
        <f>+E33+G33+I33+K33+M33+O33+Q33+S33+U33+W33+Y33+AA33+AC33+AE33+AG33+AI33+AK33</f>
        <v/>
      </c>
      <c r="D33" s="3654">
        <f>+F33+H33+J33+L33+N33+P33+R33+T33+V33+X33+Z33+AB33+AD33+AF33+AH33+AJ33+AL33</f>
        <v/>
      </c>
      <c r="E33" s="1124" t="n"/>
      <c r="F33" s="878" t="n"/>
      <c r="G33" s="1124" t="n"/>
      <c r="H33" s="3656" t="n"/>
      <c r="I33" s="1124" t="n"/>
      <c r="J33" s="3656" t="n"/>
      <c r="K33" s="1124" t="n"/>
      <c r="L33" s="878" t="n"/>
      <c r="M33" s="3658" t="n"/>
      <c r="N33" s="3656" t="n"/>
      <c r="O33" s="3658" t="n"/>
      <c r="P33" s="3656" t="n"/>
      <c r="Q33" s="3658" t="n"/>
      <c r="R33" s="3656" t="n"/>
      <c r="S33" s="3658" t="n"/>
      <c r="T33" s="3656" t="n"/>
      <c r="U33" s="3658" t="n"/>
      <c r="V33" s="3656" t="n"/>
      <c r="W33" s="3658" t="n"/>
      <c r="X33" s="3656" t="n"/>
      <c r="Y33" s="3658" t="n"/>
      <c r="Z33" s="3656" t="n"/>
      <c r="AA33" s="3658" t="n"/>
      <c r="AB33" s="3656" t="n"/>
      <c r="AC33" s="3658" t="n"/>
      <c r="AD33" s="3656" t="n"/>
      <c r="AE33" s="3658" t="n"/>
      <c r="AF33" s="3656" t="n"/>
      <c r="AG33" s="3658" t="n"/>
      <c r="AH33" s="3656" t="n"/>
      <c r="AI33" s="3658" t="n"/>
      <c r="AJ33" s="3656" t="n"/>
      <c r="AK33" s="3658" t="n"/>
      <c r="AL33" s="3660" t="n"/>
      <c r="AM33" s="2688" t="n"/>
      <c r="AN33" s="3658" t="n"/>
      <c r="AO33" s="3658" t="n"/>
      <c r="AP33" s="3656" t="n"/>
      <c r="AQ33" s="218">
        <f>CA33&amp;CB33</f>
        <v/>
      </c>
      <c r="BV33" s="226" t="n"/>
      <c r="BW33" s="226" t="n"/>
      <c r="BX33" s="226" t="n"/>
      <c r="BY33" s="226" t="n"/>
      <c r="CA33" s="226" t="n"/>
      <c r="CB33" s="910">
        <f>IF(CM33=1," * El total de Ingresos debe ser igual a la suma de los Tipos de Estrategia. ","")</f>
        <v/>
      </c>
      <c r="CC33" s="8337" t="n"/>
      <c r="CD33" s="8337" t="n"/>
      <c r="CE33" s="8337" t="n"/>
      <c r="CF33" s="8337" t="n"/>
      <c r="CM33" s="378">
        <f>IF(SUM(AM33:AP33)=B33,0,1)</f>
        <v/>
      </c>
      <c r="CN33" s="374" t="n"/>
      <c r="CO33" s="374" t="n"/>
      <c r="CP33" s="374" t="n"/>
    </row>
    <row r="34">
      <c r="A34" s="4182" t="inlineStr">
        <is>
          <t>Artrosis de rodilla y cadera</t>
        </is>
      </c>
      <c r="B34" s="1254">
        <f>SUM(C34:D34)</f>
        <v/>
      </c>
      <c r="C34" s="3653">
        <f>+E34+G34+I34+K34+M34+O34+Q34+S34+U34+W34+Y34+AA34+AC34+AE34+AG34+AI34+AK34</f>
        <v/>
      </c>
      <c r="D34" s="3654">
        <f>+F34+H34+J34+L34+N34+P34+R34+T34+V34+X34+Z34+AB34+AD34+AF34+AH34+AJ34+AL34</f>
        <v/>
      </c>
      <c r="E34" s="1124" t="n"/>
      <c r="F34" s="878" t="n"/>
      <c r="G34" s="1124" t="n"/>
      <c r="H34" s="3656" t="n"/>
      <c r="I34" s="1124" t="n"/>
      <c r="J34" s="3656" t="n"/>
      <c r="K34" s="1124" t="n"/>
      <c r="L34" s="878" t="n"/>
      <c r="M34" s="3658" t="n"/>
      <c r="N34" s="3656" t="n"/>
      <c r="O34" s="3658" t="n"/>
      <c r="P34" s="3656" t="n"/>
      <c r="Q34" s="3658" t="n"/>
      <c r="R34" s="3656" t="n"/>
      <c r="S34" s="3658" t="n"/>
      <c r="T34" s="3656" t="n"/>
      <c r="U34" s="3658" t="n"/>
      <c r="V34" s="3656" t="n"/>
      <c r="W34" s="3658" t="n"/>
      <c r="X34" s="3656" t="n"/>
      <c r="Y34" s="3658" t="n"/>
      <c r="Z34" s="3656" t="n"/>
      <c r="AA34" s="3658" t="n"/>
      <c r="AB34" s="3656" t="n"/>
      <c r="AC34" s="3658" t="n"/>
      <c r="AD34" s="3656" t="n"/>
      <c r="AE34" s="3658" t="n"/>
      <c r="AF34" s="3656" t="n"/>
      <c r="AG34" s="3658" t="n"/>
      <c r="AH34" s="3656" t="n"/>
      <c r="AI34" s="3658" t="n"/>
      <c r="AJ34" s="3656" t="n"/>
      <c r="AK34" s="3658" t="n"/>
      <c r="AL34" s="3660" t="n"/>
      <c r="AM34" s="2688" t="n"/>
      <c r="AN34" s="3658" t="n"/>
      <c r="AO34" s="3658" t="n"/>
      <c r="AP34" s="3656" t="n"/>
      <c r="AQ34" s="218">
        <f>CA34&amp;CB34</f>
        <v/>
      </c>
      <c r="BV34" s="226" t="n"/>
      <c r="BW34" s="226" t="n"/>
      <c r="BX34" s="226" t="n"/>
      <c r="BY34" s="226" t="n"/>
      <c r="CA34" s="226" t="n"/>
      <c r="CB34" s="910">
        <f>IF(CM34=1," * El total de Ingresos debe ser igual a la suma de los Tipos de Estrategia. ","")</f>
        <v/>
      </c>
      <c r="CC34" s="8337" t="n"/>
      <c r="CD34" s="8337" t="n"/>
      <c r="CE34" s="8337" t="n"/>
      <c r="CF34" s="8337" t="n"/>
      <c r="CM34" s="378">
        <f>IF(SUM(AM34:AP34)=B34,0,1)</f>
        <v/>
      </c>
      <c r="CN34" s="374" t="n"/>
      <c r="CO34" s="374" t="n"/>
      <c r="CP34" s="374" t="n"/>
    </row>
    <row r="35">
      <c r="A35" s="4182" t="inlineStr">
        <is>
          <t>Artritis reumatoidea</t>
        </is>
      </c>
      <c r="B35" s="1254">
        <f>SUM(C35:D35)</f>
        <v/>
      </c>
      <c r="C35" s="3653">
        <f>+E35+G35+I35+K35+M35+O35+Q35+S35+U35+W35+Y35+AA35+AC35+AE35+AG35+AI35+AK35</f>
        <v/>
      </c>
      <c r="D35" s="3654">
        <f>+F35+H35+J35+L35+N35+P35+R35+T35+V35+X35+Z35+AB35+AD35+AF35+AH35+AJ35+AL35</f>
        <v/>
      </c>
      <c r="E35" s="1124" t="n"/>
      <c r="F35" s="878" t="n"/>
      <c r="G35" s="1124" t="n"/>
      <c r="H35" s="3656" t="n"/>
      <c r="I35" s="1124" t="n"/>
      <c r="J35" s="3656" t="n"/>
      <c r="K35" s="1124" t="n"/>
      <c r="L35" s="878" t="n"/>
      <c r="M35" s="3658" t="n"/>
      <c r="N35" s="3656" t="n"/>
      <c r="O35" s="3658" t="n"/>
      <c r="P35" s="3656" t="n"/>
      <c r="Q35" s="3658" t="n"/>
      <c r="R35" s="3656" t="n"/>
      <c r="S35" s="3658" t="n"/>
      <c r="T35" s="3656" t="n"/>
      <c r="U35" s="3658" t="n"/>
      <c r="V35" s="3656" t="n"/>
      <c r="W35" s="3658" t="n"/>
      <c r="X35" s="3656" t="n"/>
      <c r="Y35" s="3658" t="n"/>
      <c r="Z35" s="3656" t="n"/>
      <c r="AA35" s="3658" t="n"/>
      <c r="AB35" s="3656" t="n"/>
      <c r="AC35" s="3658" t="n"/>
      <c r="AD35" s="3656" t="n"/>
      <c r="AE35" s="3658" t="n"/>
      <c r="AF35" s="3656" t="n"/>
      <c r="AG35" s="3658" t="n"/>
      <c r="AH35" s="3656" t="n"/>
      <c r="AI35" s="3658" t="n"/>
      <c r="AJ35" s="3656" t="n"/>
      <c r="AK35" s="3658" t="n"/>
      <c r="AL35" s="3660" t="n"/>
      <c r="AM35" s="2688" t="n"/>
      <c r="AN35" s="3658" t="n"/>
      <c r="AO35" s="3658" t="n"/>
      <c r="AP35" s="3656" t="n"/>
      <c r="AQ35" s="218">
        <f>CA35&amp;CB35</f>
        <v/>
      </c>
      <c r="BV35" s="226" t="n"/>
      <c r="BW35" s="226" t="n"/>
      <c r="BX35" s="226" t="n"/>
      <c r="BY35" s="226" t="n"/>
      <c r="CA35" s="226" t="n"/>
      <c r="CB35" s="910">
        <f>IF(CM35=1," * El total de Ingresos debe ser igual a la suma de los Tipos de Estrategia. ","")</f>
        <v/>
      </c>
      <c r="CC35" s="8337" t="n"/>
      <c r="CD35" s="8337" t="n"/>
      <c r="CE35" s="8337" t="n"/>
      <c r="CF35" s="8337" t="n"/>
      <c r="CM35" s="378">
        <f>IF(SUM(AM35:AP35)=B35,0,1)</f>
        <v/>
      </c>
      <c r="CN35" s="374" t="n"/>
      <c r="CO35" s="374" t="n"/>
      <c r="CP35" s="374" t="n"/>
    </row>
    <row r="36">
      <c r="A36" s="4183" t="inlineStr">
        <is>
          <t>Otro dolor musculoesquelético crónico</t>
        </is>
      </c>
      <c r="B36" s="2491">
        <f>SUM(C36:D36)</f>
        <v/>
      </c>
      <c r="C36" s="3653">
        <f>+E36+G36+I36+K36+M36+O36+Q36+S36+U36+W36+Y36+AA36+AC36+AE36+AG36+AI36+AK36</f>
        <v/>
      </c>
      <c r="D36" s="3654">
        <f>+F36+H36+J36+L36+N36+P36+R36+T36+V36+X36+Z36+AB36+AD36+AF36+AH36+AJ36+AL36</f>
        <v/>
      </c>
      <c r="E36" s="1124" t="n"/>
      <c r="F36" s="878" t="n"/>
      <c r="G36" s="1124" t="n"/>
      <c r="H36" s="3656" t="n"/>
      <c r="I36" s="1124" t="n"/>
      <c r="J36" s="3656" t="n"/>
      <c r="K36" s="1124" t="n"/>
      <c r="L36" s="878" t="n"/>
      <c r="M36" s="3658" t="n"/>
      <c r="N36" s="3656" t="n"/>
      <c r="O36" s="3658" t="n"/>
      <c r="P36" s="3656" t="n"/>
      <c r="Q36" s="3658" t="n"/>
      <c r="R36" s="3656" t="n"/>
      <c r="S36" s="3658" t="n"/>
      <c r="T36" s="3656" t="n"/>
      <c r="U36" s="3658" t="n"/>
      <c r="V36" s="3656" t="n"/>
      <c r="W36" s="3658" t="n"/>
      <c r="X36" s="3656" t="n"/>
      <c r="Y36" s="3658" t="n"/>
      <c r="Z36" s="3656" t="n"/>
      <c r="AA36" s="3658" t="n"/>
      <c r="AB36" s="3656" t="n"/>
      <c r="AC36" s="3658" t="n"/>
      <c r="AD36" s="3656" t="n"/>
      <c r="AE36" s="3658" t="n"/>
      <c r="AF36" s="3656" t="n"/>
      <c r="AG36" s="3658" t="n"/>
      <c r="AH36" s="3656" t="n"/>
      <c r="AI36" s="3658" t="n"/>
      <c r="AJ36" s="3656" t="n"/>
      <c r="AK36" s="3658" t="n"/>
      <c r="AL36" s="3660" t="n"/>
      <c r="AM36" s="2688" t="n"/>
      <c r="AN36" s="3658" t="n"/>
      <c r="AO36" s="3658" t="n"/>
      <c r="AP36" s="3656" t="n"/>
      <c r="AQ36" s="218">
        <f>CA36&amp;CB36</f>
        <v/>
      </c>
      <c r="BV36" s="226" t="n"/>
      <c r="BW36" s="226" t="n"/>
      <c r="BX36" s="226" t="n"/>
      <c r="BY36" s="226" t="n"/>
      <c r="CA36" s="226" t="n"/>
      <c r="CB36" s="910">
        <f>IF(CM36=1," * El total de Ingresos debe ser igual a la suma de los Tipos de Estrategia. ","")</f>
        <v/>
      </c>
      <c r="CC36" s="8337" t="n"/>
      <c r="CD36" s="8337" t="n"/>
      <c r="CE36" s="8337" t="n"/>
      <c r="CF36" s="8337" t="n"/>
      <c r="CM36" s="378">
        <f>IF(SUM(AM36:AP36)=B36,0,1)</f>
        <v/>
      </c>
      <c r="CN36" s="374" t="n"/>
      <c r="CO36" s="374" t="n"/>
      <c r="CP36" s="374" t="n"/>
    </row>
    <row r="37">
      <c r="A37" s="8775" t="inlineStr">
        <is>
          <t>Ataque cerebro vascular (ACV)</t>
        </is>
      </c>
      <c r="B37" s="1123">
        <f>SUM(C37:D37)</f>
        <v/>
      </c>
      <c r="C37" s="3653">
        <f>+E37+G37+I37+K37+M37+O37+Q37+S37+U37+W37+Y37+AA37+AC37+AE37+AG37+AI37+AK37</f>
        <v/>
      </c>
      <c r="D37" s="3654">
        <f>+F37+H37+J37+L37+N37+P37+R37+T37+V37+X37+Z37+AB37+AD37+AF37+AH37+AJ37+AL37</f>
        <v/>
      </c>
      <c r="E37" s="1124" t="n"/>
      <c r="F37" s="878" t="n"/>
      <c r="G37" s="1124" t="n"/>
      <c r="H37" s="3656" t="n"/>
      <c r="I37" s="1124" t="n"/>
      <c r="J37" s="3656" t="n"/>
      <c r="K37" s="1124" t="n"/>
      <c r="L37" s="878" t="n"/>
      <c r="M37" s="3658" t="n"/>
      <c r="N37" s="3656" t="n"/>
      <c r="O37" s="3658" t="n"/>
      <c r="P37" s="3656" t="n"/>
      <c r="Q37" s="3658" t="n"/>
      <c r="R37" s="3656" t="n"/>
      <c r="S37" s="3658" t="n"/>
      <c r="T37" s="3656" t="n"/>
      <c r="U37" s="3658" t="n"/>
      <c r="V37" s="3656" t="n"/>
      <c r="W37" s="3658" t="n"/>
      <c r="X37" s="3656" t="n"/>
      <c r="Y37" s="3658" t="n"/>
      <c r="Z37" s="3656" t="n"/>
      <c r="AA37" s="3658" t="n"/>
      <c r="AB37" s="3656" t="n"/>
      <c r="AC37" s="3658" t="n"/>
      <c r="AD37" s="3656" t="n"/>
      <c r="AE37" s="3658" t="n"/>
      <c r="AF37" s="3656" t="n"/>
      <c r="AG37" s="3658" t="n"/>
      <c r="AH37" s="3656" t="n"/>
      <c r="AI37" s="3658" t="n"/>
      <c r="AJ37" s="3656" t="n"/>
      <c r="AK37" s="3658" t="n"/>
      <c r="AL37" s="3660" t="n"/>
      <c r="AM37" s="2688" t="n"/>
      <c r="AN37" s="3658" t="n"/>
      <c r="AO37" s="3658" t="n"/>
      <c r="AP37" s="3656" t="n"/>
      <c r="AQ37" s="218">
        <f>CA37&amp;CB37</f>
        <v/>
      </c>
      <c r="BV37" s="226" t="n"/>
      <c r="BW37" s="226" t="n"/>
      <c r="BX37" s="226" t="n"/>
      <c r="BY37" s="226" t="n"/>
      <c r="CA37" s="226" t="n"/>
      <c r="CB37" s="910">
        <f>IF(CM37=1," * El total de Ingresos debe ser igual a la suma de los Tipos de Estrategia. ","")</f>
        <v/>
      </c>
      <c r="CC37" s="8337" t="n"/>
      <c r="CD37" s="8337" t="n"/>
      <c r="CE37" s="8337" t="n"/>
      <c r="CF37" s="8337" t="n"/>
      <c r="CM37" s="378">
        <f>IF(SUM(AM37:AP37)=B37,0,1)</f>
        <v/>
      </c>
      <c r="CN37" s="374" t="n"/>
      <c r="CO37" s="374" t="n"/>
      <c r="CP37" s="374" t="n"/>
    </row>
    <row r="38">
      <c r="A38" s="8753" t="inlineStr">
        <is>
          <t>Traumatismo encéfalo craneano (TEC)</t>
        </is>
      </c>
      <c r="B38" s="1131">
        <f>SUM(C38:D38)</f>
        <v/>
      </c>
      <c r="C38" s="3653">
        <f>+E38+G38+I38+K38+M38+O38+Q38+S38+U38+W38+Y38+AA38+AC38+AE38+AG38+AI38+AK38</f>
        <v/>
      </c>
      <c r="D38" s="3654">
        <f>+F38+H38+J38+L38+N38+P38+R38+T38+V38+X38+Z38+AB38+AD38+AF38+AH38+AJ38+AL38</f>
        <v/>
      </c>
      <c r="E38" s="1124" t="n"/>
      <c r="F38" s="878" t="n"/>
      <c r="G38" s="1124" t="n"/>
      <c r="H38" s="3656" t="n"/>
      <c r="I38" s="1124" t="n"/>
      <c r="J38" s="3656" t="n"/>
      <c r="K38" s="1124" t="n"/>
      <c r="L38" s="878" t="n"/>
      <c r="M38" s="3658" t="n"/>
      <c r="N38" s="3656" t="n"/>
      <c r="O38" s="3658" t="n"/>
      <c r="P38" s="3656" t="n"/>
      <c r="Q38" s="3658" t="n"/>
      <c r="R38" s="3656" t="n"/>
      <c r="S38" s="3658" t="n"/>
      <c r="T38" s="3656" t="n"/>
      <c r="U38" s="3658" t="n"/>
      <c r="V38" s="3656" t="n"/>
      <c r="W38" s="3658" t="n"/>
      <c r="X38" s="3656" t="n"/>
      <c r="Y38" s="3658" t="n"/>
      <c r="Z38" s="3656" t="n"/>
      <c r="AA38" s="3658" t="n"/>
      <c r="AB38" s="3656" t="n"/>
      <c r="AC38" s="3658" t="n"/>
      <c r="AD38" s="3656" t="n"/>
      <c r="AE38" s="3658" t="n"/>
      <c r="AF38" s="3656" t="n"/>
      <c r="AG38" s="3658" t="n"/>
      <c r="AH38" s="3656" t="n"/>
      <c r="AI38" s="3658" t="n"/>
      <c r="AJ38" s="3656" t="n"/>
      <c r="AK38" s="3658" t="n"/>
      <c r="AL38" s="3660" t="n"/>
      <c r="AM38" s="2688" t="n"/>
      <c r="AN38" s="3658" t="n"/>
      <c r="AO38" s="3658" t="n"/>
      <c r="AP38" s="3656" t="n"/>
      <c r="AQ38" s="218">
        <f>CA38&amp;CB38</f>
        <v/>
      </c>
      <c r="BV38" s="226" t="n"/>
      <c r="BW38" s="226" t="n"/>
      <c r="BX38" s="226" t="n"/>
      <c r="BY38" s="226" t="n"/>
      <c r="CA38" s="226" t="n"/>
      <c r="CB38" s="910">
        <f>IF(CM38=1," * El total de Ingresos debe ser igual a la suma de los Tipos de Estrategia. ","")</f>
        <v/>
      </c>
      <c r="CC38" s="8337" t="n"/>
      <c r="CD38" s="8337" t="n"/>
      <c r="CE38" s="8337" t="n"/>
      <c r="CF38" s="8337" t="n"/>
      <c r="CM38" s="378">
        <f>IF(SUM(AM38:AP38)=B38,0,1)</f>
        <v/>
      </c>
      <c r="CN38" s="374" t="n"/>
      <c r="CO38" s="374" t="n"/>
      <c r="CP38" s="374" t="n"/>
    </row>
    <row r="39">
      <c r="A39" s="8775" t="inlineStr">
        <is>
          <t>Lesión medular</t>
        </is>
      </c>
      <c r="B39" s="1123">
        <f>SUM(C39:D39)</f>
        <v/>
      </c>
      <c r="C39" s="3653">
        <f>+E39+G39+I39+K39+M39+O39+Q39+S39+U39+W39+Y39+AA39+AC39+AE39+AG39+AI39+AK39</f>
        <v/>
      </c>
      <c r="D39" s="3654">
        <f>+F39+H39+J39+L39+N39+P39+R39+T39+V39+X39+Z39+AB39+AD39+AF39+AH39+AJ39+AL39</f>
        <v/>
      </c>
      <c r="E39" s="1124" t="n"/>
      <c r="F39" s="878" t="n"/>
      <c r="G39" s="1124" t="n"/>
      <c r="H39" s="3656" t="n"/>
      <c r="I39" s="1124" t="n"/>
      <c r="J39" s="3656" t="n"/>
      <c r="K39" s="1124" t="n"/>
      <c r="L39" s="878" t="n"/>
      <c r="M39" s="3658" t="n"/>
      <c r="N39" s="3656" t="n"/>
      <c r="O39" s="3658" t="n"/>
      <c r="P39" s="3656" t="n"/>
      <c r="Q39" s="3658" t="n"/>
      <c r="R39" s="3656" t="n"/>
      <c r="S39" s="3658" t="n"/>
      <c r="T39" s="3656" t="n"/>
      <c r="U39" s="3658" t="n"/>
      <c r="V39" s="3656" t="n"/>
      <c r="W39" s="3658" t="n"/>
      <c r="X39" s="3656" t="n"/>
      <c r="Y39" s="3658" t="n"/>
      <c r="Z39" s="3656" t="n"/>
      <c r="AA39" s="3658" t="n"/>
      <c r="AB39" s="3656" t="n"/>
      <c r="AC39" s="3658" t="n"/>
      <c r="AD39" s="3656" t="n"/>
      <c r="AE39" s="3658" t="n"/>
      <c r="AF39" s="3656" t="n"/>
      <c r="AG39" s="3658" t="n"/>
      <c r="AH39" s="3656" t="n"/>
      <c r="AI39" s="3658" t="n"/>
      <c r="AJ39" s="3656" t="n"/>
      <c r="AK39" s="3658" t="n"/>
      <c r="AL39" s="3660" t="n"/>
      <c r="AM39" s="2688" t="n"/>
      <c r="AN39" s="3658" t="n"/>
      <c r="AO39" s="3658" t="n"/>
      <c r="AP39" s="3656" t="n"/>
      <c r="AQ39" s="218">
        <f>CA39&amp;CB39</f>
        <v/>
      </c>
      <c r="BV39" s="226" t="n"/>
      <c r="BW39" s="226" t="n"/>
      <c r="BX39" s="226" t="n"/>
      <c r="BY39" s="226" t="n"/>
      <c r="CA39" s="226" t="n"/>
      <c r="CB39" s="910">
        <f>IF(CM39=1," * El total de Ingresos debe ser igual a la suma de los Tipos de Estrategia. ","")</f>
        <v/>
      </c>
      <c r="CC39" s="8337" t="n"/>
      <c r="CD39" s="8337" t="n"/>
      <c r="CE39" s="8337" t="n"/>
      <c r="CF39" s="8337" t="n"/>
      <c r="CM39" s="378">
        <f>IF(SUM(AM39:AP39)=B39,0,1)</f>
        <v/>
      </c>
      <c r="CN39" s="374" t="n"/>
      <c r="CO39" s="374" t="n"/>
      <c r="CP39" s="374" t="n"/>
    </row>
    <row r="40">
      <c r="A40" s="8775" t="inlineStr">
        <is>
          <t>Enfermedad de Parkinson</t>
        </is>
      </c>
      <c r="B40" s="1123">
        <f>SUM(C40:D40)</f>
        <v/>
      </c>
      <c r="C40" s="3653">
        <f>+E40+G40+I40+K40+M40+O40+Q40+S40+U40+W40+Y40+AA40+AC40+AE40+AG40+AI40+AK40</f>
        <v/>
      </c>
      <c r="D40" s="3654">
        <f>+F40+H40+J40+L40+N40+P40+R40+T40+V40+X40+Z40+AB40+AD40+AF40+AH40+AJ40+AL40</f>
        <v/>
      </c>
      <c r="E40" s="1124" t="n"/>
      <c r="F40" s="878" t="n"/>
      <c r="G40" s="1124" t="n"/>
      <c r="H40" s="3656" t="n"/>
      <c r="I40" s="1124" t="n"/>
      <c r="J40" s="3656" t="n"/>
      <c r="K40" s="1124" t="n"/>
      <c r="L40" s="878" t="n"/>
      <c r="M40" s="3658" t="n"/>
      <c r="N40" s="3656" t="n"/>
      <c r="O40" s="3658" t="n"/>
      <c r="P40" s="3656" t="n"/>
      <c r="Q40" s="3658" t="n"/>
      <c r="R40" s="3656" t="n"/>
      <c r="S40" s="3658" t="n"/>
      <c r="T40" s="3656" t="n"/>
      <c r="U40" s="3658" t="n"/>
      <c r="V40" s="3656" t="n"/>
      <c r="W40" s="3658" t="n"/>
      <c r="X40" s="3656" t="n"/>
      <c r="Y40" s="3658" t="n"/>
      <c r="Z40" s="3656" t="n"/>
      <c r="AA40" s="3658" t="n"/>
      <c r="AB40" s="3656" t="n"/>
      <c r="AC40" s="3658" t="n"/>
      <c r="AD40" s="3656" t="n"/>
      <c r="AE40" s="3658" t="n"/>
      <c r="AF40" s="3656" t="n"/>
      <c r="AG40" s="3658" t="n"/>
      <c r="AH40" s="3656" t="n"/>
      <c r="AI40" s="3658" t="n"/>
      <c r="AJ40" s="3656" t="n"/>
      <c r="AK40" s="3658" t="n"/>
      <c r="AL40" s="3660" t="n"/>
      <c r="AM40" s="2688" t="n"/>
      <c r="AN40" s="3658" t="n"/>
      <c r="AO40" s="3658" t="n"/>
      <c r="AP40" s="3656" t="n"/>
      <c r="AQ40" s="218">
        <f>CA40&amp;CB40</f>
        <v/>
      </c>
      <c r="BV40" s="226" t="n"/>
      <c r="BW40" s="226" t="n"/>
      <c r="BX40" s="226" t="n"/>
      <c r="BY40" s="226" t="n"/>
      <c r="CA40" s="226" t="n"/>
      <c r="CB40" s="910">
        <f>IF(CM40=1," * El total de Ingresos debe ser igual a la suma de los Tipos de Estrategia. ","")</f>
        <v/>
      </c>
      <c r="CC40" s="8337" t="n"/>
      <c r="CD40" s="8337" t="n"/>
      <c r="CE40" s="8337" t="n"/>
      <c r="CF40" s="8337" t="n"/>
      <c r="CM40" s="378">
        <f>IF(SUM(AM40:AP40)=B40,0,1)</f>
        <v/>
      </c>
      <c r="CN40" s="374" t="n"/>
      <c r="CO40" s="374" t="n"/>
      <c r="CP40" s="374" t="n"/>
    </row>
    <row r="41">
      <c r="A41" s="1238" t="inlineStr">
        <is>
          <t>Enfermedades neuromusculares</t>
        </is>
      </c>
      <c r="B41" s="4184">
        <f>SUM(C41:D41)</f>
        <v/>
      </c>
      <c r="C41" s="3653">
        <f>+E41+G41+I41+K41+M41+O41+Q41+S41+U41+W41+Y41+AA41+AC41+AE41+AG41+AI41+AK41</f>
        <v/>
      </c>
      <c r="D41" s="3654">
        <f>+F41+H41+J41+L41+N41+P41+R41+T41+V41+X41+Z41+AB41+AD41+AF41+AH41+AJ41+AL41</f>
        <v/>
      </c>
      <c r="E41" s="1124" t="n"/>
      <c r="F41" s="878" t="n"/>
      <c r="G41" s="1124" t="n"/>
      <c r="H41" s="3656" t="n"/>
      <c r="I41" s="1124" t="n"/>
      <c r="J41" s="3656" t="n"/>
      <c r="K41" s="1124" t="n"/>
      <c r="L41" s="878" t="n"/>
      <c r="M41" s="3658" t="n"/>
      <c r="N41" s="3656" t="n"/>
      <c r="O41" s="3658" t="n"/>
      <c r="P41" s="3656" t="n"/>
      <c r="Q41" s="3658" t="n"/>
      <c r="R41" s="3656" t="n"/>
      <c r="S41" s="3658" t="n"/>
      <c r="T41" s="3656" t="n"/>
      <c r="U41" s="3658" t="n"/>
      <c r="V41" s="3656" t="n"/>
      <c r="W41" s="3658" t="n"/>
      <c r="X41" s="3656" t="n"/>
      <c r="Y41" s="3658" t="n"/>
      <c r="Z41" s="3656" t="n"/>
      <c r="AA41" s="3658" t="n"/>
      <c r="AB41" s="3656" t="n"/>
      <c r="AC41" s="3658" t="n"/>
      <c r="AD41" s="3656" t="n"/>
      <c r="AE41" s="3658" t="n"/>
      <c r="AF41" s="3656" t="n"/>
      <c r="AG41" s="3658" t="n"/>
      <c r="AH41" s="3656" t="n"/>
      <c r="AI41" s="3658" t="n"/>
      <c r="AJ41" s="3656" t="n"/>
      <c r="AK41" s="3658" t="n"/>
      <c r="AL41" s="3660" t="n"/>
      <c r="AM41" s="2688" t="n"/>
      <c r="AN41" s="3658" t="n"/>
      <c r="AO41" s="3658" t="n"/>
      <c r="AP41" s="3656" t="n"/>
      <c r="AQ41" s="218">
        <f>CA41&amp;CB41</f>
        <v/>
      </c>
      <c r="BV41" s="226" t="n"/>
      <c r="BW41" s="226" t="n"/>
      <c r="BX41" s="226" t="n"/>
      <c r="BY41" s="226" t="n"/>
      <c r="CA41" s="226" t="n"/>
      <c r="CB41" s="910">
        <f>IF(CM41=1," * El total de Ingresos debe ser igual a la suma de los Tipos de Estrategia. ","")</f>
        <v/>
      </c>
      <c r="CC41" s="8337" t="n"/>
      <c r="CD41" s="8337" t="n"/>
      <c r="CE41" s="8337" t="n"/>
      <c r="CF41" s="8337" t="n"/>
      <c r="CM41" s="378">
        <f>IF(SUM(AM41:AP41)=B41,0,1)</f>
        <v/>
      </c>
      <c r="CN41" s="374" t="n"/>
      <c r="CO41" s="374" t="n"/>
      <c r="CP41" s="374" t="n"/>
    </row>
    <row r="42">
      <c r="A42" s="4183" t="inlineStr">
        <is>
          <t>Alteraciones en el desarrollo psicomotor</t>
        </is>
      </c>
      <c r="B42" s="2491">
        <f>SUM(C42:D42)</f>
        <v/>
      </c>
      <c r="C42" s="1923">
        <f>+E42+G42+I42+K42+M42+O42+Q42+S42+U42+W42+Y42+AA42+AC42+AE42+AG42+AI42+AK42</f>
        <v/>
      </c>
      <c r="D42" s="3695">
        <f>+F42+H42+J42+L42+N42+P42+R42+T42+V42+X42+Z42+AB42+AD42+AF42+AH42+AJ42+AL42</f>
        <v/>
      </c>
      <c r="E42" s="1124" t="n"/>
      <c r="F42" s="878" t="n"/>
      <c r="G42" s="1124" t="n"/>
      <c r="H42" s="878" t="n"/>
      <c r="I42" s="1124" t="n"/>
      <c r="J42" s="3656" t="n"/>
      <c r="K42" s="1124" t="n"/>
      <c r="L42" s="878" t="n"/>
      <c r="M42" s="3658" t="n"/>
      <c r="N42" s="878" t="n"/>
      <c r="O42" s="882" t="n"/>
      <c r="P42" s="878" t="n"/>
      <c r="Q42" s="882" t="n"/>
      <c r="R42" s="878" t="n"/>
      <c r="S42" s="882" t="n"/>
      <c r="T42" s="878" t="n"/>
      <c r="U42" s="882" t="n"/>
      <c r="V42" s="878" t="n"/>
      <c r="W42" s="882" t="n"/>
      <c r="X42" s="878" t="n"/>
      <c r="Y42" s="882" t="n"/>
      <c r="Z42" s="878" t="n"/>
      <c r="AA42" s="882" t="n"/>
      <c r="AB42" s="878" t="n"/>
      <c r="AC42" s="882" t="n"/>
      <c r="AD42" s="878" t="n"/>
      <c r="AE42" s="882" t="n"/>
      <c r="AF42" s="878" t="n"/>
      <c r="AG42" s="882" t="n"/>
      <c r="AH42" s="878" t="n"/>
      <c r="AI42" s="882" t="n"/>
      <c r="AJ42" s="878" t="n"/>
      <c r="AK42" s="882" t="n"/>
      <c r="AL42" s="879" t="n"/>
      <c r="AM42" s="2688" t="n"/>
      <c r="AN42" s="3658" t="n"/>
      <c r="AO42" s="882" t="n"/>
      <c r="AP42" s="878" t="n"/>
      <c r="AQ42" s="218">
        <f>CA42&amp;CB42</f>
        <v/>
      </c>
      <c r="BV42" s="226" t="n"/>
      <c r="BW42" s="226" t="n"/>
      <c r="BX42" s="226" t="n"/>
      <c r="BY42" s="226" t="n"/>
      <c r="CA42" s="226" t="n"/>
      <c r="CB42" s="910">
        <f>IF(CM42=1," * El total de Ingresos debe ser igual a la suma de los Tipos de Estrategia. ","")</f>
        <v/>
      </c>
      <c r="CC42" s="8337" t="n"/>
      <c r="CD42" s="8337" t="n"/>
      <c r="CE42" s="8337" t="n"/>
      <c r="CF42" s="8337" t="n"/>
      <c r="CM42" s="378">
        <f>IF(SUM(AM42:AP42)=B42,0,1)</f>
        <v/>
      </c>
      <c r="CN42" s="374" t="n"/>
      <c r="CO42" s="374" t="n"/>
      <c r="CP42" s="374" t="n"/>
    </row>
    <row r="43">
      <c r="A43" s="4185" t="inlineStr">
        <is>
          <t>Disrafias espinales</t>
        </is>
      </c>
      <c r="B43" s="3878">
        <f>SUM(C43:D43)</f>
        <v/>
      </c>
      <c r="C43" s="1923">
        <f>+E43+G43+I43+K43+M43+O43+Q43+S43+U43+W43+Y43+AA43+AC43+AE43+AG43+AI43+AK43</f>
        <v/>
      </c>
      <c r="D43" s="3695">
        <f>+F43+H43+J43+L43+N43+P43+R43+T43+V43+X43+Z43+AB43+AD43+AF43+AH43+AJ43+AL43</f>
        <v/>
      </c>
      <c r="E43" s="1124" t="n"/>
      <c r="F43" s="878" t="n"/>
      <c r="G43" s="1124" t="n"/>
      <c r="H43" s="878" t="n"/>
      <c r="I43" s="1124" t="n"/>
      <c r="J43" s="3656" t="n"/>
      <c r="K43" s="1124" t="n"/>
      <c r="L43" s="878" t="n"/>
      <c r="M43" s="3658" t="n"/>
      <c r="N43" s="878" t="n"/>
      <c r="O43" s="882" t="n"/>
      <c r="P43" s="878" t="n"/>
      <c r="Q43" s="882" t="n"/>
      <c r="R43" s="878" t="n"/>
      <c r="S43" s="882" t="n"/>
      <c r="T43" s="878" t="n"/>
      <c r="U43" s="882" t="n"/>
      <c r="V43" s="878" t="n"/>
      <c r="W43" s="882" t="n"/>
      <c r="X43" s="878" t="n"/>
      <c r="Y43" s="882" t="n"/>
      <c r="Z43" s="878" t="n"/>
      <c r="AA43" s="882" t="n"/>
      <c r="AB43" s="878" t="n"/>
      <c r="AC43" s="882" t="n"/>
      <c r="AD43" s="878" t="n"/>
      <c r="AE43" s="882" t="n"/>
      <c r="AF43" s="878" t="n"/>
      <c r="AG43" s="882" t="n"/>
      <c r="AH43" s="878" t="n"/>
      <c r="AI43" s="882" t="n"/>
      <c r="AJ43" s="878" t="n"/>
      <c r="AK43" s="882" t="n"/>
      <c r="AL43" s="879" t="n"/>
      <c r="AM43" s="2688" t="n"/>
      <c r="AN43" s="3658" t="n"/>
      <c r="AO43" s="882" t="n"/>
      <c r="AP43" s="878" t="n"/>
      <c r="AQ43" s="218">
        <f>CA43&amp;CB43</f>
        <v/>
      </c>
      <c r="BV43" s="226" t="n"/>
      <c r="BW43" s="226" t="n"/>
      <c r="BX43" s="226" t="n"/>
      <c r="BY43" s="226" t="n"/>
      <c r="CA43" s="226" t="n"/>
      <c r="CB43" s="910">
        <f>IF(CM43=1," * El total de Ingresos debe ser igual a la suma de los Tipos de Estrategia. ","")</f>
        <v/>
      </c>
      <c r="CC43" s="8337" t="n"/>
      <c r="CD43" s="8337" t="n"/>
      <c r="CE43" s="8337" t="n"/>
      <c r="CF43" s="8337" t="n"/>
      <c r="CM43" s="378">
        <f>IF(SUM(AM43:AP43)=B43,0,1)</f>
        <v/>
      </c>
      <c r="CN43" s="374" t="n"/>
      <c r="CO43" s="374" t="n"/>
      <c r="CP43" s="374" t="n"/>
    </row>
    <row r="44">
      <c r="A44" s="1934" t="inlineStr">
        <is>
          <t>Trastorno espectro autista</t>
        </is>
      </c>
      <c r="B44" s="3878">
        <f>SUM(C44:D44)</f>
        <v/>
      </c>
      <c r="C44" s="1923">
        <f>+E44+G44+I44+K44+M44+O44+Q44+S44+U44+W44+Y44+AA44+AC44+AE44+AG44+AI44+AK44</f>
        <v/>
      </c>
      <c r="D44" s="3695">
        <f>+F44+H44+J44+L44+N44+P44+R44+T44+V44+X44+Z44+AB44+AD44+AF44+AH44+AJ44+AL44</f>
        <v/>
      </c>
      <c r="E44" s="1124" t="n"/>
      <c r="F44" s="878" t="n"/>
      <c r="G44" s="1124" t="n"/>
      <c r="H44" s="878" t="n"/>
      <c r="I44" s="1124" t="n"/>
      <c r="J44" s="3656" t="n"/>
      <c r="K44" s="1124" t="n"/>
      <c r="L44" s="878" t="n"/>
      <c r="M44" s="3658" t="n"/>
      <c r="N44" s="878" t="n"/>
      <c r="O44" s="882" t="n"/>
      <c r="P44" s="878" t="n"/>
      <c r="Q44" s="882" t="n"/>
      <c r="R44" s="878" t="n"/>
      <c r="S44" s="882" t="n"/>
      <c r="T44" s="878" t="n"/>
      <c r="U44" s="882" t="n"/>
      <c r="V44" s="878" t="n"/>
      <c r="W44" s="882" t="n"/>
      <c r="X44" s="878" t="n"/>
      <c r="Y44" s="882" t="n"/>
      <c r="Z44" s="878" t="n"/>
      <c r="AA44" s="882" t="n"/>
      <c r="AB44" s="878" t="n"/>
      <c r="AC44" s="882" t="n"/>
      <c r="AD44" s="878" t="n"/>
      <c r="AE44" s="882" t="n"/>
      <c r="AF44" s="878" t="n"/>
      <c r="AG44" s="882" t="n"/>
      <c r="AH44" s="878" t="n"/>
      <c r="AI44" s="882" t="n"/>
      <c r="AJ44" s="878" t="n"/>
      <c r="AK44" s="882" t="n"/>
      <c r="AL44" s="879" t="n"/>
      <c r="AM44" s="2688" t="n"/>
      <c r="AN44" s="3658" t="n"/>
      <c r="AO44" s="882" t="n"/>
      <c r="AP44" s="878" t="n"/>
      <c r="AQ44" s="218">
        <f>CA44&amp;CB44</f>
        <v/>
      </c>
      <c r="BV44" s="226" t="n"/>
      <c r="BW44" s="226" t="n"/>
      <c r="BX44" s="226" t="n"/>
      <c r="BY44" s="226" t="n"/>
      <c r="CA44" s="226" t="n"/>
      <c r="CB44" s="910">
        <f>IF(CM44=1," * El total de Ingresos debe ser igual a la suma de los Tipos de Estrategia. ","")</f>
        <v/>
      </c>
      <c r="CC44" s="8337" t="n"/>
      <c r="CD44" s="8337" t="n"/>
      <c r="CE44" s="8337" t="n"/>
      <c r="CF44" s="8337" t="n"/>
      <c r="CM44" s="378">
        <f>IF(SUM(AM44:AP44)=B44,0,1)</f>
        <v/>
      </c>
      <c r="CN44" s="374" t="n"/>
      <c r="CO44" s="374" t="n"/>
      <c r="CP44" s="374" t="n"/>
    </row>
    <row r="45">
      <c r="A45" s="4186" t="inlineStr">
        <is>
          <t>Autismo atípico, Asperguer</t>
        </is>
      </c>
      <c r="B45" s="4187">
        <f>SUM(C45:D45)</f>
        <v/>
      </c>
      <c r="C45" s="2233">
        <f>+E45+G45+I45+K45+M45+O45+Q45+S45+U45+W45+Y45+AA45+AC45+AE45+AG45+AI45+AK45</f>
        <v/>
      </c>
      <c r="D45" s="877">
        <f>+F45+H45+J45+L45+N45+P45+R45+T45+V45+X45+Z45+AB45+AD45+AF45+AH45+AJ45+AL45</f>
        <v/>
      </c>
      <c r="E45" s="1325" t="n"/>
      <c r="F45" s="4051" t="n"/>
      <c r="G45" s="4187" t="n"/>
      <c r="H45" s="877" t="n"/>
      <c r="I45" s="1325" t="n"/>
      <c r="J45" s="4051" t="n"/>
      <c r="K45" s="4187" t="n"/>
      <c r="L45" s="877" t="n"/>
      <c r="M45" s="4187" t="n"/>
      <c r="N45" s="877" t="n"/>
      <c r="O45" s="1325" t="n"/>
      <c r="P45" s="4051" t="n"/>
      <c r="Q45" s="4187" t="n"/>
      <c r="R45" s="877" t="n"/>
      <c r="S45" s="4187" t="n"/>
      <c r="T45" s="877" t="n"/>
      <c r="U45" s="1325" t="n"/>
      <c r="V45" s="4051" t="n"/>
      <c r="W45" s="4187" t="n"/>
      <c r="X45" s="877" t="n"/>
      <c r="Y45" s="1325" t="n"/>
      <c r="Z45" s="4051" t="n"/>
      <c r="AA45" s="4187" t="n"/>
      <c r="AB45" s="877" t="n"/>
      <c r="AC45" s="1325" t="n"/>
      <c r="AD45" s="4051" t="n"/>
      <c r="AE45" s="4187" t="n"/>
      <c r="AF45" s="877" t="n"/>
      <c r="AG45" s="4187" t="n"/>
      <c r="AH45" s="877" t="n"/>
      <c r="AI45" s="4187" t="n"/>
      <c r="AJ45" s="877" t="n"/>
      <c r="AK45" s="1325" t="n"/>
      <c r="AL45" s="4051" t="n"/>
      <c r="AM45" s="1325" t="n"/>
      <c r="AN45" s="1325" t="n"/>
      <c r="AO45" s="4188" t="n"/>
      <c r="AP45" s="877" t="n"/>
      <c r="AQ45" s="218">
        <f>CA45&amp;CB45</f>
        <v/>
      </c>
      <c r="BV45" s="226" t="n"/>
      <c r="BW45" s="226" t="n"/>
      <c r="BX45" s="226" t="n"/>
      <c r="BY45" s="226" t="n"/>
      <c r="CA45" s="226" t="n"/>
      <c r="CB45" s="926" t="n"/>
      <c r="CC45" s="8337" t="n"/>
      <c r="CD45" s="8337" t="n"/>
      <c r="CE45" s="8337" t="n"/>
      <c r="CF45" s="8337" t="n"/>
      <c r="CM45" s="916" t="n"/>
      <c r="CN45" s="374" t="n"/>
      <c r="CO45" s="374" t="n"/>
      <c r="CP45" s="374" t="n"/>
    </row>
    <row r="46">
      <c r="A46" s="1934" t="inlineStr">
        <is>
          <t>Alzheimer y otras demencias</t>
        </is>
      </c>
      <c r="B46" s="3878">
        <f>SUM(C46:D46)</f>
        <v/>
      </c>
      <c r="C46" s="1923">
        <f>+E46+G46+I46+K46+M46+O46+Q46+S46+U46+W46+Y46+AA46+AC46+AE46+AG46+AI46+AK46</f>
        <v/>
      </c>
      <c r="D46" s="3695">
        <f>+F46+H46+J46+L46+N46+P46+R46+T46+V46+X46+Z46+AB46+AD46+AF46+AH46+AJ46+AL46</f>
        <v/>
      </c>
      <c r="E46" s="1124" t="n"/>
      <c r="F46" s="878" t="n"/>
      <c r="G46" s="1124" t="n"/>
      <c r="H46" s="878" t="n"/>
      <c r="I46" s="1124" t="n"/>
      <c r="J46" s="3656" t="n"/>
      <c r="K46" s="1124" t="n"/>
      <c r="L46" s="878" t="n"/>
      <c r="M46" s="3658" t="n"/>
      <c r="N46" s="878" t="n"/>
      <c r="O46" s="882" t="n"/>
      <c r="P46" s="878" t="n"/>
      <c r="Q46" s="882" t="n"/>
      <c r="R46" s="878" t="n"/>
      <c r="S46" s="882" t="n"/>
      <c r="T46" s="878" t="n"/>
      <c r="U46" s="882" t="n"/>
      <c r="V46" s="878" t="n"/>
      <c r="W46" s="882" t="n"/>
      <c r="X46" s="878" t="n"/>
      <c r="Y46" s="882" t="n"/>
      <c r="Z46" s="878" t="n"/>
      <c r="AA46" s="882" t="n"/>
      <c r="AB46" s="878" t="n"/>
      <c r="AC46" s="882" t="n"/>
      <c r="AD46" s="878" t="n"/>
      <c r="AE46" s="882" t="n"/>
      <c r="AF46" s="878" t="n"/>
      <c r="AG46" s="882" t="n"/>
      <c r="AH46" s="878" t="n"/>
      <c r="AI46" s="882" t="n"/>
      <c r="AJ46" s="878" t="n"/>
      <c r="AK46" s="882" t="n"/>
      <c r="AL46" s="879" t="n"/>
      <c r="AM46" s="2688" t="n"/>
      <c r="AN46" s="3658" t="n"/>
      <c r="AO46" s="882" t="n"/>
      <c r="AP46" s="878" t="n"/>
      <c r="AQ46" s="218">
        <f>CA46&amp;CB46</f>
        <v/>
      </c>
      <c r="BV46" s="226" t="n"/>
      <c r="BW46" s="226" t="n"/>
      <c r="BX46" s="226" t="n"/>
      <c r="BY46" s="226" t="n"/>
      <c r="CA46" s="226" t="n"/>
      <c r="CB46" s="910">
        <f>IF(CM46=1," * El total de Ingresos debe ser igual a la suma de los Tipos de Estrategia. ","")</f>
        <v/>
      </c>
      <c r="CC46" s="8337" t="n"/>
      <c r="CD46" s="8337" t="n"/>
      <c r="CE46" s="8337" t="n"/>
      <c r="CF46" s="8337" t="n"/>
      <c r="CM46" s="378">
        <f>IF(SUM(AM46:AP46)=B46,0,1)</f>
        <v/>
      </c>
      <c r="CN46" s="374" t="n"/>
      <c r="CO46" s="374" t="n"/>
      <c r="CP46" s="374" t="n"/>
    </row>
    <row r="47">
      <c r="A47" s="4185" t="inlineStr">
        <is>
          <t>Amputación</t>
        </is>
      </c>
      <c r="B47" s="3878">
        <f>SUM(C47:D47)</f>
        <v/>
      </c>
      <c r="C47" s="1923">
        <f>+E47+G47+I47+K47+M47+O47+Q47+S47+U47+W47+Y47+AA47+AC47+AE47+AG47+AI47+AK47</f>
        <v/>
      </c>
      <c r="D47" s="3695">
        <f>+F47+H47+J47+L47+N47+P47+R47+T47+V47+X47+Z47+AB47+AD47+AF47+AH47+AJ47+AL47</f>
        <v/>
      </c>
      <c r="E47" s="1124" t="n"/>
      <c r="F47" s="878" t="n"/>
      <c r="G47" s="1124" t="n"/>
      <c r="H47" s="878" t="n"/>
      <c r="I47" s="1124" t="n"/>
      <c r="J47" s="3656" t="n"/>
      <c r="K47" s="1124" t="n"/>
      <c r="L47" s="878" t="n"/>
      <c r="M47" s="3658" t="n"/>
      <c r="N47" s="878" t="n"/>
      <c r="O47" s="882" t="n"/>
      <c r="P47" s="878" t="n"/>
      <c r="Q47" s="882" t="n"/>
      <c r="R47" s="878" t="n"/>
      <c r="S47" s="882" t="n"/>
      <c r="T47" s="878" t="n"/>
      <c r="U47" s="882" t="n"/>
      <c r="V47" s="878" t="n"/>
      <c r="W47" s="882" t="n"/>
      <c r="X47" s="878" t="n"/>
      <c r="Y47" s="882" t="n"/>
      <c r="Z47" s="878" t="n"/>
      <c r="AA47" s="882" t="n"/>
      <c r="AB47" s="878" t="n"/>
      <c r="AC47" s="882" t="n"/>
      <c r="AD47" s="878" t="n"/>
      <c r="AE47" s="882" t="n"/>
      <c r="AF47" s="878" t="n"/>
      <c r="AG47" s="882" t="n"/>
      <c r="AH47" s="878" t="n"/>
      <c r="AI47" s="882" t="n"/>
      <c r="AJ47" s="878" t="n"/>
      <c r="AK47" s="882" t="n"/>
      <c r="AL47" s="879" t="n"/>
      <c r="AM47" s="2688" t="n"/>
      <c r="AN47" s="3658" t="n"/>
      <c r="AO47" s="882" t="n"/>
      <c r="AP47" s="878" t="n"/>
      <c r="AQ47" s="218">
        <f>CA47&amp;CB47</f>
        <v/>
      </c>
      <c r="BV47" s="226" t="n"/>
      <c r="BW47" s="226" t="n"/>
      <c r="BX47" s="226" t="n"/>
      <c r="BY47" s="226" t="n"/>
      <c r="CA47" s="226" t="n"/>
      <c r="CB47" s="910">
        <f>IF(CM47=1," * El total de Ingresos debe ser igual a la suma de los Tipos de Estrategia. ","")</f>
        <v/>
      </c>
      <c r="CC47" s="8337" t="n"/>
      <c r="CD47" s="8337" t="n"/>
      <c r="CE47" s="8337" t="n"/>
      <c r="CF47" s="8337" t="n"/>
      <c r="CM47" s="378">
        <f>IF(SUM(AM47:AP47)=B47,0,1)</f>
        <v/>
      </c>
      <c r="CN47" s="374" t="n"/>
      <c r="CO47" s="374" t="n"/>
      <c r="CP47" s="374" t="n"/>
    </row>
    <row r="48">
      <c r="A48" s="4185" t="inlineStr">
        <is>
          <t>Quemados</t>
        </is>
      </c>
      <c r="B48" s="3878">
        <f>SUM(C48:D48)</f>
        <v/>
      </c>
      <c r="C48" s="1923">
        <f>+E48+G48+I48+K48+M48+O48+Q48+S48+U48+W48+Y48+AA48+AC48+AE48+AG48+AI48+AK48</f>
        <v/>
      </c>
      <c r="D48" s="3695">
        <f>+F48+H48+J48+L48+N48+P48+R48+T48+V48+X48+Z48+AB48+AD48+AF48+AH48+AJ48+AL48</f>
        <v/>
      </c>
      <c r="E48" s="1124" t="n"/>
      <c r="F48" s="878" t="n"/>
      <c r="G48" s="1124" t="n"/>
      <c r="H48" s="878" t="n"/>
      <c r="I48" s="1124" t="n"/>
      <c r="J48" s="3656" t="n"/>
      <c r="K48" s="1124" t="n"/>
      <c r="L48" s="878" t="n"/>
      <c r="M48" s="3658" t="n"/>
      <c r="N48" s="878" t="n"/>
      <c r="O48" s="882" t="n"/>
      <c r="P48" s="878" t="n"/>
      <c r="Q48" s="882" t="n"/>
      <c r="R48" s="878" t="n"/>
      <c r="S48" s="882" t="n"/>
      <c r="T48" s="878" t="n"/>
      <c r="U48" s="882" t="n"/>
      <c r="V48" s="878" t="n"/>
      <c r="W48" s="882" t="n"/>
      <c r="X48" s="878" t="n"/>
      <c r="Y48" s="882" t="n"/>
      <c r="Z48" s="878" t="n"/>
      <c r="AA48" s="882" t="n"/>
      <c r="AB48" s="878" t="n"/>
      <c r="AC48" s="882" t="n"/>
      <c r="AD48" s="878" t="n"/>
      <c r="AE48" s="882" t="n"/>
      <c r="AF48" s="878" t="n"/>
      <c r="AG48" s="882" t="n"/>
      <c r="AH48" s="878" t="n"/>
      <c r="AI48" s="882" t="n"/>
      <c r="AJ48" s="878" t="n"/>
      <c r="AK48" s="882" t="n"/>
      <c r="AL48" s="879" t="n"/>
      <c r="AM48" s="2688" t="n"/>
      <c r="AN48" s="3658" t="n"/>
      <c r="AO48" s="882" t="n"/>
      <c r="AP48" s="878" t="n"/>
      <c r="AQ48" s="218">
        <f>CA48&amp;CB48</f>
        <v/>
      </c>
      <c r="BV48" s="226" t="n"/>
      <c r="BW48" s="226" t="n"/>
      <c r="BX48" s="226" t="n"/>
      <c r="BY48" s="226" t="n"/>
      <c r="CA48" s="226" t="n"/>
      <c r="CB48" s="910">
        <f>IF(CM48=1," * El total de Ingresos debe ser igual a la suma de los Tipos de Estrategia. ","")</f>
        <v/>
      </c>
      <c r="CC48" s="8337" t="n"/>
      <c r="CD48" s="8337" t="n"/>
      <c r="CE48" s="8337" t="n"/>
      <c r="CF48" s="8337" t="n"/>
      <c r="CM48" s="378">
        <f>IF(SUM(AM48:AP48)=B48,0,1)</f>
        <v/>
      </c>
      <c r="CN48" s="374" t="n"/>
      <c r="CO48" s="374" t="n"/>
      <c r="CP48" s="374" t="n"/>
    </row>
    <row r="49">
      <c r="A49" s="4185" t="inlineStr">
        <is>
          <t>COVID-19</t>
        </is>
      </c>
      <c r="B49" s="679">
        <f>SUM(C49:D49)</f>
        <v/>
      </c>
      <c r="C49" s="711">
        <f>+E49+G49+I49+K49+M49+O49+Q49+S49+U49+W49+Y49+AA49+AC49+AE49+AG49+AI49+AK49</f>
        <v/>
      </c>
      <c r="D49" s="3698">
        <f>+F49+H49+J49+L49+N49+P49+R49+T49+V49+X49+Z49+AB49+AD49+AF49+AH49+AJ49+AL49</f>
        <v/>
      </c>
      <c r="E49" s="1198" t="n"/>
      <c r="F49" s="1199" t="n"/>
      <c r="G49" s="1198" t="n"/>
      <c r="H49" s="1199" t="n"/>
      <c r="I49" s="1198" t="n"/>
      <c r="J49" s="1148" t="n"/>
      <c r="K49" s="1198" t="n"/>
      <c r="L49" s="1199" t="n"/>
      <c r="M49" s="1200" t="n"/>
      <c r="N49" s="1199" t="n"/>
      <c r="O49" s="1147" t="n"/>
      <c r="P49" s="1199" t="n"/>
      <c r="Q49" s="1147" t="n"/>
      <c r="R49" s="1199" t="n"/>
      <c r="S49" s="1147" t="n"/>
      <c r="T49" s="1199" t="n"/>
      <c r="U49" s="1147" t="n"/>
      <c r="V49" s="1199" t="n"/>
      <c r="W49" s="1147" t="n"/>
      <c r="X49" s="1199" t="n"/>
      <c r="Y49" s="1147" t="n"/>
      <c r="Z49" s="1199" t="n"/>
      <c r="AA49" s="1147" t="n"/>
      <c r="AB49" s="1199" t="n"/>
      <c r="AC49" s="1147" t="n"/>
      <c r="AD49" s="1199" t="n"/>
      <c r="AE49" s="1147" t="n"/>
      <c r="AF49" s="1199" t="n"/>
      <c r="AG49" s="1147" t="n"/>
      <c r="AH49" s="1199" t="n"/>
      <c r="AI49" s="1147" t="n"/>
      <c r="AJ49" s="1199" t="n"/>
      <c r="AK49" s="1147" t="n"/>
      <c r="AL49" s="1201" t="n"/>
      <c r="AM49" s="1346" t="n"/>
      <c r="AN49" s="1200" t="n"/>
      <c r="AO49" s="1147" t="n"/>
      <c r="AP49" s="1199" t="n"/>
      <c r="AQ49" s="218">
        <f>CB49</f>
        <v/>
      </c>
      <c r="BV49" s="226" t="n"/>
      <c r="BW49" s="226" t="n"/>
      <c r="BX49" s="226" t="n"/>
      <c r="BY49" s="226" t="n"/>
      <c r="CA49" s="226" t="n"/>
      <c r="CB49" s="910">
        <f>IF(CM49=1," * El total de Ingresos debe ser igual a la suma de los Tipos de Estrategia. ","")</f>
        <v/>
      </c>
      <c r="CC49" s="8337" t="n"/>
      <c r="CD49" s="8337" t="n"/>
      <c r="CE49" s="8337" t="n"/>
      <c r="CF49" s="8337" t="n"/>
      <c r="CM49" s="378">
        <f>IF(SUM(AM49:AP49)=B49,0,1)</f>
        <v/>
      </c>
      <c r="CN49" s="374" t="n"/>
      <c r="CO49" s="374" t="n"/>
      <c r="CP49" s="374" t="n"/>
    </row>
    <row r="50">
      <c r="A50" s="4185" t="inlineStr">
        <is>
          <t>Otros</t>
        </is>
      </c>
      <c r="B50" s="4181">
        <f>SUM(C50:D50)</f>
        <v/>
      </c>
      <c r="C50" s="3653">
        <f>+E50+G50+I50+K50+M50+O50+Q50+S50+U50+W50+Y50+AA50+AC50+AE50+AG50+AI50+AK50</f>
        <v/>
      </c>
      <c r="D50" s="3654">
        <f>+F50+H50+J50+L50+N50+P50+R50+T50+V50+X50+Z50+AB50+AD50+AF50+AH50+AJ50+AL50</f>
        <v/>
      </c>
      <c r="E50" s="1124" t="n"/>
      <c r="F50" s="878" t="n"/>
      <c r="G50" s="1124" t="n"/>
      <c r="H50" s="878" t="n"/>
      <c r="I50" s="1124" t="n"/>
      <c r="J50" s="3656" t="n"/>
      <c r="K50" s="1124" t="n"/>
      <c r="L50" s="878" t="n"/>
      <c r="M50" s="3658" t="n"/>
      <c r="N50" s="878" t="n"/>
      <c r="O50" s="882" t="n"/>
      <c r="P50" s="878" t="n"/>
      <c r="Q50" s="882" t="n"/>
      <c r="R50" s="878" t="n"/>
      <c r="S50" s="882" t="n"/>
      <c r="T50" s="878" t="n"/>
      <c r="U50" s="882" t="n"/>
      <c r="V50" s="878" t="n"/>
      <c r="W50" s="882" t="n"/>
      <c r="X50" s="878" t="n"/>
      <c r="Y50" s="882" t="n"/>
      <c r="Z50" s="878" t="n"/>
      <c r="AA50" s="882" t="n"/>
      <c r="AB50" s="878" t="n"/>
      <c r="AC50" s="882" t="n"/>
      <c r="AD50" s="878" t="n"/>
      <c r="AE50" s="882" t="n"/>
      <c r="AF50" s="878" t="n"/>
      <c r="AG50" s="882" t="n"/>
      <c r="AH50" s="878" t="n"/>
      <c r="AI50" s="882" t="n"/>
      <c r="AJ50" s="878" t="n"/>
      <c r="AK50" s="882" t="n"/>
      <c r="AL50" s="879" t="n"/>
      <c r="AM50" s="2688" t="n"/>
      <c r="AN50" s="3658" t="n"/>
      <c r="AO50" s="882" t="n"/>
      <c r="AP50" s="878" t="n"/>
      <c r="AQ50" s="218">
        <f>CB50</f>
        <v/>
      </c>
      <c r="BV50" s="226" t="n"/>
      <c r="BW50" s="226" t="n"/>
      <c r="BX50" s="226" t="n"/>
      <c r="BY50" s="226" t="n"/>
      <c r="CA50" s="226" t="n"/>
      <c r="CB50" s="910">
        <f>IF(CM50=1," * El total de Ingresos debe ser igual a la suma de los Tipos de Estrategia. ","")</f>
        <v/>
      </c>
      <c r="CC50" s="8337" t="n"/>
      <c r="CD50" s="8337" t="n"/>
      <c r="CE50" s="8337" t="n"/>
      <c r="CF50" s="8337" t="n"/>
      <c r="CM50" s="378">
        <f>IF(SUM(AM50:AP50)=B50,0,1)</f>
        <v/>
      </c>
      <c r="CN50" s="374" t="n"/>
      <c r="CO50" s="374" t="n"/>
      <c r="CP50" s="374" t="n"/>
    </row>
    <row r="51">
      <c r="A51" s="4189" t="inlineStr">
        <is>
          <t>Alteraciones visuales</t>
        </is>
      </c>
      <c r="B51" s="4190">
        <f>SUM(C51:D51)</f>
        <v/>
      </c>
      <c r="C51" s="1923">
        <f>+E51+G51+I51+K51+M51+O51+Q51+S51+U51+W51+Y51+AA51+AC51+AE51+AG51+AI51+AK51</f>
        <v/>
      </c>
      <c r="D51" s="3695">
        <f>+F51+H51+J51+L51+N51+P51+R51+T51+V51+X51+Z51+AB51+AD51+AF51+AH51+AJ51+AL51</f>
        <v/>
      </c>
      <c r="E51" s="1971" t="n"/>
      <c r="F51" s="750" t="n"/>
      <c r="G51" s="1971" t="n"/>
      <c r="H51" s="3649" t="n"/>
      <c r="I51" s="1971" t="n"/>
      <c r="J51" s="3649" t="n"/>
      <c r="K51" s="1971" t="n"/>
      <c r="L51" s="750" t="n"/>
      <c r="M51" s="1452" t="n"/>
      <c r="N51" s="3649" t="n"/>
      <c r="O51" s="1452" t="n"/>
      <c r="P51" s="3649" t="n"/>
      <c r="Q51" s="1452" t="n"/>
      <c r="R51" s="3649" t="n"/>
      <c r="S51" s="1452" t="n"/>
      <c r="T51" s="3649" t="n"/>
      <c r="U51" s="1452" t="n"/>
      <c r="V51" s="3649" t="n"/>
      <c r="W51" s="1452" t="n"/>
      <c r="X51" s="3649" t="n"/>
      <c r="Y51" s="1452" t="n"/>
      <c r="Z51" s="3649" t="n"/>
      <c r="AA51" s="1452" t="n"/>
      <c r="AB51" s="3649" t="n"/>
      <c r="AC51" s="1452" t="n"/>
      <c r="AD51" s="3649" t="n"/>
      <c r="AE51" s="1452" t="n"/>
      <c r="AF51" s="3649" t="n"/>
      <c r="AG51" s="1452" t="n"/>
      <c r="AH51" s="3649" t="n"/>
      <c r="AI51" s="1452" t="n"/>
      <c r="AJ51" s="3649" t="n"/>
      <c r="AK51" s="1452" t="n"/>
      <c r="AL51" s="22" t="n"/>
      <c r="AM51" s="2687" t="n"/>
      <c r="AN51" s="1452" t="n"/>
      <c r="AO51" s="1452" t="n"/>
      <c r="AP51" s="3649" t="n"/>
      <c r="AQ51" s="218">
        <f>CB51</f>
        <v/>
      </c>
      <c r="BV51" s="226" t="n"/>
      <c r="BW51" s="226" t="n"/>
      <c r="BX51" s="226" t="n"/>
      <c r="BY51" s="226" t="n"/>
      <c r="CA51" s="226" t="n"/>
      <c r="CB51" s="910">
        <f>IF(CM51=1," * El total de Ingresos debe ser igual a la suma de los Tipos de Estrategia. ","")</f>
        <v/>
      </c>
      <c r="CC51" s="8337" t="n"/>
      <c r="CD51" s="8337" t="n"/>
      <c r="CE51" s="8337" t="n"/>
      <c r="CF51" s="8337" t="n"/>
      <c r="CM51" s="378">
        <f>IF(SUM(AM51:AP51)=B51,0,1)</f>
        <v/>
      </c>
      <c r="CN51" s="374" t="n"/>
      <c r="CO51" s="374" t="n"/>
      <c r="CP51" s="374" t="n"/>
    </row>
    <row r="52">
      <c r="A52" s="4191" t="inlineStr">
        <is>
          <t>Alteraciones auditivas</t>
        </is>
      </c>
      <c r="B52" s="4192">
        <f>SUM(C52:D52)</f>
        <v/>
      </c>
      <c r="C52" s="3833">
        <f>+E52+G52+I52+K52+M52+O52+Q52+S52+U52+W52+Y52+AA52+AC52+AE52+AG52+AI52+AK52</f>
        <v/>
      </c>
      <c r="D52" s="1136">
        <f>+F52+H52+J52+L52+N52+P52+R52+T52+V52+X52+Z52+AB52+AD52+AF52+AH52+AJ52+AL52</f>
        <v/>
      </c>
      <c r="E52" s="3678" t="n"/>
      <c r="F52" s="3679" t="n"/>
      <c r="G52" s="3678" t="n"/>
      <c r="H52" s="1138" t="n"/>
      <c r="I52" s="3678" t="n"/>
      <c r="J52" s="1138" t="n"/>
      <c r="K52" s="3678" t="n"/>
      <c r="L52" s="3679" t="n"/>
      <c r="M52" s="3680" t="n"/>
      <c r="N52" s="1138" t="n"/>
      <c r="O52" s="3680" t="n"/>
      <c r="P52" s="1138" t="n"/>
      <c r="Q52" s="3680" t="n"/>
      <c r="R52" s="1138" t="n"/>
      <c r="S52" s="3680" t="n"/>
      <c r="T52" s="1138" t="n"/>
      <c r="U52" s="3680" t="n"/>
      <c r="V52" s="1138" t="n"/>
      <c r="W52" s="3680" t="n"/>
      <c r="X52" s="1138" t="n"/>
      <c r="Y52" s="3680" t="n"/>
      <c r="Z52" s="1138" t="n"/>
      <c r="AA52" s="3680" t="n"/>
      <c r="AB52" s="1138" t="n"/>
      <c r="AC52" s="3680" t="n"/>
      <c r="AD52" s="1138" t="n"/>
      <c r="AE52" s="3680" t="n"/>
      <c r="AF52" s="1138" t="n"/>
      <c r="AG52" s="3680" t="n"/>
      <c r="AH52" s="1138" t="n"/>
      <c r="AI52" s="3680" t="n"/>
      <c r="AJ52" s="1138" t="n"/>
      <c r="AK52" s="3680" t="n"/>
      <c r="AL52" s="1142" t="n"/>
      <c r="AM52" s="3847" t="n"/>
      <c r="AN52" s="3680" t="n"/>
      <c r="AO52" s="3680" t="n"/>
      <c r="AP52" s="1138" t="n"/>
      <c r="AQ52" s="218">
        <f>CA52&amp;CB52</f>
        <v/>
      </c>
      <c r="BV52" s="226" t="n"/>
      <c r="BW52" s="226" t="n"/>
      <c r="BX52" s="226" t="n"/>
      <c r="BY52" s="226" t="n"/>
      <c r="CA52" s="226" t="n"/>
      <c r="CB52" s="910">
        <f>IF(CM52=1," * El total de Ingresos debe ser igual a la suma de los Tipos de Estrategia. ","")</f>
        <v/>
      </c>
      <c r="CC52" s="8337" t="n"/>
      <c r="CD52" s="8337" t="n"/>
      <c r="CE52" s="8337" t="n"/>
      <c r="CF52" s="8337" t="n"/>
      <c r="CM52" s="378">
        <f>IF(SUM(AM52:AP52)=B52,0,1)</f>
        <v/>
      </c>
      <c r="CN52" s="374" t="n"/>
      <c r="CO52" s="374" t="n"/>
      <c r="CP52" s="374" t="n"/>
    </row>
    <row r="53" ht="18" customHeight="1" s="8286">
      <c r="A53" s="2" t="inlineStr">
        <is>
          <t>SECCIÓN A.3: EVALUACIÓN INICIAL</t>
        </is>
      </c>
      <c r="B53" s="237" t="n"/>
      <c r="C53" s="9238" t="n"/>
      <c r="D53" s="237" t="n"/>
      <c r="E53" s="237" t="n"/>
      <c r="F53" s="237" t="n"/>
      <c r="G53" s="237" t="n"/>
      <c r="H53" s="237" t="n"/>
      <c r="CA53" s="8337" t="n"/>
      <c r="CB53" s="56" t="n"/>
      <c r="CC53" s="56" t="n"/>
      <c r="CD53" s="56" t="n"/>
      <c r="CE53" s="56" t="n"/>
      <c r="CL53" s="56" t="n"/>
      <c r="CM53" s="8337" t="n"/>
      <c r="CN53" s="56" t="n"/>
      <c r="CO53" s="56" t="n"/>
      <c r="CP53" s="56" t="n"/>
      <c r="CQ53" s="56" t="n"/>
    </row>
    <row r="54" ht="20.25" customHeight="1" s="8286">
      <c r="A54" s="10247" t="inlineStr">
        <is>
          <t>PROFESIONAL</t>
        </is>
      </c>
      <c r="B54" s="9690" t="inlineStr">
        <is>
          <t xml:space="preserve">TOTAL      </t>
        </is>
      </c>
      <c r="C54" s="10535" t="inlineStr">
        <is>
          <t xml:space="preserve">TIPO DE ESTRATEGIA </t>
        </is>
      </c>
      <c r="D54" s="9617" t="n"/>
      <c r="E54" s="9617" t="n"/>
      <c r="F54" s="9597" t="n"/>
      <c r="G54" s="10571" t="inlineStr">
        <is>
          <t xml:space="preserve">MODALIDAD DE REHABILITACIÓN  </t>
        </is>
      </c>
      <c r="H54" s="9648" t="n"/>
    </row>
    <row r="55" ht="31.5" customHeight="1" s="8286">
      <c r="A55" s="9589" t="n"/>
      <c r="B55" s="9589" t="n"/>
      <c r="C55" s="4140" t="inlineStr">
        <is>
          <t xml:space="preserve">Rehabilitación NNA </t>
        </is>
      </c>
      <c r="D55" s="8000" t="inlineStr">
        <is>
          <t>Rehabilitación Integral APS</t>
        </is>
      </c>
      <c r="E55" s="7740" t="inlineStr">
        <is>
          <t xml:space="preserve">Otros Rehabilitación </t>
        </is>
      </c>
      <c r="F55" s="7782" t="inlineStr">
        <is>
          <t>Rehabilitación móvil (rural)</t>
        </is>
      </c>
      <c r="G55" s="4194" t="inlineStr">
        <is>
          <t xml:space="preserve">Presencial (Establecimiento) </t>
        </is>
      </c>
      <c r="H55" s="9168" t="inlineStr">
        <is>
          <t>Domiciliaria</t>
        </is>
      </c>
    </row>
    <row r="56">
      <c r="A56" s="4195" t="inlineStr">
        <is>
          <t xml:space="preserve">Médico/a </t>
        </is>
      </c>
      <c r="B56" s="3231">
        <f>SUM(C56:F56)</f>
        <v/>
      </c>
      <c r="C56" s="4196" t="n"/>
      <c r="D56" s="1945" t="n"/>
      <c r="E56" s="790" t="n"/>
      <c r="F56" s="811" t="n"/>
      <c r="G56" s="1944" t="n"/>
      <c r="H56" s="3946" t="n"/>
      <c r="I56">
        <f>CA56&amp;CB56&amp;CC56</f>
        <v/>
      </c>
      <c r="CA56" s="194">
        <f>IF(AND($B56&gt;0,$G56="")," * No olvide digitar la variable "&amp;$G$54&amp;""&amp;" Presencial (Establecimiento). Digite CERO si no tiene.","")</f>
        <v/>
      </c>
      <c r="CB56" s="194">
        <f>IF(AND($B56&gt;0,$H56="")," * No olvide digitar la variable "&amp;$G$54&amp;""&amp;" Domiciliaria. Digite CERO si no tiene.","")</f>
        <v/>
      </c>
      <c r="CC56" s="194">
        <f>IF(AND($G56+$H56&gt;$B56)," * La variable "&amp;$G$54&amp;""&amp;" No puede ser mayor al Total.","")</f>
        <v/>
      </c>
      <c r="CM56" s="125">
        <f>IF(AND($B56&gt;0,$G56=""),1,0)</f>
        <v/>
      </c>
      <c r="CN56" s="125">
        <f>IF(AND($B56&gt;0,$H56=""),1,0)</f>
        <v/>
      </c>
      <c r="CO56" s="125">
        <f>IF(AND($G56+$H56&gt;$B56),1,0)</f>
        <v/>
      </c>
    </row>
    <row r="57">
      <c r="A57" s="1934" t="inlineStr">
        <is>
          <t xml:space="preserve">Kinesiólogo/a </t>
        </is>
      </c>
      <c r="B57" s="3231">
        <f>SUM(C57:F57)</f>
        <v/>
      </c>
      <c r="C57" s="1274" t="n"/>
      <c r="D57" s="3950" t="n"/>
      <c r="E57" s="1928" t="n"/>
      <c r="F57" s="2432" t="n"/>
      <c r="G57" s="895" t="n"/>
      <c r="H57" s="3942" t="n"/>
      <c r="I57">
        <f>CA57&amp;CB57&amp;CC57</f>
        <v/>
      </c>
      <c r="CA57" s="194">
        <f>IF(AND($B57&gt;0,$G57="")," * No olvide digitar la variable "&amp;$G$54&amp;""&amp;" Presencial (Establecimiento). Digite CERO si no tiene.","")</f>
        <v/>
      </c>
      <c r="CB57" s="194">
        <f>IF(AND($B57&gt;0,$H57="")," * No olvide digitar la variable "&amp;$G$54&amp;""&amp;" Domiciliaria. Digite CERO si no tiene.","")</f>
        <v/>
      </c>
      <c r="CC57" s="194">
        <f>IF(AND($G57+$H57&gt;$B57)," * La variable "&amp;$G$54&amp;""&amp;" No puede ser mayor al Total.","")</f>
        <v/>
      </c>
      <c r="CM57" s="125">
        <f>IF(AND($B57&gt;0,$G57=""),1,0)</f>
        <v/>
      </c>
      <c r="CN57" s="125">
        <f>IF(AND($B57&gt;0,$H57=""),1,0)</f>
        <v/>
      </c>
      <c r="CO57" s="125">
        <f>IF(AND($G57+$H57&gt;$B57),1,0)</f>
        <v/>
      </c>
    </row>
    <row r="58">
      <c r="A58" s="1934" t="inlineStr">
        <is>
          <t xml:space="preserve">Terpeuta Ocupacional </t>
        </is>
      </c>
      <c r="B58" s="3231">
        <f>SUM(C58:F58)</f>
        <v/>
      </c>
      <c r="C58" s="1274" t="n"/>
      <c r="D58" s="3950" t="n"/>
      <c r="E58" s="1928" t="n"/>
      <c r="F58" s="2432" t="n"/>
      <c r="G58" s="895" t="n"/>
      <c r="H58" s="3942" t="n"/>
      <c r="I58">
        <f>CA58&amp;CB58&amp;CC58</f>
        <v/>
      </c>
      <c r="CA58" s="194">
        <f>IF(AND($B58&gt;0,$G58="")," * No olvide digitar la variable "&amp;$G$54&amp;""&amp;" Presencial (Establecimiento). Digite CERO si no tiene.","")</f>
        <v/>
      </c>
      <c r="CB58" s="194">
        <f>IF(AND($B58&gt;0,$H58="")," * No olvide digitar la variable "&amp;$G$54&amp;""&amp;" Domiciliaria. Digite CERO si no tiene.","")</f>
        <v/>
      </c>
      <c r="CC58" s="194">
        <f>IF(AND($G58+$H58&gt;$B58)," * La variable "&amp;$G$54&amp;""&amp;" No puede ser mayor al Total.","")</f>
        <v/>
      </c>
      <c r="CM58" s="125">
        <f>IF(AND($B58&gt;0,$G58=""),1,0)</f>
        <v/>
      </c>
      <c r="CN58" s="125">
        <f>IF(AND($B58&gt;0,$H58=""),1,0)</f>
        <v/>
      </c>
      <c r="CO58" s="125">
        <f>IF(AND($G58+$H58&gt;$B58),1,0)</f>
        <v/>
      </c>
    </row>
    <row r="59">
      <c r="A59" s="1934" t="inlineStr">
        <is>
          <t xml:space="preserve">Fonoaudiólogo/a </t>
        </is>
      </c>
      <c r="B59" s="3231">
        <f>SUM(C59:F59)</f>
        <v/>
      </c>
      <c r="C59" s="1274" t="n"/>
      <c r="D59" s="3950" t="n"/>
      <c r="E59" s="1928" t="n"/>
      <c r="F59" s="2432" t="n"/>
      <c r="G59" s="895" t="n"/>
      <c r="H59" s="3942" t="n"/>
      <c r="I59">
        <f>CA59&amp;CB59&amp;CC59</f>
        <v/>
      </c>
      <c r="CA59" s="194">
        <f>IF(AND($B59&gt;0,$G59="")," * No olvide digitar la variable "&amp;$G$54&amp;""&amp;" Presencial (Establecimiento). Digite CERO si no tiene.","")</f>
        <v/>
      </c>
      <c r="CB59" s="194">
        <f>IF(AND($B59&gt;0,$H59="")," * No olvide digitar la variable "&amp;$G$54&amp;""&amp;" Domiciliaria. Digite CERO si no tiene.","")</f>
        <v/>
      </c>
      <c r="CC59" s="194">
        <f>IF(AND($G59+$H59&gt;$B59)," * La variable "&amp;$G$54&amp;""&amp;" No puede ser mayor al Total.","")</f>
        <v/>
      </c>
      <c r="CM59" s="125">
        <f>IF(AND($B59&gt;0,$G59=""),1,0)</f>
        <v/>
      </c>
      <c r="CN59" s="125">
        <f>IF(AND($B59&gt;0,$H59=""),1,0)</f>
        <v/>
      </c>
      <c r="CO59" s="125">
        <f>IF(AND($G59+$H59&gt;$B59),1,0)</f>
        <v/>
      </c>
    </row>
    <row r="60">
      <c r="A60" s="1934" t="inlineStr">
        <is>
          <t xml:space="preserve">Psicólogo/a </t>
        </is>
      </c>
      <c r="B60" s="3231">
        <f>SUM(C60:F60)</f>
        <v/>
      </c>
      <c r="C60" s="3943" t="n"/>
      <c r="D60" s="4197" t="n"/>
      <c r="E60" s="3944" t="n"/>
      <c r="F60" s="4198" t="n"/>
      <c r="G60" s="4199" t="n"/>
      <c r="H60" s="1277" t="n"/>
      <c r="I60">
        <f>CA60&amp;CB60&amp;CC60</f>
        <v/>
      </c>
      <c r="CA60" s="194">
        <f>IF(AND($B60&gt;0,$G60="")," * No olvide digitar la variable "&amp;$G$54&amp;""&amp;" Presencial (Establecimiento). Digite CERO si no tiene.","")</f>
        <v/>
      </c>
      <c r="CB60" s="194">
        <f>IF(AND($B60&gt;0,$H60="")," * No olvide digitar la variable "&amp;$G$54&amp;""&amp;" Domiciliaria. Digite CERO si no tiene.","")</f>
        <v/>
      </c>
      <c r="CC60" s="194">
        <f>IF(AND($G60+$H60&gt;$B60)," * La variable "&amp;$G$54&amp;""&amp;" No puede ser mayor al Total.","")</f>
        <v/>
      </c>
      <c r="CM60" s="125">
        <f>IF(AND($B60&gt;0,$G60=""),1,0)</f>
        <v/>
      </c>
      <c r="CN60" s="125">
        <f>IF(AND($B60&gt;0,$H60=""),1,0)</f>
        <v/>
      </c>
      <c r="CO60" s="125">
        <f>IF(AND($G60+$H60&gt;$B60),1,0)</f>
        <v/>
      </c>
    </row>
    <row r="61">
      <c r="A61" s="4200" t="inlineStr">
        <is>
          <t>TOTAL</t>
        </is>
      </c>
      <c r="B61" s="4201">
        <f>SUM(B56:B60)</f>
        <v/>
      </c>
      <c r="C61" s="7752">
        <f>SUM(C56:C60)</f>
        <v/>
      </c>
      <c r="D61" s="4202">
        <f>SUM(D56:D60)</f>
        <v/>
      </c>
      <c r="E61" s="4203">
        <f>SUM(E56:E60)</f>
        <v/>
      </c>
      <c r="F61" s="4204">
        <f>SUM(F56:F60)</f>
        <v/>
      </c>
      <c r="G61" s="4205">
        <f>SUM(G56:G60)</f>
        <v/>
      </c>
      <c r="H61" s="7752">
        <f>SUM(H56:H60)</f>
        <v/>
      </c>
    </row>
    <row r="62" ht="18" customHeight="1" s="8286">
      <c r="A62" s="2" t="inlineStr">
        <is>
          <t>SECCIÓN A.4: EVALUACIÓN INTERMEDIA</t>
        </is>
      </c>
      <c r="B62" s="7" t="n"/>
      <c r="C62" s="7" t="n"/>
      <c r="D62" s="1" t="n"/>
      <c r="E62" s="1" t="n"/>
      <c r="F62" s="1" t="n"/>
      <c r="G62" s="1" t="n"/>
      <c r="H62" s="1" t="n"/>
      <c r="I62" s="1" t="n"/>
      <c r="J62" s="1" t="n"/>
      <c r="K62" s="1" t="n"/>
      <c r="L62" s="7" t="n"/>
      <c r="M62" s="7" t="n"/>
      <c r="N62" s="7" t="n"/>
      <c r="O62" s="7" t="n"/>
      <c r="P62" s="7" t="n"/>
      <c r="Q62" s="7" t="n"/>
      <c r="R62" s="7" t="n"/>
      <c r="S62" s="7" t="n"/>
      <c r="T62" s="7" t="n"/>
      <c r="U62" s="7" t="n"/>
      <c r="V62" s="7" t="n"/>
      <c r="W62" s="7" t="n"/>
      <c r="X62" s="7" t="n"/>
      <c r="Y62" s="7" t="n"/>
      <c r="Z62" s="7" t="n"/>
    </row>
    <row r="63">
      <c r="A63" s="10247" t="inlineStr">
        <is>
          <t>PROFESIONAL</t>
        </is>
      </c>
      <c r="B63" s="9920" t="inlineStr">
        <is>
          <t xml:space="preserve">TOTAL      </t>
        </is>
      </c>
      <c r="C63" s="10105" t="inlineStr">
        <is>
          <t>RANGO ETARIO</t>
        </is>
      </c>
      <c r="D63" s="9584" t="n"/>
      <c r="E63" s="9584" t="n"/>
      <c r="F63" s="9584" t="n"/>
      <c r="G63" s="9584" t="n"/>
      <c r="H63" s="9584" t="n"/>
      <c r="I63" s="9584" t="n"/>
      <c r="J63" s="9584" t="n"/>
      <c r="K63" s="9584" t="n"/>
      <c r="L63" s="9584" t="n"/>
      <c r="M63" s="9584" t="n"/>
      <c r="N63" s="9584" t="n"/>
      <c r="O63" s="9584" t="n"/>
      <c r="P63" s="9584" t="n"/>
      <c r="Q63" s="9584" t="n"/>
      <c r="R63" s="9584" t="n"/>
      <c r="S63" s="9647" t="n"/>
      <c r="T63" s="10413" t="inlineStr">
        <is>
          <t xml:space="preserve">TIPO DE ESTRATEGIA </t>
        </is>
      </c>
      <c r="U63" s="9617" t="n"/>
      <c r="V63" s="9617" t="n"/>
      <c r="W63" s="9648" t="n"/>
      <c r="X63" s="10572" t="inlineStr">
        <is>
          <t xml:space="preserve">MODALIDAD DE REHABILITACIÓN   </t>
        </is>
      </c>
      <c r="Y63" s="9584" t="n"/>
      <c r="Z63" s="9582" t="n"/>
    </row>
    <row r="64" ht="31.5" customHeight="1" s="8286">
      <c r="A64" s="9589" t="n"/>
      <c r="B64" s="9641" t="n"/>
      <c r="C64" s="4206" t="inlineStr">
        <is>
          <t>0 a 4 años</t>
        </is>
      </c>
      <c r="D64" s="4207" t="inlineStr">
        <is>
          <t>5 a 9 años</t>
        </is>
      </c>
      <c r="E64" s="4207" t="inlineStr">
        <is>
          <t>10 - 14</t>
        </is>
      </c>
      <c r="F64" s="4207" t="inlineStr">
        <is>
          <t xml:space="preserve">15 - 19 </t>
        </is>
      </c>
      <c r="G64" s="4207" t="inlineStr">
        <is>
          <t xml:space="preserve">20 - 24 </t>
        </is>
      </c>
      <c r="H64" s="4207" t="inlineStr">
        <is>
          <t>25-29</t>
        </is>
      </c>
      <c r="I64" s="4207" t="inlineStr">
        <is>
          <t>30-34</t>
        </is>
      </c>
      <c r="J64" s="4207" t="inlineStr">
        <is>
          <t>35 - 39</t>
        </is>
      </c>
      <c r="K64" s="4207" t="inlineStr">
        <is>
          <t>40 - 44</t>
        </is>
      </c>
      <c r="L64" s="4207" t="inlineStr">
        <is>
          <t>45- 49</t>
        </is>
      </c>
      <c r="M64" s="4207" t="inlineStr">
        <is>
          <t>50 - 54</t>
        </is>
      </c>
      <c r="N64" s="4207" t="inlineStr">
        <is>
          <t>55 - 59</t>
        </is>
      </c>
      <c r="O64" s="4207" t="inlineStr">
        <is>
          <t>60 - 64</t>
        </is>
      </c>
      <c r="P64" s="4207" t="inlineStr">
        <is>
          <t>65 - 69</t>
        </is>
      </c>
      <c r="Q64" s="4207" t="inlineStr">
        <is>
          <t>70 - 74</t>
        </is>
      </c>
      <c r="R64" s="4207" t="inlineStr">
        <is>
          <t>75 - 79</t>
        </is>
      </c>
      <c r="S64" s="4208" t="inlineStr">
        <is>
          <t>80 y más años</t>
        </is>
      </c>
      <c r="T64" s="4140" t="inlineStr">
        <is>
          <t>Rehabilitación NNA</t>
        </is>
      </c>
      <c r="U64" s="4141" t="inlineStr">
        <is>
          <t>Rehabilitación Integral APS</t>
        </is>
      </c>
      <c r="V64" s="9178" t="inlineStr">
        <is>
          <t xml:space="preserve">Otros Rehabilitación </t>
        </is>
      </c>
      <c r="W64" s="9178" t="inlineStr">
        <is>
          <t>Rehabilitación móvil (rural)</t>
        </is>
      </c>
      <c r="X64" s="4210" t="inlineStr">
        <is>
          <t>Presencial (Establecimiento)</t>
        </is>
      </c>
      <c r="Y64" s="9178" t="inlineStr">
        <is>
          <t>A distancia</t>
        </is>
      </c>
      <c r="Z64" s="9162" t="inlineStr">
        <is>
          <t>Domiciliaria</t>
        </is>
      </c>
    </row>
    <row r="65">
      <c r="A65" s="1934" t="inlineStr">
        <is>
          <t xml:space="preserve">Kinesiólogo/a </t>
        </is>
      </c>
      <c r="B65" s="2557">
        <f>SUM(C65:S65)</f>
        <v/>
      </c>
      <c r="C65" s="1274" t="n"/>
      <c r="D65" s="1928" t="n"/>
      <c r="E65" s="1928" t="n"/>
      <c r="F65" s="1928" t="n"/>
      <c r="G65" s="1928" t="n"/>
      <c r="H65" s="1928" t="n"/>
      <c r="I65" s="1928" t="n"/>
      <c r="J65" s="1928" t="n"/>
      <c r="K65" s="1928" t="n"/>
      <c r="L65" s="1928" t="n"/>
      <c r="M65" s="1928" t="n"/>
      <c r="N65" s="1928" t="n"/>
      <c r="O65" s="1928" t="n"/>
      <c r="P65" s="1928" t="n"/>
      <c r="Q65" s="1928" t="n"/>
      <c r="R65" s="1928" t="n"/>
      <c r="S65" s="4211" t="n"/>
      <c r="T65" s="1432" t="n"/>
      <c r="U65" s="793" t="n"/>
      <c r="V65" s="793" t="n"/>
      <c r="W65" s="3805" t="n"/>
      <c r="X65" s="1935" t="n"/>
      <c r="Y65" s="793" t="n"/>
      <c r="Z65" s="3805" t="n"/>
      <c r="AA65" s="218">
        <f>CA65&amp;CB65</f>
        <v/>
      </c>
      <c r="BF65" s="226" t="n"/>
      <c r="BG65" s="226" t="n"/>
      <c r="BH65" s="226" t="n"/>
      <c r="BI65" s="226" t="n"/>
      <c r="BJ65" s="226" t="n"/>
      <c r="BK65" s="226" t="n"/>
      <c r="BL65" s="226" t="n"/>
      <c r="BM65" s="226" t="n"/>
      <c r="BN65" s="226" t="n"/>
      <c r="BO65" s="226" t="n"/>
      <c r="BP65" s="226" t="n"/>
      <c r="BQ65" s="226" t="n"/>
      <c r="BR65" s="226" t="n"/>
      <c r="BS65" s="226" t="n"/>
      <c r="BT65" s="226" t="n"/>
      <c r="BU65" s="226" t="n"/>
      <c r="BV65" s="226" t="n"/>
      <c r="BW65" s="226" t="n"/>
      <c r="BX65" s="226" t="n"/>
      <c r="BY65" s="226" t="n"/>
      <c r="BZ65" s="226" t="n"/>
      <c r="CA65" s="219">
        <f>IF(T65+U65+V65+W65&lt;&gt;$B65,"* La suma de "&amp;T$63&amp;""&amp;" no debe ser distinto del Total. ","")</f>
        <v/>
      </c>
      <c r="CB65" s="219">
        <f>IF(X65+Y65+Z65&gt;$B65,"* La suma de "&amp;X$63&amp;""&amp;" no puede superar el Total. ","")</f>
        <v/>
      </c>
      <c r="CE65" s="226" t="n"/>
      <c r="CL65" s="226" t="n"/>
      <c r="CM65" s="221">
        <f>IF(T65+U65+V65+W65&lt;&gt;$B65,1,0)</f>
        <v/>
      </c>
      <c r="CN65" s="221">
        <f>IF(X65+Y65+Z65&gt;$B65,1,0)</f>
        <v/>
      </c>
    </row>
    <row r="66">
      <c r="A66" s="1934" t="inlineStr">
        <is>
          <t xml:space="preserve">Terpeuta Ocupacional </t>
        </is>
      </c>
      <c r="B66" s="1244">
        <f>SUM(C66:S66)</f>
        <v/>
      </c>
      <c r="C66" s="1274" t="n"/>
      <c r="D66" s="1928" t="n"/>
      <c r="E66" s="1928" t="n"/>
      <c r="F66" s="1928" t="n"/>
      <c r="G66" s="1928" t="n"/>
      <c r="H66" s="1928" t="n"/>
      <c r="I66" s="1928" t="n"/>
      <c r="J66" s="1928" t="n"/>
      <c r="K66" s="1928" t="n"/>
      <c r="L66" s="1928" t="n"/>
      <c r="M66" s="1928" t="n"/>
      <c r="N66" s="1928" t="n"/>
      <c r="O66" s="1928" t="n"/>
      <c r="P66" s="1928" t="n"/>
      <c r="Q66" s="1928" t="n"/>
      <c r="R66" s="1928" t="n"/>
      <c r="S66" s="4211" t="n"/>
      <c r="T66" s="3789" t="n"/>
      <c r="U66" s="2001" t="n"/>
      <c r="V66" s="2001" t="n"/>
      <c r="W66" s="3788" t="n"/>
      <c r="X66" s="1172" t="n"/>
      <c r="Y66" s="2001" t="n"/>
      <c r="Z66" s="3788" t="n"/>
      <c r="AA66" s="218">
        <f>CA66&amp;CB66</f>
        <v/>
      </c>
      <c r="BF66" s="226" t="n"/>
      <c r="BG66" s="226" t="n"/>
      <c r="BH66" s="226" t="n"/>
      <c r="BI66" s="226" t="n"/>
      <c r="BJ66" s="226" t="n"/>
      <c r="BK66" s="226" t="n"/>
      <c r="BL66" s="226" t="n"/>
      <c r="BM66" s="226" t="n"/>
      <c r="BN66" s="226" t="n"/>
      <c r="BO66" s="226" t="n"/>
      <c r="BP66" s="226" t="n"/>
      <c r="BQ66" s="226" t="n"/>
      <c r="BR66" s="226" t="n"/>
      <c r="BS66" s="226" t="n"/>
      <c r="BT66" s="226" t="n"/>
      <c r="BU66" s="226" t="n"/>
      <c r="BV66" s="226" t="n"/>
      <c r="BW66" s="226" t="n"/>
      <c r="BX66" s="226" t="n"/>
      <c r="BY66" s="226" t="n"/>
      <c r="BZ66" s="226" t="n"/>
      <c r="CA66" s="219">
        <f>IF(T66+U66+V66+W66&lt;&gt;$B66,"* La suma de "&amp;T$63&amp;""&amp;" no debe ser distinto del Total. ","")</f>
        <v/>
      </c>
      <c r="CB66" s="219">
        <f>IF(X66+Y66+Z66&gt;$B66,"* La suma de "&amp;X$63&amp;""&amp;" no puede superar el Total. ","")</f>
        <v/>
      </c>
      <c r="CE66" s="226" t="n"/>
      <c r="CL66" s="226" t="n"/>
      <c r="CM66" s="221">
        <f>IF(T66+U66+V66+W66&lt;&gt;$B66,1,0)</f>
        <v/>
      </c>
      <c r="CN66" s="221">
        <f>IF(X66+Y66+Z66&gt;$B66,1,0)</f>
        <v/>
      </c>
    </row>
    <row r="67">
      <c r="A67" s="1934" t="inlineStr">
        <is>
          <t xml:space="preserve">Fonoaudiólogo/a </t>
        </is>
      </c>
      <c r="B67" s="1244">
        <f>SUM(C67:S67)</f>
        <v/>
      </c>
      <c r="C67" s="1274" t="n"/>
      <c r="D67" s="1928" t="n"/>
      <c r="E67" s="1928" t="n"/>
      <c r="F67" s="1928" t="n"/>
      <c r="G67" s="1928" t="n"/>
      <c r="H67" s="1928" t="n"/>
      <c r="I67" s="1928" t="n"/>
      <c r="J67" s="1928" t="n"/>
      <c r="K67" s="1928" t="n"/>
      <c r="L67" s="1928" t="n"/>
      <c r="M67" s="1928" t="n"/>
      <c r="N67" s="1928" t="n"/>
      <c r="O67" s="1928" t="n"/>
      <c r="P67" s="1928" t="n"/>
      <c r="Q67" s="1928" t="n"/>
      <c r="R67" s="1928" t="n"/>
      <c r="S67" s="4211" t="n"/>
      <c r="T67" s="3789" t="n"/>
      <c r="U67" s="2001" t="n"/>
      <c r="V67" s="2001" t="n"/>
      <c r="W67" s="3788" t="n"/>
      <c r="X67" s="1172" t="n"/>
      <c r="Y67" s="2001" t="n"/>
      <c r="Z67" s="3788" t="n"/>
      <c r="AA67" s="218">
        <f>CA67&amp;CB67</f>
        <v/>
      </c>
      <c r="BF67" s="226" t="n"/>
      <c r="BG67" s="226" t="n"/>
      <c r="BH67" s="226" t="n"/>
      <c r="BI67" s="226" t="n"/>
      <c r="BJ67" s="226" t="n"/>
      <c r="BK67" s="226" t="n"/>
      <c r="BL67" s="226" t="n"/>
      <c r="BM67" s="226" t="n"/>
      <c r="BN67" s="226" t="n"/>
      <c r="BO67" s="226" t="n"/>
      <c r="BP67" s="226" t="n"/>
      <c r="BQ67" s="226" t="n"/>
      <c r="BR67" s="226" t="n"/>
      <c r="BS67" s="226" t="n"/>
      <c r="BT67" s="226" t="n"/>
      <c r="BU67" s="226" t="n"/>
      <c r="BV67" s="226" t="n"/>
      <c r="BW67" s="226" t="n"/>
      <c r="BX67" s="226" t="n"/>
      <c r="BY67" s="226" t="n"/>
      <c r="BZ67" s="226" t="n"/>
      <c r="CA67" s="219">
        <f>IF(T67+U67+V67+W67&lt;&gt;$B67,"* La suma de "&amp;T$63&amp;""&amp;" no debe ser distinto del Total. ","")</f>
        <v/>
      </c>
      <c r="CB67" s="219">
        <f>IF(X67+Y67+Z67&gt;$B67,"* La suma de "&amp;X$63&amp;""&amp;" no puede superar el Total. ","")</f>
        <v/>
      </c>
      <c r="CE67" s="226" t="n"/>
      <c r="CL67" s="226" t="n"/>
      <c r="CM67" s="221">
        <f>IF(T67+U67+V67+W67&lt;&gt;$B67,1,0)</f>
        <v/>
      </c>
      <c r="CN67" s="221">
        <f>IF(X67+Y67+Z67&gt;$B67,1,0)</f>
        <v/>
      </c>
    </row>
    <row r="68">
      <c r="A68" s="1934" t="inlineStr">
        <is>
          <t xml:space="preserve">Psicólogo/a </t>
        </is>
      </c>
      <c r="B68" s="4212">
        <f>SUM(C68:S68)</f>
        <v/>
      </c>
      <c r="C68" s="1274" t="n"/>
      <c r="D68" s="1928" t="n"/>
      <c r="E68" s="1928" t="n"/>
      <c r="F68" s="1928" t="n"/>
      <c r="G68" s="1928" t="n"/>
      <c r="H68" s="1928" t="n"/>
      <c r="I68" s="1928" t="n"/>
      <c r="J68" s="1928" t="n"/>
      <c r="K68" s="1928" t="n"/>
      <c r="L68" s="1928" t="n"/>
      <c r="M68" s="1928" t="n"/>
      <c r="N68" s="1928" t="n"/>
      <c r="O68" s="1928" t="n"/>
      <c r="P68" s="1928" t="n"/>
      <c r="Q68" s="1928" t="n"/>
      <c r="R68" s="1928" t="n"/>
      <c r="S68" s="4211" t="n"/>
      <c r="T68" s="3818" t="n"/>
      <c r="U68" s="3599" t="n"/>
      <c r="V68" s="3599" t="n"/>
      <c r="W68" s="1192" t="n"/>
      <c r="X68" s="3808" t="n"/>
      <c r="Y68" s="3599" t="n"/>
      <c r="Z68" s="1192" t="n"/>
      <c r="AA68" s="218">
        <f>CA68&amp;CB68</f>
        <v/>
      </c>
      <c r="BF68" s="226" t="n"/>
      <c r="BG68" s="226" t="n"/>
      <c r="BH68" s="226" t="n"/>
      <c r="BI68" s="226" t="n"/>
      <c r="BJ68" s="226" t="n"/>
      <c r="BK68" s="226" t="n"/>
      <c r="BL68" s="226" t="n"/>
      <c r="BM68" s="226" t="n"/>
      <c r="BN68" s="226" t="n"/>
      <c r="BO68" s="226" t="n"/>
      <c r="BP68" s="226" t="n"/>
      <c r="BQ68" s="226" t="n"/>
      <c r="BR68" s="226" t="n"/>
      <c r="BS68" s="226" t="n"/>
      <c r="BT68" s="226" t="n"/>
      <c r="BU68" s="226" t="n"/>
      <c r="BV68" s="226" t="n"/>
      <c r="BW68" s="226" t="n"/>
      <c r="BX68" s="226" t="n"/>
      <c r="BY68" s="226" t="n"/>
      <c r="BZ68" s="226" t="n"/>
      <c r="CA68" s="219">
        <f>IF(T68+U68+V68+W68&lt;&gt;$B68,"* La suma de "&amp;T$63&amp;""&amp;" no debe ser distinto del Total. ","")</f>
        <v/>
      </c>
      <c r="CB68" s="219">
        <f>IF(X68+Y68+Z68&gt;$B68,"* La suma de "&amp;X$63&amp;""&amp;" no puede superar el Total. ","")</f>
        <v/>
      </c>
      <c r="CE68" s="226" t="n"/>
      <c r="CL68" s="226" t="n"/>
      <c r="CM68" s="221">
        <f>IF(T68+U68+V68+W68&lt;&gt;$B68,1,0)</f>
        <v/>
      </c>
      <c r="CN68" s="221">
        <f>IF(X68+Y68+Z68&gt;$B68,1,0)</f>
        <v/>
      </c>
    </row>
    <row r="69">
      <c r="A69" s="4200" t="inlineStr">
        <is>
          <t>TOTAL</t>
        </is>
      </c>
      <c r="B69" s="4213">
        <f>SUM(B65:B68)</f>
        <v/>
      </c>
      <c r="C69" s="4214">
        <f>SUM(C65:C68)</f>
        <v/>
      </c>
      <c r="D69" s="4215">
        <f>SUM(D65:D68)</f>
        <v/>
      </c>
      <c r="E69" s="4215">
        <f>SUM(E65:E68)</f>
        <v/>
      </c>
      <c r="F69" s="4215">
        <f>SUM(F65:F68)</f>
        <v/>
      </c>
      <c r="G69" s="4215">
        <f>SUM(G65:G68)</f>
        <v/>
      </c>
      <c r="H69" s="4215">
        <f>SUM(H65:H68)</f>
        <v/>
      </c>
      <c r="I69" s="4215">
        <f>SUM(I65:I68)</f>
        <v/>
      </c>
      <c r="J69" s="4215">
        <f>SUM(J65:J68)</f>
        <v/>
      </c>
      <c r="K69" s="4215">
        <f>SUM(K65:K68)</f>
        <v/>
      </c>
      <c r="L69" s="4215">
        <f>SUM(L65:L68)</f>
        <v/>
      </c>
      <c r="M69" s="4215">
        <f>SUM(M65:M68)</f>
        <v/>
      </c>
      <c r="N69" s="4215">
        <f>SUM(N65:N68)</f>
        <v/>
      </c>
      <c r="O69" s="4215">
        <f>SUM(O65:O68)</f>
        <v/>
      </c>
      <c r="P69" s="4215">
        <f>SUM(P65:P68)</f>
        <v/>
      </c>
      <c r="Q69" s="4215">
        <f>SUM(Q65:Q68)</f>
        <v/>
      </c>
      <c r="R69" s="4215">
        <f>SUM(R65:R68)</f>
        <v/>
      </c>
      <c r="S69" s="4216">
        <f>SUM(S65:S68)</f>
        <v/>
      </c>
      <c r="T69" s="4217">
        <f>SUM(T65:T68)</f>
        <v/>
      </c>
      <c r="U69" s="4215">
        <f>SUM(U65:U68)</f>
        <v/>
      </c>
      <c r="V69" s="4215">
        <f>SUM(V65:V68)</f>
        <v/>
      </c>
      <c r="W69" s="4218">
        <f>SUM(W65:W68)</f>
        <v/>
      </c>
      <c r="X69" s="4214">
        <f>SUM(X65:X68)</f>
        <v/>
      </c>
      <c r="Y69" s="4215">
        <f>SUM(Y65:Y68)</f>
        <v/>
      </c>
      <c r="Z69" s="4218">
        <f>SUM(Z65:Z68)</f>
        <v/>
      </c>
    </row>
    <row r="70" ht="18" customHeight="1" s="8286">
      <c r="A70" s="2" t="inlineStr">
        <is>
          <t>SECCIÓN A.5: SESIONES DE REHABILITACIÓN</t>
        </is>
      </c>
      <c r="B70" s="7" t="n"/>
      <c r="C70" s="7" t="n"/>
      <c r="D70" s="7" t="n"/>
      <c r="E70" s="7" t="n"/>
      <c r="F70" s="7" t="n"/>
      <c r="G70" s="7" t="n"/>
      <c r="H70" s="7" t="n"/>
      <c r="I70" s="7" t="n"/>
      <c r="J70" s="7" t="n"/>
      <c r="K70" s="7" t="n"/>
      <c r="L70" s="7" t="n"/>
      <c r="M70" s="7" t="n"/>
      <c r="N70" s="7" t="n"/>
      <c r="O70" s="7" t="n"/>
      <c r="P70" s="7" t="n"/>
      <c r="Q70" s="7" t="n"/>
      <c r="R70" s="7" t="n"/>
      <c r="S70" s="7" t="n"/>
      <c r="T70" s="7" t="n"/>
      <c r="U70" s="7" t="n"/>
      <c r="V70" s="7" t="n"/>
      <c r="W70" s="7" t="n"/>
      <c r="X70" s="7" t="n"/>
      <c r="Y70" s="7" t="n"/>
      <c r="Z70" s="7" t="n"/>
    </row>
    <row r="71">
      <c r="A71" s="10247" t="inlineStr">
        <is>
          <t>PROFESIONAL</t>
        </is>
      </c>
      <c r="B71" s="9690" t="inlineStr">
        <is>
          <t xml:space="preserve">TOTAL      </t>
        </is>
      </c>
      <c r="C71" s="10105" t="inlineStr">
        <is>
          <t>RANGO ETARIO</t>
        </is>
      </c>
      <c r="D71" s="9584" t="n"/>
      <c r="E71" s="9584" t="n"/>
      <c r="F71" s="9584" t="n"/>
      <c r="G71" s="9584" t="n"/>
      <c r="H71" s="9584" t="n"/>
      <c r="I71" s="9584" t="n"/>
      <c r="J71" s="9584" t="n"/>
      <c r="K71" s="9584" t="n"/>
      <c r="L71" s="9584" t="n"/>
      <c r="M71" s="9584" t="n"/>
      <c r="N71" s="9584" t="n"/>
      <c r="O71" s="9584" t="n"/>
      <c r="P71" s="9584" t="n"/>
      <c r="Q71" s="9584" t="n"/>
      <c r="R71" s="9584" t="n"/>
      <c r="S71" s="9647" t="n"/>
      <c r="T71" s="9977" t="inlineStr">
        <is>
          <t xml:space="preserve">TIPO DE ESTRATEGIA </t>
        </is>
      </c>
      <c r="U71" s="9584" t="n"/>
      <c r="V71" s="9584" t="n"/>
      <c r="W71" s="9582" t="n"/>
      <c r="X71" s="10572" t="inlineStr">
        <is>
          <t xml:space="preserve">MODALIDAD DE REHABILITACIÓN   </t>
        </is>
      </c>
      <c r="Y71" s="9584" t="n"/>
      <c r="Z71" s="9582" t="n"/>
    </row>
    <row r="72" ht="31.5" customHeight="1" s="8286">
      <c r="A72" s="9589" t="n"/>
      <c r="B72" s="9589" t="n"/>
      <c r="C72" s="4206" t="inlineStr">
        <is>
          <t>0 a 4 años</t>
        </is>
      </c>
      <c r="D72" s="4207" t="inlineStr">
        <is>
          <t>5 a 9 años</t>
        </is>
      </c>
      <c r="E72" s="4207" t="inlineStr">
        <is>
          <t>10 - 14</t>
        </is>
      </c>
      <c r="F72" s="4207" t="inlineStr">
        <is>
          <t xml:space="preserve">15 - 19 </t>
        </is>
      </c>
      <c r="G72" s="4207" t="inlineStr">
        <is>
          <t xml:space="preserve">20 - 24 </t>
        </is>
      </c>
      <c r="H72" s="4207" t="inlineStr">
        <is>
          <t>25-29</t>
        </is>
      </c>
      <c r="I72" s="4207" t="inlineStr">
        <is>
          <t>30-34</t>
        </is>
      </c>
      <c r="J72" s="4207" t="inlineStr">
        <is>
          <t>35 - 39</t>
        </is>
      </c>
      <c r="K72" s="4207" t="inlineStr">
        <is>
          <t>40 - 44</t>
        </is>
      </c>
      <c r="L72" s="4207" t="inlineStr">
        <is>
          <t>45- 49</t>
        </is>
      </c>
      <c r="M72" s="4207" t="inlineStr">
        <is>
          <t>50 - 54</t>
        </is>
      </c>
      <c r="N72" s="4207" t="inlineStr">
        <is>
          <t>55 - 59</t>
        </is>
      </c>
      <c r="O72" s="4207" t="inlineStr">
        <is>
          <t>60 - 64</t>
        </is>
      </c>
      <c r="P72" s="4207" t="inlineStr">
        <is>
          <t>65 - 69</t>
        </is>
      </c>
      <c r="Q72" s="4207" t="inlineStr">
        <is>
          <t>70 - 74</t>
        </is>
      </c>
      <c r="R72" s="4207" t="inlineStr">
        <is>
          <t>75 - 79</t>
        </is>
      </c>
      <c r="S72" s="4208" t="inlineStr">
        <is>
          <t>80 y más años</t>
        </is>
      </c>
      <c r="T72" s="4140" t="inlineStr">
        <is>
          <t>Rehabilitación NNA</t>
        </is>
      </c>
      <c r="U72" s="4141" t="inlineStr">
        <is>
          <t>Rehabilitación Integral APS</t>
        </is>
      </c>
      <c r="V72" s="9178" t="inlineStr">
        <is>
          <t xml:space="preserve">Otros Rehabilitación </t>
        </is>
      </c>
      <c r="W72" s="9178" t="inlineStr">
        <is>
          <t>Rehabilitación móvil (rural)</t>
        </is>
      </c>
      <c r="X72" s="4210" t="inlineStr">
        <is>
          <t>Presencial (Establecimiento)</t>
        </is>
      </c>
      <c r="Y72" s="9178" t="inlineStr">
        <is>
          <t>A distancia</t>
        </is>
      </c>
      <c r="Z72" s="9162" t="inlineStr">
        <is>
          <t>Domiciliaria</t>
        </is>
      </c>
    </row>
    <row r="73">
      <c r="A73" s="1934" t="inlineStr">
        <is>
          <t xml:space="preserve">Kinesiólogo/a </t>
        </is>
      </c>
      <c r="B73" s="2557">
        <f>SUM(C73:S73)</f>
        <v/>
      </c>
      <c r="C73" s="1274" t="n"/>
      <c r="D73" s="1928" t="n"/>
      <c r="E73" s="1928" t="n"/>
      <c r="F73" s="1928" t="n"/>
      <c r="G73" s="1928" t="n"/>
      <c r="H73" s="1928" t="n"/>
      <c r="I73" s="1928" t="n"/>
      <c r="J73" s="1928" t="n"/>
      <c r="K73" s="1928" t="n"/>
      <c r="L73" s="1928" t="n"/>
      <c r="M73" s="1928" t="n"/>
      <c r="N73" s="1928" t="n"/>
      <c r="O73" s="1928" t="n"/>
      <c r="P73" s="1928" t="n"/>
      <c r="Q73" s="1928" t="n"/>
      <c r="R73" s="1928" t="n"/>
      <c r="S73" s="4211" t="n"/>
      <c r="T73" s="1935" t="n"/>
      <c r="U73" s="1432" t="n"/>
      <c r="V73" s="793" t="n"/>
      <c r="W73" s="793" t="n"/>
      <c r="X73" s="1935" t="n"/>
      <c r="Y73" s="793" t="n"/>
      <c r="Z73" s="3805" t="n"/>
      <c r="AA73" s="218">
        <f>CA73&amp;CB73</f>
        <v/>
      </c>
      <c r="BF73" s="226" t="n"/>
      <c r="BG73" s="226" t="n"/>
      <c r="BH73" s="226" t="n"/>
      <c r="BI73" s="226" t="n"/>
      <c r="BJ73" s="226" t="n"/>
      <c r="BK73" s="226" t="n"/>
      <c r="BL73" s="226" t="n"/>
      <c r="BM73" s="226" t="n"/>
      <c r="BN73" s="226" t="n"/>
      <c r="BO73" s="226" t="n"/>
      <c r="BP73" s="226" t="n"/>
      <c r="BQ73" s="226" t="n"/>
      <c r="BR73" s="226" t="n"/>
      <c r="BS73" s="226" t="n"/>
      <c r="BT73" s="226" t="n"/>
      <c r="BU73" s="226" t="n"/>
      <c r="BV73" s="226" t="n"/>
      <c r="BW73" s="226" t="n"/>
      <c r="BX73" s="226" t="n"/>
      <c r="BY73" s="226" t="n"/>
      <c r="BZ73" s="226" t="n"/>
      <c r="CA73" s="219">
        <f>IF(T73+U73+V73+W73&lt;&gt;$B73,"* La suma de "&amp;T$71&amp;""&amp;" no debe ser distinto del Total. ","")</f>
        <v/>
      </c>
      <c r="CB73" s="219">
        <f>IF(X73+Y73+Z73&gt;$B73,"* La suma de "&amp;X$71&amp;""&amp;" no puede superar el Total. ","")</f>
        <v/>
      </c>
      <c r="CE73" s="226" t="n"/>
      <c r="CL73" s="226" t="n"/>
      <c r="CM73" s="221">
        <f>IF(T73+U73+V73+W73&lt;&gt;$B73,1,0)</f>
        <v/>
      </c>
      <c r="CN73" s="221">
        <f>IF(X73+Y73+Z73&gt;$B73,1,0)</f>
        <v/>
      </c>
    </row>
    <row r="74">
      <c r="A74" s="1934" t="inlineStr">
        <is>
          <t xml:space="preserve">Terpeuta Ocupacional </t>
        </is>
      </c>
      <c r="B74" s="1244">
        <f>SUM(C74:S74)</f>
        <v/>
      </c>
      <c r="C74" s="1274" t="n"/>
      <c r="D74" s="1928" t="n"/>
      <c r="E74" s="1928" t="n"/>
      <c r="F74" s="1928" t="n"/>
      <c r="G74" s="1928" t="n"/>
      <c r="H74" s="1928" t="n"/>
      <c r="I74" s="1928" t="n"/>
      <c r="J74" s="1928" t="n"/>
      <c r="K74" s="1928" t="n"/>
      <c r="L74" s="1928" t="n"/>
      <c r="M74" s="1928" t="n"/>
      <c r="N74" s="1928" t="n"/>
      <c r="O74" s="1928" t="n"/>
      <c r="P74" s="1928" t="n"/>
      <c r="Q74" s="1928" t="n"/>
      <c r="R74" s="1928" t="n"/>
      <c r="S74" s="4211" t="n"/>
      <c r="T74" s="1172" t="n"/>
      <c r="U74" s="3789" t="n"/>
      <c r="V74" s="2001" t="n"/>
      <c r="W74" s="2001" t="n"/>
      <c r="X74" s="1172" t="n"/>
      <c r="Y74" s="2001" t="n"/>
      <c r="Z74" s="3788" t="n"/>
      <c r="AA74" s="218">
        <f>CA74&amp;CB74</f>
        <v/>
      </c>
      <c r="BF74" s="226" t="n"/>
      <c r="BG74" s="226" t="n"/>
      <c r="BH74" s="226" t="n"/>
      <c r="BI74" s="226" t="n"/>
      <c r="BJ74" s="226" t="n"/>
      <c r="BK74" s="226" t="n"/>
      <c r="BL74" s="226" t="n"/>
      <c r="BM74" s="226" t="n"/>
      <c r="BN74" s="226" t="n"/>
      <c r="BO74" s="226" t="n"/>
      <c r="BP74" s="226" t="n"/>
      <c r="BQ74" s="226" t="n"/>
      <c r="BR74" s="226" t="n"/>
      <c r="BS74" s="226" t="n"/>
      <c r="BT74" s="226" t="n"/>
      <c r="BU74" s="226" t="n"/>
      <c r="BV74" s="226" t="n"/>
      <c r="BW74" s="226" t="n"/>
      <c r="BX74" s="226" t="n"/>
      <c r="BY74" s="226" t="n"/>
      <c r="BZ74" s="226" t="n"/>
      <c r="CA74" s="219">
        <f>IF(T74+U74+V74+W74&lt;&gt;$B74,"* La suma de "&amp;T$71&amp;""&amp;" no debe ser distinto del Total. ","")</f>
        <v/>
      </c>
      <c r="CB74" s="219">
        <f>IF(X74+Y74+Z74&gt;$B74,"* La suma de "&amp;X$71&amp;""&amp;" no puede superar el Total. ","")</f>
        <v/>
      </c>
      <c r="CE74" s="226" t="n"/>
      <c r="CL74" s="226" t="n"/>
      <c r="CM74" s="221">
        <f>IF(T74+U74+V74+W74&lt;&gt;$B74,1,0)</f>
        <v/>
      </c>
      <c r="CN74" s="221">
        <f>IF(X74+Y74+Z74&gt;$B74,1,0)</f>
        <v/>
      </c>
    </row>
    <row r="75">
      <c r="A75" s="1934" t="inlineStr">
        <is>
          <t xml:space="preserve">Fonoaudiólogo/a </t>
        </is>
      </c>
      <c r="B75" s="1244">
        <f>SUM(C75:S75)</f>
        <v/>
      </c>
      <c r="C75" s="1274" t="n"/>
      <c r="D75" s="1928" t="n"/>
      <c r="E75" s="1928" t="n"/>
      <c r="F75" s="1928" t="n"/>
      <c r="G75" s="1928" t="n"/>
      <c r="H75" s="1928" t="n"/>
      <c r="I75" s="1928" t="n"/>
      <c r="J75" s="1928" t="n"/>
      <c r="K75" s="1928" t="n"/>
      <c r="L75" s="1928" t="n"/>
      <c r="M75" s="1928" t="n"/>
      <c r="N75" s="1928" t="n"/>
      <c r="O75" s="1928" t="n"/>
      <c r="P75" s="1928" t="n"/>
      <c r="Q75" s="1928" t="n"/>
      <c r="R75" s="1928" t="n"/>
      <c r="S75" s="4211" t="n"/>
      <c r="T75" s="1172" t="n"/>
      <c r="U75" s="3789" t="n"/>
      <c r="V75" s="2001" t="n"/>
      <c r="W75" s="2001" t="n"/>
      <c r="X75" s="1172" t="n"/>
      <c r="Y75" s="2001" t="n"/>
      <c r="Z75" s="3788" t="n"/>
      <c r="AA75" s="218">
        <f>CA75&amp;CB75</f>
        <v/>
      </c>
      <c r="BF75" s="226" t="n"/>
      <c r="BG75" s="226" t="n"/>
      <c r="BH75" s="226" t="n"/>
      <c r="BI75" s="226" t="n"/>
      <c r="BJ75" s="226" t="n"/>
      <c r="BK75" s="226" t="n"/>
      <c r="BL75" s="226" t="n"/>
      <c r="BM75" s="226" t="n"/>
      <c r="BN75" s="226" t="n"/>
      <c r="BO75" s="226" t="n"/>
      <c r="BP75" s="226" t="n"/>
      <c r="BQ75" s="226" t="n"/>
      <c r="BR75" s="226" t="n"/>
      <c r="BS75" s="226" t="n"/>
      <c r="BT75" s="226" t="n"/>
      <c r="BU75" s="226" t="n"/>
      <c r="BV75" s="226" t="n"/>
      <c r="BW75" s="226" t="n"/>
      <c r="BX75" s="226" t="n"/>
      <c r="BY75" s="226" t="n"/>
      <c r="BZ75" s="226" t="n"/>
      <c r="CA75" s="219">
        <f>IF(T75+U75+V75+W75&lt;&gt;$B75,"* La suma de "&amp;T$71&amp;""&amp;" no debe ser distinto del Total. ","")</f>
        <v/>
      </c>
      <c r="CB75" s="219">
        <f>IF(X75+Y75+Z75&gt;$B75,"* La suma de "&amp;X$71&amp;""&amp;" no puede superar el Total. ","")</f>
        <v/>
      </c>
      <c r="CE75" s="226" t="n"/>
      <c r="CL75" s="226" t="n"/>
      <c r="CM75" s="221">
        <f>IF(T75+U75+V75+W75&lt;&gt;$B75,1,0)</f>
        <v/>
      </c>
      <c r="CN75" s="221">
        <f>IF(X75+Y75+Z75&gt;$B75,1,0)</f>
        <v/>
      </c>
    </row>
    <row r="76">
      <c r="A76" s="1934" t="inlineStr">
        <is>
          <t xml:space="preserve">Psicólogo/a </t>
        </is>
      </c>
      <c r="B76" s="4212">
        <f>SUM(C76:S76)</f>
        <v/>
      </c>
      <c r="C76" s="1274" t="n"/>
      <c r="D76" s="1928" t="n"/>
      <c r="E76" s="1928" t="n"/>
      <c r="F76" s="1928" t="n"/>
      <c r="G76" s="1928" t="n"/>
      <c r="H76" s="1928" t="n"/>
      <c r="I76" s="1928" t="n"/>
      <c r="J76" s="1928" t="n"/>
      <c r="K76" s="1928" t="n"/>
      <c r="L76" s="1928" t="n"/>
      <c r="M76" s="1928" t="n"/>
      <c r="N76" s="1928" t="n"/>
      <c r="O76" s="1928" t="n"/>
      <c r="P76" s="1928" t="n"/>
      <c r="Q76" s="1928" t="n"/>
      <c r="R76" s="1928" t="n"/>
      <c r="S76" s="4211" t="n"/>
      <c r="T76" s="3808" t="n"/>
      <c r="U76" s="3818" t="n"/>
      <c r="V76" s="3599" t="n"/>
      <c r="W76" s="3599" t="n"/>
      <c r="X76" s="3808" t="n"/>
      <c r="Y76" s="3599" t="n"/>
      <c r="Z76" s="1192" t="n"/>
      <c r="AA76" s="218">
        <f>CA76&amp;CB76</f>
        <v/>
      </c>
      <c r="BF76" s="226" t="n"/>
      <c r="BG76" s="226" t="n"/>
      <c r="BH76" s="226" t="n"/>
      <c r="BI76" s="226" t="n"/>
      <c r="BJ76" s="226" t="n"/>
      <c r="BK76" s="226" t="n"/>
      <c r="BL76" s="226" t="n"/>
      <c r="BM76" s="226" t="n"/>
      <c r="BN76" s="226" t="n"/>
      <c r="BO76" s="226" t="n"/>
      <c r="BP76" s="226" t="n"/>
      <c r="BQ76" s="226" t="n"/>
      <c r="BR76" s="226" t="n"/>
      <c r="BS76" s="226" t="n"/>
      <c r="BT76" s="226" t="n"/>
      <c r="BU76" s="226" t="n"/>
      <c r="BV76" s="226" t="n"/>
      <c r="BW76" s="226" t="n"/>
      <c r="BX76" s="226" t="n"/>
      <c r="BY76" s="226" t="n"/>
      <c r="BZ76" s="226" t="n"/>
      <c r="CA76" s="219">
        <f>IF(T76+U76+V76+W76&lt;&gt;$B76,"* La suma de "&amp;T$71&amp;""&amp;" no debe ser distinto del Total. ","")</f>
        <v/>
      </c>
      <c r="CB76" s="219">
        <f>IF(X76+Y76+Z76&gt;$B76,"* La suma de "&amp;X$71&amp;""&amp;" no puede superar el Total. ","")</f>
        <v/>
      </c>
      <c r="CE76" s="226" t="n"/>
      <c r="CL76" s="226" t="n"/>
      <c r="CM76" s="221">
        <f>IF(T76+U76+V76+W76&lt;&gt;$B76,1,0)</f>
        <v/>
      </c>
      <c r="CN76" s="221">
        <f>IF(X76+Y76+Z76&gt;$B76,1,0)</f>
        <v/>
      </c>
    </row>
    <row r="77">
      <c r="A77" s="4200" t="inlineStr">
        <is>
          <t>TOTAL</t>
        </is>
      </c>
      <c r="B77" s="4213">
        <f>SUM(B73:B76)</f>
        <v/>
      </c>
      <c r="C77" s="4214">
        <f>SUM(C73:C76)</f>
        <v/>
      </c>
      <c r="D77" s="4215">
        <f>SUM(D73:D76)</f>
        <v/>
      </c>
      <c r="E77" s="4215">
        <f>SUM(E73:E76)</f>
        <v/>
      </c>
      <c r="F77" s="4215">
        <f>SUM(F73:F76)</f>
        <v/>
      </c>
      <c r="G77" s="4215">
        <f>SUM(G73:G76)</f>
        <v/>
      </c>
      <c r="H77" s="4215">
        <f>SUM(H73:H76)</f>
        <v/>
      </c>
      <c r="I77" s="4215">
        <f>SUM(I73:I76)</f>
        <v/>
      </c>
      <c r="J77" s="4215">
        <f>SUM(J73:J76)</f>
        <v/>
      </c>
      <c r="K77" s="4215">
        <f>SUM(K73:K76)</f>
        <v/>
      </c>
      <c r="L77" s="4215">
        <f>SUM(L73:L76)</f>
        <v/>
      </c>
      <c r="M77" s="4215">
        <f>SUM(M73:M76)</f>
        <v/>
      </c>
      <c r="N77" s="4215">
        <f>SUM(N73:N76)</f>
        <v/>
      </c>
      <c r="O77" s="4215">
        <f>SUM(O73:O76)</f>
        <v/>
      </c>
      <c r="P77" s="4215">
        <f>SUM(P73:P76)</f>
        <v/>
      </c>
      <c r="Q77" s="4215">
        <f>SUM(Q73:Q76)</f>
        <v/>
      </c>
      <c r="R77" s="4215">
        <f>SUM(R73:R76)</f>
        <v/>
      </c>
      <c r="S77" s="4216">
        <f>SUM(S73:S76)</f>
        <v/>
      </c>
      <c r="T77" s="4219">
        <f>SUM(T73:T76)</f>
        <v/>
      </c>
      <c r="U77" s="4220">
        <f>SUM(U73:U76)</f>
        <v/>
      </c>
      <c r="V77" s="4220">
        <f>SUM(V73:V76)</f>
        <v/>
      </c>
      <c r="W77" s="4221">
        <f>SUM(W73:W76)</f>
        <v/>
      </c>
      <c r="X77" s="4222">
        <f>SUM(X73:X76)</f>
        <v/>
      </c>
      <c r="Y77" s="4220">
        <f>SUM(Y73:Y76)</f>
        <v/>
      </c>
      <c r="Z77" s="4223">
        <f>SUM(Z73:Z76)</f>
        <v/>
      </c>
    </row>
    <row r="78" ht="18" customHeight="1" s="8286">
      <c r="A78" s="8744" t="inlineStr">
        <is>
          <t>SECCIÓN A.6: PROCEDIMIENTOS Y ACTIVIDADES</t>
        </is>
      </c>
      <c r="B78" s="515" t="n"/>
      <c r="C78" s="7" t="n"/>
      <c r="D78" s="3" t="n"/>
      <c r="E78" s="7" t="n"/>
    </row>
    <row r="79" ht="26.25" customHeight="1" s="8286">
      <c r="A79" s="4224" t="inlineStr">
        <is>
          <t>TIPO</t>
        </is>
      </c>
      <c r="B79" s="4140" t="inlineStr">
        <is>
          <t>Rehabilitación NNA</t>
        </is>
      </c>
      <c r="C79" s="4141" t="inlineStr">
        <is>
          <t>Rehabilitación Integral APS</t>
        </is>
      </c>
      <c r="D79" s="9178" t="inlineStr">
        <is>
          <t xml:space="preserve">Otros Rehabilitación </t>
        </is>
      </c>
      <c r="E79" s="4225" t="inlineStr">
        <is>
          <t>Rehabilitación móvil (rural)</t>
        </is>
      </c>
    </row>
    <row r="80" ht="15" customHeight="1" s="8286">
      <c r="A80" s="1326" t="inlineStr">
        <is>
          <t xml:space="preserve">Fisioterapia </t>
        </is>
      </c>
      <c r="B80" s="1935" t="n"/>
      <c r="C80" s="1432" t="n"/>
      <c r="D80" s="793" t="n"/>
      <c r="E80" s="755" t="n"/>
    </row>
    <row r="81" ht="15" customHeight="1" s="8286">
      <c r="A81" s="1326" t="inlineStr">
        <is>
          <t xml:space="preserve">Actividad Física </t>
        </is>
      </c>
      <c r="B81" s="1172" t="n"/>
      <c r="C81" s="3789" t="n"/>
      <c r="D81" s="2001" t="n"/>
      <c r="E81" s="886" t="n"/>
    </row>
    <row r="82" ht="15" customHeight="1" s="8286">
      <c r="A82" s="1326" t="inlineStr">
        <is>
          <t xml:space="preserve">Ejercicios Terapéuticos </t>
        </is>
      </c>
      <c r="B82" s="1172" t="n"/>
      <c r="C82" s="3789" t="n"/>
      <c r="D82" s="2001" t="n"/>
      <c r="E82" s="886" t="n"/>
    </row>
    <row r="83" ht="21.75" customHeight="1" s="8286">
      <c r="A83" s="1215" t="inlineStr">
        <is>
          <t xml:space="preserve">Intervenciones en actividades de la vida diaria, básicas, instrumentadas y avanzadas </t>
        </is>
      </c>
      <c r="B83" s="1172" t="n"/>
      <c r="C83" s="3789" t="n"/>
      <c r="D83" s="2001" t="n"/>
      <c r="E83" s="886" t="n"/>
    </row>
    <row r="84" ht="15" customHeight="1" s="8286">
      <c r="A84" s="1326" t="inlineStr">
        <is>
          <t xml:space="preserve">Habilitación y Rehabilitación Educacional </t>
        </is>
      </c>
      <c r="B84" s="1179" t="n"/>
      <c r="C84" s="204" t="n"/>
      <c r="D84" s="1228" t="n"/>
      <c r="E84" s="1183" t="n"/>
    </row>
    <row r="85" ht="15" customHeight="1" s="8286">
      <c r="A85" s="1326" t="inlineStr">
        <is>
          <t xml:space="preserve">Actividades Terapéuticas </t>
        </is>
      </c>
      <c r="B85" s="1179" t="n"/>
      <c r="C85" s="3789" t="n"/>
      <c r="D85" s="1228" t="n"/>
      <c r="E85" s="1183" t="n"/>
    </row>
    <row r="86" ht="15" customHeight="1" s="8286">
      <c r="A86" s="1326" t="inlineStr">
        <is>
          <t xml:space="preserve">Itegración Sensorial </t>
        </is>
      </c>
      <c r="B86" s="1179" t="n"/>
      <c r="C86" s="3789" t="n"/>
      <c r="D86" s="1228" t="n"/>
      <c r="E86" s="1183" t="n"/>
    </row>
    <row r="87" ht="15" customHeight="1" s="8286">
      <c r="A87" s="1326" t="inlineStr">
        <is>
          <t xml:space="preserve">Adaptación del Hogar </t>
        </is>
      </c>
      <c r="B87" s="1179" t="n"/>
      <c r="C87" s="3789" t="n"/>
      <c r="D87" s="1228" t="n"/>
      <c r="E87" s="1183" t="n"/>
    </row>
    <row r="88" ht="15" customHeight="1" s="8286">
      <c r="A88" s="1326" t="inlineStr">
        <is>
          <t xml:space="preserve">Confecciones Ortesis y/o Adaptaciones </t>
        </is>
      </c>
      <c r="B88" s="1179" t="n"/>
      <c r="C88" s="3789" t="n"/>
      <c r="D88" s="1228" t="n"/>
      <c r="E88" s="1183" t="n"/>
    </row>
    <row r="89" ht="15" customHeight="1" s="8286">
      <c r="A89" s="4226" t="inlineStr">
        <is>
          <t xml:space="preserve">Reparación de Ortesis y/o Adaptaciones </t>
        </is>
      </c>
      <c r="B89" s="1179" t="n"/>
      <c r="C89" s="3789" t="n"/>
      <c r="D89" s="1228" t="n"/>
      <c r="E89" s="1183" t="n"/>
    </row>
    <row r="90" ht="15" customHeight="1" s="8286">
      <c r="A90" s="1326" t="inlineStr">
        <is>
          <t>Habilitación y Rehabilitación Socio-Laboral</t>
        </is>
      </c>
      <c r="B90" s="1179" t="n"/>
      <c r="C90" s="3789" t="n"/>
      <c r="D90" s="1228" t="n"/>
      <c r="E90" s="1183" t="n"/>
    </row>
    <row r="91" ht="15" customHeight="1" s="8286">
      <c r="A91" s="1326" t="inlineStr">
        <is>
          <t xml:space="preserve">Estimulación Cognitiva </t>
        </is>
      </c>
      <c r="B91" s="1179" t="n"/>
      <c r="C91" s="3789" t="n"/>
      <c r="D91" s="1228" t="n"/>
      <c r="E91" s="1183" t="n"/>
    </row>
    <row r="92" ht="15" customHeight="1" s="8286">
      <c r="A92" s="1215" t="inlineStr">
        <is>
          <t xml:space="preserve">Rehabilitación de la Voz,Habla y/o Lenguaje </t>
        </is>
      </c>
      <c r="B92" s="1179" t="n"/>
      <c r="C92" s="3789" t="n"/>
      <c r="D92" s="1228" t="n"/>
      <c r="E92" s="1183" t="n"/>
    </row>
    <row r="93" ht="15" customHeight="1" s="8286">
      <c r="A93" s="680" t="inlineStr">
        <is>
          <t xml:space="preserve">Rehabilitación de la Deglución </t>
        </is>
      </c>
      <c r="B93" s="1179" t="n"/>
      <c r="C93" s="3789" t="n"/>
      <c r="D93" s="1228" t="n"/>
      <c r="E93" s="1183" t="n"/>
    </row>
    <row r="94" ht="15" customHeight="1" s="8286">
      <c r="A94" s="1355" t="inlineStr">
        <is>
          <t xml:space="preserve">Rehabilitacion Vestibular </t>
        </is>
      </c>
      <c r="B94" s="1179" t="n"/>
      <c r="C94" s="3789" t="n"/>
      <c r="D94" s="1228" t="n"/>
      <c r="E94" s="1183" t="n"/>
    </row>
    <row r="95" ht="15" customHeight="1" s="8286">
      <c r="A95" s="1326" t="inlineStr">
        <is>
          <t>Educación a usuario/a, cuidador/a y/o familiar</t>
        </is>
      </c>
      <c r="B95" s="1179" t="n"/>
      <c r="C95" s="3789" t="n"/>
      <c r="D95" s="1228" t="n"/>
      <c r="E95" s="1183" t="n"/>
    </row>
    <row r="96" ht="15" customHeight="1" s="8286">
      <c r="A96" s="1326" t="inlineStr">
        <is>
          <t xml:space="preserve">Atención Psicoterapéutica </t>
        </is>
      </c>
      <c r="B96" s="1179" t="n"/>
      <c r="C96" s="3789" t="n"/>
      <c r="D96" s="1228" t="n"/>
      <c r="E96" s="1183" t="n"/>
    </row>
    <row r="97" ht="15" customHeight="1" s="8286">
      <c r="A97" s="4224" t="inlineStr">
        <is>
          <t>TOTAL</t>
        </is>
      </c>
      <c r="B97" s="4222">
        <f>SUM(B80:B96)</f>
        <v/>
      </c>
      <c r="C97" s="4221">
        <f>SUM(C80:C96)</f>
        <v/>
      </c>
      <c r="D97" s="4220">
        <f>SUM(D80:D96)</f>
        <v/>
      </c>
      <c r="E97" s="4227">
        <f>SUM(E80:E96)</f>
        <v/>
      </c>
    </row>
    <row r="98" ht="18" customHeight="1" s="8286">
      <c r="A98" s="8616" t="inlineStr">
        <is>
          <t>SECCIÓN A.7: CONSEJERÍA INDIVIDUAL AGENDADA</t>
        </is>
      </c>
      <c r="B98" s="7" t="n"/>
      <c r="C98" s="7" t="n"/>
      <c r="D98" s="7" t="n"/>
      <c r="E98" s="7" t="n"/>
    </row>
    <row r="99" ht="25.5" customHeight="1" s="8286">
      <c r="A99" s="4228" t="inlineStr">
        <is>
          <t>PROFESIONAL</t>
        </is>
      </c>
      <c r="B99" s="9178" t="inlineStr">
        <is>
          <t>Rehabilitación NNA</t>
        </is>
      </c>
      <c r="C99" s="4141" t="inlineStr">
        <is>
          <t>Rehabilitación Integral APS</t>
        </is>
      </c>
      <c r="D99" s="9178" t="inlineStr">
        <is>
          <t xml:space="preserve">Otros Rehabilitación </t>
        </is>
      </c>
      <c r="E99" s="4225" t="inlineStr">
        <is>
          <t>Rehabilitación móvil (rural)</t>
        </is>
      </c>
    </row>
    <row r="100">
      <c r="A100" s="1934" t="inlineStr">
        <is>
          <t>Kinesiólogo/a</t>
        </is>
      </c>
      <c r="B100" s="2001" t="n"/>
      <c r="C100" s="3789" t="n"/>
      <c r="D100" s="2001" t="n"/>
      <c r="E100" s="886" t="n"/>
    </row>
    <row r="101">
      <c r="A101" s="1934" t="inlineStr">
        <is>
          <t>Terapeuta Ocupacional</t>
        </is>
      </c>
      <c r="B101" s="2001" t="n"/>
      <c r="C101" s="3789" t="n"/>
      <c r="D101" s="2001" t="n"/>
      <c r="E101" s="886" t="n"/>
    </row>
    <row r="102">
      <c r="A102" s="1934" t="inlineStr">
        <is>
          <t>Fonoaudiólogo/a</t>
        </is>
      </c>
      <c r="B102" s="2001" t="n"/>
      <c r="C102" s="3789" t="n"/>
      <c r="D102" s="2001" t="n"/>
      <c r="E102" s="886" t="n"/>
    </row>
    <row r="103">
      <c r="A103" s="1934" t="inlineStr">
        <is>
          <t>Psicólogo/a</t>
        </is>
      </c>
      <c r="B103" s="2001" t="n"/>
      <c r="C103" s="3789" t="n"/>
      <c r="D103" s="2001" t="n"/>
      <c r="E103" s="886" t="n"/>
    </row>
    <row r="104">
      <c r="A104" s="4229" t="inlineStr">
        <is>
          <t>Trabajador/a social</t>
        </is>
      </c>
      <c r="B104" s="3599" t="n"/>
      <c r="C104" s="3818" t="n"/>
      <c r="D104" s="3599" t="n"/>
      <c r="E104" s="3601" t="n"/>
    </row>
    <row r="105">
      <c r="A105" s="4230" t="inlineStr">
        <is>
          <t>TOTAL</t>
        </is>
      </c>
      <c r="B105" s="4221">
        <f>SUM(B100:B104)</f>
        <v/>
      </c>
      <c r="C105" s="4221">
        <f>SUM(C100:C104)</f>
        <v/>
      </c>
      <c r="D105" s="4220">
        <f>SUM(D100:D104)</f>
        <v/>
      </c>
      <c r="E105" s="4227">
        <f>SUM(E100:E104)</f>
        <v/>
      </c>
    </row>
    <row r="106" ht="18" customHeight="1" s="8286">
      <c r="A106" s="8616" t="inlineStr">
        <is>
          <t>SECCIÓN A.8: CONSEJERÍA FAMILIAR AGENDADA</t>
        </is>
      </c>
      <c r="B106" s="7" t="n"/>
      <c r="C106" s="7" t="n"/>
      <c r="D106" s="7" t="n"/>
      <c r="E106" s="7" t="n"/>
    </row>
    <row r="107" ht="25.5" customHeight="1" s="8286">
      <c r="A107" s="4228" t="inlineStr">
        <is>
          <t>PROFESIONAL</t>
        </is>
      </c>
      <c r="B107" s="9178" t="inlineStr">
        <is>
          <t>Rehabilitación NNA</t>
        </is>
      </c>
      <c r="C107" s="4141" t="inlineStr">
        <is>
          <t>Rehabilitación Integral APS</t>
        </is>
      </c>
      <c r="D107" s="9178" t="inlineStr">
        <is>
          <t xml:space="preserve">Otros Rehabilitación </t>
        </is>
      </c>
      <c r="E107" s="4225" t="inlineStr">
        <is>
          <t>Rehabilitación móvil (rural)</t>
        </is>
      </c>
    </row>
    <row r="108">
      <c r="A108" s="1934" t="inlineStr">
        <is>
          <t>Kinesiólogo/a</t>
        </is>
      </c>
      <c r="B108" s="2001" t="n"/>
      <c r="C108" s="3789" t="n"/>
      <c r="D108" s="2001" t="n"/>
      <c r="E108" s="886" t="n"/>
    </row>
    <row r="109">
      <c r="A109" s="1934" t="inlineStr">
        <is>
          <t>Terapeuta Ocupacional</t>
        </is>
      </c>
      <c r="B109" s="2001" t="n"/>
      <c r="C109" s="3789" t="n"/>
      <c r="D109" s="2001" t="n"/>
      <c r="E109" s="886" t="n"/>
    </row>
    <row r="110">
      <c r="A110" s="1934" t="inlineStr">
        <is>
          <t>Fonoaudiólogo/a</t>
        </is>
      </c>
      <c r="B110" s="2001" t="n"/>
      <c r="C110" s="3789" t="n"/>
      <c r="D110" s="2001" t="n"/>
      <c r="E110" s="886" t="n"/>
    </row>
    <row r="111">
      <c r="A111" s="1934" t="inlineStr">
        <is>
          <t>Psicólogo/a</t>
        </is>
      </c>
      <c r="B111" s="2001" t="n"/>
      <c r="C111" s="3789" t="n"/>
      <c r="D111" s="2001" t="n"/>
      <c r="E111" s="886" t="n"/>
    </row>
    <row r="112">
      <c r="A112" s="4229" t="inlineStr">
        <is>
          <t>Trabajador/a social</t>
        </is>
      </c>
      <c r="B112" s="3599" t="n"/>
      <c r="C112" s="3818" t="n"/>
      <c r="D112" s="3599" t="n"/>
      <c r="E112" s="3601" t="n"/>
    </row>
    <row r="113">
      <c r="A113" s="4230" t="inlineStr">
        <is>
          <t>TOTAL</t>
        </is>
      </c>
      <c r="B113" s="4221">
        <f>SUM(B108:B112)</f>
        <v/>
      </c>
      <c r="C113" s="4221">
        <f>SUM(C108:C112)</f>
        <v/>
      </c>
      <c r="D113" s="4220">
        <f>SUM(D108:D112)</f>
        <v/>
      </c>
      <c r="E113" s="4227">
        <f>SUM(E108:E112)</f>
        <v/>
      </c>
    </row>
    <row r="114" ht="18" customHeight="1" s="8286">
      <c r="A114" s="8744" t="inlineStr">
        <is>
          <t xml:space="preserve">SECCIÓN A.9: INTERVENCIONES TERAPÉUTICAS GRUPALES </t>
        </is>
      </c>
      <c r="B114" s="20" t="n"/>
      <c r="C114" s="20" t="n"/>
      <c r="D114" s="516" t="n"/>
      <c r="E114" s="7" t="n"/>
      <c r="F114" s="7" t="n"/>
      <c r="G114" s="7" t="n"/>
      <c r="H114" s="7" t="n"/>
    </row>
    <row r="115" ht="15" customHeight="1" s="8286">
      <c r="A115" s="10573" t="inlineStr">
        <is>
          <t>ÁREA TEMÁTICA DE PREVENCIÓN Y TRATAMIENTO</t>
        </is>
      </c>
      <c r="B115" s="9694" t="inlineStr">
        <is>
          <t>TOTAL</t>
        </is>
      </c>
      <c r="C115" s="9915" t="inlineStr">
        <is>
          <t xml:space="preserve">TIPO DE ESTRATEGIA </t>
        </is>
      </c>
      <c r="D115" s="9584" t="n"/>
      <c r="E115" s="9584" t="n"/>
      <c r="F115" s="9595" t="n"/>
      <c r="G115" s="10574" t="inlineStr">
        <is>
          <t xml:space="preserve">MODALIDAD DE REHABILITACIÓN </t>
        </is>
      </c>
      <c r="H115" s="9648" t="n"/>
    </row>
    <row r="116" ht="24.75" customHeight="1" s="8286">
      <c r="A116" s="9589" t="n"/>
      <c r="B116" s="9589" t="n"/>
      <c r="C116" s="4140" t="inlineStr">
        <is>
          <t>Rehabilitación NNA</t>
        </is>
      </c>
      <c r="D116" s="4141" t="inlineStr">
        <is>
          <t>Rehabilitación Integral APS</t>
        </is>
      </c>
      <c r="E116" s="9178" t="inlineStr">
        <is>
          <t xml:space="preserve">Otros Rehabilitación </t>
        </is>
      </c>
      <c r="F116" s="4231" t="inlineStr">
        <is>
          <t>Rehabilitación móvil (rural)</t>
        </is>
      </c>
      <c r="G116" s="4232" t="inlineStr">
        <is>
          <t>Presencial (Establecimiento)</t>
        </is>
      </c>
      <c r="H116" s="9162" t="inlineStr">
        <is>
          <t>A distancia</t>
        </is>
      </c>
    </row>
    <row r="117" ht="15" customHeight="1" s="8286">
      <c r="A117" s="4233" t="inlineStr">
        <is>
          <t>Número de personas</t>
        </is>
      </c>
      <c r="B117" s="4234">
        <f>SUM(C117:F117)</f>
        <v/>
      </c>
      <c r="C117" s="4235" t="n"/>
      <c r="D117" s="4236" t="n"/>
      <c r="E117" s="835" t="n"/>
      <c r="F117" s="1940" t="n"/>
      <c r="G117" s="3263" t="n"/>
      <c r="H117" s="4237" t="n"/>
      <c r="I117">
        <f>CA117&amp;CB117&amp;CC117</f>
        <v/>
      </c>
      <c r="CA117" s="194">
        <f>IF(AND($B117&gt;0,$G117="")," * No olvide digitar la variable "&amp;$G$116&amp;""&amp;" . Digite CERO si no tiene.","")</f>
        <v/>
      </c>
      <c r="CB117" s="194">
        <f>IF(AND($B117&gt;0,$H117="")," * No olvide digitar la variable "&amp;$G$115&amp;""&amp;" A distancia. Digite CERO si no tiene.","")</f>
        <v/>
      </c>
      <c r="CC117" s="194">
        <f>IF(AND($G117+$H117&gt;$B117)," * La variable "&amp;$G$115&amp;""&amp;" No puede ser mayor al Total.","")</f>
        <v/>
      </c>
      <c r="CM117" s="125">
        <f>IF(AND($B117&gt;0,$G117=""),1,0)</f>
        <v/>
      </c>
      <c r="CN117" s="125">
        <f>IF(AND($B117&gt;0,$H117=""),1,0)</f>
        <v/>
      </c>
      <c r="CO117" s="125">
        <f>IF(AND($G117+$H117&gt;$B117),1,0)</f>
        <v/>
      </c>
    </row>
    <row r="118" ht="15" customHeight="1" s="8286">
      <c r="A118" s="4238" t="inlineStr">
        <is>
          <t>Número de sesiones</t>
        </is>
      </c>
      <c r="B118" s="4001">
        <f>SUM(C118:F118)</f>
        <v/>
      </c>
      <c r="C118" s="2644" t="n"/>
      <c r="D118" s="2652" t="n"/>
      <c r="E118" s="155" t="n"/>
      <c r="F118" s="176" t="n"/>
      <c r="G118" s="159" t="n"/>
      <c r="H118" s="2645" t="n"/>
      <c r="I118">
        <f>CA118&amp;CB118&amp;CC118</f>
        <v/>
      </c>
      <c r="CA118" s="194">
        <f>IF(AND($B118&gt;0,$G118="")," * No olvide digitar la variable "&amp;$G$116&amp;""&amp;" Presencial (Establecimiento). Digite CERO si no tiene.","")</f>
        <v/>
      </c>
      <c r="CB118" s="194">
        <f>IF(AND($B118&gt;0,$H118="")," * No olvide digitar la variable "&amp;$G$115&amp;""&amp;" A distancia. Digite CERO si no tiene.","")</f>
        <v/>
      </c>
      <c r="CC118" s="194">
        <f>IF(AND($G118+$H118&gt;$B118)," * La variable "&amp;$G$115&amp;""&amp;" No puede ser mayor al Total.","")</f>
        <v/>
      </c>
      <c r="CM118" s="125">
        <f>IF(AND($B118&gt;0,$G118=""),1,0)</f>
        <v/>
      </c>
      <c r="CN118" s="125">
        <f>IF(AND($B118&gt;0,$H118=""),1,0)</f>
        <v/>
      </c>
      <c r="CO118" s="125">
        <f>IF(AND($G118+$H118&gt;$B118),1,0)</f>
        <v/>
      </c>
    </row>
    <row r="119" ht="18" customHeight="1" s="8286">
      <c r="A119" s="646" t="inlineStr">
        <is>
          <t xml:space="preserve">SECCIÓN A.10: PERSONAS QUE LOGRAN PARTICIPACIÓN EN COMUNIDAD </t>
        </is>
      </c>
      <c r="B119" s="20" t="n"/>
      <c r="C119" s="20" t="n"/>
      <c r="D119" s="34" t="n"/>
      <c r="E119" s="4239" t="n"/>
      <c r="F119" s="4240" t="n"/>
      <c r="G119" s="4241" t="n"/>
      <c r="H119" s="4242" t="n"/>
      <c r="I119" s="662" t="n"/>
      <c r="J119" s="662" t="n"/>
      <c r="K119" s="662" t="n"/>
    </row>
    <row r="120">
      <c r="A120" s="10247" t="inlineStr">
        <is>
          <t>COMPONENTE (Nº PERSONAS)</t>
        </is>
      </c>
      <c r="B120" s="9690" t="inlineStr">
        <is>
          <t>TOTAL</t>
        </is>
      </c>
      <c r="C120" s="9498" t="inlineStr">
        <is>
          <t>Laboral</t>
        </is>
      </c>
      <c r="D120" s="9584" t="n"/>
      <c r="E120" s="10562" t="n"/>
      <c r="F120" s="5033" t="inlineStr">
        <is>
          <t>Educativa</t>
        </is>
      </c>
      <c r="G120" s="4821" t="inlineStr">
        <is>
          <t>Comunitario</t>
        </is>
      </c>
      <c r="H120" s="10568" t="inlineStr">
        <is>
          <t xml:space="preserve">TIPO DE ESTRATEGIA </t>
        </is>
      </c>
      <c r="I120" s="9617" t="n"/>
      <c r="J120" s="9617" t="n"/>
      <c r="K120" s="9648" t="n"/>
    </row>
    <row r="121" ht="42" customHeight="1" s="8286">
      <c r="A121" s="9589" t="n"/>
      <c r="B121" s="9589" t="n"/>
      <c r="C121" s="2977" t="inlineStr">
        <is>
          <t>Trabajo con objetivos de habilitación y rehabilitación</t>
        </is>
      </c>
      <c r="D121" s="8687" t="inlineStr">
        <is>
          <t>Trabajo sin objetivos de habilitación y rehabilitación</t>
        </is>
      </c>
      <c r="E121" s="7659" t="inlineStr">
        <is>
          <t>Dueña/o de casa</t>
        </is>
      </c>
      <c r="F121" s="9688" t="n"/>
      <c r="G121" s="10252" t="n"/>
      <c r="H121" s="4232" t="inlineStr">
        <is>
          <t>Rehabilitación NNA</t>
        </is>
      </c>
      <c r="I121" s="9178" t="inlineStr">
        <is>
          <t>Rehabilitación Integral APS</t>
        </is>
      </c>
      <c r="J121" s="9178" t="inlineStr">
        <is>
          <t xml:space="preserve">Otros Rehabilitación </t>
        </is>
      </c>
      <c r="K121" s="4225" t="inlineStr">
        <is>
          <t>Rehabilitación móvil (rural)</t>
        </is>
      </c>
    </row>
    <row r="122" ht="15" customHeight="1" s="8286">
      <c r="A122" s="4244" t="inlineStr">
        <is>
          <t>Condición física</t>
        </is>
      </c>
      <c r="B122" s="4245">
        <f>SUM(C122:G122)</f>
        <v/>
      </c>
      <c r="C122" s="4235" t="n"/>
      <c r="D122" s="835" t="n"/>
      <c r="E122" s="2337" t="n"/>
      <c r="F122" s="4236" t="n"/>
      <c r="G122" s="1940" t="n"/>
      <c r="H122" s="3263" t="n"/>
      <c r="I122" s="835" t="n"/>
      <c r="J122" s="835" t="n"/>
      <c r="K122" s="2337" t="n"/>
      <c r="L122" s="218">
        <f>CA122&amp;CB122&amp;CC122</f>
        <v/>
      </c>
      <c r="AQ122" s="226" t="n"/>
      <c r="AR122" s="226" t="n"/>
      <c r="AS122" s="226" t="n"/>
      <c r="AT122" s="226" t="n"/>
      <c r="AU122" s="226" t="n"/>
      <c r="AV122" s="226" t="n"/>
      <c r="AW122" s="226" t="n"/>
      <c r="AX122" s="226" t="n"/>
      <c r="AY122" s="226" t="n"/>
      <c r="AZ122" s="226" t="n"/>
      <c r="BA122" s="226" t="n"/>
      <c r="BB122" s="226" t="n"/>
      <c r="BC122" s="226" t="n"/>
      <c r="BD122" s="226" t="n"/>
      <c r="BE122" s="226" t="n"/>
      <c r="BF122" s="226" t="n"/>
      <c r="BG122" s="226" t="n"/>
      <c r="BH122" s="226" t="n"/>
      <c r="BI122" s="226" t="n"/>
      <c r="BJ122" s="226" t="n"/>
      <c r="BK122" s="226" t="n"/>
      <c r="BL122" s="226" t="n"/>
      <c r="BM122" s="226" t="n"/>
      <c r="BN122" s="226" t="n"/>
      <c r="BO122" s="226" t="n"/>
      <c r="BP122" s="226" t="n"/>
      <c r="BQ122" s="226" t="n"/>
      <c r="BR122" s="226" t="n"/>
      <c r="BS122" s="226" t="n"/>
      <c r="BT122" s="226" t="n"/>
      <c r="BU122" s="226" t="n"/>
      <c r="BV122" s="226" t="n"/>
      <c r="BW122" s="226" t="n"/>
      <c r="BX122" s="226" t="n"/>
      <c r="BY122" s="226" t="n"/>
      <c r="BZ122" s="226" t="n"/>
      <c r="CA122" s="219">
        <f>IF(H122+I122+J122+K122&lt;&gt;$B122,"* La suma de "&amp;H$120&amp;""&amp;" no debe ser distinto del Total. ","")</f>
        <v/>
      </c>
      <c r="CB122" s="226" t="n"/>
      <c r="CC122" s="226" t="n"/>
      <c r="CD122" s="226" t="n"/>
      <c r="CE122" s="226" t="n"/>
      <c r="CL122" s="226" t="n"/>
      <c r="CM122" s="221">
        <f>IF(H122+I122+J122+K122&lt;&gt;$B122,1,0)</f>
        <v/>
      </c>
    </row>
    <row r="123" ht="15" customHeight="1" s="8286">
      <c r="A123" s="1215" t="inlineStr">
        <is>
          <t>Condición sensorial visual</t>
        </is>
      </c>
      <c r="B123" s="1121">
        <f>SUM(C123:G123)</f>
        <v/>
      </c>
      <c r="C123" s="1172" t="n"/>
      <c r="D123" s="2001" t="n"/>
      <c r="E123" s="886" t="n"/>
      <c r="F123" s="3789" t="n"/>
      <c r="G123" s="1929" t="n"/>
      <c r="H123" s="887" t="n"/>
      <c r="I123" s="2001" t="n"/>
      <c r="J123" s="2001" t="n"/>
      <c r="K123" s="886" t="n"/>
      <c r="L123" s="218">
        <f>CA123&amp;CB123&amp;CC123</f>
        <v/>
      </c>
      <c r="AQ123" s="226" t="n"/>
      <c r="AR123" s="226" t="n"/>
      <c r="AS123" s="226" t="n"/>
      <c r="AT123" s="226" t="n"/>
      <c r="AU123" s="226" t="n"/>
      <c r="AV123" s="226" t="n"/>
      <c r="AW123" s="226" t="n"/>
      <c r="AX123" s="226" t="n"/>
      <c r="AY123" s="226" t="n"/>
      <c r="AZ123" s="226" t="n"/>
      <c r="BA123" s="226" t="n"/>
      <c r="BB123" s="226" t="n"/>
      <c r="BC123" s="226" t="n"/>
      <c r="BD123" s="226" t="n"/>
      <c r="BE123" s="226" t="n"/>
      <c r="BF123" s="226" t="n"/>
      <c r="BG123" s="226" t="n"/>
      <c r="BH123" s="226" t="n"/>
      <c r="BI123" s="226" t="n"/>
      <c r="BJ123" s="226" t="n"/>
      <c r="BK123" s="226" t="n"/>
      <c r="BL123" s="226" t="n"/>
      <c r="BM123" s="226" t="n"/>
      <c r="BN123" s="226" t="n"/>
      <c r="BO123" s="226" t="n"/>
      <c r="BP123" s="226" t="n"/>
      <c r="BQ123" s="226" t="n"/>
      <c r="BR123" s="226" t="n"/>
      <c r="BS123" s="226" t="n"/>
      <c r="BT123" s="226" t="n"/>
      <c r="BU123" s="226" t="n"/>
      <c r="BV123" s="226" t="n"/>
      <c r="BW123" s="226" t="n"/>
      <c r="BX123" s="226" t="n"/>
      <c r="BY123" s="226" t="n"/>
      <c r="BZ123" s="226" t="n"/>
      <c r="CA123" s="219">
        <f>IF(H123+I123+J123+K123&lt;&gt;$B123,"* La suma de "&amp;H$120&amp;""&amp;" no debe ser distinto del Total. ","")</f>
        <v/>
      </c>
      <c r="CB123" s="226" t="n"/>
      <c r="CC123" s="226" t="n"/>
      <c r="CD123" s="226" t="n"/>
      <c r="CE123" s="226" t="n"/>
      <c r="CL123" s="226" t="n"/>
      <c r="CM123" s="221">
        <f>IF(H123+I123+J123+K123&lt;&gt;$B123,1,0)</f>
        <v/>
      </c>
    </row>
    <row r="124" ht="15" customHeight="1" s="8286">
      <c r="A124" s="8729" t="inlineStr">
        <is>
          <t>Condición sensorial auditivo</t>
        </is>
      </c>
      <c r="B124" s="3598">
        <f>SUM(C124:G124)</f>
        <v/>
      </c>
      <c r="C124" s="3808" t="n"/>
      <c r="D124" s="3599" t="n"/>
      <c r="E124" s="3601" t="n"/>
      <c r="F124" s="3818" t="n"/>
      <c r="G124" s="3897" t="n"/>
      <c r="H124" s="3898" t="n"/>
      <c r="I124" s="3599" t="n"/>
      <c r="J124" s="3599" t="n"/>
      <c r="K124" s="3601" t="n"/>
      <c r="L124" s="218">
        <f>CA124&amp;CB124&amp;CC124</f>
        <v/>
      </c>
      <c r="AQ124" s="226" t="n"/>
      <c r="AR124" s="226" t="n"/>
      <c r="AS124" s="226" t="n"/>
      <c r="AT124" s="226" t="n"/>
      <c r="AU124" s="226" t="n"/>
      <c r="AV124" s="226" t="n"/>
      <c r="AW124" s="226" t="n"/>
      <c r="AX124" s="226" t="n"/>
      <c r="AY124" s="226" t="n"/>
      <c r="AZ124" s="226" t="n"/>
      <c r="BA124" s="226" t="n"/>
      <c r="BB124" s="226" t="n"/>
      <c r="BC124" s="226" t="n"/>
      <c r="BD124" s="226" t="n"/>
      <c r="BE124" s="226" t="n"/>
      <c r="BF124" s="226" t="n"/>
      <c r="BG124" s="226" t="n"/>
      <c r="BH124" s="226" t="n"/>
      <c r="BI124" s="226" t="n"/>
      <c r="BJ124" s="226" t="n"/>
      <c r="BK124" s="226" t="n"/>
      <c r="BL124" s="226" t="n"/>
      <c r="BM124" s="226" t="n"/>
      <c r="BN124" s="226" t="n"/>
      <c r="BO124" s="226" t="n"/>
      <c r="BP124" s="226" t="n"/>
      <c r="BQ124" s="226" t="n"/>
      <c r="BR124" s="226" t="n"/>
      <c r="BS124" s="226" t="n"/>
      <c r="BT124" s="226" t="n"/>
      <c r="BU124" s="226" t="n"/>
      <c r="BV124" s="226" t="n"/>
      <c r="BW124" s="226" t="n"/>
      <c r="BX124" s="226" t="n"/>
      <c r="BY124" s="226" t="n"/>
      <c r="BZ124" s="226" t="n"/>
      <c r="CA124" s="219">
        <f>IF(H124+I124+J124+K124&lt;&gt;$B124,"* La suma de "&amp;H$120&amp;""&amp;" no debe ser distinto del Total. ","")</f>
        <v/>
      </c>
      <c r="CB124" s="226" t="n"/>
      <c r="CC124" s="226" t="n"/>
      <c r="CD124" s="226" t="n"/>
      <c r="CE124" s="226" t="n"/>
      <c r="CL124" s="226" t="n"/>
      <c r="CM124" s="221">
        <f>IF(H124+I124+J124+K124&lt;&gt;$B124,1,0)</f>
        <v/>
      </c>
    </row>
    <row r="125" ht="18" customHeight="1" s="8286">
      <c r="A125" s="8616" t="inlineStr">
        <is>
          <t>SECCIÓN A.11: ACTIVIDADES Y PARTICIPACIÓN</t>
        </is>
      </c>
      <c r="B125" s="20" t="n"/>
      <c r="C125" s="20" t="n"/>
      <c r="D125" s="516" t="n"/>
      <c r="E125" s="516" t="n"/>
      <c r="F125" s="516" t="n"/>
      <c r="G125" s="516" t="n"/>
      <c r="H125" s="516" t="n"/>
      <c r="I125" s="516" t="n"/>
      <c r="J125" s="516" t="n"/>
      <c r="K125" s="516" t="n"/>
      <c r="L125" s="516" t="n"/>
    </row>
    <row r="126" ht="21.75" customHeight="1" s="8286">
      <c r="A126" s="10247" t="inlineStr">
        <is>
          <t>MODALIDADES DE INTERVENCIÓN</t>
        </is>
      </c>
      <c r="B126" s="9690" t="inlineStr">
        <is>
          <t>GRUPO OBJETIVO</t>
        </is>
      </c>
      <c r="C126" s="8400" t="inlineStr">
        <is>
          <t>Totales Rehabilitación NNA</t>
        </is>
      </c>
      <c r="D126" s="9582" t="n"/>
      <c r="E126" s="8400" t="inlineStr">
        <is>
          <t>Totales Rehabilitación Integral en APS</t>
        </is>
      </c>
      <c r="F126" s="9582" t="n"/>
      <c r="G126" s="8400" t="inlineStr">
        <is>
          <t xml:space="preserve">Totales Otros Rehabilitación </t>
        </is>
      </c>
      <c r="H126" s="9582" t="n"/>
      <c r="I126" s="9976" t="inlineStr">
        <is>
          <t>Totales Rehabilitación móvill (rural)</t>
        </is>
      </c>
      <c r="J126" s="9595" t="n"/>
      <c r="K126" s="10575" t="inlineStr">
        <is>
          <t xml:space="preserve">Modalidad de rehabilitación </t>
        </is>
      </c>
      <c r="L126" s="9648" t="n"/>
    </row>
    <row r="127" ht="31.5" customHeight="1" s="8286">
      <c r="A127" s="9589" t="n"/>
      <c r="B127" s="9589" t="n"/>
      <c r="C127" s="4140" t="inlineStr">
        <is>
          <t xml:space="preserve"> Actividades </t>
        </is>
      </c>
      <c r="D127" s="9162" t="inlineStr">
        <is>
          <t xml:space="preserve">Participantes </t>
        </is>
      </c>
      <c r="E127" s="4140" t="inlineStr">
        <is>
          <t xml:space="preserve"> Actividades </t>
        </is>
      </c>
      <c r="F127" s="9162" t="inlineStr">
        <is>
          <t xml:space="preserve">Participantes </t>
        </is>
      </c>
      <c r="G127" s="4140" t="inlineStr">
        <is>
          <t xml:space="preserve"> Actividades </t>
        </is>
      </c>
      <c r="H127" s="9521" t="inlineStr">
        <is>
          <t xml:space="preserve">Participantes </t>
        </is>
      </c>
      <c r="I127" s="4140" t="inlineStr">
        <is>
          <t xml:space="preserve"> Actividades </t>
        </is>
      </c>
      <c r="J127" s="4142" t="inlineStr">
        <is>
          <t xml:space="preserve">Participantes </t>
        </is>
      </c>
      <c r="K127" s="4232" t="inlineStr">
        <is>
          <t>Presencial (Establecimiento)</t>
        </is>
      </c>
      <c r="L127" s="9162" t="inlineStr">
        <is>
          <t>A distancia</t>
        </is>
      </c>
    </row>
    <row r="128">
      <c r="A128" s="10236" t="inlineStr">
        <is>
          <t>Diagnóstico o planificación participativa</t>
        </is>
      </c>
      <c r="B128" s="4244" t="inlineStr">
        <is>
          <t>Comunas, comunidades</t>
        </is>
      </c>
      <c r="C128" s="4235" t="n"/>
      <c r="D128" s="4237" t="n"/>
      <c r="E128" s="4235" t="n"/>
      <c r="F128" s="4237" t="n"/>
      <c r="G128" s="4235" t="n"/>
      <c r="H128" s="4237" t="n"/>
      <c r="I128" s="4235" t="n"/>
      <c r="J128" s="4247" t="n"/>
      <c r="K128" s="887" t="n"/>
      <c r="L128" s="4237" t="n"/>
    </row>
    <row r="129" ht="21" customHeight="1" s="8286">
      <c r="A129" s="9588" t="n"/>
      <c r="B129" s="1215" t="inlineStr">
        <is>
          <t>Organizaciones asociadas a discapacidad</t>
        </is>
      </c>
      <c r="C129" s="1172" t="n"/>
      <c r="D129" s="3788" t="n"/>
      <c r="E129" s="1172" t="n"/>
      <c r="F129" s="3788" t="n"/>
      <c r="G129" s="1172" t="n"/>
      <c r="H129" s="3788" t="n"/>
      <c r="I129" s="1172" t="n"/>
      <c r="J129" s="3894" t="n"/>
      <c r="K129" s="887" t="n"/>
      <c r="L129" s="3788" t="n"/>
    </row>
    <row r="130">
      <c r="A130" s="9588" t="n"/>
      <c r="B130" s="1215" t="inlineStr">
        <is>
          <t>Organizaciones comunitarias</t>
        </is>
      </c>
      <c r="C130" s="1172" t="n"/>
      <c r="D130" s="3788" t="n"/>
      <c r="E130" s="1172" t="n"/>
      <c r="F130" s="3788" t="n"/>
      <c r="G130" s="1172" t="n"/>
      <c r="H130" s="3788" t="n"/>
      <c r="I130" s="1172" t="n"/>
      <c r="J130" s="3894" t="n"/>
      <c r="K130" s="887" t="n"/>
      <c r="L130" s="3788" t="n"/>
    </row>
    <row r="131">
      <c r="A131" s="9589" t="n"/>
      <c r="B131" s="1215" t="inlineStr">
        <is>
          <t>Comunidad educativa</t>
        </is>
      </c>
      <c r="C131" s="3808" t="n"/>
      <c r="D131" s="1192" t="n"/>
      <c r="E131" s="3808" t="n"/>
      <c r="F131" s="1192" t="n"/>
      <c r="G131" s="3808" t="n"/>
      <c r="H131" s="1192" t="n"/>
      <c r="I131" s="3808" t="n"/>
      <c r="J131" s="3899" t="n"/>
      <c r="K131" s="3898" t="n"/>
      <c r="L131" s="1192" t="n"/>
    </row>
    <row r="132">
      <c r="A132" s="4456" t="inlineStr">
        <is>
          <t>Actividades de promoción de la salud</t>
        </is>
      </c>
      <c r="B132" s="4244" t="inlineStr">
        <is>
          <t>Comunas, comunidades</t>
        </is>
      </c>
      <c r="C132" s="4235" t="n"/>
      <c r="D132" s="4237" t="n"/>
      <c r="E132" s="4235" t="n"/>
      <c r="F132" s="4237" t="n"/>
      <c r="G132" s="4235" t="n"/>
      <c r="H132" s="4237" t="n"/>
      <c r="I132" s="4235" t="n"/>
      <c r="J132" s="4247" t="n"/>
      <c r="K132" s="3263" t="n"/>
      <c r="L132" s="4237" t="n"/>
    </row>
    <row r="133" ht="21" customHeight="1" s="8286">
      <c r="A133" s="9627" t="n"/>
      <c r="B133" s="1215" t="inlineStr">
        <is>
          <t>Empleadores y compañeros de trabajo</t>
        </is>
      </c>
      <c r="C133" s="1172" t="n"/>
      <c r="D133" s="3788" t="n"/>
      <c r="E133" s="1172" t="n"/>
      <c r="F133" s="3788" t="n"/>
      <c r="G133" s="1172" t="n"/>
      <c r="H133" s="3788" t="n"/>
      <c r="I133" s="1172" t="n"/>
      <c r="J133" s="3894" t="n"/>
      <c r="K133" s="887" t="n"/>
      <c r="L133" s="3788" t="n"/>
    </row>
    <row r="134">
      <c r="A134" s="9627" t="n"/>
      <c r="B134" s="1215" t="inlineStr">
        <is>
          <t>Comunidad educativa</t>
        </is>
      </c>
      <c r="C134" s="1172" t="n"/>
      <c r="D134" s="3788" t="n"/>
      <c r="E134" s="1172" t="n"/>
      <c r="F134" s="3788" t="n"/>
      <c r="G134" s="1172" t="n"/>
      <c r="H134" s="3788" t="n"/>
      <c r="I134" s="1172" t="n"/>
      <c r="J134" s="3894" t="n"/>
      <c r="K134" s="887" t="n"/>
      <c r="L134" s="3788" t="n"/>
    </row>
    <row r="135">
      <c r="A135" s="9627" t="n"/>
      <c r="B135" s="7770" t="inlineStr">
        <is>
          <t>Red de apoyo</t>
        </is>
      </c>
      <c r="C135" s="1179" t="n"/>
      <c r="D135" s="1180" t="n"/>
      <c r="E135" s="1179" t="n"/>
      <c r="F135" s="1180" t="n"/>
      <c r="G135" s="1179" t="n"/>
      <c r="H135" s="1180" t="n"/>
      <c r="I135" s="1179" t="n"/>
      <c r="J135" s="1231" t="n"/>
      <c r="K135" s="1230" t="n"/>
      <c r="L135" s="1180" t="n"/>
    </row>
    <row r="136">
      <c r="A136" s="9621" t="n"/>
      <c r="B136" s="8729" t="inlineStr">
        <is>
          <t>Cuidadores</t>
        </is>
      </c>
      <c r="C136" s="3808" t="n"/>
      <c r="D136" s="1192" t="n"/>
      <c r="E136" s="3808" t="n"/>
      <c r="F136" s="1192" t="n"/>
      <c r="G136" s="3808" t="n"/>
      <c r="H136" s="1192" t="n"/>
      <c r="I136" s="3808" t="n"/>
      <c r="J136" s="3899" t="n"/>
      <c r="K136" s="3898" t="n"/>
      <c r="L136" s="1192" t="n"/>
    </row>
    <row r="137">
      <c r="A137" s="10236" t="inlineStr">
        <is>
          <t>Actividades para fortalecer los conocimientos y destrezas personales</t>
        </is>
      </c>
      <c r="B137" s="4244" t="inlineStr">
        <is>
          <t>Profesionales de la salud</t>
        </is>
      </c>
      <c r="C137" s="4235" t="n"/>
      <c r="D137" s="4237" t="n"/>
      <c r="E137" s="4235" t="n"/>
      <c r="F137" s="4237" t="n"/>
      <c r="G137" s="4235" t="n"/>
      <c r="H137" s="4237" t="n"/>
      <c r="I137" s="4235" t="n"/>
      <c r="J137" s="4247" t="n"/>
      <c r="K137" s="3263" t="n"/>
      <c r="L137" s="4237" t="n"/>
    </row>
    <row r="138" ht="21" customHeight="1" s="8286">
      <c r="A138" s="9588" t="n"/>
      <c r="B138" s="1215" t="inlineStr">
        <is>
          <t>Empleadores y compañeros de trabajo</t>
        </is>
      </c>
      <c r="C138" s="1172" t="n"/>
      <c r="D138" s="3788" t="n"/>
      <c r="E138" s="1172" t="n"/>
      <c r="F138" s="3788" t="n"/>
      <c r="G138" s="1172" t="n"/>
      <c r="H138" s="3788" t="n"/>
      <c r="I138" s="1172" t="n"/>
      <c r="J138" s="3894" t="n"/>
      <c r="K138" s="887" t="n"/>
      <c r="L138" s="3788" t="n"/>
    </row>
    <row r="139">
      <c r="A139" s="9588" t="n"/>
      <c r="B139" s="1215" t="inlineStr">
        <is>
          <t>Comunidad educativa</t>
        </is>
      </c>
      <c r="C139" s="1172" t="n"/>
      <c r="D139" s="3788" t="n"/>
      <c r="E139" s="1172" t="n"/>
      <c r="F139" s="3788" t="n"/>
      <c r="G139" s="1172" t="n"/>
      <c r="H139" s="3788" t="n"/>
      <c r="I139" s="1172" t="n"/>
      <c r="J139" s="3894" t="n"/>
      <c r="K139" s="887" t="n"/>
      <c r="L139" s="3788" t="n"/>
    </row>
    <row r="140">
      <c r="A140" s="9588" t="n"/>
      <c r="B140" s="1215" t="inlineStr">
        <is>
          <t>Monitores</t>
        </is>
      </c>
      <c r="C140" s="1172" t="n"/>
      <c r="D140" s="3788" t="n"/>
      <c r="E140" s="1172" t="n"/>
      <c r="F140" s="3788" t="n"/>
      <c r="G140" s="1172" t="n"/>
      <c r="H140" s="3788" t="n"/>
      <c r="I140" s="1172" t="n"/>
      <c r="J140" s="3894" t="n"/>
      <c r="K140" s="887" t="n"/>
      <c r="L140" s="3788" t="n"/>
    </row>
    <row r="141">
      <c r="A141" s="9588" t="n"/>
      <c r="B141" s="7770" t="inlineStr">
        <is>
          <t>Red de apoyo</t>
        </is>
      </c>
      <c r="C141" s="1172" t="n"/>
      <c r="D141" s="3788" t="n"/>
      <c r="E141" s="1172" t="n"/>
      <c r="F141" s="3788" t="n"/>
      <c r="G141" s="1172" t="n"/>
      <c r="H141" s="3788" t="n"/>
      <c r="I141" s="1172" t="n"/>
      <c r="J141" s="3894" t="n"/>
      <c r="K141" s="887" t="n"/>
      <c r="L141" s="3788" t="n"/>
    </row>
    <row r="142">
      <c r="A142" s="9589" t="n"/>
      <c r="B142" s="8729" t="inlineStr">
        <is>
          <t>Cuidadores</t>
        </is>
      </c>
      <c r="C142" s="645" t="n"/>
      <c r="D142" s="2057" t="n"/>
      <c r="E142" s="645" t="n"/>
      <c r="F142" s="2057" t="n"/>
      <c r="G142" s="645" t="n"/>
      <c r="H142" s="2057" t="n"/>
      <c r="I142" s="645" t="n"/>
      <c r="J142" s="43" t="n"/>
      <c r="K142" s="42" t="n"/>
      <c r="L142" s="2057" t="n"/>
    </row>
    <row r="143">
      <c r="A143" s="9184" t="inlineStr">
        <is>
          <t>Asesorías a grupos comunitarios</t>
        </is>
      </c>
      <c r="B143" s="9184" t="inlineStr">
        <is>
          <t>Organizaciones comunitarias</t>
        </is>
      </c>
      <c r="C143" s="4147" t="n"/>
      <c r="D143" s="4148" t="n"/>
      <c r="E143" s="4147" t="n"/>
      <c r="F143" s="4148" t="n"/>
      <c r="G143" s="4147" t="n"/>
      <c r="H143" s="4148" t="n"/>
      <c r="I143" s="4147" t="n"/>
      <c r="J143" s="4153" t="n"/>
      <c r="K143" s="4151" t="n"/>
      <c r="L143" s="4148" t="n"/>
    </row>
    <row r="144" ht="18" customHeight="1" s="8286">
      <c r="A144" s="1" t="inlineStr">
        <is>
          <t>SECCIÓN B: NIVEL HOSPITALARIO</t>
        </is>
      </c>
      <c r="B144" s="7" t="n"/>
      <c r="C144" s="7" t="n"/>
      <c r="D144" s="7" t="n"/>
      <c r="E144" s="7" t="n"/>
      <c r="F144" s="7" t="n"/>
      <c r="G144" s="7" t="n"/>
      <c r="H144" s="7" t="n"/>
      <c r="I144" s="7" t="n"/>
      <c r="J144" s="7" t="n"/>
      <c r="K144" s="7" t="n"/>
      <c r="L144" s="7" t="n"/>
      <c r="M144" s="7" t="n"/>
      <c r="N144" s="7" t="n"/>
      <c r="O144" s="7" t="n"/>
      <c r="P144" s="7" t="n"/>
      <c r="Q144" s="7" t="n"/>
      <c r="R144" s="7" t="n"/>
      <c r="S144" s="7" t="n"/>
      <c r="T144" s="7" t="n"/>
      <c r="U144" s="7" t="n"/>
      <c r="V144" s="7" t="n"/>
      <c r="W144" s="7" t="n"/>
      <c r="X144" s="7" t="n"/>
      <c r="Y144" s="7" t="n"/>
      <c r="Z144" s="7" t="n"/>
      <c r="AA144" s="7" t="n"/>
      <c r="AB144" s="7" t="n"/>
      <c r="AC144" s="7" t="n"/>
      <c r="AD144" s="7" t="n"/>
      <c r="AE144" s="7" t="n"/>
      <c r="AF144" s="7" t="n"/>
      <c r="AG144" s="7" t="n"/>
      <c r="AH144" s="7" t="n"/>
      <c r="AI144" s="7" t="n"/>
      <c r="AJ144" s="7" t="n"/>
      <c r="AK144" s="7" t="n"/>
      <c r="AL144" s="7" t="n"/>
      <c r="AM144" s="7" t="n"/>
      <c r="AN144" s="7" t="n"/>
      <c r="AO144" s="7" t="n"/>
    </row>
    <row r="145" ht="18" customHeight="1" s="8286">
      <c r="A145" s="2" t="inlineStr">
        <is>
          <t>SECCIÓN B.1: INGRESOS Y EGRESOS  A REHABILITACIÓN INTEGRAL</t>
        </is>
      </c>
      <c r="B145" s="1" t="n"/>
      <c r="C145" s="7" t="n"/>
      <c r="D145" s="3" t="n"/>
      <c r="E145" s="4249" t="n"/>
      <c r="F145" s="3" t="n"/>
      <c r="G145" s="4249" t="n"/>
      <c r="H145" s="4249" t="n"/>
      <c r="I145" s="3" t="n"/>
      <c r="J145" s="4250" t="n"/>
      <c r="K145" s="4250" t="n"/>
      <c r="L145" s="4250" t="n"/>
      <c r="M145" s="4250" t="n"/>
      <c r="N145" s="4250" t="n"/>
      <c r="O145" s="4250" t="n"/>
      <c r="P145" s="4250" t="n"/>
      <c r="Q145" s="4250" t="n"/>
      <c r="R145" s="4249" t="n"/>
      <c r="S145" s="3" t="n"/>
      <c r="T145" s="4250" t="n"/>
      <c r="U145" s="4250" t="n"/>
      <c r="V145" s="4249" t="n"/>
      <c r="W145" s="4251" t="n"/>
      <c r="X145" s="3" t="n"/>
      <c r="Y145" s="7" t="n"/>
      <c r="Z145" s="7" t="n"/>
      <c r="AA145" s="7" t="n"/>
      <c r="AB145" s="7" t="n"/>
      <c r="AC145" s="7" t="n"/>
      <c r="AD145" s="7" t="n"/>
      <c r="AE145" s="7" t="n"/>
      <c r="AF145" s="7" t="n"/>
      <c r="AG145" s="7" t="n"/>
      <c r="AH145" s="7" t="n"/>
      <c r="AI145" s="7" t="n"/>
      <c r="AJ145" s="7" t="n"/>
      <c r="AK145" s="7" t="n"/>
      <c r="AL145" s="7" t="n"/>
      <c r="AM145" s="7" t="n"/>
      <c r="AN145" s="7" t="n"/>
      <c r="AO145" s="7" t="n"/>
    </row>
    <row r="146">
      <c r="A146" s="9694" t="inlineStr">
        <is>
          <t>INGRESOS</t>
        </is>
      </c>
      <c r="B146" s="10006" t="inlineStr">
        <is>
          <t>TOTAL</t>
        </is>
      </c>
      <c r="C146" s="9602" t="n"/>
      <c r="D146" s="9602" t="n"/>
      <c r="E146" s="10576" t="inlineStr">
        <is>
          <t>RANGO ETARIO Y SEXO</t>
        </is>
      </c>
      <c r="F146" s="9602" t="n"/>
      <c r="G146" s="9602" t="n"/>
      <c r="H146" s="9602" t="n"/>
      <c r="I146" s="9602" t="n"/>
      <c r="J146" s="9602" t="n"/>
      <c r="K146" s="9602" t="n"/>
      <c r="L146" s="9602" t="n"/>
      <c r="M146" s="9602" t="n"/>
      <c r="N146" s="9602" t="n"/>
      <c r="O146" s="9602" t="n"/>
      <c r="P146" s="9602" t="n"/>
      <c r="Q146" s="9602" t="n"/>
      <c r="R146" s="9602" t="n"/>
      <c r="S146" s="9602" t="n"/>
      <c r="T146" s="9602" t="n"/>
      <c r="U146" s="9602" t="n"/>
      <c r="V146" s="9602" t="n"/>
      <c r="W146" s="9602" t="n"/>
      <c r="X146" s="9602" t="n"/>
      <c r="Y146" s="9602" t="n"/>
      <c r="Z146" s="9602" t="n"/>
      <c r="AA146" s="9602" t="n"/>
      <c r="AB146" s="9602" t="n"/>
      <c r="AC146" s="9602" t="n"/>
      <c r="AD146" s="9602" t="n"/>
      <c r="AE146" s="9602" t="n"/>
      <c r="AF146" s="9602" t="n"/>
      <c r="AG146" s="9602" t="n"/>
      <c r="AH146" s="9602" t="n"/>
      <c r="AI146" s="9602" t="n"/>
      <c r="AJ146" s="9602" t="n"/>
      <c r="AK146" s="9602" t="n"/>
      <c r="AL146" s="10394" t="n"/>
      <c r="AM146" s="10577" t="inlineStr">
        <is>
          <t>TIPO ATENCIÓN</t>
        </is>
      </c>
      <c r="AN146" s="9617" t="n"/>
      <c r="AO146" s="9648" t="n"/>
    </row>
    <row r="147">
      <c r="A147" s="9588" t="n"/>
      <c r="B147" s="9698" t="n"/>
      <c r="C147" s="9591" t="n"/>
      <c r="D147" s="9591" t="n"/>
      <c r="E147" s="9240" t="inlineStr">
        <is>
          <t>0 - 4 años</t>
        </is>
      </c>
      <c r="F147" s="9647" t="n"/>
      <c r="G147" s="9240" t="inlineStr">
        <is>
          <t>5 - 9 años</t>
        </is>
      </c>
      <c r="H147" s="9647" t="n"/>
      <c r="I147" s="9240" t="inlineStr">
        <is>
          <t>10 - 14 años</t>
        </is>
      </c>
      <c r="J147" s="9647" t="n"/>
      <c r="K147" s="10578" t="inlineStr">
        <is>
          <t>15 - 19 años</t>
        </is>
      </c>
      <c r="L147" s="9647" t="n"/>
      <c r="M147" s="9975" t="inlineStr">
        <is>
          <t>20 - 24 años</t>
        </is>
      </c>
      <c r="N147" s="9582" t="n"/>
      <c r="O147" s="9240" t="inlineStr">
        <is>
          <t>25-29 años</t>
        </is>
      </c>
      <c r="P147" s="9647" t="n"/>
      <c r="Q147" s="9240" t="inlineStr">
        <is>
          <t>30-34 años</t>
        </is>
      </c>
      <c r="R147" s="9647" t="n"/>
      <c r="S147" s="9240" t="inlineStr">
        <is>
          <t>35 - 39 años</t>
        </is>
      </c>
      <c r="T147" s="9647" t="n"/>
      <c r="U147" s="9240" t="inlineStr">
        <is>
          <t>40 - 44 años</t>
        </is>
      </c>
      <c r="V147" s="9647" t="n"/>
      <c r="W147" s="9240" t="inlineStr">
        <is>
          <t>45- 49 años</t>
        </is>
      </c>
      <c r="X147" s="9647" t="n"/>
      <c r="Y147" s="9240" t="inlineStr">
        <is>
          <t>50 - 54 años</t>
        </is>
      </c>
      <c r="Z147" s="9647" t="n"/>
      <c r="AA147" s="9240" t="inlineStr">
        <is>
          <t>55 - 59 años</t>
        </is>
      </c>
      <c r="AB147" s="9647" t="n"/>
      <c r="AC147" s="9240" t="inlineStr">
        <is>
          <t>60 - 64 años</t>
        </is>
      </c>
      <c r="AD147" s="9647" t="n"/>
      <c r="AE147" s="9240" t="inlineStr">
        <is>
          <t>65 - 69 años</t>
        </is>
      </c>
      <c r="AF147" s="9647" t="n"/>
      <c r="AG147" s="9240" t="inlineStr">
        <is>
          <t>70 - 74 años</t>
        </is>
      </c>
      <c r="AH147" s="9647" t="n"/>
      <c r="AI147" s="9240" t="inlineStr">
        <is>
          <t>75 - 79 años</t>
        </is>
      </c>
      <c r="AJ147" s="9647" t="n"/>
      <c r="AK147" s="10579" t="inlineStr">
        <is>
          <t>80 y más años</t>
        </is>
      </c>
      <c r="AL147" s="9582" t="n"/>
      <c r="AM147" s="4482" t="inlineStr">
        <is>
          <t>Abierta</t>
        </is>
      </c>
      <c r="AN147" s="9190" t="inlineStr">
        <is>
          <t>Cerrado</t>
        </is>
      </c>
      <c r="AO147" s="10580" t="n"/>
    </row>
    <row r="148" ht="31.5" customHeight="1" s="8286">
      <c r="A148" s="9589" t="n"/>
      <c r="B148" s="4254" t="inlineStr">
        <is>
          <t>Ambos Sexos</t>
        </is>
      </c>
      <c r="C148" s="4255" t="inlineStr">
        <is>
          <t>Hombres</t>
        </is>
      </c>
      <c r="D148" s="8671" t="inlineStr">
        <is>
          <t>Mujeres</t>
        </is>
      </c>
      <c r="E148" s="4256" t="inlineStr">
        <is>
          <t>Hombres</t>
        </is>
      </c>
      <c r="F148" s="4257" t="inlineStr">
        <is>
          <t>Mujeres</t>
        </is>
      </c>
      <c r="G148" s="4256" t="inlineStr">
        <is>
          <t>Hombres</t>
        </is>
      </c>
      <c r="H148" s="4257" t="inlineStr">
        <is>
          <t>Mujeres</t>
        </is>
      </c>
      <c r="I148" s="4256" t="inlineStr">
        <is>
          <t>Hombres</t>
        </is>
      </c>
      <c r="J148" s="4257" t="inlineStr">
        <is>
          <t>Mujeres</t>
        </is>
      </c>
      <c r="K148" s="4256" t="inlineStr">
        <is>
          <t>Hombres</t>
        </is>
      </c>
      <c r="L148" s="4257" t="inlineStr">
        <is>
          <t>Mujeres</t>
        </is>
      </c>
      <c r="M148" s="4258" t="inlineStr">
        <is>
          <t>Hombres</t>
        </is>
      </c>
      <c r="N148" s="4259" t="inlineStr">
        <is>
          <t>Mujeres</t>
        </is>
      </c>
      <c r="O148" s="4256" t="inlineStr">
        <is>
          <t>Hombres</t>
        </is>
      </c>
      <c r="P148" s="4257" t="inlineStr">
        <is>
          <t>Mujeres</t>
        </is>
      </c>
      <c r="Q148" s="4256" t="inlineStr">
        <is>
          <t>Hombres</t>
        </is>
      </c>
      <c r="R148" s="4257" t="inlineStr">
        <is>
          <t>Mujeres</t>
        </is>
      </c>
      <c r="S148" s="4256" t="inlineStr">
        <is>
          <t>Hombres</t>
        </is>
      </c>
      <c r="T148" s="4257" t="inlineStr">
        <is>
          <t>Mujeres</t>
        </is>
      </c>
      <c r="U148" s="4256" t="inlineStr">
        <is>
          <t>Hombres</t>
        </is>
      </c>
      <c r="V148" s="4257" t="inlineStr">
        <is>
          <t>Mujeres</t>
        </is>
      </c>
      <c r="W148" s="4256" t="inlineStr">
        <is>
          <t>Hombres</t>
        </is>
      </c>
      <c r="X148" s="4257" t="inlineStr">
        <is>
          <t>Mujeres</t>
        </is>
      </c>
      <c r="Y148" s="4256" t="inlineStr">
        <is>
          <t>Hombres</t>
        </is>
      </c>
      <c r="Z148" s="4257" t="inlineStr">
        <is>
          <t>Mujeres</t>
        </is>
      </c>
      <c r="AA148" s="4256" t="inlineStr">
        <is>
          <t>Hombres</t>
        </is>
      </c>
      <c r="AB148" s="4257" t="inlineStr">
        <is>
          <t>Mujeres</t>
        </is>
      </c>
      <c r="AC148" s="4256" t="inlineStr">
        <is>
          <t>Hombres</t>
        </is>
      </c>
      <c r="AD148" s="4259" t="inlineStr">
        <is>
          <t>Mujeres</t>
        </is>
      </c>
      <c r="AE148" s="4256" t="inlineStr">
        <is>
          <t>Hombres</t>
        </is>
      </c>
      <c r="AF148" s="4257" t="inlineStr">
        <is>
          <t>Mujeres</t>
        </is>
      </c>
      <c r="AG148" s="4256" t="inlineStr">
        <is>
          <t>Hombres</t>
        </is>
      </c>
      <c r="AH148" s="4257" t="inlineStr">
        <is>
          <t>Mujeres</t>
        </is>
      </c>
      <c r="AI148" s="4256" t="inlineStr">
        <is>
          <t>Hombres</t>
        </is>
      </c>
      <c r="AJ148" s="4257" t="inlineStr">
        <is>
          <t>Mujeres</t>
        </is>
      </c>
      <c r="AK148" s="4258" t="inlineStr">
        <is>
          <t>Hombres</t>
        </is>
      </c>
      <c r="AL148" s="4260" t="inlineStr">
        <is>
          <t>Mujeres</t>
        </is>
      </c>
      <c r="AM148" s="9683" t="n"/>
      <c r="AN148" s="4261" t="inlineStr">
        <is>
          <t>UPC</t>
        </is>
      </c>
      <c r="AO148" s="4262" t="inlineStr">
        <is>
          <t>Cuidados Medios y Básicos</t>
        </is>
      </c>
    </row>
    <row r="149">
      <c r="A149" s="4263" t="inlineStr">
        <is>
          <t>Total ingresos (Nº de personas)</t>
        </is>
      </c>
      <c r="B149" s="3022">
        <f>SUM(C149:D149)</f>
        <v/>
      </c>
      <c r="C149" s="805">
        <f>E149+G149+I149+K149+M149+O149+Q149+S149+U149+W149+Y149+AA149+AC149+AE149+AG149+AI149+AK149</f>
        <v/>
      </c>
      <c r="D149" s="4264">
        <f>F149+H149+J149+L149+N149+P149+R149+T149+V149+X149+Z149+AB149+AD149+AF149+AH149+AJ149+AL149</f>
        <v/>
      </c>
      <c r="E149" s="4235" t="n"/>
      <c r="F149" s="2337" t="n"/>
      <c r="G149" s="4235" t="n"/>
      <c r="H149" s="2337" t="n"/>
      <c r="I149" s="4235" t="n"/>
      <c r="J149" s="2337" t="n"/>
      <c r="K149" s="4235" t="n"/>
      <c r="L149" s="2337" t="n"/>
      <c r="M149" s="4236" t="n"/>
      <c r="N149" s="2581" t="n"/>
      <c r="O149" s="4235" t="n"/>
      <c r="P149" s="2337" t="n"/>
      <c r="Q149" s="4235" t="n"/>
      <c r="R149" s="2337" t="n"/>
      <c r="S149" s="4235" t="n"/>
      <c r="T149" s="2337" t="n"/>
      <c r="U149" s="4235" t="n"/>
      <c r="V149" s="2337" t="n"/>
      <c r="W149" s="4235" t="n"/>
      <c r="X149" s="2337" t="n"/>
      <c r="Y149" s="4235" t="n"/>
      <c r="Z149" s="2337" t="n"/>
      <c r="AA149" s="4235" t="n"/>
      <c r="AB149" s="2337" t="n"/>
      <c r="AC149" s="4235" t="n"/>
      <c r="AD149" s="2581" t="n"/>
      <c r="AE149" s="4235" t="n"/>
      <c r="AF149" s="2337" t="n"/>
      <c r="AG149" s="4235" t="n"/>
      <c r="AH149" s="2337" t="n"/>
      <c r="AI149" s="4235" t="n"/>
      <c r="AJ149" s="2337" t="n"/>
      <c r="AK149" s="4236" t="n"/>
      <c r="AL149" s="2581" t="n"/>
      <c r="AM149" s="3263" t="n"/>
      <c r="AN149" s="835" t="n"/>
      <c r="AO149" s="2337" t="n"/>
      <c r="AP149" s="218">
        <f>$CA149</f>
        <v/>
      </c>
      <c r="BU149" s="226" t="n"/>
      <c r="BV149" s="226" t="n"/>
      <c r="BW149" s="226" t="n"/>
      <c r="BX149" s="226" t="n"/>
      <c r="BY149" s="226" t="n"/>
      <c r="BZ149" s="226" t="n"/>
      <c r="CA149" s="219">
        <f>IF(AM149+AN149+AO149&lt;&gt;$B149,"* La suma de "&amp;AM$146&amp;""&amp;" no debe ser distinto del Total Ambos Sexos. ","")</f>
        <v/>
      </c>
      <c r="CB149" s="226" t="n"/>
      <c r="CC149" s="226" t="n"/>
      <c r="CD149" s="226" t="n"/>
      <c r="CK149" s="226" t="n"/>
      <c r="CM149" s="221">
        <f>IF(AM149+AN149+AO149&lt;&gt;$B149,1,0)</f>
        <v/>
      </c>
    </row>
    <row r="150">
      <c r="A150" s="1327" t="inlineStr">
        <is>
          <t>Ingresos con plan de tratamiento integral (PTI)</t>
        </is>
      </c>
      <c r="B150" s="3022">
        <f>SUM(C150:D150)</f>
        <v/>
      </c>
      <c r="C150" s="805">
        <f>E150+G150+I150+K150+M150+O150+Q150+S150+U150+W150+Y150+AA150+AC150+AE150+AG150+AI150+AK150</f>
        <v/>
      </c>
      <c r="D150" s="517">
        <f>F150+H150+J150+L150+N150+P150+R150+T150+V150+X150+Z150+AB150+AD150+AF150+AH150+AJ150+AL150</f>
        <v/>
      </c>
      <c r="E150" s="1172" t="n"/>
      <c r="F150" s="886" t="n"/>
      <c r="G150" s="1172" t="n"/>
      <c r="H150" s="886" t="n"/>
      <c r="I150" s="1172" t="n"/>
      <c r="J150" s="886" t="n"/>
      <c r="K150" s="1172" t="n"/>
      <c r="L150" s="886" t="n"/>
      <c r="M150" s="3789" t="n"/>
      <c r="N150" s="885" t="n"/>
      <c r="O150" s="1172" t="n"/>
      <c r="P150" s="886" t="n"/>
      <c r="Q150" s="1172" t="n"/>
      <c r="R150" s="886" t="n"/>
      <c r="S150" s="1172" t="n"/>
      <c r="T150" s="886" t="n"/>
      <c r="U150" s="1172" t="n"/>
      <c r="V150" s="886" t="n"/>
      <c r="W150" s="1172" t="n"/>
      <c r="X150" s="886" t="n"/>
      <c r="Y150" s="1172" t="n"/>
      <c r="Z150" s="886" t="n"/>
      <c r="AA150" s="1172" t="n"/>
      <c r="AB150" s="886" t="n"/>
      <c r="AC150" s="1172" t="n"/>
      <c r="AD150" s="885" t="n"/>
      <c r="AE150" s="1172" t="n"/>
      <c r="AF150" s="886" t="n"/>
      <c r="AG150" s="1172" t="n"/>
      <c r="AH150" s="886" t="n"/>
      <c r="AI150" s="1172" t="n"/>
      <c r="AJ150" s="886" t="n"/>
      <c r="AK150" s="3789" t="n"/>
      <c r="AL150" s="885" t="n"/>
      <c r="AM150" s="887" t="n"/>
      <c r="AN150" s="2001" t="n"/>
      <c r="AO150" s="886" t="n"/>
      <c r="AP150" s="218">
        <f>$CA150</f>
        <v/>
      </c>
      <c r="BU150" s="226" t="n"/>
      <c r="BV150" s="226" t="n"/>
      <c r="BW150" s="226" t="n"/>
      <c r="BX150" s="226" t="n"/>
      <c r="BY150" s="226" t="n"/>
      <c r="BZ150" s="226" t="n"/>
      <c r="CA150" s="219">
        <f>IF(AM150+AN150+AO150&lt;&gt;$B150,"* La suma de "&amp;AM$146&amp;""&amp;" no debe ser distinto del Total Ambos Sexos. ","")</f>
        <v/>
      </c>
      <c r="CB150" s="226" t="n"/>
      <c r="CC150" s="226" t="n"/>
      <c r="CD150" s="226" t="n"/>
      <c r="CK150" s="226" t="n"/>
      <c r="CM150" s="221">
        <f>IF(AM150+AN150+AO150&lt;&gt;$B150,1,0)</f>
        <v/>
      </c>
    </row>
    <row r="151">
      <c r="A151" s="4185" t="inlineStr">
        <is>
          <t>Ataque cerebro vascular (ACV)</t>
        </is>
      </c>
      <c r="B151" s="3022">
        <f>SUM(C151:D151)</f>
        <v/>
      </c>
      <c r="C151" s="805">
        <f>E151+G151+I151+K151+M151+O151+Q151+S151+U151+W151+Y151+AA151+AC151+AE151+AG151+AI151+AK151</f>
        <v/>
      </c>
      <c r="D151" s="517">
        <f>F151+H151+J151+L151+N151+P151+R151+T151+V151+X151+Z151+AB151+AD151+AF151+AH151+AJ151+AL151</f>
        <v/>
      </c>
      <c r="E151" s="1172" t="n"/>
      <c r="F151" s="886" t="n"/>
      <c r="G151" s="1172" t="n"/>
      <c r="H151" s="886" t="n"/>
      <c r="I151" s="1172" t="n"/>
      <c r="J151" s="886" t="n"/>
      <c r="K151" s="1172" t="n"/>
      <c r="L151" s="886" t="n"/>
      <c r="M151" s="3789" t="n"/>
      <c r="N151" s="885" t="n"/>
      <c r="O151" s="1172" t="n"/>
      <c r="P151" s="886" t="n"/>
      <c r="Q151" s="1172" t="n"/>
      <c r="R151" s="886" t="n"/>
      <c r="S151" s="1172" t="n"/>
      <c r="T151" s="886" t="n"/>
      <c r="U151" s="1172" t="n"/>
      <c r="V151" s="886" t="n"/>
      <c r="W151" s="1172" t="n"/>
      <c r="X151" s="886" t="n"/>
      <c r="Y151" s="1172" t="n"/>
      <c r="Z151" s="886" t="n"/>
      <c r="AA151" s="1172" t="n"/>
      <c r="AB151" s="886" t="n"/>
      <c r="AC151" s="1172" t="n"/>
      <c r="AD151" s="885" t="n"/>
      <c r="AE151" s="1172" t="n"/>
      <c r="AF151" s="886" t="n"/>
      <c r="AG151" s="1172" t="n"/>
      <c r="AH151" s="886" t="n"/>
      <c r="AI151" s="1172" t="n"/>
      <c r="AJ151" s="886" t="n"/>
      <c r="AK151" s="3789" t="n"/>
      <c r="AL151" s="885" t="n"/>
      <c r="AM151" s="887" t="n"/>
      <c r="AN151" s="2001" t="n"/>
      <c r="AO151" s="886" t="n"/>
      <c r="AP151" s="218">
        <f>$CA151</f>
        <v/>
      </c>
      <c r="BU151" s="226" t="n"/>
      <c r="BV151" s="226" t="n"/>
      <c r="BW151" s="226" t="n"/>
      <c r="BX151" s="226" t="n"/>
      <c r="BY151" s="226" t="n"/>
      <c r="BZ151" s="226" t="n"/>
      <c r="CA151" s="219">
        <f>IF(AM151+AN151+AO151&lt;&gt;$B151,"* La suma de "&amp;AM$146&amp;""&amp;" no debe ser distinto del Total Ambos Sexos. ","")</f>
        <v/>
      </c>
      <c r="CB151" s="226" t="n"/>
      <c r="CC151" s="226" t="n"/>
      <c r="CD151" s="226" t="n"/>
      <c r="CK151" s="226" t="n"/>
      <c r="CM151" s="221">
        <f>IF(AM151+AN151+AO151&lt;&gt;$B151,1,0)</f>
        <v/>
      </c>
    </row>
    <row r="152">
      <c r="A152" s="4185" t="inlineStr">
        <is>
          <t>Traumatismo encéfalo craneano (TEC)</t>
        </is>
      </c>
      <c r="B152" s="3022">
        <f>SUM(C152:D152)</f>
        <v/>
      </c>
      <c r="C152" s="805">
        <f>E152+G152+I152+K152+M152+O152+Q152+S152+U152+W152+Y152+AA152+AC152+AE152+AG152+AI152+AK152</f>
        <v/>
      </c>
      <c r="D152" s="517">
        <f>F152+H152+J152+L152+N152+P152+R152+T152+V152+X152+Z152+AB152+AD152+AF152+AH152+AJ152+AL152</f>
        <v/>
      </c>
      <c r="E152" s="1172" t="n"/>
      <c r="F152" s="886" t="n"/>
      <c r="G152" s="1172" t="n"/>
      <c r="H152" s="886" t="n"/>
      <c r="I152" s="1172" t="n"/>
      <c r="J152" s="886" t="n"/>
      <c r="K152" s="1172" t="n"/>
      <c r="L152" s="886" t="n"/>
      <c r="M152" s="3789" t="n"/>
      <c r="N152" s="885" t="n"/>
      <c r="O152" s="1172" t="n"/>
      <c r="P152" s="886" t="n"/>
      <c r="Q152" s="1172" t="n"/>
      <c r="R152" s="886" t="n"/>
      <c r="S152" s="1172" t="n"/>
      <c r="T152" s="886" t="n"/>
      <c r="U152" s="1172" t="n"/>
      <c r="V152" s="886" t="n"/>
      <c r="W152" s="1172" t="n"/>
      <c r="X152" s="886" t="n"/>
      <c r="Y152" s="1172" t="n"/>
      <c r="Z152" s="886" t="n"/>
      <c r="AA152" s="1172" t="n"/>
      <c r="AB152" s="886" t="n"/>
      <c r="AC152" s="1172" t="n"/>
      <c r="AD152" s="885" t="n"/>
      <c r="AE152" s="1172" t="n"/>
      <c r="AF152" s="886" t="n"/>
      <c r="AG152" s="1172" t="n"/>
      <c r="AH152" s="886" t="n"/>
      <c r="AI152" s="1172" t="n"/>
      <c r="AJ152" s="886" t="n"/>
      <c r="AK152" s="3789" t="n"/>
      <c r="AL152" s="885" t="n"/>
      <c r="AM152" s="887" t="n"/>
      <c r="AN152" s="2001" t="n"/>
      <c r="AO152" s="886" t="n"/>
      <c r="AP152" s="218">
        <f>$CA152</f>
        <v/>
      </c>
      <c r="BU152" s="226" t="n"/>
      <c r="BV152" s="226" t="n"/>
      <c r="BW152" s="226" t="n"/>
      <c r="BX152" s="226" t="n"/>
      <c r="BY152" s="226" t="n"/>
      <c r="BZ152" s="226" t="n"/>
      <c r="CA152" s="219">
        <f>IF(AM152+AN152+AO152&lt;&gt;$B152,"* La suma de "&amp;AM$146&amp;""&amp;" no debe ser distinto del Total Ambos Sexos. ","")</f>
        <v/>
      </c>
      <c r="CB152" s="226" t="n"/>
      <c r="CC152" s="226" t="n"/>
      <c r="CD152" s="226" t="n"/>
      <c r="CK152" s="226" t="n"/>
      <c r="CM152" s="221">
        <f>IF(AM152+AN152+AO152&lt;&gt;$B152,1,0)</f>
        <v/>
      </c>
    </row>
    <row r="153">
      <c r="A153" s="4185" t="inlineStr">
        <is>
          <t>Lesión medular</t>
        </is>
      </c>
      <c r="B153" s="3022">
        <f>SUM(C153:D153)</f>
        <v/>
      </c>
      <c r="C153" s="805">
        <f>E153+G153+I153+K153+M153+O153+Q153+S153+U153+W153+Y153+AA153+AC153+AE153+AG153+AI153+AK153</f>
        <v/>
      </c>
      <c r="D153" s="517">
        <f>F153+H153+J153+L153+N153+P153+R153+T153+V153+X153+Z153+AB153+AD153+AF153+AH153+AJ153+AL153</f>
        <v/>
      </c>
      <c r="E153" s="1172" t="n"/>
      <c r="F153" s="886" t="n"/>
      <c r="G153" s="1172" t="n"/>
      <c r="H153" s="886" t="n"/>
      <c r="I153" s="1172" t="n"/>
      <c r="J153" s="886" t="n"/>
      <c r="K153" s="1172" t="n"/>
      <c r="L153" s="886" t="n"/>
      <c r="M153" s="3789" t="n"/>
      <c r="N153" s="885" t="n"/>
      <c r="O153" s="1172" t="n"/>
      <c r="P153" s="886" t="n"/>
      <c r="Q153" s="1172" t="n"/>
      <c r="R153" s="886" t="n"/>
      <c r="S153" s="1172" t="n"/>
      <c r="T153" s="886" t="n"/>
      <c r="U153" s="1172" t="n"/>
      <c r="V153" s="886" t="n"/>
      <c r="W153" s="1172" t="n"/>
      <c r="X153" s="886" t="n"/>
      <c r="Y153" s="1172" t="n"/>
      <c r="Z153" s="886" t="n"/>
      <c r="AA153" s="1172" t="n"/>
      <c r="AB153" s="886" t="n"/>
      <c r="AC153" s="1172" t="n"/>
      <c r="AD153" s="885" t="n"/>
      <c r="AE153" s="1172" t="n"/>
      <c r="AF153" s="886" t="n"/>
      <c r="AG153" s="1172" t="n"/>
      <c r="AH153" s="886" t="n"/>
      <c r="AI153" s="1172" t="n"/>
      <c r="AJ153" s="886" t="n"/>
      <c r="AK153" s="3789" t="n"/>
      <c r="AL153" s="885" t="n"/>
      <c r="AM153" s="887" t="n"/>
      <c r="AN153" s="2001" t="n"/>
      <c r="AO153" s="886" t="n"/>
      <c r="AP153" s="218">
        <f>$CA153</f>
        <v/>
      </c>
      <c r="BU153" s="226" t="n"/>
      <c r="BV153" s="226" t="n"/>
      <c r="BW153" s="226" t="n"/>
      <c r="BX153" s="226" t="n"/>
      <c r="BY153" s="226" t="n"/>
      <c r="BZ153" s="226" t="n"/>
      <c r="CA153" s="219">
        <f>IF(AM153+AN153+AO153&lt;&gt;$B153,"* La suma de "&amp;AM$146&amp;""&amp;" no debe ser distinto del Total Ambos Sexos. ","")</f>
        <v/>
      </c>
      <c r="CB153" s="226" t="n"/>
      <c r="CC153" s="226" t="n"/>
      <c r="CD153" s="226" t="n"/>
      <c r="CK153" s="226" t="n"/>
      <c r="CM153" s="221">
        <f>IF(AM153+AN153+AO153&lt;&gt;$B153,1,0)</f>
        <v/>
      </c>
    </row>
    <row r="154">
      <c r="A154" s="4185" t="inlineStr">
        <is>
          <t>Neuromusculares agudas</t>
        </is>
      </c>
      <c r="B154" s="3022">
        <f>SUM(C154:D154)</f>
        <v/>
      </c>
      <c r="C154" s="805">
        <f>E154+G154+I154+K154+M154+O154+Q154+S154+U154+W154+Y154+AA154+AC154+AE154+AG154+AI154+AK154</f>
        <v/>
      </c>
      <c r="D154" s="517">
        <f>F154+H154+J154+L154+N154+P154+R154+T154+V154+X154+Z154+AB154+AD154+AF154+AH154+AJ154+AL154</f>
        <v/>
      </c>
      <c r="E154" s="1172" t="n"/>
      <c r="F154" s="886" t="n"/>
      <c r="G154" s="1172" t="n"/>
      <c r="H154" s="886" t="n"/>
      <c r="I154" s="1172" t="n"/>
      <c r="J154" s="886" t="n"/>
      <c r="K154" s="1172" t="n"/>
      <c r="L154" s="886" t="n"/>
      <c r="M154" s="3789" t="n"/>
      <c r="N154" s="885" t="n"/>
      <c r="O154" s="1172" t="n"/>
      <c r="P154" s="886" t="n"/>
      <c r="Q154" s="1172" t="n"/>
      <c r="R154" s="886" t="n"/>
      <c r="S154" s="1172" t="n"/>
      <c r="T154" s="886" t="n"/>
      <c r="U154" s="1172" t="n"/>
      <c r="V154" s="886" t="n"/>
      <c r="W154" s="1172" t="n"/>
      <c r="X154" s="886" t="n"/>
      <c r="Y154" s="1172" t="n"/>
      <c r="Z154" s="886" t="n"/>
      <c r="AA154" s="1172" t="n"/>
      <c r="AB154" s="886" t="n"/>
      <c r="AC154" s="1172" t="n"/>
      <c r="AD154" s="885" t="n"/>
      <c r="AE154" s="1172" t="n"/>
      <c r="AF154" s="886" t="n"/>
      <c r="AG154" s="1172" t="n"/>
      <c r="AH154" s="886" t="n"/>
      <c r="AI154" s="1172" t="n"/>
      <c r="AJ154" s="886" t="n"/>
      <c r="AK154" s="3789" t="n"/>
      <c r="AL154" s="885" t="n"/>
      <c r="AM154" s="887" t="n"/>
      <c r="AN154" s="2001" t="n"/>
      <c r="AO154" s="886" t="n"/>
      <c r="AP154" s="218">
        <f>$CA154</f>
        <v/>
      </c>
      <c r="BU154" s="226" t="n"/>
      <c r="BV154" s="226" t="n"/>
      <c r="BW154" s="226" t="n"/>
      <c r="BX154" s="226" t="n"/>
      <c r="BY154" s="226" t="n"/>
      <c r="BZ154" s="226" t="n"/>
      <c r="CA154" s="219">
        <f>IF(AM154+AN154+AO154&lt;&gt;$B154,"* La suma de "&amp;AM$146&amp;""&amp;" no debe ser distinto del Total Ambos Sexos. ","")</f>
        <v/>
      </c>
      <c r="CB154" s="226" t="n"/>
      <c r="CC154" s="226" t="n"/>
      <c r="CD154" s="226" t="n"/>
      <c r="CK154" s="226" t="n"/>
      <c r="CM154" s="221">
        <f>IF(AM154+AN154+AO154&lt;&gt;$B154,1,0)</f>
        <v/>
      </c>
    </row>
    <row r="155">
      <c r="A155" s="4185" t="inlineStr">
        <is>
          <t>Neuromusculares crónicas</t>
        </is>
      </c>
      <c r="B155" s="3022">
        <f>SUM(C155:D155)</f>
        <v/>
      </c>
      <c r="C155" s="805">
        <f>E155+G155+I155+K155+M155+O155+Q155+S155+U155+W155+Y155+AA155+AC155+AE155+AG155+AI155+AK155</f>
        <v/>
      </c>
      <c r="D155" s="517">
        <f>F155+H155+J155+L155+N155+P155+R155+T155+V155+X155+Z155+AB155+AD155+AF155+AH155+AJ155+AL155</f>
        <v/>
      </c>
      <c r="E155" s="1172" t="n"/>
      <c r="F155" s="886" t="n"/>
      <c r="G155" s="1172" t="n"/>
      <c r="H155" s="886" t="n"/>
      <c r="I155" s="1172" t="n"/>
      <c r="J155" s="886" t="n"/>
      <c r="K155" s="1172" t="n"/>
      <c r="L155" s="886" t="n"/>
      <c r="M155" s="3789" t="n"/>
      <c r="N155" s="885" t="n"/>
      <c r="O155" s="1172" t="n"/>
      <c r="P155" s="886" t="n"/>
      <c r="Q155" s="1172" t="n"/>
      <c r="R155" s="886" t="n"/>
      <c r="S155" s="1172" t="n"/>
      <c r="T155" s="886" t="n"/>
      <c r="U155" s="1172" t="n"/>
      <c r="V155" s="886" t="n"/>
      <c r="W155" s="1172" t="n"/>
      <c r="X155" s="886" t="n"/>
      <c r="Y155" s="1172" t="n"/>
      <c r="Z155" s="886" t="n"/>
      <c r="AA155" s="1172" t="n"/>
      <c r="AB155" s="886" t="n"/>
      <c r="AC155" s="1172" t="n"/>
      <c r="AD155" s="885" t="n"/>
      <c r="AE155" s="1172" t="n"/>
      <c r="AF155" s="886" t="n"/>
      <c r="AG155" s="1172" t="n"/>
      <c r="AH155" s="886" t="n"/>
      <c r="AI155" s="1172" t="n"/>
      <c r="AJ155" s="886" t="n"/>
      <c r="AK155" s="3789" t="n"/>
      <c r="AL155" s="885" t="n"/>
      <c r="AM155" s="887" t="n"/>
      <c r="AN155" s="2001" t="n"/>
      <c r="AO155" s="886" t="n"/>
      <c r="AP155" s="218">
        <f>$CA155</f>
        <v/>
      </c>
      <c r="BU155" s="226" t="n"/>
      <c r="BV155" s="226" t="n"/>
      <c r="BW155" s="226" t="n"/>
      <c r="BX155" s="226" t="n"/>
      <c r="BY155" s="226" t="n"/>
      <c r="BZ155" s="226" t="n"/>
      <c r="CA155" s="219">
        <f>IF(AM155+AN155+AO155&lt;&gt;$B155,"* La suma de "&amp;AM$146&amp;""&amp;" no debe ser distinto del Total Ambos Sexos. ","")</f>
        <v/>
      </c>
      <c r="CB155" s="226" t="n"/>
      <c r="CC155" s="226" t="n"/>
      <c r="CD155" s="226" t="n"/>
      <c r="CK155" s="226" t="n"/>
      <c r="CM155" s="221">
        <f>IF(AM155+AN155+AO155&lt;&gt;$B155,1,0)</f>
        <v/>
      </c>
    </row>
    <row r="156">
      <c r="A156" s="4185" t="inlineStr">
        <is>
          <t>Disrafias espinales</t>
        </is>
      </c>
      <c r="B156" s="3022">
        <f>SUM(C156:D156)</f>
        <v/>
      </c>
      <c r="C156" s="805">
        <f>E156+G156+I156+K156+M156+O156+Q156+S156+U156+W156+Y156+AA156+AC156+AE156+AG156+AI156+AK156</f>
        <v/>
      </c>
      <c r="D156" s="517">
        <f>F156+H156+J156+L156+N156+P156+R156+T156+V156+X156+Z156+AB156+AD156+AF156+AH156+AJ156+AL156</f>
        <v/>
      </c>
      <c r="E156" s="1172" t="n"/>
      <c r="F156" s="886" t="n"/>
      <c r="G156" s="1172" t="n"/>
      <c r="H156" s="886" t="n"/>
      <c r="I156" s="1172" t="n"/>
      <c r="J156" s="886" t="n"/>
      <c r="K156" s="1172" t="n"/>
      <c r="L156" s="886" t="n"/>
      <c r="M156" s="3789" t="n"/>
      <c r="N156" s="885" t="n"/>
      <c r="O156" s="1172" t="n"/>
      <c r="P156" s="886" t="n"/>
      <c r="Q156" s="1172" t="n"/>
      <c r="R156" s="886" t="n"/>
      <c r="S156" s="1172" t="n"/>
      <c r="T156" s="886" t="n"/>
      <c r="U156" s="1172" t="n"/>
      <c r="V156" s="886" t="n"/>
      <c r="W156" s="1172" t="n"/>
      <c r="X156" s="886" t="n"/>
      <c r="Y156" s="1172" t="n"/>
      <c r="Z156" s="886" t="n"/>
      <c r="AA156" s="1172" t="n"/>
      <c r="AB156" s="886" t="n"/>
      <c r="AC156" s="1172" t="n"/>
      <c r="AD156" s="885" t="n"/>
      <c r="AE156" s="1172" t="n"/>
      <c r="AF156" s="886" t="n"/>
      <c r="AG156" s="1172" t="n"/>
      <c r="AH156" s="886" t="n"/>
      <c r="AI156" s="1172" t="n"/>
      <c r="AJ156" s="886" t="n"/>
      <c r="AK156" s="3789" t="n"/>
      <c r="AL156" s="885" t="n"/>
      <c r="AM156" s="887" t="n"/>
      <c r="AN156" s="2001" t="n"/>
      <c r="AO156" s="886" t="n"/>
      <c r="AP156" s="218">
        <f>$CA156</f>
        <v/>
      </c>
      <c r="BU156" s="226" t="n"/>
      <c r="BV156" s="226" t="n"/>
      <c r="BW156" s="226" t="n"/>
      <c r="BX156" s="226" t="n"/>
      <c r="BY156" s="226" t="n"/>
      <c r="BZ156" s="226" t="n"/>
      <c r="CA156" s="219">
        <f>IF(AM156+AN156+AO156&lt;&gt;$B156,"* La suma de "&amp;AM$146&amp;""&amp;" no debe ser distinto del Total Ambos Sexos. ","")</f>
        <v/>
      </c>
      <c r="CB156" s="226" t="n"/>
      <c r="CC156" s="226" t="n"/>
      <c r="CD156" s="226" t="n"/>
      <c r="CK156" s="226" t="n"/>
      <c r="CM156" s="221">
        <f>IF(AM156+AN156+AO156&lt;&gt;$B156,1,0)</f>
        <v/>
      </c>
    </row>
    <row r="157">
      <c r="A157" s="4185" t="inlineStr">
        <is>
          <t>Otras neurológicas</t>
        </is>
      </c>
      <c r="B157" s="3022">
        <f>SUM(C157:D157)</f>
        <v/>
      </c>
      <c r="C157" s="805">
        <f>E157+G157+I157+K157+M157+O157+Q157+S157+U157+W157+Y157+AA157+AC157+AE157+AG157+AI157+AK157</f>
        <v/>
      </c>
      <c r="D157" s="517">
        <f>F157+H157+J157+L157+N157+P157+R157+T157+V157+X157+Z157+AB157+AD157+AF157+AH157+AJ157+AL157</f>
        <v/>
      </c>
      <c r="E157" s="1172" t="n"/>
      <c r="F157" s="886" t="n"/>
      <c r="G157" s="1172" t="n"/>
      <c r="H157" s="886" t="n"/>
      <c r="I157" s="1172" t="n"/>
      <c r="J157" s="886" t="n"/>
      <c r="K157" s="1172" t="n"/>
      <c r="L157" s="886" t="n"/>
      <c r="M157" s="3789" t="n"/>
      <c r="N157" s="885" t="n"/>
      <c r="O157" s="1172" t="n"/>
      <c r="P157" s="886" t="n"/>
      <c r="Q157" s="1172" t="n"/>
      <c r="R157" s="886" t="n"/>
      <c r="S157" s="1172" t="n"/>
      <c r="T157" s="886" t="n"/>
      <c r="U157" s="1172" t="n"/>
      <c r="V157" s="886" t="n"/>
      <c r="W157" s="1172" t="n"/>
      <c r="X157" s="886" t="n"/>
      <c r="Y157" s="1172" t="n"/>
      <c r="Z157" s="886" t="n"/>
      <c r="AA157" s="1172" t="n"/>
      <c r="AB157" s="886" t="n"/>
      <c r="AC157" s="1172" t="n"/>
      <c r="AD157" s="885" t="n"/>
      <c r="AE157" s="1172" t="n"/>
      <c r="AF157" s="886" t="n"/>
      <c r="AG157" s="1172" t="n"/>
      <c r="AH157" s="886" t="n"/>
      <c r="AI157" s="1172" t="n"/>
      <c r="AJ157" s="886" t="n"/>
      <c r="AK157" s="3789" t="n"/>
      <c r="AL157" s="885" t="n"/>
      <c r="AM157" s="887" t="n"/>
      <c r="AN157" s="2001" t="n"/>
      <c r="AO157" s="886" t="n"/>
      <c r="AP157" s="218">
        <f>$CA157</f>
        <v/>
      </c>
      <c r="BU157" s="226" t="n"/>
      <c r="BV157" s="226" t="n"/>
      <c r="BW157" s="226" t="n"/>
      <c r="BX157" s="226" t="n"/>
      <c r="BY157" s="226" t="n"/>
      <c r="BZ157" s="226" t="n"/>
      <c r="CA157" s="219">
        <f>IF(AM157+AN157+AO157&lt;&gt;$B157,"* La suma de "&amp;AM$146&amp;""&amp;" no debe ser distinto del Total Ambos Sexos. ","")</f>
        <v/>
      </c>
      <c r="CB157" s="226" t="n"/>
      <c r="CC157" s="226" t="n"/>
      <c r="CD157" s="226" t="n"/>
      <c r="CK157" s="226" t="n"/>
      <c r="CM157" s="221">
        <f>IF(AM157+AN157+AO157&lt;&gt;$B157,1,0)</f>
        <v/>
      </c>
    </row>
    <row r="158">
      <c r="A158" s="4185" t="inlineStr">
        <is>
          <t>Trastornos del Neurodesarrollo</t>
        </is>
      </c>
      <c r="B158" s="3022">
        <f>SUM(C158:D158)</f>
        <v/>
      </c>
      <c r="C158" s="805">
        <f>E158+G158+I158+K158+M158+O158+Q158+S158+U158+W158+Y158+AA158+AC158+AE158+AG158+AI158+AK158</f>
        <v/>
      </c>
      <c r="D158" s="517">
        <f>F158+H158+J158+L158+N158+P158+R158+T158+V158+X158+Z158+AB158+AD158+AF158+AH158+AJ158+AL158</f>
        <v/>
      </c>
      <c r="E158" s="1172" t="n"/>
      <c r="F158" s="886" t="n"/>
      <c r="G158" s="1172" t="n"/>
      <c r="H158" s="886" t="n"/>
      <c r="I158" s="1172" t="n"/>
      <c r="J158" s="886" t="n"/>
      <c r="K158" s="1172" t="n"/>
      <c r="L158" s="886" t="n"/>
      <c r="M158" s="3789" t="n"/>
      <c r="N158" s="885" t="n"/>
      <c r="O158" s="1172" t="n"/>
      <c r="P158" s="886" t="n"/>
      <c r="Q158" s="1172" t="n"/>
      <c r="R158" s="886" t="n"/>
      <c r="S158" s="1172" t="n"/>
      <c r="T158" s="886" t="n"/>
      <c r="U158" s="1172" t="n"/>
      <c r="V158" s="886" t="n"/>
      <c r="W158" s="1172" t="n"/>
      <c r="X158" s="886" t="n"/>
      <c r="Y158" s="1172" t="n"/>
      <c r="Z158" s="886" t="n"/>
      <c r="AA158" s="1172" t="n"/>
      <c r="AB158" s="886" t="n"/>
      <c r="AC158" s="1172" t="n"/>
      <c r="AD158" s="885" t="n"/>
      <c r="AE158" s="1172" t="n"/>
      <c r="AF158" s="886" t="n"/>
      <c r="AG158" s="1172" t="n"/>
      <c r="AH158" s="886" t="n"/>
      <c r="AI158" s="1172" t="n"/>
      <c r="AJ158" s="886" t="n"/>
      <c r="AK158" s="3789" t="n"/>
      <c r="AL158" s="885" t="n"/>
      <c r="AM158" s="887" t="n"/>
      <c r="AN158" s="2001" t="n"/>
      <c r="AO158" s="886" t="n"/>
      <c r="AP158" s="218">
        <f>$CA158</f>
        <v/>
      </c>
      <c r="BU158" s="226" t="n"/>
      <c r="BV158" s="226" t="n"/>
      <c r="BW158" s="226" t="n"/>
      <c r="BX158" s="226" t="n"/>
      <c r="BY158" s="226" t="n"/>
      <c r="BZ158" s="226" t="n"/>
      <c r="CA158" s="219">
        <f>IF(AM158+AN158+AO158&lt;&gt;$B158,"* La suma de "&amp;AM$146&amp;""&amp;" no debe ser distinto del Total Ambos Sexos. ","")</f>
        <v/>
      </c>
      <c r="CB158" s="226" t="n"/>
      <c r="CC158" s="226" t="n"/>
      <c r="CD158" s="226" t="n"/>
      <c r="CK158" s="226" t="n"/>
      <c r="CM158" s="221">
        <f>IF(AM158+AN158+AO158&lt;&gt;$B158,1,0)</f>
        <v/>
      </c>
    </row>
    <row r="159">
      <c r="A159" s="4185" t="inlineStr">
        <is>
          <t>Parálisis cerebral</t>
        </is>
      </c>
      <c r="B159" s="3022">
        <f>SUM(C159:D159)</f>
        <v/>
      </c>
      <c r="C159" s="805">
        <f>E159+G159+I159+K159+M159+O159+Q159+S159+U159+W159+Y159+AA159+AC159+AE159+AG159+AI159+AK159</f>
        <v/>
      </c>
      <c r="D159" s="517">
        <f>F159+H159+J159+L159+N159+P159+R159+T159+V159+X159+Z159+AB159+AD159+AF159+AH159+AJ159+AL159</f>
        <v/>
      </c>
      <c r="E159" s="1172" t="n"/>
      <c r="F159" s="886" t="n"/>
      <c r="G159" s="1172" t="n"/>
      <c r="H159" s="886" t="n"/>
      <c r="I159" s="1172" t="n"/>
      <c r="J159" s="886" t="n"/>
      <c r="K159" s="1172" t="n"/>
      <c r="L159" s="886" t="n"/>
      <c r="M159" s="3789" t="n"/>
      <c r="N159" s="885" t="n"/>
      <c r="O159" s="1172" t="n"/>
      <c r="P159" s="886" t="n"/>
      <c r="Q159" s="1172" t="n"/>
      <c r="R159" s="886" t="n"/>
      <c r="S159" s="1172" t="n"/>
      <c r="T159" s="886" t="n"/>
      <c r="U159" s="1172" t="n"/>
      <c r="V159" s="886" t="n"/>
      <c r="W159" s="1172" t="n"/>
      <c r="X159" s="886" t="n"/>
      <c r="Y159" s="1172" t="n"/>
      <c r="Z159" s="886" t="n"/>
      <c r="AA159" s="1172" t="n"/>
      <c r="AB159" s="886" t="n"/>
      <c r="AC159" s="1172" t="n"/>
      <c r="AD159" s="885" t="n"/>
      <c r="AE159" s="1172" t="n"/>
      <c r="AF159" s="886" t="n"/>
      <c r="AG159" s="1172" t="n"/>
      <c r="AH159" s="886" t="n"/>
      <c r="AI159" s="1172" t="n"/>
      <c r="AJ159" s="886" t="n"/>
      <c r="AK159" s="3789" t="n"/>
      <c r="AL159" s="885" t="n"/>
      <c r="AM159" s="887" t="n"/>
      <c r="AN159" s="2001" t="n"/>
      <c r="AO159" s="886" t="n"/>
      <c r="AP159" s="218">
        <f>$CA159</f>
        <v/>
      </c>
      <c r="BU159" s="226" t="n"/>
      <c r="BV159" s="226" t="n"/>
      <c r="BW159" s="226" t="n"/>
      <c r="BX159" s="226" t="n"/>
      <c r="BY159" s="226" t="n"/>
      <c r="BZ159" s="226" t="n"/>
      <c r="CA159" s="219">
        <f>IF(AM159+AN159+AO159&lt;&gt;$B159,"* La suma de "&amp;AM$146&amp;""&amp;" no debe ser distinto del Total Ambos Sexos. ","")</f>
        <v/>
      </c>
      <c r="CB159" s="226" t="n"/>
      <c r="CC159" s="226" t="n"/>
      <c r="CD159" s="226" t="n"/>
      <c r="CK159" s="226" t="n"/>
      <c r="CM159" s="221">
        <f>IF(AM159+AN159+AO159&lt;&gt;$B159,1,0)</f>
        <v/>
      </c>
    </row>
    <row r="160">
      <c r="A160" s="4185" t="inlineStr">
        <is>
          <t>Recién nacido de alto riesgo</t>
        </is>
      </c>
      <c r="B160" s="3022">
        <f>SUM(C160:D160)</f>
        <v/>
      </c>
      <c r="C160" s="805">
        <f>E160+G160+I160+K160+M160+O160+Q160+S160+U160+W160+Y160+AA160+AC160+AE160+AG160+AI160+AK160</f>
        <v/>
      </c>
      <c r="D160" s="517">
        <f>F160+H160+J160+L160+N160+P160+R160+T160+V160+X160+Z160+AB160+AD160+AF160+AH160+AJ160+AL160</f>
        <v/>
      </c>
      <c r="E160" s="1172" t="n"/>
      <c r="F160" s="886" t="n"/>
      <c r="G160" s="1172" t="n"/>
      <c r="H160" s="886" t="n"/>
      <c r="I160" s="1172" t="n"/>
      <c r="J160" s="886" t="n"/>
      <c r="K160" s="1172" t="n"/>
      <c r="L160" s="886" t="n"/>
      <c r="M160" s="3789" t="n"/>
      <c r="N160" s="885" t="n"/>
      <c r="O160" s="1172" t="n"/>
      <c r="P160" s="886" t="n"/>
      <c r="Q160" s="1172" t="n"/>
      <c r="R160" s="886" t="n"/>
      <c r="S160" s="1172" t="n"/>
      <c r="T160" s="886" t="n"/>
      <c r="U160" s="1172" t="n"/>
      <c r="V160" s="886" t="n"/>
      <c r="W160" s="1172" t="n"/>
      <c r="X160" s="886" t="n"/>
      <c r="Y160" s="1172" t="n"/>
      <c r="Z160" s="886" t="n"/>
      <c r="AA160" s="1172" t="n"/>
      <c r="AB160" s="886" t="n"/>
      <c r="AC160" s="1172" t="n"/>
      <c r="AD160" s="885" t="n"/>
      <c r="AE160" s="1172" t="n"/>
      <c r="AF160" s="886" t="n"/>
      <c r="AG160" s="1172" t="n"/>
      <c r="AH160" s="886" t="n"/>
      <c r="AI160" s="1172" t="n"/>
      <c r="AJ160" s="886" t="n"/>
      <c r="AK160" s="3789" t="n"/>
      <c r="AL160" s="885" t="n"/>
      <c r="AM160" s="887" t="n"/>
      <c r="AN160" s="2001" t="n"/>
      <c r="AO160" s="886" t="n"/>
      <c r="AP160" s="218">
        <f>$CA160</f>
        <v/>
      </c>
      <c r="BU160" s="226" t="n"/>
      <c r="BV160" s="226" t="n"/>
      <c r="BW160" s="226" t="n"/>
      <c r="BX160" s="226" t="n"/>
      <c r="BY160" s="226" t="n"/>
      <c r="BZ160" s="226" t="n"/>
      <c r="CA160" s="219">
        <f>IF(AM160+AN160+AO160&lt;&gt;$B160,"* La suma de "&amp;AM$146&amp;""&amp;" no debe ser distinto del Total Ambos Sexos. ","")</f>
        <v/>
      </c>
      <c r="CB160" s="226" t="n"/>
      <c r="CC160" s="226" t="n"/>
      <c r="CD160" s="226" t="n"/>
      <c r="CK160" s="226" t="n"/>
      <c r="CM160" s="221">
        <f>IF(AM160+AN160+AO160&lt;&gt;$B160,1,0)</f>
        <v/>
      </c>
    </row>
    <row r="161">
      <c r="A161" s="4185" t="inlineStr">
        <is>
          <t>Síndrome POST-UCI</t>
        </is>
      </c>
      <c r="B161" s="3022">
        <f>SUM(C161:D161)</f>
        <v/>
      </c>
      <c r="C161" s="805">
        <f>E161+G161+I161+K161+M161+O161+Q161+S161+U161+W161+Y161+AA161+AC161+AE161+AG161+AI161+AK161</f>
        <v/>
      </c>
      <c r="D161" s="517">
        <f>F161+H161+J161+L161+N161+P161+R161+T161+V161+X161+Z161+AB161+AD161+AF161+AH161+AJ161+AL161</f>
        <v/>
      </c>
      <c r="E161" s="1172" t="n"/>
      <c r="F161" s="886" t="n"/>
      <c r="G161" s="1172" t="n"/>
      <c r="H161" s="886" t="n"/>
      <c r="I161" s="1172" t="n"/>
      <c r="J161" s="886" t="n"/>
      <c r="K161" s="1172" t="n"/>
      <c r="L161" s="886" t="n"/>
      <c r="M161" s="3789" t="n"/>
      <c r="N161" s="885" t="n"/>
      <c r="O161" s="1172" t="n"/>
      <c r="P161" s="886" t="n"/>
      <c r="Q161" s="1172" t="n"/>
      <c r="R161" s="886" t="n"/>
      <c r="S161" s="1172" t="n"/>
      <c r="T161" s="886" t="n"/>
      <c r="U161" s="1172" t="n"/>
      <c r="V161" s="886" t="n"/>
      <c r="W161" s="1172" t="n"/>
      <c r="X161" s="886" t="n"/>
      <c r="Y161" s="1172" t="n"/>
      <c r="Z161" s="886" t="n"/>
      <c r="AA161" s="1172" t="n"/>
      <c r="AB161" s="886" t="n"/>
      <c r="AC161" s="1172" t="n"/>
      <c r="AD161" s="885" t="n"/>
      <c r="AE161" s="1172" t="n"/>
      <c r="AF161" s="886" t="n"/>
      <c r="AG161" s="1172" t="n"/>
      <c r="AH161" s="886" t="n"/>
      <c r="AI161" s="1172" t="n"/>
      <c r="AJ161" s="886" t="n"/>
      <c r="AK161" s="3789" t="n"/>
      <c r="AL161" s="885" t="n"/>
      <c r="AM161" s="887" t="n"/>
      <c r="AN161" s="2001" t="n"/>
      <c r="AO161" s="886" t="n"/>
      <c r="AP161" s="218">
        <f>$CA161</f>
        <v/>
      </c>
      <c r="BU161" s="226" t="n"/>
      <c r="BV161" s="226" t="n"/>
      <c r="BW161" s="226" t="n"/>
      <c r="BX161" s="226" t="n"/>
      <c r="BY161" s="226" t="n"/>
      <c r="BZ161" s="226" t="n"/>
      <c r="CA161" s="219">
        <f>IF(AM161+AN161+AO161&lt;&gt;$B161,"* La suma de "&amp;AM$146&amp;""&amp;" no debe ser distinto del Total Ambos Sexos. ","")</f>
        <v/>
      </c>
      <c r="CB161" s="226" t="n"/>
      <c r="CC161" s="226" t="n"/>
      <c r="CD161" s="226" t="n"/>
      <c r="CK161" s="226" t="n"/>
      <c r="CM161" s="221">
        <f>IF(AM161+AN161+AO161&lt;&gt;$B161,1,0)</f>
        <v/>
      </c>
    </row>
    <row r="162">
      <c r="A162" s="4185" t="inlineStr">
        <is>
          <t>COVID-19</t>
        </is>
      </c>
      <c r="B162" s="3022">
        <f>SUM(C162:D162)</f>
        <v/>
      </c>
      <c r="C162" s="805">
        <f>E162+G162+I162+K162+M162+O162+Q162+S162+U162+W162+Y162+AA162+AC162+AE162+AG162+AI162+AK162</f>
        <v/>
      </c>
      <c r="D162" s="517">
        <f>F162+H162+J162+L162+N162+P162+R162+T162+V162+X162+Z162+AB162+AD162+AF162+AH162+AJ162+AL162</f>
        <v/>
      </c>
      <c r="E162" s="1172" t="n"/>
      <c r="F162" s="886" t="n"/>
      <c r="G162" s="1172" t="n"/>
      <c r="H162" s="886" t="n"/>
      <c r="I162" s="1172" t="n"/>
      <c r="J162" s="886" t="n"/>
      <c r="K162" s="1172" t="n"/>
      <c r="L162" s="886" t="n"/>
      <c r="M162" s="3789" t="n"/>
      <c r="N162" s="885" t="n"/>
      <c r="O162" s="1172" t="n"/>
      <c r="P162" s="886" t="n"/>
      <c r="Q162" s="1172" t="n"/>
      <c r="R162" s="886" t="n"/>
      <c r="S162" s="1172" t="n"/>
      <c r="T162" s="886" t="n"/>
      <c r="U162" s="1172" t="n"/>
      <c r="V162" s="886" t="n"/>
      <c r="W162" s="1172" t="n"/>
      <c r="X162" s="886" t="n"/>
      <c r="Y162" s="1172" t="n"/>
      <c r="Z162" s="886" t="n"/>
      <c r="AA162" s="1172" t="n"/>
      <c r="AB162" s="886" t="n"/>
      <c r="AC162" s="1172" t="n"/>
      <c r="AD162" s="885" t="n"/>
      <c r="AE162" s="1172" t="n"/>
      <c r="AF162" s="886" t="n"/>
      <c r="AG162" s="1172" t="n"/>
      <c r="AH162" s="886" t="n"/>
      <c r="AI162" s="1172" t="n"/>
      <c r="AJ162" s="886" t="n"/>
      <c r="AK162" s="3789" t="n"/>
      <c r="AL162" s="885" t="n"/>
      <c r="AM162" s="887" t="n"/>
      <c r="AN162" s="2001" t="n"/>
      <c r="AO162" s="886" t="n"/>
      <c r="AP162" s="218">
        <f>$CA162</f>
        <v/>
      </c>
      <c r="BU162" s="226" t="n"/>
      <c r="BV162" s="226" t="n"/>
      <c r="BW162" s="226" t="n"/>
      <c r="BX162" s="226" t="n"/>
      <c r="BY162" s="226" t="n"/>
      <c r="BZ162" s="226" t="n"/>
      <c r="CA162" s="219">
        <f>IF(AM162+AN162+AO162&lt;&gt;$B162,"* La suma de "&amp;AM$146&amp;""&amp;" no debe ser distinto del Total Ambos Sexos. ","")</f>
        <v/>
      </c>
      <c r="CB162" s="226" t="n"/>
      <c r="CC162" s="226" t="n"/>
      <c r="CD162" s="226" t="n"/>
      <c r="CK162" s="226" t="n"/>
      <c r="CM162" s="221">
        <f>IF(AM162+AN162+AO162&lt;&gt;$B162,1,0)</f>
        <v/>
      </c>
    </row>
    <row r="163">
      <c r="A163" s="4185" t="inlineStr">
        <is>
          <t>Enfermedades respiratorias</t>
        </is>
      </c>
      <c r="B163" s="3022">
        <f>SUM(C163:D163)</f>
        <v/>
      </c>
      <c r="C163" s="805">
        <f>E163+G163+I163+K163+M163+O163+Q163+S163+U163+W163+Y163+AA163+AC163+AE163+AG163+AI163+AK163</f>
        <v/>
      </c>
      <c r="D163" s="517">
        <f>F163+H163+J163+L163+N163+P163+R163+T163+V163+X163+Z163+AB163+AD163+AF163+AH163+AJ163+AL163</f>
        <v/>
      </c>
      <c r="E163" s="1172" t="n"/>
      <c r="F163" s="886" t="n"/>
      <c r="G163" s="1172" t="n"/>
      <c r="H163" s="886" t="n"/>
      <c r="I163" s="1172" t="n"/>
      <c r="J163" s="886" t="n"/>
      <c r="K163" s="1172" t="n"/>
      <c r="L163" s="886" t="n"/>
      <c r="M163" s="3789" t="n"/>
      <c r="N163" s="885" t="n"/>
      <c r="O163" s="1172" t="n"/>
      <c r="P163" s="886" t="n"/>
      <c r="Q163" s="1172" t="n"/>
      <c r="R163" s="886" t="n"/>
      <c r="S163" s="1172" t="n"/>
      <c r="T163" s="886" t="n"/>
      <c r="U163" s="1172" t="n"/>
      <c r="V163" s="886" t="n"/>
      <c r="W163" s="1172" t="n"/>
      <c r="X163" s="886" t="n"/>
      <c r="Y163" s="1172" t="n"/>
      <c r="Z163" s="886" t="n"/>
      <c r="AA163" s="1172" t="n"/>
      <c r="AB163" s="886" t="n"/>
      <c r="AC163" s="1172" t="n"/>
      <c r="AD163" s="885" t="n"/>
      <c r="AE163" s="1172" t="n"/>
      <c r="AF163" s="886" t="n"/>
      <c r="AG163" s="1172" t="n"/>
      <c r="AH163" s="886" t="n"/>
      <c r="AI163" s="1172" t="n"/>
      <c r="AJ163" s="886" t="n"/>
      <c r="AK163" s="3789" t="n"/>
      <c r="AL163" s="885" t="n"/>
      <c r="AM163" s="887" t="n"/>
      <c r="AN163" s="2001" t="n"/>
      <c r="AO163" s="886" t="n"/>
      <c r="AP163" s="218">
        <f>$CA163</f>
        <v/>
      </c>
      <c r="BU163" s="226" t="n"/>
      <c r="BV163" s="226" t="n"/>
      <c r="BW163" s="226" t="n"/>
      <c r="BX163" s="226" t="n"/>
      <c r="BY163" s="226" t="n"/>
      <c r="BZ163" s="226" t="n"/>
      <c r="CA163" s="219">
        <f>IF(AM163+AN163+AO163&lt;&gt;$B163,"* La suma de "&amp;AM$146&amp;""&amp;" no debe ser distinto del Total Ambos Sexos. ","")</f>
        <v/>
      </c>
      <c r="CB163" s="226" t="n"/>
      <c r="CC163" s="226" t="n"/>
      <c r="CD163" s="226" t="n"/>
      <c r="CK163" s="226" t="n"/>
      <c r="CM163" s="221">
        <f>IF(AM163+AN163+AO163&lt;&gt;$B163,1,0)</f>
        <v/>
      </c>
    </row>
    <row r="164">
      <c r="A164" s="4185" t="inlineStr">
        <is>
          <t>Enfermedades cardíacas</t>
        </is>
      </c>
      <c r="B164" s="3022">
        <f>SUM(C164:D164)</f>
        <v/>
      </c>
      <c r="C164" s="805">
        <f>E164+G164+I164+K164+M164+O164+Q164+S164+U164+W164+Y164+AA164+AC164+AE164+AG164+AI164+AK164</f>
        <v/>
      </c>
      <c r="D164" s="517">
        <f>F164+H164+J164+L164+N164+P164+R164+T164+V164+X164+Z164+AB164+AD164+AF164+AH164+AJ164+AL164</f>
        <v/>
      </c>
      <c r="E164" s="1172" t="n"/>
      <c r="F164" s="886" t="n"/>
      <c r="G164" s="1172" t="n"/>
      <c r="H164" s="886" t="n"/>
      <c r="I164" s="1172" t="n"/>
      <c r="J164" s="886" t="n"/>
      <c r="K164" s="1172" t="n"/>
      <c r="L164" s="886" t="n"/>
      <c r="M164" s="3789" t="n"/>
      <c r="N164" s="885" t="n"/>
      <c r="O164" s="1172" t="n"/>
      <c r="P164" s="886" t="n"/>
      <c r="Q164" s="1172" t="n"/>
      <c r="R164" s="886" t="n"/>
      <c r="S164" s="1172" t="n"/>
      <c r="T164" s="886" t="n"/>
      <c r="U164" s="1172" t="n"/>
      <c r="V164" s="886" t="n"/>
      <c r="W164" s="1172" t="n"/>
      <c r="X164" s="886" t="n"/>
      <c r="Y164" s="1172" t="n"/>
      <c r="Z164" s="886" t="n"/>
      <c r="AA164" s="1172" t="n"/>
      <c r="AB164" s="886" t="n"/>
      <c r="AC164" s="1172" t="n"/>
      <c r="AD164" s="885" t="n"/>
      <c r="AE164" s="1172" t="n"/>
      <c r="AF164" s="886" t="n"/>
      <c r="AG164" s="1172" t="n"/>
      <c r="AH164" s="886" t="n"/>
      <c r="AI164" s="1172" t="n"/>
      <c r="AJ164" s="886" t="n"/>
      <c r="AK164" s="3789" t="n"/>
      <c r="AL164" s="885" t="n"/>
      <c r="AM164" s="887" t="n"/>
      <c r="AN164" s="2001" t="n"/>
      <c r="AO164" s="886" t="n"/>
      <c r="AP164" s="218">
        <f>$CA164</f>
        <v/>
      </c>
      <c r="BU164" s="226" t="n"/>
      <c r="BV164" s="226" t="n"/>
      <c r="BW164" s="226" t="n"/>
      <c r="BX164" s="226" t="n"/>
      <c r="BY164" s="226" t="n"/>
      <c r="BZ164" s="226" t="n"/>
      <c r="CA164" s="219">
        <f>IF(AM164+AN164+AO164&lt;&gt;$B164,"* La suma de "&amp;AM$146&amp;""&amp;" no debe ser distinto del Total Ambos Sexos. ","")</f>
        <v/>
      </c>
      <c r="CB164" s="226" t="n"/>
      <c r="CC164" s="226" t="n"/>
      <c r="CD164" s="226" t="n"/>
      <c r="CK164" s="226" t="n"/>
      <c r="CM164" s="221">
        <f>IF(AM164+AN164+AO164&lt;&gt;$B164,1,0)</f>
        <v/>
      </c>
    </row>
    <row r="165">
      <c r="A165" s="4185" t="inlineStr">
        <is>
          <t>Dolor musculoesquelético crónico</t>
        </is>
      </c>
      <c r="B165" s="3022">
        <f>SUM(C165:D165)</f>
        <v/>
      </c>
      <c r="C165" s="805">
        <f>E165+G165+I165+K165+M165+O165+Q165+S165+U165+W165+Y165+AA165+AC165+AE165+AG165+AI165+AK165</f>
        <v/>
      </c>
      <c r="D165" s="517">
        <f>F165+H165+J165+L165+N165+P165+R165+T165+V165+X165+Z165+AB165+AD165+AF165+AH165+AJ165+AL165</f>
        <v/>
      </c>
      <c r="E165" s="1172" t="n"/>
      <c r="F165" s="886" t="n"/>
      <c r="G165" s="1172" t="n"/>
      <c r="H165" s="886" t="n"/>
      <c r="I165" s="1172" t="n"/>
      <c r="J165" s="886" t="n"/>
      <c r="K165" s="1172" t="n"/>
      <c r="L165" s="886" t="n"/>
      <c r="M165" s="3789" t="n"/>
      <c r="N165" s="885" t="n"/>
      <c r="O165" s="1172" t="n"/>
      <c r="P165" s="886" t="n"/>
      <c r="Q165" s="1172" t="n"/>
      <c r="R165" s="886" t="n"/>
      <c r="S165" s="1172" t="n"/>
      <c r="T165" s="886" t="n"/>
      <c r="U165" s="1172" t="n"/>
      <c r="V165" s="886" t="n"/>
      <c r="W165" s="1172" t="n"/>
      <c r="X165" s="886" t="n"/>
      <c r="Y165" s="1172" t="n"/>
      <c r="Z165" s="886" t="n"/>
      <c r="AA165" s="1172" t="n"/>
      <c r="AB165" s="886" t="n"/>
      <c r="AC165" s="1172" t="n"/>
      <c r="AD165" s="885" t="n"/>
      <c r="AE165" s="1172" t="n"/>
      <c r="AF165" s="886" t="n"/>
      <c r="AG165" s="1172" t="n"/>
      <c r="AH165" s="886" t="n"/>
      <c r="AI165" s="1172" t="n"/>
      <c r="AJ165" s="886" t="n"/>
      <c r="AK165" s="3789" t="n"/>
      <c r="AL165" s="885" t="n"/>
      <c r="AM165" s="887" t="n"/>
      <c r="AN165" s="2001" t="n"/>
      <c r="AO165" s="886" t="n"/>
      <c r="AP165" s="218">
        <f>$CA165</f>
        <v/>
      </c>
      <c r="BU165" s="226" t="n"/>
      <c r="BV165" s="226" t="n"/>
      <c r="BW165" s="226" t="n"/>
      <c r="BX165" s="226" t="n"/>
      <c r="BY165" s="226" t="n"/>
      <c r="BZ165" s="226" t="n"/>
      <c r="CA165" s="219">
        <f>IF(AM165+AN165+AO165&lt;&gt;$B165,"* La suma de "&amp;AM$146&amp;""&amp;" no debe ser distinto del Total Ambos Sexos. ","")</f>
        <v/>
      </c>
      <c r="CB165" s="226" t="n"/>
      <c r="CC165" s="226" t="n"/>
      <c r="CD165" s="226" t="n"/>
      <c r="CK165" s="226" t="n"/>
      <c r="CM165" s="221">
        <f>IF(AM165+AN165+AO165&lt;&gt;$B165,1,0)</f>
        <v/>
      </c>
    </row>
    <row r="166">
      <c r="A166" s="4185" t="inlineStr">
        <is>
          <t>Artritis reumatoidea</t>
        </is>
      </c>
      <c r="B166" s="3022">
        <f>SUM(C166:D166)</f>
        <v/>
      </c>
      <c r="C166" s="805">
        <f>E166+G166+I166+K166+M166+O166+Q166+S166+U166+W166+Y166+AA166+AC166+AE166+AG166+AI166+AK166</f>
        <v/>
      </c>
      <c r="D166" s="517">
        <f>F166+H166+J166+L166+N166+P166+R166+T166+V166+X166+Z166+AB166+AD166+AF166+AH166+AJ166+AL166</f>
        <v/>
      </c>
      <c r="E166" s="1172" t="n"/>
      <c r="F166" s="886" t="n"/>
      <c r="G166" s="1172" t="n"/>
      <c r="H166" s="886" t="n"/>
      <c r="I166" s="1172" t="n"/>
      <c r="J166" s="886" t="n"/>
      <c r="K166" s="1172" t="n"/>
      <c r="L166" s="886" t="n"/>
      <c r="M166" s="3789" t="n"/>
      <c r="N166" s="885" t="n"/>
      <c r="O166" s="1172" t="n"/>
      <c r="P166" s="886" t="n"/>
      <c r="Q166" s="1172" t="n"/>
      <c r="R166" s="886" t="n"/>
      <c r="S166" s="1172" t="n"/>
      <c r="T166" s="886" t="n"/>
      <c r="U166" s="1172" t="n"/>
      <c r="V166" s="886" t="n"/>
      <c r="W166" s="1172" t="n"/>
      <c r="X166" s="886" t="n"/>
      <c r="Y166" s="1172" t="n"/>
      <c r="Z166" s="886" t="n"/>
      <c r="AA166" s="1172" t="n"/>
      <c r="AB166" s="886" t="n"/>
      <c r="AC166" s="1172" t="n"/>
      <c r="AD166" s="885" t="n"/>
      <c r="AE166" s="1172" t="n"/>
      <c r="AF166" s="886" t="n"/>
      <c r="AG166" s="1172" t="n"/>
      <c r="AH166" s="886" t="n"/>
      <c r="AI166" s="1172" t="n"/>
      <c r="AJ166" s="886" t="n"/>
      <c r="AK166" s="3789" t="n"/>
      <c r="AL166" s="885" t="n"/>
      <c r="AM166" s="887" t="n"/>
      <c r="AN166" s="2001" t="n"/>
      <c r="AO166" s="886" t="n"/>
      <c r="AP166" s="218">
        <f>$CA166</f>
        <v/>
      </c>
      <c r="BU166" s="226" t="n"/>
      <c r="BV166" s="226" t="n"/>
      <c r="BW166" s="226" t="n"/>
      <c r="BX166" s="226" t="n"/>
      <c r="BY166" s="226" t="n"/>
      <c r="BZ166" s="226" t="n"/>
      <c r="CA166" s="219">
        <f>IF(AM166+AN166+AO166&lt;&gt;$B166,"* La suma de "&amp;AM$146&amp;""&amp;" no debe ser distinto del Total Ambos Sexos. ","")</f>
        <v/>
      </c>
      <c r="CB166" s="226" t="n"/>
      <c r="CC166" s="226" t="n"/>
      <c r="CD166" s="226" t="n"/>
      <c r="CK166" s="226" t="n"/>
      <c r="CM166" s="221">
        <f>IF(AM166+AN166+AO166&lt;&gt;$B166,1,0)</f>
        <v/>
      </c>
    </row>
    <row r="167">
      <c r="A167" s="4185" t="inlineStr">
        <is>
          <t>Otras reumatológicas</t>
        </is>
      </c>
      <c r="B167" s="3022">
        <f>SUM(C167:D167)</f>
        <v/>
      </c>
      <c r="C167" s="805">
        <f>E167+G167+I167+K167+M167+O167+Q167+S167+U167+W167+Y167+AA167+AC167+AE167+AG167+AI167+AK167</f>
        <v/>
      </c>
      <c r="D167" s="517">
        <f>F167+H167+J167+L167+N167+P167+R167+T167+V167+X167+Z167+AB167+AD167+AF167+AH167+AJ167+AL167</f>
        <v/>
      </c>
      <c r="E167" s="1172" t="n"/>
      <c r="F167" s="886" t="n"/>
      <c r="G167" s="1172" t="n"/>
      <c r="H167" s="886" t="n"/>
      <c r="I167" s="1172" t="n"/>
      <c r="J167" s="886" t="n"/>
      <c r="K167" s="1172" t="n"/>
      <c r="L167" s="886" t="n"/>
      <c r="M167" s="3789" t="n"/>
      <c r="N167" s="885" t="n"/>
      <c r="O167" s="1172" t="n"/>
      <c r="P167" s="886" t="n"/>
      <c r="Q167" s="1172" t="n"/>
      <c r="R167" s="886" t="n"/>
      <c r="S167" s="1172" t="n"/>
      <c r="T167" s="886" t="n"/>
      <c r="U167" s="1172" t="n"/>
      <c r="V167" s="886" t="n"/>
      <c r="W167" s="1172" t="n"/>
      <c r="X167" s="886" t="n"/>
      <c r="Y167" s="1172" t="n"/>
      <c r="Z167" s="886" t="n"/>
      <c r="AA167" s="1172" t="n"/>
      <c r="AB167" s="886" t="n"/>
      <c r="AC167" s="1172" t="n"/>
      <c r="AD167" s="885" t="n"/>
      <c r="AE167" s="1172" t="n"/>
      <c r="AF167" s="886" t="n"/>
      <c r="AG167" s="1172" t="n"/>
      <c r="AH167" s="886" t="n"/>
      <c r="AI167" s="1172" t="n"/>
      <c r="AJ167" s="886" t="n"/>
      <c r="AK167" s="3789" t="n"/>
      <c r="AL167" s="885" t="n"/>
      <c r="AM167" s="887" t="n"/>
      <c r="AN167" s="2001" t="n"/>
      <c r="AO167" s="886" t="n"/>
      <c r="AP167" s="218">
        <f>$CA167</f>
        <v/>
      </c>
      <c r="BU167" s="226" t="n"/>
      <c r="BV167" s="226" t="n"/>
      <c r="BW167" s="226" t="n"/>
      <c r="BX167" s="226" t="n"/>
      <c r="BY167" s="226" t="n"/>
      <c r="BZ167" s="226" t="n"/>
      <c r="CA167" s="219">
        <f>IF(AM167+AN167+AO167&lt;&gt;$B167,"* La suma de "&amp;AM$146&amp;""&amp;" no debe ser distinto del Total Ambos Sexos. ","")</f>
        <v/>
      </c>
      <c r="CB167" s="226" t="n"/>
      <c r="CC167" s="226" t="n"/>
      <c r="CD167" s="226" t="n"/>
      <c r="CK167" s="226" t="n"/>
      <c r="CM167" s="221">
        <f>IF(AM167+AN167+AO167&lt;&gt;$B167,1,0)</f>
        <v/>
      </c>
    </row>
    <row r="168">
      <c r="A168" s="4185" t="inlineStr">
        <is>
          <t>Traumatológicos</t>
        </is>
      </c>
      <c r="B168" s="3022">
        <f>SUM(C168:D168)</f>
        <v/>
      </c>
      <c r="C168" s="805">
        <f>E168+G168+I168+K168+M168+O168+Q168+S168+U168+W168+Y168+AA168+AC168+AE168+AG168+AI168+AK168</f>
        <v/>
      </c>
      <c r="D168" s="517">
        <f>F168+H168+J168+L168+N168+P168+R168+T168+V168+X168+Z168+AB168+AD168+AF168+AH168+AJ168+AL168</f>
        <v/>
      </c>
      <c r="E168" s="1172" t="n"/>
      <c r="F168" s="886" t="n"/>
      <c r="G168" s="1172" t="n"/>
      <c r="H168" s="886" t="n"/>
      <c r="I168" s="1172" t="n"/>
      <c r="J168" s="886" t="n"/>
      <c r="K168" s="1172" t="n"/>
      <c r="L168" s="886" t="n"/>
      <c r="M168" s="3789" t="n"/>
      <c r="N168" s="885" t="n"/>
      <c r="O168" s="1172" t="n"/>
      <c r="P168" s="886" t="n"/>
      <c r="Q168" s="1172" t="n"/>
      <c r="R168" s="886" t="n"/>
      <c r="S168" s="1172" t="n"/>
      <c r="T168" s="886" t="n"/>
      <c r="U168" s="1172" t="n"/>
      <c r="V168" s="886" t="n"/>
      <c r="W168" s="1172" t="n"/>
      <c r="X168" s="886" t="n"/>
      <c r="Y168" s="1172" t="n"/>
      <c r="Z168" s="886" t="n"/>
      <c r="AA168" s="1172" t="n"/>
      <c r="AB168" s="886" t="n"/>
      <c r="AC168" s="1172" t="n"/>
      <c r="AD168" s="885" t="n"/>
      <c r="AE168" s="1172" t="n"/>
      <c r="AF168" s="886" t="n"/>
      <c r="AG168" s="1172" t="n"/>
      <c r="AH168" s="886" t="n"/>
      <c r="AI168" s="1172" t="n"/>
      <c r="AJ168" s="886" t="n"/>
      <c r="AK168" s="3789" t="n"/>
      <c r="AL168" s="885" t="n"/>
      <c r="AM168" s="887" t="n"/>
      <c r="AN168" s="2001" t="n"/>
      <c r="AO168" s="886" t="n"/>
      <c r="AP168" s="218">
        <f>$CA168</f>
        <v/>
      </c>
      <c r="BU168" s="226" t="n"/>
      <c r="BV168" s="226" t="n"/>
      <c r="BW168" s="226" t="n"/>
      <c r="BX168" s="226" t="n"/>
      <c r="BY168" s="226" t="n"/>
      <c r="BZ168" s="226" t="n"/>
      <c r="CA168" s="219">
        <f>IF(AM168+AN168+AO168&lt;&gt;$B168,"* La suma de "&amp;AM$146&amp;""&amp;" no debe ser distinto del Total Ambos Sexos. ","")</f>
        <v/>
      </c>
      <c r="CB168" s="226" t="n"/>
      <c r="CC168" s="226" t="n"/>
      <c r="CD168" s="226" t="n"/>
      <c r="CK168" s="226" t="n"/>
      <c r="CM168" s="221">
        <f>IF(AM168+AN168+AO168&lt;&gt;$B168,1,0)</f>
        <v/>
      </c>
    </row>
    <row r="169">
      <c r="A169" s="4185" t="inlineStr">
        <is>
          <t>Otros pre y post quirúrgicos</t>
        </is>
      </c>
      <c r="B169" s="3022">
        <f>SUM(C169:D169)</f>
        <v/>
      </c>
      <c r="C169" s="805">
        <f>E169+G169+I169+K169+M169+O169+Q169+S169+U169+W169+Y169+AA169+AC169+AE169+AG169+AI169+AK169</f>
        <v/>
      </c>
      <c r="D169" s="517">
        <f>F169+H169+J169+L169+N169+P169+R169+T169+V169+X169+Z169+AB169+AD169+AF169+AH169+AJ169+AL169</f>
        <v/>
      </c>
      <c r="E169" s="1172" t="n"/>
      <c r="F169" s="886" t="n"/>
      <c r="G169" s="1172" t="n"/>
      <c r="H169" s="886" t="n"/>
      <c r="I169" s="1172" t="n"/>
      <c r="J169" s="886" t="n"/>
      <c r="K169" s="1172" t="n"/>
      <c r="L169" s="886" t="n"/>
      <c r="M169" s="3789" t="n"/>
      <c r="N169" s="885" t="n"/>
      <c r="O169" s="1172" t="n"/>
      <c r="P169" s="886" t="n"/>
      <c r="Q169" s="1172" t="n"/>
      <c r="R169" s="886" t="n"/>
      <c r="S169" s="1172" t="n"/>
      <c r="T169" s="886" t="n"/>
      <c r="U169" s="1172" t="n"/>
      <c r="V169" s="886" t="n"/>
      <c r="W169" s="1172" t="n"/>
      <c r="X169" s="886" t="n"/>
      <c r="Y169" s="1172" t="n"/>
      <c r="Z169" s="886" t="n"/>
      <c r="AA169" s="1172" t="n"/>
      <c r="AB169" s="886" t="n"/>
      <c r="AC169" s="1172" t="n"/>
      <c r="AD169" s="885" t="n"/>
      <c r="AE169" s="1172" t="n"/>
      <c r="AF169" s="886" t="n"/>
      <c r="AG169" s="1172" t="n"/>
      <c r="AH169" s="886" t="n"/>
      <c r="AI169" s="1172" t="n"/>
      <c r="AJ169" s="886" t="n"/>
      <c r="AK169" s="3789" t="n"/>
      <c r="AL169" s="885" t="n"/>
      <c r="AM169" s="887" t="n"/>
      <c r="AN169" s="2001" t="n"/>
      <c r="AO169" s="886" t="n"/>
      <c r="AP169" s="218">
        <f>$CA169</f>
        <v/>
      </c>
      <c r="BU169" s="226" t="n"/>
      <c r="BV169" s="226" t="n"/>
      <c r="BW169" s="226" t="n"/>
      <c r="BX169" s="226" t="n"/>
      <c r="BY169" s="226" t="n"/>
      <c r="BZ169" s="226" t="n"/>
      <c r="CA169" s="219">
        <f>IF(AM169+AN169+AO169&lt;&gt;$B169,"* La suma de "&amp;AM$146&amp;""&amp;" no debe ser distinto del Total Ambos Sexos. ","")</f>
        <v/>
      </c>
      <c r="CB169" s="226" t="n"/>
      <c r="CC169" s="226" t="n"/>
      <c r="CD169" s="226" t="n"/>
      <c r="CK169" s="226" t="n"/>
      <c r="CM169" s="221">
        <f>IF(AM169+AN169+AO169&lt;&gt;$B169,1,0)</f>
        <v/>
      </c>
    </row>
    <row r="170">
      <c r="A170" s="4185" t="inlineStr">
        <is>
          <t>Oncológicos</t>
        </is>
      </c>
      <c r="B170" s="3022">
        <f>SUM(C170:D170)</f>
        <v/>
      </c>
      <c r="C170" s="805">
        <f>E170+G170+I170+K170+M170+O170+Q170+S170+U170+W170+Y170+AA170+AC170+AE170+AG170+AI170+AK170</f>
        <v/>
      </c>
      <c r="D170" s="517">
        <f>F170+H170+J170+L170+N170+P170+R170+T170+V170+X170+Z170+AB170+AD170+AF170+AH170+AJ170+AL170</f>
        <v/>
      </c>
      <c r="E170" s="1172" t="n"/>
      <c r="F170" s="886" t="n"/>
      <c r="G170" s="1172" t="n"/>
      <c r="H170" s="886" t="n"/>
      <c r="I170" s="1172" t="n"/>
      <c r="J170" s="886" t="n"/>
      <c r="K170" s="1172" t="n"/>
      <c r="L170" s="886" t="n"/>
      <c r="M170" s="3789" t="n"/>
      <c r="N170" s="885" t="n"/>
      <c r="O170" s="1172" t="n"/>
      <c r="P170" s="886" t="n"/>
      <c r="Q170" s="1172" t="n"/>
      <c r="R170" s="886" t="n"/>
      <c r="S170" s="1172" t="n"/>
      <c r="T170" s="886" t="n"/>
      <c r="U170" s="1172" t="n"/>
      <c r="V170" s="886" t="n"/>
      <c r="W170" s="1172" t="n"/>
      <c r="X170" s="886" t="n"/>
      <c r="Y170" s="1172" t="n"/>
      <c r="Z170" s="886" t="n"/>
      <c r="AA170" s="1172" t="n"/>
      <c r="AB170" s="886" t="n"/>
      <c r="AC170" s="1172" t="n"/>
      <c r="AD170" s="885" t="n"/>
      <c r="AE170" s="1172" t="n"/>
      <c r="AF170" s="886" t="n"/>
      <c r="AG170" s="1172" t="n"/>
      <c r="AH170" s="886" t="n"/>
      <c r="AI170" s="1172" t="n"/>
      <c r="AJ170" s="886" t="n"/>
      <c r="AK170" s="3789" t="n"/>
      <c r="AL170" s="885" t="n"/>
      <c r="AM170" s="887" t="n"/>
      <c r="AN170" s="2001" t="n"/>
      <c r="AO170" s="886" t="n"/>
      <c r="AP170" s="218">
        <f>$CA170</f>
        <v/>
      </c>
      <c r="BU170" s="226" t="n"/>
      <c r="BV170" s="226" t="n"/>
      <c r="BW170" s="226" t="n"/>
      <c r="BX170" s="226" t="n"/>
      <c r="BY170" s="226" t="n"/>
      <c r="BZ170" s="226" t="n"/>
      <c r="CA170" s="219">
        <f>IF(AM170+AN170+AO170&lt;&gt;$B170,"* La suma de "&amp;AM$146&amp;""&amp;" no debe ser distinto del Total Ambos Sexos. ","")</f>
        <v/>
      </c>
      <c r="CB170" s="226" t="n"/>
      <c r="CC170" s="226" t="n"/>
      <c r="CD170" s="226" t="n"/>
      <c r="CK170" s="226" t="n"/>
      <c r="CM170" s="221">
        <f>IF(AM170+AN170+AO170&lt;&gt;$B170,1,0)</f>
        <v/>
      </c>
    </row>
    <row r="171">
      <c r="A171" s="4185" t="inlineStr">
        <is>
          <t>Genitourinarias</t>
        </is>
      </c>
      <c r="B171" s="3022">
        <f>SUM(C171:D171)</f>
        <v/>
      </c>
      <c r="C171" s="805">
        <f>E171+G171+I171+K171+M171+O171+Q171+S171+U171+W171+Y171+AA171+AC171+AE171+AG171+AI171+AK171</f>
        <v/>
      </c>
      <c r="D171" s="517">
        <f>F171+H171+J171+L171+N171+P171+R171+T171+V171+X171+Z171+AB171+AD171+AF171+AH171+AJ171+AL171</f>
        <v/>
      </c>
      <c r="E171" s="1172" t="n"/>
      <c r="F171" s="886" t="n"/>
      <c r="G171" s="1172" t="n"/>
      <c r="H171" s="886" t="n"/>
      <c r="I171" s="1172" t="n"/>
      <c r="J171" s="886" t="n"/>
      <c r="K171" s="1172" t="n"/>
      <c r="L171" s="886" t="n"/>
      <c r="M171" s="3789" t="n"/>
      <c r="N171" s="885" t="n"/>
      <c r="O171" s="1172" t="n"/>
      <c r="P171" s="886" t="n"/>
      <c r="Q171" s="1172" t="n"/>
      <c r="R171" s="886" t="n"/>
      <c r="S171" s="1172" t="n"/>
      <c r="T171" s="886" t="n"/>
      <c r="U171" s="1172" t="n"/>
      <c r="V171" s="886" t="n"/>
      <c r="W171" s="1172" t="n"/>
      <c r="X171" s="886" t="n"/>
      <c r="Y171" s="1172" t="n"/>
      <c r="Z171" s="886" t="n"/>
      <c r="AA171" s="1172" t="n"/>
      <c r="AB171" s="886" t="n"/>
      <c r="AC171" s="1172" t="n"/>
      <c r="AD171" s="885" t="n"/>
      <c r="AE171" s="1172" t="n"/>
      <c r="AF171" s="886" t="n"/>
      <c r="AG171" s="1172" t="n"/>
      <c r="AH171" s="886" t="n"/>
      <c r="AI171" s="1172" t="n"/>
      <c r="AJ171" s="886" t="n"/>
      <c r="AK171" s="3789" t="n"/>
      <c r="AL171" s="885" t="n"/>
      <c r="AM171" s="887" t="n"/>
      <c r="AN171" s="2001" t="n"/>
      <c r="AO171" s="886" t="n"/>
      <c r="AP171" s="218">
        <f>$CA171</f>
        <v/>
      </c>
      <c r="BU171" s="226" t="n"/>
      <c r="BV171" s="226" t="n"/>
      <c r="BW171" s="226" t="n"/>
      <c r="BX171" s="226" t="n"/>
      <c r="BY171" s="226" t="n"/>
      <c r="BZ171" s="226" t="n"/>
      <c r="CA171" s="219">
        <f>IF(AM171+AN171+AO171&lt;&gt;$B171,"* La suma de "&amp;AM$146&amp;""&amp;" no debe ser distinto del Total Ambos Sexos. ","")</f>
        <v/>
      </c>
      <c r="CB171" s="226" t="n"/>
      <c r="CC171" s="226" t="n"/>
      <c r="CD171" s="226" t="n"/>
      <c r="CK171" s="226" t="n"/>
      <c r="CM171" s="221">
        <f>IF(AM171+AN171+AO171&lt;&gt;$B171,1,0)</f>
        <v/>
      </c>
    </row>
    <row r="172">
      <c r="A172" s="4185" t="inlineStr">
        <is>
          <t>Amputación</t>
        </is>
      </c>
      <c r="B172" s="3022">
        <f>SUM(C172:D172)</f>
        <v/>
      </c>
      <c r="C172" s="805">
        <f>E172+G172+I172+K172+M172+O172+Q172+S172+U172+W172+Y172+AA172+AC172+AE172+AG172+AI172+AK172</f>
        <v/>
      </c>
      <c r="D172" s="517">
        <f>F172+H172+J172+L172+N172+P172+R172+T172+V172+X172+Z172+AB172+AD172+AF172+AH172+AJ172+AL172</f>
        <v/>
      </c>
      <c r="E172" s="1172" t="n"/>
      <c r="F172" s="886" t="n"/>
      <c r="G172" s="1172" t="n"/>
      <c r="H172" s="886" t="n"/>
      <c r="I172" s="1172" t="n"/>
      <c r="J172" s="886" t="n"/>
      <c r="K172" s="1172" t="n"/>
      <c r="L172" s="886" t="n"/>
      <c r="M172" s="3789" t="n"/>
      <c r="N172" s="885" t="n"/>
      <c r="O172" s="1172" t="n"/>
      <c r="P172" s="886" t="n"/>
      <c r="Q172" s="1172" t="n"/>
      <c r="R172" s="886" t="n"/>
      <c r="S172" s="1172" t="n"/>
      <c r="T172" s="886" t="n"/>
      <c r="U172" s="1172" t="n"/>
      <c r="V172" s="886" t="n"/>
      <c r="W172" s="1172" t="n"/>
      <c r="X172" s="886" t="n"/>
      <c r="Y172" s="1172" t="n"/>
      <c r="Z172" s="886" t="n"/>
      <c r="AA172" s="1172" t="n"/>
      <c r="AB172" s="886" t="n"/>
      <c r="AC172" s="1172" t="n"/>
      <c r="AD172" s="885" t="n"/>
      <c r="AE172" s="1172" t="n"/>
      <c r="AF172" s="886" t="n"/>
      <c r="AG172" s="1172" t="n"/>
      <c r="AH172" s="886" t="n"/>
      <c r="AI172" s="1172" t="n"/>
      <c r="AJ172" s="886" t="n"/>
      <c r="AK172" s="3789" t="n"/>
      <c r="AL172" s="885" t="n"/>
      <c r="AM172" s="887" t="n"/>
      <c r="AN172" s="2001" t="n"/>
      <c r="AO172" s="886" t="n"/>
      <c r="AP172" s="218">
        <f>$CA172</f>
        <v/>
      </c>
      <c r="BU172" s="226" t="n"/>
      <c r="BV172" s="226" t="n"/>
      <c r="BW172" s="226" t="n"/>
      <c r="BX172" s="226" t="n"/>
      <c r="BY172" s="226" t="n"/>
      <c r="BZ172" s="226" t="n"/>
      <c r="CA172" s="219">
        <f>IF(AM172+AN172+AO172&lt;&gt;$B172,"* La suma de "&amp;AM$146&amp;""&amp;" no debe ser distinto del Total Ambos Sexos. ","")</f>
        <v/>
      </c>
      <c r="CB172" s="226" t="n"/>
      <c r="CC172" s="226" t="n"/>
      <c r="CD172" s="226" t="n"/>
      <c r="CK172" s="226" t="n"/>
      <c r="CM172" s="221">
        <f>IF(AM172+AN172+AO172&lt;&gt;$B172,1,0)</f>
        <v/>
      </c>
    </row>
    <row r="173">
      <c r="A173" s="4185" t="inlineStr">
        <is>
          <t>Quemados</t>
        </is>
      </c>
      <c r="B173" s="3022">
        <f>SUM(C173:D173)</f>
        <v/>
      </c>
      <c r="C173" s="805">
        <f>E173+G173+I173+K173+M173+O173+Q173+S173+U173+W173+Y173+AA173+AC173+AE173+AG173+AI173+AK173</f>
        <v/>
      </c>
      <c r="D173" s="517">
        <f>F173+H173+J173+L173+N173+P173+R173+T173+V173+X173+Z173+AB173+AD173+AF173+AH173+AJ173+AL173</f>
        <v/>
      </c>
      <c r="E173" s="1172" t="n"/>
      <c r="F173" s="886" t="n"/>
      <c r="G173" s="1172" t="n"/>
      <c r="H173" s="886" t="n"/>
      <c r="I173" s="1172" t="n"/>
      <c r="J173" s="886" t="n"/>
      <c r="K173" s="1172" t="n"/>
      <c r="L173" s="886" t="n"/>
      <c r="M173" s="3789" t="n"/>
      <c r="N173" s="885" t="n"/>
      <c r="O173" s="1172" t="n"/>
      <c r="P173" s="886" t="n"/>
      <c r="Q173" s="1172" t="n"/>
      <c r="R173" s="886" t="n"/>
      <c r="S173" s="1172" t="n"/>
      <c r="T173" s="886" t="n"/>
      <c r="U173" s="1172" t="n"/>
      <c r="V173" s="886" t="n"/>
      <c r="W173" s="1172" t="n"/>
      <c r="X173" s="886" t="n"/>
      <c r="Y173" s="1172" t="n"/>
      <c r="Z173" s="886" t="n"/>
      <c r="AA173" s="1172" t="n"/>
      <c r="AB173" s="886" t="n"/>
      <c r="AC173" s="1172" t="n"/>
      <c r="AD173" s="885" t="n"/>
      <c r="AE173" s="1172" t="n"/>
      <c r="AF173" s="886" t="n"/>
      <c r="AG173" s="1172" t="n"/>
      <c r="AH173" s="886" t="n"/>
      <c r="AI173" s="1172" t="n"/>
      <c r="AJ173" s="886" t="n"/>
      <c r="AK173" s="3789" t="n"/>
      <c r="AL173" s="885" t="n"/>
      <c r="AM173" s="887" t="n"/>
      <c r="AN173" s="2001" t="n"/>
      <c r="AO173" s="886" t="n"/>
      <c r="AP173" s="218">
        <f>$CA173</f>
        <v/>
      </c>
      <c r="BU173" s="226" t="n"/>
      <c r="BV173" s="226" t="n"/>
      <c r="BW173" s="226" t="n"/>
      <c r="BX173" s="226" t="n"/>
      <c r="BY173" s="226" t="n"/>
      <c r="BZ173" s="226" t="n"/>
      <c r="CA173" s="219">
        <f>IF(AM173+AN173+AO173&lt;&gt;$B173,"* La suma de "&amp;AM$146&amp;""&amp;" no debe ser distinto del Total Ambos Sexos. ","")</f>
        <v/>
      </c>
      <c r="CB173" s="226" t="n"/>
      <c r="CC173" s="226" t="n"/>
      <c r="CD173" s="226" t="n"/>
      <c r="CK173" s="226" t="n"/>
      <c r="CM173" s="221">
        <f>IF(AM173+AN173+AO173&lt;&gt;$B173,1,0)</f>
        <v/>
      </c>
    </row>
    <row r="174">
      <c r="A174" s="4185" t="inlineStr">
        <is>
          <t>Sensoriales auditivos</t>
        </is>
      </c>
      <c r="B174" s="3022">
        <f>SUM(C174:D174)</f>
        <v/>
      </c>
      <c r="C174" s="805">
        <f>E174+G174+I174+K174+M174+O174+Q174+S174+U174+W174+Y174+AA174+AC174+AE174+AG174+AI174+AK174</f>
        <v/>
      </c>
      <c r="D174" s="517">
        <f>F174+H174+J174+L174+N174+P174+R174+T174+V174+X174+Z174+AB174+AD174+AF174+AH174+AJ174+AL174</f>
        <v/>
      </c>
      <c r="E174" s="1172" t="n"/>
      <c r="F174" s="886" t="n"/>
      <c r="G174" s="1172" t="n"/>
      <c r="H174" s="886" t="n"/>
      <c r="I174" s="1172" t="n"/>
      <c r="J174" s="886" t="n"/>
      <c r="K174" s="1172" t="n"/>
      <c r="L174" s="886" t="n"/>
      <c r="M174" s="3789" t="n"/>
      <c r="N174" s="885" t="n"/>
      <c r="O174" s="1172" t="n"/>
      <c r="P174" s="886" t="n"/>
      <c r="Q174" s="1172" t="n"/>
      <c r="R174" s="886" t="n"/>
      <c r="S174" s="1172" t="n"/>
      <c r="T174" s="886" t="n"/>
      <c r="U174" s="1172" t="n"/>
      <c r="V174" s="886" t="n"/>
      <c r="W174" s="1172" t="n"/>
      <c r="X174" s="886" t="n"/>
      <c r="Y174" s="1172" t="n"/>
      <c r="Z174" s="886" t="n"/>
      <c r="AA174" s="1172" t="n"/>
      <c r="AB174" s="886" t="n"/>
      <c r="AC174" s="1172" t="n"/>
      <c r="AD174" s="885" t="n"/>
      <c r="AE174" s="1172" t="n"/>
      <c r="AF174" s="886" t="n"/>
      <c r="AG174" s="1172" t="n"/>
      <c r="AH174" s="886" t="n"/>
      <c r="AI174" s="1172" t="n"/>
      <c r="AJ174" s="886" t="n"/>
      <c r="AK174" s="3789" t="n"/>
      <c r="AL174" s="885" t="n"/>
      <c r="AM174" s="887" t="n"/>
      <c r="AN174" s="2001" t="n"/>
      <c r="AO174" s="886" t="n"/>
      <c r="AP174" s="218">
        <f>$CA174</f>
        <v/>
      </c>
      <c r="BU174" s="226" t="n"/>
      <c r="BV174" s="226" t="n"/>
      <c r="BW174" s="226" t="n"/>
      <c r="BX174" s="226" t="n"/>
      <c r="BY174" s="226" t="n"/>
      <c r="BZ174" s="226" t="n"/>
      <c r="CA174" s="219">
        <f>IF(AM174+AN174+AO174&lt;&gt;$B174,"* La suma de "&amp;AM$146&amp;""&amp;" no debe ser distinto del Total Ambos Sexos. ","")</f>
        <v/>
      </c>
      <c r="CB174" s="226" t="n"/>
      <c r="CC174" s="226" t="n"/>
      <c r="CD174" s="226" t="n"/>
      <c r="CK174" s="226" t="n"/>
      <c r="CM174" s="221">
        <f>IF(AM174+AN174+AO174&lt;&gt;$B174,1,0)</f>
        <v/>
      </c>
    </row>
    <row r="175">
      <c r="A175" s="4185" t="inlineStr">
        <is>
          <t>Sensoriales visuales</t>
        </is>
      </c>
      <c r="B175" s="3022">
        <f>SUM(C175:D175)</f>
        <v/>
      </c>
      <c r="C175" s="805">
        <f>E175+G175+I175+K175+M175+O175+Q175+S175+U175+W175+Y175+AA175+AC175+AE175+AG175+AI175+AK175</f>
        <v/>
      </c>
      <c r="D175" s="517">
        <f>F175+H175+J175+L175+N175+P175+R175+T175+V175+X175+Z175+AB175+AD175+AF175+AH175+AJ175+AL175</f>
        <v/>
      </c>
      <c r="E175" s="1172" t="n"/>
      <c r="F175" s="886" t="n"/>
      <c r="G175" s="1172" t="n"/>
      <c r="H175" s="886" t="n"/>
      <c r="I175" s="1172" t="n"/>
      <c r="J175" s="886" t="n"/>
      <c r="K175" s="1172" t="n"/>
      <c r="L175" s="886" t="n"/>
      <c r="M175" s="3789" t="n"/>
      <c r="N175" s="885" t="n"/>
      <c r="O175" s="1172" t="n"/>
      <c r="P175" s="886" t="n"/>
      <c r="Q175" s="1172" t="n"/>
      <c r="R175" s="886" t="n"/>
      <c r="S175" s="1172" t="n"/>
      <c r="T175" s="886" t="n"/>
      <c r="U175" s="1172" t="n"/>
      <c r="V175" s="886" t="n"/>
      <c r="W175" s="1172" t="n"/>
      <c r="X175" s="886" t="n"/>
      <c r="Y175" s="1172" t="n"/>
      <c r="Z175" s="886" t="n"/>
      <c r="AA175" s="1172" t="n"/>
      <c r="AB175" s="886" t="n"/>
      <c r="AC175" s="1172" t="n"/>
      <c r="AD175" s="885" t="n"/>
      <c r="AE175" s="1172" t="n"/>
      <c r="AF175" s="886" t="n"/>
      <c r="AG175" s="1172" t="n"/>
      <c r="AH175" s="886" t="n"/>
      <c r="AI175" s="1172" t="n"/>
      <c r="AJ175" s="886" t="n"/>
      <c r="AK175" s="3789" t="n"/>
      <c r="AL175" s="885" t="n"/>
      <c r="AM175" s="887" t="n"/>
      <c r="AN175" s="2001" t="n"/>
      <c r="AO175" s="886" t="n"/>
      <c r="AP175" s="218">
        <f>$CA175</f>
        <v/>
      </c>
      <c r="BU175" s="226" t="n"/>
      <c r="BV175" s="226" t="n"/>
      <c r="BW175" s="226" t="n"/>
      <c r="BX175" s="226" t="n"/>
      <c r="BY175" s="226" t="n"/>
      <c r="BZ175" s="226" t="n"/>
      <c r="CA175" s="219">
        <f>IF(AM175+AN175+AO175&lt;&gt;$B175,"* La suma de "&amp;AM$146&amp;""&amp;" no debe ser distinto del Total Ambos Sexos. ","")</f>
        <v/>
      </c>
      <c r="CB175" s="226" t="n"/>
      <c r="CC175" s="226" t="n"/>
      <c r="CD175" s="226" t="n"/>
      <c r="CK175" s="226" t="n"/>
      <c r="CM175" s="221">
        <f>IF(AM175+AN175+AO175&lt;&gt;$B175,1,0)</f>
        <v/>
      </c>
    </row>
    <row r="176">
      <c r="A176" s="4185" t="inlineStr">
        <is>
          <t>Trastorno espectro autista</t>
        </is>
      </c>
      <c r="B176" s="3022">
        <f>SUM(C176:D176)</f>
        <v/>
      </c>
      <c r="C176" s="805">
        <f>E176+G176+I176+K176+M176+O176+Q176+S176+U176+W176+Y176+AA176+AC176+AE176+AG176+AI176+AK176</f>
        <v/>
      </c>
      <c r="D176" s="517">
        <f>F176+H176+J176+L176+N176+P176+R176+T176+V176+X176+Z176+AB176+AD176+AF176+AH176+AJ176+AL176</f>
        <v/>
      </c>
      <c r="E176" s="1172" t="n"/>
      <c r="F176" s="886" t="n"/>
      <c r="G176" s="1172" t="n"/>
      <c r="H176" s="886" t="n"/>
      <c r="I176" s="1172" t="n"/>
      <c r="J176" s="886" t="n"/>
      <c r="K176" s="1172" t="n"/>
      <c r="L176" s="886" t="n"/>
      <c r="M176" s="3789" t="n"/>
      <c r="N176" s="885" t="n"/>
      <c r="O176" s="1172" t="n"/>
      <c r="P176" s="886" t="n"/>
      <c r="Q176" s="1172" t="n"/>
      <c r="R176" s="886" t="n"/>
      <c r="S176" s="1172" t="n"/>
      <c r="T176" s="886" t="n"/>
      <c r="U176" s="1172" t="n"/>
      <c r="V176" s="886" t="n"/>
      <c r="W176" s="1172" t="n"/>
      <c r="X176" s="886" t="n"/>
      <c r="Y176" s="1172" t="n"/>
      <c r="Z176" s="886" t="n"/>
      <c r="AA176" s="1172" t="n"/>
      <c r="AB176" s="886" t="n"/>
      <c r="AC176" s="1172" t="n"/>
      <c r="AD176" s="885" t="n"/>
      <c r="AE176" s="1172" t="n"/>
      <c r="AF176" s="886" t="n"/>
      <c r="AG176" s="1172" t="n"/>
      <c r="AH176" s="886" t="n"/>
      <c r="AI176" s="1172" t="n"/>
      <c r="AJ176" s="886" t="n"/>
      <c r="AK176" s="3789" t="n"/>
      <c r="AL176" s="885" t="n"/>
      <c r="AM176" s="887" t="n"/>
      <c r="AN176" s="2001" t="n"/>
      <c r="AO176" s="886" t="n"/>
      <c r="AP176" s="218">
        <f>$CA176</f>
        <v/>
      </c>
      <c r="BU176" s="226" t="n"/>
      <c r="BV176" s="226" t="n"/>
      <c r="BW176" s="226" t="n"/>
      <c r="BX176" s="226" t="n"/>
      <c r="BY176" s="226" t="n"/>
      <c r="BZ176" s="226" t="n"/>
      <c r="CA176" s="219">
        <f>IF(AM176+AN176+AO176&lt;&gt;$B176,"* La suma de "&amp;AM$146&amp;""&amp;" no debe ser distinto del Total Ambos Sexos. ","")</f>
        <v/>
      </c>
      <c r="CB176" s="226" t="n"/>
      <c r="CC176" s="226" t="n"/>
      <c r="CD176" s="226" t="n"/>
      <c r="CK176" s="226" t="n"/>
      <c r="CM176" s="221">
        <f>IF(AM176+AN176+AO176&lt;&gt;$B176,1,0)</f>
        <v/>
      </c>
    </row>
    <row r="177">
      <c r="A177" s="4265" t="inlineStr">
        <is>
          <t>Otros</t>
        </is>
      </c>
      <c r="B177" s="3022">
        <f>SUM(C177:D177)</f>
        <v/>
      </c>
      <c r="C177" s="805">
        <f>E177+G177+I177+K177+M177+O177+Q177+S177+U177+W177+Y177+AA177+AC177+AE177+AG177+AI177+AK177</f>
        <v/>
      </c>
      <c r="D177" s="517">
        <f>F177+H177+J177+L177+N177+P177+R177+T177+V177+X177+Z177+AB177+AD177+AF177+AH177+AJ177+AL177</f>
        <v/>
      </c>
      <c r="E177" s="1179" t="n"/>
      <c r="F177" s="1183" t="n"/>
      <c r="G177" s="1179" t="n"/>
      <c r="H177" s="1183" t="n"/>
      <c r="I177" s="1179" t="n"/>
      <c r="J177" s="1183" t="n"/>
      <c r="K177" s="1179" t="n"/>
      <c r="L177" s="1183" t="n"/>
      <c r="M177" s="1181" t="n"/>
      <c r="N177" s="1182" t="n"/>
      <c r="O177" s="1179" t="n"/>
      <c r="P177" s="1183" t="n"/>
      <c r="Q177" s="1179" t="n"/>
      <c r="R177" s="1183" t="n"/>
      <c r="S177" s="1179" t="n"/>
      <c r="T177" s="1183" t="n"/>
      <c r="U177" s="1179" t="n"/>
      <c r="V177" s="1183" t="n"/>
      <c r="W177" s="1179" t="n"/>
      <c r="X177" s="1183" t="n"/>
      <c r="Y177" s="1179" t="n"/>
      <c r="Z177" s="1183" t="n"/>
      <c r="AA177" s="1179" t="n"/>
      <c r="AB177" s="1183" t="n"/>
      <c r="AC177" s="1179" t="n"/>
      <c r="AD177" s="1182" t="n"/>
      <c r="AE177" s="1179" t="n"/>
      <c r="AF177" s="1183" t="n"/>
      <c r="AG177" s="1179" t="n"/>
      <c r="AH177" s="1183" t="n"/>
      <c r="AI177" s="1179" t="n"/>
      <c r="AJ177" s="1183" t="n"/>
      <c r="AK177" s="1181" t="n"/>
      <c r="AL177" s="1182" t="n"/>
      <c r="AM177" s="1230" t="n"/>
      <c r="AN177" s="1228" t="n"/>
      <c r="AO177" s="1183" t="n"/>
      <c r="AP177" s="218">
        <f>$CA177</f>
        <v/>
      </c>
      <c r="BU177" s="226" t="n"/>
      <c r="BV177" s="226" t="n"/>
      <c r="BW177" s="226" t="n"/>
      <c r="BX177" s="226" t="n"/>
      <c r="BY177" s="226" t="n"/>
      <c r="BZ177" s="226" t="n"/>
      <c r="CA177" s="219">
        <f>IF(AM177+AN177+AO177&lt;&gt;$B177,"* La suma de "&amp;AM$146&amp;""&amp;" no debe ser distinto del Total Ambos Sexos. ","")</f>
        <v/>
      </c>
      <c r="CB177" s="226" t="n"/>
      <c r="CC177" s="226" t="n"/>
      <c r="CD177" s="226" t="n"/>
      <c r="CK177" s="226" t="n"/>
      <c r="CM177" s="221">
        <f>IF(AM177+AN177+AO177&lt;&gt;$B177,1,0)</f>
        <v/>
      </c>
    </row>
    <row r="178">
      <c r="A178" s="4266" t="inlineStr">
        <is>
          <t>EGRESOS</t>
        </is>
      </c>
      <c r="B178" s="4267">
        <f>SUM(B179:B183)</f>
        <v/>
      </c>
      <c r="C178" s="4268">
        <f>SUM(C179:C183)</f>
        <v/>
      </c>
      <c r="D178" s="4269">
        <f>SUM(D179:D183)</f>
        <v/>
      </c>
      <c r="E178" s="4144">
        <f>SUM(E179:E183)</f>
        <v/>
      </c>
      <c r="F178" s="4146">
        <f>SUM(F179:F183)</f>
        <v/>
      </c>
      <c r="G178" s="4144">
        <f>SUM(G179:G183)</f>
        <v/>
      </c>
      <c r="H178" s="4146">
        <f>SUM(H179:H183)</f>
        <v/>
      </c>
      <c r="I178" s="4144">
        <f>SUM(I179:I183)</f>
        <v/>
      </c>
      <c r="J178" s="4146">
        <f>SUM(J179:J183)</f>
        <v/>
      </c>
      <c r="K178" s="4144">
        <f>SUM(K179:K183)</f>
        <v/>
      </c>
      <c r="L178" s="4146">
        <f>SUM(L179:L183)</f>
        <v/>
      </c>
      <c r="M178" s="4144">
        <f>SUM(M179:M183)</f>
        <v/>
      </c>
      <c r="N178" s="4270">
        <f>SUM(N179:N183)</f>
        <v/>
      </c>
      <c r="O178" s="4144">
        <f>SUM(O179:O183)</f>
        <v/>
      </c>
      <c r="P178" s="4146">
        <f>SUM(P179:P183)</f>
        <v/>
      </c>
      <c r="Q178" s="4144">
        <f>SUM(Q179:Q183)</f>
        <v/>
      </c>
      <c r="R178" s="4146">
        <f>SUM(R179:R183)</f>
        <v/>
      </c>
      <c r="S178" s="4144">
        <f>SUM(S179:S183)</f>
        <v/>
      </c>
      <c r="T178" s="4146">
        <f>SUM(T179:T183)</f>
        <v/>
      </c>
      <c r="U178" s="4144">
        <f>SUM(U179:U183)</f>
        <v/>
      </c>
      <c r="V178" s="4146">
        <f>SUM(V179:V183)</f>
        <v/>
      </c>
      <c r="W178" s="4144">
        <f>SUM(W179:W183)</f>
        <v/>
      </c>
      <c r="X178" s="4146">
        <f>SUM(X179:X183)</f>
        <v/>
      </c>
      <c r="Y178" s="4144">
        <f>SUM(Y179:Y183)</f>
        <v/>
      </c>
      <c r="Z178" s="4146">
        <f>SUM(Z179:Z183)</f>
        <v/>
      </c>
      <c r="AA178" s="4144">
        <f>SUM(AA179:AA183)</f>
        <v/>
      </c>
      <c r="AB178" s="4146">
        <f>SUM(AB179:AB183)</f>
        <v/>
      </c>
      <c r="AC178" s="4144">
        <f>SUM(AC179:AC183)</f>
        <v/>
      </c>
      <c r="AD178" s="4270">
        <f>SUM(AD179:AD183)</f>
        <v/>
      </c>
      <c r="AE178" s="4144">
        <f>SUM(AE179:AE183)</f>
        <v/>
      </c>
      <c r="AF178" s="4146">
        <f>SUM(AF179:AF183)</f>
        <v/>
      </c>
      <c r="AG178" s="4144">
        <f>SUM(AG179:AG183)</f>
        <v/>
      </c>
      <c r="AH178" s="4146">
        <f>SUM(AH179:AH183)</f>
        <v/>
      </c>
      <c r="AI178" s="4144">
        <f>SUM(AI179:AI183)</f>
        <v/>
      </c>
      <c r="AJ178" s="4146">
        <f>SUM(AJ179:AJ183)</f>
        <v/>
      </c>
      <c r="AK178" s="4270">
        <f>SUM(AK179:AK183)</f>
        <v/>
      </c>
      <c r="AL178" s="4271">
        <f>SUM(AL179:AL183)</f>
        <v/>
      </c>
      <c r="AM178" s="4162">
        <f>SUM(AM179:AM183)</f>
        <v/>
      </c>
      <c r="AN178" s="4163">
        <f>SUM(AN179:AN183)</f>
        <v/>
      </c>
      <c r="AO178" s="4160">
        <f>SUM(AO179:AO183)</f>
        <v/>
      </c>
      <c r="AP178" s="218" t="n"/>
      <c r="BU178" s="226" t="n"/>
      <c r="BV178" s="226" t="n"/>
      <c r="BW178" s="226" t="n"/>
      <c r="BX178" s="226" t="n"/>
      <c r="BY178" s="226" t="n"/>
      <c r="BZ178" s="226" t="n"/>
      <c r="CA178" s="226" t="n"/>
      <c r="CB178" s="226" t="n"/>
      <c r="CC178" s="226" t="n"/>
      <c r="CD178" s="226" t="n"/>
      <c r="CK178" s="226" t="n"/>
    </row>
    <row r="179">
      <c r="A179" s="1934" t="inlineStr">
        <is>
          <t>Egresos por alta</t>
        </is>
      </c>
      <c r="B179" s="681">
        <f>SUM(C179:D179)</f>
        <v/>
      </c>
      <c r="C179" s="805">
        <f>E179+G179+I179+K179+M179+O179+Q179+S179+U179+W179+Y179+AA179+AC179+AE179+AG179+AI179+AK179</f>
        <v/>
      </c>
      <c r="D179" s="517">
        <f>F179+H179+J179+L179+N179+P179+R179+T179+V179+X179+Z179+AB179+AD179+AF179+AH179+AJ179+AL179</f>
        <v/>
      </c>
      <c r="E179" s="1935" t="n"/>
      <c r="F179" s="755" t="n"/>
      <c r="G179" s="1935" t="n"/>
      <c r="H179" s="755" t="n"/>
      <c r="I179" s="1935" t="n"/>
      <c r="J179" s="755" t="n"/>
      <c r="K179" s="1935" t="n"/>
      <c r="L179" s="755" t="n"/>
      <c r="M179" s="1432" t="n"/>
      <c r="N179" s="2261" t="n"/>
      <c r="O179" s="1935" t="n"/>
      <c r="P179" s="755" t="n"/>
      <c r="Q179" s="1935" t="n"/>
      <c r="R179" s="755" t="n"/>
      <c r="S179" s="1935" t="n"/>
      <c r="T179" s="755" t="n"/>
      <c r="U179" s="1935" t="n"/>
      <c r="V179" s="755" t="n"/>
      <c r="W179" s="1935" t="n"/>
      <c r="X179" s="755" t="n"/>
      <c r="Y179" s="1935" t="n"/>
      <c r="Z179" s="755" t="n"/>
      <c r="AA179" s="1935" t="n"/>
      <c r="AB179" s="755" t="n"/>
      <c r="AC179" s="1935" t="n"/>
      <c r="AD179" s="2261" t="n"/>
      <c r="AE179" s="1935" t="n"/>
      <c r="AF179" s="755" t="n"/>
      <c r="AG179" s="1935" t="n"/>
      <c r="AH179" s="755" t="n"/>
      <c r="AI179" s="1935" t="n"/>
      <c r="AJ179" s="755" t="n"/>
      <c r="AK179" s="1432" t="n"/>
      <c r="AL179" s="2261" t="n"/>
      <c r="AM179" s="1966" t="n"/>
      <c r="AN179" s="793" t="n"/>
      <c r="AO179" s="755" t="n"/>
      <c r="AP179" s="218">
        <f>$CA179</f>
        <v/>
      </c>
      <c r="BU179" s="226" t="n"/>
      <c r="BV179" s="226" t="n"/>
      <c r="BW179" s="226" t="n"/>
      <c r="BX179" s="226" t="n"/>
      <c r="BY179" s="226" t="n"/>
      <c r="BZ179" s="226" t="n"/>
      <c r="CA179" s="219">
        <f>IF(AM179+AN179+AO179&lt;&gt;$B179,"* La suma de "&amp;AM$146&amp;""&amp;" no debe ser distinto del Total Ambos Sexos. ","")</f>
        <v/>
      </c>
      <c r="CB179" s="226" t="n"/>
      <c r="CC179" s="226" t="n"/>
      <c r="CD179" s="226" t="n"/>
      <c r="CK179" s="226" t="n"/>
      <c r="CM179" s="221">
        <f>IF(AM179+AN179+AO179&lt;&gt;$B179,1,0)</f>
        <v/>
      </c>
    </row>
    <row r="180">
      <c r="A180" s="1934" t="inlineStr">
        <is>
          <t>Egresos por abandono</t>
        </is>
      </c>
      <c r="B180" s="1206">
        <f>SUM(C180:D180)</f>
        <v/>
      </c>
      <c r="C180" s="805">
        <f>E180+G180+I180+K180+M180+O180+Q180+S180+U180+W180+Y180+AA180+AC180+AE180+AG180+AI180+AK180</f>
        <v/>
      </c>
      <c r="D180" s="517">
        <f>F180+H180+J180+L180+N180+P180+R180+T180+V180+X180+Z180+AB180+AD180+AF180+AH180+AJ180+AL180</f>
        <v/>
      </c>
      <c r="E180" s="1172" t="n"/>
      <c r="F180" s="886" t="n"/>
      <c r="G180" s="1172" t="n"/>
      <c r="H180" s="886" t="n"/>
      <c r="I180" s="1172" t="n"/>
      <c r="J180" s="886" t="n"/>
      <c r="K180" s="1172" t="n"/>
      <c r="L180" s="886" t="n"/>
      <c r="M180" s="3789" t="n"/>
      <c r="N180" s="885" t="n"/>
      <c r="O180" s="1172" t="n"/>
      <c r="P180" s="886" t="n"/>
      <c r="Q180" s="1172" t="n"/>
      <c r="R180" s="886" t="n"/>
      <c r="S180" s="1172" t="n"/>
      <c r="T180" s="886" t="n"/>
      <c r="U180" s="1172" t="n"/>
      <c r="V180" s="886" t="n"/>
      <c r="W180" s="1172" t="n"/>
      <c r="X180" s="886" t="n"/>
      <c r="Y180" s="1172" t="n"/>
      <c r="Z180" s="886" t="n"/>
      <c r="AA180" s="1172" t="n"/>
      <c r="AB180" s="886" t="n"/>
      <c r="AC180" s="1172" t="n"/>
      <c r="AD180" s="885" t="n"/>
      <c r="AE180" s="1172" t="n"/>
      <c r="AF180" s="886" t="n"/>
      <c r="AG180" s="1172" t="n"/>
      <c r="AH180" s="886" t="n"/>
      <c r="AI180" s="1172" t="n"/>
      <c r="AJ180" s="886" t="n"/>
      <c r="AK180" s="3789" t="n"/>
      <c r="AL180" s="885" t="n"/>
      <c r="AM180" s="887" t="n"/>
      <c r="AN180" s="2001" t="n"/>
      <c r="AO180" s="886" t="n"/>
      <c r="AP180" s="218">
        <f>$CA180</f>
        <v/>
      </c>
      <c r="BU180" s="226" t="n"/>
      <c r="BV180" s="226" t="n"/>
      <c r="BW180" s="226" t="n"/>
      <c r="BX180" s="226" t="n"/>
      <c r="BY180" s="226" t="n"/>
      <c r="BZ180" s="226" t="n"/>
      <c r="CA180" s="219">
        <f>IF(AM180+AN180+AO180&lt;&gt;$B180,"* La suma de "&amp;AM$146&amp;""&amp;" no debe ser distinto del Total Ambos Sexos. ","")</f>
        <v/>
      </c>
      <c r="CB180" s="226" t="n"/>
      <c r="CC180" s="226" t="n"/>
      <c r="CD180" s="226" t="n"/>
      <c r="CK180" s="226" t="n"/>
      <c r="CM180" s="221">
        <f>IF(AM180+AN180+AO180&lt;&gt;$B180,1,0)</f>
        <v/>
      </c>
    </row>
    <row r="181">
      <c r="A181" s="1934" t="inlineStr">
        <is>
          <t>Egresos por fallecimiento</t>
        </is>
      </c>
      <c r="B181" s="1206">
        <f>SUM(C181:D181)</f>
        <v/>
      </c>
      <c r="C181" s="805">
        <f>E181+G181+I181+K181+M181+O181+Q181+S181+U181+W181+Y181+AA181+AC181+AE181+AG181+AI181+AK181</f>
        <v/>
      </c>
      <c r="D181" s="517">
        <f>F181+H181+J181+L181+N181+P181+R181+T181+V181+X181+Z181+AB181+AD181+AF181+AH181+AJ181+AL181</f>
        <v/>
      </c>
      <c r="E181" s="1172" t="n"/>
      <c r="F181" s="886" t="n"/>
      <c r="G181" s="1172" t="n"/>
      <c r="H181" s="886" t="n"/>
      <c r="I181" s="1172" t="n"/>
      <c r="J181" s="886" t="n"/>
      <c r="K181" s="1172" t="n"/>
      <c r="L181" s="886" t="n"/>
      <c r="M181" s="3789" t="n"/>
      <c r="N181" s="885" t="n"/>
      <c r="O181" s="1172" t="n"/>
      <c r="P181" s="886" t="n"/>
      <c r="Q181" s="1172" t="n"/>
      <c r="R181" s="886" t="n"/>
      <c r="S181" s="1172" t="n"/>
      <c r="T181" s="886" t="n"/>
      <c r="U181" s="1172" t="n"/>
      <c r="V181" s="886" t="n"/>
      <c r="W181" s="1172" t="n"/>
      <c r="X181" s="886" t="n"/>
      <c r="Y181" s="1172" t="n"/>
      <c r="Z181" s="886" t="n"/>
      <c r="AA181" s="1172" t="n"/>
      <c r="AB181" s="886" t="n"/>
      <c r="AC181" s="1172" t="n"/>
      <c r="AD181" s="885" t="n"/>
      <c r="AE181" s="1172" t="n"/>
      <c r="AF181" s="886" t="n"/>
      <c r="AG181" s="1172" t="n"/>
      <c r="AH181" s="886" t="n"/>
      <c r="AI181" s="1172" t="n"/>
      <c r="AJ181" s="886" t="n"/>
      <c r="AK181" s="3789" t="n"/>
      <c r="AL181" s="885" t="n"/>
      <c r="AM181" s="887" t="n"/>
      <c r="AN181" s="2001" t="n"/>
      <c r="AO181" s="886" t="n"/>
      <c r="AP181" s="218">
        <f>$CA181</f>
        <v/>
      </c>
      <c r="BU181" s="226" t="n"/>
      <c r="BV181" s="226" t="n"/>
      <c r="BW181" s="226" t="n"/>
      <c r="BX181" s="226" t="n"/>
      <c r="BY181" s="226" t="n"/>
      <c r="BZ181" s="226" t="n"/>
      <c r="CA181" s="219">
        <f>IF(AM181+AN181+AO181&lt;&gt;$B181,"* La suma de "&amp;AM$146&amp;""&amp;" no debe ser distinto del Total Ambos Sexos. ","")</f>
        <v/>
      </c>
      <c r="CB181" s="226" t="n"/>
      <c r="CC181" s="226" t="n"/>
      <c r="CD181" s="226" t="n"/>
      <c r="CK181" s="226" t="n"/>
      <c r="CM181" s="221">
        <f>IF(AM181+AN181+AO181&lt;&gt;$B181,1,0)</f>
        <v/>
      </c>
    </row>
    <row r="182">
      <c r="A182" s="1934" t="inlineStr">
        <is>
          <t>Egresos ACV referido a APS</t>
        </is>
      </c>
      <c r="B182" s="1206">
        <f>SUM(C182:D182)</f>
        <v/>
      </c>
      <c r="C182" s="805">
        <f>E182+G182+I182+K182+M182+O182+Q182+S182+U182+W182+Y182+AA182+AC182+AE182+AG182+AI182+AK182</f>
        <v/>
      </c>
      <c r="D182" s="517">
        <f>F182+H182+J182+L182+N182+P182+R182+T182+V182+X182+Z182+AB182+AD182+AF182+AH182+AJ182+AL182</f>
        <v/>
      </c>
      <c r="E182" s="1172" t="n"/>
      <c r="F182" s="886" t="n"/>
      <c r="G182" s="1172" t="n"/>
      <c r="H182" s="886" t="n"/>
      <c r="I182" s="1172" t="n"/>
      <c r="J182" s="886" t="n"/>
      <c r="K182" s="1172" t="n"/>
      <c r="L182" s="886" t="n"/>
      <c r="M182" s="3789" t="n"/>
      <c r="N182" s="885" t="n"/>
      <c r="O182" s="1172" t="n"/>
      <c r="P182" s="886" t="n"/>
      <c r="Q182" s="1172" t="n"/>
      <c r="R182" s="886" t="n"/>
      <c r="S182" s="1172" t="n"/>
      <c r="T182" s="886" t="n"/>
      <c r="U182" s="1172" t="n"/>
      <c r="V182" s="886" t="n"/>
      <c r="W182" s="1172" t="n"/>
      <c r="X182" s="886" t="n"/>
      <c r="Y182" s="1172" t="n"/>
      <c r="Z182" s="886" t="n"/>
      <c r="AA182" s="1172" t="n"/>
      <c r="AB182" s="886" t="n"/>
      <c r="AC182" s="1172" t="n"/>
      <c r="AD182" s="885" t="n"/>
      <c r="AE182" s="1172" t="n"/>
      <c r="AF182" s="886" t="n"/>
      <c r="AG182" s="1172" t="n"/>
      <c r="AH182" s="886" t="n"/>
      <c r="AI182" s="1172" t="n"/>
      <c r="AJ182" s="886" t="n"/>
      <c r="AK182" s="3789" t="n"/>
      <c r="AL182" s="885" t="n"/>
      <c r="AM182" s="887" t="n"/>
      <c r="AN182" s="2001" t="n"/>
      <c r="AO182" s="886" t="n"/>
      <c r="AP182" s="218">
        <f>$CA182</f>
        <v/>
      </c>
      <c r="BU182" s="226" t="n"/>
      <c r="BV182" s="226" t="n"/>
      <c r="BW182" s="226" t="n"/>
      <c r="BX182" s="226" t="n"/>
      <c r="BY182" s="226" t="n"/>
      <c r="BZ182" s="226" t="n"/>
      <c r="CA182" s="219">
        <f>IF(AM182+AN182+AO182&lt;&gt;$B182,"* La suma de "&amp;AM$146&amp;""&amp;" no debe ser distinto del Total Ambos Sexos. ","")</f>
        <v/>
      </c>
      <c r="CB182" s="226" t="n"/>
      <c r="CC182" s="226" t="n"/>
      <c r="CD182" s="226" t="n"/>
      <c r="CK182" s="226" t="n"/>
      <c r="CM182" s="221">
        <f>IF(AM182+AN182+AO182&lt;&gt;$B182,1,0)</f>
        <v/>
      </c>
    </row>
    <row r="183">
      <c r="A183" s="3597" t="inlineStr">
        <is>
          <t>Otros</t>
        </is>
      </c>
      <c r="B183" s="2576">
        <f>SUM(C183:D183)</f>
        <v/>
      </c>
      <c r="C183" s="4272">
        <f>E183+G183+I183+K183+M183+O183+Q183+S183+U183+W183+Y183+AA183+AC183+AE183+AG183+AI183+AK183</f>
        <v/>
      </c>
      <c r="D183" s="1357">
        <f>F183+H183+J183+L183+N183+P183+R183+T183+V183+X183+Z183+AB183+AD183+AF183+AH183+AJ183+AL183</f>
        <v/>
      </c>
      <c r="E183" s="3808" t="n"/>
      <c r="F183" s="3601" t="n"/>
      <c r="G183" s="3808" t="n"/>
      <c r="H183" s="3601" t="n"/>
      <c r="I183" s="3808" t="n"/>
      <c r="J183" s="3601" t="n"/>
      <c r="K183" s="3808" t="n"/>
      <c r="L183" s="3601" t="n"/>
      <c r="M183" s="3818" t="n"/>
      <c r="N183" s="3819" t="n"/>
      <c r="O183" s="3808" t="n"/>
      <c r="P183" s="3601" t="n"/>
      <c r="Q183" s="3808" t="n"/>
      <c r="R183" s="3601" t="n"/>
      <c r="S183" s="3808" t="n"/>
      <c r="T183" s="3601" t="n"/>
      <c r="U183" s="3808" t="n"/>
      <c r="V183" s="3601" t="n"/>
      <c r="W183" s="3808" t="n"/>
      <c r="X183" s="3601" t="n"/>
      <c r="Y183" s="3808" t="n"/>
      <c r="Z183" s="3601" t="n"/>
      <c r="AA183" s="3808" t="n"/>
      <c r="AB183" s="3601" t="n"/>
      <c r="AC183" s="3808" t="n"/>
      <c r="AD183" s="3819" t="n"/>
      <c r="AE183" s="3808" t="n"/>
      <c r="AF183" s="3601" t="n"/>
      <c r="AG183" s="3808" t="n"/>
      <c r="AH183" s="3601" t="n"/>
      <c r="AI183" s="3808" t="n"/>
      <c r="AJ183" s="3601" t="n"/>
      <c r="AK183" s="3818" t="n"/>
      <c r="AL183" s="3819" t="n"/>
      <c r="AM183" s="3898" t="n"/>
      <c r="AN183" s="3599" t="n"/>
      <c r="AO183" s="3601" t="n"/>
      <c r="AP183" s="218">
        <f>$CA183</f>
        <v/>
      </c>
      <c r="BU183" s="226" t="n"/>
      <c r="BV183" s="226" t="n"/>
      <c r="BW183" s="226" t="n"/>
      <c r="BX183" s="226" t="n"/>
      <c r="BY183" s="226" t="n"/>
      <c r="BZ183" s="226" t="n"/>
      <c r="CA183" s="219">
        <f>IF(AM183+AN183+AO183&lt;&gt;$B183,"* La suma de "&amp;AM$146&amp;""&amp;" no debe ser distinto del Total Ambos Sexos. ","")</f>
        <v/>
      </c>
      <c r="CB183" s="226" t="n"/>
      <c r="CC183" s="226" t="n"/>
      <c r="CD183" s="226" t="n"/>
      <c r="CK183" s="226" t="n"/>
      <c r="CM183" s="221">
        <f>IF(AM183+AN183+AO183&lt;&gt;$B183,1,0)</f>
        <v/>
      </c>
    </row>
    <row r="184">
      <c r="A184" s="1" t="inlineStr">
        <is>
          <t>SECCIÓN B.2: EVALUACIÓN INICIAL</t>
        </is>
      </c>
      <c r="B184" s="7" t="n"/>
      <c r="C184" s="7" t="n"/>
      <c r="D184" s="1" t="n"/>
      <c r="E184" s="7" t="n"/>
      <c r="F184" s="7" t="n"/>
      <c r="G184" s="7" t="n"/>
      <c r="H184" s="7" t="n"/>
      <c r="I184" s="7" t="n"/>
      <c r="J184" s="7" t="n"/>
      <c r="K184" s="7" t="n"/>
      <c r="L184" s="7" t="n"/>
      <c r="M184" s="7" t="n"/>
      <c r="N184" s="7" t="n"/>
      <c r="O184" s="7" t="n"/>
      <c r="P184" s="7" t="n"/>
      <c r="Q184" s="7" t="n"/>
      <c r="R184" s="7" t="n"/>
      <c r="S184" s="7" t="n"/>
      <c r="T184" s="7" t="n"/>
      <c r="U184" s="7" t="n"/>
      <c r="V184" s="7" t="n"/>
      <c r="W184" s="7" t="n"/>
      <c r="X184" s="7" t="n"/>
      <c r="CK184" s="20" t="n"/>
    </row>
    <row r="185">
      <c r="A185" s="10247" t="inlineStr">
        <is>
          <t>PROFESIONAL</t>
        </is>
      </c>
      <c r="B185" s="10581" t="inlineStr">
        <is>
          <t>TOTAL</t>
        </is>
      </c>
      <c r="C185" s="10582" t="inlineStr">
        <is>
          <t>RANGO ETARIO</t>
        </is>
      </c>
      <c r="D185" s="9602" t="n"/>
      <c r="E185" s="9602" t="n"/>
      <c r="F185" s="9602" t="n"/>
      <c r="G185" s="9602" t="n"/>
      <c r="H185" s="9602" t="n"/>
      <c r="I185" s="9602" t="n"/>
      <c r="J185" s="9602" t="n"/>
      <c r="K185" s="9602" t="n"/>
      <c r="L185" s="9602" t="n"/>
      <c r="M185" s="9602" t="n"/>
      <c r="N185" s="9602" t="n"/>
      <c r="O185" s="9602" t="n"/>
      <c r="P185" s="9602" t="n"/>
      <c r="Q185" s="9602" t="n"/>
      <c r="R185" s="9602" t="n"/>
      <c r="S185" s="9886" t="n"/>
      <c r="T185" s="9973" t="inlineStr">
        <is>
          <t>TIPO ATENCIÓN</t>
        </is>
      </c>
      <c r="U185" s="9584" t="n"/>
      <c r="V185" s="9584" t="n"/>
      <c r="W185" s="9584" t="n"/>
      <c r="X185" s="9582" t="n"/>
      <c r="CK185" s="20" t="n"/>
    </row>
    <row r="186">
      <c r="A186" s="9588" t="n"/>
      <c r="B186" s="9588" t="n"/>
      <c r="C186" s="9698" t="n"/>
      <c r="D186" s="9591" t="n"/>
      <c r="E186" s="9591" t="n"/>
      <c r="F186" s="9591" t="n"/>
      <c r="G186" s="9591" t="n"/>
      <c r="H186" s="9591" t="n"/>
      <c r="I186" s="9591" t="n"/>
      <c r="J186" s="9591" t="n"/>
      <c r="K186" s="9591" t="n"/>
      <c r="L186" s="9591" t="n"/>
      <c r="M186" s="9591" t="n"/>
      <c r="N186" s="9591" t="n"/>
      <c r="O186" s="9591" t="n"/>
      <c r="P186" s="9591" t="n"/>
      <c r="Q186" s="9591" t="n"/>
      <c r="R186" s="9591" t="n"/>
      <c r="S186" s="9865" t="n"/>
      <c r="T186" s="10583" t="inlineStr">
        <is>
          <t>Abierta</t>
        </is>
      </c>
      <c r="U186" s="9754" t="n"/>
      <c r="V186" s="9804" t="n"/>
      <c r="W186" s="10572" t="inlineStr">
        <is>
          <t>Cerrada</t>
        </is>
      </c>
      <c r="X186" s="9582" t="n"/>
      <c r="CK186" s="20" t="n"/>
    </row>
    <row r="187" ht="31.5" customHeight="1" s="8286">
      <c r="A187" s="9589" t="n"/>
      <c r="B187" s="9589" t="n"/>
      <c r="C187" s="4206" t="inlineStr">
        <is>
          <t>0 - 4 años</t>
        </is>
      </c>
      <c r="D187" s="4207" t="inlineStr">
        <is>
          <t>5 - 9 años</t>
        </is>
      </c>
      <c r="E187" s="4207" t="inlineStr">
        <is>
          <t>10 - 14 años</t>
        </is>
      </c>
      <c r="F187" s="4207" t="inlineStr">
        <is>
          <t>15 - 19 años</t>
        </is>
      </c>
      <c r="G187" s="4207" t="inlineStr">
        <is>
          <t>20 - 24 años</t>
        </is>
      </c>
      <c r="H187" s="4207" t="inlineStr">
        <is>
          <t>25-29 años</t>
        </is>
      </c>
      <c r="I187" s="4207" t="inlineStr">
        <is>
          <t>30-34 años</t>
        </is>
      </c>
      <c r="J187" s="4207" t="inlineStr">
        <is>
          <t>35 - 39 años</t>
        </is>
      </c>
      <c r="K187" s="4207" t="inlineStr">
        <is>
          <t>40 - 44 años</t>
        </is>
      </c>
      <c r="L187" s="4207" t="inlineStr">
        <is>
          <t>45- 49 años</t>
        </is>
      </c>
      <c r="M187" s="4207" t="inlineStr">
        <is>
          <t>50 - 54 años</t>
        </is>
      </c>
      <c r="N187" s="4207" t="inlineStr">
        <is>
          <t>55 - 59 años</t>
        </is>
      </c>
      <c r="O187" s="4207" t="inlineStr">
        <is>
          <t>60 - 64 años</t>
        </is>
      </c>
      <c r="P187" s="4207" t="inlineStr">
        <is>
          <t>65 - 69 años</t>
        </is>
      </c>
      <c r="Q187" s="4207" t="inlineStr">
        <is>
          <t>70 - 74 años</t>
        </is>
      </c>
      <c r="R187" s="4207" t="inlineStr">
        <is>
          <t>75 - 79 años</t>
        </is>
      </c>
      <c r="S187" s="4208" t="inlineStr">
        <is>
          <t>80 y más años</t>
        </is>
      </c>
      <c r="T187" s="4194" t="inlineStr">
        <is>
          <t xml:space="preserve">Presencial </t>
        </is>
      </c>
      <c r="U187" s="4273" t="inlineStr">
        <is>
          <t>A Distancia</t>
        </is>
      </c>
      <c r="V187" s="4274" t="inlineStr">
        <is>
          <t xml:space="preserve">Domiciliaria </t>
        </is>
      </c>
      <c r="W187" s="4210" t="inlineStr">
        <is>
          <t>UPC</t>
        </is>
      </c>
      <c r="X187" s="4274" t="inlineStr">
        <is>
          <t>Cuidados Medios y Básicos</t>
        </is>
      </c>
      <c r="Y187" s="6" t="n"/>
      <c r="CK187" s="20" t="n"/>
    </row>
    <row r="188">
      <c r="A188" s="4195" t="inlineStr">
        <is>
          <t>Kinesiólogo/a</t>
        </is>
      </c>
      <c r="B188" s="2557">
        <f>SUM(C188:S188)</f>
        <v/>
      </c>
      <c r="C188" s="1172" t="n"/>
      <c r="D188" s="2001" t="n"/>
      <c r="E188" s="2001" t="n"/>
      <c r="F188" s="2001" t="n"/>
      <c r="G188" s="2001" t="n"/>
      <c r="H188" s="2001" t="n"/>
      <c r="I188" s="2001" t="n"/>
      <c r="J188" s="2001" t="n"/>
      <c r="K188" s="2001" t="n"/>
      <c r="L188" s="2001" t="n"/>
      <c r="M188" s="2001" t="n"/>
      <c r="N188" s="2001" t="n"/>
      <c r="O188" s="2001" t="n"/>
      <c r="P188" s="2001" t="n"/>
      <c r="Q188" s="2001" t="n"/>
      <c r="R188" s="2001" t="n"/>
      <c r="S188" s="3894" t="n"/>
      <c r="T188" s="887" t="n"/>
      <c r="U188" s="2001" t="n"/>
      <c r="V188" s="886" t="n"/>
      <c r="W188" s="1172" t="n"/>
      <c r="X188" s="886" t="n"/>
      <c r="Y188" s="218">
        <f>$CA188</f>
        <v/>
      </c>
      <c r="BD188" s="226" t="n"/>
      <c r="BE188" s="226" t="n"/>
      <c r="BF188" s="226" t="n"/>
      <c r="BG188" s="226" t="n"/>
      <c r="BH188" s="226" t="n"/>
      <c r="BI188" s="226" t="n"/>
      <c r="BJ188" s="226" t="n"/>
      <c r="BK188" s="226" t="n"/>
      <c r="BL188" s="226" t="n"/>
      <c r="BM188" s="226" t="n"/>
      <c r="BN188" s="226" t="n"/>
      <c r="BO188" s="226" t="n"/>
      <c r="BP188" s="226" t="n"/>
      <c r="BQ188" s="226" t="n"/>
      <c r="BR188" s="226" t="n"/>
      <c r="BS188" s="226" t="n"/>
      <c r="BT188" s="226" t="n"/>
      <c r="BU188" s="226" t="n"/>
      <c r="BV188" s="226" t="n"/>
      <c r="BW188" s="226" t="n"/>
      <c r="BX188" s="226" t="n"/>
      <c r="BY188" s="226" t="n"/>
      <c r="BZ188" s="226" t="n"/>
      <c r="CA188" s="219">
        <f>IF(T188+U188+V188+W188+X188&lt;&gt;$B188,"* La suma de "&amp;T$185&amp;""&amp;" no debe ser distinto del Total. ","")</f>
        <v/>
      </c>
      <c r="CB188" s="226" t="n"/>
      <c r="CC188" s="226" t="n"/>
      <c r="CD188" s="226" t="n"/>
      <c r="CK188" s="226" t="n"/>
      <c r="CM188" s="252">
        <f>IF(T188+U188+V188+W188+X188&lt;&gt;$B188,1,0)</f>
        <v/>
      </c>
    </row>
    <row r="189">
      <c r="A189" s="1934" t="inlineStr">
        <is>
          <t>Terapeuta ocupacional</t>
        </is>
      </c>
      <c r="B189" s="1244">
        <f>SUM(C189:S189)</f>
        <v/>
      </c>
      <c r="C189" s="1172" t="n"/>
      <c r="D189" s="2001" t="n"/>
      <c r="E189" s="2001" t="n"/>
      <c r="F189" s="2001" t="n"/>
      <c r="G189" s="2001" t="n"/>
      <c r="H189" s="2001" t="n"/>
      <c r="I189" s="2001" t="n"/>
      <c r="J189" s="2001" t="n"/>
      <c r="K189" s="2001" t="n"/>
      <c r="L189" s="2001" t="n"/>
      <c r="M189" s="2001" t="n"/>
      <c r="N189" s="2001" t="n"/>
      <c r="O189" s="2001" t="n"/>
      <c r="P189" s="2001" t="n"/>
      <c r="Q189" s="2001" t="n"/>
      <c r="R189" s="2001" t="n"/>
      <c r="S189" s="3894" t="n"/>
      <c r="T189" s="887" t="n"/>
      <c r="U189" s="2001" t="n"/>
      <c r="V189" s="886" t="n"/>
      <c r="W189" s="1172" t="n"/>
      <c r="X189" s="886" t="n"/>
      <c r="Y189" s="218">
        <f>$CA189</f>
        <v/>
      </c>
      <c r="BD189" s="226" t="n"/>
      <c r="BE189" s="226" t="n"/>
      <c r="BF189" s="226" t="n"/>
      <c r="BG189" s="226" t="n"/>
      <c r="BH189" s="226" t="n"/>
      <c r="BI189" s="226" t="n"/>
      <c r="BJ189" s="226" t="n"/>
      <c r="BK189" s="226" t="n"/>
      <c r="BL189" s="226" t="n"/>
      <c r="BM189" s="226" t="n"/>
      <c r="BN189" s="226" t="n"/>
      <c r="BO189" s="226" t="n"/>
      <c r="BP189" s="226" t="n"/>
      <c r="BQ189" s="226" t="n"/>
      <c r="BR189" s="226" t="n"/>
      <c r="BS189" s="226" t="n"/>
      <c r="BT189" s="226" t="n"/>
      <c r="BU189" s="226" t="n"/>
      <c r="BV189" s="226" t="n"/>
      <c r="BW189" s="226" t="n"/>
      <c r="BX189" s="226" t="n"/>
      <c r="BY189" s="226" t="n"/>
      <c r="BZ189" s="226" t="n"/>
      <c r="CA189" s="219">
        <f>IF(T189+U189+V189+W189+X189&lt;&gt;$B189,"* La suma de "&amp;T$185&amp;""&amp;" no debe ser distinto del Total. ","")</f>
        <v/>
      </c>
      <c r="CB189" s="226" t="n"/>
      <c r="CC189" s="226" t="n"/>
      <c r="CD189" s="226" t="n"/>
      <c r="CK189" s="226" t="n"/>
      <c r="CM189" s="252">
        <f>IF(T189+U189+V189+W189+X189&lt;&gt;$B189,1,0)</f>
        <v/>
      </c>
    </row>
    <row r="190">
      <c r="A190" s="1934" t="inlineStr">
        <is>
          <t>Fonoadiólogo/a</t>
        </is>
      </c>
      <c r="B190" s="1244">
        <f>SUM(C190:S190)</f>
        <v/>
      </c>
      <c r="C190" s="1172" t="n"/>
      <c r="D190" s="2001" t="n"/>
      <c r="E190" s="2001" t="n"/>
      <c r="F190" s="2001" t="n"/>
      <c r="G190" s="2001" t="n"/>
      <c r="H190" s="2001" t="n"/>
      <c r="I190" s="2001" t="n"/>
      <c r="J190" s="2001" t="n"/>
      <c r="K190" s="2001" t="n"/>
      <c r="L190" s="2001" t="n"/>
      <c r="M190" s="2001" t="n"/>
      <c r="N190" s="2001" t="n"/>
      <c r="O190" s="2001" t="n"/>
      <c r="P190" s="2001" t="n"/>
      <c r="Q190" s="2001" t="n"/>
      <c r="R190" s="2001" t="n"/>
      <c r="S190" s="3894" t="n"/>
      <c r="T190" s="887" t="n"/>
      <c r="U190" s="2001" t="n"/>
      <c r="V190" s="886" t="n"/>
      <c r="W190" s="1172" t="n"/>
      <c r="X190" s="886" t="n"/>
      <c r="Y190" s="218">
        <f>$CA190</f>
        <v/>
      </c>
      <c r="BD190" s="226" t="n"/>
      <c r="BE190" s="226" t="n"/>
      <c r="BF190" s="226" t="n"/>
      <c r="BG190" s="226" t="n"/>
      <c r="BH190" s="226" t="n"/>
      <c r="BI190" s="226" t="n"/>
      <c r="BJ190" s="226" t="n"/>
      <c r="BK190" s="226" t="n"/>
      <c r="BL190" s="226" t="n"/>
      <c r="BM190" s="226" t="n"/>
      <c r="BN190" s="226" t="n"/>
      <c r="BO190" s="226" t="n"/>
      <c r="BP190" s="226" t="n"/>
      <c r="BQ190" s="226" t="n"/>
      <c r="BR190" s="226" t="n"/>
      <c r="BS190" s="226" t="n"/>
      <c r="BT190" s="226" t="n"/>
      <c r="BU190" s="226" t="n"/>
      <c r="BV190" s="226" t="n"/>
      <c r="BW190" s="226" t="n"/>
      <c r="BX190" s="226" t="n"/>
      <c r="BY190" s="226" t="n"/>
      <c r="BZ190" s="226" t="n"/>
      <c r="CA190" s="219">
        <f>IF(T190+U190+V190+W190+X190&lt;&gt;$B190,"* La suma de "&amp;T$185&amp;""&amp;" no debe ser distinto del Total. ","")</f>
        <v/>
      </c>
      <c r="CB190" s="226" t="n"/>
      <c r="CC190" s="226" t="n"/>
      <c r="CD190" s="226" t="n"/>
      <c r="CK190" s="226" t="n"/>
      <c r="CM190" s="252">
        <f>IF(T190+U190+V190+W190+X190&lt;&gt;$B190,1,0)</f>
        <v/>
      </c>
    </row>
    <row r="191">
      <c r="A191" s="8053" t="inlineStr">
        <is>
          <t>Psicólogo/a</t>
        </is>
      </c>
      <c r="B191" s="1244">
        <f>SUM(C191:S191)</f>
        <v/>
      </c>
      <c r="C191" s="1172" t="n"/>
      <c r="D191" s="2001" t="n"/>
      <c r="E191" s="2001" t="n"/>
      <c r="F191" s="2001" t="n"/>
      <c r="G191" s="2001" t="n"/>
      <c r="H191" s="2001" t="n"/>
      <c r="I191" s="2001" t="n"/>
      <c r="J191" s="2001" t="n"/>
      <c r="K191" s="2001" t="n"/>
      <c r="L191" s="2001" t="n"/>
      <c r="M191" s="2001" t="n"/>
      <c r="N191" s="2001" t="n"/>
      <c r="O191" s="2001" t="n"/>
      <c r="P191" s="2001" t="n"/>
      <c r="Q191" s="2001" t="n"/>
      <c r="R191" s="2001" t="n"/>
      <c r="S191" s="3894" t="n"/>
      <c r="T191" s="887" t="n"/>
      <c r="U191" s="2001" t="n"/>
      <c r="V191" s="886" t="n"/>
      <c r="W191" s="1172" t="n"/>
      <c r="X191" s="886" t="n"/>
      <c r="Y191" s="218">
        <f>$CA191</f>
        <v/>
      </c>
      <c r="BD191" s="226" t="n"/>
      <c r="BE191" s="226" t="n"/>
      <c r="BF191" s="226" t="n"/>
      <c r="BG191" s="226" t="n"/>
      <c r="BH191" s="226" t="n"/>
      <c r="BI191" s="226" t="n"/>
      <c r="BJ191" s="226" t="n"/>
      <c r="BK191" s="226" t="n"/>
      <c r="BL191" s="226" t="n"/>
      <c r="BM191" s="226" t="n"/>
      <c r="BN191" s="226" t="n"/>
      <c r="BO191" s="226" t="n"/>
      <c r="BP191" s="226" t="n"/>
      <c r="BQ191" s="226" t="n"/>
      <c r="BR191" s="226" t="n"/>
      <c r="BS191" s="226" t="n"/>
      <c r="BT191" s="226" t="n"/>
      <c r="BU191" s="226" t="n"/>
      <c r="BV191" s="226" t="n"/>
      <c r="BW191" s="226" t="n"/>
      <c r="BX191" s="226" t="n"/>
      <c r="BY191" s="226" t="n"/>
      <c r="BZ191" s="226" t="n"/>
      <c r="CA191" s="219">
        <f>IF(T191+U191+V191+W191+X191&lt;&gt;$B191,"* La suma de "&amp;T$185&amp;""&amp;" no debe ser distinto del Total. ","")</f>
        <v/>
      </c>
      <c r="CB191" s="226" t="n"/>
      <c r="CC191" s="226" t="n"/>
      <c r="CD191" s="226" t="n"/>
      <c r="CK191" s="226" t="n"/>
      <c r="CM191" s="252">
        <f>IF(T191+U191+V191+W191+X191&lt;&gt;$B191,1,0)</f>
        <v/>
      </c>
    </row>
    <row r="192">
      <c r="A192" s="8053" t="inlineStr">
        <is>
          <t>Trabajador/a Social</t>
        </is>
      </c>
      <c r="B192" s="1244">
        <f>SUM(C192:S192)</f>
        <v/>
      </c>
      <c r="C192" s="1172" t="n"/>
      <c r="D192" s="2001" t="n"/>
      <c r="E192" s="2001" t="n"/>
      <c r="F192" s="2001" t="n"/>
      <c r="G192" s="2001" t="n"/>
      <c r="H192" s="2001" t="n"/>
      <c r="I192" s="2001" t="n"/>
      <c r="J192" s="2001" t="n"/>
      <c r="K192" s="2001" t="n"/>
      <c r="L192" s="2001" t="n"/>
      <c r="M192" s="2001" t="n"/>
      <c r="N192" s="2001" t="n"/>
      <c r="O192" s="2001" t="n"/>
      <c r="P192" s="2001" t="n"/>
      <c r="Q192" s="2001" t="n"/>
      <c r="R192" s="2001" t="n"/>
      <c r="S192" s="3894" t="n"/>
      <c r="T192" s="887" t="n"/>
      <c r="U192" s="2001" t="n"/>
      <c r="V192" s="886" t="n"/>
      <c r="W192" s="1172" t="n"/>
      <c r="X192" s="886" t="n"/>
      <c r="Y192" s="218">
        <f>$CA192</f>
        <v/>
      </c>
      <c r="BD192" s="226" t="n"/>
      <c r="BE192" s="226" t="n"/>
      <c r="BF192" s="226" t="n"/>
      <c r="BG192" s="226" t="n"/>
      <c r="BH192" s="226" t="n"/>
      <c r="BI192" s="226" t="n"/>
      <c r="BJ192" s="226" t="n"/>
      <c r="BK192" s="226" t="n"/>
      <c r="BL192" s="226" t="n"/>
      <c r="BM192" s="226" t="n"/>
      <c r="BN192" s="226" t="n"/>
      <c r="BO192" s="226" t="n"/>
      <c r="BP192" s="226" t="n"/>
      <c r="BQ192" s="226" t="n"/>
      <c r="BR192" s="226" t="n"/>
      <c r="BS192" s="226" t="n"/>
      <c r="BT192" s="226" t="n"/>
      <c r="BU192" s="226" t="n"/>
      <c r="BV192" s="226" t="n"/>
      <c r="BW192" s="226" t="n"/>
      <c r="BX192" s="226" t="n"/>
      <c r="BY192" s="226" t="n"/>
      <c r="BZ192" s="226" t="n"/>
      <c r="CA192" s="219">
        <f>IF(T192+U192+V192+W192+X192&lt;&gt;$B192,"* La suma de "&amp;T$185&amp;""&amp;" no debe ser distinto del Total. ","")</f>
        <v/>
      </c>
      <c r="CB192" s="226" t="n"/>
      <c r="CC192" s="226" t="n"/>
      <c r="CD192" s="226" t="n"/>
      <c r="CK192" s="226" t="n"/>
      <c r="CM192" s="252">
        <f>IF(T192+U192+V192+W192+X192&lt;&gt;$B192,1,0)</f>
        <v/>
      </c>
    </row>
    <row r="193">
      <c r="A193" s="1236" t="inlineStr">
        <is>
          <t>Ortoprotesista</t>
        </is>
      </c>
      <c r="B193" s="1244">
        <f>SUM(C193:S193)</f>
        <v/>
      </c>
      <c r="C193" s="1172" t="n"/>
      <c r="D193" s="2001" t="n"/>
      <c r="E193" s="2001" t="n"/>
      <c r="F193" s="2001" t="n"/>
      <c r="G193" s="2001" t="n"/>
      <c r="H193" s="2001" t="n"/>
      <c r="I193" s="2001" t="n"/>
      <c r="J193" s="2001" t="n"/>
      <c r="K193" s="2001" t="n"/>
      <c r="L193" s="2001" t="n"/>
      <c r="M193" s="2001" t="n"/>
      <c r="N193" s="2001" t="n"/>
      <c r="O193" s="2001" t="n"/>
      <c r="P193" s="2001" t="n"/>
      <c r="Q193" s="2001" t="n"/>
      <c r="R193" s="2001" t="n"/>
      <c r="S193" s="3894" t="n"/>
      <c r="T193" s="887" t="n"/>
      <c r="U193" s="2001" t="n"/>
      <c r="V193" s="886" t="n"/>
      <c r="W193" s="1172" t="n"/>
      <c r="X193" s="886" t="n"/>
      <c r="Y193" s="218">
        <f>$CA193</f>
        <v/>
      </c>
      <c r="BD193" s="226" t="n"/>
      <c r="BE193" s="226" t="n"/>
      <c r="BF193" s="226" t="n"/>
      <c r="BG193" s="226" t="n"/>
      <c r="BH193" s="226" t="n"/>
      <c r="BI193" s="226" t="n"/>
      <c r="BJ193" s="226" t="n"/>
      <c r="BK193" s="226" t="n"/>
      <c r="BL193" s="226" t="n"/>
      <c r="BM193" s="226" t="n"/>
      <c r="BN193" s="226" t="n"/>
      <c r="BO193" s="226" t="n"/>
      <c r="BP193" s="226" t="n"/>
      <c r="BQ193" s="226" t="n"/>
      <c r="BR193" s="226" t="n"/>
      <c r="BS193" s="226" t="n"/>
      <c r="BT193" s="226" t="n"/>
      <c r="BU193" s="226" t="n"/>
      <c r="BV193" s="226" t="n"/>
      <c r="BW193" s="226" t="n"/>
      <c r="BX193" s="226" t="n"/>
      <c r="BY193" s="226" t="n"/>
      <c r="BZ193" s="226" t="n"/>
      <c r="CA193" s="219">
        <f>IF(T193+U193+V193+W193+X193&lt;&gt;$B193,"* La suma de "&amp;T$185&amp;""&amp;" no debe ser distinto del Total. ","")</f>
        <v/>
      </c>
      <c r="CB193" s="226" t="n"/>
      <c r="CC193" s="226" t="n"/>
      <c r="CD193" s="226" t="n"/>
      <c r="CK193" s="226" t="n"/>
      <c r="CM193" s="252">
        <f>IF(T193+U193+V193+W193+X193&lt;&gt;$B193,1,0)</f>
        <v/>
      </c>
    </row>
    <row r="194">
      <c r="A194" s="9233" t="inlineStr">
        <is>
          <t>Enfermera/o</t>
        </is>
      </c>
      <c r="B194" s="3922">
        <f>SUM(C194:S194)</f>
        <v/>
      </c>
      <c r="C194" s="1935" t="n"/>
      <c r="D194" s="793" t="n"/>
      <c r="E194" s="793" t="n"/>
      <c r="F194" s="793" t="n"/>
      <c r="G194" s="793" t="n"/>
      <c r="H194" s="793" t="n"/>
      <c r="I194" s="793" t="n"/>
      <c r="J194" s="793" t="n"/>
      <c r="K194" s="793" t="n"/>
      <c r="L194" s="793" t="n"/>
      <c r="M194" s="793" t="n"/>
      <c r="N194" s="793" t="n"/>
      <c r="O194" s="793" t="n"/>
      <c r="P194" s="793" t="n"/>
      <c r="Q194" s="793" t="n"/>
      <c r="R194" s="793" t="n"/>
      <c r="S194" s="4002" t="n"/>
      <c r="T194" s="159" t="n"/>
      <c r="U194" s="155" t="n"/>
      <c r="V194" s="183" t="n"/>
      <c r="W194" s="2644" t="n"/>
      <c r="X194" s="183" t="n"/>
      <c r="Y194" s="218">
        <f>$CA194</f>
        <v/>
      </c>
      <c r="BD194" s="226" t="n"/>
      <c r="BE194" s="226" t="n"/>
      <c r="BF194" s="226" t="n"/>
      <c r="BG194" s="226" t="n"/>
      <c r="BH194" s="226" t="n"/>
      <c r="BI194" s="226" t="n"/>
      <c r="BJ194" s="226" t="n"/>
      <c r="BK194" s="226" t="n"/>
      <c r="BL194" s="226" t="n"/>
      <c r="BM194" s="226" t="n"/>
      <c r="BN194" s="226" t="n"/>
      <c r="BO194" s="226" t="n"/>
      <c r="BP194" s="226" t="n"/>
      <c r="BQ194" s="226" t="n"/>
      <c r="BR194" s="226" t="n"/>
      <c r="BS194" s="226" t="n"/>
      <c r="BT194" s="226" t="n"/>
      <c r="BU194" s="226" t="n"/>
      <c r="BV194" s="226" t="n"/>
      <c r="BW194" s="226" t="n"/>
      <c r="BX194" s="226" t="n"/>
      <c r="BY194" s="226" t="n"/>
      <c r="BZ194" s="226" t="n"/>
      <c r="CA194" s="219">
        <f>IF(T194+U194+V194+W194+X194&lt;&gt;$B194,"* La suma de "&amp;T$185&amp;""&amp;" no debe ser distinto del Total. ","")</f>
        <v/>
      </c>
      <c r="CB194" s="226" t="n"/>
      <c r="CC194" s="226" t="n"/>
      <c r="CD194" s="226" t="n"/>
      <c r="CK194" s="226" t="n"/>
      <c r="CM194" s="252">
        <f>IF(T194+U194+V194+W194+X194&lt;&gt;$B194,1,0)</f>
        <v/>
      </c>
    </row>
    <row r="195">
      <c r="A195" s="4275" t="inlineStr">
        <is>
          <t>TOTAL</t>
        </is>
      </c>
      <c r="B195" s="4276">
        <f>SUM(B188:B194)</f>
        <v/>
      </c>
      <c r="C195" s="4214">
        <f>SUM(C188:C194)</f>
        <v/>
      </c>
      <c r="D195" s="4215">
        <f>SUM(D188:D194)</f>
        <v/>
      </c>
      <c r="E195" s="4215">
        <f>SUM(E188:E194)</f>
        <v/>
      </c>
      <c r="F195" s="4215">
        <f>SUM(F188:F194)</f>
        <v/>
      </c>
      <c r="G195" s="4215">
        <f>SUM(G188:G194)</f>
        <v/>
      </c>
      <c r="H195" s="4215">
        <f>SUM(H188:H194)</f>
        <v/>
      </c>
      <c r="I195" s="4215">
        <f>SUM(I188:I194)</f>
        <v/>
      </c>
      <c r="J195" s="4215">
        <f>SUM(J188:J194)</f>
        <v/>
      </c>
      <c r="K195" s="4215">
        <f>SUM(K188:K194)</f>
        <v/>
      </c>
      <c r="L195" s="4215">
        <f>SUM(L188:L194)</f>
        <v/>
      </c>
      <c r="M195" s="4215">
        <f>SUM(M188:M194)</f>
        <v/>
      </c>
      <c r="N195" s="4215">
        <f>SUM(N188:N194)</f>
        <v/>
      </c>
      <c r="O195" s="4215">
        <f>SUM(O188:O194)</f>
        <v/>
      </c>
      <c r="P195" s="4215">
        <f>SUM(P188:P194)</f>
        <v/>
      </c>
      <c r="Q195" s="4215">
        <f>SUM(Q188:Q194)</f>
        <v/>
      </c>
      <c r="R195" s="4215">
        <f>SUM(R188:R194)</f>
        <v/>
      </c>
      <c r="S195" s="4216">
        <f>SUM(S188:S194)</f>
        <v/>
      </c>
      <c r="T195" s="178">
        <f>SUM(T188:T194)</f>
        <v/>
      </c>
      <c r="U195" s="177">
        <f>SUM(U188:U194)</f>
        <v/>
      </c>
      <c r="V195" s="8544">
        <f>SUM(V188:V194)</f>
        <v/>
      </c>
      <c r="W195" s="8543">
        <f>SUM(W188:W194)</f>
        <v/>
      </c>
      <c r="X195" s="8544">
        <f>SUM(X188:X194)</f>
        <v/>
      </c>
      <c r="CK195" s="20" t="n"/>
    </row>
    <row r="196" ht="18" customHeight="1" s="8286">
      <c r="A196" s="2" t="inlineStr">
        <is>
          <t>SECCIÓN B.3: EVALUACIÓN INTERMEDIA</t>
        </is>
      </c>
      <c r="B196" s="7" t="n"/>
      <c r="C196" s="7" t="n"/>
      <c r="D196" s="7" t="n"/>
      <c r="E196" s="7" t="n"/>
      <c r="F196" s="7" t="n"/>
      <c r="G196" s="7" t="n"/>
      <c r="H196" s="7" t="n"/>
      <c r="I196" s="7" t="n"/>
      <c r="J196" s="7" t="n"/>
      <c r="K196" s="7" t="n"/>
      <c r="L196" s="7" t="n"/>
      <c r="M196" s="7" t="n"/>
      <c r="N196" s="7" t="n"/>
      <c r="O196" s="7" t="n"/>
      <c r="P196" s="7" t="n"/>
      <c r="Q196" s="7" t="n"/>
      <c r="R196" s="7" t="n"/>
      <c r="S196" s="7" t="n"/>
      <c r="T196" s="7" t="n"/>
      <c r="U196" s="7" t="n"/>
      <c r="V196" s="7" t="n"/>
      <c r="W196" s="7" t="n"/>
      <c r="X196" s="7" t="n"/>
      <c r="CK196" s="20" t="n"/>
    </row>
    <row r="197">
      <c r="A197" s="10247" t="inlineStr">
        <is>
          <t>PROFESIONAL</t>
        </is>
      </c>
      <c r="B197" s="10581" t="inlineStr">
        <is>
          <t>TOTAL</t>
        </is>
      </c>
      <c r="C197" s="10582" t="inlineStr">
        <is>
          <t>RANGO ETARIO</t>
        </is>
      </c>
      <c r="D197" s="9602" t="n"/>
      <c r="E197" s="9602" t="n"/>
      <c r="F197" s="9602" t="n"/>
      <c r="G197" s="9602" t="n"/>
      <c r="H197" s="9602" t="n"/>
      <c r="I197" s="9602" t="n"/>
      <c r="J197" s="9602" t="n"/>
      <c r="K197" s="9602" t="n"/>
      <c r="L197" s="9602" t="n"/>
      <c r="M197" s="9602" t="n"/>
      <c r="N197" s="9602" t="n"/>
      <c r="O197" s="9602" t="n"/>
      <c r="P197" s="9602" t="n"/>
      <c r="Q197" s="9602" t="n"/>
      <c r="R197" s="9602" t="n"/>
      <c r="S197" s="9886" t="n"/>
      <c r="T197" s="10584" t="inlineStr">
        <is>
          <t>TIPO ATENCIÓN</t>
        </is>
      </c>
      <c r="U197" s="9617" t="n"/>
      <c r="V197" s="9617" t="n"/>
      <c r="W197" s="9617" t="n"/>
      <c r="X197" s="9648" t="n"/>
      <c r="CK197" s="20" t="n"/>
    </row>
    <row r="198">
      <c r="A198" s="9588" t="n"/>
      <c r="B198" s="9588" t="n"/>
      <c r="C198" s="9698" t="n"/>
      <c r="D198" s="9591" t="n"/>
      <c r="E198" s="9591" t="n"/>
      <c r="F198" s="9591" t="n"/>
      <c r="G198" s="9591" t="n"/>
      <c r="H198" s="9591" t="n"/>
      <c r="I198" s="9591" t="n"/>
      <c r="J198" s="9591" t="n"/>
      <c r="K198" s="9591" t="n"/>
      <c r="L198" s="9591" t="n"/>
      <c r="M198" s="9591" t="n"/>
      <c r="N198" s="9591" t="n"/>
      <c r="O198" s="9591" t="n"/>
      <c r="P198" s="9591" t="n"/>
      <c r="Q198" s="9591" t="n"/>
      <c r="R198" s="9591" t="n"/>
      <c r="S198" s="9865" t="n"/>
      <c r="T198" s="10585" t="inlineStr">
        <is>
          <t>Abierta</t>
        </is>
      </c>
      <c r="U198" s="9602" t="n"/>
      <c r="V198" s="9603" t="n"/>
      <c r="W198" s="10572" t="inlineStr">
        <is>
          <t>Cerrada</t>
        </is>
      </c>
      <c r="X198" s="9582" t="n"/>
      <c r="CK198" s="20" t="n"/>
    </row>
    <row r="199" ht="31.5" customHeight="1" s="8286">
      <c r="A199" s="9589" t="n"/>
      <c r="B199" s="9589" t="n"/>
      <c r="C199" s="4206" t="inlineStr">
        <is>
          <t>0 - 4 años</t>
        </is>
      </c>
      <c r="D199" s="4207" t="inlineStr">
        <is>
          <t>5 - 9 años</t>
        </is>
      </c>
      <c r="E199" s="4207" t="inlineStr">
        <is>
          <t>10 - 14 años</t>
        </is>
      </c>
      <c r="F199" s="4207" t="inlineStr">
        <is>
          <t>15 - 19 años</t>
        </is>
      </c>
      <c r="G199" s="4207" t="inlineStr">
        <is>
          <t>20 - 24 años</t>
        </is>
      </c>
      <c r="H199" s="4207" t="inlineStr">
        <is>
          <t>25-29 años</t>
        </is>
      </c>
      <c r="I199" s="4207" t="inlineStr">
        <is>
          <t>30-34 años</t>
        </is>
      </c>
      <c r="J199" s="4207" t="inlineStr">
        <is>
          <t>35 - 39 años</t>
        </is>
      </c>
      <c r="K199" s="4207" t="inlineStr">
        <is>
          <t>40 - 44 años</t>
        </is>
      </c>
      <c r="L199" s="4207" t="inlineStr">
        <is>
          <t>45- 49 años</t>
        </is>
      </c>
      <c r="M199" s="4207" t="inlineStr">
        <is>
          <t>50 - 54 años</t>
        </is>
      </c>
      <c r="N199" s="4207" t="inlineStr">
        <is>
          <t>55 - 59 años</t>
        </is>
      </c>
      <c r="O199" s="4207" t="inlineStr">
        <is>
          <t>60 - 64 años</t>
        </is>
      </c>
      <c r="P199" s="4207" t="inlineStr">
        <is>
          <t>65 - 69 años</t>
        </is>
      </c>
      <c r="Q199" s="4207" t="inlineStr">
        <is>
          <t>70 - 74 años</t>
        </is>
      </c>
      <c r="R199" s="4207" t="inlineStr">
        <is>
          <t>75 - 79 años</t>
        </is>
      </c>
      <c r="S199" s="4208" t="inlineStr">
        <is>
          <t>80 y más años</t>
        </is>
      </c>
      <c r="T199" s="4194" t="inlineStr">
        <is>
          <t xml:space="preserve">Presencial </t>
        </is>
      </c>
      <c r="U199" s="4273" t="inlineStr">
        <is>
          <t>A Distancia</t>
        </is>
      </c>
      <c r="V199" s="4274" t="inlineStr">
        <is>
          <t xml:space="preserve">Domiciliaria </t>
        </is>
      </c>
      <c r="W199" s="4210" t="inlineStr">
        <is>
          <t>UPC</t>
        </is>
      </c>
      <c r="X199" s="4274" t="inlineStr">
        <is>
          <t>Cuidados Medios y Básicos</t>
        </is>
      </c>
      <c r="Y199" s="6" t="n"/>
      <c r="CK199" s="20" t="n"/>
    </row>
    <row r="200">
      <c r="A200" s="4195" t="inlineStr">
        <is>
          <t>Kinesiólogo/a</t>
        </is>
      </c>
      <c r="B200" s="2557">
        <f>SUM(C200:S200)</f>
        <v/>
      </c>
      <c r="C200" s="1172" t="n"/>
      <c r="D200" s="2001" t="n"/>
      <c r="E200" s="2001" t="n"/>
      <c r="F200" s="2001" t="n"/>
      <c r="G200" s="2001" t="n"/>
      <c r="H200" s="2001" t="n"/>
      <c r="I200" s="2001" t="n"/>
      <c r="J200" s="2001" t="n"/>
      <c r="K200" s="2001" t="n"/>
      <c r="L200" s="2001" t="n"/>
      <c r="M200" s="2001" t="n"/>
      <c r="N200" s="2001" t="n"/>
      <c r="O200" s="2001" t="n"/>
      <c r="P200" s="2001" t="n"/>
      <c r="Q200" s="2001" t="n"/>
      <c r="R200" s="2001" t="n"/>
      <c r="S200" s="3894" t="n"/>
      <c r="T200" s="3263" t="n"/>
      <c r="U200" s="835" t="n"/>
      <c r="V200" s="2337" t="n"/>
      <c r="W200" s="4235" t="n"/>
      <c r="X200" s="2337" t="n"/>
      <c r="Y200" s="218">
        <f>$CA200</f>
        <v/>
      </c>
      <c r="BD200" s="226" t="n"/>
      <c r="BE200" s="226" t="n"/>
      <c r="BF200" s="226" t="n"/>
      <c r="BG200" s="226" t="n"/>
      <c r="BH200" s="226" t="n"/>
      <c r="BI200" s="226" t="n"/>
      <c r="BJ200" s="226" t="n"/>
      <c r="BK200" s="226" t="n"/>
      <c r="BL200" s="226" t="n"/>
      <c r="BM200" s="226" t="n"/>
      <c r="BN200" s="226" t="n"/>
      <c r="BO200" s="226" t="n"/>
      <c r="BP200" s="226" t="n"/>
      <c r="BQ200" s="226" t="n"/>
      <c r="BR200" s="226" t="n"/>
      <c r="BS200" s="226" t="n"/>
      <c r="BT200" s="226" t="n"/>
      <c r="BU200" s="226" t="n"/>
      <c r="BV200" s="226" t="n"/>
      <c r="BW200" s="226" t="n"/>
      <c r="BX200" s="226" t="n"/>
      <c r="BY200" s="226" t="n"/>
      <c r="BZ200" s="226" t="n"/>
      <c r="CA200" s="219">
        <f>IF(T200+U200+V200+W200+X200&lt;&gt;$B200,"* La suma de "&amp;T$185&amp;""&amp;" no debe ser distinto del Total. ","")</f>
        <v/>
      </c>
      <c r="CB200" s="226" t="n"/>
      <c r="CC200" s="226" t="n"/>
      <c r="CD200" s="226" t="n"/>
      <c r="CK200" s="226" t="n"/>
      <c r="CM200" s="252">
        <f>IF(T200+U200+V200+W200+X200&lt;&gt;$B200,1,0)</f>
        <v/>
      </c>
    </row>
    <row r="201">
      <c r="A201" s="1934" t="inlineStr">
        <is>
          <t>Terapeuta ocupacional</t>
        </is>
      </c>
      <c r="B201" s="1244">
        <f>SUM(C201:S201)</f>
        <v/>
      </c>
      <c r="C201" s="1172" t="n"/>
      <c r="D201" s="2001" t="n"/>
      <c r="E201" s="2001" t="n"/>
      <c r="F201" s="2001" t="n"/>
      <c r="G201" s="2001" t="n"/>
      <c r="H201" s="2001" t="n"/>
      <c r="I201" s="2001" t="n"/>
      <c r="J201" s="2001" t="n"/>
      <c r="K201" s="2001" t="n"/>
      <c r="L201" s="2001" t="n"/>
      <c r="M201" s="2001" t="n"/>
      <c r="N201" s="2001" t="n"/>
      <c r="O201" s="2001" t="n"/>
      <c r="P201" s="2001" t="n"/>
      <c r="Q201" s="2001" t="n"/>
      <c r="R201" s="2001" t="n"/>
      <c r="S201" s="3894" t="n"/>
      <c r="T201" s="887" t="n"/>
      <c r="U201" s="2001" t="n"/>
      <c r="V201" s="886" t="n"/>
      <c r="W201" s="1172" t="n"/>
      <c r="X201" s="886" t="n"/>
      <c r="Y201" s="218">
        <f>$CA201</f>
        <v/>
      </c>
      <c r="BD201" s="226" t="n"/>
      <c r="BE201" s="226" t="n"/>
      <c r="BF201" s="226" t="n"/>
      <c r="BG201" s="226" t="n"/>
      <c r="BH201" s="226" t="n"/>
      <c r="BI201" s="226" t="n"/>
      <c r="BJ201" s="226" t="n"/>
      <c r="BK201" s="226" t="n"/>
      <c r="BL201" s="226" t="n"/>
      <c r="BM201" s="226" t="n"/>
      <c r="BN201" s="226" t="n"/>
      <c r="BO201" s="226" t="n"/>
      <c r="BP201" s="226" t="n"/>
      <c r="BQ201" s="226" t="n"/>
      <c r="BR201" s="226" t="n"/>
      <c r="BS201" s="226" t="n"/>
      <c r="BT201" s="226" t="n"/>
      <c r="BU201" s="226" t="n"/>
      <c r="BV201" s="226" t="n"/>
      <c r="BW201" s="226" t="n"/>
      <c r="BX201" s="226" t="n"/>
      <c r="BY201" s="226" t="n"/>
      <c r="BZ201" s="226" t="n"/>
      <c r="CA201" s="219">
        <f>IF(T201+U201+V201+W201+X201&lt;&gt;$B201,"* La suma de "&amp;T$185&amp;""&amp;" no debe ser distinto del Total. ","")</f>
        <v/>
      </c>
      <c r="CB201" s="226" t="n"/>
      <c r="CC201" s="226" t="n"/>
      <c r="CD201" s="226" t="n"/>
      <c r="CK201" s="226" t="n"/>
      <c r="CM201" s="252">
        <f>IF(T201+U201+V201+W201+X201&lt;&gt;$B201,1,0)</f>
        <v/>
      </c>
    </row>
    <row r="202">
      <c r="A202" s="1934" t="inlineStr">
        <is>
          <t>Fonoadiólogo/a</t>
        </is>
      </c>
      <c r="B202" s="1244">
        <f>SUM(C202:S202)</f>
        <v/>
      </c>
      <c r="C202" s="1172" t="n"/>
      <c r="D202" s="2001" t="n"/>
      <c r="E202" s="2001" t="n"/>
      <c r="F202" s="2001" t="n"/>
      <c r="G202" s="2001" t="n"/>
      <c r="H202" s="2001" t="n"/>
      <c r="I202" s="2001" t="n"/>
      <c r="J202" s="2001" t="n"/>
      <c r="K202" s="2001" t="n"/>
      <c r="L202" s="2001" t="n"/>
      <c r="M202" s="2001" t="n"/>
      <c r="N202" s="2001" t="n"/>
      <c r="O202" s="2001" t="n"/>
      <c r="P202" s="2001" t="n"/>
      <c r="Q202" s="2001" t="n"/>
      <c r="R202" s="2001" t="n"/>
      <c r="S202" s="3894" t="n"/>
      <c r="T202" s="887" t="n"/>
      <c r="U202" s="2001" t="n"/>
      <c r="V202" s="886" t="n"/>
      <c r="W202" s="1172" t="n"/>
      <c r="X202" s="886" t="n"/>
      <c r="Y202" s="218">
        <f>$CA202</f>
        <v/>
      </c>
      <c r="BD202" s="226" t="n"/>
      <c r="BE202" s="226" t="n"/>
      <c r="BF202" s="226" t="n"/>
      <c r="BG202" s="226" t="n"/>
      <c r="BH202" s="226" t="n"/>
      <c r="BI202" s="226" t="n"/>
      <c r="BJ202" s="226" t="n"/>
      <c r="BK202" s="226" t="n"/>
      <c r="BL202" s="226" t="n"/>
      <c r="BM202" s="226" t="n"/>
      <c r="BN202" s="226" t="n"/>
      <c r="BO202" s="226" t="n"/>
      <c r="BP202" s="226" t="n"/>
      <c r="BQ202" s="226" t="n"/>
      <c r="BR202" s="226" t="n"/>
      <c r="BS202" s="226" t="n"/>
      <c r="BT202" s="226" t="n"/>
      <c r="BU202" s="226" t="n"/>
      <c r="BV202" s="226" t="n"/>
      <c r="BW202" s="226" t="n"/>
      <c r="BX202" s="226" t="n"/>
      <c r="BY202" s="226" t="n"/>
      <c r="BZ202" s="226" t="n"/>
      <c r="CA202" s="219">
        <f>IF(T202+U202+V202+W202+X202&lt;&gt;$B202,"* La suma de "&amp;T$185&amp;""&amp;" no debe ser distinto del Total. ","")</f>
        <v/>
      </c>
      <c r="CB202" s="226" t="n"/>
      <c r="CC202" s="226" t="n"/>
      <c r="CD202" s="226" t="n"/>
      <c r="CK202" s="226" t="n"/>
      <c r="CM202" s="252">
        <f>IF(T202+U202+V202+W202+X202&lt;&gt;$B202,1,0)</f>
        <v/>
      </c>
    </row>
    <row r="203">
      <c r="A203" s="8053" t="inlineStr">
        <is>
          <t>Psicólogo/a</t>
        </is>
      </c>
      <c r="B203" s="1244">
        <f>SUM(C203:S203)</f>
        <v/>
      </c>
      <c r="C203" s="1172" t="n"/>
      <c r="D203" s="2001" t="n"/>
      <c r="E203" s="2001" t="n"/>
      <c r="F203" s="2001" t="n"/>
      <c r="G203" s="2001" t="n"/>
      <c r="H203" s="2001" t="n"/>
      <c r="I203" s="2001" t="n"/>
      <c r="J203" s="2001" t="n"/>
      <c r="K203" s="2001" t="n"/>
      <c r="L203" s="2001" t="n"/>
      <c r="M203" s="2001" t="n"/>
      <c r="N203" s="2001" t="n"/>
      <c r="O203" s="2001" t="n"/>
      <c r="P203" s="2001" t="n"/>
      <c r="Q203" s="2001" t="n"/>
      <c r="R203" s="2001" t="n"/>
      <c r="S203" s="3894" t="n"/>
      <c r="T203" s="887" t="n"/>
      <c r="U203" s="2001" t="n"/>
      <c r="V203" s="886" t="n"/>
      <c r="W203" s="1172" t="n"/>
      <c r="X203" s="886" t="n"/>
      <c r="Y203" s="218">
        <f>$CA203</f>
        <v/>
      </c>
      <c r="BD203" s="226" t="n"/>
      <c r="BE203" s="226" t="n"/>
      <c r="BF203" s="226" t="n"/>
      <c r="BG203" s="226" t="n"/>
      <c r="BH203" s="226" t="n"/>
      <c r="BI203" s="226" t="n"/>
      <c r="BJ203" s="226" t="n"/>
      <c r="BK203" s="226" t="n"/>
      <c r="BL203" s="226" t="n"/>
      <c r="BM203" s="226" t="n"/>
      <c r="BN203" s="226" t="n"/>
      <c r="BO203" s="226" t="n"/>
      <c r="BP203" s="226" t="n"/>
      <c r="BQ203" s="226" t="n"/>
      <c r="BR203" s="226" t="n"/>
      <c r="BS203" s="226" t="n"/>
      <c r="BT203" s="226" t="n"/>
      <c r="BU203" s="226" t="n"/>
      <c r="BV203" s="226" t="n"/>
      <c r="BW203" s="226" t="n"/>
      <c r="BX203" s="226" t="n"/>
      <c r="BY203" s="226" t="n"/>
      <c r="BZ203" s="226" t="n"/>
      <c r="CA203" s="219">
        <f>IF(T203+U203+V203+W203+X203&lt;&gt;$B203,"* La suma de "&amp;T$185&amp;""&amp;" no debe ser distinto del Total. ","")</f>
        <v/>
      </c>
      <c r="CB203" s="226" t="n"/>
      <c r="CC203" s="226" t="n"/>
      <c r="CD203" s="226" t="n"/>
      <c r="CK203" s="226" t="n"/>
      <c r="CM203" s="252">
        <f>IF(T203+U203+V203+W203+X203&lt;&gt;$B203,1,0)</f>
        <v/>
      </c>
    </row>
    <row r="204">
      <c r="A204" s="1236" t="inlineStr">
        <is>
          <t>Ortoprotesista</t>
        </is>
      </c>
      <c r="B204" s="1244">
        <f>SUM(C204:S204)</f>
        <v/>
      </c>
      <c r="C204" s="1172" t="n"/>
      <c r="D204" s="2001" t="n"/>
      <c r="E204" s="2001" t="n"/>
      <c r="F204" s="2001" t="n"/>
      <c r="G204" s="2001" t="n"/>
      <c r="H204" s="2001" t="n"/>
      <c r="I204" s="2001" t="n"/>
      <c r="J204" s="2001" t="n"/>
      <c r="K204" s="2001" t="n"/>
      <c r="L204" s="2001" t="n"/>
      <c r="M204" s="2001" t="n"/>
      <c r="N204" s="2001" t="n"/>
      <c r="O204" s="2001" t="n"/>
      <c r="P204" s="2001" t="n"/>
      <c r="Q204" s="2001" t="n"/>
      <c r="R204" s="2001" t="n"/>
      <c r="S204" s="3894" t="n"/>
      <c r="T204" s="887" t="n"/>
      <c r="U204" s="2001" t="n"/>
      <c r="V204" s="886" t="n"/>
      <c r="W204" s="1172" t="n"/>
      <c r="X204" s="886" t="n"/>
      <c r="Y204" s="218">
        <f>$CA204</f>
        <v/>
      </c>
      <c r="BD204" s="226" t="n"/>
      <c r="BE204" s="226" t="n"/>
      <c r="BF204" s="226" t="n"/>
      <c r="BG204" s="226" t="n"/>
      <c r="BH204" s="226" t="n"/>
      <c r="BI204" s="226" t="n"/>
      <c r="BJ204" s="226" t="n"/>
      <c r="BK204" s="226" t="n"/>
      <c r="BL204" s="226" t="n"/>
      <c r="BM204" s="226" t="n"/>
      <c r="BN204" s="226" t="n"/>
      <c r="BO204" s="226" t="n"/>
      <c r="BP204" s="226" t="n"/>
      <c r="BQ204" s="226" t="n"/>
      <c r="BR204" s="226" t="n"/>
      <c r="BS204" s="226" t="n"/>
      <c r="BT204" s="226" t="n"/>
      <c r="BU204" s="226" t="n"/>
      <c r="BV204" s="226" t="n"/>
      <c r="BW204" s="226" t="n"/>
      <c r="BX204" s="226" t="n"/>
      <c r="BY204" s="226" t="n"/>
      <c r="BZ204" s="226" t="n"/>
      <c r="CA204" s="219">
        <f>IF(T204+U204+V204+W204+X204&lt;&gt;$B204,"* La suma de "&amp;T$185&amp;""&amp;" no debe ser distinto del Total. ","")</f>
        <v/>
      </c>
      <c r="CB204" s="226" t="n"/>
      <c r="CC204" s="226" t="n"/>
      <c r="CD204" s="226" t="n"/>
      <c r="CK204" s="226" t="n"/>
      <c r="CM204" s="252">
        <f>IF(T204+U204+V204+W204+X204&lt;&gt;$B204,1,0)</f>
        <v/>
      </c>
    </row>
    <row r="205">
      <c r="A205" s="1236" t="inlineStr">
        <is>
          <t>Trabajador/a Social</t>
        </is>
      </c>
      <c r="B205" s="682">
        <f>SUM(C205:S205)</f>
        <v/>
      </c>
      <c r="C205" s="1172" t="n"/>
      <c r="D205" s="2001" t="n"/>
      <c r="E205" s="2001" t="n"/>
      <c r="F205" s="2001" t="n"/>
      <c r="G205" s="2001" t="n"/>
      <c r="H205" s="2001" t="n"/>
      <c r="I205" s="2001" t="n"/>
      <c r="J205" s="2001" t="n"/>
      <c r="K205" s="2001" t="n"/>
      <c r="L205" s="2001" t="n"/>
      <c r="M205" s="2001" t="n"/>
      <c r="N205" s="2001" t="n"/>
      <c r="O205" s="2001" t="n"/>
      <c r="P205" s="2001" t="n"/>
      <c r="Q205" s="2001" t="n"/>
      <c r="R205" s="2001" t="n"/>
      <c r="S205" s="3894" t="n"/>
      <c r="T205" s="159" t="n"/>
      <c r="U205" s="155" t="n"/>
      <c r="V205" s="183" t="n"/>
      <c r="W205" s="2644" t="n"/>
      <c r="X205" s="183" t="n"/>
      <c r="Y205" s="218">
        <f>$CA205</f>
        <v/>
      </c>
      <c r="BD205" s="226" t="n"/>
      <c r="BE205" s="226" t="n"/>
      <c r="BF205" s="226" t="n"/>
      <c r="BG205" s="226" t="n"/>
      <c r="BH205" s="226" t="n"/>
      <c r="BI205" s="226" t="n"/>
      <c r="BJ205" s="226" t="n"/>
      <c r="BK205" s="226" t="n"/>
      <c r="BL205" s="226" t="n"/>
      <c r="BM205" s="226" t="n"/>
      <c r="BN205" s="226" t="n"/>
      <c r="BO205" s="226" t="n"/>
      <c r="BP205" s="226" t="n"/>
      <c r="BQ205" s="226" t="n"/>
      <c r="BR205" s="226" t="n"/>
      <c r="BS205" s="226" t="n"/>
      <c r="BT205" s="226" t="n"/>
      <c r="BU205" s="226" t="n"/>
      <c r="BV205" s="226" t="n"/>
      <c r="BW205" s="226" t="n"/>
      <c r="BX205" s="226" t="n"/>
      <c r="BY205" s="226" t="n"/>
      <c r="BZ205" s="226" t="n"/>
      <c r="CA205" s="219">
        <f>IF(T205+U205+V205+W205+X205&lt;&gt;$B205,"* La suma de "&amp;T$185&amp;""&amp;" no debe ser distinto del Total. ","")</f>
        <v/>
      </c>
      <c r="CB205" s="226" t="n"/>
      <c r="CC205" s="226" t="n"/>
      <c r="CD205" s="226" t="n"/>
      <c r="CK205" s="226" t="n"/>
      <c r="CM205" s="252">
        <f>IF(T205+U205+V205+W205+X205&lt;&gt;$B205,1,0)</f>
        <v/>
      </c>
    </row>
    <row r="206">
      <c r="A206" s="4230" t="inlineStr">
        <is>
          <t>TOTAL</t>
        </is>
      </c>
      <c r="B206" s="4276">
        <f>SUM(B200:B205)</f>
        <v/>
      </c>
      <c r="C206" s="4214">
        <f>SUM(C200:C205)</f>
        <v/>
      </c>
      <c r="D206" s="4215">
        <f>SUM(D200:D205)</f>
        <v/>
      </c>
      <c r="E206" s="4215">
        <f>SUM(E200:E205)</f>
        <v/>
      </c>
      <c r="F206" s="4215">
        <f>SUM(F200:F205)</f>
        <v/>
      </c>
      <c r="G206" s="4215">
        <f>SUM(G200:G205)</f>
        <v/>
      </c>
      <c r="H206" s="4215">
        <f>SUM(H200:H205)</f>
        <v/>
      </c>
      <c r="I206" s="4215">
        <f>SUM(I200:I205)</f>
        <v/>
      </c>
      <c r="J206" s="4215">
        <f>SUM(J200:J205)</f>
        <v/>
      </c>
      <c r="K206" s="4215">
        <f>SUM(K200:K205)</f>
        <v/>
      </c>
      <c r="L206" s="4215">
        <f>SUM(L200:L205)</f>
        <v/>
      </c>
      <c r="M206" s="4215">
        <f>SUM(M200:M205)</f>
        <v/>
      </c>
      <c r="N206" s="4215">
        <f>SUM(N200:N205)</f>
        <v/>
      </c>
      <c r="O206" s="4215">
        <f>SUM(O200:O205)</f>
        <v/>
      </c>
      <c r="P206" s="4215">
        <f>SUM(P200:P205)</f>
        <v/>
      </c>
      <c r="Q206" s="4215">
        <f>SUM(Q200:Q205)</f>
        <v/>
      </c>
      <c r="R206" s="4215">
        <f>SUM(R200:R205)</f>
        <v/>
      </c>
      <c r="S206" s="4216">
        <f>SUM(S200:S205)</f>
        <v/>
      </c>
      <c r="T206" s="4277">
        <f>SUM(T200:T205)</f>
        <v/>
      </c>
      <c r="U206" s="4278">
        <f>SUM(U200:U205)</f>
        <v/>
      </c>
      <c r="V206" s="4279">
        <f>SUM(V200:V205)</f>
        <v/>
      </c>
      <c r="W206" s="4280">
        <f>SUM(W200:W205)</f>
        <v/>
      </c>
      <c r="X206" s="4279">
        <f>SUM(X200:X205)</f>
        <v/>
      </c>
      <c r="CK206" s="20" t="n"/>
    </row>
    <row r="207" ht="18" customHeight="1" s="8286">
      <c r="A207" s="2" t="inlineStr">
        <is>
          <t>SECCIÓN B.4: SESIONES DE REHABILITACIÓN</t>
        </is>
      </c>
      <c r="B207" s="7" t="n"/>
      <c r="C207" s="7" t="n"/>
      <c r="D207" s="7" t="n"/>
      <c r="E207" s="7" t="n"/>
      <c r="F207" s="7" t="n"/>
      <c r="G207" s="7" t="n"/>
      <c r="H207" s="7" t="n"/>
      <c r="I207" s="7" t="n"/>
      <c r="J207" s="7" t="n"/>
      <c r="K207" s="7" t="n"/>
      <c r="L207" s="7" t="n"/>
      <c r="M207" s="7" t="n"/>
      <c r="N207" s="7" t="n"/>
      <c r="O207" s="7" t="n"/>
      <c r="P207" s="7" t="n"/>
      <c r="Q207" s="7" t="n"/>
      <c r="R207" s="7" t="n"/>
      <c r="S207" s="7" t="n"/>
      <c r="T207" s="7" t="n"/>
      <c r="U207" s="7" t="n"/>
      <c r="V207" s="7" t="n"/>
      <c r="W207" s="7" t="n"/>
      <c r="X207" s="7" t="n"/>
      <c r="CK207" s="20" t="n"/>
    </row>
    <row r="208">
      <c r="A208" s="10247" t="inlineStr">
        <is>
          <t>PROFESIONAL</t>
        </is>
      </c>
      <c r="B208" s="10581" t="inlineStr">
        <is>
          <t>TOTAL</t>
        </is>
      </c>
      <c r="C208" s="10582" t="inlineStr">
        <is>
          <t>RANGO ETARIO</t>
        </is>
      </c>
      <c r="D208" s="9602" t="n"/>
      <c r="E208" s="9602" t="n"/>
      <c r="F208" s="9602" t="n"/>
      <c r="G208" s="9602" t="n"/>
      <c r="H208" s="9602" t="n"/>
      <c r="I208" s="9602" t="n"/>
      <c r="J208" s="9602" t="n"/>
      <c r="K208" s="9602" t="n"/>
      <c r="L208" s="9602" t="n"/>
      <c r="M208" s="9602" t="n"/>
      <c r="N208" s="9602" t="n"/>
      <c r="O208" s="9602" t="n"/>
      <c r="P208" s="9602" t="n"/>
      <c r="Q208" s="9602" t="n"/>
      <c r="R208" s="9602" t="n"/>
      <c r="S208" s="9886" t="n"/>
      <c r="T208" s="10584" t="inlineStr">
        <is>
          <t>TIPO ATENCIÓN</t>
        </is>
      </c>
      <c r="U208" s="9617" t="n"/>
      <c r="V208" s="9617" t="n"/>
      <c r="W208" s="9617" t="n"/>
      <c r="X208" s="9648" t="n"/>
      <c r="CK208" s="20" t="n"/>
    </row>
    <row r="209">
      <c r="A209" s="9588" t="n"/>
      <c r="B209" s="9588" t="n"/>
      <c r="C209" s="9698" t="n"/>
      <c r="D209" s="9591" t="n"/>
      <c r="E209" s="9591" t="n"/>
      <c r="F209" s="9591" t="n"/>
      <c r="G209" s="9591" t="n"/>
      <c r="H209" s="9591" t="n"/>
      <c r="I209" s="9591" t="n"/>
      <c r="J209" s="9591" t="n"/>
      <c r="K209" s="9591" t="n"/>
      <c r="L209" s="9591" t="n"/>
      <c r="M209" s="9591" t="n"/>
      <c r="N209" s="9591" t="n"/>
      <c r="O209" s="9591" t="n"/>
      <c r="P209" s="9591" t="n"/>
      <c r="Q209" s="9591" t="n"/>
      <c r="R209" s="9591" t="n"/>
      <c r="S209" s="9865" t="n"/>
      <c r="T209" s="10585" t="inlineStr">
        <is>
          <t>Abierta</t>
        </is>
      </c>
      <c r="U209" s="9602" t="n"/>
      <c r="V209" s="9603" t="n"/>
      <c r="W209" s="10572" t="inlineStr">
        <is>
          <t>Cerrada</t>
        </is>
      </c>
      <c r="X209" s="9582" t="n"/>
      <c r="CK209" s="20" t="n"/>
    </row>
    <row r="210" ht="31.5" customHeight="1" s="8286">
      <c r="A210" s="9589" t="n"/>
      <c r="B210" s="9589" t="n"/>
      <c r="C210" s="4206" t="inlineStr">
        <is>
          <t>0 - 4 años</t>
        </is>
      </c>
      <c r="D210" s="4207" t="inlineStr">
        <is>
          <t>5 - 9 años</t>
        </is>
      </c>
      <c r="E210" s="4207" t="inlineStr">
        <is>
          <t>10 - 14 años</t>
        </is>
      </c>
      <c r="F210" s="4207" t="inlineStr">
        <is>
          <t>15 - 19 años</t>
        </is>
      </c>
      <c r="G210" s="4207" t="inlineStr">
        <is>
          <t>20 - 24 años</t>
        </is>
      </c>
      <c r="H210" s="4207" t="inlineStr">
        <is>
          <t>25-29 años</t>
        </is>
      </c>
      <c r="I210" s="4207" t="inlineStr">
        <is>
          <t>30-34 años</t>
        </is>
      </c>
      <c r="J210" s="4207" t="inlineStr">
        <is>
          <t>35 - 39 años</t>
        </is>
      </c>
      <c r="K210" s="4207" t="inlineStr">
        <is>
          <t>40 - 44 años</t>
        </is>
      </c>
      <c r="L210" s="4207" t="inlineStr">
        <is>
          <t>45- 49 años</t>
        </is>
      </c>
      <c r="M210" s="4207" t="inlineStr">
        <is>
          <t>50 - 54 años</t>
        </is>
      </c>
      <c r="N210" s="4207" t="inlineStr">
        <is>
          <t>55 - 59 años</t>
        </is>
      </c>
      <c r="O210" s="4207" t="inlineStr">
        <is>
          <t>60 - 64 años</t>
        </is>
      </c>
      <c r="P210" s="4207" t="inlineStr">
        <is>
          <t>65 - 69 años</t>
        </is>
      </c>
      <c r="Q210" s="4207" t="inlineStr">
        <is>
          <t>70 - 74 años</t>
        </is>
      </c>
      <c r="R210" s="4207" t="inlineStr">
        <is>
          <t>75 - 79 años</t>
        </is>
      </c>
      <c r="S210" s="4208" t="inlineStr">
        <is>
          <t>80 y más años</t>
        </is>
      </c>
      <c r="T210" s="4194" t="inlineStr">
        <is>
          <t xml:space="preserve">Presencial </t>
        </is>
      </c>
      <c r="U210" s="4273" t="inlineStr">
        <is>
          <t>A Distancia</t>
        </is>
      </c>
      <c r="V210" s="4274" t="inlineStr">
        <is>
          <t xml:space="preserve">Domiciliaria </t>
        </is>
      </c>
      <c r="W210" s="4210" t="inlineStr">
        <is>
          <t>UPC</t>
        </is>
      </c>
      <c r="X210" s="4274" t="inlineStr">
        <is>
          <t>Cuidados Medios y Básicos</t>
        </is>
      </c>
      <c r="Y210" s="6" t="n"/>
      <c r="CK210" s="20" t="n"/>
    </row>
    <row r="211">
      <c r="A211" s="4195" t="inlineStr">
        <is>
          <t>Kinesiólogo/a</t>
        </is>
      </c>
      <c r="B211" s="2557">
        <f>SUM(C211:S211)</f>
        <v/>
      </c>
      <c r="C211" s="1172" t="n"/>
      <c r="D211" s="2001" t="n"/>
      <c r="E211" s="2001" t="n"/>
      <c r="F211" s="2001" t="n"/>
      <c r="G211" s="2001" t="n"/>
      <c r="H211" s="2001" t="n"/>
      <c r="I211" s="2001" t="n"/>
      <c r="J211" s="2001" t="n"/>
      <c r="K211" s="2001" t="n"/>
      <c r="L211" s="2001" t="n"/>
      <c r="M211" s="2001" t="n"/>
      <c r="N211" s="2001" t="n"/>
      <c r="O211" s="2001" t="n"/>
      <c r="P211" s="2001" t="n"/>
      <c r="Q211" s="2001" t="n"/>
      <c r="R211" s="2001" t="n"/>
      <c r="S211" s="3894" t="n"/>
      <c r="T211" s="1966" t="n"/>
      <c r="U211" s="793" t="n"/>
      <c r="V211" s="755" t="n"/>
      <c r="W211" s="1935" t="n"/>
      <c r="X211" s="755" t="n"/>
      <c r="Y211" s="218">
        <f>$CA211</f>
        <v/>
      </c>
      <c r="BD211" s="226" t="n"/>
      <c r="BE211" s="226" t="n"/>
      <c r="BF211" s="226" t="n"/>
      <c r="BG211" s="226" t="n"/>
      <c r="BH211" s="226" t="n"/>
      <c r="BI211" s="226" t="n"/>
      <c r="BJ211" s="226" t="n"/>
      <c r="BK211" s="226" t="n"/>
      <c r="BL211" s="226" t="n"/>
      <c r="BM211" s="226" t="n"/>
      <c r="BN211" s="226" t="n"/>
      <c r="BO211" s="226" t="n"/>
      <c r="BP211" s="226" t="n"/>
      <c r="BQ211" s="226" t="n"/>
      <c r="BR211" s="226" t="n"/>
      <c r="BS211" s="226" t="n"/>
      <c r="BT211" s="226" t="n"/>
      <c r="BU211" s="226" t="n"/>
      <c r="BV211" s="226" t="n"/>
      <c r="BW211" s="226" t="n"/>
      <c r="BX211" s="226" t="n"/>
      <c r="BY211" s="226" t="n"/>
      <c r="BZ211" s="226" t="n"/>
      <c r="CA211" s="219">
        <f>IF(T211+U211+V211+W211+X211&lt;&gt;$B211,"* La suma de "&amp;T$185&amp;""&amp;" no debe ser distinto del Total. ","")</f>
        <v/>
      </c>
      <c r="CB211" s="226" t="n"/>
      <c r="CC211" s="226" t="n"/>
      <c r="CD211" s="226" t="n"/>
      <c r="CK211" s="226" t="n"/>
      <c r="CM211" s="252">
        <f>IF(T211+U211+V211+W211+X211&lt;&gt;$B211,1,0)</f>
        <v/>
      </c>
    </row>
    <row r="212">
      <c r="A212" s="1934" t="inlineStr">
        <is>
          <t>Terapeuta ocupacional</t>
        </is>
      </c>
      <c r="B212" s="1244">
        <f>SUM(C212:S212)</f>
        <v/>
      </c>
      <c r="C212" s="1172" t="n"/>
      <c r="D212" s="2001" t="n"/>
      <c r="E212" s="2001" t="n"/>
      <c r="F212" s="2001" t="n"/>
      <c r="G212" s="2001" t="n"/>
      <c r="H212" s="2001" t="n"/>
      <c r="I212" s="2001" t="n"/>
      <c r="J212" s="2001" t="n"/>
      <c r="K212" s="2001" t="n"/>
      <c r="L212" s="2001" t="n"/>
      <c r="M212" s="2001" t="n"/>
      <c r="N212" s="2001" t="n"/>
      <c r="O212" s="2001" t="n"/>
      <c r="P212" s="2001" t="n"/>
      <c r="Q212" s="2001" t="n"/>
      <c r="R212" s="2001" t="n"/>
      <c r="S212" s="3894" t="n"/>
      <c r="T212" s="887" t="n"/>
      <c r="U212" s="2001" t="n"/>
      <c r="V212" s="886" t="n"/>
      <c r="W212" s="1172" t="n"/>
      <c r="X212" s="886" t="n"/>
      <c r="Y212" s="218">
        <f>$CA212</f>
        <v/>
      </c>
      <c r="BD212" s="226" t="n"/>
      <c r="BE212" s="226" t="n"/>
      <c r="BF212" s="226" t="n"/>
      <c r="BG212" s="226" t="n"/>
      <c r="BH212" s="226" t="n"/>
      <c r="BI212" s="226" t="n"/>
      <c r="BJ212" s="226" t="n"/>
      <c r="BK212" s="226" t="n"/>
      <c r="BL212" s="226" t="n"/>
      <c r="BM212" s="226" t="n"/>
      <c r="BN212" s="226" t="n"/>
      <c r="BO212" s="226" t="n"/>
      <c r="BP212" s="226" t="n"/>
      <c r="BQ212" s="226" t="n"/>
      <c r="BR212" s="226" t="n"/>
      <c r="BS212" s="226" t="n"/>
      <c r="BT212" s="226" t="n"/>
      <c r="BU212" s="226" t="n"/>
      <c r="BV212" s="226" t="n"/>
      <c r="BW212" s="226" t="n"/>
      <c r="BX212" s="226" t="n"/>
      <c r="BY212" s="226" t="n"/>
      <c r="BZ212" s="226" t="n"/>
      <c r="CA212" s="219">
        <f>IF(T212+U212+V212+W212+X212&lt;&gt;$B212,"* La suma de "&amp;T$185&amp;""&amp;" no debe ser distinto del Total. ","")</f>
        <v/>
      </c>
      <c r="CB212" s="226" t="n"/>
      <c r="CC212" s="226" t="n"/>
      <c r="CD212" s="226" t="n"/>
      <c r="CK212" s="226" t="n"/>
      <c r="CM212" s="252">
        <f>IF(T212+U212+V212+W212+X212&lt;&gt;$B212,1,0)</f>
        <v/>
      </c>
    </row>
    <row r="213">
      <c r="A213" s="1934" t="inlineStr">
        <is>
          <t>Fonoadiólogo/a</t>
        </is>
      </c>
      <c r="B213" s="1244">
        <f>SUM(C213:S213)</f>
        <v/>
      </c>
      <c r="C213" s="1172" t="n"/>
      <c r="D213" s="2001" t="n"/>
      <c r="E213" s="2001" t="n"/>
      <c r="F213" s="2001" t="n"/>
      <c r="G213" s="2001" t="n"/>
      <c r="H213" s="2001" t="n"/>
      <c r="I213" s="2001" t="n"/>
      <c r="J213" s="2001" t="n"/>
      <c r="K213" s="2001" t="n"/>
      <c r="L213" s="2001" t="n"/>
      <c r="M213" s="2001" t="n"/>
      <c r="N213" s="2001" t="n"/>
      <c r="O213" s="2001" t="n"/>
      <c r="P213" s="2001" t="n"/>
      <c r="Q213" s="2001" t="n"/>
      <c r="R213" s="2001" t="n"/>
      <c r="S213" s="3894" t="n"/>
      <c r="T213" s="887" t="n"/>
      <c r="U213" s="2001" t="n"/>
      <c r="V213" s="886" t="n"/>
      <c r="W213" s="1172" t="n"/>
      <c r="X213" s="886" t="n"/>
      <c r="Y213" s="218">
        <f>$CA213</f>
        <v/>
      </c>
      <c r="BD213" s="226" t="n"/>
      <c r="BE213" s="226" t="n"/>
      <c r="BF213" s="226" t="n"/>
      <c r="BG213" s="226" t="n"/>
      <c r="BH213" s="226" t="n"/>
      <c r="BI213" s="226" t="n"/>
      <c r="BJ213" s="226" t="n"/>
      <c r="BK213" s="226" t="n"/>
      <c r="BL213" s="226" t="n"/>
      <c r="BM213" s="226" t="n"/>
      <c r="BN213" s="226" t="n"/>
      <c r="BO213" s="226" t="n"/>
      <c r="BP213" s="226" t="n"/>
      <c r="BQ213" s="226" t="n"/>
      <c r="BR213" s="226" t="n"/>
      <c r="BS213" s="226" t="n"/>
      <c r="BT213" s="226" t="n"/>
      <c r="BU213" s="226" t="n"/>
      <c r="BV213" s="226" t="n"/>
      <c r="BW213" s="226" t="n"/>
      <c r="BX213" s="226" t="n"/>
      <c r="BY213" s="226" t="n"/>
      <c r="BZ213" s="226" t="n"/>
      <c r="CA213" s="219">
        <f>IF(T213+U213+V213+W213+X213&lt;&gt;$B213,"* La suma de "&amp;T$185&amp;""&amp;" no debe ser distinto del Total. ","")</f>
        <v/>
      </c>
      <c r="CB213" s="226" t="n"/>
      <c r="CC213" s="226" t="n"/>
      <c r="CD213" s="226" t="n"/>
      <c r="CK213" s="226" t="n"/>
      <c r="CM213" s="252">
        <f>IF(T213+U213+V213+W213+X213&lt;&gt;$B213,1,0)</f>
        <v/>
      </c>
    </row>
    <row r="214">
      <c r="A214" s="8053" t="inlineStr">
        <is>
          <t>Psicólogo/a</t>
        </is>
      </c>
      <c r="B214" s="4212">
        <f>SUM(C214:S214)</f>
        <v/>
      </c>
      <c r="C214" s="3808" t="n"/>
      <c r="D214" s="3599" t="n"/>
      <c r="E214" s="3599" t="n"/>
      <c r="F214" s="3599" t="n"/>
      <c r="G214" s="3599" t="n"/>
      <c r="H214" s="3599" t="n"/>
      <c r="I214" s="3599" t="n"/>
      <c r="J214" s="3599" t="n"/>
      <c r="K214" s="3599" t="n"/>
      <c r="L214" s="3599" t="n"/>
      <c r="M214" s="3599" t="n"/>
      <c r="N214" s="3599" t="n"/>
      <c r="O214" s="3599" t="n"/>
      <c r="P214" s="3599" t="n"/>
      <c r="Q214" s="3599" t="n"/>
      <c r="R214" s="3599" t="n"/>
      <c r="S214" s="3899" t="n"/>
      <c r="T214" s="3898" t="n"/>
      <c r="U214" s="3599" t="n"/>
      <c r="V214" s="3601" t="n"/>
      <c r="W214" s="3808" t="n"/>
      <c r="X214" s="3601" t="n"/>
      <c r="Y214" s="218">
        <f>$CA214</f>
        <v/>
      </c>
      <c r="BD214" s="226" t="n"/>
      <c r="BE214" s="226" t="n"/>
      <c r="BF214" s="226" t="n"/>
      <c r="BG214" s="226" t="n"/>
      <c r="BH214" s="226" t="n"/>
      <c r="BI214" s="226" t="n"/>
      <c r="BJ214" s="226" t="n"/>
      <c r="BK214" s="226" t="n"/>
      <c r="BL214" s="226" t="n"/>
      <c r="BM214" s="226" t="n"/>
      <c r="BN214" s="226" t="n"/>
      <c r="BO214" s="226" t="n"/>
      <c r="BP214" s="226" t="n"/>
      <c r="BQ214" s="226" t="n"/>
      <c r="BR214" s="226" t="n"/>
      <c r="BS214" s="226" t="n"/>
      <c r="BT214" s="226" t="n"/>
      <c r="BU214" s="226" t="n"/>
      <c r="BV214" s="226" t="n"/>
      <c r="BW214" s="226" t="n"/>
      <c r="BX214" s="226" t="n"/>
      <c r="BY214" s="226" t="n"/>
      <c r="BZ214" s="226" t="n"/>
      <c r="CA214" s="219">
        <f>IF(T214+U214+V214+W214+X214&lt;&gt;$B214,"* La suma de "&amp;T$185&amp;""&amp;" no debe ser distinto del Total. ","")</f>
        <v/>
      </c>
      <c r="CB214" s="226" t="n"/>
      <c r="CC214" s="226" t="n"/>
      <c r="CD214" s="226" t="n"/>
      <c r="CK214" s="226" t="n"/>
      <c r="CM214" s="252">
        <f>IF(T214+U214+V214+W214+X214&lt;&gt;$B214,1,0)</f>
        <v/>
      </c>
    </row>
    <row r="215">
      <c r="A215" s="4200" t="inlineStr">
        <is>
          <t>TOTAL</t>
        </is>
      </c>
      <c r="B215" s="3922">
        <f>SUM(B211:B214)</f>
        <v/>
      </c>
      <c r="C215" s="2942">
        <f>SUM(C211:C214)</f>
        <v/>
      </c>
      <c r="D215" s="362">
        <f>SUM(D211:D214)</f>
        <v/>
      </c>
      <c r="E215" s="362">
        <f>SUM(E211:E214)</f>
        <v/>
      </c>
      <c r="F215" s="362">
        <f>SUM(F211:F214)</f>
        <v/>
      </c>
      <c r="G215" s="362">
        <f>SUM(G211:G214)</f>
        <v/>
      </c>
      <c r="H215" s="362">
        <f>SUM(H211:H214)</f>
        <v/>
      </c>
      <c r="I215" s="362">
        <f>SUM(I211:I214)</f>
        <v/>
      </c>
      <c r="J215" s="362">
        <f>SUM(J211:J214)</f>
        <v/>
      </c>
      <c r="K215" s="362">
        <f>SUM(K211:K214)</f>
        <v/>
      </c>
      <c r="L215" s="362">
        <f>SUM(L211:L214)</f>
        <v/>
      </c>
      <c r="M215" s="362">
        <f>SUM(M211:M214)</f>
        <v/>
      </c>
      <c r="N215" s="362">
        <f>SUM(N211:N214)</f>
        <v/>
      </c>
      <c r="O215" s="362">
        <f>SUM(O211:O214)</f>
        <v/>
      </c>
      <c r="P215" s="362">
        <f>SUM(P211:P214)</f>
        <v/>
      </c>
      <c r="Q215" s="362">
        <f>SUM(Q211:Q214)</f>
        <v/>
      </c>
      <c r="R215" s="362">
        <f>SUM(R211:R214)</f>
        <v/>
      </c>
      <c r="S215" s="4281">
        <f>SUM(S211:S214)</f>
        <v/>
      </c>
      <c r="T215" s="4277">
        <f>SUM(T211:T214)</f>
        <v/>
      </c>
      <c r="U215" s="4278">
        <f>SUM(U211:U214)</f>
        <v/>
      </c>
      <c r="V215" s="4279">
        <f>SUM(V211:V214)</f>
        <v/>
      </c>
      <c r="W215" s="4280">
        <f>SUM(W211:W214)</f>
        <v/>
      </c>
      <c r="X215" s="4279">
        <f>SUM(X211:X214)</f>
        <v/>
      </c>
    </row>
    <row r="216" ht="18" customHeight="1" s="8286">
      <c r="A216" s="1" t="inlineStr">
        <is>
          <t>SECCIÓN B.5: DERIVACIONES Y CONTINUIDAD EN LOS CUIDADOS</t>
        </is>
      </c>
      <c r="B216" s="7" t="n"/>
    </row>
    <row r="217">
      <c r="A217" s="4224" t="inlineStr">
        <is>
          <t>DERIVACIÓN</t>
        </is>
      </c>
      <c r="B217" s="9176" t="inlineStr">
        <is>
          <t xml:space="preserve">TOTAL      </t>
        </is>
      </c>
    </row>
    <row r="218">
      <c r="A218" s="3941" t="inlineStr">
        <is>
          <t>A otro hospital (hospitalizado)</t>
        </is>
      </c>
      <c r="B218" s="1964" t="n"/>
    </row>
    <row r="219">
      <c r="A219" s="1272" t="inlineStr">
        <is>
          <t>A nivel secundario (ambulatorio)</t>
        </is>
      </c>
      <c r="B219" s="1220" t="n"/>
    </row>
    <row r="220">
      <c r="A220" s="1272" t="inlineStr">
        <is>
          <t>A nivel primario</t>
        </is>
      </c>
      <c r="B220" s="1220" t="n"/>
    </row>
    <row r="221">
      <c r="A221" s="3940" t="inlineStr">
        <is>
          <t>Institución con convenio</t>
        </is>
      </c>
      <c r="B221" s="3896" t="n"/>
    </row>
    <row r="222" ht="18" customHeight="1" s="8286">
      <c r="A222" s="2" t="inlineStr">
        <is>
          <t>SECCIÓN B.6: PROCEDIMIENTOS Y ACTIVIDADES</t>
        </is>
      </c>
      <c r="B222" s="7" t="n"/>
    </row>
    <row r="223">
      <c r="A223" s="4282" t="inlineStr">
        <is>
          <t>TIPO</t>
        </is>
      </c>
      <c r="B223" s="9176" t="inlineStr">
        <is>
          <t>TOTAL</t>
        </is>
      </c>
    </row>
    <row r="224">
      <c r="A224" s="1272" t="inlineStr">
        <is>
          <t>Fisioterapia</t>
        </is>
      </c>
      <c r="B224" s="1220" t="n"/>
    </row>
    <row r="225">
      <c r="A225" s="1272" t="inlineStr">
        <is>
          <t>Actividad física</t>
        </is>
      </c>
      <c r="B225" s="1220" t="n"/>
    </row>
    <row r="226">
      <c r="A226" s="1272" t="inlineStr">
        <is>
          <t>Ejercicios terapéuticos</t>
        </is>
      </c>
      <c r="B226" s="1220" t="n"/>
    </row>
    <row r="227" ht="24" customHeight="1" s="8286">
      <c r="A227" s="4283" t="inlineStr">
        <is>
          <t>Intervención en actividades de la vida diaria, básicas, instrumentales y avanzadas.</t>
        </is>
      </c>
      <c r="B227" s="1220" t="n"/>
    </row>
    <row r="228">
      <c r="A228" s="1272" t="inlineStr">
        <is>
          <t>Habilitación y rehabilitación educacional</t>
        </is>
      </c>
      <c r="B228" s="1220" t="n"/>
    </row>
    <row r="229">
      <c r="A229" s="1272" t="inlineStr">
        <is>
          <t>Actividades terapéuticas</t>
        </is>
      </c>
      <c r="B229" s="1220" t="n"/>
    </row>
    <row r="230">
      <c r="A230" s="1272" t="inlineStr">
        <is>
          <t>Integración sensorial</t>
        </is>
      </c>
      <c r="B230" s="1220" t="n"/>
    </row>
    <row r="231">
      <c r="A231" s="1272" t="inlineStr">
        <is>
          <t>Tratamiento compresivo</t>
        </is>
      </c>
      <c r="B231" s="1220" t="n"/>
    </row>
    <row r="232">
      <c r="A232" s="1272" t="inlineStr">
        <is>
          <t>Habilitación y rehabilitación socio-laboral</t>
        </is>
      </c>
      <c r="B232" s="1220" t="n"/>
    </row>
    <row r="233">
      <c r="A233" s="1272" t="inlineStr">
        <is>
          <t>Adaptación del hogar</t>
        </is>
      </c>
      <c r="B233" s="1220" t="n"/>
    </row>
    <row r="234">
      <c r="A234" s="1272" t="inlineStr">
        <is>
          <t>Confección de órtesis y/o adaptaciones</t>
        </is>
      </c>
      <c r="B234" s="1220" t="n"/>
    </row>
    <row r="235">
      <c r="A235" s="1272" t="inlineStr">
        <is>
          <t>Reparación de órtesis y/o adaptaciones</t>
        </is>
      </c>
      <c r="B235" s="1220" t="n"/>
    </row>
    <row r="236">
      <c r="A236" s="1272" t="inlineStr">
        <is>
          <t>Confección de prótesis</t>
        </is>
      </c>
      <c r="B236" s="1220" t="n"/>
    </row>
    <row r="237">
      <c r="A237" s="1272" t="inlineStr">
        <is>
          <t>Reparación de prótesis</t>
        </is>
      </c>
      <c r="B237" s="1220" t="n"/>
    </row>
    <row r="238">
      <c r="A238" s="1272" t="inlineStr">
        <is>
          <t>Estimulación cognitiva</t>
        </is>
      </c>
      <c r="B238" s="1220" t="n"/>
    </row>
    <row r="239">
      <c r="A239" s="1272" t="inlineStr">
        <is>
          <t>Rehabilitación de la voz, habla y/o lenguaje</t>
        </is>
      </c>
      <c r="B239" s="1220" t="n"/>
    </row>
    <row r="240">
      <c r="A240" s="1272" t="inlineStr">
        <is>
          <t>Rehabilitación de la deglución</t>
        </is>
      </c>
      <c r="B240" s="1220" t="n"/>
    </row>
    <row r="241">
      <c r="A241" s="1272" t="inlineStr">
        <is>
          <t>Rehabilitación vestibular</t>
        </is>
      </c>
      <c r="B241" s="1220" t="n"/>
    </row>
    <row r="242">
      <c r="A242" s="1272" t="inlineStr">
        <is>
          <t>Educación a usuario/a, cuidador/a y/o familiar</t>
        </is>
      </c>
      <c r="B242" s="1220" t="n"/>
    </row>
    <row r="243">
      <c r="A243" s="1272" t="inlineStr">
        <is>
          <t>Atención psicoterapéutica</t>
        </is>
      </c>
      <c r="B243" s="1220" t="n"/>
    </row>
    <row r="244">
      <c r="A244" s="1272" t="inlineStr">
        <is>
          <t>Orientación y movilidad</t>
        </is>
      </c>
      <c r="B244" s="1220" t="n"/>
    </row>
    <row r="245">
      <c r="A245" s="1272" t="inlineStr">
        <is>
          <t>Estimulación sensorial</t>
        </is>
      </c>
      <c r="B245" s="1220" t="n"/>
    </row>
    <row r="246">
      <c r="A246" s="1272" t="inlineStr">
        <is>
          <t>Terapia respiratoria y funcional pulmonar</t>
        </is>
      </c>
      <c r="B246" s="1220" t="n"/>
    </row>
    <row r="247">
      <c r="A247" s="1272" t="inlineStr">
        <is>
          <t>Rehabilitación auditiva individual</t>
        </is>
      </c>
      <c r="B247" s="1220" t="n"/>
    </row>
    <row r="248">
      <c r="A248" s="3940" t="inlineStr">
        <is>
          <t>Rehabilitación auditiva grupal</t>
        </is>
      </c>
      <c r="B248" s="3896" t="n"/>
    </row>
    <row r="249">
      <c r="A249" s="4284" t="inlineStr">
        <is>
          <t>TOTAL</t>
        </is>
      </c>
      <c r="B249" s="2669">
        <f>SUM(B224:B248)</f>
        <v/>
      </c>
    </row>
    <row r="250" ht="18" customHeight="1" s="8286">
      <c r="A250" s="1" t="inlineStr">
        <is>
          <t>SECCIÓN C: AYUDAS TÉCNICAS DE SALUD, NIVEL APS Y HOSPITALARIO</t>
        </is>
      </c>
      <c r="B250" s="1" t="n"/>
      <c r="C250" s="7" t="n"/>
      <c r="D250" s="7" t="n"/>
      <c r="E250" s="7" t="n"/>
      <c r="F250" s="7" t="n"/>
      <c r="G250" s="7" t="n"/>
      <c r="H250" s="7" t="n"/>
      <c r="I250" s="7" t="n"/>
      <c r="J250" s="7" t="n"/>
      <c r="K250" s="7" t="n"/>
      <c r="L250" s="7" t="n"/>
      <c r="M250" s="7" t="n"/>
      <c r="N250" s="7" t="n"/>
      <c r="O250" s="7" t="n"/>
      <c r="P250" s="7" t="n"/>
      <c r="Q250" s="7" t="n"/>
      <c r="R250" s="7" t="n"/>
      <c r="S250" s="7" t="n"/>
    </row>
    <row r="251" ht="18" customHeight="1" s="8286">
      <c r="A251" s="1" t="inlineStr">
        <is>
          <t>SECCIÓN C.1: NÚMERO DE PERSONAS QUE RECIBEN AYUDAS TÉCNICAS</t>
        </is>
      </c>
      <c r="B251" s="8744" t="n"/>
      <c r="C251" s="7" t="n"/>
      <c r="D251" s="7" t="n"/>
      <c r="E251" s="7" t="n"/>
      <c r="F251" s="7" t="n"/>
      <c r="G251" s="7" t="n"/>
      <c r="H251" s="7" t="n"/>
      <c r="I251" s="7" t="n"/>
      <c r="J251" s="7" t="n"/>
      <c r="K251" s="7" t="n"/>
      <c r="L251" s="7" t="n"/>
      <c r="M251" s="7" t="n"/>
      <c r="N251" s="7" t="n"/>
      <c r="O251" s="7" t="n"/>
      <c r="P251" s="7" t="n"/>
      <c r="Q251" s="7" t="n"/>
      <c r="R251" s="7" t="n"/>
      <c r="S251" s="7" t="n"/>
    </row>
    <row r="252">
      <c r="A252" s="9690" t="inlineStr">
        <is>
          <t>AYUDAS TÉCNICAS</t>
        </is>
      </c>
      <c r="B252" s="10329" t="inlineStr">
        <is>
          <t>TOTAL</t>
        </is>
      </c>
      <c r="C252" s="9977" t="inlineStr">
        <is>
          <t>RANGO ETARIO</t>
        </is>
      </c>
      <c r="D252" s="9584" t="n"/>
      <c r="E252" s="9584" t="n"/>
      <c r="F252" s="9584" t="n"/>
      <c r="G252" s="9584" t="n"/>
      <c r="H252" s="9584" t="n"/>
      <c r="I252" s="9584" t="n"/>
      <c r="J252" s="9584" t="n"/>
      <c r="K252" s="9584" t="n"/>
      <c r="L252" s="9584" t="n"/>
      <c r="M252" s="9584" t="n"/>
      <c r="N252" s="9584" t="n"/>
      <c r="O252" s="9584" t="n"/>
      <c r="P252" s="9584" t="n"/>
      <c r="Q252" s="9584" t="n"/>
      <c r="R252" s="9584" t="n"/>
      <c r="S252" s="9582" t="n"/>
    </row>
    <row r="253">
      <c r="A253" s="9589" t="n"/>
      <c r="B253" s="9589" t="n"/>
      <c r="C253" s="4206" t="inlineStr">
        <is>
          <t>0 - 4 años</t>
        </is>
      </c>
      <c r="D253" s="4207" t="inlineStr">
        <is>
          <t>5 - 9 años</t>
        </is>
      </c>
      <c r="E253" s="4207" t="inlineStr">
        <is>
          <t>10 - 14 años</t>
        </is>
      </c>
      <c r="F253" s="4207" t="inlineStr">
        <is>
          <t>15 - 19 años</t>
        </is>
      </c>
      <c r="G253" s="4207" t="inlineStr">
        <is>
          <t>20 - 24 años</t>
        </is>
      </c>
      <c r="H253" s="4207" t="inlineStr">
        <is>
          <t>25-29 años</t>
        </is>
      </c>
      <c r="I253" s="4207" t="inlineStr">
        <is>
          <t>30-34 años</t>
        </is>
      </c>
      <c r="J253" s="4207" t="inlineStr">
        <is>
          <t>35 - 39 años</t>
        </is>
      </c>
      <c r="K253" s="4207" t="inlineStr">
        <is>
          <t>40 - 44 años</t>
        </is>
      </c>
      <c r="L253" s="4207" t="inlineStr">
        <is>
          <t>45- 49 años</t>
        </is>
      </c>
      <c r="M253" s="4207" t="inlineStr">
        <is>
          <t>50 - 54 años</t>
        </is>
      </c>
      <c r="N253" s="4207" t="inlineStr">
        <is>
          <t>55 - 59 años</t>
        </is>
      </c>
      <c r="O253" s="4207" t="inlineStr">
        <is>
          <t>60 - 64 años</t>
        </is>
      </c>
      <c r="P253" s="4207" t="inlineStr">
        <is>
          <t>65 - 69 años</t>
        </is>
      </c>
      <c r="Q253" s="4207" t="inlineStr">
        <is>
          <t>70 - 74 años</t>
        </is>
      </c>
      <c r="R253" s="4207" t="inlineStr">
        <is>
          <t>75 - 79 años</t>
        </is>
      </c>
      <c r="S253" s="4285" t="inlineStr">
        <is>
          <t>80 y más años</t>
        </is>
      </c>
    </row>
    <row r="254">
      <c r="A254" s="4286" t="inlineStr">
        <is>
          <t>Número de evaluaciones de ayudas técnicas</t>
        </is>
      </c>
      <c r="B254" s="4287">
        <f>SUM(C254:S254)</f>
        <v/>
      </c>
      <c r="C254" s="4235" t="n"/>
      <c r="D254" s="835" t="n"/>
      <c r="E254" s="835" t="n"/>
      <c r="F254" s="835" t="n"/>
      <c r="G254" s="835" t="n"/>
      <c r="H254" s="835" t="n"/>
      <c r="I254" s="835" t="n"/>
      <c r="J254" s="835" t="n"/>
      <c r="K254" s="835" t="n"/>
      <c r="L254" s="835" t="n"/>
      <c r="M254" s="835" t="n"/>
      <c r="N254" s="835" t="n"/>
      <c r="O254" s="835" t="n"/>
      <c r="P254" s="835" t="n"/>
      <c r="Q254" s="835" t="n"/>
      <c r="R254" s="835" t="n"/>
      <c r="S254" s="2337" t="n"/>
    </row>
    <row r="255">
      <c r="A255" s="4288" t="inlineStr">
        <is>
          <t>Número de personas con ayuda técnica entregada</t>
        </is>
      </c>
      <c r="B255" s="1267">
        <f>SUM(C255:S255)</f>
        <v/>
      </c>
      <c r="C255" s="1172" t="n"/>
      <c r="D255" s="2001" t="n"/>
      <c r="E255" s="2001" t="n"/>
      <c r="F255" s="2001" t="n"/>
      <c r="G255" s="2001" t="n"/>
      <c r="H255" s="2001" t="n"/>
      <c r="I255" s="2001" t="n"/>
      <c r="J255" s="2001" t="n"/>
      <c r="K255" s="2001" t="n"/>
      <c r="L255" s="2001" t="n"/>
      <c r="M255" s="2001" t="n"/>
      <c r="N255" s="2001" t="n"/>
      <c r="O255" s="2001" t="n"/>
      <c r="P255" s="2001" t="n"/>
      <c r="Q255" s="2001" t="n"/>
      <c r="R255" s="2001" t="n"/>
      <c r="S255" s="3788" t="n"/>
    </row>
    <row r="256">
      <c r="A256" s="3239" t="inlineStr">
        <is>
          <t>Número de entrenamiento de ayudas técnicas</t>
        </is>
      </c>
      <c r="B256" s="3938">
        <f>SUM(C256:S256)</f>
        <v/>
      </c>
      <c r="C256" s="2644" t="n"/>
      <c r="D256" s="155" t="n"/>
      <c r="E256" s="155" t="n"/>
      <c r="F256" s="155" t="n"/>
      <c r="G256" s="155" t="n"/>
      <c r="H256" s="155" t="n"/>
      <c r="I256" s="155" t="n"/>
      <c r="J256" s="155" t="n"/>
      <c r="K256" s="155" t="n"/>
      <c r="L256" s="155" t="n"/>
      <c r="M256" s="155" t="n"/>
      <c r="N256" s="155" t="n"/>
      <c r="O256" s="155" t="n"/>
      <c r="P256" s="155" t="n"/>
      <c r="Q256" s="155" t="n"/>
      <c r="R256" s="155" t="n"/>
      <c r="S256" s="2645" t="n"/>
    </row>
    <row r="257" ht="18" customHeight="1" s="8286">
      <c r="A257" s="1" t="inlineStr">
        <is>
          <t>SECCIÓN C.2: NÚMERO DE  AYUDAS TÉCNICAS ENTREGADAS POR TIPO</t>
        </is>
      </c>
      <c r="B257" s="518" t="n"/>
      <c r="C257" s="7" t="n"/>
      <c r="D257" s="518" t="n"/>
      <c r="E257" s="7" t="n"/>
      <c r="F257" s="7" t="n"/>
      <c r="G257" s="7" t="n"/>
      <c r="H257" s="7" t="n"/>
      <c r="I257" s="7" t="n"/>
      <c r="J257" s="7" t="n"/>
      <c r="K257" s="7" t="n"/>
      <c r="L257" s="7" t="n"/>
      <c r="M257" s="7" t="n"/>
      <c r="N257" s="7" t="n"/>
      <c r="O257" s="7" t="n"/>
      <c r="P257" s="7" t="n"/>
      <c r="Q257" s="7" t="n"/>
      <c r="R257" s="7" t="n"/>
      <c r="S257" s="7" t="n"/>
    </row>
    <row r="258">
      <c r="A258" s="9690" t="inlineStr">
        <is>
          <t>TOTAL DE AYUDAS TÉCNICAS ENTREGADAS</t>
        </is>
      </c>
      <c r="B258" s="10329" t="inlineStr">
        <is>
          <t xml:space="preserve">TOTAL </t>
        </is>
      </c>
      <c r="C258" s="9977" t="inlineStr">
        <is>
          <t>RANGO ETARIO</t>
        </is>
      </c>
      <c r="D258" s="9584" t="n"/>
      <c r="E258" s="9584" t="n"/>
      <c r="F258" s="9584" t="n"/>
      <c r="G258" s="9584" t="n"/>
      <c r="H258" s="9584" t="n"/>
      <c r="I258" s="9584" t="n"/>
      <c r="J258" s="9584" t="n"/>
      <c r="K258" s="9584" t="n"/>
      <c r="L258" s="9584" t="n"/>
      <c r="M258" s="9584" t="n"/>
      <c r="N258" s="9584" t="n"/>
      <c r="O258" s="9584" t="n"/>
      <c r="P258" s="9584" t="n"/>
      <c r="Q258" s="9584" t="n"/>
      <c r="R258" s="9584" t="n"/>
      <c r="S258" s="9582" t="n"/>
    </row>
    <row r="259">
      <c r="A259" s="9589" t="n"/>
      <c r="B259" s="9589" t="n"/>
      <c r="C259" s="4206" t="inlineStr">
        <is>
          <t>0 - 4 años</t>
        </is>
      </c>
      <c r="D259" s="4207" t="inlineStr">
        <is>
          <t>5 - 9 años</t>
        </is>
      </c>
      <c r="E259" s="4207" t="inlineStr">
        <is>
          <t>10 - 14 años</t>
        </is>
      </c>
      <c r="F259" s="4207" t="inlineStr">
        <is>
          <t>15 - 19 años</t>
        </is>
      </c>
      <c r="G259" s="4207" t="inlineStr">
        <is>
          <t>20 - 24 años</t>
        </is>
      </c>
      <c r="H259" s="4207" t="inlineStr">
        <is>
          <t>25-29 años</t>
        </is>
      </c>
      <c r="I259" s="4207" t="inlineStr">
        <is>
          <t>30-34 años</t>
        </is>
      </c>
      <c r="J259" s="4207" t="inlineStr">
        <is>
          <t>35 - 39 años</t>
        </is>
      </c>
      <c r="K259" s="4207" t="inlineStr">
        <is>
          <t>40 - 44 años</t>
        </is>
      </c>
      <c r="L259" s="4207" t="inlineStr">
        <is>
          <t>45- 49 años</t>
        </is>
      </c>
      <c r="M259" s="4207" t="inlineStr">
        <is>
          <t>50 - 54 años</t>
        </is>
      </c>
      <c r="N259" s="4207" t="inlineStr">
        <is>
          <t>55 - 59 años</t>
        </is>
      </c>
      <c r="O259" s="4207" t="inlineStr">
        <is>
          <t>60 - 64 años</t>
        </is>
      </c>
      <c r="P259" s="4207" t="inlineStr">
        <is>
          <t>65 - 69 años</t>
        </is>
      </c>
      <c r="Q259" s="4207" t="inlineStr">
        <is>
          <t>70 - 74 años</t>
        </is>
      </c>
      <c r="R259" s="4207" t="inlineStr">
        <is>
          <t>75 - 79 años</t>
        </is>
      </c>
      <c r="S259" s="4285" t="inlineStr">
        <is>
          <t>80 y más años</t>
        </is>
      </c>
    </row>
    <row r="260">
      <c r="A260" s="1946" t="inlineStr">
        <is>
          <t>Sillas de ruedas estándar</t>
        </is>
      </c>
      <c r="B260" s="1946">
        <f>SUM(C260:S260)</f>
        <v/>
      </c>
      <c r="C260" s="4235" t="n"/>
      <c r="D260" s="835" t="n"/>
      <c r="E260" s="835" t="n"/>
      <c r="F260" s="835" t="n"/>
      <c r="G260" s="835" t="n"/>
      <c r="H260" s="835" t="n"/>
      <c r="I260" s="835" t="n"/>
      <c r="J260" s="835" t="n"/>
      <c r="K260" s="835" t="n"/>
      <c r="L260" s="835" t="n"/>
      <c r="M260" s="835" t="n"/>
      <c r="N260" s="835" t="n"/>
      <c r="O260" s="835" t="n"/>
      <c r="P260" s="835" t="n"/>
      <c r="Q260" s="835" t="n"/>
      <c r="R260" s="835" t="n"/>
      <c r="S260" s="4237" t="n"/>
    </row>
    <row r="261">
      <c r="A261" s="1121" t="inlineStr">
        <is>
          <t>Silla de ruedas neurológicas</t>
        </is>
      </c>
      <c r="B261" s="1121">
        <f>SUM(C261:S261)</f>
        <v/>
      </c>
      <c r="C261" s="1172" t="n"/>
      <c r="D261" s="2001" t="n"/>
      <c r="E261" s="2001" t="n"/>
      <c r="F261" s="2001" t="n"/>
      <c r="G261" s="2001" t="n"/>
      <c r="H261" s="2001" t="n"/>
      <c r="I261" s="2001" t="n"/>
      <c r="J261" s="2001" t="n"/>
      <c r="K261" s="2001" t="n"/>
      <c r="L261" s="2001" t="n"/>
      <c r="M261" s="2001" t="n"/>
      <c r="N261" s="2001" t="n"/>
      <c r="O261" s="2001" t="n"/>
      <c r="P261" s="2001" t="n"/>
      <c r="Q261" s="2001" t="n"/>
      <c r="R261" s="2001" t="n"/>
      <c r="S261" s="3788" t="n"/>
    </row>
    <row r="262">
      <c r="A262" s="1121" t="inlineStr">
        <is>
          <t>Cojín anti escaras</t>
        </is>
      </c>
      <c r="B262" s="1121">
        <f>SUM(C262:S262)</f>
        <v/>
      </c>
      <c r="C262" s="1172" t="n"/>
      <c r="D262" s="2001" t="n"/>
      <c r="E262" s="2001" t="n"/>
      <c r="F262" s="2001" t="n"/>
      <c r="G262" s="2001" t="n"/>
      <c r="H262" s="2001" t="n"/>
      <c r="I262" s="2001" t="n"/>
      <c r="J262" s="2001" t="n"/>
      <c r="K262" s="2001" t="n"/>
      <c r="L262" s="2001" t="n"/>
      <c r="M262" s="2001" t="n"/>
      <c r="N262" s="2001" t="n"/>
      <c r="O262" s="2001" t="n"/>
      <c r="P262" s="2001" t="n"/>
      <c r="Q262" s="2001" t="n"/>
      <c r="R262" s="2001" t="n"/>
      <c r="S262" s="3788" t="n"/>
    </row>
    <row r="263">
      <c r="A263" s="1121" t="inlineStr">
        <is>
          <t>Colchón anti escaras</t>
        </is>
      </c>
      <c r="B263" s="1121">
        <f>SUM(C263:S263)</f>
        <v/>
      </c>
      <c r="C263" s="1172" t="n"/>
      <c r="D263" s="2001" t="n"/>
      <c r="E263" s="2001" t="n"/>
      <c r="F263" s="2001" t="n"/>
      <c r="G263" s="2001" t="n"/>
      <c r="H263" s="2001" t="n"/>
      <c r="I263" s="2001" t="n"/>
      <c r="J263" s="2001" t="n"/>
      <c r="K263" s="2001" t="n"/>
      <c r="L263" s="2001" t="n"/>
      <c r="M263" s="2001" t="n"/>
      <c r="N263" s="2001" t="n"/>
      <c r="O263" s="2001" t="n"/>
      <c r="P263" s="2001" t="n"/>
      <c r="Q263" s="2001" t="n"/>
      <c r="R263" s="2001" t="n"/>
      <c r="S263" s="3788" t="n"/>
    </row>
    <row r="264">
      <c r="A264" s="1121" t="inlineStr">
        <is>
          <t>Bastones</t>
        </is>
      </c>
      <c r="B264" s="1121">
        <f>SUM(C264:S264)</f>
        <v/>
      </c>
      <c r="C264" s="1172" t="n"/>
      <c r="D264" s="2001" t="n"/>
      <c r="E264" s="2001" t="n"/>
      <c r="F264" s="2001" t="n"/>
      <c r="G264" s="2001" t="n"/>
      <c r="H264" s="2001" t="n"/>
      <c r="I264" s="2001" t="n"/>
      <c r="J264" s="2001" t="n"/>
      <c r="K264" s="2001" t="n"/>
      <c r="L264" s="2001" t="n"/>
      <c r="M264" s="2001" t="n"/>
      <c r="N264" s="2001" t="n"/>
      <c r="O264" s="2001" t="n"/>
      <c r="P264" s="2001" t="n"/>
      <c r="Q264" s="2001" t="n"/>
      <c r="R264" s="2001" t="n"/>
      <c r="S264" s="3788" t="n"/>
    </row>
    <row r="265">
      <c r="A265" s="1121" t="inlineStr">
        <is>
          <t>Andadores</t>
        </is>
      </c>
      <c r="B265" s="1121">
        <f>SUM(C265:S265)</f>
        <v/>
      </c>
      <c r="C265" s="1172" t="n"/>
      <c r="D265" s="2001" t="n"/>
      <c r="E265" s="2001" t="n"/>
      <c r="F265" s="2001" t="n"/>
      <c r="G265" s="2001" t="n"/>
      <c r="H265" s="2001" t="n"/>
      <c r="I265" s="2001" t="n"/>
      <c r="J265" s="2001" t="n"/>
      <c r="K265" s="2001" t="n"/>
      <c r="L265" s="2001" t="n"/>
      <c r="M265" s="2001" t="n"/>
      <c r="N265" s="2001" t="n"/>
      <c r="O265" s="2001" t="n"/>
      <c r="P265" s="2001" t="n"/>
      <c r="Q265" s="2001" t="n"/>
      <c r="R265" s="2001" t="n"/>
      <c r="S265" s="3788" t="n"/>
    </row>
    <row r="266">
      <c r="A266" s="1121" t="inlineStr">
        <is>
          <t>Sitting</t>
        </is>
      </c>
      <c r="B266" s="1121">
        <f>SUM(C266:S266)</f>
        <v/>
      </c>
      <c r="C266" s="1172" t="n"/>
      <c r="D266" s="2001" t="n"/>
      <c r="E266" s="2001" t="n"/>
      <c r="F266" s="2001" t="n"/>
      <c r="G266" s="2001" t="n"/>
      <c r="H266" s="2001" t="n"/>
      <c r="I266" s="2001" t="n"/>
      <c r="J266" s="2001" t="n"/>
      <c r="K266" s="2001" t="n"/>
      <c r="L266" s="2001" t="n"/>
      <c r="M266" s="2001" t="n"/>
      <c r="N266" s="2001" t="n"/>
      <c r="O266" s="2001" t="n"/>
      <c r="P266" s="2001" t="n"/>
      <c r="Q266" s="2001" t="n"/>
      <c r="R266" s="2001" t="n"/>
      <c r="S266" s="3788" t="n"/>
    </row>
    <row r="267">
      <c r="A267" s="1121" t="inlineStr">
        <is>
          <t>Órtesis de columna vertebral</t>
        </is>
      </c>
      <c r="B267" s="1121">
        <f>SUM(C267:S267)</f>
        <v/>
      </c>
      <c r="C267" s="1172" t="n"/>
      <c r="D267" s="2001" t="n"/>
      <c r="E267" s="2001" t="n"/>
      <c r="F267" s="2001" t="n"/>
      <c r="G267" s="2001" t="n"/>
      <c r="H267" s="2001" t="n"/>
      <c r="I267" s="2001" t="n"/>
      <c r="J267" s="2001" t="n"/>
      <c r="K267" s="2001" t="n"/>
      <c r="L267" s="2001" t="n"/>
      <c r="M267" s="2001" t="n"/>
      <c r="N267" s="2001" t="n"/>
      <c r="O267" s="2001" t="n"/>
      <c r="P267" s="2001" t="n"/>
      <c r="Q267" s="2001" t="n"/>
      <c r="R267" s="2001" t="n"/>
      <c r="S267" s="3788" t="n"/>
    </row>
    <row r="268">
      <c r="A268" s="1121" t="inlineStr">
        <is>
          <t>Órtesis miembro inferior</t>
        </is>
      </c>
      <c r="B268" s="1121">
        <f>SUM(C268:S268)</f>
        <v/>
      </c>
      <c r="C268" s="1172" t="n"/>
      <c r="D268" s="2001" t="n"/>
      <c r="E268" s="2001" t="n"/>
      <c r="F268" s="2001" t="n"/>
      <c r="G268" s="2001" t="n"/>
      <c r="H268" s="2001" t="n"/>
      <c r="I268" s="2001" t="n"/>
      <c r="J268" s="2001" t="n"/>
      <c r="K268" s="2001" t="n"/>
      <c r="L268" s="2001" t="n"/>
      <c r="M268" s="2001" t="n"/>
      <c r="N268" s="2001" t="n"/>
      <c r="O268" s="2001" t="n"/>
      <c r="P268" s="2001" t="n"/>
      <c r="Q268" s="2001" t="n"/>
      <c r="R268" s="2001" t="n"/>
      <c r="S268" s="3788" t="n"/>
    </row>
    <row r="269">
      <c r="A269" s="1121" t="inlineStr">
        <is>
          <t>Órtesis miembro superior</t>
        </is>
      </c>
      <c r="B269" s="1121">
        <f>SUM(C269:S269)</f>
        <v/>
      </c>
      <c r="C269" s="1172" t="n"/>
      <c r="D269" s="2001" t="n"/>
      <c r="E269" s="2001" t="n"/>
      <c r="F269" s="2001" t="n"/>
      <c r="G269" s="2001" t="n"/>
      <c r="H269" s="2001" t="n"/>
      <c r="I269" s="2001" t="n"/>
      <c r="J269" s="2001" t="n"/>
      <c r="K269" s="2001" t="n"/>
      <c r="L269" s="2001" t="n"/>
      <c r="M269" s="2001" t="n"/>
      <c r="N269" s="2001" t="n"/>
      <c r="O269" s="2001" t="n"/>
      <c r="P269" s="2001" t="n"/>
      <c r="Q269" s="2001" t="n"/>
      <c r="R269" s="2001" t="n"/>
      <c r="S269" s="3788" t="n"/>
    </row>
    <row r="270" ht="22.5" customHeight="1" s="8286">
      <c r="A270" s="1209" t="inlineStr">
        <is>
          <t>Cojines y respaldos para la estabilización y posicionamiento del cuerpo</t>
        </is>
      </c>
      <c r="B270" s="1121">
        <f>SUM(C270:S270)</f>
        <v/>
      </c>
      <c r="C270" s="1172" t="n"/>
      <c r="D270" s="2001" t="n"/>
      <c r="E270" s="2001" t="n"/>
      <c r="F270" s="2001" t="n"/>
      <c r="G270" s="2001" t="n"/>
      <c r="H270" s="2001" t="n"/>
      <c r="I270" s="2001" t="n"/>
      <c r="J270" s="2001" t="n"/>
      <c r="K270" s="2001" t="n"/>
      <c r="L270" s="2001" t="n"/>
      <c r="M270" s="2001" t="n"/>
      <c r="N270" s="2001" t="n"/>
      <c r="O270" s="2001" t="n"/>
      <c r="P270" s="2001" t="n"/>
      <c r="Q270" s="2001" t="n"/>
      <c r="R270" s="2001" t="n"/>
      <c r="S270" s="3788" t="n"/>
    </row>
    <row r="271" ht="22.5" customHeight="1" s="8286">
      <c r="A271" s="1209" t="inlineStr">
        <is>
          <t>Ayudas técnicas para actividades de alimentación, vestuario e higiene personal</t>
        </is>
      </c>
      <c r="B271" s="1121">
        <f>SUM(C271:S271)</f>
        <v/>
      </c>
      <c r="C271" s="1172" t="n"/>
      <c r="D271" s="2001" t="n"/>
      <c r="E271" s="2001" t="n"/>
      <c r="F271" s="2001" t="n"/>
      <c r="G271" s="2001" t="n"/>
      <c r="H271" s="2001" t="n"/>
      <c r="I271" s="2001" t="n"/>
      <c r="J271" s="2001" t="n"/>
      <c r="K271" s="2001" t="n"/>
      <c r="L271" s="2001" t="n"/>
      <c r="M271" s="2001" t="n"/>
      <c r="N271" s="2001" t="n"/>
      <c r="O271" s="2001" t="n"/>
      <c r="P271" s="2001" t="n"/>
      <c r="Q271" s="2001" t="n"/>
      <c r="R271" s="2001" t="n"/>
      <c r="S271" s="3788" t="n"/>
    </row>
    <row r="272">
      <c r="A272" s="1121" t="inlineStr">
        <is>
          <t>Sistema compresivo</t>
        </is>
      </c>
      <c r="B272" s="1121">
        <f>SUM(C272:S272)</f>
        <v/>
      </c>
      <c r="C272" s="1172" t="n"/>
      <c r="D272" s="2001" t="n"/>
      <c r="E272" s="2001" t="n"/>
      <c r="F272" s="2001" t="n"/>
      <c r="G272" s="2001" t="n"/>
      <c r="H272" s="2001" t="n"/>
      <c r="I272" s="2001" t="n"/>
      <c r="J272" s="2001" t="n"/>
      <c r="K272" s="2001" t="n"/>
      <c r="L272" s="2001" t="n"/>
      <c r="M272" s="2001" t="n"/>
      <c r="N272" s="2001" t="n"/>
      <c r="O272" s="2001" t="n"/>
      <c r="P272" s="2001" t="n"/>
      <c r="Q272" s="2001" t="n"/>
      <c r="R272" s="2001" t="n"/>
      <c r="S272" s="3788" t="n"/>
    </row>
    <row r="273">
      <c r="A273" s="1121" t="inlineStr">
        <is>
          <t>Prótesis extremidad inferior transtibial</t>
        </is>
      </c>
      <c r="B273" s="1121">
        <f>SUM(C273:S273)</f>
        <v/>
      </c>
      <c r="C273" s="1172" t="n"/>
      <c r="D273" s="2001" t="n"/>
      <c r="E273" s="2001" t="n"/>
      <c r="F273" s="2001" t="n"/>
      <c r="G273" s="2001" t="n"/>
      <c r="H273" s="2001" t="n"/>
      <c r="I273" s="2001" t="n"/>
      <c r="J273" s="2001" t="n"/>
      <c r="K273" s="2001" t="n"/>
      <c r="L273" s="2001" t="n"/>
      <c r="M273" s="2001" t="n"/>
      <c r="N273" s="2001" t="n"/>
      <c r="O273" s="2001" t="n"/>
      <c r="P273" s="2001" t="n"/>
      <c r="Q273" s="2001" t="n"/>
      <c r="R273" s="2001" t="n"/>
      <c r="S273" s="3788" t="n"/>
    </row>
    <row r="274">
      <c r="A274" s="1121" t="inlineStr">
        <is>
          <t>Prótesis extremidad inferior transfemoral</t>
        </is>
      </c>
      <c r="B274" s="1121">
        <f>SUM(C274:S274)</f>
        <v/>
      </c>
      <c r="C274" s="1172" t="n"/>
      <c r="D274" s="2001" t="n"/>
      <c r="E274" s="2001" t="n"/>
      <c r="F274" s="2001" t="n"/>
      <c r="G274" s="2001" t="n"/>
      <c r="H274" s="2001" t="n"/>
      <c r="I274" s="2001" t="n"/>
      <c r="J274" s="2001" t="n"/>
      <c r="K274" s="2001" t="n"/>
      <c r="L274" s="2001" t="n"/>
      <c r="M274" s="2001" t="n"/>
      <c r="N274" s="2001" t="n"/>
      <c r="O274" s="2001" t="n"/>
      <c r="P274" s="2001" t="n"/>
      <c r="Q274" s="2001" t="n"/>
      <c r="R274" s="2001" t="n"/>
      <c r="S274" s="3788" t="n"/>
    </row>
    <row r="275">
      <c r="A275" s="1121" t="inlineStr">
        <is>
          <t>Otras prótesis extremidad inferior</t>
        </is>
      </c>
      <c r="B275" s="1121">
        <f>SUM(C275:S275)</f>
        <v/>
      </c>
      <c r="C275" s="1172" t="n"/>
      <c r="D275" s="2001" t="n"/>
      <c r="E275" s="2001" t="n"/>
      <c r="F275" s="2001" t="n"/>
      <c r="G275" s="2001" t="n"/>
      <c r="H275" s="2001" t="n"/>
      <c r="I275" s="2001" t="n"/>
      <c r="J275" s="2001" t="n"/>
      <c r="K275" s="2001" t="n"/>
      <c r="L275" s="2001" t="n"/>
      <c r="M275" s="2001" t="n"/>
      <c r="N275" s="2001" t="n"/>
      <c r="O275" s="2001" t="n"/>
      <c r="P275" s="2001" t="n"/>
      <c r="Q275" s="2001" t="n"/>
      <c r="R275" s="2001" t="n"/>
      <c r="S275" s="3788" t="n"/>
    </row>
    <row r="276">
      <c r="A276" s="1121" t="inlineStr">
        <is>
          <t>Prótesis extremidad superior</t>
        </is>
      </c>
      <c r="B276" s="1121">
        <f>SUM(C276:S276)</f>
        <v/>
      </c>
      <c r="C276" s="1172" t="n"/>
      <c r="D276" s="2001" t="n"/>
      <c r="E276" s="2001" t="n"/>
      <c r="F276" s="2001" t="n"/>
      <c r="G276" s="2001" t="n"/>
      <c r="H276" s="2001" t="n"/>
      <c r="I276" s="2001" t="n"/>
      <c r="J276" s="2001" t="n"/>
      <c r="K276" s="2001" t="n"/>
      <c r="L276" s="2001" t="n"/>
      <c r="M276" s="2001" t="n"/>
      <c r="N276" s="2001" t="n"/>
      <c r="O276" s="2001" t="n"/>
      <c r="P276" s="2001" t="n"/>
      <c r="Q276" s="2001" t="n"/>
      <c r="R276" s="2001" t="n"/>
      <c r="S276" s="3788" t="n"/>
    </row>
    <row r="277">
      <c r="A277" s="1121" t="inlineStr">
        <is>
          <t>Audífonos</t>
        </is>
      </c>
      <c r="B277" s="1121">
        <f>SUM(C277:S277)</f>
        <v/>
      </c>
      <c r="C277" s="1172" t="n"/>
      <c r="D277" s="2001" t="n"/>
      <c r="E277" s="2001" t="n"/>
      <c r="F277" s="2001" t="n"/>
      <c r="G277" s="2001" t="n"/>
      <c r="H277" s="2001" t="n"/>
      <c r="I277" s="2001" t="n"/>
      <c r="J277" s="2001" t="n"/>
      <c r="K277" s="2001" t="n"/>
      <c r="L277" s="2001" t="n"/>
      <c r="M277" s="2001" t="n"/>
      <c r="N277" s="2001" t="n"/>
      <c r="O277" s="2001" t="n"/>
      <c r="P277" s="2001" t="n"/>
      <c r="Q277" s="2001" t="n"/>
      <c r="R277" s="2001" t="n"/>
      <c r="S277" s="3788" t="n"/>
    </row>
    <row r="278">
      <c r="A278" s="1121" t="inlineStr">
        <is>
          <t>Lentes</t>
        </is>
      </c>
      <c r="B278" s="1121">
        <f>SUM(C278:S278)</f>
        <v/>
      </c>
      <c r="C278" s="1172" t="n"/>
      <c r="D278" s="2001" t="n"/>
      <c r="E278" s="2001" t="n"/>
      <c r="F278" s="2001" t="n"/>
      <c r="G278" s="2001" t="n"/>
      <c r="H278" s="2001" t="n"/>
      <c r="I278" s="2001" t="n"/>
      <c r="J278" s="2001" t="n"/>
      <c r="K278" s="2001" t="n"/>
      <c r="L278" s="2001" t="n"/>
      <c r="M278" s="2001" t="n"/>
      <c r="N278" s="2001" t="n"/>
      <c r="O278" s="2001" t="n"/>
      <c r="P278" s="2001" t="n"/>
      <c r="Q278" s="2001" t="n"/>
      <c r="R278" s="2001" t="n"/>
      <c r="S278" s="3788" t="n"/>
    </row>
    <row r="279">
      <c r="A279" s="1121" t="inlineStr">
        <is>
          <t>Plantilla ortopédica</t>
        </is>
      </c>
      <c r="B279" s="1121">
        <f>SUM(C279:S279)</f>
        <v/>
      </c>
      <c r="C279" s="1172" t="n"/>
      <c r="D279" s="2001" t="n"/>
      <c r="E279" s="2001" t="n"/>
      <c r="F279" s="2001" t="n"/>
      <c r="G279" s="2001" t="n"/>
      <c r="H279" s="2001" t="n"/>
      <c r="I279" s="2001" t="n"/>
      <c r="J279" s="2001" t="n"/>
      <c r="K279" s="2001" t="n"/>
      <c r="L279" s="2001" t="n"/>
      <c r="M279" s="2001" t="n"/>
      <c r="N279" s="2001" t="n"/>
      <c r="O279" s="2001" t="n"/>
      <c r="P279" s="2001" t="n"/>
      <c r="Q279" s="2001" t="n"/>
      <c r="R279" s="2001" t="n"/>
      <c r="S279" s="3788" t="n"/>
    </row>
    <row r="280">
      <c r="A280" s="1121" t="inlineStr">
        <is>
          <t>Bota o botín de descarga</t>
        </is>
      </c>
      <c r="B280" s="1121">
        <f>SUM(C280:S280)</f>
        <v/>
      </c>
      <c r="C280" s="1172" t="n"/>
      <c r="D280" s="2001" t="n"/>
      <c r="E280" s="2001" t="n"/>
      <c r="F280" s="2001" t="n"/>
      <c r="G280" s="2001" t="n"/>
      <c r="H280" s="2001" t="n"/>
      <c r="I280" s="2001" t="n"/>
      <c r="J280" s="2001" t="n"/>
      <c r="K280" s="2001" t="n"/>
      <c r="L280" s="2001" t="n"/>
      <c r="M280" s="2001" t="n"/>
      <c r="N280" s="2001" t="n"/>
      <c r="O280" s="2001" t="n"/>
      <c r="P280" s="2001" t="n"/>
      <c r="Q280" s="2001" t="n"/>
      <c r="R280" s="2001" t="n"/>
      <c r="S280" s="3788" t="n"/>
    </row>
    <row r="281">
      <c r="A281" s="1308" t="inlineStr">
        <is>
          <t>Zapato ortopédico</t>
        </is>
      </c>
      <c r="B281" s="1121">
        <f>SUM(C281:S281)</f>
        <v/>
      </c>
      <c r="C281" s="1935" t="n"/>
      <c r="D281" s="793" t="n"/>
      <c r="E281" s="793" t="n"/>
      <c r="F281" s="793" t="n"/>
      <c r="G281" s="793" t="n"/>
      <c r="H281" s="793" t="n"/>
      <c r="I281" s="793" t="n"/>
      <c r="J281" s="793" t="n"/>
      <c r="K281" s="793" t="n"/>
      <c r="L281" s="793" t="n"/>
      <c r="M281" s="793" t="n"/>
      <c r="N281" s="793" t="n"/>
      <c r="O281" s="793" t="n"/>
      <c r="P281" s="793" t="n"/>
      <c r="Q281" s="793" t="n"/>
      <c r="R281" s="793" t="n"/>
      <c r="S281" s="3805" t="n"/>
    </row>
    <row r="282">
      <c r="A282" s="1308" t="inlineStr">
        <is>
          <t>Baño portátil</t>
        </is>
      </c>
      <c r="B282" s="1121">
        <f>SUM(C282:S282)</f>
        <v/>
      </c>
      <c r="C282" s="1172" t="n"/>
      <c r="D282" s="2001" t="n"/>
      <c r="E282" s="2001" t="n"/>
      <c r="F282" s="2001" t="n"/>
      <c r="G282" s="2001" t="n"/>
      <c r="H282" s="2001" t="n"/>
      <c r="I282" s="2001" t="n"/>
      <c r="J282" s="2001" t="n"/>
      <c r="K282" s="2001" t="n"/>
      <c r="L282" s="2001" t="n"/>
      <c r="M282" s="2001" t="n"/>
      <c r="N282" s="2001" t="n"/>
      <c r="O282" s="2001" t="n"/>
      <c r="P282" s="2001" t="n"/>
      <c r="Q282" s="2001" t="n"/>
      <c r="R282" s="2001" t="n"/>
      <c r="S282" s="3788" t="n"/>
    </row>
    <row r="283" ht="15" customHeight="1" s="8286">
      <c r="A283" s="1361" t="inlineStr">
        <is>
          <t>Tecnologías de la Comunicación Aumentativa y Alternativas</t>
        </is>
      </c>
      <c r="B283" s="1121">
        <f>SUM(C283:S283)</f>
        <v/>
      </c>
      <c r="C283" s="1172" t="n"/>
      <c r="D283" s="2001" t="n"/>
      <c r="E283" s="2001" t="n"/>
      <c r="F283" s="2001" t="n"/>
      <c r="G283" s="2001" t="n"/>
      <c r="H283" s="2001" t="n"/>
      <c r="I283" s="2001" t="n"/>
      <c r="J283" s="2001" t="n"/>
      <c r="K283" s="2001" t="n"/>
      <c r="L283" s="2001" t="n"/>
      <c r="M283" s="2001" t="n"/>
      <c r="N283" s="2001" t="n"/>
      <c r="O283" s="2001" t="n"/>
      <c r="P283" s="2001" t="n"/>
      <c r="Q283" s="2001" t="n"/>
      <c r="R283" s="2001" t="n"/>
      <c r="S283" s="3788" t="n"/>
    </row>
    <row r="284">
      <c r="A284" s="1308" t="inlineStr">
        <is>
          <t>Equipo ventilador mecánico no invasivo</t>
        </is>
      </c>
      <c r="B284" s="1121">
        <f>SUM(C284:S284)</f>
        <v/>
      </c>
      <c r="C284" s="1172" t="n"/>
      <c r="D284" s="2001" t="n"/>
      <c r="E284" s="2001" t="n"/>
      <c r="F284" s="2001" t="n"/>
      <c r="G284" s="2001" t="n"/>
      <c r="H284" s="2001" t="n"/>
      <c r="I284" s="2001" t="n"/>
      <c r="J284" s="2001" t="n"/>
      <c r="K284" s="2001" t="n"/>
      <c r="L284" s="2001" t="n"/>
      <c r="M284" s="2001" t="n"/>
      <c r="N284" s="2001" t="n"/>
      <c r="O284" s="2001" t="n"/>
      <c r="P284" s="2001" t="n"/>
      <c r="Q284" s="2001" t="n"/>
      <c r="R284" s="2001" t="n"/>
      <c r="S284" s="3788" t="n"/>
    </row>
    <row r="285">
      <c r="A285" s="1308" t="inlineStr">
        <is>
          <t>Aspirador de secreciones</t>
        </is>
      </c>
      <c r="B285" s="1121">
        <f>SUM(C285:S285)</f>
        <v/>
      </c>
      <c r="C285" s="1172" t="n"/>
      <c r="D285" s="2001" t="n"/>
      <c r="E285" s="2001" t="n"/>
      <c r="F285" s="2001" t="n"/>
      <c r="G285" s="2001" t="n"/>
      <c r="H285" s="2001" t="n"/>
      <c r="I285" s="2001" t="n"/>
      <c r="J285" s="2001" t="n"/>
      <c r="K285" s="2001" t="n"/>
      <c r="L285" s="2001" t="n"/>
      <c r="M285" s="2001" t="n"/>
      <c r="N285" s="2001" t="n"/>
      <c r="O285" s="2001" t="n"/>
      <c r="P285" s="2001" t="n"/>
      <c r="Q285" s="2001" t="n"/>
      <c r="R285" s="2001" t="n"/>
      <c r="S285" s="3788" t="n"/>
    </row>
    <row r="286">
      <c r="A286" s="9233" t="inlineStr">
        <is>
          <t>Otras</t>
        </is>
      </c>
      <c r="B286" s="3598">
        <f>SUM(C286:S286)</f>
        <v/>
      </c>
      <c r="C286" s="3808" t="n"/>
      <c r="D286" s="3599" t="n"/>
      <c r="E286" s="3599" t="n"/>
      <c r="F286" s="3599" t="n"/>
      <c r="G286" s="3599" t="n"/>
      <c r="H286" s="3599" t="n"/>
      <c r="I286" s="3599" t="n"/>
      <c r="J286" s="3599" t="n"/>
      <c r="K286" s="3599" t="n"/>
      <c r="L286" s="3599" t="n"/>
      <c r="M286" s="3599" t="n"/>
      <c r="N286" s="3599" t="n"/>
      <c r="O286" s="3599" t="n"/>
      <c r="P286" s="3599" t="n"/>
      <c r="Q286" s="3599" t="n"/>
      <c r="R286" s="3599" t="n"/>
      <c r="S286" s="1192" t="n"/>
    </row>
    <row r="287" ht="18" customHeight="1" s="8286">
      <c r="A287" s="8744" t="inlineStr">
        <is>
          <t>SECCIÓN C.3: AYUDAS TÉCNICAS POR CONDICIÓN DE SALUD</t>
        </is>
      </c>
      <c r="B287" s="8744" t="n"/>
      <c r="C287" s="7" t="n"/>
      <c r="D287" s="7" t="n"/>
      <c r="E287" s="7" t="n"/>
      <c r="F287" s="7" t="n"/>
      <c r="G287" s="7" t="n"/>
      <c r="H287" s="7" t="n"/>
      <c r="I287" s="7" t="n"/>
      <c r="J287" s="7" t="n"/>
      <c r="K287" s="7" t="n"/>
      <c r="L287" s="7" t="n"/>
      <c r="M287" s="7" t="n"/>
      <c r="N287" s="7" t="n"/>
      <c r="O287" s="7" t="n"/>
      <c r="P287" s="7" t="n"/>
      <c r="Q287" s="7" t="n"/>
      <c r="R287" s="7" t="n"/>
      <c r="S287" s="7" t="n"/>
    </row>
    <row r="288">
      <c r="A288" s="9690" t="inlineStr">
        <is>
          <t>TOTAL AYUDA TÉCNICA POR CONDICIÓN DE SALUD</t>
        </is>
      </c>
      <c r="B288" s="10329" t="inlineStr">
        <is>
          <t>TOTAL</t>
        </is>
      </c>
      <c r="C288" s="9977" t="inlineStr">
        <is>
          <t xml:space="preserve"> RANGO ETARIO</t>
        </is>
      </c>
      <c r="D288" s="9584" t="n"/>
      <c r="E288" s="9584" t="n"/>
      <c r="F288" s="9584" t="n"/>
      <c r="G288" s="9584" t="n"/>
      <c r="H288" s="9584" t="n"/>
      <c r="I288" s="9584" t="n"/>
      <c r="J288" s="9584" t="n"/>
      <c r="K288" s="9584" t="n"/>
      <c r="L288" s="9584" t="n"/>
      <c r="M288" s="9584" t="n"/>
      <c r="N288" s="9584" t="n"/>
      <c r="O288" s="9584" t="n"/>
      <c r="P288" s="9584" t="n"/>
      <c r="Q288" s="9584" t="n"/>
      <c r="R288" s="9584" t="n"/>
      <c r="S288" s="9582" t="n"/>
    </row>
    <row r="289">
      <c r="A289" s="9589" t="n"/>
      <c r="B289" s="9589" t="n"/>
      <c r="C289" s="4206" t="inlineStr">
        <is>
          <t>0 - 4 años</t>
        </is>
      </c>
      <c r="D289" s="4207" t="inlineStr">
        <is>
          <t>5 - 9 años</t>
        </is>
      </c>
      <c r="E289" s="4207" t="inlineStr">
        <is>
          <t>10 - 14 años</t>
        </is>
      </c>
      <c r="F289" s="4207" t="inlineStr">
        <is>
          <t>15 - 19 años</t>
        </is>
      </c>
      <c r="G289" s="4207" t="inlineStr">
        <is>
          <t>20 - 24 años</t>
        </is>
      </c>
      <c r="H289" s="4207" t="inlineStr">
        <is>
          <t>25-29 años</t>
        </is>
      </c>
      <c r="I289" s="4207" t="inlineStr">
        <is>
          <t>30-34 años</t>
        </is>
      </c>
      <c r="J289" s="4207" t="inlineStr">
        <is>
          <t>35 - 39 años</t>
        </is>
      </c>
      <c r="K289" s="4207" t="inlineStr">
        <is>
          <t>40 - 44 años</t>
        </is>
      </c>
      <c r="L289" s="4207" t="inlineStr">
        <is>
          <t>45- 49 años</t>
        </is>
      </c>
      <c r="M289" s="4207" t="inlineStr">
        <is>
          <t>50 - 54 años</t>
        </is>
      </c>
      <c r="N289" s="4207" t="inlineStr">
        <is>
          <t>55 - 59 años</t>
        </is>
      </c>
      <c r="O289" s="4207" t="inlineStr">
        <is>
          <t>60 - 64 años</t>
        </is>
      </c>
      <c r="P289" s="4207" t="inlineStr">
        <is>
          <t>65 - 69 años</t>
        </is>
      </c>
      <c r="Q289" s="4207" t="inlineStr">
        <is>
          <t>70 - 74 años</t>
        </is>
      </c>
      <c r="R289" s="4207" t="inlineStr">
        <is>
          <t>75 - 79 años</t>
        </is>
      </c>
      <c r="S289" s="4285" t="inlineStr">
        <is>
          <t>80 y más años</t>
        </is>
      </c>
    </row>
    <row r="290">
      <c r="A290" s="9232" t="inlineStr">
        <is>
          <t>Traumatismo encéfalo craneano (TEC)</t>
        </is>
      </c>
      <c r="B290" s="1267">
        <f>SUM(C290:S290)</f>
        <v/>
      </c>
      <c r="C290" s="793" t="n"/>
      <c r="D290" s="793" t="n"/>
      <c r="E290" s="793" t="n"/>
      <c r="F290" s="793" t="n"/>
      <c r="G290" s="793" t="n"/>
      <c r="H290" s="793" t="n"/>
      <c r="I290" s="793" t="n"/>
      <c r="J290" s="793" t="n"/>
      <c r="K290" s="793" t="n"/>
      <c r="L290" s="793" t="n"/>
      <c r="M290" s="793" t="n"/>
      <c r="N290" s="793" t="n"/>
      <c r="O290" s="793" t="n"/>
      <c r="P290" s="793" t="n"/>
      <c r="Q290" s="793" t="n"/>
      <c r="R290" s="793" t="n"/>
      <c r="S290" s="3805" t="n"/>
    </row>
    <row r="291">
      <c r="A291" s="4185" t="inlineStr">
        <is>
          <t>Disrafias espinales</t>
        </is>
      </c>
      <c r="B291" s="1267">
        <f>SUM(C291:S291)</f>
        <v/>
      </c>
      <c r="C291" s="2001" t="n"/>
      <c r="D291" s="2001" t="n"/>
      <c r="E291" s="2001" t="n"/>
      <c r="F291" s="2001" t="n"/>
      <c r="G291" s="2001" t="n"/>
      <c r="H291" s="2001" t="n"/>
      <c r="I291" s="2001" t="n"/>
      <c r="J291" s="2001" t="n"/>
      <c r="K291" s="2001" t="n"/>
      <c r="L291" s="2001" t="n"/>
      <c r="M291" s="2001" t="n"/>
      <c r="N291" s="2001" t="n"/>
      <c r="O291" s="2001" t="n"/>
      <c r="P291" s="2001" t="n"/>
      <c r="Q291" s="2001" t="n"/>
      <c r="R291" s="2001" t="n"/>
      <c r="S291" s="3788" t="n"/>
    </row>
    <row r="292">
      <c r="A292" s="8053" t="inlineStr">
        <is>
          <t>Lesión medular</t>
        </is>
      </c>
      <c r="B292" s="1267">
        <f>SUM(C292:S292)</f>
        <v/>
      </c>
      <c r="C292" s="2001" t="n"/>
      <c r="D292" s="2001" t="n"/>
      <c r="E292" s="2001" t="n"/>
      <c r="F292" s="2001" t="n"/>
      <c r="G292" s="2001" t="n"/>
      <c r="H292" s="2001" t="n"/>
      <c r="I292" s="2001" t="n"/>
      <c r="J292" s="2001" t="n"/>
      <c r="K292" s="2001" t="n"/>
      <c r="L292" s="2001" t="n"/>
      <c r="M292" s="2001" t="n"/>
      <c r="N292" s="2001" t="n"/>
      <c r="O292" s="2001" t="n"/>
      <c r="P292" s="2001" t="n"/>
      <c r="Q292" s="2001" t="n"/>
      <c r="R292" s="2001" t="n"/>
      <c r="S292" s="3788" t="n"/>
    </row>
    <row r="293">
      <c r="A293" s="8053" t="inlineStr">
        <is>
          <t>Ataque cerebro vascular (ACV)</t>
        </is>
      </c>
      <c r="B293" s="1267">
        <f>SUM(C293:S293)</f>
        <v/>
      </c>
      <c r="C293" s="2001" t="n"/>
      <c r="D293" s="2001" t="n"/>
      <c r="E293" s="2001" t="n"/>
      <c r="F293" s="2001" t="n"/>
      <c r="G293" s="2001" t="n"/>
      <c r="H293" s="2001" t="n"/>
      <c r="I293" s="2001" t="n"/>
      <c r="J293" s="2001" t="n"/>
      <c r="K293" s="2001" t="n"/>
      <c r="L293" s="2001" t="n"/>
      <c r="M293" s="2001" t="n"/>
      <c r="N293" s="2001" t="n"/>
      <c r="O293" s="2001" t="n"/>
      <c r="P293" s="2001" t="n"/>
      <c r="Q293" s="2001" t="n"/>
      <c r="R293" s="2001" t="n"/>
      <c r="S293" s="3788" t="n"/>
    </row>
    <row r="294">
      <c r="A294" s="4185" t="inlineStr">
        <is>
          <t>Parálisis cerebral</t>
        </is>
      </c>
      <c r="B294" s="1267">
        <f>SUM(C294:S294)</f>
        <v/>
      </c>
      <c r="C294" s="2001" t="n"/>
      <c r="D294" s="2001" t="n"/>
      <c r="E294" s="2001" t="n"/>
      <c r="F294" s="2001" t="n"/>
      <c r="G294" s="2001" t="n"/>
      <c r="H294" s="2001" t="n"/>
      <c r="I294" s="2001" t="n"/>
      <c r="J294" s="2001" t="n"/>
      <c r="K294" s="2001" t="n"/>
      <c r="L294" s="2001" t="n"/>
      <c r="M294" s="2001" t="n"/>
      <c r="N294" s="2001" t="n"/>
      <c r="O294" s="2001" t="n"/>
      <c r="P294" s="2001" t="n"/>
      <c r="Q294" s="2001" t="n"/>
      <c r="R294" s="2001" t="n"/>
      <c r="S294" s="3788" t="n"/>
    </row>
    <row r="295">
      <c r="A295" s="1934" t="inlineStr">
        <is>
          <t>Enfermedad de Parkinson</t>
        </is>
      </c>
      <c r="B295" s="1267">
        <f>SUM(C295:S295)</f>
        <v/>
      </c>
      <c r="C295" s="2001" t="n"/>
      <c r="D295" s="2001" t="n"/>
      <c r="E295" s="2001" t="n"/>
      <c r="F295" s="2001" t="n"/>
      <c r="G295" s="2001" t="n"/>
      <c r="H295" s="2001" t="n"/>
      <c r="I295" s="2001" t="n"/>
      <c r="J295" s="2001" t="n"/>
      <c r="K295" s="2001" t="n"/>
      <c r="L295" s="2001" t="n"/>
      <c r="M295" s="2001" t="n"/>
      <c r="N295" s="2001" t="n"/>
      <c r="O295" s="2001" t="n"/>
      <c r="P295" s="2001" t="n"/>
      <c r="Q295" s="2001" t="n"/>
      <c r="R295" s="2001" t="n"/>
      <c r="S295" s="3788" t="n"/>
    </row>
    <row r="296">
      <c r="A296" s="1934" t="inlineStr">
        <is>
          <t>Esclerosis lateral amiotrófica</t>
        </is>
      </c>
      <c r="B296" s="1267">
        <f>SUM(C296:S296)</f>
        <v/>
      </c>
      <c r="C296" s="2001" t="n"/>
      <c r="D296" s="2001" t="n"/>
      <c r="E296" s="2001" t="n"/>
      <c r="F296" s="2001" t="n"/>
      <c r="G296" s="2001" t="n"/>
      <c r="H296" s="2001" t="n"/>
      <c r="I296" s="2001" t="n"/>
      <c r="J296" s="2001" t="n"/>
      <c r="K296" s="2001" t="n"/>
      <c r="L296" s="2001" t="n"/>
      <c r="M296" s="2001" t="n"/>
      <c r="N296" s="2001" t="n"/>
      <c r="O296" s="2001" t="n"/>
      <c r="P296" s="2001" t="n"/>
      <c r="Q296" s="2001" t="n"/>
      <c r="R296" s="2001" t="n"/>
      <c r="S296" s="3788" t="n"/>
    </row>
    <row r="297">
      <c r="A297" s="1934" t="inlineStr">
        <is>
          <t>Otras neurológicas</t>
        </is>
      </c>
      <c r="B297" s="1267">
        <f>SUM(C297:S297)</f>
        <v/>
      </c>
      <c r="C297" s="2001" t="n"/>
      <c r="D297" s="2001" t="n"/>
      <c r="E297" s="2001" t="n"/>
      <c r="F297" s="2001" t="n"/>
      <c r="G297" s="2001" t="n"/>
      <c r="H297" s="2001" t="n"/>
      <c r="I297" s="2001" t="n"/>
      <c r="J297" s="2001" t="n"/>
      <c r="K297" s="2001" t="n"/>
      <c r="L297" s="2001" t="n"/>
      <c r="M297" s="2001" t="n"/>
      <c r="N297" s="2001" t="n"/>
      <c r="O297" s="2001" t="n"/>
      <c r="P297" s="2001" t="n"/>
      <c r="Q297" s="2001" t="n"/>
      <c r="R297" s="2001" t="n"/>
      <c r="S297" s="3788" t="n"/>
    </row>
    <row r="298">
      <c r="A298" s="4185" t="inlineStr">
        <is>
          <t>Dolor musculoesquelético crónico</t>
        </is>
      </c>
      <c r="B298" s="1267">
        <f>SUM(C298:S298)</f>
        <v/>
      </c>
      <c r="C298" s="2001" t="n"/>
      <c r="D298" s="2001" t="n"/>
      <c r="E298" s="2001" t="n"/>
      <c r="F298" s="2001" t="n"/>
      <c r="G298" s="2001" t="n"/>
      <c r="H298" s="2001" t="n"/>
      <c r="I298" s="2001" t="n"/>
      <c r="J298" s="2001" t="n"/>
      <c r="K298" s="2001" t="n"/>
      <c r="L298" s="2001" t="n"/>
      <c r="M298" s="2001" t="n"/>
      <c r="N298" s="2001" t="n"/>
      <c r="O298" s="2001" t="n"/>
      <c r="P298" s="2001" t="n"/>
      <c r="Q298" s="2001" t="n"/>
      <c r="R298" s="2001" t="n"/>
      <c r="S298" s="3788" t="n"/>
    </row>
    <row r="299">
      <c r="A299" s="1934" t="inlineStr">
        <is>
          <t>Diabetes mellitus</t>
        </is>
      </c>
      <c r="B299" s="1267">
        <f>SUM(C299:S299)</f>
        <v/>
      </c>
      <c r="C299" s="2001" t="n"/>
      <c r="D299" s="2001" t="n"/>
      <c r="E299" s="2001" t="n"/>
      <c r="F299" s="2001" t="n"/>
      <c r="G299" s="2001" t="n"/>
      <c r="H299" s="2001" t="n"/>
      <c r="I299" s="2001" t="n"/>
      <c r="J299" s="2001" t="n"/>
      <c r="K299" s="2001" t="n"/>
      <c r="L299" s="2001" t="n"/>
      <c r="M299" s="2001" t="n"/>
      <c r="N299" s="2001" t="n"/>
      <c r="O299" s="2001" t="n"/>
      <c r="P299" s="2001" t="n"/>
      <c r="Q299" s="2001" t="n"/>
      <c r="R299" s="2001" t="n"/>
      <c r="S299" s="3788" t="n"/>
    </row>
    <row r="300">
      <c r="A300" s="4185" t="inlineStr">
        <is>
          <t>Amputación</t>
        </is>
      </c>
      <c r="B300" s="1267">
        <f>SUM(C300:S300)</f>
        <v/>
      </c>
      <c r="C300" s="2001" t="n"/>
      <c r="D300" s="2001" t="n"/>
      <c r="E300" s="2001" t="n"/>
      <c r="F300" s="2001" t="n"/>
      <c r="G300" s="2001" t="n"/>
      <c r="H300" s="2001" t="n"/>
      <c r="I300" s="2001" t="n"/>
      <c r="J300" s="2001" t="n"/>
      <c r="K300" s="2001" t="n"/>
      <c r="L300" s="2001" t="n"/>
      <c r="M300" s="2001" t="n"/>
      <c r="N300" s="2001" t="n"/>
      <c r="O300" s="2001" t="n"/>
      <c r="P300" s="2001" t="n"/>
      <c r="Q300" s="2001" t="n"/>
      <c r="R300" s="2001" t="n"/>
      <c r="S300" s="3788" t="n"/>
    </row>
    <row r="301">
      <c r="A301" s="1934" t="inlineStr">
        <is>
          <t>Oncológicos</t>
        </is>
      </c>
      <c r="B301" s="1267">
        <f>SUM(C301:S301)</f>
        <v/>
      </c>
      <c r="C301" s="2001" t="n"/>
      <c r="D301" s="2001" t="n"/>
      <c r="E301" s="2001" t="n"/>
      <c r="F301" s="2001" t="n"/>
      <c r="G301" s="2001" t="n"/>
      <c r="H301" s="2001" t="n"/>
      <c r="I301" s="2001" t="n"/>
      <c r="J301" s="2001" t="n"/>
      <c r="K301" s="2001" t="n"/>
      <c r="L301" s="2001" t="n"/>
      <c r="M301" s="2001" t="n"/>
      <c r="N301" s="2001" t="n"/>
      <c r="O301" s="2001" t="n"/>
      <c r="P301" s="2001" t="n"/>
      <c r="Q301" s="2001" t="n"/>
      <c r="R301" s="2001" t="n"/>
      <c r="S301" s="3788" t="n"/>
    </row>
    <row r="302">
      <c r="A302" s="4185" t="inlineStr">
        <is>
          <t>Quemados</t>
        </is>
      </c>
      <c r="B302" s="1267">
        <f>SUM(C302:S302)</f>
        <v/>
      </c>
      <c r="C302" s="793" t="n"/>
      <c r="D302" s="793" t="n"/>
      <c r="E302" s="793" t="n"/>
      <c r="F302" s="793" t="n"/>
      <c r="G302" s="793" t="n"/>
      <c r="H302" s="793" t="n"/>
      <c r="I302" s="793" t="n"/>
      <c r="J302" s="793" t="n"/>
      <c r="K302" s="793" t="n"/>
      <c r="L302" s="793" t="n"/>
      <c r="M302" s="793" t="n"/>
      <c r="N302" s="793" t="n"/>
      <c r="O302" s="793" t="n"/>
      <c r="P302" s="793" t="n"/>
      <c r="Q302" s="793" t="n"/>
      <c r="R302" s="793" t="n"/>
      <c r="S302" s="3805" t="n"/>
    </row>
    <row r="303">
      <c r="A303" s="1934" t="inlineStr">
        <is>
          <t>Sensorial auditivo</t>
        </is>
      </c>
      <c r="B303" s="1267">
        <f>SUM(C303:S303)</f>
        <v/>
      </c>
      <c r="C303" s="793" t="n"/>
      <c r="D303" s="793" t="n"/>
      <c r="E303" s="793" t="n"/>
      <c r="F303" s="793" t="n"/>
      <c r="G303" s="793" t="n"/>
      <c r="H303" s="793" t="n"/>
      <c r="I303" s="793" t="n"/>
      <c r="J303" s="793" t="n"/>
      <c r="K303" s="793" t="n"/>
      <c r="L303" s="793" t="n"/>
      <c r="M303" s="793" t="n"/>
      <c r="N303" s="793" t="n"/>
      <c r="O303" s="793" t="n"/>
      <c r="P303" s="793" t="n"/>
      <c r="Q303" s="793" t="n"/>
      <c r="R303" s="793" t="n"/>
      <c r="S303" s="3805" t="n"/>
    </row>
    <row r="304">
      <c r="A304" s="1934" t="inlineStr">
        <is>
          <t>Sensorial visual</t>
        </is>
      </c>
      <c r="B304" s="1267">
        <f>SUM(C304:S304)</f>
        <v/>
      </c>
      <c r="C304" s="793" t="n"/>
      <c r="D304" s="793" t="n"/>
      <c r="E304" s="793" t="n"/>
      <c r="F304" s="793" t="n"/>
      <c r="G304" s="793" t="n"/>
      <c r="H304" s="793" t="n"/>
      <c r="I304" s="793" t="n"/>
      <c r="J304" s="793" t="n"/>
      <c r="K304" s="793" t="n"/>
      <c r="L304" s="793" t="n"/>
      <c r="M304" s="793" t="n"/>
      <c r="N304" s="793" t="n"/>
      <c r="O304" s="793" t="n"/>
      <c r="P304" s="793" t="n"/>
      <c r="Q304" s="793" t="n"/>
      <c r="R304" s="793" t="n"/>
      <c r="S304" s="3805" t="n"/>
    </row>
    <row r="305">
      <c r="A305" s="4185" t="inlineStr">
        <is>
          <t>COVID-19</t>
        </is>
      </c>
      <c r="B305" s="1267">
        <f>SUM(C305:S305)</f>
        <v/>
      </c>
      <c r="C305" s="2001" t="n"/>
      <c r="D305" s="2001" t="n"/>
      <c r="E305" s="2001" t="n"/>
      <c r="F305" s="2001" t="n"/>
      <c r="G305" s="2001" t="n"/>
      <c r="H305" s="2001" t="n"/>
      <c r="I305" s="2001" t="n"/>
      <c r="J305" s="2001" t="n"/>
      <c r="K305" s="2001" t="n"/>
      <c r="L305" s="2001" t="n"/>
      <c r="M305" s="2001" t="n"/>
      <c r="N305" s="2001" t="n"/>
      <c r="O305" s="2001" t="n"/>
      <c r="P305" s="2001" t="n"/>
      <c r="Q305" s="2001" t="n"/>
      <c r="R305" s="2001" t="n"/>
      <c r="S305" s="3788" t="n"/>
    </row>
    <row r="306">
      <c r="A306" s="1327" t="inlineStr">
        <is>
          <t>Síndrome POST-UCI</t>
        </is>
      </c>
      <c r="B306" s="1267">
        <f>SUM(C306:S306)</f>
        <v/>
      </c>
      <c r="C306" s="2001" t="n"/>
      <c r="D306" s="2001" t="n"/>
      <c r="E306" s="2001" t="n"/>
      <c r="F306" s="2001" t="n"/>
      <c r="G306" s="2001" t="n"/>
      <c r="H306" s="2001" t="n"/>
      <c r="I306" s="2001" t="n"/>
      <c r="J306" s="2001" t="n"/>
      <c r="K306" s="2001" t="n"/>
      <c r="L306" s="2001" t="n"/>
      <c r="M306" s="2001" t="n"/>
      <c r="N306" s="2001" t="n"/>
      <c r="O306" s="2001" t="n"/>
      <c r="P306" s="2001" t="n"/>
      <c r="Q306" s="2001" t="n"/>
      <c r="R306" s="2001" t="n"/>
      <c r="S306" s="3788" t="n"/>
    </row>
    <row r="307">
      <c r="A307" s="1215" t="inlineStr">
        <is>
          <t>Persona mayor frágil</t>
        </is>
      </c>
      <c r="B307" s="1267">
        <f>SUM(C307:S307)</f>
        <v/>
      </c>
      <c r="C307" s="2001" t="n"/>
      <c r="D307" s="2001" t="n"/>
      <c r="E307" s="2001" t="n"/>
      <c r="F307" s="2001" t="n"/>
      <c r="G307" s="2001" t="n"/>
      <c r="H307" s="2001" t="n"/>
      <c r="I307" s="2001" t="n"/>
      <c r="J307" s="2001" t="n"/>
      <c r="K307" s="2001" t="n"/>
      <c r="L307" s="2001" t="n"/>
      <c r="M307" s="2001" t="n"/>
      <c r="N307" s="2001" t="n"/>
      <c r="O307" s="2001" t="n"/>
      <c r="P307" s="2001" t="n"/>
      <c r="Q307" s="2001" t="n"/>
      <c r="R307" s="2001" t="n"/>
      <c r="S307" s="3788" t="n"/>
    </row>
    <row r="308">
      <c r="A308" s="1215" t="inlineStr">
        <is>
          <t>Artritis reumatoidea</t>
        </is>
      </c>
      <c r="B308" s="1267">
        <f>SUM(C308:S308)</f>
        <v/>
      </c>
      <c r="C308" s="2001" t="n"/>
      <c r="D308" s="2001" t="n"/>
      <c r="E308" s="2001" t="n"/>
      <c r="F308" s="2001" t="n"/>
      <c r="G308" s="2001" t="n"/>
      <c r="H308" s="2001" t="n"/>
      <c r="I308" s="2001" t="n"/>
      <c r="J308" s="2001" t="n"/>
      <c r="K308" s="2001" t="n"/>
      <c r="L308" s="2001" t="n"/>
      <c r="M308" s="2001" t="n"/>
      <c r="N308" s="2001" t="n"/>
      <c r="O308" s="2001" t="n"/>
      <c r="P308" s="2001" t="n"/>
      <c r="Q308" s="2001" t="n"/>
      <c r="R308" s="2001" t="n"/>
      <c r="S308" s="3788" t="n"/>
    </row>
    <row r="309">
      <c r="A309" s="1215" t="inlineStr">
        <is>
          <t>Otras reumatológicas</t>
        </is>
      </c>
      <c r="B309" s="1362">
        <f>SUM(C309:S309)</f>
        <v/>
      </c>
      <c r="C309" s="1228" t="n"/>
      <c r="D309" s="1228" t="n"/>
      <c r="E309" s="1228" t="n"/>
      <c r="F309" s="1228" t="n"/>
      <c r="G309" s="1228" t="n"/>
      <c r="H309" s="1228" t="n"/>
      <c r="I309" s="1228" t="n"/>
      <c r="J309" s="1228" t="n"/>
      <c r="K309" s="1228" t="n"/>
      <c r="L309" s="1228" t="n"/>
      <c r="M309" s="1228" t="n"/>
      <c r="N309" s="1228" t="n"/>
      <c r="O309" s="1228" t="n"/>
      <c r="P309" s="1228" t="n"/>
      <c r="Q309" s="1228" t="n"/>
      <c r="R309" s="1228" t="n"/>
      <c r="S309" s="1180" t="n"/>
    </row>
    <row r="310">
      <c r="A310" s="4290" t="inlineStr">
        <is>
          <t>Otras condiciones de salud</t>
        </is>
      </c>
      <c r="B310" s="3937">
        <f>SUM(C310:S310)</f>
        <v/>
      </c>
      <c r="C310" s="3599" t="n"/>
      <c r="D310" s="3599" t="n"/>
      <c r="E310" s="3599" t="n"/>
      <c r="F310" s="3599" t="n"/>
      <c r="G310" s="3599" t="n"/>
      <c r="H310" s="3599" t="n"/>
      <c r="I310" s="3599" t="n"/>
      <c r="J310" s="3599" t="n"/>
      <c r="K310" s="3599" t="n"/>
      <c r="L310" s="3599" t="n"/>
      <c r="M310" s="3599" t="n"/>
      <c r="N310" s="3599" t="n"/>
      <c r="O310" s="3599" t="n"/>
      <c r="P310" s="3599" t="n"/>
      <c r="Q310" s="3599" t="n"/>
      <c r="R310" s="3599" t="n"/>
      <c r="S310" s="1192" t="n"/>
    </row>
    <row r="351" hidden="1" s="8286">
      <c r="A351" s="519">
        <f>SUM(B13:B24,B29:B52,B56:B60,B65:B68,B73:B76,B97:E97,B105:E105,B113:E113,B117:B118,B122:B124,C128:L143,B149:B177,B179:B183,B188:B194,B200:B205,B211:B214,B218:B221,B249,B254:B256,B260:B286,B290:B310)</f>
        <v/>
      </c>
      <c r="B351" s="519">
        <f>SUM(CM13:CQ214)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oT1qjh0pWKtqlgGqt4Un5Q==" formatRows="1" sort="1" spinCount="100000" hashValue="LTmpxVB9g6yjgo3DpHRLr98pSrtvjW9zLSa9ofbB2DT08l0VQemZ49xG0oWMijQN1XyPXAT67F4B+9cauW8zkA=="/>
  <mergeCells count="138">
    <mergeCell ref="A26:A28"/>
    <mergeCell ref="Y147:Z147"/>
    <mergeCell ref="A252:A253"/>
    <mergeCell ref="T197:X197"/>
    <mergeCell ref="A71:A72"/>
    <mergeCell ref="G147:H147"/>
    <mergeCell ref="I147:J147"/>
    <mergeCell ref="AA147:AB147"/>
    <mergeCell ref="AM26:AP26"/>
    <mergeCell ref="AC147:AD147"/>
    <mergeCell ref="B258:B259"/>
    <mergeCell ref="AG27:AH27"/>
    <mergeCell ref="AI27:AJ27"/>
    <mergeCell ref="C208:S209"/>
    <mergeCell ref="A132:A136"/>
    <mergeCell ref="AG147:AH147"/>
    <mergeCell ref="B288:B289"/>
    <mergeCell ref="E27:F27"/>
    <mergeCell ref="C54:F54"/>
    <mergeCell ref="B208:B210"/>
    <mergeCell ref="F120:F121"/>
    <mergeCell ref="O27:P27"/>
    <mergeCell ref="AS10:AS12"/>
    <mergeCell ref="Q27:R27"/>
    <mergeCell ref="C185:S186"/>
    <mergeCell ref="B54:B55"/>
    <mergeCell ref="B63:B64"/>
    <mergeCell ref="O11:P11"/>
    <mergeCell ref="Q11:R11"/>
    <mergeCell ref="AA11:AB11"/>
    <mergeCell ref="AC11:AD11"/>
    <mergeCell ref="T208:X208"/>
    <mergeCell ref="AE11:AF11"/>
    <mergeCell ref="AO27:AO28"/>
    <mergeCell ref="A185:A187"/>
    <mergeCell ref="C258:S258"/>
    <mergeCell ref="T185:X185"/>
    <mergeCell ref="A54:A55"/>
    <mergeCell ref="W198:X198"/>
    <mergeCell ref="H120:K120"/>
    <mergeCell ref="A128:A131"/>
    <mergeCell ref="B197:B199"/>
    <mergeCell ref="B26:D27"/>
    <mergeCell ref="E147:F147"/>
    <mergeCell ref="O147:P147"/>
    <mergeCell ref="X63:Z63"/>
    <mergeCell ref="Q147:R147"/>
    <mergeCell ref="E146:AL146"/>
    <mergeCell ref="U147:V147"/>
    <mergeCell ref="W209:X209"/>
    <mergeCell ref="AM147:AM148"/>
    <mergeCell ref="K27:L27"/>
    <mergeCell ref="AM27:AM28"/>
    <mergeCell ref="M27:N27"/>
    <mergeCell ref="A63:A64"/>
    <mergeCell ref="A115:A116"/>
    <mergeCell ref="W27:X27"/>
    <mergeCell ref="A197:A199"/>
    <mergeCell ref="Y27:Z27"/>
    <mergeCell ref="A146:A148"/>
    <mergeCell ref="W186:X186"/>
    <mergeCell ref="W11:X11"/>
    <mergeCell ref="W147:X147"/>
    <mergeCell ref="AC27:AD27"/>
    <mergeCell ref="B252:B253"/>
    <mergeCell ref="AE27:AF27"/>
    <mergeCell ref="AM10:AP10"/>
    <mergeCell ref="B71:B72"/>
    <mergeCell ref="G115:H115"/>
    <mergeCell ref="G11:H11"/>
    <mergeCell ref="I11:J11"/>
    <mergeCell ref="AQ10:AQ12"/>
    <mergeCell ref="G126:H126"/>
    <mergeCell ref="E26:AL26"/>
    <mergeCell ref="I126:J126"/>
    <mergeCell ref="K126:L126"/>
    <mergeCell ref="K11:L11"/>
    <mergeCell ref="A6:N6"/>
    <mergeCell ref="M11:N11"/>
    <mergeCell ref="AG11:AH11"/>
    <mergeCell ref="AI11:AJ11"/>
    <mergeCell ref="Y11:Z11"/>
    <mergeCell ref="B185:B187"/>
    <mergeCell ref="T209:V209"/>
    <mergeCell ref="C63:S63"/>
    <mergeCell ref="A120:A121"/>
    <mergeCell ref="AN11:AN12"/>
    <mergeCell ref="AP11:AP12"/>
    <mergeCell ref="C252:S252"/>
    <mergeCell ref="X71:Z71"/>
    <mergeCell ref="A258:A259"/>
    <mergeCell ref="AN27:AN28"/>
    <mergeCell ref="T63:W63"/>
    <mergeCell ref="B126:B127"/>
    <mergeCell ref="T71:W71"/>
    <mergeCell ref="S147:T147"/>
    <mergeCell ref="G54:H54"/>
    <mergeCell ref="K147:L147"/>
    <mergeCell ref="A288:A289"/>
    <mergeCell ref="M147:N147"/>
    <mergeCell ref="AE147:AF147"/>
    <mergeCell ref="AK27:AL27"/>
    <mergeCell ref="G120:G121"/>
    <mergeCell ref="B146:D147"/>
    <mergeCell ref="AI147:AJ147"/>
    <mergeCell ref="AK147:AL147"/>
    <mergeCell ref="G27:H27"/>
    <mergeCell ref="T198:V198"/>
    <mergeCell ref="I27:J27"/>
    <mergeCell ref="C288:S288"/>
    <mergeCell ref="AA27:AB27"/>
    <mergeCell ref="C126:D126"/>
    <mergeCell ref="S27:T27"/>
    <mergeCell ref="B120:B121"/>
    <mergeCell ref="E126:F126"/>
    <mergeCell ref="U27:V27"/>
    <mergeCell ref="A137:A142"/>
    <mergeCell ref="C120:E120"/>
    <mergeCell ref="S11:T11"/>
    <mergeCell ref="U11:V11"/>
    <mergeCell ref="A10:A12"/>
    <mergeCell ref="AM146:AO146"/>
    <mergeCell ref="A126:A127"/>
    <mergeCell ref="AM11:AM12"/>
    <mergeCell ref="AP27:AP28"/>
    <mergeCell ref="AK11:AL11"/>
    <mergeCell ref="E11:F11"/>
    <mergeCell ref="T186:V186"/>
    <mergeCell ref="C71:S71"/>
    <mergeCell ref="B10:D11"/>
    <mergeCell ref="C197:S198"/>
    <mergeCell ref="AN147:AO147"/>
    <mergeCell ref="E10:AL10"/>
    <mergeCell ref="C115:F115"/>
    <mergeCell ref="A208:A210"/>
    <mergeCell ref="AO11:AO12"/>
    <mergeCell ref="AR10:AR12"/>
    <mergeCell ref="B115:B116"/>
  </mergeCells>
  <dataValidations count="5">
    <dataValidation sqref="T64 T72" showDropDown="0" showInputMessage="1" showErrorMessage="1" allowBlank="0" error="Valor no Permitido"/>
    <dataValidation sqref="B13:AS24 B80:E97 B100:E105 B108:E112 B218:B221 B224:B248 C56:H60 C65:Z68 C73:Z76 C117:H118 C122:K124 C128:L143 C188:X195 C200:X206 C211:X214 C254:S256 C260:S286 C290:S310 E29:AP44 E46:AP52 E149:AO183" showDropDown="0" showInputMessage="1" showErrorMessage="1" allowBlank="0" error="Valor no Permitido" type="whole" operator="greaterThanOrEqual">
      <formula1>0</formula1>
    </dataValidation>
    <dataValidation sqref="CA6:CE6 CA29:CF52 CA53:CE53 CL6 CL53" showDropDown="0" showInputMessage="0" showErrorMessage="0" allowBlank="0"/>
    <dataValidation sqref="B144:B177 C61 C146:D177 C179:D183 E148:AL148 F62 F70 T77:Z77 W63 CM6:CT6 CM28 CM29:CP52 CM53:CQ53 CQ29" showDropDown="0" showInputMessage="1" showErrorMessage="1" allowBlank="0" error="Valor no Permitido" type="whole">
      <formula1>0</formula1>
      <formula2>1E+30</formula2>
    </dataValidation>
    <dataValidation sqref="E45:AP45" showDropDown="0" showInputMessage="1" showErrorMessage="1" allowBlank="0" error="Valor no Permitido" type="whole" operator="equal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>
  <sheetPr codeName="Hoja22">
    <outlinePr summaryBelow="1" summaryRight="1"/>
    <pageSetUpPr/>
  </sheetPr>
  <dimension ref="A1:CF205"/>
  <sheetViews>
    <sheetView showGridLines="0" zoomScaleNormal="100" workbookViewId="0">
      <selection activeCell="A1" sqref="A1"/>
    </sheetView>
  </sheetViews>
  <sheetFormatPr baseColWidth="10" defaultColWidth="11.42578125" defaultRowHeight="15"/>
  <cols>
    <col width="71.28515625" customWidth="1" style="8286" min="1" max="1"/>
    <col width="35.42578125" customWidth="1" style="8286" min="2" max="2"/>
    <col width="19.140625" customWidth="1" style="8286" min="3" max="3"/>
    <col width="18" customWidth="1" style="8286" min="4" max="4"/>
    <col width="13.42578125" customWidth="1" style="8286" min="5" max="5"/>
    <col width="12.5703125" customWidth="1" style="8286" min="6" max="6"/>
    <col width="12.7109375" customWidth="1" style="8286" min="7" max="7"/>
    <col width="13.7109375" customWidth="1" style="8286" min="12" max="12"/>
    <col width="12.28515625" customWidth="1" style="8286" min="13" max="13"/>
    <col width="15" customWidth="1" style="8286" min="14" max="14"/>
    <col width="14.7109375" customWidth="1" style="8286" min="15" max="16"/>
    <col width="13.28515625" customWidth="1" style="8286" min="73" max="77"/>
    <col width="12.85546875" customWidth="1" style="8286" min="78" max="78"/>
    <col hidden="1" width="11.42578125" customWidth="1" style="8286" min="79" max="84"/>
    <col width="11.42578125" customWidth="1" style="8286" min="85" max="104"/>
    <col width="12" customWidth="1" style="8286" min="105" max="105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25">
        <f>CONCATENATE("AÑO: ",NOMBRE!B7)</f>
        <v/>
      </c>
    </row>
    <row r="6" ht="18" customFormat="1" customHeight="1" s="8">
      <c r="A6" s="7256" t="inlineStr">
        <is>
          <t>REM-29.  PROGRAMA DE IMÁGENES DIAGNÓSTICAS Y/O RESOLUTIVIDAD EN ATENCIÓN PRIMARIA</t>
        </is>
      </c>
      <c r="CA6" s="56" t="n"/>
      <c r="CB6" s="56" t="n"/>
      <c r="CC6" s="56" t="n"/>
      <c r="CD6" s="56" t="n"/>
      <c r="CE6" s="56" t="n"/>
      <c r="CF6" s="56" t="n"/>
    </row>
    <row r="8" ht="18" customHeight="1" s="8286">
      <c r="A8" s="4291" t="inlineStr">
        <is>
          <t>SECCIÓN A: PROGRAMA DE RESOLUTIVIDAD ATENCIÓN PRIMARIA DE SALUD</t>
        </is>
      </c>
      <c r="B8" s="7" t="n"/>
      <c r="C8" s="3" t="n"/>
      <c r="D8" s="7" t="n"/>
      <c r="E8" s="7" t="n"/>
      <c r="F8" s="7" t="n"/>
      <c r="G8" s="7" t="n"/>
      <c r="H8" s="7" t="n"/>
      <c r="I8" s="7" t="n"/>
      <c r="J8" s="7" t="n"/>
      <c r="K8" s="7" t="n"/>
      <c r="L8" s="7" t="n"/>
      <c r="M8" s="7" t="n"/>
      <c r="N8" s="7" t="n"/>
      <c r="O8" s="7" t="n"/>
      <c r="P8" s="7" t="n"/>
      <c r="Q8" s="7" t="n"/>
      <c r="R8" s="7" t="n"/>
      <c r="S8" s="7" t="n"/>
      <c r="T8" s="7" t="n"/>
    </row>
    <row r="9" ht="50.25" customHeight="1" s="8286">
      <c r="A9" s="10247" t="inlineStr">
        <is>
          <t>CONSULTAS</t>
        </is>
      </c>
      <c r="B9" s="9977" t="inlineStr">
        <is>
          <t>TOTAL</t>
        </is>
      </c>
      <c r="C9" s="9584" t="n"/>
      <c r="D9" s="9582" t="n"/>
      <c r="E9" s="4505" t="inlineStr">
        <is>
          <t>&lt;15 años</t>
        </is>
      </c>
      <c r="F9" s="9647" t="n"/>
      <c r="G9" s="4505" t="inlineStr">
        <is>
          <t>15 - 19 años</t>
        </is>
      </c>
      <c r="H9" s="9647" t="n"/>
      <c r="I9" s="4505" t="inlineStr">
        <is>
          <t>20 - 64 años</t>
        </is>
      </c>
      <c r="J9" s="9647" t="n"/>
      <c r="K9" s="4505" t="inlineStr">
        <is>
          <t>65 y más años</t>
        </is>
      </c>
      <c r="L9" s="9647" t="n"/>
      <c r="M9" s="10311" t="inlineStr">
        <is>
          <t>Total interconsultas generadas en APS para resolución por especialidad oftalmología (UAPO y canasta integral)</t>
        </is>
      </c>
      <c r="N9" s="9582" t="n"/>
      <c r="O9" s="4568" t="inlineStr">
        <is>
          <t>Total interconsultas generadas en APS para resolución por especialidad otorrinolaringología (UAPORRINO y canasta integral)</t>
        </is>
      </c>
      <c r="P9" s="9647" t="n"/>
      <c r="Q9" s="4568" t="inlineStr">
        <is>
          <t>Modalidad</t>
        </is>
      </c>
      <c r="R9" s="9647" t="n"/>
      <c r="S9" s="10330" t="inlineStr">
        <is>
          <t>Pueblos Originarios</t>
        </is>
      </c>
      <c r="T9" s="10326" t="inlineStr">
        <is>
          <t>Migrantes</t>
        </is>
      </c>
    </row>
    <row r="10" ht="21" customHeight="1" s="8286">
      <c r="A10" s="9589" t="n"/>
      <c r="B10" s="9177" t="inlineStr">
        <is>
          <t>Ambos Sexos</t>
        </is>
      </c>
      <c r="C10" s="4294" t="inlineStr">
        <is>
          <t>Hombres</t>
        </is>
      </c>
      <c r="D10" s="9273" t="inlineStr">
        <is>
          <t>Mujeres</t>
        </is>
      </c>
      <c r="E10" s="4296" t="inlineStr">
        <is>
          <t>Hombres</t>
        </is>
      </c>
      <c r="F10" s="9273" t="inlineStr">
        <is>
          <t>Mujeres</t>
        </is>
      </c>
      <c r="G10" s="4296" t="inlineStr">
        <is>
          <t>Hombres</t>
        </is>
      </c>
      <c r="H10" s="9273" t="inlineStr">
        <is>
          <t>Mujeres</t>
        </is>
      </c>
      <c r="I10" s="4296" t="inlineStr">
        <is>
          <t>Hombres</t>
        </is>
      </c>
      <c r="J10" s="9273" t="inlineStr">
        <is>
          <t>Mujeres</t>
        </is>
      </c>
      <c r="K10" s="4296" t="inlineStr">
        <is>
          <t>Hombres</t>
        </is>
      </c>
      <c r="L10" s="9223" t="inlineStr">
        <is>
          <t>Mujeres</t>
        </is>
      </c>
      <c r="M10" s="4298" t="inlineStr">
        <is>
          <t>Menos 15 años</t>
        </is>
      </c>
      <c r="N10" s="9219" t="inlineStr">
        <is>
          <t>15 y más años</t>
        </is>
      </c>
      <c r="O10" s="4299" t="inlineStr">
        <is>
          <t>Menos 15 años</t>
        </is>
      </c>
      <c r="P10" s="9219" t="inlineStr">
        <is>
          <t>15 y más años</t>
        </is>
      </c>
      <c r="Q10" s="4299" t="inlineStr">
        <is>
          <t>Presencial</t>
        </is>
      </c>
      <c r="R10" s="4300" t="inlineStr">
        <is>
          <t>Remoto</t>
        </is>
      </c>
      <c r="S10" s="9890" t="n"/>
      <c r="T10" s="9610" t="n"/>
    </row>
    <row r="11">
      <c r="A11" s="4302" t="inlineStr">
        <is>
          <t>Consultas médicas de especialidades</t>
        </is>
      </c>
      <c r="B11" s="10406" t="n"/>
      <c r="C11" s="9584" t="n"/>
      <c r="D11" s="9584" t="n"/>
      <c r="E11" s="9584" t="n"/>
      <c r="F11" s="9584" t="n"/>
      <c r="G11" s="9584" t="n"/>
      <c r="H11" s="9584" t="n"/>
      <c r="I11" s="9584" t="n"/>
      <c r="J11" s="9584" t="n"/>
      <c r="K11" s="9584" t="n"/>
      <c r="L11" s="9584" t="n"/>
      <c r="M11" s="9584" t="n"/>
      <c r="N11" s="9584" t="n"/>
      <c r="O11" s="9584" t="n"/>
      <c r="P11" s="9584" t="n"/>
      <c r="Q11" s="9584" t="n"/>
      <c r="R11" s="9584" t="n"/>
      <c r="S11" s="9584" t="n"/>
      <c r="T11" s="9582" t="n"/>
      <c r="U11" s="6" t="n"/>
    </row>
    <row r="12">
      <c r="A12" s="4303" t="inlineStr">
        <is>
          <t>Oftalmología/UAPO</t>
        </is>
      </c>
      <c r="B12" s="4304">
        <f>SUM(C12+D12)</f>
        <v/>
      </c>
      <c r="C12" s="855">
        <f>SUM(E12+G12+I12+K12)</f>
        <v/>
      </c>
      <c r="D12" s="4305">
        <f>SUM(F12+H12+J12+L12)</f>
        <v/>
      </c>
      <c r="E12" s="4235" t="n"/>
      <c r="F12" s="4237" t="n"/>
      <c r="G12" s="4235" t="n"/>
      <c r="H12" s="4237" t="n"/>
      <c r="I12" s="4235" t="n"/>
      <c r="J12" s="4237" t="n"/>
      <c r="K12" s="4235" t="n"/>
      <c r="L12" s="4247" t="n"/>
      <c r="M12" s="3263" t="n"/>
      <c r="N12" s="3805" t="n"/>
      <c r="O12" s="4235" t="n"/>
      <c r="P12" s="3805" t="n"/>
      <c r="Q12" s="4235" t="n"/>
      <c r="R12" s="4247" t="n"/>
      <c r="S12" s="5213" t="n"/>
      <c r="T12" s="5189" t="n"/>
      <c r="U12" s="218">
        <f>CA12&amp;CB12</f>
        <v/>
      </c>
      <c r="AZ12" s="226" t="n"/>
      <c r="BA12" s="226" t="n"/>
      <c r="BB12" s="226" t="n"/>
      <c r="BC12" s="226" t="n"/>
      <c r="BD12" s="226" t="n"/>
      <c r="BE12" s="226" t="n"/>
      <c r="BF12" s="226" t="n"/>
      <c r="BG12" s="226" t="n"/>
      <c r="BH12" s="226" t="n"/>
      <c r="BI12" s="226" t="n"/>
      <c r="BJ12" s="226" t="n"/>
      <c r="BK12" s="226" t="n"/>
      <c r="BL12" s="226" t="n"/>
      <c r="BM12" s="226" t="n"/>
      <c r="BN12" s="226" t="n"/>
      <c r="BO12" s="226" t="n"/>
      <c r="BP12" s="226" t="n"/>
      <c r="BQ12" s="226" t="n"/>
      <c r="BR12" s="226" t="n"/>
      <c r="BS12" s="226" t="n"/>
      <c r="BT12" s="226" t="n"/>
      <c r="BU12" s="226" t="n"/>
      <c r="BV12" s="226" t="n"/>
      <c r="BW12" s="226" t="n"/>
      <c r="BX12" s="226" t="n"/>
      <c r="BY12" s="226" t="n"/>
      <c r="BZ12" s="226" t="n"/>
      <c r="CA12" s="219">
        <f>IF(AND($B12&lt;&gt;0,S12=""),"* No olvide digitar la variable "&amp;S$9&amp;""&amp;". Digite CERO si no tiene. ",IF(S12&gt;$B12,"* La variable Pueblos Originarios no puede superar el Total Ambos Sexos. ",""))</f>
        <v/>
      </c>
      <c r="CB12" s="219">
        <f>IF(AND($B12&lt;&gt;0,T12=""),"* No olvide digitar la variable "&amp;T$9&amp;""&amp;". Digite CERO si no tiene. ",IF(T12&gt;$B12,"* La variable Migrantes no puede superar el Total Ambos Sexos. ",""))</f>
        <v/>
      </c>
      <c r="CC12" s="226" t="n"/>
      <c r="CD12" s="226" t="n"/>
      <c r="CE12" s="221">
        <f>IF(AND($B12&lt;&gt;0,S12=""),1,IF(S12&gt;$B12,1,0))</f>
        <v/>
      </c>
      <c r="CF12" s="221">
        <f>IF(AND($B12&lt;&gt;0,T12=""),1,IF(T12&gt;$B12,1,0))</f>
        <v/>
      </c>
    </row>
    <row r="13">
      <c r="A13" s="3651" t="inlineStr">
        <is>
          <t>Otorrinolaringología/UAPORRINO</t>
        </is>
      </c>
      <c r="B13" s="1363">
        <f>SUM(C13+D13)</f>
        <v/>
      </c>
      <c r="C13" s="1364">
        <f>SUM(E13+G13+I13+K13)</f>
        <v/>
      </c>
      <c r="D13" s="1365">
        <f>SUM(F13+H13+J13+L13)</f>
        <v/>
      </c>
      <c r="E13" s="1179" t="n"/>
      <c r="F13" s="1180" t="n"/>
      <c r="G13" s="1179" t="n"/>
      <c r="H13" s="1180" t="n"/>
      <c r="I13" s="1179" t="n"/>
      <c r="J13" s="1180" t="n"/>
      <c r="K13" s="1179" t="n"/>
      <c r="L13" s="1231" t="n"/>
      <c r="M13" s="1230" t="n"/>
      <c r="N13" s="1180" t="n"/>
      <c r="O13" s="1179" t="n"/>
      <c r="P13" s="1180" t="n"/>
      <c r="Q13" s="1172" t="n"/>
      <c r="R13" s="3894" t="n"/>
      <c r="S13" s="5248" t="n"/>
      <c r="T13" s="1229" t="n"/>
      <c r="U13" s="218">
        <f>CA13&amp;CB13</f>
        <v/>
      </c>
      <c r="AZ13" s="226" t="n"/>
      <c r="BA13" s="226" t="n"/>
      <c r="BB13" s="226" t="n"/>
      <c r="BC13" s="226" t="n"/>
      <c r="BD13" s="226" t="n"/>
      <c r="BE13" s="226" t="n"/>
      <c r="BF13" s="226" t="n"/>
      <c r="BG13" s="226" t="n"/>
      <c r="BH13" s="226" t="n"/>
      <c r="BI13" s="226" t="n"/>
      <c r="BJ13" s="226" t="n"/>
      <c r="BK13" s="226" t="n"/>
      <c r="BL13" s="226" t="n"/>
      <c r="BM13" s="226" t="n"/>
      <c r="BN13" s="226" t="n"/>
      <c r="BO13" s="226" t="n"/>
      <c r="BP13" s="226" t="n"/>
      <c r="BQ13" s="226" t="n"/>
      <c r="BR13" s="226" t="n"/>
      <c r="BS13" s="226" t="n"/>
      <c r="BT13" s="226" t="n"/>
      <c r="BU13" s="226" t="n"/>
      <c r="BV13" s="226" t="n"/>
      <c r="BW13" s="226" t="n"/>
      <c r="BX13" s="226" t="n"/>
      <c r="BY13" s="226" t="n"/>
      <c r="BZ13" s="226" t="n"/>
      <c r="CA13" s="219">
        <f>IF(AND($B13&lt;&gt;0,S13=""),"* No olvide digitar la variable "&amp;S$9&amp;""&amp;". Digite CERO si no tiene. ",IF(S13&gt;$B13,"* La variable Pueblos Originarios no puede superar el Total Ambos Sexos. ",""))</f>
        <v/>
      </c>
      <c r="CB13" s="219">
        <f>IF(AND($B13&lt;&gt;0,T13=""),"* No olvide digitar la variable "&amp;T$9&amp;""&amp;". Digite CERO si no tiene. ",IF(T13&gt;$B13,"* La variable Migrantes no puede superar el Total Ambos Sexos. ",""))</f>
        <v/>
      </c>
      <c r="CC13" s="226" t="n"/>
      <c r="CD13" s="226" t="n"/>
      <c r="CE13" s="221">
        <f>IF(AND($B13&lt;&gt;0,S13=""),1,IF(S13&gt;$B13,1,0))</f>
        <v/>
      </c>
      <c r="CF13" s="221">
        <f>IF(AND($B13&lt;&gt;0,T13=""),1,IF(T13&gt;$B13,1,0))</f>
        <v/>
      </c>
    </row>
    <row r="14">
      <c r="A14" s="3651" t="inlineStr">
        <is>
          <t>Canasta integral oftalmológica</t>
        </is>
      </c>
      <c r="B14" s="1283">
        <f>SUM(C14+D14)</f>
        <v/>
      </c>
      <c r="C14" s="2197">
        <f>SUM(E14+G14+I14+K14)</f>
        <v/>
      </c>
      <c r="D14" s="4182">
        <f>SUM(F14+H14+J14+L14)</f>
        <v/>
      </c>
      <c r="E14" s="1172" t="n"/>
      <c r="F14" s="3788" t="n"/>
      <c r="G14" s="1172" t="n"/>
      <c r="H14" s="3788" t="n"/>
      <c r="I14" s="1172" t="n"/>
      <c r="J14" s="3788" t="n"/>
      <c r="K14" s="1172" t="n"/>
      <c r="L14" s="3894" t="n"/>
      <c r="M14" s="887" t="n"/>
      <c r="N14" s="3788" t="n"/>
      <c r="O14" s="1172" t="n"/>
      <c r="P14" s="3788" t="n"/>
      <c r="Q14" s="1172" t="n"/>
      <c r="R14" s="4306" t="n"/>
      <c r="S14" s="5215" t="n"/>
      <c r="T14" s="3892" t="n"/>
      <c r="U14" s="218">
        <f>CA14&amp;CB14</f>
        <v/>
      </c>
      <c r="AZ14" s="226" t="n"/>
      <c r="BA14" s="226" t="n"/>
      <c r="BB14" s="226" t="n"/>
      <c r="BC14" s="226" t="n"/>
      <c r="BD14" s="226" t="n"/>
      <c r="BE14" s="226" t="n"/>
      <c r="BF14" s="226" t="n"/>
      <c r="BG14" s="226" t="n"/>
      <c r="BH14" s="226" t="n"/>
      <c r="BI14" s="226" t="n"/>
      <c r="BJ14" s="226" t="n"/>
      <c r="BK14" s="226" t="n"/>
      <c r="BL14" s="226" t="n"/>
      <c r="BM14" s="226" t="n"/>
      <c r="BN14" s="226" t="n"/>
      <c r="BO14" s="226" t="n"/>
      <c r="BP14" s="226" t="n"/>
      <c r="BQ14" s="226" t="n"/>
      <c r="BR14" s="226" t="n"/>
      <c r="BS14" s="226" t="n"/>
      <c r="BT14" s="226" t="n"/>
      <c r="BU14" s="226" t="n"/>
      <c r="BV14" s="226" t="n"/>
      <c r="BW14" s="226" t="n"/>
      <c r="BX14" s="226" t="n"/>
      <c r="BY14" s="226" t="n"/>
      <c r="BZ14" s="226" t="n"/>
      <c r="CA14" s="219">
        <f>IF(AND($B14&lt;&gt;0,S14=""),"* No olvide digitar la variable "&amp;S$9&amp;""&amp;". Digite CERO si no tiene. ",IF(S14&gt;$B14,"* La variable Pueblos Originarios no puede superar el Total Ambos Sexos. ",""))</f>
        <v/>
      </c>
      <c r="CB14" s="219">
        <f>IF(AND($B14&lt;&gt;0,T14=""),"* No olvide digitar la variable "&amp;T$9&amp;""&amp;". Digite CERO si no tiene. ",IF(T14&gt;$B14,"* La variable Migrantes no puede superar el Total Ambos Sexos. ",""))</f>
        <v/>
      </c>
      <c r="CC14" s="226" t="n"/>
      <c r="CD14" s="226" t="n"/>
      <c r="CE14" s="221">
        <f>IF(AND($B14&lt;&gt;0,S14=""),1,IF(S14&gt;$B14,1,0))</f>
        <v/>
      </c>
      <c r="CF14" s="221">
        <f>IF(AND($B14&lt;&gt;0,T14=""),1,IF(T14&gt;$B14,1,0))</f>
        <v/>
      </c>
    </row>
    <row r="15">
      <c r="A15" s="3651" t="inlineStr">
        <is>
          <t>Canasta integral de otorrinolaringología</t>
        </is>
      </c>
      <c r="B15" s="4202">
        <f>SUM(C15+D15)</f>
        <v/>
      </c>
      <c r="C15" s="4203">
        <f>SUM(E15+G15+I15+K15)</f>
        <v/>
      </c>
      <c r="D15" s="1365">
        <f>SUM(F15+H15+J15+L15)</f>
        <v/>
      </c>
      <c r="E15" s="1179" t="n"/>
      <c r="F15" s="1180" t="n"/>
      <c r="G15" s="1179" t="n"/>
      <c r="H15" s="1180" t="n"/>
      <c r="I15" s="1179" t="n"/>
      <c r="J15" s="1180" t="n"/>
      <c r="K15" s="1179" t="n"/>
      <c r="L15" s="1231" t="n"/>
      <c r="M15" s="3898" t="n"/>
      <c r="N15" s="1180" t="n"/>
      <c r="O15" s="3808" t="n"/>
      <c r="P15" s="1180" t="n"/>
      <c r="Q15" s="3808" t="n"/>
      <c r="R15" s="1366" t="n"/>
      <c r="S15" s="5249" t="n"/>
      <c r="T15" s="1223" t="n"/>
      <c r="U15" s="218">
        <f>CA15&amp;CB15</f>
        <v/>
      </c>
      <c r="AZ15" s="226" t="n"/>
      <c r="BA15" s="226" t="n"/>
      <c r="BB15" s="226" t="n"/>
      <c r="BC15" s="226" t="n"/>
      <c r="BD15" s="226" t="n"/>
      <c r="BE15" s="226" t="n"/>
      <c r="BF15" s="226" t="n"/>
      <c r="BG15" s="226" t="n"/>
      <c r="BH15" s="226" t="n"/>
      <c r="BI15" s="226" t="n"/>
      <c r="BJ15" s="226" t="n"/>
      <c r="BK15" s="226" t="n"/>
      <c r="BL15" s="226" t="n"/>
      <c r="BM15" s="226" t="n"/>
      <c r="BN15" s="226" t="n"/>
      <c r="BO15" s="226" t="n"/>
      <c r="BP15" s="226" t="n"/>
      <c r="BQ15" s="226" t="n"/>
      <c r="BR15" s="226" t="n"/>
      <c r="BS15" s="226" t="n"/>
      <c r="BT15" s="226" t="n"/>
      <c r="BU15" s="226" t="n"/>
      <c r="BV15" s="226" t="n"/>
      <c r="BW15" s="226" t="n"/>
      <c r="BX15" s="226" t="n"/>
      <c r="BY15" s="226" t="n"/>
      <c r="BZ15" s="226" t="n"/>
      <c r="CA15" s="219">
        <f>IF(AND($B15&lt;&gt;0,S15=""),"* No olvide digitar la variable "&amp;S$9&amp;""&amp;". Digite CERO si no tiene. ",IF(S15&gt;$B15,"* La variable Pueblos Originarios no puede superar el Total Ambos Sexos. ",""))</f>
        <v/>
      </c>
      <c r="CB15" s="219">
        <f>IF(AND($B15&lt;&gt;0,T15=""),"* No olvide digitar la variable "&amp;T$9&amp;""&amp;". Digite CERO si no tiene. ",IF(T15&gt;$B15,"* La variable Migrantes no puede superar el Total Ambos Sexos. ",""))</f>
        <v/>
      </c>
      <c r="CC15" s="226" t="n"/>
      <c r="CD15" s="226" t="n"/>
      <c r="CE15" s="221">
        <f>IF(AND($B15&lt;&gt;0,S15=""),1,IF(S15&gt;$B15,1,0))</f>
        <v/>
      </c>
      <c r="CF15" s="221">
        <f>IF(AND($B15&lt;&gt;0,T15=""),1,IF(T15&gt;$B15,1,0))</f>
        <v/>
      </c>
    </row>
    <row r="16">
      <c r="A16" s="4302" t="inlineStr">
        <is>
          <t>Consultas otros profesionales</t>
        </is>
      </c>
      <c r="B16" s="10406" t="n"/>
      <c r="C16" s="9584" t="n"/>
      <c r="D16" s="9584" t="n"/>
      <c r="E16" s="9584" t="n"/>
      <c r="F16" s="9584" t="n"/>
      <c r="G16" s="9584" t="n"/>
      <c r="H16" s="9584" t="n"/>
      <c r="I16" s="9584" t="n"/>
      <c r="J16" s="9584" t="n"/>
      <c r="K16" s="9584" t="n"/>
      <c r="L16" s="9584" t="n"/>
      <c r="M16" s="9584" t="n"/>
      <c r="N16" s="9584" t="n"/>
      <c r="O16" s="9584" t="n"/>
      <c r="P16" s="9584" t="n"/>
      <c r="Q16" s="9584" t="n"/>
      <c r="R16" s="9584" t="n"/>
      <c r="S16" s="9584" t="n"/>
      <c r="T16" s="9582" t="n"/>
    </row>
    <row r="17">
      <c r="A17" s="4307" t="inlineStr">
        <is>
          <t>Tecnólogo/a médico/a consulta por vicio de refracción</t>
        </is>
      </c>
      <c r="B17" s="4304">
        <f>SUM(C17+D17)</f>
        <v/>
      </c>
      <c r="C17" s="855">
        <f>SUM(E17+G17+I17+K17)</f>
        <v/>
      </c>
      <c r="D17" s="4308">
        <f>SUM(F17+H17+J17+L17)</f>
        <v/>
      </c>
      <c r="E17" s="1935" t="n"/>
      <c r="F17" s="3805" t="n"/>
      <c r="G17" s="1935" t="n"/>
      <c r="H17" s="3805" t="n"/>
      <c r="I17" s="1935" t="n"/>
      <c r="J17" s="3805" t="n"/>
      <c r="K17" s="1935" t="n"/>
      <c r="L17" s="4002" t="n"/>
      <c r="M17" s="4309" t="n"/>
      <c r="N17" s="3907" t="n"/>
      <c r="O17" s="4310" t="n"/>
      <c r="P17" s="3907" t="n"/>
      <c r="Q17" s="4235" t="n"/>
      <c r="R17" s="4311" t="n"/>
      <c r="S17" s="5213" t="n"/>
      <c r="T17" s="5189" t="n"/>
      <c r="U17" s="218">
        <f>CA17&amp;CB17</f>
        <v/>
      </c>
      <c r="AZ17" s="226" t="n"/>
      <c r="BA17" s="226" t="n"/>
      <c r="BB17" s="226" t="n"/>
      <c r="BC17" s="226" t="n"/>
      <c r="BD17" s="226" t="n"/>
      <c r="BE17" s="226" t="n"/>
      <c r="BF17" s="226" t="n"/>
      <c r="BG17" s="226" t="n"/>
      <c r="BH17" s="226" t="n"/>
      <c r="BI17" s="226" t="n"/>
      <c r="BJ17" s="226" t="n"/>
      <c r="BK17" s="226" t="n"/>
      <c r="BL17" s="226" t="n"/>
      <c r="BM17" s="226" t="n"/>
      <c r="BN17" s="226" t="n"/>
      <c r="BO17" s="226" t="n"/>
      <c r="BP17" s="226" t="n"/>
      <c r="BQ17" s="226" t="n"/>
      <c r="BR17" s="226" t="n"/>
      <c r="BS17" s="226" t="n"/>
      <c r="BT17" s="226" t="n"/>
      <c r="BU17" s="226" t="n"/>
      <c r="BV17" s="226" t="n"/>
      <c r="BW17" s="226" t="n"/>
      <c r="BX17" s="226" t="n"/>
      <c r="BY17" s="226" t="n"/>
      <c r="BZ17" s="226" t="n"/>
      <c r="CA17" s="219">
        <f>IF(AND($B17&lt;&gt;0,S17=""),"* No olvide digitar la variable "&amp;S$9&amp;""&amp;". Digite CERO si no tiene. ",IF(S17&gt;$B17,"* La variable Pueblos Originarios no puede superar el Total Ambos Sexos. ",""))</f>
        <v/>
      </c>
      <c r="CB17" s="219">
        <f>IF(AND($B17&lt;&gt;0,T17=""),"* No olvide digitar la variable "&amp;T$9&amp;""&amp;". Digite CERO si no tiene. ",IF(T17&gt;$B17,"* La variable Migrantes no puede superar el Total Ambos Sexos. ",""))</f>
        <v/>
      </c>
      <c r="CC17" s="226" t="n"/>
      <c r="CD17" s="226" t="n"/>
      <c r="CE17" s="221">
        <f>IF(AND($B17&lt;&gt;0,S17=""),1,IF(S17&gt;$B17,1,0))</f>
        <v/>
      </c>
      <c r="CF17" s="221">
        <f>IF(AND($B17&lt;&gt;0,T17=""),1,IF(T17&gt;$B17,1,0))</f>
        <v/>
      </c>
    </row>
    <row r="18">
      <c r="A18" s="3947" t="inlineStr">
        <is>
          <t>Tecnólogo/a médico/a (oftalmología) otras consultas</t>
        </is>
      </c>
      <c r="B18" s="1283">
        <f>SUM(C18+D18)</f>
        <v/>
      </c>
      <c r="C18" s="2197">
        <f>SUM(E18+G18+I18+K18)</f>
        <v/>
      </c>
      <c r="D18" s="4182">
        <f>SUM(F18+H18+J18+L18)</f>
        <v/>
      </c>
      <c r="E18" s="1172" t="n"/>
      <c r="F18" s="3788" t="n"/>
      <c r="G18" s="1172" t="n"/>
      <c r="H18" s="3788" t="n"/>
      <c r="I18" s="1172" t="n"/>
      <c r="J18" s="3788" t="n"/>
      <c r="K18" s="1172" t="n"/>
      <c r="L18" s="3894" t="n"/>
      <c r="M18" s="896" t="n"/>
      <c r="N18" s="4312" t="n"/>
      <c r="O18" s="1941" t="n"/>
      <c r="P18" s="4312" t="n"/>
      <c r="Q18" s="1172" t="n"/>
      <c r="R18" s="4306" t="n"/>
      <c r="S18" s="5215" t="n"/>
      <c r="T18" s="3892" t="n"/>
      <c r="U18" s="218">
        <f>CA18&amp;CB18</f>
        <v/>
      </c>
      <c r="AZ18" s="226" t="n"/>
      <c r="BA18" s="226" t="n"/>
      <c r="BB18" s="226" t="n"/>
      <c r="BC18" s="226" t="n"/>
      <c r="BD18" s="226" t="n"/>
      <c r="BE18" s="226" t="n"/>
      <c r="BF18" s="226" t="n"/>
      <c r="BG18" s="226" t="n"/>
      <c r="BH18" s="226" t="n"/>
      <c r="BI18" s="226" t="n"/>
      <c r="BJ18" s="226" t="n"/>
      <c r="BK18" s="226" t="n"/>
      <c r="BL18" s="226" t="n"/>
      <c r="BM18" s="226" t="n"/>
      <c r="BN18" s="226" t="n"/>
      <c r="BO18" s="226" t="n"/>
      <c r="BP18" s="226" t="n"/>
      <c r="BQ18" s="226" t="n"/>
      <c r="BR18" s="226" t="n"/>
      <c r="BS18" s="226" t="n"/>
      <c r="BT18" s="226" t="n"/>
      <c r="BU18" s="226" t="n"/>
      <c r="BV18" s="226" t="n"/>
      <c r="BW18" s="226" t="n"/>
      <c r="BX18" s="226" t="n"/>
      <c r="BY18" s="226" t="n"/>
      <c r="BZ18" s="226" t="n"/>
      <c r="CA18" s="219">
        <f>IF(AND($B18&lt;&gt;0,S18=""),"* No olvide digitar la variable "&amp;S$9&amp;""&amp;". Digite CERO si no tiene. ",IF(S18&gt;$B18,"* La variable Pueblos Originarios no puede superar el Total Ambos Sexos. ",""))</f>
        <v/>
      </c>
      <c r="CB18" s="219">
        <f>IF(AND($B18&lt;&gt;0,T18=""),"* No olvide digitar la variable "&amp;T$9&amp;""&amp;". Digite CERO si no tiene. ",IF(T18&gt;$B18,"* La variable Migrantes no puede superar el Total Ambos Sexos. ",""))</f>
        <v/>
      </c>
      <c r="CC18" s="226" t="n"/>
      <c r="CD18" s="226" t="n"/>
      <c r="CE18" s="221">
        <f>IF(AND($B18&lt;&gt;0,S18=""),1,IF(S18&gt;$B18,1,0))</f>
        <v/>
      </c>
      <c r="CF18" s="221">
        <f>IF(AND($B18&lt;&gt;0,T18=""),1,IF(T18&gt;$B18,1,0))</f>
        <v/>
      </c>
    </row>
    <row r="19">
      <c r="A19" s="3947" t="inlineStr">
        <is>
          <t>Tecnólogo/a médico/a o fonoaudiólogo/a por hipoacusia (UAPORRINO)</t>
        </is>
      </c>
      <c r="B19" s="1283">
        <f>SUM(C19+D19)</f>
        <v/>
      </c>
      <c r="C19" s="2197">
        <f>SUM(E19+G19+I19+K19)</f>
        <v/>
      </c>
      <c r="D19" s="4313">
        <f>SUM(F19+H19+J19+L19)</f>
        <v/>
      </c>
      <c r="E19" s="1172" t="n"/>
      <c r="F19" s="3895" t="n"/>
      <c r="G19" s="1172" t="n"/>
      <c r="H19" s="3895" t="n"/>
      <c r="I19" s="1172" t="n"/>
      <c r="J19" s="3895" t="n"/>
      <c r="K19" s="1172" t="n"/>
      <c r="L19" s="3894" t="n"/>
      <c r="M19" s="896" t="n"/>
      <c r="N19" s="4312" t="n"/>
      <c r="O19" s="1941" t="n"/>
      <c r="P19" s="4312" t="n"/>
      <c r="Q19" s="1172" t="n"/>
      <c r="R19" s="4306" t="n"/>
      <c r="S19" s="5215" t="n"/>
      <c r="T19" s="3892" t="n"/>
      <c r="U19" s="218">
        <f>CA19&amp;CB19</f>
        <v/>
      </c>
      <c r="AZ19" s="226" t="n"/>
      <c r="BA19" s="226" t="n"/>
      <c r="BB19" s="226" t="n"/>
      <c r="BC19" s="226" t="n"/>
      <c r="BD19" s="226" t="n"/>
      <c r="BE19" s="226" t="n"/>
      <c r="BF19" s="226" t="n"/>
      <c r="BG19" s="226" t="n"/>
      <c r="BH19" s="226" t="n"/>
      <c r="BI19" s="226" t="n"/>
      <c r="BJ19" s="226" t="n"/>
      <c r="BK19" s="226" t="n"/>
      <c r="BL19" s="226" t="n"/>
      <c r="BM19" s="226" t="n"/>
      <c r="BN19" s="226" t="n"/>
      <c r="BO19" s="226" t="n"/>
      <c r="BP19" s="226" t="n"/>
      <c r="BQ19" s="226" t="n"/>
      <c r="BR19" s="226" t="n"/>
      <c r="BS19" s="226" t="n"/>
      <c r="BT19" s="226" t="n"/>
      <c r="BU19" s="226" t="n"/>
      <c r="BV19" s="226" t="n"/>
      <c r="BW19" s="226" t="n"/>
      <c r="BX19" s="226" t="n"/>
      <c r="BY19" s="226" t="n"/>
      <c r="BZ19" s="226" t="n"/>
      <c r="CA19" s="219">
        <f>IF(AND($B19&lt;&gt;0,S19=""),"* No olvide digitar la variable "&amp;S$9&amp;""&amp;". Digite CERO si no tiene. ",IF(S19&gt;$B19,"* La variable Pueblos Originarios no puede superar el Total Ambos Sexos. ",""))</f>
        <v/>
      </c>
      <c r="CB19" s="219">
        <f>IF(AND($B19&lt;&gt;0,T19=""),"* No olvide digitar la variable "&amp;T$9&amp;""&amp;". Digite CERO si no tiene. ",IF(T19&gt;$B19,"* La variable Migrantes no puede superar el Total Ambos Sexos. ",""))</f>
        <v/>
      </c>
      <c r="CC19" s="226" t="n"/>
      <c r="CD19" s="226" t="n"/>
      <c r="CE19" s="221">
        <f>IF(AND($B19&lt;&gt;0,S19=""),1,IF(S19&gt;$B19,1,0))</f>
        <v/>
      </c>
      <c r="CF19" s="221">
        <f>IF(AND($B19&lt;&gt;0,T19=""),1,IF(T19&gt;$B19,1,0))</f>
        <v/>
      </c>
    </row>
    <row r="20">
      <c r="A20" s="3947" t="inlineStr">
        <is>
          <t>Tecnólogo/a médico/a o fonoaudiólogo/a consultas (UAPORRINO)</t>
        </is>
      </c>
      <c r="B20" s="1283">
        <f>SUM(C20+D20)</f>
        <v/>
      </c>
      <c r="C20" s="2197">
        <f>SUM(E20+G20+I20+K20)</f>
        <v/>
      </c>
      <c r="D20" s="4182">
        <f>SUM(F20+H20+J20+L20)</f>
        <v/>
      </c>
      <c r="E20" s="1172" t="n"/>
      <c r="F20" s="886" t="n"/>
      <c r="G20" s="1172" t="n"/>
      <c r="H20" s="886" t="n"/>
      <c r="I20" s="1172" t="n"/>
      <c r="J20" s="886" t="n"/>
      <c r="K20" s="1172" t="n"/>
      <c r="L20" s="1929" t="n"/>
      <c r="M20" s="896" t="n"/>
      <c r="N20" s="4312" t="n"/>
      <c r="O20" s="1941" t="n"/>
      <c r="P20" s="4312" t="n"/>
      <c r="Q20" s="1172" t="n"/>
      <c r="R20" s="4306" t="n"/>
      <c r="S20" s="5215" t="n"/>
      <c r="T20" s="3892" t="n"/>
      <c r="U20" s="218">
        <f>CA20&amp;CB20</f>
        <v/>
      </c>
      <c r="AZ20" s="226" t="n"/>
      <c r="BA20" s="226" t="n"/>
      <c r="BB20" s="226" t="n"/>
      <c r="BC20" s="226" t="n"/>
      <c r="BD20" s="226" t="n"/>
      <c r="BE20" s="226" t="n"/>
      <c r="BF20" s="226" t="n"/>
      <c r="BG20" s="226" t="n"/>
      <c r="BH20" s="226" t="n"/>
      <c r="BI20" s="226" t="n"/>
      <c r="BJ20" s="226" t="n"/>
      <c r="BK20" s="226" t="n"/>
      <c r="BL20" s="226" t="n"/>
      <c r="BM20" s="226" t="n"/>
      <c r="BN20" s="226" t="n"/>
      <c r="BO20" s="226" t="n"/>
      <c r="BP20" s="226" t="n"/>
      <c r="BQ20" s="226" t="n"/>
      <c r="BR20" s="226" t="n"/>
      <c r="BS20" s="226" t="n"/>
      <c r="BT20" s="226" t="n"/>
      <c r="BU20" s="226" t="n"/>
      <c r="BV20" s="226" t="n"/>
      <c r="BW20" s="226" t="n"/>
      <c r="BX20" s="226" t="n"/>
      <c r="BY20" s="226" t="n"/>
      <c r="BZ20" s="226" t="n"/>
      <c r="CA20" s="219">
        <f>IF(AND($B20&lt;&gt;0,S20=""),"* No olvide digitar la variable "&amp;S$9&amp;""&amp;". Digite CERO si no tiene. ",IF(S20&gt;$B20,"* La variable Pueblos Originarios no puede superar el Total Ambos Sexos. ",""))</f>
        <v/>
      </c>
      <c r="CB20" s="219">
        <f>IF(AND($B20&lt;&gt;0,T20=""),"* No olvide digitar la variable "&amp;T$9&amp;""&amp;". Digite CERO si no tiene. ",IF(T20&gt;$B20,"* La variable Migrantes no puede superar el Total Ambos Sexos. ",""))</f>
        <v/>
      </c>
      <c r="CC20" s="226" t="n"/>
      <c r="CD20" s="226" t="n"/>
      <c r="CE20" s="221">
        <f>IF(AND($B20&lt;&gt;0,S20=""),1,IF(S20&gt;$B20,1,0))</f>
        <v/>
      </c>
      <c r="CF20" s="221">
        <f>IF(AND($B20&lt;&gt;0,T20=""),1,IF(T20&gt;$B20,1,0))</f>
        <v/>
      </c>
    </row>
    <row r="21">
      <c r="A21" s="4314" t="inlineStr">
        <is>
          <t>Consulta de calificación de urgencia por tecnólogo médico (UAPO)</t>
        </is>
      </c>
      <c r="B21" s="1283">
        <f>SUM(C21+D21)</f>
        <v/>
      </c>
      <c r="C21" s="2197">
        <f>SUM(E21+G21+I21+K21)</f>
        <v/>
      </c>
      <c r="D21" s="4182">
        <f>SUM(F21+H21+J21+L21)</f>
        <v/>
      </c>
      <c r="E21" s="1172" t="n"/>
      <c r="F21" s="886" t="n"/>
      <c r="G21" s="1172" t="n"/>
      <c r="H21" s="886" t="n"/>
      <c r="I21" s="1172" t="n"/>
      <c r="J21" s="886" t="n"/>
      <c r="K21" s="1172" t="n"/>
      <c r="L21" s="1929" t="n"/>
      <c r="M21" s="896" t="n"/>
      <c r="N21" s="4312" t="n"/>
      <c r="O21" s="1941" t="n"/>
      <c r="P21" s="4312" t="n"/>
      <c r="Q21" s="1172" t="n"/>
      <c r="R21" s="4306" t="n"/>
      <c r="S21" s="5215" t="n"/>
      <c r="T21" s="3892" t="n"/>
      <c r="U21" s="218">
        <f>CA21&amp;CB21</f>
        <v/>
      </c>
      <c r="AZ21" s="226" t="n"/>
      <c r="BA21" s="226" t="n"/>
      <c r="BB21" s="226" t="n"/>
      <c r="BC21" s="226" t="n"/>
      <c r="BD21" s="226" t="n"/>
      <c r="BE21" s="226" t="n"/>
      <c r="BF21" s="226" t="n"/>
      <c r="BG21" s="226" t="n"/>
      <c r="BH21" s="226" t="n"/>
      <c r="BI21" s="226" t="n"/>
      <c r="BJ21" s="226" t="n"/>
      <c r="BK21" s="226" t="n"/>
      <c r="BL21" s="226" t="n"/>
      <c r="BM21" s="226" t="n"/>
      <c r="BN21" s="226" t="n"/>
      <c r="BO21" s="226" t="n"/>
      <c r="BP21" s="226" t="n"/>
      <c r="BQ21" s="226" t="n"/>
      <c r="BR21" s="226" t="n"/>
      <c r="BS21" s="226" t="n"/>
      <c r="BT21" s="226" t="n"/>
      <c r="BU21" s="226" t="n"/>
      <c r="BV21" s="226" t="n"/>
      <c r="BW21" s="226" t="n"/>
      <c r="BX21" s="226" t="n"/>
      <c r="BY21" s="226" t="n"/>
      <c r="BZ21" s="226" t="n"/>
      <c r="CA21" s="219">
        <f>IF(AND($B21&lt;&gt;0,S21=""),"* No olvide digitar la variable "&amp;S$9&amp;""&amp;". Digite CERO si no tiene. ",IF(S21&gt;$B21,"* La variable Pueblos Originarios no puede superar el Total Ambos Sexos. ",""))</f>
        <v/>
      </c>
      <c r="CB21" s="219">
        <f>IF(AND($B21&lt;&gt;0,T21=""),"* No olvide digitar la variable "&amp;T$9&amp;""&amp;". Digite CERO si no tiene. ",IF(T21&gt;$B21,"* La variable Migrantes no puede superar el Total Ambos Sexos. ",""))</f>
        <v/>
      </c>
      <c r="CC21" s="226" t="n"/>
      <c r="CD21" s="226" t="n"/>
      <c r="CE21" s="221">
        <f>IF(AND($B21&lt;&gt;0,S21=""),1,IF(S21&gt;$B21,1,0))</f>
        <v/>
      </c>
      <c r="CF21" s="221">
        <f>IF(AND($B21&lt;&gt;0,T21=""),1,IF(T21&gt;$B21,1,0))</f>
        <v/>
      </c>
    </row>
    <row r="22">
      <c r="A22" s="1369" t="inlineStr">
        <is>
          <t>Terapeuta Ocupacional</t>
        </is>
      </c>
      <c r="B22" s="4202">
        <f>SUM(C22+D22)</f>
        <v/>
      </c>
      <c r="C22" s="4203">
        <f>SUM(E22+G22+I22+K22)</f>
        <v/>
      </c>
      <c r="D22" s="1365">
        <f>SUM(F22+H22+J22+L22)</f>
        <v/>
      </c>
      <c r="E22" s="1179" t="n"/>
      <c r="F22" s="1183" t="n"/>
      <c r="G22" s="1179" t="n"/>
      <c r="H22" s="1183" t="n"/>
      <c r="I22" s="1179" t="n"/>
      <c r="J22" s="1183" t="n"/>
      <c r="K22" s="1179" t="n"/>
      <c r="L22" s="1185" t="n"/>
      <c r="M22" s="4315" t="n"/>
      <c r="N22" s="1371" t="n"/>
      <c r="O22" s="4316" t="n"/>
      <c r="P22" s="1371" t="n"/>
      <c r="Q22" s="4316" t="n"/>
      <c r="R22" s="1366" t="n"/>
      <c r="S22" s="5249" t="n"/>
      <c r="T22" s="1223" t="n"/>
      <c r="U22" s="218">
        <f>CA22&amp;CB22</f>
        <v/>
      </c>
      <c r="AZ22" s="226" t="n"/>
      <c r="BA22" s="226" t="n"/>
      <c r="BB22" s="226" t="n"/>
      <c r="BC22" s="226" t="n"/>
      <c r="BD22" s="226" t="n"/>
      <c r="BE22" s="226" t="n"/>
      <c r="BF22" s="226" t="n"/>
      <c r="BG22" s="226" t="n"/>
      <c r="BH22" s="226" t="n"/>
      <c r="BI22" s="226" t="n"/>
      <c r="BJ22" s="226" t="n"/>
      <c r="BK22" s="226" t="n"/>
      <c r="BL22" s="226" t="n"/>
      <c r="BM22" s="226" t="n"/>
      <c r="BN22" s="226" t="n"/>
      <c r="BO22" s="226" t="n"/>
      <c r="BP22" s="226" t="n"/>
      <c r="BQ22" s="226" t="n"/>
      <c r="BR22" s="226" t="n"/>
      <c r="BS22" s="226" t="n"/>
      <c r="BT22" s="226" t="n"/>
      <c r="BU22" s="226" t="n"/>
      <c r="BV22" s="226" t="n"/>
      <c r="BW22" s="226" t="n"/>
      <c r="BX22" s="226" t="n"/>
      <c r="BY22" s="226" t="n"/>
      <c r="BZ22" s="226" t="n"/>
      <c r="CA22" s="219">
        <f>IF(AND($B22&lt;&gt;0,S22=""),"* No olvide digitar la variable "&amp;S$9&amp;""&amp;". Digite CERO si no tiene. ",IF(S22&gt;$B22,"* La variable Pueblos Originarios no puede superar el Total Ambos Sexos. ",""))</f>
        <v/>
      </c>
      <c r="CB22" s="219">
        <f>IF(AND($B22&lt;&gt;0,T22=""),"* No olvide digitar la variable "&amp;T$9&amp;""&amp;". Digite CERO si no tiene. ",IF(T22&gt;$B22,"* La variable Migrantes no puede superar el Total Ambos Sexos. ",""))</f>
        <v/>
      </c>
      <c r="CC22" s="226" t="n"/>
      <c r="CD22" s="226" t="n"/>
      <c r="CE22" s="221">
        <f>IF(AND($B22&lt;&gt;0,S22=""),1,IF(S22&gt;$B22,1,0))</f>
        <v/>
      </c>
      <c r="CF22" s="221">
        <f>IF(AND($B22&lt;&gt;0,T22=""),1,IF(T22&gt;$B22,1,0))</f>
        <v/>
      </c>
    </row>
    <row r="23">
      <c r="A23" s="4317" t="inlineStr">
        <is>
          <t>Ingresos y egresos Glaucoma UAPO</t>
        </is>
      </c>
      <c r="B23" s="10406" t="n"/>
      <c r="C23" s="9584" t="n"/>
      <c r="D23" s="9584" t="n"/>
      <c r="E23" s="9584" t="n"/>
      <c r="F23" s="9584" t="n"/>
      <c r="G23" s="9584" t="n"/>
      <c r="H23" s="9584" t="n"/>
      <c r="I23" s="9584" t="n"/>
      <c r="J23" s="9584" t="n"/>
      <c r="K23" s="9584" t="n"/>
      <c r="L23" s="9584" t="n"/>
      <c r="M23" s="9584" t="n"/>
      <c r="N23" s="9584" t="n"/>
      <c r="O23" s="9584" t="n"/>
      <c r="P23" s="9584" t="n"/>
      <c r="Q23" s="9584" t="n"/>
      <c r="R23" s="9584" t="n"/>
      <c r="S23" s="9584" t="n"/>
      <c r="T23" s="9582" t="n"/>
    </row>
    <row r="24">
      <c r="A24" s="4318" t="inlineStr">
        <is>
          <t>Ingresos glaucoma UAPO</t>
        </is>
      </c>
      <c r="B24" s="4319">
        <f>SUM(C24+D24)</f>
        <v/>
      </c>
      <c r="C24" s="4320">
        <f>SUM(E24+G24+I24+K24)</f>
        <v/>
      </c>
      <c r="D24" s="4321">
        <f>SUM(F24+H24+J24+L24)</f>
        <v/>
      </c>
      <c r="E24" s="4322" t="n"/>
      <c r="F24" s="4323" t="n"/>
      <c r="G24" s="4322" t="n"/>
      <c r="H24" s="4323" t="n"/>
      <c r="I24" s="4322" t="n"/>
      <c r="J24" s="4323" t="n"/>
      <c r="K24" s="4322" t="n"/>
      <c r="L24" s="4324" t="n"/>
      <c r="M24" s="4309" t="n"/>
      <c r="N24" s="3907" t="n"/>
      <c r="O24" s="4310" t="n"/>
      <c r="P24" s="3907" t="n"/>
      <c r="Q24" s="4235" t="n"/>
      <c r="R24" s="4311" t="n"/>
      <c r="S24" s="5213" t="n"/>
      <c r="T24" s="5189" t="n"/>
      <c r="U24" s="218">
        <f>CA24&amp;CB24</f>
        <v/>
      </c>
      <c r="AZ24" s="226" t="n"/>
      <c r="BA24" s="226" t="n"/>
      <c r="BB24" s="226" t="n"/>
      <c r="BC24" s="226" t="n"/>
      <c r="BD24" s="226" t="n"/>
      <c r="BE24" s="226" t="n"/>
      <c r="BF24" s="226" t="n"/>
      <c r="BG24" s="226" t="n"/>
      <c r="BH24" s="226" t="n"/>
      <c r="BI24" s="226" t="n"/>
      <c r="BJ24" s="226" t="n"/>
      <c r="BK24" s="226" t="n"/>
      <c r="BL24" s="226" t="n"/>
      <c r="BM24" s="226" t="n"/>
      <c r="BN24" s="226" t="n"/>
      <c r="BO24" s="226" t="n"/>
      <c r="BP24" s="226" t="n"/>
      <c r="BQ24" s="226" t="n"/>
      <c r="BR24" s="226" t="n"/>
      <c r="BS24" s="226" t="n"/>
      <c r="BT24" s="226" t="n"/>
      <c r="BU24" s="226" t="n"/>
      <c r="BV24" s="226" t="n"/>
      <c r="BW24" s="226" t="n"/>
      <c r="BX24" s="226" t="n"/>
      <c r="BY24" s="226" t="n"/>
      <c r="BZ24" s="226" t="n"/>
      <c r="CA24" s="219">
        <f>IF(AND($B24&lt;&gt;0,S24=""),"* No olvide digitar la variable "&amp;S$9&amp;""&amp;". Digite CERO si no tiene. ",IF(S24&gt;$B24,"* La variable Pueblos Originarios no puede superar el Total Ambos Sexos. ",""))</f>
        <v/>
      </c>
      <c r="CB24" s="219">
        <f>IF(AND($B24&lt;&gt;0,T24=""),"* No olvide digitar la variable "&amp;T$9&amp;""&amp;". Digite CERO si no tiene. ",IF(T24&gt;$B24,"* La variable Migrantes no puede superar el Total Ambos Sexos. ",""))</f>
        <v/>
      </c>
      <c r="CC24" s="226" t="n"/>
      <c r="CD24" s="226" t="n"/>
      <c r="CE24" s="221">
        <f>IF(AND($B24&lt;&gt;0,S24=""),1,IF(S24&gt;$B24,1,0))</f>
        <v/>
      </c>
      <c r="CF24" s="221">
        <f>IF(AND($B24&lt;&gt;0,T24=""),1,IF(T24&gt;$B24,1,0))</f>
        <v/>
      </c>
    </row>
    <row r="25">
      <c r="A25" s="6" t="inlineStr">
        <is>
          <t>Egresos glaucoma UAPO</t>
        </is>
      </c>
      <c r="B25" s="4202">
        <f>SUM(C25+D25)</f>
        <v/>
      </c>
      <c r="C25" s="4203">
        <f>SUM(E25+G25+I25+K25)</f>
        <v/>
      </c>
      <c r="D25" s="1365">
        <f>SUM(F25+H25+J25+L25)</f>
        <v/>
      </c>
      <c r="E25" s="1179" t="n"/>
      <c r="F25" s="1180" t="n"/>
      <c r="G25" s="1179" t="n"/>
      <c r="H25" s="1180" t="n"/>
      <c r="I25" s="1179" t="n"/>
      <c r="J25" s="1180" t="n"/>
      <c r="K25" s="1179" t="n"/>
      <c r="L25" s="1231" t="n"/>
      <c r="M25" s="4315" t="n"/>
      <c r="N25" s="1371" t="n"/>
      <c r="O25" s="4316" t="n"/>
      <c r="P25" s="1371" t="n"/>
      <c r="Q25" s="4316" t="n"/>
      <c r="R25" s="1366" t="n"/>
      <c r="S25" s="5249" t="n"/>
      <c r="T25" s="1223" t="n"/>
      <c r="U25" s="218">
        <f>CA25&amp;CB25</f>
        <v/>
      </c>
      <c r="AZ25" s="226" t="n"/>
      <c r="BA25" s="226" t="n"/>
      <c r="BB25" s="226" t="n"/>
      <c r="BC25" s="226" t="n"/>
      <c r="BD25" s="226" t="n"/>
      <c r="BE25" s="226" t="n"/>
      <c r="BF25" s="226" t="n"/>
      <c r="BG25" s="226" t="n"/>
      <c r="BH25" s="226" t="n"/>
      <c r="BI25" s="226" t="n"/>
      <c r="BJ25" s="226" t="n"/>
      <c r="BK25" s="226" t="n"/>
      <c r="BL25" s="226" t="n"/>
      <c r="BM25" s="226" t="n"/>
      <c r="BN25" s="226" t="n"/>
      <c r="BO25" s="226" t="n"/>
      <c r="BP25" s="226" t="n"/>
      <c r="BQ25" s="226" t="n"/>
      <c r="BR25" s="226" t="n"/>
      <c r="BS25" s="226" t="n"/>
      <c r="BT25" s="226" t="n"/>
      <c r="BU25" s="226" t="n"/>
      <c r="BV25" s="226" t="n"/>
      <c r="BW25" s="226" t="n"/>
      <c r="BX25" s="226" t="n"/>
      <c r="BY25" s="226" t="n"/>
      <c r="BZ25" s="226" t="n"/>
      <c r="CA25" s="219">
        <f>IF(AND($B25&lt;&gt;0,S25=""),"* No olvide digitar la variable "&amp;S$9&amp;""&amp;". Digite CERO si no tiene. ",IF(S25&gt;$B25,"* La variable Pueblos Originarios no puede superar el Total Ambos Sexos. ",""))</f>
        <v/>
      </c>
      <c r="CB25" s="219">
        <f>IF(AND($B25&lt;&gt;0,T25=""),"* No olvide digitar la variable "&amp;T$9&amp;""&amp;". Digite CERO si no tiene. ",IF(T25&gt;$B25,"* La variable Migrantes no puede superar el Total Ambos Sexos. ",""))</f>
        <v/>
      </c>
      <c r="CC25" s="226" t="n"/>
      <c r="CD25" s="226" t="n"/>
      <c r="CE25" s="221">
        <f>IF(AND($B25&lt;&gt;0,S25=""),1,IF(S25&gt;$B25,1,0))</f>
        <v/>
      </c>
      <c r="CF25" s="221">
        <f>IF(AND($B25&lt;&gt;0,T25=""),1,IF(T25&gt;$B25,1,0))</f>
        <v/>
      </c>
    </row>
    <row r="26">
      <c r="A26" s="4317" t="inlineStr">
        <is>
          <t>Glaucoma (por médico/a) (incluidas dentro de consultas de oftalmología)</t>
        </is>
      </c>
      <c r="B26" s="10406" t="n"/>
      <c r="C26" s="9584" t="n"/>
      <c r="D26" s="9584" t="n"/>
      <c r="E26" s="9584" t="n"/>
      <c r="F26" s="9584" t="n"/>
      <c r="G26" s="9584" t="n"/>
      <c r="H26" s="9584" t="n"/>
      <c r="I26" s="9584" t="n"/>
      <c r="J26" s="9584" t="n"/>
      <c r="K26" s="9584" t="n"/>
      <c r="L26" s="9584" t="n"/>
      <c r="M26" s="9584" t="n"/>
      <c r="N26" s="9584" t="n"/>
      <c r="O26" s="9584" t="n"/>
      <c r="P26" s="9584" t="n"/>
      <c r="Q26" s="9584" t="n"/>
      <c r="R26" s="9584" t="n"/>
      <c r="S26" s="9584" t="n"/>
      <c r="T26" s="9582" t="n"/>
    </row>
    <row r="27">
      <c r="A27" s="4318" t="inlineStr">
        <is>
          <t>Controles de glaucoma UAPO</t>
        </is>
      </c>
      <c r="B27" s="4304">
        <f>SUM(C27+D27)</f>
        <v/>
      </c>
      <c r="C27" s="4320">
        <f>SUM(E27+G27+I27+K27)</f>
        <v/>
      </c>
      <c r="D27" s="2171">
        <f>SUM(F27+H27+J27+L27)</f>
        <v/>
      </c>
      <c r="E27" s="1935" t="n"/>
      <c r="F27" s="3805" t="n"/>
      <c r="G27" s="1432" t="n"/>
      <c r="H27" s="3805" t="n"/>
      <c r="I27" s="1935" t="n"/>
      <c r="J27" s="3805" t="n"/>
      <c r="K27" s="1935" t="n"/>
      <c r="L27" s="4002" t="n"/>
      <c r="M27" s="4309" t="n"/>
      <c r="N27" s="3907" t="n"/>
      <c r="O27" s="4310" t="n"/>
      <c r="P27" s="3907" t="n"/>
      <c r="Q27" s="4235" t="n"/>
      <c r="R27" s="4002" t="n"/>
      <c r="S27" s="5213" t="n"/>
      <c r="T27" s="5189" t="n"/>
      <c r="U27" s="218">
        <f>CA27&amp;CB27</f>
        <v/>
      </c>
      <c r="AZ27" s="226" t="n"/>
      <c r="BA27" s="226" t="n"/>
      <c r="BB27" s="226" t="n"/>
      <c r="BC27" s="226" t="n"/>
      <c r="BD27" s="226" t="n"/>
      <c r="BE27" s="226" t="n"/>
      <c r="BF27" s="226" t="n"/>
      <c r="BG27" s="226" t="n"/>
      <c r="BH27" s="226" t="n"/>
      <c r="BI27" s="226" t="n"/>
      <c r="BJ27" s="226" t="n"/>
      <c r="BK27" s="226" t="n"/>
      <c r="BL27" s="226" t="n"/>
      <c r="BM27" s="226" t="n"/>
      <c r="BN27" s="226" t="n"/>
      <c r="BO27" s="226" t="n"/>
      <c r="BP27" s="226" t="n"/>
      <c r="BQ27" s="226" t="n"/>
      <c r="BR27" s="226" t="n"/>
      <c r="BS27" s="226" t="n"/>
      <c r="BT27" s="226" t="n"/>
      <c r="BU27" s="226" t="n"/>
      <c r="BV27" s="226" t="n"/>
      <c r="BW27" s="226" t="n"/>
      <c r="BX27" s="226" t="n"/>
      <c r="BY27" s="226" t="n"/>
      <c r="BZ27" s="226" t="n"/>
      <c r="CA27" s="219">
        <f>IF(AND($B27&lt;&gt;0,S27=""),"* No olvide digitar la variable "&amp;S$9&amp;""&amp;". Digite CERO si no tiene. ",IF(S27&gt;$B27,"* La variable Pueblos Originarios no puede superar el Total Ambos Sexos. ",""))</f>
        <v/>
      </c>
      <c r="CB27" s="219">
        <f>IF(AND($B27&lt;&gt;0,T27=""),"* No olvide digitar la variable "&amp;T$9&amp;""&amp;". Digite CERO si no tiene. ",IF(T27&gt;$B27,"* La variable Migrantes no puede superar el Total Ambos Sexos. ",""))</f>
        <v/>
      </c>
      <c r="CC27" s="226" t="n"/>
      <c r="CD27" s="226" t="n"/>
      <c r="CE27" s="221">
        <f>IF(AND($B27&lt;&gt;0,S27=""),1,IF(S27&gt;$B27,1,0))</f>
        <v/>
      </c>
      <c r="CF27" s="221">
        <f>IF(AND($B27&lt;&gt;0,T27=""),1,IF(T27&gt;$B27,1,0))</f>
        <v/>
      </c>
    </row>
    <row r="28">
      <c r="A28" s="1369" t="inlineStr">
        <is>
          <t>Consulta nueva glaucoma UAPO</t>
        </is>
      </c>
      <c r="B28" s="4325">
        <f>SUM(C28+D28)</f>
        <v/>
      </c>
      <c r="C28" s="4203">
        <f>SUM(E28+G28+I28+K28)</f>
        <v/>
      </c>
      <c r="D28" s="7752">
        <f>SUM(F28+H28+J28+L28)</f>
        <v/>
      </c>
      <c r="E28" s="3808" t="n"/>
      <c r="F28" s="1192" t="n"/>
      <c r="G28" s="3808" t="n"/>
      <c r="H28" s="3601" t="n"/>
      <c r="I28" s="3808" t="n"/>
      <c r="J28" s="3601" t="n"/>
      <c r="K28" s="3808" t="n"/>
      <c r="L28" s="3897" t="n"/>
      <c r="M28" s="4315" t="n"/>
      <c r="N28" s="1233" t="n"/>
      <c r="O28" s="4316" t="n"/>
      <c r="P28" s="1233" t="n"/>
      <c r="Q28" s="3808" t="n"/>
      <c r="R28" s="3899" t="n"/>
      <c r="S28" s="5249" t="n"/>
      <c r="T28" s="1223" t="n"/>
      <c r="U28" s="218">
        <f>CA28&amp;CB28</f>
        <v/>
      </c>
      <c r="AZ28" s="226" t="n"/>
      <c r="BA28" s="226" t="n"/>
      <c r="BB28" s="226" t="n"/>
      <c r="BC28" s="226" t="n"/>
      <c r="BD28" s="226" t="n"/>
      <c r="BE28" s="226" t="n"/>
      <c r="BF28" s="226" t="n"/>
      <c r="BG28" s="226" t="n"/>
      <c r="BH28" s="226" t="n"/>
      <c r="BI28" s="226" t="n"/>
      <c r="BJ28" s="226" t="n"/>
      <c r="BK28" s="226" t="n"/>
      <c r="BL28" s="226" t="n"/>
      <c r="BM28" s="226" t="n"/>
      <c r="BN28" s="226" t="n"/>
      <c r="BO28" s="226" t="n"/>
      <c r="BP28" s="226" t="n"/>
      <c r="BQ28" s="226" t="n"/>
      <c r="BR28" s="226" t="n"/>
      <c r="BS28" s="226" t="n"/>
      <c r="BT28" s="226" t="n"/>
      <c r="BU28" s="226" t="n"/>
      <c r="BV28" s="226" t="n"/>
      <c r="BW28" s="226" t="n"/>
      <c r="BX28" s="226" t="n"/>
      <c r="BY28" s="226" t="n"/>
      <c r="BZ28" s="226" t="n"/>
      <c r="CA28" s="219">
        <f>IF(AND($B28&lt;&gt;0,S28=""),"* No olvide digitar la variable "&amp;S$9&amp;""&amp;". Digite CERO si no tiene. ",IF(S28&gt;$B28,"* La variable Pueblos Originarios no puede superar el Total Ambos Sexos. ",""))</f>
        <v/>
      </c>
      <c r="CB28" s="219">
        <f>IF(AND($B28&lt;&gt;0,T28=""),"* No olvide digitar la variable "&amp;T$9&amp;""&amp;". Digite CERO si no tiene. ",IF(T28&gt;$B28,"* La variable Migrantes no puede superar el Total Ambos Sexos. ",""))</f>
        <v/>
      </c>
      <c r="CC28" s="226" t="n"/>
      <c r="CD28" s="226" t="n"/>
      <c r="CE28" s="221">
        <f>IF(AND($B28&lt;&gt;0,S28=""),1,IF(S28&gt;$B28,1,0))</f>
        <v/>
      </c>
      <c r="CF28" s="221">
        <f>IF(AND($B28&lt;&gt;0,T28=""),1,IF(T28&gt;$B28,1,0))</f>
        <v/>
      </c>
    </row>
    <row r="29" ht="18" customHeight="1" s="8286">
      <c r="A29" s="4291" t="inlineStr">
        <is>
          <t xml:space="preserve">SECCIÓN B: PROCEDIMIENTOS DE IMÁGENES DIAGNOSTICAS Y PROGRAMA DE RESOLUTIVIDAD EN APS  </t>
        </is>
      </c>
      <c r="B29" s="7" t="n"/>
      <c r="C29" s="3" t="n"/>
      <c r="D29" s="7" t="n"/>
      <c r="E29" s="7" t="n"/>
      <c r="F29" s="7" t="n"/>
      <c r="G29" s="7" t="n"/>
      <c r="H29" s="7" t="n"/>
      <c r="I29" s="7" t="n"/>
      <c r="J29" s="7" t="n"/>
      <c r="K29" s="7" t="n"/>
      <c r="L29" s="7" t="n"/>
      <c r="M29" s="7" t="n"/>
      <c r="N29" s="7" t="n"/>
      <c r="O29" s="7" t="n"/>
      <c r="P29" s="7" t="n"/>
      <c r="Q29" s="7" t="n"/>
    </row>
    <row r="30">
      <c r="A30" s="10403" t="inlineStr">
        <is>
          <t>TIPO DE EXAMEN Y PROCEDIMIENTO DIAGNÓSTICO</t>
        </is>
      </c>
      <c r="B30" s="9630" t="n"/>
      <c r="C30" s="10095" t="inlineStr">
        <is>
          <t>TOTAL</t>
        </is>
      </c>
      <c r="D30" s="9915" t="inlineStr">
        <is>
          <t>POR RANGO ETARIO</t>
        </is>
      </c>
      <c r="E30" s="9584" t="n"/>
      <c r="F30" s="9584" t="n"/>
      <c r="G30" s="9584" t="n"/>
      <c r="H30" s="9584" t="n"/>
      <c r="I30" s="9584" t="n"/>
      <c r="J30" s="9584" t="n"/>
      <c r="K30" s="9584" t="n"/>
      <c r="L30" s="9595" t="n"/>
      <c r="M30" s="10586" t="inlineStr">
        <is>
          <t>MODALIDAD</t>
        </is>
      </c>
      <c r="N30" s="9617" t="n"/>
      <c r="O30" s="9597" t="n"/>
      <c r="P30" s="10330" t="inlineStr">
        <is>
          <t>Pueblos Originarios</t>
        </is>
      </c>
      <c r="Q30" s="10326" t="inlineStr">
        <is>
          <t>Migrantes</t>
        </is>
      </c>
    </row>
    <row r="31" ht="21" customHeight="1" s="8286">
      <c r="A31" s="642" t="n"/>
      <c r="B31" s="9718" t="n"/>
      <c r="C31" s="9698" t="n"/>
      <c r="D31" s="4296" t="inlineStr">
        <is>
          <t>&lt; 35 años</t>
        </is>
      </c>
      <c r="E31" s="4294" t="inlineStr">
        <is>
          <t>35 - 49 años</t>
        </is>
      </c>
      <c r="F31" s="9178" t="inlineStr">
        <is>
          <t>50 - 54 años</t>
        </is>
      </c>
      <c r="G31" s="9178" t="inlineStr">
        <is>
          <t>55 - 59 años</t>
        </is>
      </c>
      <c r="H31" s="9178" t="inlineStr">
        <is>
          <t>60 - 64 años</t>
        </is>
      </c>
      <c r="I31" s="9178" t="inlineStr">
        <is>
          <t>65 - 69 años</t>
        </is>
      </c>
      <c r="J31" s="9178" t="inlineStr">
        <is>
          <t>70 - 74 años</t>
        </is>
      </c>
      <c r="K31" s="9178" t="inlineStr">
        <is>
          <t>75 - 79 años</t>
        </is>
      </c>
      <c r="L31" s="4327" t="inlineStr">
        <is>
          <t>80 y más años</t>
        </is>
      </c>
      <c r="M31" s="4328" t="inlineStr">
        <is>
          <t>Institucional</t>
        </is>
      </c>
      <c r="N31" s="4329" t="inlineStr">
        <is>
          <t>Compra al sistema</t>
        </is>
      </c>
      <c r="O31" s="4327" t="inlineStr">
        <is>
          <t>Compra extrasistema</t>
        </is>
      </c>
      <c r="P31" s="9890" t="n"/>
      <c r="Q31" s="9610" t="n"/>
    </row>
    <row r="32">
      <c r="A32" s="10398" t="inlineStr">
        <is>
          <t>Mamografía</t>
        </is>
      </c>
      <c r="B32" s="4330" t="inlineStr">
        <is>
          <t>Solicitadas</t>
        </is>
      </c>
      <c r="C32" s="4331">
        <f>SUM(D32:L32)</f>
        <v/>
      </c>
      <c r="D32" s="4332" t="n"/>
      <c r="E32" s="4333" t="n"/>
      <c r="F32" s="4333" t="n"/>
      <c r="G32" s="4333" t="n"/>
      <c r="H32" s="4333" t="n"/>
      <c r="I32" s="4333" t="n"/>
      <c r="J32" s="4333" t="n"/>
      <c r="K32" s="4333" t="n"/>
      <c r="L32" s="4334" t="n"/>
      <c r="M32" s="4335" t="n"/>
      <c r="N32" s="4336" t="n"/>
      <c r="O32" s="4337" t="n"/>
      <c r="P32" s="5473" t="n"/>
      <c r="Q32" s="5479" t="n"/>
      <c r="R32" s="218">
        <f>CA32&amp;CB32</f>
        <v/>
      </c>
      <c r="AW32" s="226" t="n"/>
      <c r="AX32" s="226" t="n"/>
      <c r="AY32" s="226" t="n"/>
      <c r="AZ32" s="226" t="n"/>
      <c r="BA32" s="226" t="n"/>
      <c r="BB32" s="226" t="n"/>
      <c r="BC32" s="226" t="n"/>
      <c r="BD32" s="226" t="n"/>
      <c r="BE32" s="226" t="n"/>
      <c r="BF32" s="226" t="n"/>
      <c r="BG32" s="226" t="n"/>
      <c r="BH32" s="226" t="n"/>
      <c r="BI32" s="226" t="n"/>
      <c r="BJ32" s="226" t="n"/>
      <c r="BK32" s="226" t="n"/>
      <c r="BL32" s="226" t="n"/>
      <c r="BM32" s="226" t="n"/>
      <c r="BN32" s="226" t="n"/>
      <c r="BO32" s="226" t="n"/>
      <c r="BP32" s="226" t="n"/>
      <c r="BQ32" s="226" t="n"/>
      <c r="BR32" s="226" t="n"/>
      <c r="BS32" s="226" t="n"/>
      <c r="BT32" s="226" t="n"/>
      <c r="BU32" s="226" t="n"/>
      <c r="BV32" s="226" t="n"/>
      <c r="BW32" s="226" t="n"/>
      <c r="BX32" s="226" t="n"/>
      <c r="BY32" s="226" t="n"/>
      <c r="BZ32" s="226" t="n"/>
      <c r="CA32" s="219">
        <f>IF(AND($C32&lt;&gt;0,P32=""),"* No olvide digitar la variable "&amp;P$30&amp;""&amp;". Digite CERO si no tiene. ",IF(P32&gt;$C32,"* La variable Pueblos Originarios no puede superar el Total. ",""))</f>
        <v/>
      </c>
      <c r="CB32" s="219">
        <f>IF(AND($C32&lt;&gt;0,Q32=""),"* No olvide digitar la variable "&amp;Q$30&amp;""&amp;". Digite CERO si no tiene. ",IF(Q32&gt;$C32,"* La variable  Migrantes no puede superar el Total. ",""))</f>
        <v/>
      </c>
      <c r="CC32" s="226" t="n"/>
      <c r="CD32" s="226" t="n"/>
      <c r="CE32" s="221">
        <f>IF(AND($C32&lt;&gt;0,P32=""),1,IF(P32&gt;$C32,1,0))</f>
        <v/>
      </c>
      <c r="CF32" s="221">
        <f>IF(AND($C32&lt;&gt;0,Q32=""),1,IF(Q32&gt;$C32,1,0))</f>
        <v/>
      </c>
    </row>
    <row r="33">
      <c r="A33" s="9588" t="n"/>
      <c r="B33" s="4339" t="inlineStr">
        <is>
          <t>Informadas</t>
        </is>
      </c>
      <c r="C33" s="4339">
        <f>SUM(D33:L33)</f>
        <v/>
      </c>
      <c r="D33" s="4340">
        <f>SUM(D34:D38)</f>
        <v/>
      </c>
      <c r="E33" s="4341">
        <f>SUM(E34:E38)</f>
        <v/>
      </c>
      <c r="F33" s="4341">
        <f>SUM(F34:F38)</f>
        <v/>
      </c>
      <c r="G33" s="4341">
        <f>SUM(G34:G38)</f>
        <v/>
      </c>
      <c r="H33" s="4341">
        <f>SUM(H34:H38)</f>
        <v/>
      </c>
      <c r="I33" s="4341">
        <f>SUM(I34:I38)</f>
        <v/>
      </c>
      <c r="J33" s="4341">
        <f>SUM(J34:J38)</f>
        <v/>
      </c>
      <c r="K33" s="4341">
        <f>SUM(K34:K38)</f>
        <v/>
      </c>
      <c r="L33" s="4342">
        <f>SUM(L34:L38)</f>
        <v/>
      </c>
      <c r="M33" s="898" t="n"/>
      <c r="N33" s="4343" t="n"/>
      <c r="O33" s="4344" t="n"/>
      <c r="P33" s="5473" t="n"/>
      <c r="Q33" s="5479" t="n"/>
      <c r="R33" s="218">
        <f>CA33&amp;CB33</f>
        <v/>
      </c>
      <c r="AW33" s="226" t="n"/>
      <c r="AX33" s="226" t="n"/>
      <c r="AY33" s="226" t="n"/>
      <c r="AZ33" s="226" t="n"/>
      <c r="BA33" s="226" t="n"/>
      <c r="BB33" s="226" t="n"/>
      <c r="BC33" s="226" t="n"/>
      <c r="BD33" s="226" t="n"/>
      <c r="BE33" s="226" t="n"/>
      <c r="BF33" s="226" t="n"/>
      <c r="BG33" s="226" t="n"/>
      <c r="BH33" s="226" t="n"/>
      <c r="BI33" s="226" t="n"/>
      <c r="BJ33" s="226" t="n"/>
      <c r="BK33" s="226" t="n"/>
      <c r="BL33" s="226" t="n"/>
      <c r="BM33" s="226" t="n"/>
      <c r="BN33" s="226" t="n"/>
      <c r="BO33" s="226" t="n"/>
      <c r="BP33" s="226" t="n"/>
      <c r="BQ33" s="226" t="n"/>
      <c r="BR33" s="226" t="n"/>
      <c r="BS33" s="226" t="n"/>
      <c r="BT33" s="226" t="n"/>
      <c r="BU33" s="226" t="n"/>
      <c r="BV33" s="226" t="n"/>
      <c r="BW33" s="226" t="n"/>
      <c r="BX33" s="226" t="n"/>
      <c r="BY33" s="226" t="n"/>
      <c r="BZ33" s="226" t="n"/>
      <c r="CA33" s="226" t="n"/>
      <c r="CB33" s="226" t="n"/>
      <c r="CC33" s="226" t="n"/>
      <c r="CD33" s="226" t="n"/>
    </row>
    <row r="34">
      <c r="A34" s="9588" t="n"/>
      <c r="B34" s="1946" t="inlineStr">
        <is>
          <t>Con BIRADS 0</t>
        </is>
      </c>
      <c r="C34" s="2668">
        <f>SUM(D34:L34)</f>
        <v/>
      </c>
      <c r="D34" s="4345" t="n"/>
      <c r="E34" s="812" t="n"/>
      <c r="F34" s="812" t="n"/>
      <c r="G34" s="812" t="n"/>
      <c r="H34" s="812" t="n"/>
      <c r="I34" s="812" t="n"/>
      <c r="J34" s="812" t="n"/>
      <c r="K34" s="812" t="n"/>
      <c r="L34" s="4346" t="n"/>
      <c r="M34" s="4347" t="n"/>
      <c r="N34" s="813" t="n"/>
      <c r="O34" s="4348" t="n"/>
      <c r="P34" s="5473" t="n"/>
      <c r="Q34" s="5479" t="n"/>
      <c r="R34" s="218">
        <f>CA34&amp;CB34</f>
        <v/>
      </c>
      <c r="AW34" s="226" t="n"/>
      <c r="AX34" s="226" t="n"/>
      <c r="AY34" s="226" t="n"/>
      <c r="AZ34" s="226" t="n"/>
      <c r="BA34" s="226" t="n"/>
      <c r="BB34" s="226" t="n"/>
      <c r="BC34" s="226" t="n"/>
      <c r="BD34" s="226" t="n"/>
      <c r="BE34" s="226" t="n"/>
      <c r="BF34" s="226" t="n"/>
      <c r="BG34" s="226" t="n"/>
      <c r="BH34" s="226" t="n"/>
      <c r="BI34" s="226" t="n"/>
      <c r="BJ34" s="226" t="n"/>
      <c r="BK34" s="226" t="n"/>
      <c r="BL34" s="226" t="n"/>
      <c r="BM34" s="226" t="n"/>
      <c r="BN34" s="226" t="n"/>
      <c r="BO34" s="226" t="n"/>
      <c r="BP34" s="226" t="n"/>
      <c r="BQ34" s="226" t="n"/>
      <c r="BR34" s="226" t="n"/>
      <c r="BS34" s="226" t="n"/>
      <c r="BT34" s="226" t="n"/>
      <c r="BU34" s="226" t="n"/>
      <c r="BV34" s="226" t="n"/>
      <c r="BW34" s="226" t="n"/>
      <c r="BX34" s="226" t="n"/>
      <c r="BY34" s="226" t="n"/>
      <c r="BZ34" s="226" t="n"/>
      <c r="CA34" s="219">
        <f>IF(AND($C34&lt;&gt;0,P34=""),"* No olvide digitar la variable "&amp;P$30&amp;""&amp;". Digite CERO si no tiene. ",IF(P34&gt;$C34,"* La variable Pueblos Originarios no puede superar el Total. ",""))</f>
        <v/>
      </c>
      <c r="CB34" s="219">
        <f>IF(AND($C34&lt;&gt;0,Q34=""),"* No olvide digitar la variable "&amp;Q$30&amp;""&amp;". Digite CERO si no tiene. ",IF(Q34&gt;$C34,"* La variable Migrantes no puede superar el Total. ",""))</f>
        <v/>
      </c>
      <c r="CC34" s="226" t="n"/>
      <c r="CD34" s="226" t="n"/>
      <c r="CE34" s="221">
        <f>IF(AND($C34&lt;&gt;0,P34=""),1,IF(P34&gt;$C34,1,0))</f>
        <v/>
      </c>
      <c r="CF34" s="221">
        <f>IF(AND($C34&lt;&gt;0,Q34=""),1,IF(Q34&gt;$C34,1,0))</f>
        <v/>
      </c>
    </row>
    <row r="35">
      <c r="A35" s="9588" t="n"/>
      <c r="B35" s="1121" t="inlineStr">
        <is>
          <t>Con BIRADS 1 o 2</t>
        </is>
      </c>
      <c r="C35" s="1209">
        <f>SUM(D35:L35)</f>
        <v/>
      </c>
      <c r="D35" s="4349" t="n"/>
      <c r="E35" s="4343" t="n"/>
      <c r="F35" s="4343" t="n"/>
      <c r="G35" s="4343" t="n"/>
      <c r="H35" s="4343" t="n"/>
      <c r="I35" s="4343" t="n"/>
      <c r="J35" s="4343" t="n"/>
      <c r="K35" s="4343" t="n"/>
      <c r="L35" s="4344" t="n"/>
      <c r="M35" s="899" t="n"/>
      <c r="N35" s="4350" t="n"/>
      <c r="O35" s="4351" t="n"/>
      <c r="P35" s="5473" t="n"/>
      <c r="Q35" s="5479" t="n"/>
      <c r="R35" s="218">
        <f>CA35&amp;CB35</f>
        <v/>
      </c>
      <c r="AW35" s="226" t="n"/>
      <c r="AX35" s="226" t="n"/>
      <c r="AY35" s="226" t="n"/>
      <c r="AZ35" s="226" t="n"/>
      <c r="BA35" s="226" t="n"/>
      <c r="BB35" s="226" t="n"/>
      <c r="BC35" s="226" t="n"/>
      <c r="BD35" s="226" t="n"/>
      <c r="BE35" s="226" t="n"/>
      <c r="BF35" s="226" t="n"/>
      <c r="BG35" s="226" t="n"/>
      <c r="BH35" s="226" t="n"/>
      <c r="BI35" s="226" t="n"/>
      <c r="BJ35" s="226" t="n"/>
      <c r="BK35" s="226" t="n"/>
      <c r="BL35" s="226" t="n"/>
      <c r="BM35" s="226" t="n"/>
      <c r="BN35" s="226" t="n"/>
      <c r="BO35" s="226" t="n"/>
      <c r="BP35" s="226" t="n"/>
      <c r="BQ35" s="226" t="n"/>
      <c r="BR35" s="226" t="n"/>
      <c r="BS35" s="226" t="n"/>
      <c r="BT35" s="226" t="n"/>
      <c r="BU35" s="226" t="n"/>
      <c r="BV35" s="226" t="n"/>
      <c r="BW35" s="226" t="n"/>
      <c r="BX35" s="226" t="n"/>
      <c r="BY35" s="226" t="n"/>
      <c r="BZ35" s="226" t="n"/>
      <c r="CA35" s="219">
        <f>IF(AND($C35&lt;&gt;0,P35=""),"* No olvide digitar la variable "&amp;P$30&amp;""&amp;". Digite CERO si no tiene. ",IF(P35&gt;$C35,"* La variable Pueblos Originarios no puede superar el Total. ",""))</f>
        <v/>
      </c>
      <c r="CB35" s="219">
        <f>IF(AND($C35&lt;&gt;0,Q35=""),"* No olvide digitar la variable "&amp;Q$30&amp;""&amp;". Digite CERO si no tiene. ",IF(Q35&gt;$C35,"* La variable Migrantes no puede superar el Total. ",""))</f>
        <v/>
      </c>
      <c r="CC35" s="226" t="n"/>
      <c r="CD35" s="226" t="n"/>
      <c r="CE35" s="221">
        <f>IF(AND($C35&lt;&gt;0,P35=""),1,IF(P35&gt;$C35,1,0))</f>
        <v/>
      </c>
      <c r="CF35" s="221">
        <f>IF(AND($C35&lt;&gt;0,Q35=""),1,IF(Q35&gt;$C35,1,0))</f>
        <v/>
      </c>
    </row>
    <row r="36">
      <c r="A36" s="9588" t="n"/>
      <c r="B36" s="1121" t="inlineStr">
        <is>
          <t>Con BIRADS  3</t>
        </is>
      </c>
      <c r="C36" s="1209">
        <f>SUM(D36:L36)</f>
        <v/>
      </c>
      <c r="D36" s="4352" t="n"/>
      <c r="E36" s="4353" t="n"/>
      <c r="F36" s="4353" t="n"/>
      <c r="G36" s="4353" t="n"/>
      <c r="H36" s="4353" t="n"/>
      <c r="I36" s="4353" t="n"/>
      <c r="J36" s="4353" t="n"/>
      <c r="K36" s="4353" t="n"/>
      <c r="L36" s="4354" t="n"/>
      <c r="M36" s="4355" t="n"/>
      <c r="N36" s="4356" t="n"/>
      <c r="O36" s="4357" t="n"/>
      <c r="P36" s="5473" t="n"/>
      <c r="Q36" s="5479" t="n"/>
      <c r="R36" s="218">
        <f>CA36&amp;CB36</f>
        <v/>
      </c>
      <c r="AW36" s="226" t="n"/>
      <c r="AX36" s="226" t="n"/>
      <c r="AY36" s="226" t="n"/>
      <c r="AZ36" s="226" t="n"/>
      <c r="BA36" s="226" t="n"/>
      <c r="BB36" s="226" t="n"/>
      <c r="BC36" s="226" t="n"/>
      <c r="BD36" s="226" t="n"/>
      <c r="BE36" s="226" t="n"/>
      <c r="BF36" s="226" t="n"/>
      <c r="BG36" s="226" t="n"/>
      <c r="BH36" s="226" t="n"/>
      <c r="BI36" s="226" t="n"/>
      <c r="BJ36" s="226" t="n"/>
      <c r="BK36" s="226" t="n"/>
      <c r="BL36" s="226" t="n"/>
      <c r="BM36" s="226" t="n"/>
      <c r="BN36" s="226" t="n"/>
      <c r="BO36" s="226" t="n"/>
      <c r="BP36" s="226" t="n"/>
      <c r="BQ36" s="226" t="n"/>
      <c r="BR36" s="226" t="n"/>
      <c r="BS36" s="226" t="n"/>
      <c r="BT36" s="226" t="n"/>
      <c r="BU36" s="226" t="n"/>
      <c r="BV36" s="226" t="n"/>
      <c r="BW36" s="226" t="n"/>
      <c r="BX36" s="226" t="n"/>
      <c r="BY36" s="226" t="n"/>
      <c r="BZ36" s="226" t="n"/>
      <c r="CA36" s="219">
        <f>IF(AND($C36&lt;&gt;0,P36=""),"* No olvide digitar la variable "&amp;P$30&amp;""&amp;". Digite CERO si no tiene. ",IF(P36&gt;$C36,"* La variable Pueblos Originarios no puede superar el Total. ",""))</f>
        <v/>
      </c>
      <c r="CB36" s="219">
        <f>IF(AND($C36&lt;&gt;0,Q36=""),"* No olvide digitar la variable "&amp;Q$30&amp;""&amp;". Digite CERO si no tiene. ",IF(Q36&gt;$C36,"* La variable Migrantes no puede superar el Total. ",""))</f>
        <v/>
      </c>
      <c r="CC36" s="226" t="n"/>
      <c r="CD36" s="226" t="n"/>
      <c r="CE36" s="221">
        <f>IF(AND($C36&lt;&gt;0,P36=""),1,IF(P36&gt;$C36,1,0))</f>
        <v/>
      </c>
      <c r="CF36" s="221">
        <f>IF(AND($C36&lt;&gt;0,Q36=""),1,IF(Q36&gt;$C36,1,0))</f>
        <v/>
      </c>
    </row>
    <row r="37">
      <c r="A37" s="9588" t="n"/>
      <c r="B37" s="1121" t="inlineStr">
        <is>
          <t>Con BIRADS  4, 5 o 6</t>
        </is>
      </c>
      <c r="C37" s="1209">
        <f>SUM(D37:L37)</f>
        <v/>
      </c>
      <c r="D37" s="4358" t="n"/>
      <c r="E37" s="4359" t="n"/>
      <c r="F37" s="4359" t="n"/>
      <c r="G37" s="4359" t="n"/>
      <c r="H37" s="4359" t="n"/>
      <c r="I37" s="4359" t="n"/>
      <c r="J37" s="4359" t="n"/>
      <c r="K37" s="4359" t="n"/>
      <c r="L37" s="4360" t="n"/>
      <c r="M37" s="4361" t="n"/>
      <c r="N37" s="4362" t="n"/>
      <c r="O37" s="4363" t="n"/>
      <c r="P37" s="5473" t="n"/>
      <c r="Q37" s="5479" t="n"/>
      <c r="R37" s="218">
        <f>CA37&amp;CB37</f>
        <v/>
      </c>
      <c r="AW37" s="226" t="n"/>
      <c r="AX37" s="226" t="n"/>
      <c r="AY37" s="226" t="n"/>
      <c r="AZ37" s="226" t="n"/>
      <c r="BA37" s="226" t="n"/>
      <c r="BB37" s="226" t="n"/>
      <c r="BC37" s="226" t="n"/>
      <c r="BD37" s="226" t="n"/>
      <c r="BE37" s="226" t="n"/>
      <c r="BF37" s="226" t="n"/>
      <c r="BG37" s="226" t="n"/>
      <c r="BH37" s="226" t="n"/>
      <c r="BI37" s="226" t="n"/>
      <c r="BJ37" s="226" t="n"/>
      <c r="BK37" s="226" t="n"/>
      <c r="BL37" s="226" t="n"/>
      <c r="BM37" s="226" t="n"/>
      <c r="BN37" s="226" t="n"/>
      <c r="BO37" s="226" t="n"/>
      <c r="BP37" s="226" t="n"/>
      <c r="BQ37" s="226" t="n"/>
      <c r="BR37" s="226" t="n"/>
      <c r="BS37" s="226" t="n"/>
      <c r="BT37" s="226" t="n"/>
      <c r="BU37" s="226" t="n"/>
      <c r="BV37" s="226" t="n"/>
      <c r="BW37" s="226" t="n"/>
      <c r="BX37" s="226" t="n"/>
      <c r="BY37" s="226" t="n"/>
      <c r="BZ37" s="226" t="n"/>
      <c r="CA37" s="219">
        <f>IF(AND($C37&lt;&gt;0,P37=""),"* No olvide digitar la variable "&amp;P$30&amp;""&amp;". Digite CERO si no tiene. ",IF(P37&gt;$C37,"* La variable Pueblos Originarios no puede superar el Total. ",""))</f>
        <v/>
      </c>
      <c r="CB37" s="219">
        <f>IF(AND($C37&lt;&gt;0,Q37=""),"* No olvide digitar la variable "&amp;Q$30&amp;""&amp;". Digite CERO si no tiene. ",IF(Q37&gt;$C37,"* La variable Migrantes no puede superar el Total. ",""))</f>
        <v/>
      </c>
      <c r="CC37" s="226" t="n"/>
      <c r="CD37" s="226" t="n"/>
      <c r="CE37" s="221">
        <f>IF(AND($C37&lt;&gt;0,P37=""),1,IF(P37&gt;$C37,1,0))</f>
        <v/>
      </c>
      <c r="CF37" s="221">
        <f>IF(AND($C37&lt;&gt;0,Q37=""),1,IF(Q37&gt;$C37,1,0))</f>
        <v/>
      </c>
    </row>
    <row r="38">
      <c r="A38" s="9588" t="n"/>
      <c r="B38" s="1121" t="inlineStr">
        <is>
          <t>Sin informe BIRADS</t>
        </is>
      </c>
      <c r="C38" s="1209">
        <f>SUM(D38:L38)</f>
        <v/>
      </c>
      <c r="D38" s="4349" t="n"/>
      <c r="E38" s="4343" t="n"/>
      <c r="F38" s="4343" t="n"/>
      <c r="G38" s="4343" t="n"/>
      <c r="H38" s="4343" t="n"/>
      <c r="I38" s="4343" t="n"/>
      <c r="J38" s="4343" t="n"/>
      <c r="K38" s="4343" t="n"/>
      <c r="L38" s="4344" t="n"/>
      <c r="M38" s="899" t="n"/>
      <c r="N38" s="4350" t="n"/>
      <c r="O38" s="4351" t="n"/>
      <c r="P38" s="5473" t="n"/>
      <c r="Q38" s="5479" t="n"/>
      <c r="R38" s="218">
        <f>CA38&amp;CB38</f>
        <v/>
      </c>
      <c r="AW38" s="226" t="n"/>
      <c r="AX38" s="226" t="n"/>
      <c r="AY38" s="226" t="n"/>
      <c r="AZ38" s="226" t="n"/>
      <c r="BA38" s="226" t="n"/>
      <c r="BB38" s="226" t="n"/>
      <c r="BC38" s="226" t="n"/>
      <c r="BD38" s="226" t="n"/>
      <c r="BE38" s="226" t="n"/>
      <c r="BF38" s="226" t="n"/>
      <c r="BG38" s="226" t="n"/>
      <c r="BH38" s="226" t="n"/>
      <c r="BI38" s="226" t="n"/>
      <c r="BJ38" s="226" t="n"/>
      <c r="BK38" s="226" t="n"/>
      <c r="BL38" s="226" t="n"/>
      <c r="BM38" s="226" t="n"/>
      <c r="BN38" s="226" t="n"/>
      <c r="BO38" s="226" t="n"/>
      <c r="BP38" s="226" t="n"/>
      <c r="BQ38" s="226" t="n"/>
      <c r="BR38" s="226" t="n"/>
      <c r="BS38" s="226" t="n"/>
      <c r="BT38" s="226" t="n"/>
      <c r="BU38" s="226" t="n"/>
      <c r="BV38" s="226" t="n"/>
      <c r="BW38" s="226" t="n"/>
      <c r="BX38" s="226" t="n"/>
      <c r="BY38" s="226" t="n"/>
      <c r="BZ38" s="226" t="n"/>
      <c r="CA38" s="219">
        <f>IF(AND($C38&lt;&gt;0,P38=""),"* No olvide digitar la variable "&amp;P$30&amp;""&amp;". Digite CERO si no tiene. ",IF(P38&gt;$C38,"* La variable Pueblos Originarios no puede superar el Total. ",""))</f>
        <v/>
      </c>
      <c r="CB38" s="219">
        <f>IF(AND($C38&lt;&gt;0,Q38=""),"* No olvide digitar la variable "&amp;Q$30&amp;""&amp;". Digite CERO si no tiene. ",IF(Q38&gt;$C38,"* La variable Migrantes no puede superar el Total. ",""))</f>
        <v/>
      </c>
      <c r="CC38" s="226" t="n"/>
      <c r="CD38" s="226" t="n"/>
      <c r="CE38" s="221">
        <f>IF(AND($C38&lt;&gt;0,P38=""),1,IF(P38&gt;$C38,1,0))</f>
        <v/>
      </c>
      <c r="CF38" s="221">
        <f>IF(AND($C38&lt;&gt;0,Q38=""),1,IF(Q38&gt;$C38,1,0))</f>
        <v/>
      </c>
    </row>
    <row r="39">
      <c r="A39" s="9589" t="n"/>
      <c r="B39" s="1121" t="inlineStr">
        <is>
          <t>Proyección complementaria</t>
        </is>
      </c>
      <c r="C39" s="1209">
        <f>SUM(D39:L39)</f>
        <v/>
      </c>
      <c r="D39" s="4364" t="n"/>
      <c r="E39" s="66" t="n"/>
      <c r="F39" s="66" t="n"/>
      <c r="G39" s="66" t="n"/>
      <c r="H39" s="66" t="n"/>
      <c r="I39" s="66" t="n"/>
      <c r="J39" s="66" t="n"/>
      <c r="K39" s="66" t="n"/>
      <c r="L39" s="67" t="n"/>
      <c r="M39" s="143" t="n"/>
      <c r="N39" s="144" t="n"/>
      <c r="O39" s="142" t="n"/>
      <c r="P39" s="5474" t="n"/>
      <c r="Q39" s="5480" t="n"/>
      <c r="R39" s="218">
        <f>CA39&amp;CB39</f>
        <v/>
      </c>
      <c r="AW39" s="226" t="n"/>
      <c r="AX39" s="226" t="n"/>
      <c r="AY39" s="226" t="n"/>
      <c r="AZ39" s="226" t="n"/>
      <c r="BA39" s="226" t="n"/>
      <c r="BB39" s="226" t="n"/>
      <c r="BC39" s="226" t="n"/>
      <c r="BD39" s="226" t="n"/>
      <c r="BE39" s="226" t="n"/>
      <c r="BF39" s="226" t="n"/>
      <c r="BG39" s="226" t="n"/>
      <c r="BH39" s="226" t="n"/>
      <c r="BI39" s="226" t="n"/>
      <c r="BJ39" s="226" t="n"/>
      <c r="BK39" s="226" t="n"/>
      <c r="BL39" s="226" t="n"/>
      <c r="BM39" s="226" t="n"/>
      <c r="BN39" s="226" t="n"/>
      <c r="BO39" s="226" t="n"/>
      <c r="BP39" s="226" t="n"/>
      <c r="BQ39" s="226" t="n"/>
      <c r="BR39" s="226" t="n"/>
      <c r="BS39" s="226" t="n"/>
      <c r="BT39" s="226" t="n"/>
      <c r="BU39" s="226" t="n"/>
      <c r="BV39" s="226" t="n"/>
      <c r="BW39" s="226" t="n"/>
      <c r="BX39" s="226" t="n"/>
      <c r="BY39" s="226" t="n"/>
      <c r="BZ39" s="226" t="n"/>
      <c r="CA39" s="219">
        <f>IF(AND($C39&lt;&gt;0,P39=""),"* No olvide digitar la variable "&amp;P$30&amp;""&amp;". Digite CERO si no tiene. ",IF(P39&gt;$C39,"* La variable Pueblos Originarios no puede superar el Total. ",""))</f>
        <v/>
      </c>
      <c r="CB39" s="219">
        <f>IF(AND($C39&lt;&gt;0,Q39=""),"* No olvide digitar la variable "&amp;Q$30&amp;""&amp;". Digite CERO si no tiene. ",IF(Q39&gt;$C39,"* La variable Migrantes no puede superar el Total. ",""))</f>
        <v/>
      </c>
      <c r="CC39" s="226" t="n"/>
      <c r="CD39" s="226" t="n"/>
      <c r="CE39" s="221">
        <f>IF(AND($C39&lt;&gt;0,P39=""),1,IF(P39&gt;$C39,1,0))</f>
        <v/>
      </c>
      <c r="CF39" s="221">
        <f>IF(AND($C39&lt;&gt;0,Q39=""),1,IF(Q39&gt;$C39,1,0))</f>
        <v/>
      </c>
    </row>
    <row r="40">
      <c r="A40" s="10236" t="inlineStr">
        <is>
          <t>Ecotomografía mamaria</t>
        </is>
      </c>
      <c r="B40" s="4245" t="inlineStr">
        <is>
          <t>Solicitadas</t>
        </is>
      </c>
      <c r="C40" s="4366">
        <f>SUM(D40:L40)</f>
        <v/>
      </c>
      <c r="D40" s="4345" t="n"/>
      <c r="E40" s="856" t="n"/>
      <c r="F40" s="856" t="n"/>
      <c r="G40" s="856" t="n"/>
      <c r="H40" s="856" t="n"/>
      <c r="I40" s="856" t="n"/>
      <c r="J40" s="856" t="n"/>
      <c r="K40" s="856" t="n"/>
      <c r="L40" s="4367" t="n"/>
      <c r="M40" s="4368" t="n"/>
      <c r="N40" s="857" t="n"/>
      <c r="O40" s="4369" t="n"/>
      <c r="P40" s="5475" t="n"/>
      <c r="Q40" s="4441" t="n"/>
      <c r="R40" s="218">
        <f>CA40&amp;CB40</f>
        <v/>
      </c>
      <c r="AW40" s="226" t="n"/>
      <c r="AX40" s="226" t="n"/>
      <c r="AY40" s="226" t="n"/>
      <c r="AZ40" s="226" t="n"/>
      <c r="BA40" s="226" t="n"/>
      <c r="BB40" s="226" t="n"/>
      <c r="BC40" s="226" t="n"/>
      <c r="BD40" s="226" t="n"/>
      <c r="BE40" s="226" t="n"/>
      <c r="BF40" s="226" t="n"/>
      <c r="BG40" s="226" t="n"/>
      <c r="BH40" s="226" t="n"/>
      <c r="BI40" s="226" t="n"/>
      <c r="BJ40" s="226" t="n"/>
      <c r="BK40" s="226" t="n"/>
      <c r="BL40" s="226" t="n"/>
      <c r="BM40" s="226" t="n"/>
      <c r="BN40" s="226" t="n"/>
      <c r="BO40" s="226" t="n"/>
      <c r="BP40" s="226" t="n"/>
      <c r="BQ40" s="226" t="n"/>
      <c r="BR40" s="226" t="n"/>
      <c r="BS40" s="226" t="n"/>
      <c r="BT40" s="226" t="n"/>
      <c r="BU40" s="226" t="n"/>
      <c r="BV40" s="226" t="n"/>
      <c r="BW40" s="226" t="n"/>
      <c r="BX40" s="226" t="n"/>
      <c r="BY40" s="226" t="n"/>
      <c r="BZ40" s="226" t="n"/>
      <c r="CA40" s="219">
        <f>IF(AND($C40&lt;&gt;0,P40=""),"* No olvide digitar la variable "&amp;P$30&amp;""&amp;". Digite CERO si no tiene. ",IF(P40&gt;$C40,"* La variable Pueblos Originarios no puede superar el Total. ",""))</f>
        <v/>
      </c>
      <c r="CB40" s="219">
        <f>IF(AND($C40&lt;&gt;0,Q40=""),"* No olvide digitar la variable "&amp;Q$30&amp;""&amp;". Digite CERO si no tiene. ",IF(Q40&gt;$C40,"* La variable Migrantes no puede superar el Total. ",""))</f>
        <v/>
      </c>
      <c r="CC40" s="226" t="n"/>
      <c r="CD40" s="226" t="n"/>
      <c r="CE40" s="221">
        <f>IF(AND($C40&lt;&gt;0,P40=""),1,IF(P40&gt;$C40,1,0))</f>
        <v/>
      </c>
      <c r="CF40" s="221">
        <f>IF(AND($C40&lt;&gt;0,Q40=""),1,IF(Q40&gt;$C40,1,0))</f>
        <v/>
      </c>
    </row>
    <row r="41">
      <c r="A41" s="9588" t="n"/>
      <c r="B41" s="1946" t="inlineStr">
        <is>
          <t>Informadas</t>
        </is>
      </c>
      <c r="C41" s="2668">
        <f>SUM(D41:L41)</f>
        <v/>
      </c>
      <c r="D41" s="4349" t="n"/>
      <c r="E41" s="4343" t="n"/>
      <c r="F41" s="4343" t="n"/>
      <c r="G41" s="4343" t="n"/>
      <c r="H41" s="4343" t="n"/>
      <c r="I41" s="4343" t="n"/>
      <c r="J41" s="4343" t="n"/>
      <c r="K41" s="4343" t="n"/>
      <c r="L41" s="4344" t="n"/>
      <c r="M41" s="898" t="n"/>
      <c r="N41" s="4343" t="n"/>
      <c r="O41" s="4344" t="n"/>
      <c r="P41" s="5473" t="n"/>
      <c r="Q41" s="5479" t="n"/>
      <c r="R41" s="218">
        <f>CA41&amp;CB41</f>
        <v/>
      </c>
      <c r="AW41" s="226" t="n"/>
      <c r="AX41" s="226" t="n"/>
      <c r="AY41" s="226" t="n"/>
      <c r="AZ41" s="226" t="n"/>
      <c r="BA41" s="226" t="n"/>
      <c r="BB41" s="226" t="n"/>
      <c r="BC41" s="226" t="n"/>
      <c r="BD41" s="226" t="n"/>
      <c r="BE41" s="226" t="n"/>
      <c r="BF41" s="226" t="n"/>
      <c r="BG41" s="226" t="n"/>
      <c r="BH41" s="226" t="n"/>
      <c r="BI41" s="226" t="n"/>
      <c r="BJ41" s="226" t="n"/>
      <c r="BK41" s="226" t="n"/>
      <c r="BL41" s="226" t="n"/>
      <c r="BM41" s="226" t="n"/>
      <c r="BN41" s="226" t="n"/>
      <c r="BO41" s="226" t="n"/>
      <c r="BP41" s="226" t="n"/>
      <c r="BQ41" s="226" t="n"/>
      <c r="BR41" s="226" t="n"/>
      <c r="BS41" s="226" t="n"/>
      <c r="BT41" s="226" t="n"/>
      <c r="BU41" s="226" t="n"/>
      <c r="BV41" s="226" t="n"/>
      <c r="BW41" s="226" t="n"/>
      <c r="BX41" s="226" t="n"/>
      <c r="BY41" s="226" t="n"/>
      <c r="BZ41" s="226" t="n"/>
      <c r="CA41" s="219">
        <f>IF(AND($C41&lt;&gt;0,P41=""),"* No olvide digitar la variable "&amp;P$30&amp;""&amp;". Digite CERO si no tiene. ",IF(P41&gt;$C41,"* La variable Pueblos Originarios no puede superar el Total. ",""))</f>
        <v/>
      </c>
      <c r="CB41" s="219">
        <f>IF(AND($C41&lt;&gt;0,Q41=""),"* No olvide digitar la variable "&amp;Q$30&amp;""&amp;". Digite CERO si no tiene. ",IF(Q41&gt;$C41,"* La variable Migrantes no puede superar el Total. ",""))</f>
        <v/>
      </c>
      <c r="CC41" s="226" t="n"/>
      <c r="CD41" s="226" t="n"/>
      <c r="CE41" s="221">
        <f>IF(AND($C41&lt;&gt;0,P41=""),1,IF(P41&gt;$C41,1,0))</f>
        <v/>
      </c>
      <c r="CF41" s="221">
        <f>IF(AND($C41&lt;&gt;0,Q41=""),1,IF(Q41&gt;$C41,1,0))</f>
        <v/>
      </c>
    </row>
    <row r="42">
      <c r="A42" s="9589" t="n"/>
      <c r="B42" s="3336" t="inlineStr">
        <is>
          <t>Con informe de sospecha de malignidad</t>
        </is>
      </c>
      <c r="C42" s="3916">
        <f>SUM(D42:L42)</f>
        <v/>
      </c>
      <c r="D42" s="4370" t="n"/>
      <c r="E42" s="156" t="n"/>
      <c r="F42" s="156" t="n"/>
      <c r="G42" s="156" t="n"/>
      <c r="H42" s="156" t="n"/>
      <c r="I42" s="156" t="n"/>
      <c r="J42" s="156" t="n"/>
      <c r="K42" s="156" t="n"/>
      <c r="L42" s="4371" t="n"/>
      <c r="M42" s="157" t="n"/>
      <c r="N42" s="158" t="n"/>
      <c r="O42" s="4372" t="n"/>
      <c r="P42" s="5474" t="n"/>
      <c r="Q42" s="5480" t="n"/>
      <c r="R42" s="218">
        <f>CA42&amp;CB42</f>
        <v/>
      </c>
      <c r="AW42" s="226" t="n"/>
      <c r="AX42" s="226" t="n"/>
      <c r="AY42" s="226" t="n"/>
      <c r="AZ42" s="226" t="n"/>
      <c r="BA42" s="226" t="n"/>
      <c r="BB42" s="226" t="n"/>
      <c r="BC42" s="226" t="n"/>
      <c r="BD42" s="226" t="n"/>
      <c r="BE42" s="226" t="n"/>
      <c r="BF42" s="226" t="n"/>
      <c r="BG42" s="226" t="n"/>
      <c r="BH42" s="226" t="n"/>
      <c r="BI42" s="226" t="n"/>
      <c r="BJ42" s="226" t="n"/>
      <c r="BK42" s="226" t="n"/>
      <c r="BL42" s="226" t="n"/>
      <c r="BM42" s="226" t="n"/>
      <c r="BN42" s="226" t="n"/>
      <c r="BO42" s="226" t="n"/>
      <c r="BP42" s="226" t="n"/>
      <c r="BQ42" s="226" t="n"/>
      <c r="BR42" s="226" t="n"/>
      <c r="BS42" s="226" t="n"/>
      <c r="BT42" s="226" t="n"/>
      <c r="BU42" s="226" t="n"/>
      <c r="BV42" s="226" t="n"/>
      <c r="BW42" s="226" t="n"/>
      <c r="BX42" s="226" t="n"/>
      <c r="BY42" s="226" t="n"/>
      <c r="BZ42" s="226" t="n"/>
      <c r="CA42" s="219">
        <f>IF(AND($C42&lt;&gt;0,P42=""),"* No olvide digitar la variable "&amp;P$30&amp;""&amp;". Digite CERO si no tiene. ",IF(P42&gt;$C42,"* La variable Pueblos Originarios no puede superar el Total. ",""))</f>
        <v/>
      </c>
      <c r="CB42" s="219">
        <f>IF(AND($C42&lt;&gt;0,Q42=""),"* No olvide digitar la variable "&amp;Q$30&amp;""&amp;". Digite CERO si no tiene. ",IF(Q42&gt;$C42,"* La variable Migrantes no puede superar el Total. ",""))</f>
        <v/>
      </c>
      <c r="CC42" s="226" t="n"/>
      <c r="CD42" s="226" t="n"/>
      <c r="CE42" s="221">
        <f>IF(AND($C42&lt;&gt;0,P42=""),1,IF(P42&gt;$C42,1,0))</f>
        <v/>
      </c>
      <c r="CF42" s="221">
        <f>IF(AND($C42&lt;&gt;0,Q42=""),1,IF(Q42&gt;$C42,1,0))</f>
        <v/>
      </c>
    </row>
    <row r="43">
      <c r="A43" s="10236" t="inlineStr">
        <is>
          <t>Ecotomografía abdominal</t>
        </is>
      </c>
      <c r="B43" s="4373" t="inlineStr">
        <is>
          <t>Solicitadas</t>
        </is>
      </c>
      <c r="C43" s="2668">
        <f>SUM(D43:L43)</f>
        <v/>
      </c>
      <c r="D43" s="4374" t="n"/>
      <c r="E43" s="856" t="n"/>
      <c r="F43" s="856" t="n"/>
      <c r="G43" s="856" t="n"/>
      <c r="H43" s="856" t="n"/>
      <c r="I43" s="856" t="n"/>
      <c r="J43" s="856" t="n"/>
      <c r="K43" s="856" t="n"/>
      <c r="L43" s="4367" t="n"/>
      <c r="M43" s="4368" t="n"/>
      <c r="N43" s="857" t="n"/>
      <c r="O43" s="4369" t="n"/>
      <c r="P43" s="5475" t="n"/>
      <c r="Q43" s="4441" t="n"/>
      <c r="R43" s="218">
        <f>CA43&amp;CB43</f>
        <v/>
      </c>
      <c r="AW43" s="226" t="n"/>
      <c r="AX43" s="226" t="n"/>
      <c r="AY43" s="226" t="n"/>
      <c r="AZ43" s="226" t="n"/>
      <c r="BA43" s="226" t="n"/>
      <c r="BB43" s="226" t="n"/>
      <c r="BC43" s="226" t="n"/>
      <c r="BD43" s="226" t="n"/>
      <c r="BE43" s="226" t="n"/>
      <c r="BF43" s="226" t="n"/>
      <c r="BG43" s="226" t="n"/>
      <c r="BH43" s="226" t="n"/>
      <c r="BI43" s="226" t="n"/>
      <c r="BJ43" s="226" t="n"/>
      <c r="BK43" s="226" t="n"/>
      <c r="BL43" s="226" t="n"/>
      <c r="BM43" s="226" t="n"/>
      <c r="BN43" s="226" t="n"/>
      <c r="BO43" s="226" t="n"/>
      <c r="BP43" s="226" t="n"/>
      <c r="BQ43" s="226" t="n"/>
      <c r="BR43" s="226" t="n"/>
      <c r="BS43" s="226" t="n"/>
      <c r="BT43" s="226" t="n"/>
      <c r="BU43" s="226" t="n"/>
      <c r="BV43" s="226" t="n"/>
      <c r="BW43" s="226" t="n"/>
      <c r="BX43" s="226" t="n"/>
      <c r="BY43" s="226" t="n"/>
      <c r="BZ43" s="226" t="n"/>
      <c r="CA43" s="219">
        <f>IF(AND($C43&lt;&gt;0,P43=""),"* No olvide digitar la variable "&amp;P$30&amp;""&amp;". Digite CERO si no tiene. ",IF(P43&gt;$C43,"* La variable Pueblos Originarios no puede superar el Total. ",""))</f>
        <v/>
      </c>
      <c r="CB43" s="219">
        <f>IF(AND($C43&lt;&gt;0,Q43=""),"* No olvide digitar la variable "&amp;Q$30&amp;""&amp;". Digite CERO si no tiene. ",IF(Q43&gt;$C43,"* La variable Migrantes no puede superar el Total. ",""))</f>
        <v/>
      </c>
      <c r="CC43" s="226" t="n"/>
      <c r="CD43" s="226" t="n"/>
      <c r="CE43" s="221">
        <f>IF(AND($C43&lt;&gt;0,P43=""),1,IF(P43&gt;$C43,1,0))</f>
        <v/>
      </c>
      <c r="CF43" s="221">
        <f>IF(AND($C43&lt;&gt;0,Q43=""),1,IF(Q43&gt;$C43,1,0))</f>
        <v/>
      </c>
    </row>
    <row r="44">
      <c r="A44" s="9588" t="n"/>
      <c r="B44" s="1308" t="inlineStr">
        <is>
          <t>Informadas</t>
        </is>
      </c>
      <c r="C44" s="1209">
        <f>SUM(D44:L44)</f>
        <v/>
      </c>
      <c r="D44" s="4349" t="n"/>
      <c r="E44" s="4343" t="n"/>
      <c r="F44" s="4343" t="n"/>
      <c r="G44" s="4343" t="n"/>
      <c r="H44" s="4343" t="n"/>
      <c r="I44" s="4343" t="n"/>
      <c r="J44" s="4343" t="n"/>
      <c r="K44" s="4343" t="n"/>
      <c r="L44" s="4344" t="n"/>
      <c r="M44" s="898" t="n"/>
      <c r="N44" s="4343" t="n"/>
      <c r="O44" s="4344" t="n"/>
      <c r="P44" s="5473" t="n"/>
      <c r="Q44" s="5479" t="n"/>
      <c r="R44" s="218">
        <f>CA44&amp;CB44</f>
        <v/>
      </c>
      <c r="AW44" s="226" t="n"/>
      <c r="AX44" s="226" t="n"/>
      <c r="AY44" s="226" t="n"/>
      <c r="AZ44" s="226" t="n"/>
      <c r="BA44" s="226" t="n"/>
      <c r="BB44" s="226" t="n"/>
      <c r="BC44" s="226" t="n"/>
      <c r="BD44" s="226" t="n"/>
      <c r="BE44" s="226" t="n"/>
      <c r="BF44" s="226" t="n"/>
      <c r="BG44" s="226" t="n"/>
      <c r="BH44" s="226" t="n"/>
      <c r="BI44" s="226" t="n"/>
      <c r="BJ44" s="226" t="n"/>
      <c r="BK44" s="226" t="n"/>
      <c r="BL44" s="226" t="n"/>
      <c r="BM44" s="226" t="n"/>
      <c r="BN44" s="226" t="n"/>
      <c r="BO44" s="226" t="n"/>
      <c r="BP44" s="226" t="n"/>
      <c r="BQ44" s="226" t="n"/>
      <c r="BR44" s="226" t="n"/>
      <c r="BS44" s="226" t="n"/>
      <c r="BT44" s="226" t="n"/>
      <c r="BU44" s="226" t="n"/>
      <c r="BV44" s="226" t="n"/>
      <c r="BW44" s="226" t="n"/>
      <c r="BX44" s="226" t="n"/>
      <c r="BY44" s="226" t="n"/>
      <c r="BZ44" s="226" t="n"/>
      <c r="CA44" s="219">
        <f>IF(AND($C44&lt;&gt;0,P44=""),"* No olvide digitar la variable "&amp;P$30&amp;""&amp;". Digite CERO si no tiene. ",IF(P44&gt;$C44,"* La variable Pueblos Originarios no puede superar el Total. ",""))</f>
        <v/>
      </c>
      <c r="CB44" s="219">
        <f>IF(AND($C44&lt;&gt;0,Q44=""),"* No olvide digitar la variable "&amp;Q$30&amp;""&amp;". Digite CERO si no tiene. ",IF(Q44&gt;$C44,"* La variable Migrantes no puede superar el Total. ",""))</f>
        <v/>
      </c>
      <c r="CC44" s="226" t="n"/>
      <c r="CD44" s="226" t="n"/>
      <c r="CE44" s="221">
        <f>IF(AND($C44&lt;&gt;0,P44=""),1,IF(P44&gt;$C44,1,0))</f>
        <v/>
      </c>
      <c r="CF44" s="221">
        <f>IF(AND($C44&lt;&gt;0,Q44=""),1,IF(Q44&gt;$C44,1,0))</f>
        <v/>
      </c>
    </row>
    <row r="45">
      <c r="A45" s="9589" t="n"/>
      <c r="B45" s="3598" t="inlineStr">
        <is>
          <t>Con resultado litiasis biliar</t>
        </is>
      </c>
      <c r="C45" s="3949">
        <f>SUM(D45:L45)</f>
        <v/>
      </c>
      <c r="D45" s="4370" t="n"/>
      <c r="E45" s="156" t="n"/>
      <c r="F45" s="156" t="n"/>
      <c r="G45" s="156" t="n"/>
      <c r="H45" s="156" t="n"/>
      <c r="I45" s="156" t="n"/>
      <c r="J45" s="156" t="n"/>
      <c r="K45" s="156" t="n"/>
      <c r="L45" s="4371" t="n"/>
      <c r="M45" s="157" t="n"/>
      <c r="N45" s="158" t="n"/>
      <c r="O45" s="4372" t="n"/>
      <c r="P45" s="5474" t="n"/>
      <c r="Q45" s="5480" t="n"/>
      <c r="R45" s="218">
        <f>CA45&amp;CB45</f>
        <v/>
      </c>
      <c r="AW45" s="226" t="n"/>
      <c r="AX45" s="226" t="n"/>
      <c r="AY45" s="226" t="n"/>
      <c r="AZ45" s="226" t="n"/>
      <c r="BA45" s="226" t="n"/>
      <c r="BB45" s="226" t="n"/>
      <c r="BC45" s="226" t="n"/>
      <c r="BD45" s="226" t="n"/>
      <c r="BE45" s="226" t="n"/>
      <c r="BF45" s="226" t="n"/>
      <c r="BG45" s="226" t="n"/>
      <c r="BH45" s="226" t="n"/>
      <c r="BI45" s="226" t="n"/>
      <c r="BJ45" s="226" t="n"/>
      <c r="BK45" s="226" t="n"/>
      <c r="BL45" s="226" t="n"/>
      <c r="BM45" s="226" t="n"/>
      <c r="BN45" s="226" t="n"/>
      <c r="BO45" s="226" t="n"/>
      <c r="BP45" s="226" t="n"/>
      <c r="BQ45" s="226" t="n"/>
      <c r="BR45" s="226" t="n"/>
      <c r="BS45" s="226" t="n"/>
      <c r="BT45" s="226" t="n"/>
      <c r="BU45" s="226" t="n"/>
      <c r="BV45" s="226" t="n"/>
      <c r="BW45" s="226" t="n"/>
      <c r="BX45" s="226" t="n"/>
      <c r="BY45" s="226" t="n"/>
      <c r="BZ45" s="226" t="n"/>
      <c r="CA45" s="219">
        <f>IF(AND($C45&lt;&gt;0,P45=""),"* No olvide digitar la variable "&amp;P$30&amp;""&amp;". Digite CERO si no tiene. ",IF(P45&gt;$C45,"* La variable Pueblos Originarios no puede superar el Total. ",""))</f>
        <v/>
      </c>
      <c r="CB45" s="219">
        <f>IF(AND($C45&lt;&gt;0,Q45=""),"* No olvide digitar la variable "&amp;Q$30&amp;""&amp;". Digite CERO si no tiene. ",IF(Q45&gt;$C45,"* La variable Migrantes no puede superar el Total. ",""))</f>
        <v/>
      </c>
      <c r="CC45" s="226" t="n"/>
      <c r="CD45" s="226" t="n"/>
      <c r="CE45" s="221">
        <f>IF(AND($C45&lt;&gt;0,P45=""),1,IF(P45&gt;$C45,1,0))</f>
        <v/>
      </c>
      <c r="CF45" s="221">
        <f>IF(AND($C45&lt;&gt;0,Q45=""),1,IF(Q45&gt;$C45,1,0))</f>
        <v/>
      </c>
    </row>
    <row r="46">
      <c r="A46" s="10236" t="inlineStr">
        <is>
          <t>Ecografía transvaginal o rectal (excluye climaterio)</t>
        </is>
      </c>
      <c r="B46" s="4373" t="inlineStr">
        <is>
          <t>Solicitadas</t>
        </is>
      </c>
      <c r="C46" s="4366">
        <f>SUM(D46:L46)</f>
        <v/>
      </c>
      <c r="D46" s="4374" t="n"/>
      <c r="E46" s="856" t="n"/>
      <c r="F46" s="856" t="n"/>
      <c r="G46" s="856" t="n"/>
      <c r="H46" s="856" t="n"/>
      <c r="I46" s="856" t="n"/>
      <c r="J46" s="856" t="n"/>
      <c r="K46" s="856" t="n"/>
      <c r="L46" s="4367" t="n"/>
      <c r="M46" s="4368" t="n"/>
      <c r="N46" s="857" t="n"/>
      <c r="O46" s="4369" t="n"/>
      <c r="P46" s="5475" t="n"/>
      <c r="Q46" s="4441" t="n"/>
      <c r="R46" s="218">
        <f>CA46&amp;CB46</f>
        <v/>
      </c>
      <c r="AW46" s="226" t="n"/>
      <c r="AX46" s="226" t="n"/>
      <c r="AY46" s="226" t="n"/>
      <c r="AZ46" s="226" t="n"/>
      <c r="BA46" s="226" t="n"/>
      <c r="BB46" s="226" t="n"/>
      <c r="BC46" s="226" t="n"/>
      <c r="BD46" s="226" t="n"/>
      <c r="BE46" s="226" t="n"/>
      <c r="BF46" s="226" t="n"/>
      <c r="BG46" s="226" t="n"/>
      <c r="BH46" s="226" t="n"/>
      <c r="BI46" s="226" t="n"/>
      <c r="BJ46" s="226" t="n"/>
      <c r="BK46" s="226" t="n"/>
      <c r="BL46" s="226" t="n"/>
      <c r="BM46" s="226" t="n"/>
      <c r="BN46" s="226" t="n"/>
      <c r="BO46" s="226" t="n"/>
      <c r="BP46" s="226" t="n"/>
      <c r="BQ46" s="226" t="n"/>
      <c r="BR46" s="226" t="n"/>
      <c r="BS46" s="226" t="n"/>
      <c r="BT46" s="226" t="n"/>
      <c r="BU46" s="226" t="n"/>
      <c r="BV46" s="226" t="n"/>
      <c r="BW46" s="226" t="n"/>
      <c r="BX46" s="226" t="n"/>
      <c r="BY46" s="226" t="n"/>
      <c r="BZ46" s="226" t="n"/>
      <c r="CA46" s="219">
        <f>IF(AND($C46&lt;&gt;0,P46=""),"* No olvide digitar la variable "&amp;P$30&amp;""&amp;". Digite CERO si no tiene. ",IF(P46&gt;$C46,"* La variable Pueblos Originarios no puede superar el Total. ",""))</f>
        <v/>
      </c>
      <c r="CB46" s="219">
        <f>IF(AND($C46&lt;&gt;0,Q46=""),"* No olvide digitar la variable "&amp;Q$30&amp;""&amp;". Digite CERO si no tiene. ",IF(Q46&gt;$C46,"* La variable Migrantes no puede superar el Total. ",""))</f>
        <v/>
      </c>
      <c r="CC46" s="226" t="n"/>
      <c r="CD46" s="226" t="n"/>
      <c r="CE46" s="221">
        <f>IF(AND($C46&lt;&gt;0,P46=""),1,IF(P46&gt;$C46,1,0))</f>
        <v/>
      </c>
      <c r="CF46" s="221">
        <f>IF(AND($C46&lt;&gt;0,Q46=""),1,IF(Q46&gt;$C46,1,0))</f>
        <v/>
      </c>
    </row>
    <row r="47">
      <c r="A47" s="9588" t="n"/>
      <c r="B47" s="1121" t="inlineStr">
        <is>
          <t>Informadas</t>
        </is>
      </c>
      <c r="C47" s="1209">
        <f>SUM(D47:L47)</f>
        <v/>
      </c>
      <c r="D47" s="4349" t="n"/>
      <c r="E47" s="4343" t="n"/>
      <c r="F47" s="4343" t="n"/>
      <c r="G47" s="4343" t="n"/>
      <c r="H47" s="4343" t="n"/>
      <c r="I47" s="4343" t="n"/>
      <c r="J47" s="4343" t="n"/>
      <c r="K47" s="4343" t="n"/>
      <c r="L47" s="4344" t="n"/>
      <c r="M47" s="898" t="n"/>
      <c r="N47" s="4343" t="n"/>
      <c r="O47" s="4344" t="n"/>
      <c r="P47" s="5473" t="n"/>
      <c r="Q47" s="5479" t="n"/>
      <c r="R47" s="218">
        <f>CA47&amp;CB47</f>
        <v/>
      </c>
      <c r="AW47" s="226" t="n"/>
      <c r="AX47" s="226" t="n"/>
      <c r="AY47" s="226" t="n"/>
      <c r="AZ47" s="226" t="n"/>
      <c r="BA47" s="226" t="n"/>
      <c r="BB47" s="226" t="n"/>
      <c r="BC47" s="226" t="n"/>
      <c r="BD47" s="226" t="n"/>
      <c r="BE47" s="226" t="n"/>
      <c r="BF47" s="226" t="n"/>
      <c r="BG47" s="226" t="n"/>
      <c r="BH47" s="226" t="n"/>
      <c r="BI47" s="226" t="n"/>
      <c r="BJ47" s="226" t="n"/>
      <c r="BK47" s="226" t="n"/>
      <c r="BL47" s="226" t="n"/>
      <c r="BM47" s="226" t="n"/>
      <c r="BN47" s="226" t="n"/>
      <c r="BO47" s="226" t="n"/>
      <c r="BP47" s="226" t="n"/>
      <c r="BQ47" s="226" t="n"/>
      <c r="BR47" s="226" t="n"/>
      <c r="BS47" s="226" t="n"/>
      <c r="BT47" s="226" t="n"/>
      <c r="BU47" s="226" t="n"/>
      <c r="BV47" s="226" t="n"/>
      <c r="BW47" s="226" t="n"/>
      <c r="BX47" s="226" t="n"/>
      <c r="BY47" s="226" t="n"/>
      <c r="BZ47" s="226" t="n"/>
      <c r="CA47" s="219">
        <f>IF(AND($C47&lt;&gt;0,P47=""),"* No olvide digitar la variable "&amp;P$30&amp;""&amp;". Digite CERO si no tiene. ",IF(P47&gt;$C47,"* La variable Pueblos Originarios no puede superar el Total. ",""))</f>
        <v/>
      </c>
      <c r="CB47" s="219">
        <f>IF(AND($C47&lt;&gt;0,Q47=""),"* No olvide digitar la variable "&amp;Q$30&amp;""&amp;". Digite CERO si no tiene. ",IF(Q47&gt;$C47,"* La variable Migrantes no puede superar el Total. ",""))</f>
        <v/>
      </c>
      <c r="CC47" s="226" t="n"/>
      <c r="CD47" s="226" t="n"/>
      <c r="CE47" s="221">
        <f>IF(AND($C47&lt;&gt;0,P47=""),1,IF(P47&gt;$C47,1,0))</f>
        <v/>
      </c>
      <c r="CF47" s="221">
        <f>IF(AND($C47&lt;&gt;0,Q47=""),1,IF(Q47&gt;$C47,1,0))</f>
        <v/>
      </c>
    </row>
    <row r="48" ht="21" customHeight="1" s="8286">
      <c r="A48" s="9589" t="n"/>
      <c r="B48" s="3336" t="inlineStr">
        <is>
          <t>Con informe de sospecha de patología maligna</t>
        </is>
      </c>
      <c r="C48" s="672">
        <f>SUM(D48:L48)</f>
        <v/>
      </c>
      <c r="D48" s="683" t="n"/>
      <c r="E48" s="66" t="n"/>
      <c r="F48" s="66" t="n"/>
      <c r="G48" s="66" t="n"/>
      <c r="H48" s="66" t="n"/>
      <c r="I48" s="66" t="n"/>
      <c r="J48" s="66" t="n"/>
      <c r="K48" s="66" t="n"/>
      <c r="L48" s="67" t="n"/>
      <c r="M48" s="143" t="n"/>
      <c r="N48" s="144" t="n"/>
      <c r="O48" s="142" t="n"/>
      <c r="P48" s="5474" t="n"/>
      <c r="Q48" s="5480" t="n"/>
      <c r="R48" s="218">
        <f>CA48&amp;CB48</f>
        <v/>
      </c>
      <c r="AW48" s="226" t="n"/>
      <c r="AX48" s="226" t="n"/>
      <c r="AY48" s="226" t="n"/>
      <c r="AZ48" s="226" t="n"/>
      <c r="BA48" s="226" t="n"/>
      <c r="BB48" s="226" t="n"/>
      <c r="BC48" s="226" t="n"/>
      <c r="BD48" s="226" t="n"/>
      <c r="BE48" s="226" t="n"/>
      <c r="BF48" s="226" t="n"/>
      <c r="BG48" s="226" t="n"/>
      <c r="BH48" s="226" t="n"/>
      <c r="BI48" s="226" t="n"/>
      <c r="BJ48" s="226" t="n"/>
      <c r="BK48" s="226" t="n"/>
      <c r="BL48" s="226" t="n"/>
      <c r="BM48" s="226" t="n"/>
      <c r="BN48" s="226" t="n"/>
      <c r="BO48" s="226" t="n"/>
      <c r="BP48" s="226" t="n"/>
      <c r="BQ48" s="226" t="n"/>
      <c r="BR48" s="226" t="n"/>
      <c r="BS48" s="226" t="n"/>
      <c r="BT48" s="226" t="n"/>
      <c r="BU48" s="226" t="n"/>
      <c r="BV48" s="226" t="n"/>
      <c r="BW48" s="226" t="n"/>
      <c r="BX48" s="226" t="n"/>
      <c r="BY48" s="226" t="n"/>
      <c r="BZ48" s="226" t="n"/>
      <c r="CA48" s="219">
        <f>IF(AND($C48&lt;&gt;0,P48=""),"* No olvide digitar la variable "&amp;P$30&amp;""&amp;". Digite CERO si no tiene. ",IF(P48&gt;$C48,"* La variable Pueblos Originarios no puede superar el Total. ",""))</f>
        <v/>
      </c>
      <c r="CB48" s="219">
        <f>IF(AND($C48&lt;&gt;0,Q48=""),"* No olvide digitar la variable "&amp;Q$30&amp;""&amp;". Digite CERO si no tiene. ",IF(Q48&gt;$C48,"* La variable Migrantes no puede superar el Total. ",""))</f>
        <v/>
      </c>
      <c r="CC48" s="226" t="n"/>
      <c r="CD48" s="226" t="n"/>
      <c r="CE48" s="221">
        <f>IF(AND($C48&lt;&gt;0,P48=""),1,IF(P48&gt;$C48,1,0))</f>
        <v/>
      </c>
      <c r="CF48" s="221">
        <f>IF(AND($C48&lt;&gt;0,Q48=""),1,IF(Q48&gt;$C48,1,0))</f>
        <v/>
      </c>
    </row>
    <row r="49">
      <c r="A49" s="10236" t="inlineStr">
        <is>
          <t>Endoscopia digestiva alta</t>
        </is>
      </c>
      <c r="B49" s="4373" t="inlineStr">
        <is>
          <t>Solicitadas</t>
        </is>
      </c>
      <c r="C49" s="4366">
        <f>SUM(D49:L49)</f>
        <v/>
      </c>
      <c r="D49" s="4375" t="n"/>
      <c r="E49" s="4376" t="n"/>
      <c r="F49" s="4376" t="n"/>
      <c r="G49" s="4376" t="n"/>
      <c r="H49" s="4376" t="n"/>
      <c r="I49" s="4376" t="n"/>
      <c r="J49" s="4376" t="n"/>
      <c r="K49" s="4376" t="n"/>
      <c r="L49" s="4377" t="n"/>
      <c r="M49" s="4378" t="n"/>
      <c r="N49" s="4379" t="n"/>
      <c r="O49" s="4380" t="n"/>
      <c r="P49" s="5475" t="n"/>
      <c r="Q49" s="4441" t="n"/>
      <c r="R49" s="218">
        <f>CA49&amp;CB49</f>
        <v/>
      </c>
      <c r="AW49" s="226" t="n"/>
      <c r="AX49" s="226" t="n"/>
      <c r="AY49" s="226" t="n"/>
      <c r="AZ49" s="226" t="n"/>
      <c r="BA49" s="226" t="n"/>
      <c r="BB49" s="226" t="n"/>
      <c r="BC49" s="226" t="n"/>
      <c r="BD49" s="226" t="n"/>
      <c r="BE49" s="226" t="n"/>
      <c r="BF49" s="226" t="n"/>
      <c r="BG49" s="226" t="n"/>
      <c r="BH49" s="226" t="n"/>
      <c r="BI49" s="226" t="n"/>
      <c r="BJ49" s="226" t="n"/>
      <c r="BK49" s="226" t="n"/>
      <c r="BL49" s="226" t="n"/>
      <c r="BM49" s="226" t="n"/>
      <c r="BN49" s="226" t="n"/>
      <c r="BO49" s="226" t="n"/>
      <c r="BP49" s="226" t="n"/>
      <c r="BQ49" s="226" t="n"/>
      <c r="BR49" s="226" t="n"/>
      <c r="BS49" s="226" t="n"/>
      <c r="BT49" s="226" t="n"/>
      <c r="BU49" s="226" t="n"/>
      <c r="BV49" s="226" t="n"/>
      <c r="BW49" s="226" t="n"/>
      <c r="BX49" s="226" t="n"/>
      <c r="BY49" s="226" t="n"/>
      <c r="BZ49" s="226" t="n"/>
      <c r="CA49" s="219">
        <f>IF(AND($C49&lt;&gt;0,P49=""),"* No olvide digitar la variable "&amp;P$30&amp;""&amp;". Digite CERO si no tiene. ",IF(P49&gt;$C49,"* La variable Pueblos Originarios no puede superar el Total. ",""))</f>
        <v/>
      </c>
      <c r="CB49" s="219">
        <f>IF(AND($C49&lt;&gt;0,Q49=""),"* No olvide digitar la variable "&amp;Q$30&amp;""&amp;". Digite CERO si no tiene. ",IF(Q49&gt;$C49,"* La variable Migrantes no puede superar el Total. ",""))</f>
        <v/>
      </c>
      <c r="CC49" s="226" t="n"/>
      <c r="CD49" s="226" t="n"/>
      <c r="CE49" s="221">
        <f>IF(AND($C49&lt;&gt;0,P49=""),1,IF(P49&gt;$C49,1,0))</f>
        <v/>
      </c>
      <c r="CF49" s="221">
        <f>IF(AND($C49&lt;&gt;0,Q49=""),1,IF(Q49&gt;$C49,1,0))</f>
        <v/>
      </c>
    </row>
    <row r="50">
      <c r="A50" s="9588" t="n"/>
      <c r="B50" s="1308" t="inlineStr">
        <is>
          <t>Informadas</t>
        </is>
      </c>
      <c r="C50" s="2668">
        <f>SUM(D50:L50)</f>
        <v/>
      </c>
      <c r="D50" s="4358" t="n"/>
      <c r="E50" s="4359" t="n"/>
      <c r="F50" s="4359" t="n"/>
      <c r="G50" s="4359" t="n"/>
      <c r="H50" s="4359" t="n"/>
      <c r="I50" s="4359" t="n"/>
      <c r="J50" s="4359" t="n"/>
      <c r="K50" s="4359" t="n"/>
      <c r="L50" s="4360" t="n"/>
      <c r="M50" s="4381" t="n"/>
      <c r="N50" s="4359" t="n"/>
      <c r="O50" s="4360" t="n"/>
      <c r="P50" s="5473" t="n"/>
      <c r="Q50" s="5479" t="n"/>
      <c r="R50" s="218">
        <f>CA50&amp;CB50</f>
        <v/>
      </c>
      <c r="AW50" s="226" t="n"/>
      <c r="AX50" s="226" t="n"/>
      <c r="AY50" s="226" t="n"/>
      <c r="AZ50" s="226" t="n"/>
      <c r="BA50" s="226" t="n"/>
      <c r="BB50" s="226" t="n"/>
      <c r="BC50" s="226" t="n"/>
      <c r="BD50" s="226" t="n"/>
      <c r="BE50" s="226" t="n"/>
      <c r="BF50" s="226" t="n"/>
      <c r="BG50" s="226" t="n"/>
      <c r="BH50" s="226" t="n"/>
      <c r="BI50" s="226" t="n"/>
      <c r="BJ50" s="226" t="n"/>
      <c r="BK50" s="226" t="n"/>
      <c r="BL50" s="226" t="n"/>
      <c r="BM50" s="226" t="n"/>
      <c r="BN50" s="226" t="n"/>
      <c r="BO50" s="226" t="n"/>
      <c r="BP50" s="226" t="n"/>
      <c r="BQ50" s="226" t="n"/>
      <c r="BR50" s="226" t="n"/>
      <c r="BS50" s="226" t="n"/>
      <c r="BT50" s="226" t="n"/>
      <c r="BU50" s="226" t="n"/>
      <c r="BV50" s="226" t="n"/>
      <c r="BW50" s="226" t="n"/>
      <c r="BX50" s="226" t="n"/>
      <c r="BY50" s="226" t="n"/>
      <c r="BZ50" s="226" t="n"/>
      <c r="CA50" s="219">
        <f>IF(AND($C50&lt;&gt;0,P50=""),"* No olvide digitar la variable "&amp;P$30&amp;""&amp;". Digite CERO si no tiene. ",IF(P50&gt;$C50,"* La variable Pueblos Originarios no puede superar el Total. ",""))</f>
        <v/>
      </c>
      <c r="CB50" s="219">
        <f>IF(AND($C50&lt;&gt;0,Q50=""),"* No olvide digitar la variable "&amp;Q$30&amp;""&amp;". Digite CERO si no tiene. ",IF(Q50&gt;$C50,"* La variable Migrantes no puede superar el Total. ",""))</f>
        <v/>
      </c>
      <c r="CC50" s="226" t="n"/>
      <c r="CD50" s="226" t="n"/>
      <c r="CE50" s="221">
        <f>IF(AND($C50&lt;&gt;0,P50=""),1,IF(P50&gt;$C50,1,0))</f>
        <v/>
      </c>
      <c r="CF50" s="221">
        <f>IF(AND($C50&lt;&gt;0,Q50=""),1,IF(Q50&gt;$C50,1,0))</f>
        <v/>
      </c>
    </row>
    <row r="51">
      <c r="A51" s="9588" t="n"/>
      <c r="B51" s="1121" t="inlineStr">
        <is>
          <t>Toma de biopsia</t>
        </is>
      </c>
      <c r="C51" s="1209">
        <f>SUM(D51:L51)</f>
        <v/>
      </c>
      <c r="D51" s="4349" t="n"/>
      <c r="E51" s="4343" t="n"/>
      <c r="F51" s="4343" t="n"/>
      <c r="G51" s="4343" t="n"/>
      <c r="H51" s="4343" t="n"/>
      <c r="I51" s="4343" t="n"/>
      <c r="J51" s="4343" t="n"/>
      <c r="K51" s="4343" t="n"/>
      <c r="L51" s="4344" t="n"/>
      <c r="M51" s="899" t="n"/>
      <c r="N51" s="4350" t="n"/>
      <c r="O51" s="4351" t="n"/>
      <c r="P51" s="5473" t="n"/>
      <c r="Q51" s="5479" t="n"/>
      <c r="R51" s="218">
        <f>CA51&amp;CB51</f>
        <v/>
      </c>
      <c r="AW51" s="226" t="n"/>
      <c r="AX51" s="226" t="n"/>
      <c r="AY51" s="226" t="n"/>
      <c r="AZ51" s="226" t="n"/>
      <c r="BA51" s="226" t="n"/>
      <c r="BB51" s="226" t="n"/>
      <c r="BC51" s="226" t="n"/>
      <c r="BD51" s="226" t="n"/>
      <c r="BE51" s="226" t="n"/>
      <c r="BF51" s="226" t="n"/>
      <c r="BG51" s="226" t="n"/>
      <c r="BH51" s="226" t="n"/>
      <c r="BI51" s="226" t="n"/>
      <c r="BJ51" s="226" t="n"/>
      <c r="BK51" s="226" t="n"/>
      <c r="BL51" s="226" t="n"/>
      <c r="BM51" s="226" t="n"/>
      <c r="BN51" s="226" t="n"/>
      <c r="BO51" s="226" t="n"/>
      <c r="BP51" s="226" t="n"/>
      <c r="BQ51" s="226" t="n"/>
      <c r="BR51" s="226" t="n"/>
      <c r="BS51" s="226" t="n"/>
      <c r="BT51" s="226" t="n"/>
      <c r="BU51" s="226" t="n"/>
      <c r="BV51" s="226" t="n"/>
      <c r="BW51" s="226" t="n"/>
      <c r="BX51" s="226" t="n"/>
      <c r="BY51" s="226" t="n"/>
      <c r="BZ51" s="226" t="n"/>
      <c r="CA51" s="219">
        <f>IF(AND($C51&lt;&gt;0,P51=""),"* No olvide digitar la variable "&amp;P$30&amp;""&amp;". Digite CERO si no tiene. ",IF(P51&gt;$C51,"* La variable Pueblos Originarios no puede superar el Total. ",""))</f>
        <v/>
      </c>
      <c r="CB51" s="219">
        <f>IF(AND($C51&lt;&gt;0,Q51=""),"* No olvide digitar la variable "&amp;Q$30&amp;""&amp;". Digite CERO si no tiene. ",IF(Q51&gt;$C51,"* La variable Migrantes no puede superar el Total. ",""))</f>
        <v/>
      </c>
      <c r="CC51" s="226" t="n"/>
      <c r="CD51" s="226" t="n"/>
      <c r="CE51" s="221">
        <f>IF(AND($C51&lt;&gt;0,P51=""),1,IF(P51&gt;$C51,1,0))</f>
        <v/>
      </c>
      <c r="CF51" s="221">
        <f>IF(AND($C51&lt;&gt;0,Q51=""),1,IF(Q51&gt;$C51,1,0))</f>
        <v/>
      </c>
    </row>
    <row r="52">
      <c r="A52" s="9588" t="n"/>
      <c r="B52" s="1144" t="inlineStr">
        <is>
          <t>Con informe de sospecha de malignidad</t>
        </is>
      </c>
      <c r="C52" s="1209">
        <f>SUM(D52:L52)</f>
        <v/>
      </c>
      <c r="D52" s="4349" t="n"/>
      <c r="E52" s="4343" t="n"/>
      <c r="F52" s="4343" t="n"/>
      <c r="G52" s="4343" t="n"/>
      <c r="H52" s="4343" t="n"/>
      <c r="I52" s="4343" t="n"/>
      <c r="J52" s="4343" t="n"/>
      <c r="K52" s="4343" t="n"/>
      <c r="L52" s="4344" t="n"/>
      <c r="M52" s="899" t="n"/>
      <c r="N52" s="4350" t="n"/>
      <c r="O52" s="4351" t="n"/>
      <c r="P52" s="5473" t="n"/>
      <c r="Q52" s="5479" t="n"/>
      <c r="R52" s="218">
        <f>CA52&amp;CB52</f>
        <v/>
      </c>
      <c r="AW52" s="226" t="n"/>
      <c r="AX52" s="226" t="n"/>
      <c r="AY52" s="226" t="n"/>
      <c r="AZ52" s="226" t="n"/>
      <c r="BA52" s="226" t="n"/>
      <c r="BB52" s="226" t="n"/>
      <c r="BC52" s="226" t="n"/>
      <c r="BD52" s="226" t="n"/>
      <c r="BE52" s="226" t="n"/>
      <c r="BF52" s="226" t="n"/>
      <c r="BG52" s="226" t="n"/>
      <c r="BH52" s="226" t="n"/>
      <c r="BI52" s="226" t="n"/>
      <c r="BJ52" s="226" t="n"/>
      <c r="BK52" s="226" t="n"/>
      <c r="BL52" s="226" t="n"/>
      <c r="BM52" s="226" t="n"/>
      <c r="BN52" s="226" t="n"/>
      <c r="BO52" s="226" t="n"/>
      <c r="BP52" s="226" t="n"/>
      <c r="BQ52" s="226" t="n"/>
      <c r="BR52" s="226" t="n"/>
      <c r="BS52" s="226" t="n"/>
      <c r="BT52" s="226" t="n"/>
      <c r="BU52" s="226" t="n"/>
      <c r="BV52" s="226" t="n"/>
      <c r="BW52" s="226" t="n"/>
      <c r="BX52" s="226" t="n"/>
      <c r="BY52" s="226" t="n"/>
      <c r="BZ52" s="226" t="n"/>
      <c r="CA52" s="219">
        <f>IF(AND($C52&lt;&gt;0,P52=""),"* No olvide digitar la variable "&amp;P$30&amp;""&amp;". Digite CERO si no tiene. ",IF(P52&gt;$C52,"* La variable Pueblos Originarios no puede superar el Total. ",""))</f>
        <v/>
      </c>
      <c r="CB52" s="219">
        <f>IF(AND($C52&lt;&gt;0,Q52=""),"* No olvide digitar la variable "&amp;Q$30&amp;""&amp;". Digite CERO si no tiene. ",IF(Q52&gt;$C52,"* La variable Migrantes no puede superar el Total. ",""))</f>
        <v/>
      </c>
      <c r="CC52" s="226" t="n"/>
      <c r="CD52" s="226" t="n"/>
      <c r="CE52" s="221">
        <f>IF(AND($C52&lt;&gt;0,P52=""),1,IF(P52&gt;$C52,1,0))</f>
        <v/>
      </c>
      <c r="CF52" s="221">
        <f>IF(AND($C52&lt;&gt;0,Q52=""),1,IF(Q52&gt;$C52,1,0))</f>
        <v/>
      </c>
    </row>
    <row r="53">
      <c r="A53" s="9588" t="n"/>
      <c r="B53" s="1121" t="inlineStr">
        <is>
          <t>Test de ureasa solicitadas</t>
        </is>
      </c>
      <c r="C53" s="2668">
        <f>SUM(D53:L53)</f>
        <v/>
      </c>
      <c r="D53" s="4345" t="n"/>
      <c r="E53" s="812" t="n"/>
      <c r="F53" s="812" t="n"/>
      <c r="G53" s="812" t="n"/>
      <c r="H53" s="812" t="n"/>
      <c r="I53" s="812" t="n"/>
      <c r="J53" s="812" t="n"/>
      <c r="K53" s="812" t="n"/>
      <c r="L53" s="4346" t="n"/>
      <c r="M53" s="4347" t="n"/>
      <c r="N53" s="813" t="n"/>
      <c r="O53" s="4348" t="n"/>
      <c r="P53" s="5473" t="n"/>
      <c r="Q53" s="5479" t="n"/>
      <c r="R53" s="218">
        <f>CA53&amp;CB53</f>
        <v/>
      </c>
      <c r="AW53" s="226" t="n"/>
      <c r="AX53" s="226" t="n"/>
      <c r="AY53" s="226" t="n"/>
      <c r="AZ53" s="226" t="n"/>
      <c r="BA53" s="226" t="n"/>
      <c r="BB53" s="226" t="n"/>
      <c r="BC53" s="226" t="n"/>
      <c r="BD53" s="226" t="n"/>
      <c r="BE53" s="226" t="n"/>
      <c r="BF53" s="226" t="n"/>
      <c r="BG53" s="226" t="n"/>
      <c r="BH53" s="226" t="n"/>
      <c r="BI53" s="226" t="n"/>
      <c r="BJ53" s="226" t="n"/>
      <c r="BK53" s="226" t="n"/>
      <c r="BL53" s="226" t="n"/>
      <c r="BM53" s="226" t="n"/>
      <c r="BN53" s="226" t="n"/>
      <c r="BO53" s="226" t="n"/>
      <c r="BP53" s="226" t="n"/>
      <c r="BQ53" s="226" t="n"/>
      <c r="BR53" s="226" t="n"/>
      <c r="BS53" s="226" t="n"/>
      <c r="BT53" s="226" t="n"/>
      <c r="BU53" s="226" t="n"/>
      <c r="BV53" s="226" t="n"/>
      <c r="BW53" s="226" t="n"/>
      <c r="BX53" s="226" t="n"/>
      <c r="BY53" s="226" t="n"/>
      <c r="BZ53" s="226" t="n"/>
      <c r="CA53" s="219">
        <f>IF(AND($C53&lt;&gt;0,P53=""),"* No olvide digitar la variable "&amp;P$30&amp;""&amp;". Digite CERO si no tiene. ",IF(P53&gt;$C53,"* La variable Pueblos Originarios no puede superar el Total. ",""))</f>
        <v/>
      </c>
      <c r="CB53" s="219">
        <f>IF(AND($C53&lt;&gt;0,Q53=""),"* No olvide digitar la variable "&amp;Q$30&amp;""&amp;". Digite CERO si no tiene. ",IF(Q53&gt;$C53,"* La variable Migrantes no puede superar el Total. ",""))</f>
        <v/>
      </c>
      <c r="CC53" s="226" t="n"/>
      <c r="CD53" s="226" t="n"/>
      <c r="CE53" s="221">
        <f>IF(AND($C53&lt;&gt;0,P53=""),1,IF(P53&gt;$C53,1,0))</f>
        <v/>
      </c>
      <c r="CF53" s="221">
        <f>IF(AND($C53&lt;&gt;0,Q53=""),1,IF(Q53&gt;$C53,1,0))</f>
        <v/>
      </c>
    </row>
    <row r="54">
      <c r="A54" s="9589" t="n"/>
      <c r="B54" s="3949" t="inlineStr">
        <is>
          <t>Test de ureasa positivas (+) H. Pylori</t>
        </is>
      </c>
      <c r="C54" s="3916">
        <f>SUM(D54:L54)</f>
        <v/>
      </c>
      <c r="D54" s="4370" t="n"/>
      <c r="E54" s="156" t="n"/>
      <c r="F54" s="156" t="n"/>
      <c r="G54" s="156" t="n"/>
      <c r="H54" s="156" t="n"/>
      <c r="I54" s="156" t="n"/>
      <c r="J54" s="156" t="n"/>
      <c r="K54" s="156" t="n"/>
      <c r="L54" s="4371" t="n"/>
      <c r="M54" s="157" t="n"/>
      <c r="N54" s="158" t="n"/>
      <c r="O54" s="4372" t="n"/>
      <c r="P54" s="5474" t="n"/>
      <c r="Q54" s="5480" t="n"/>
      <c r="R54" s="218">
        <f>CA54&amp;CB54</f>
        <v/>
      </c>
      <c r="AW54" s="226" t="n"/>
      <c r="AX54" s="226" t="n"/>
      <c r="AY54" s="226" t="n"/>
      <c r="AZ54" s="226" t="n"/>
      <c r="BA54" s="226" t="n"/>
      <c r="BB54" s="226" t="n"/>
      <c r="BC54" s="226" t="n"/>
      <c r="BD54" s="226" t="n"/>
      <c r="BE54" s="226" t="n"/>
      <c r="BF54" s="226" t="n"/>
      <c r="BG54" s="226" t="n"/>
      <c r="BH54" s="226" t="n"/>
      <c r="BI54" s="226" t="n"/>
      <c r="BJ54" s="226" t="n"/>
      <c r="BK54" s="226" t="n"/>
      <c r="BL54" s="226" t="n"/>
      <c r="BM54" s="226" t="n"/>
      <c r="BN54" s="226" t="n"/>
      <c r="BO54" s="226" t="n"/>
      <c r="BP54" s="226" t="n"/>
      <c r="BQ54" s="226" t="n"/>
      <c r="BR54" s="226" t="n"/>
      <c r="BS54" s="226" t="n"/>
      <c r="BT54" s="226" t="n"/>
      <c r="BU54" s="226" t="n"/>
      <c r="BV54" s="226" t="n"/>
      <c r="BW54" s="226" t="n"/>
      <c r="BX54" s="226" t="n"/>
      <c r="BY54" s="226" t="n"/>
      <c r="BZ54" s="226" t="n"/>
      <c r="CA54" s="219">
        <f>IF(AND($C54&lt;&gt;0,P54=""),"* No olvide digitar la variable "&amp;P$30&amp;""&amp;". Digite CERO si no tiene. ",IF(P54&gt;$C54,"* La variable Pueblos Originarios no puede superar el Total. ",""))</f>
        <v/>
      </c>
      <c r="CB54" s="219">
        <f>IF(AND($C54&lt;&gt;0,Q54=""),"* No olvide digitar la variable "&amp;Q$30&amp;""&amp;". Digite CERO si no tiene. ",IF(Q54&gt;$C54,"* La variable Migrantes no puede superar el Total. ",""))</f>
        <v/>
      </c>
      <c r="CC54" s="226" t="n"/>
      <c r="CD54" s="226" t="n"/>
      <c r="CE54" s="221">
        <f>IF(AND($C54&lt;&gt;0,P54=""),1,IF(P54&gt;$C54,1,0))</f>
        <v/>
      </c>
      <c r="CF54" s="221">
        <f>IF(AND($C54&lt;&gt;0,Q54=""),1,IF(Q54&gt;$C54,1,0))</f>
        <v/>
      </c>
    </row>
    <row r="55">
      <c r="A55" s="9933" t="inlineStr">
        <is>
          <t>Procedimientos cutáneos quirúrgicos de baja complejidad</t>
        </is>
      </c>
      <c r="B55" s="4382" t="inlineStr">
        <is>
          <t>Solicitadas</t>
        </is>
      </c>
      <c r="C55" s="4366">
        <f>SUM(D55:L55)</f>
        <v/>
      </c>
      <c r="D55" s="4374" t="n"/>
      <c r="E55" s="856" t="n"/>
      <c r="F55" s="856" t="n"/>
      <c r="G55" s="856" t="n"/>
      <c r="H55" s="856" t="n"/>
      <c r="I55" s="856" t="n"/>
      <c r="J55" s="856" t="n"/>
      <c r="K55" s="856" t="n"/>
      <c r="L55" s="4367" t="n"/>
      <c r="M55" s="4368" t="n"/>
      <c r="N55" s="857" t="n"/>
      <c r="O55" s="4369" t="n"/>
      <c r="P55" s="5475" t="n"/>
      <c r="Q55" s="4441" t="n"/>
      <c r="R55" s="218">
        <f>CA55&amp;CB55</f>
        <v/>
      </c>
      <c r="AW55" s="226" t="n"/>
      <c r="AX55" s="226" t="n"/>
      <c r="AY55" s="226" t="n"/>
      <c r="AZ55" s="226" t="n"/>
      <c r="BA55" s="226" t="n"/>
      <c r="BB55" s="226" t="n"/>
      <c r="BC55" s="226" t="n"/>
      <c r="BD55" s="226" t="n"/>
      <c r="BE55" s="226" t="n"/>
      <c r="BF55" s="226" t="n"/>
      <c r="BG55" s="226" t="n"/>
      <c r="BH55" s="226" t="n"/>
      <c r="BI55" s="226" t="n"/>
      <c r="BJ55" s="226" t="n"/>
      <c r="BK55" s="226" t="n"/>
      <c r="BL55" s="226" t="n"/>
      <c r="BM55" s="226" t="n"/>
      <c r="BN55" s="226" t="n"/>
      <c r="BO55" s="226" t="n"/>
      <c r="BP55" s="226" t="n"/>
      <c r="BQ55" s="226" t="n"/>
      <c r="BR55" s="226" t="n"/>
      <c r="BS55" s="226" t="n"/>
      <c r="BT55" s="226" t="n"/>
      <c r="BU55" s="226" t="n"/>
      <c r="BV55" s="226" t="n"/>
      <c r="BW55" s="226" t="n"/>
      <c r="BX55" s="226" t="n"/>
      <c r="BY55" s="226" t="n"/>
      <c r="BZ55" s="226" t="n"/>
      <c r="CA55" s="219">
        <f>IF(AND($C55&lt;&gt;0,P55=""),"* No olvide digitar la variable "&amp;P$30&amp;""&amp;". Digite CERO si no tiene. ",IF(P55&gt;$C55,"* La variable Pueblos Originarios no puede superar el Total. ",""))</f>
        <v/>
      </c>
      <c r="CB55" s="219">
        <f>IF(AND($C55&lt;&gt;0,Q55=""),"* No olvide digitar la variable "&amp;Q$30&amp;""&amp;". Digite CERO si no tiene. ",IF(Q55&gt;$C55,"* La variable Migrantes no puede superar el Total. ",""))</f>
        <v/>
      </c>
      <c r="CC55" s="226" t="n"/>
      <c r="CD55" s="226" t="n"/>
      <c r="CE55" s="221">
        <f>IF(AND($C55&lt;&gt;0,P55=""),1,IF(P55&gt;$C55,1,0))</f>
        <v/>
      </c>
      <c r="CF55" s="221">
        <f>IF(AND($C55&lt;&gt;0,Q55=""),1,IF(Q55&gt;$C55,1,0))</f>
        <v/>
      </c>
    </row>
    <row r="56">
      <c r="A56" s="9614" t="n"/>
      <c r="B56" s="1308" t="inlineStr">
        <is>
          <t>Realizadas</t>
        </is>
      </c>
      <c r="C56" s="1209">
        <f>SUM(D56:L56)</f>
        <v/>
      </c>
      <c r="D56" s="4349" t="n"/>
      <c r="E56" s="4343" t="n"/>
      <c r="F56" s="4343" t="n"/>
      <c r="G56" s="4343" t="n"/>
      <c r="H56" s="4343" t="n"/>
      <c r="I56" s="4343" t="n"/>
      <c r="J56" s="4343" t="n"/>
      <c r="K56" s="4343" t="n"/>
      <c r="L56" s="4344" t="n"/>
      <c r="M56" s="898" t="n"/>
      <c r="N56" s="4343" t="n"/>
      <c r="O56" s="4344" t="n"/>
      <c r="P56" s="5473" t="n"/>
      <c r="Q56" s="5479" t="n"/>
      <c r="R56" s="218">
        <f>CA56&amp;CB56</f>
        <v/>
      </c>
      <c r="AW56" s="226" t="n"/>
      <c r="AX56" s="226" t="n"/>
      <c r="AY56" s="226" t="n"/>
      <c r="AZ56" s="226" t="n"/>
      <c r="BA56" s="226" t="n"/>
      <c r="BB56" s="226" t="n"/>
      <c r="BC56" s="226" t="n"/>
      <c r="BD56" s="226" t="n"/>
      <c r="BE56" s="226" t="n"/>
      <c r="BF56" s="226" t="n"/>
      <c r="BG56" s="226" t="n"/>
      <c r="BH56" s="226" t="n"/>
      <c r="BI56" s="226" t="n"/>
      <c r="BJ56" s="226" t="n"/>
      <c r="BK56" s="226" t="n"/>
      <c r="BL56" s="226" t="n"/>
      <c r="BM56" s="226" t="n"/>
      <c r="BN56" s="226" t="n"/>
      <c r="BO56" s="226" t="n"/>
      <c r="BP56" s="226" t="n"/>
      <c r="BQ56" s="226" t="n"/>
      <c r="BR56" s="226" t="n"/>
      <c r="BS56" s="226" t="n"/>
      <c r="BT56" s="226" t="n"/>
      <c r="BU56" s="226" t="n"/>
      <c r="BV56" s="226" t="n"/>
      <c r="BW56" s="226" t="n"/>
      <c r="BX56" s="226" t="n"/>
      <c r="BY56" s="226" t="n"/>
      <c r="BZ56" s="226" t="n"/>
      <c r="CA56" s="219">
        <f>IF(AND($C56&lt;&gt;0,P56=""),"* No olvide digitar la variable "&amp;P$30&amp;""&amp;". Digite CERO si no tiene. ",IF(P56&gt;$C56,"* La variable Pueblos Originarios no puede superar el Total. ",""))</f>
        <v/>
      </c>
      <c r="CB56" s="219">
        <f>IF(AND($C56&lt;&gt;0,Q56=""),"* No olvide digitar la variable "&amp;Q$30&amp;""&amp;". Digite CERO si no tiene. ",IF(Q56&gt;$C56,"* La variable Migrantes no puede superar el Total. ",""))</f>
        <v/>
      </c>
      <c r="CC56" s="226" t="n"/>
      <c r="CD56" s="226" t="n"/>
      <c r="CE56" s="221">
        <f>IF(AND($C56&lt;&gt;0,P56=""),1,IF(P56&gt;$C56,1,0))</f>
        <v/>
      </c>
      <c r="CF56" s="221">
        <f>IF(AND($C56&lt;&gt;0,Q56=""),1,IF(Q56&gt;$C56,1,0))</f>
        <v/>
      </c>
    </row>
    <row r="57" ht="24" customHeight="1" s="8286">
      <c r="A57" s="9614" t="n"/>
      <c r="B57" s="1144" t="inlineStr">
        <is>
          <t>Biopsias de cirugía menor enviadas a anatomia patológica</t>
        </is>
      </c>
      <c r="C57" s="1209">
        <f>SUM(D57:L57)</f>
        <v/>
      </c>
      <c r="D57" s="4345" t="n"/>
      <c r="E57" s="812" t="n"/>
      <c r="F57" s="812" t="n"/>
      <c r="G57" s="812" t="n"/>
      <c r="H57" s="812" t="n"/>
      <c r="I57" s="812" t="n"/>
      <c r="J57" s="812" t="n"/>
      <c r="K57" s="812" t="n"/>
      <c r="L57" s="4346" t="n"/>
      <c r="M57" s="4347" t="n"/>
      <c r="N57" s="813" t="n"/>
      <c r="O57" s="4348" t="n"/>
      <c r="P57" s="5473" t="n"/>
      <c r="Q57" s="5479" t="n"/>
      <c r="R57" s="218">
        <f>CA57&amp;CB57</f>
        <v/>
      </c>
      <c r="AW57" s="226" t="n"/>
      <c r="AX57" s="226" t="n"/>
      <c r="AY57" s="226" t="n"/>
      <c r="AZ57" s="226" t="n"/>
      <c r="BA57" s="226" t="n"/>
      <c r="BB57" s="226" t="n"/>
      <c r="BC57" s="226" t="n"/>
      <c r="BD57" s="226" t="n"/>
      <c r="BE57" s="226" t="n"/>
      <c r="BF57" s="226" t="n"/>
      <c r="BG57" s="226" t="n"/>
      <c r="BH57" s="226" t="n"/>
      <c r="BI57" s="226" t="n"/>
      <c r="BJ57" s="226" t="n"/>
      <c r="BK57" s="226" t="n"/>
      <c r="BL57" s="226" t="n"/>
      <c r="BM57" s="226" t="n"/>
      <c r="BN57" s="226" t="n"/>
      <c r="BO57" s="226" t="n"/>
      <c r="BP57" s="226" t="n"/>
      <c r="BQ57" s="226" t="n"/>
      <c r="BR57" s="226" t="n"/>
      <c r="BS57" s="226" t="n"/>
      <c r="BT57" s="226" t="n"/>
      <c r="BU57" s="226" t="n"/>
      <c r="BV57" s="226" t="n"/>
      <c r="BW57" s="226" t="n"/>
      <c r="BX57" s="226" t="n"/>
      <c r="BY57" s="226" t="n"/>
      <c r="BZ57" s="226" t="n"/>
      <c r="CA57" s="219">
        <f>IF(AND($C57&lt;&gt;0,P57=""),"* No olvide digitar la variable "&amp;P$30&amp;""&amp;". Digite CERO si no tiene. ",IF(P57&gt;$C57,"* La variable Pueblos Originarios no puede superar el Total. ",""))</f>
        <v/>
      </c>
      <c r="CB57" s="219">
        <f>IF(AND($C57&lt;&gt;0,Q57=""),"* No olvide digitar la variable "&amp;Q$30&amp;""&amp;". Digite CERO si no tiene. ",IF(Q57&gt;$C57,"* La variable Migrantes no puede superar el Total. ",""))</f>
        <v/>
      </c>
      <c r="CC57" s="226" t="n"/>
      <c r="CD57" s="226" t="n"/>
      <c r="CE57" s="221">
        <f>IF(AND($C57&lt;&gt;0,P57=""),1,IF(P57&gt;$C57,1,0))</f>
        <v/>
      </c>
      <c r="CF57" s="221">
        <f>IF(AND($C57&lt;&gt;0,Q57=""),1,IF(Q57&gt;$C57,1,0))</f>
        <v/>
      </c>
    </row>
    <row r="58" ht="21.75" customHeight="1" s="8286">
      <c r="A58" s="9610" t="n"/>
      <c r="B58" s="4229" t="inlineStr">
        <is>
          <t>Nº biopsias de cirugía menor con informe de sospecha de malignidad</t>
        </is>
      </c>
      <c r="C58" s="3949">
        <f>SUM(D58:L58)</f>
        <v/>
      </c>
      <c r="D58" s="683" t="n"/>
      <c r="E58" s="66" t="n"/>
      <c r="F58" s="66" t="n"/>
      <c r="G58" s="66" t="n"/>
      <c r="H58" s="66" t="n"/>
      <c r="I58" s="66" t="n"/>
      <c r="J58" s="66" t="n"/>
      <c r="K58" s="66" t="n"/>
      <c r="L58" s="67" t="n"/>
      <c r="M58" s="143" t="n"/>
      <c r="N58" s="144" t="n"/>
      <c r="O58" s="142" t="n"/>
      <c r="P58" s="5474" t="n"/>
      <c r="Q58" s="5480" t="n"/>
      <c r="R58" s="218">
        <f>CA58&amp;CB58</f>
        <v/>
      </c>
      <c r="AW58" s="226" t="n"/>
      <c r="AX58" s="226" t="n"/>
      <c r="AY58" s="226" t="n"/>
      <c r="AZ58" s="226" t="n"/>
      <c r="BA58" s="226" t="n"/>
      <c r="BB58" s="226" t="n"/>
      <c r="BC58" s="226" t="n"/>
      <c r="BD58" s="226" t="n"/>
      <c r="BE58" s="226" t="n"/>
      <c r="BF58" s="226" t="n"/>
      <c r="BG58" s="226" t="n"/>
      <c r="BH58" s="226" t="n"/>
      <c r="BI58" s="226" t="n"/>
      <c r="BJ58" s="226" t="n"/>
      <c r="BK58" s="226" t="n"/>
      <c r="BL58" s="226" t="n"/>
      <c r="BM58" s="226" t="n"/>
      <c r="BN58" s="226" t="n"/>
      <c r="BO58" s="226" t="n"/>
      <c r="BP58" s="226" t="n"/>
      <c r="BQ58" s="226" t="n"/>
      <c r="BR58" s="226" t="n"/>
      <c r="BS58" s="226" t="n"/>
      <c r="BT58" s="226" t="n"/>
      <c r="BU58" s="226" t="n"/>
      <c r="BV58" s="226" t="n"/>
      <c r="BW58" s="226" t="n"/>
      <c r="BX58" s="226" t="n"/>
      <c r="BY58" s="226" t="n"/>
      <c r="BZ58" s="226" t="n"/>
      <c r="CA58" s="219">
        <f>IF(AND($C58&lt;&gt;0,P58=""),"* No olvide digitar la variable "&amp;P$30&amp;""&amp;". Digite CERO si no tiene. ",IF(P58&gt;$C58,"* La variable Pueblos Originarios no puede superar el Total. ",""))</f>
        <v/>
      </c>
      <c r="CB58" s="219">
        <f>IF(AND($C58&lt;&gt;0,Q58=""),"* No olvide digitar la variable "&amp;Q$30&amp;""&amp;". Digite CERO si no tiene. ",IF(Q58&gt;$C58,"* La variable Migrantes no puede superar el Total. ",""))</f>
        <v/>
      </c>
      <c r="CC58" s="226" t="n"/>
      <c r="CD58" s="226" t="n"/>
      <c r="CE58" s="221">
        <f>IF(AND($C58&lt;&gt;0,P58=""),1,IF(P58&gt;$C58,1,0))</f>
        <v/>
      </c>
      <c r="CF58" s="221">
        <f>IF(AND($C58&lt;&gt;0,Q58=""),1,IF(Q58&gt;$C58,1,0))</f>
        <v/>
      </c>
    </row>
    <row r="59">
      <c r="A59" s="9933" t="inlineStr">
        <is>
          <t>Radiografía de tórax por sospecha de neumonía y sospecha de otra patología respiratoria crónica</t>
        </is>
      </c>
      <c r="B59" s="4339" t="inlineStr">
        <is>
          <t>Solicitadas</t>
        </is>
      </c>
      <c r="C59" s="1374" t="n"/>
      <c r="D59" s="4383" t="n"/>
      <c r="E59" s="4384" t="n"/>
      <c r="F59" s="4384" t="n"/>
      <c r="G59" s="4384" t="n"/>
      <c r="H59" s="4384" t="n"/>
      <c r="I59" s="4384" t="n"/>
      <c r="J59" s="4384" t="n"/>
      <c r="K59" s="4384" t="n"/>
      <c r="L59" s="4385" t="n"/>
      <c r="M59" s="4386" t="n"/>
      <c r="N59" s="4384" t="n"/>
      <c r="O59" s="4385" t="n"/>
      <c r="P59" s="5475" t="n"/>
      <c r="Q59" s="4441" t="n"/>
      <c r="R59" s="218">
        <f>CA59&amp;CB59</f>
        <v/>
      </c>
      <c r="AW59" s="226" t="n"/>
      <c r="AX59" s="226" t="n"/>
      <c r="AY59" s="226" t="n"/>
      <c r="AZ59" s="226" t="n"/>
      <c r="BA59" s="226" t="n"/>
      <c r="BB59" s="226" t="n"/>
      <c r="BC59" s="226" t="n"/>
      <c r="BD59" s="226" t="n"/>
      <c r="BE59" s="226" t="n"/>
      <c r="BF59" s="226" t="n"/>
      <c r="BG59" s="226" t="n"/>
      <c r="BH59" s="226" t="n"/>
      <c r="BI59" s="226" t="n"/>
      <c r="BJ59" s="226" t="n"/>
      <c r="BK59" s="226" t="n"/>
      <c r="BL59" s="226" t="n"/>
      <c r="BM59" s="226" t="n"/>
      <c r="BN59" s="226" t="n"/>
      <c r="BO59" s="226" t="n"/>
      <c r="BP59" s="226" t="n"/>
      <c r="BQ59" s="226" t="n"/>
      <c r="BR59" s="226" t="n"/>
      <c r="BS59" s="226" t="n"/>
      <c r="BT59" s="226" t="n"/>
      <c r="BU59" s="226" t="n"/>
      <c r="BV59" s="226" t="n"/>
      <c r="BW59" s="226" t="n"/>
      <c r="BX59" s="226" t="n"/>
      <c r="BY59" s="226" t="n"/>
      <c r="BZ59" s="226" t="n"/>
      <c r="CA59" s="219">
        <f>IF(AND($C59&lt;&gt;0,P59=""),"* No olvide digitar la variable "&amp;P$30&amp;""&amp;". Digite CERO si no tiene. ",IF(P59&gt;$C59,"* La variable Pueblos Originarios no puede superar el Total. ",""))</f>
        <v/>
      </c>
      <c r="CB59" s="219">
        <f>IF(AND($C59&lt;&gt;0,Q59=""),"* No olvide digitar la variable "&amp;Q$30&amp;""&amp;". Digite CERO si no tiene. ",IF(Q59&gt;$C59,"* La variable Migrantes no puede superar el Total. ",""))</f>
        <v/>
      </c>
      <c r="CC59" s="226" t="n"/>
      <c r="CD59" s="226" t="n"/>
      <c r="CE59" s="221">
        <f>IF(AND($C59&lt;&gt;0,P59=""),1,IF(P59&gt;$C59,1,0))</f>
        <v/>
      </c>
      <c r="CF59" s="221">
        <f>IF(AND($C59&lt;&gt;0,Q59=""),1,IF(Q59&gt;$C59,1,0))</f>
        <v/>
      </c>
    </row>
    <row r="60">
      <c r="A60" s="9614" t="n"/>
      <c r="B60" s="4339" t="inlineStr">
        <is>
          <t>Realizadas</t>
        </is>
      </c>
      <c r="C60" s="4339">
        <f>SUM(D60:L60)</f>
        <v/>
      </c>
      <c r="D60" s="4340">
        <f>SUM(D61:D62)</f>
        <v/>
      </c>
      <c r="E60" s="4341">
        <f>SUM(E61:E62)</f>
        <v/>
      </c>
      <c r="F60" s="4341">
        <f>SUM(F61:F62)</f>
        <v/>
      </c>
      <c r="G60" s="4341">
        <f>SUM(G61:G62)</f>
        <v/>
      </c>
      <c r="H60" s="4341">
        <f>SUM(H61:H62)</f>
        <v/>
      </c>
      <c r="I60" s="4341">
        <f>SUM(I61:I62)</f>
        <v/>
      </c>
      <c r="J60" s="4341">
        <f>SUM(J61:J62)</f>
        <v/>
      </c>
      <c r="K60" s="4341">
        <f>SUM(K61:K62)</f>
        <v/>
      </c>
      <c r="L60" s="4342">
        <f>SUM(L61:L62)</f>
        <v/>
      </c>
      <c r="M60" s="4387" t="n"/>
      <c r="N60" s="4333" t="n"/>
      <c r="O60" s="4334" t="n"/>
      <c r="P60" s="5473" t="n"/>
      <c r="Q60" s="5479" t="n"/>
      <c r="R60" s="218">
        <f>CA60&amp;CB60</f>
        <v/>
      </c>
      <c r="AW60" s="226" t="n"/>
      <c r="AX60" s="226" t="n"/>
      <c r="AY60" s="226" t="n"/>
      <c r="AZ60" s="226" t="n"/>
      <c r="BA60" s="226" t="n"/>
      <c r="BB60" s="226" t="n"/>
      <c r="BC60" s="226" t="n"/>
      <c r="BD60" s="226" t="n"/>
      <c r="BE60" s="226" t="n"/>
      <c r="BF60" s="226" t="n"/>
      <c r="BG60" s="226" t="n"/>
      <c r="BH60" s="226" t="n"/>
      <c r="BI60" s="226" t="n"/>
      <c r="BJ60" s="226" t="n"/>
      <c r="BK60" s="226" t="n"/>
      <c r="BL60" s="226" t="n"/>
      <c r="BM60" s="226" t="n"/>
      <c r="BN60" s="226" t="n"/>
      <c r="BO60" s="226" t="n"/>
      <c r="BP60" s="226" t="n"/>
      <c r="BQ60" s="226" t="n"/>
      <c r="BR60" s="226" t="n"/>
      <c r="BS60" s="226" t="n"/>
      <c r="BT60" s="226" t="n"/>
      <c r="BU60" s="226" t="n"/>
      <c r="BV60" s="226" t="n"/>
      <c r="BW60" s="226" t="n"/>
      <c r="BX60" s="226" t="n"/>
      <c r="BY60" s="226" t="n"/>
      <c r="BZ60" s="226" t="n"/>
      <c r="CA60" s="226" t="n"/>
      <c r="CB60" s="226" t="n"/>
      <c r="CC60" s="226" t="n"/>
      <c r="CD60" s="226" t="n"/>
    </row>
    <row r="61">
      <c r="A61" s="9614" t="n"/>
      <c r="B61" s="1930" t="inlineStr">
        <is>
          <t>Antero posterior (frontal)</t>
        </is>
      </c>
      <c r="C61" s="4156">
        <f>SUM(D61:L61)</f>
        <v/>
      </c>
      <c r="D61" s="4345" t="n"/>
      <c r="E61" s="812" t="n"/>
      <c r="F61" s="812" t="n"/>
      <c r="G61" s="812" t="n"/>
      <c r="H61" s="812" t="n"/>
      <c r="I61" s="812" t="n"/>
      <c r="J61" s="812" t="n"/>
      <c r="K61" s="812" t="n"/>
      <c r="L61" s="4346" t="n"/>
      <c r="M61" s="4347" t="n"/>
      <c r="N61" s="813" t="n"/>
      <c r="O61" s="4348" t="n"/>
      <c r="P61" s="5473" t="n"/>
      <c r="Q61" s="5479" t="n"/>
      <c r="R61" s="218">
        <f>CA61&amp;CB61</f>
        <v/>
      </c>
      <c r="AW61" s="226" t="n"/>
      <c r="AX61" s="226" t="n"/>
      <c r="AY61" s="226" t="n"/>
      <c r="AZ61" s="226" t="n"/>
      <c r="BA61" s="226" t="n"/>
      <c r="BB61" s="226" t="n"/>
      <c r="BC61" s="226" t="n"/>
      <c r="BD61" s="226" t="n"/>
      <c r="BE61" s="226" t="n"/>
      <c r="BF61" s="226" t="n"/>
      <c r="BG61" s="226" t="n"/>
      <c r="BH61" s="226" t="n"/>
      <c r="BI61" s="226" t="n"/>
      <c r="BJ61" s="226" t="n"/>
      <c r="BK61" s="226" t="n"/>
      <c r="BL61" s="226" t="n"/>
      <c r="BM61" s="226" t="n"/>
      <c r="BN61" s="226" t="n"/>
      <c r="BO61" s="226" t="n"/>
      <c r="BP61" s="226" t="n"/>
      <c r="BQ61" s="226" t="n"/>
      <c r="BR61" s="226" t="n"/>
      <c r="BS61" s="226" t="n"/>
      <c r="BT61" s="226" t="n"/>
      <c r="BU61" s="226" t="n"/>
      <c r="BV61" s="226" t="n"/>
      <c r="BW61" s="226" t="n"/>
      <c r="BX61" s="226" t="n"/>
      <c r="BY61" s="226" t="n"/>
      <c r="BZ61" s="226" t="n"/>
      <c r="CA61" s="219">
        <f>IF(AND($C61&lt;&gt;0,P61=""),"* No olvide digitar la variable "&amp;P$30&amp;""&amp;". Digite CERO si no tiene. ",IF(P61&gt;$C61,"* La variable Pueblos Originarios no puede superar el Total. ",""))</f>
        <v/>
      </c>
      <c r="CB61" s="219">
        <f>IF(AND($C61&lt;&gt;0,Q61=""),"* No olvide digitar la variable "&amp;Q$30&amp;""&amp;". Digite CERO si no tiene. ",IF(Q61&gt;$C61,"* La variable Migrantes no puede superar el Total. ",""))</f>
        <v/>
      </c>
      <c r="CC61" s="226" t="n"/>
      <c r="CD61" s="226" t="n"/>
      <c r="CE61" s="221">
        <f>IF(AND($C61&lt;&gt;0,P61=""),1,IF(P61&gt;$C61,1,0))</f>
        <v/>
      </c>
      <c r="CF61" s="221">
        <f>IF(AND($C61&lt;&gt;0,Q61=""),1,IF(Q61&gt;$C61,1,0))</f>
        <v/>
      </c>
    </row>
    <row r="62">
      <c r="A62" s="9610" t="n"/>
      <c r="B62" s="637" t="inlineStr">
        <is>
          <t>Antero posterior y lateral</t>
        </is>
      </c>
      <c r="C62" s="3940">
        <f>SUM(D62:L62)</f>
        <v/>
      </c>
      <c r="D62" s="4370" t="n"/>
      <c r="E62" s="156" t="n"/>
      <c r="F62" s="156" t="n"/>
      <c r="G62" s="156" t="n"/>
      <c r="H62" s="156" t="n"/>
      <c r="I62" s="156" t="n"/>
      <c r="J62" s="156" t="n"/>
      <c r="K62" s="156" t="n"/>
      <c r="L62" s="4371" t="n"/>
      <c r="M62" s="157" t="n"/>
      <c r="N62" s="158" t="n"/>
      <c r="O62" s="4372" t="n"/>
      <c r="P62" s="5474" t="n"/>
      <c r="Q62" s="5480" t="n"/>
      <c r="R62" s="218">
        <f>CA62&amp;CB62</f>
        <v/>
      </c>
      <c r="AW62" s="226" t="n"/>
      <c r="AX62" s="226" t="n"/>
      <c r="AY62" s="226" t="n"/>
      <c r="AZ62" s="226" t="n"/>
      <c r="BA62" s="226" t="n"/>
      <c r="BB62" s="226" t="n"/>
      <c r="BC62" s="226" t="n"/>
      <c r="BD62" s="226" t="n"/>
      <c r="BE62" s="226" t="n"/>
      <c r="BF62" s="226" t="n"/>
      <c r="BG62" s="226" t="n"/>
      <c r="BH62" s="226" t="n"/>
      <c r="BI62" s="226" t="n"/>
      <c r="BJ62" s="226" t="n"/>
      <c r="BK62" s="226" t="n"/>
      <c r="BL62" s="226" t="n"/>
      <c r="BM62" s="226" t="n"/>
      <c r="BN62" s="226" t="n"/>
      <c r="BO62" s="226" t="n"/>
      <c r="BP62" s="226" t="n"/>
      <c r="BQ62" s="226" t="n"/>
      <c r="BR62" s="226" t="n"/>
      <c r="BS62" s="226" t="n"/>
      <c r="BT62" s="226" t="n"/>
      <c r="BU62" s="226" t="n"/>
      <c r="BV62" s="226" t="n"/>
      <c r="BW62" s="226" t="n"/>
      <c r="BX62" s="226" t="n"/>
      <c r="BY62" s="226" t="n"/>
      <c r="BZ62" s="226" t="n"/>
      <c r="CA62" s="219">
        <f>IF(AND($C62&lt;&gt;0,P62=""),"* No olvide digitar la variable "&amp;P$30&amp;""&amp;". Digite CERO si no tiene. ",IF(P62&gt;$C62,"* La variable Pueblos Originarios no puede superar el Total. ",""))</f>
        <v/>
      </c>
      <c r="CB62" s="219">
        <f>IF(AND($C62&lt;&gt;0,Q62=""),"* No olvide digitar la variable "&amp;Q$30&amp;""&amp;". Digite CERO si no tiene. ",IF(Q62&gt;$C62,"* La variable Migrantes no puede superar el Total. ",""))</f>
        <v/>
      </c>
      <c r="CC62" s="226" t="n"/>
      <c r="CD62" s="226" t="n"/>
      <c r="CE62" s="221">
        <f>IF(AND($C62&lt;&gt;0,P62=""),1,IF(P62&gt;$C62,1,0))</f>
        <v/>
      </c>
      <c r="CF62" s="221">
        <f>IF(AND($C62&lt;&gt;0,Q62=""),1,IF(Q62&gt;$C62,1,0))</f>
        <v/>
      </c>
    </row>
    <row r="63">
      <c r="A63" s="9933" t="inlineStr">
        <is>
          <t>Radiografía de caderas 3-6 meses (Screening)</t>
        </is>
      </c>
      <c r="B63" s="4382" t="inlineStr">
        <is>
          <t>Solicitadas</t>
        </is>
      </c>
      <c r="C63" s="4349" t="n"/>
      <c r="D63" s="4448" t="n"/>
      <c r="E63" s="857" t="n"/>
      <c r="F63" s="857" t="n"/>
      <c r="G63" s="857" t="n"/>
      <c r="H63" s="857" t="n"/>
      <c r="I63" s="857" t="n"/>
      <c r="J63" s="857" t="n"/>
      <c r="K63" s="857" t="n"/>
      <c r="L63" s="4369" t="n"/>
      <c r="M63" s="4368" t="n"/>
      <c r="N63" s="857" t="n"/>
      <c r="O63" s="4369" t="n"/>
      <c r="P63" s="5475" t="n"/>
      <c r="Q63" s="4441" t="n"/>
      <c r="R63" s="218">
        <f>CA63&amp;CB63</f>
        <v/>
      </c>
      <c r="AW63" s="226" t="n"/>
      <c r="AX63" s="226" t="n"/>
      <c r="AY63" s="226" t="n"/>
      <c r="AZ63" s="226" t="n"/>
      <c r="BA63" s="226" t="n"/>
      <c r="BB63" s="226" t="n"/>
      <c r="BC63" s="226" t="n"/>
      <c r="BD63" s="226" t="n"/>
      <c r="BE63" s="226" t="n"/>
      <c r="BF63" s="226" t="n"/>
      <c r="BG63" s="226" t="n"/>
      <c r="BH63" s="226" t="n"/>
      <c r="BI63" s="226" t="n"/>
      <c r="BJ63" s="226" t="n"/>
      <c r="BK63" s="226" t="n"/>
      <c r="BL63" s="226" t="n"/>
      <c r="BM63" s="226" t="n"/>
      <c r="BN63" s="226" t="n"/>
      <c r="BO63" s="226" t="n"/>
      <c r="BP63" s="226" t="n"/>
      <c r="BQ63" s="226" t="n"/>
      <c r="BR63" s="226" t="n"/>
      <c r="BS63" s="226" t="n"/>
      <c r="BT63" s="226" t="n"/>
      <c r="BU63" s="226" t="n"/>
      <c r="BV63" s="226" t="n"/>
      <c r="BW63" s="226" t="n"/>
      <c r="BX63" s="226" t="n"/>
      <c r="BY63" s="226" t="n"/>
      <c r="BZ63" s="226" t="n"/>
      <c r="CA63" s="219">
        <f>IF(AND($C63&lt;&gt;0,P63=""),"* No olvide digitar la variable "&amp;P$30&amp;""&amp;". Digite CERO si no tiene. ",IF(P63&gt;$C63,"* La variable Pueblos Originarios no puede superar el Total. ",""))</f>
        <v/>
      </c>
      <c r="CB63" s="219">
        <f>IF(AND($C63&lt;&gt;0,Q63=""),"* No olvide digitar la variable "&amp;Q$30&amp;""&amp;". Digite CERO si no tiene. ",IF(Q63&gt;$C63,"* La variable Migrantes no puede superar el Total. ",""))</f>
        <v/>
      </c>
      <c r="CC63" s="226" t="n"/>
      <c r="CD63" s="226" t="n"/>
      <c r="CE63" s="221">
        <f>IF(AND($C63&lt;&gt;0,P63=""),1,IF(P63&gt;$C63,1,0))</f>
        <v/>
      </c>
      <c r="CF63" s="221">
        <f>IF(AND($C63&lt;&gt;0,Q63=""),1,IF(Q63&gt;$C63,1,0))</f>
        <v/>
      </c>
    </row>
    <row r="64">
      <c r="A64" s="9610" t="n"/>
      <c r="B64" s="3598" t="inlineStr">
        <is>
          <t>Informadas</t>
        </is>
      </c>
      <c r="C64" s="4370" t="n"/>
      <c r="D64" s="4452" t="n"/>
      <c r="E64" s="4390" t="n"/>
      <c r="F64" s="4390" t="n"/>
      <c r="G64" s="4390" t="n"/>
      <c r="H64" s="4390" t="n"/>
      <c r="I64" s="4390" t="n"/>
      <c r="J64" s="4390" t="n"/>
      <c r="K64" s="4390" t="n"/>
      <c r="L64" s="4391" t="n"/>
      <c r="M64" s="4365" t="n"/>
      <c r="N64" s="4392" t="n"/>
      <c r="O64" s="4393" t="n"/>
      <c r="P64" s="5474" t="n"/>
      <c r="Q64" s="5480" t="n"/>
      <c r="R64" s="218">
        <f>CA64&amp;CB64</f>
        <v/>
      </c>
      <c r="AW64" s="226" t="n"/>
      <c r="AX64" s="226" t="n"/>
      <c r="AY64" s="226" t="n"/>
      <c r="AZ64" s="226" t="n"/>
      <c r="BA64" s="226" t="n"/>
      <c r="BB64" s="226" t="n"/>
      <c r="BC64" s="226" t="n"/>
      <c r="BD64" s="226" t="n"/>
      <c r="BE64" s="226" t="n"/>
      <c r="BF64" s="226" t="n"/>
      <c r="BG64" s="226" t="n"/>
      <c r="BH64" s="226" t="n"/>
      <c r="BI64" s="226" t="n"/>
      <c r="BJ64" s="226" t="n"/>
      <c r="BK64" s="226" t="n"/>
      <c r="BL64" s="226" t="n"/>
      <c r="BM64" s="226" t="n"/>
      <c r="BN64" s="226" t="n"/>
      <c r="BO64" s="226" t="n"/>
      <c r="BP64" s="226" t="n"/>
      <c r="BQ64" s="226" t="n"/>
      <c r="BR64" s="226" t="n"/>
      <c r="BS64" s="226" t="n"/>
      <c r="BT64" s="226" t="n"/>
      <c r="BU64" s="226" t="n"/>
      <c r="BV64" s="226" t="n"/>
      <c r="BW64" s="226" t="n"/>
      <c r="BX64" s="226" t="n"/>
      <c r="BY64" s="226" t="n"/>
      <c r="BZ64" s="226" t="n"/>
      <c r="CA64" s="219">
        <f>IF(AND($C64&lt;&gt;0,P64=""),"* No olvide digitar la variable "&amp;P$30&amp;""&amp;". Digite CERO si no tiene. ",IF(P64&gt;$C64,"* La variable Pueblos Originarios no puede superar el Total. ",""))</f>
        <v/>
      </c>
      <c r="CB64" s="219">
        <f>IF(AND($C64&lt;&gt;0,Q64=""),"* No olvide digitar la variable "&amp;Q$30&amp;""&amp;". Digite CERO si no tiene. ",IF(Q64&gt;$C64,"* La variable Migrantes no puede superar el Total. ",""))</f>
        <v/>
      </c>
      <c r="CC64" s="226" t="n"/>
      <c r="CD64" s="226" t="n"/>
      <c r="CE64" s="221">
        <f>IF(AND($C64&lt;&gt;0,P64=""),1,IF(P64&gt;$C64,1,0))</f>
        <v/>
      </c>
      <c r="CF64" s="221">
        <f>IF(AND($C64&lt;&gt;0,Q64=""),1,IF(Q64&gt;$C64,1,0))</f>
        <v/>
      </c>
    </row>
    <row r="65">
      <c r="A65" s="9230" t="inlineStr">
        <is>
          <t>Test de antígeno en deposiciones H. Pylori</t>
        </is>
      </c>
      <c r="B65" s="4395" t="inlineStr">
        <is>
          <t>Solicitadas</t>
        </is>
      </c>
      <c r="C65" s="4396">
        <f>SUM(D65:L65)</f>
        <v/>
      </c>
      <c r="D65" s="4397" t="n"/>
      <c r="E65" s="858" t="n"/>
      <c r="F65" s="858" t="n"/>
      <c r="G65" s="858" t="n"/>
      <c r="H65" s="858" t="n"/>
      <c r="I65" s="858" t="n"/>
      <c r="J65" s="858" t="n"/>
      <c r="K65" s="858" t="n"/>
      <c r="L65" s="4398" t="n"/>
      <c r="M65" s="4399" t="n"/>
      <c r="N65" s="858" t="n"/>
      <c r="O65" s="4400" t="n"/>
      <c r="P65" s="5476" t="n"/>
      <c r="Q65" s="5481" t="n"/>
      <c r="R65" s="218">
        <f>CA65&amp;CB65</f>
        <v/>
      </c>
      <c r="AW65" s="226" t="n"/>
      <c r="AX65" s="226" t="n"/>
      <c r="AY65" s="226" t="n"/>
      <c r="AZ65" s="226" t="n"/>
      <c r="BA65" s="226" t="n"/>
      <c r="BB65" s="226" t="n"/>
      <c r="BC65" s="226" t="n"/>
      <c r="BD65" s="226" t="n"/>
      <c r="BE65" s="226" t="n"/>
      <c r="BF65" s="226" t="n"/>
      <c r="BG65" s="226" t="n"/>
      <c r="BH65" s="226" t="n"/>
      <c r="BI65" s="226" t="n"/>
      <c r="BJ65" s="226" t="n"/>
      <c r="BK65" s="226" t="n"/>
      <c r="BL65" s="226" t="n"/>
      <c r="BM65" s="226" t="n"/>
      <c r="BN65" s="226" t="n"/>
      <c r="BO65" s="226" t="n"/>
      <c r="BP65" s="226" t="n"/>
      <c r="BQ65" s="226" t="n"/>
      <c r="BR65" s="226" t="n"/>
      <c r="BS65" s="226" t="n"/>
      <c r="BT65" s="226" t="n"/>
      <c r="BU65" s="226" t="n"/>
      <c r="BV65" s="226" t="n"/>
      <c r="BW65" s="226" t="n"/>
      <c r="BX65" s="226" t="n"/>
      <c r="BY65" s="226" t="n"/>
      <c r="BZ65" s="226" t="n"/>
      <c r="CA65" s="219">
        <f>IF(AND($C65&lt;&gt;0,P65=""),"* No olvide digitar la variable "&amp;P$30&amp;""&amp;". Digite CERO si no tiene. ",IF(P65&gt;$C65,"* La variable Pueblos Originarios no puede superar el Total. ",""))</f>
        <v/>
      </c>
      <c r="CB65" s="219">
        <f>IF(AND($C65&lt;&gt;0,Q65=""),"* No olvide digitar la variable "&amp;Q$30&amp;""&amp;". Digite CERO si no tiene. ",IF(Q65&gt;$C65,"* La variable Migrantes no puede superar el Total. ",""))</f>
        <v/>
      </c>
      <c r="CC65" s="226" t="n"/>
      <c r="CD65" s="226" t="n"/>
      <c r="CE65" s="221">
        <f>IF(AND($C65&lt;&gt;0,P65=""),1,IF(P65&gt;$C65,1,0))</f>
        <v/>
      </c>
      <c r="CF65" s="221">
        <f>IF(AND($C65&lt;&gt;0,Q65=""),1,IF(Q65&gt;$C65,1,0))</f>
        <v/>
      </c>
    </row>
    <row r="66">
      <c r="A66" s="10124" t="n"/>
      <c r="B66" s="1375" t="inlineStr">
        <is>
          <t>Informadas</t>
        </is>
      </c>
      <c r="C66" s="1280">
        <f>SUM(D66:L66)</f>
        <v/>
      </c>
      <c r="D66" s="4402" t="n"/>
      <c r="E66" s="4403" t="n"/>
      <c r="F66" s="4403" t="n"/>
      <c r="G66" s="4403" t="n"/>
      <c r="H66" s="4403" t="n"/>
      <c r="I66" s="4403" t="n"/>
      <c r="J66" s="4403" t="n"/>
      <c r="K66" s="4403" t="n"/>
      <c r="L66" s="4404" t="n"/>
      <c r="M66" s="4405" t="n"/>
      <c r="N66" s="4403" t="n"/>
      <c r="O66" s="4406" t="n"/>
      <c r="P66" s="5477" t="n"/>
      <c r="Q66" s="5482" t="n"/>
      <c r="R66" s="218">
        <f>CA66&amp;CB66</f>
        <v/>
      </c>
      <c r="AW66" s="226" t="n"/>
      <c r="AX66" s="226" t="n"/>
      <c r="AY66" s="226" t="n"/>
      <c r="AZ66" s="226" t="n"/>
      <c r="BA66" s="226" t="n"/>
      <c r="BB66" s="226" t="n"/>
      <c r="BC66" s="226" t="n"/>
      <c r="BD66" s="226" t="n"/>
      <c r="BE66" s="226" t="n"/>
      <c r="BF66" s="226" t="n"/>
      <c r="BG66" s="226" t="n"/>
      <c r="BH66" s="226" t="n"/>
      <c r="BI66" s="226" t="n"/>
      <c r="BJ66" s="226" t="n"/>
      <c r="BK66" s="226" t="n"/>
      <c r="BL66" s="226" t="n"/>
      <c r="BM66" s="226" t="n"/>
      <c r="BN66" s="226" t="n"/>
      <c r="BO66" s="226" t="n"/>
      <c r="BP66" s="226" t="n"/>
      <c r="BQ66" s="226" t="n"/>
      <c r="BR66" s="226" t="n"/>
      <c r="BS66" s="226" t="n"/>
      <c r="BT66" s="226" t="n"/>
      <c r="BU66" s="226" t="n"/>
      <c r="BV66" s="226" t="n"/>
      <c r="BW66" s="226" t="n"/>
      <c r="BX66" s="226" t="n"/>
      <c r="BY66" s="226" t="n"/>
      <c r="BZ66" s="226" t="n"/>
      <c r="CA66" s="219">
        <f>IF(AND($C66&lt;&gt;0,P66=""),"* No olvide digitar la variable "&amp;P$30&amp;""&amp;". Digite CERO si no tiene. ",IF(P66&gt;$C66,"* La variable Pueblos Originarios no puede superar el Total. ",""))</f>
        <v/>
      </c>
      <c r="CB66" s="219">
        <f>IF(AND($C66&lt;&gt;0,Q66=""),"* No olvide digitar la variable "&amp;Q$30&amp;""&amp;". Digite CERO si no tiene. ",IF(Q66&gt;$C66,"* La variable Migrantes no puede superar el Total. ",""))</f>
        <v/>
      </c>
      <c r="CC66" s="226" t="n"/>
      <c r="CD66" s="226" t="n"/>
      <c r="CE66" s="221">
        <f>IF(AND($C66&lt;&gt;0,P66=""),1,IF(P66&gt;$C66,1,0))</f>
        <v/>
      </c>
      <c r="CF66" s="221">
        <f>IF(AND($C66&lt;&gt;0,Q66=""),1,IF(Q66&gt;$C66,1,0))</f>
        <v/>
      </c>
    </row>
    <row r="67">
      <c r="A67" s="9230" t="inlineStr">
        <is>
          <t>Test inmunoquímico fecal de sangre oculta en deposiciones</t>
        </is>
      </c>
      <c r="B67" s="4395" t="inlineStr">
        <is>
          <t>Solicitadas</t>
        </is>
      </c>
      <c r="C67" s="4396">
        <f>SUM(D67:L67)</f>
        <v/>
      </c>
      <c r="D67" s="4407" t="n"/>
      <c r="E67" s="858" t="n"/>
      <c r="F67" s="858" t="n"/>
      <c r="G67" s="858" t="n"/>
      <c r="H67" s="858" t="n"/>
      <c r="I67" s="858" t="n"/>
      <c r="J67" s="858" t="n"/>
      <c r="K67" s="858" t="n"/>
      <c r="L67" s="4398" t="n"/>
      <c r="M67" s="4399" t="n"/>
      <c r="N67" s="858" t="n"/>
      <c r="O67" s="4400" t="n"/>
      <c r="P67" s="5476" t="n"/>
      <c r="Q67" s="5481" t="n"/>
      <c r="R67" s="218">
        <f>CA67&amp;CB67</f>
        <v/>
      </c>
      <c r="AW67" s="226" t="n"/>
      <c r="AX67" s="226" t="n"/>
      <c r="AY67" s="226" t="n"/>
      <c r="AZ67" s="226" t="n"/>
      <c r="BA67" s="226" t="n"/>
      <c r="BB67" s="226" t="n"/>
      <c r="BC67" s="226" t="n"/>
      <c r="BD67" s="226" t="n"/>
      <c r="BE67" s="226" t="n"/>
      <c r="BF67" s="226" t="n"/>
      <c r="BG67" s="226" t="n"/>
      <c r="BH67" s="226" t="n"/>
      <c r="BI67" s="226" t="n"/>
      <c r="BJ67" s="226" t="n"/>
      <c r="BK67" s="226" t="n"/>
      <c r="BL67" s="226" t="n"/>
      <c r="BM67" s="226" t="n"/>
      <c r="BN67" s="226" t="n"/>
      <c r="BO67" s="226" t="n"/>
      <c r="BP67" s="226" t="n"/>
      <c r="BQ67" s="226" t="n"/>
      <c r="BR67" s="226" t="n"/>
      <c r="BS67" s="226" t="n"/>
      <c r="BT67" s="226" t="n"/>
      <c r="BU67" s="226" t="n"/>
      <c r="BV67" s="226" t="n"/>
      <c r="BW67" s="226" t="n"/>
      <c r="BX67" s="226" t="n"/>
      <c r="BY67" s="226" t="n"/>
      <c r="BZ67" s="226" t="n"/>
      <c r="CA67" s="219">
        <f>IF(AND($C67&lt;&gt;0,P67=""),"* No olvide digitar la variable "&amp;P$30&amp;""&amp;". Digite CERO si no tiene. ",IF(P67&gt;$C67,"* La variable Pueblos Originarios no puede superar el Total. ",""))</f>
        <v/>
      </c>
      <c r="CB67" s="219">
        <f>IF(AND($C67&lt;&gt;0,Q67=""),"* No olvide digitar la variable "&amp;Q$30&amp;""&amp;". Digite CERO si no tiene. ",IF(Q67&gt;$C67,"* La variable Migrantes no puede superar el Total. ",""))</f>
        <v/>
      </c>
      <c r="CC67" s="226" t="n"/>
      <c r="CD67" s="226" t="n"/>
      <c r="CE67" s="221">
        <f>IF(AND($C67&lt;&gt;0,P67=""),1,IF(P67&gt;$C67,1,0))</f>
        <v/>
      </c>
      <c r="CF67" s="221">
        <f>IF(AND($C67&lt;&gt;0,Q67=""),1,IF(Q67&gt;$C67,1,0))</f>
        <v/>
      </c>
    </row>
    <row r="68">
      <c r="A68" s="10124" t="n"/>
      <c r="B68" s="1375" t="inlineStr">
        <is>
          <t>Informadas</t>
        </is>
      </c>
      <c r="C68" s="1280">
        <f>SUM(D68:L68)</f>
        <v/>
      </c>
      <c r="D68" s="4408" t="n"/>
      <c r="E68" s="4403" t="n"/>
      <c r="F68" s="4403" t="n"/>
      <c r="G68" s="4403" t="n"/>
      <c r="H68" s="4403" t="n"/>
      <c r="I68" s="4403" t="n"/>
      <c r="J68" s="4403" t="n"/>
      <c r="K68" s="4403" t="n"/>
      <c r="L68" s="4404" t="n"/>
      <c r="M68" s="4405" t="n"/>
      <c r="N68" s="4403" t="n"/>
      <c r="O68" s="4406" t="n"/>
      <c r="P68" s="5477" t="n"/>
      <c r="Q68" s="5482" t="n"/>
      <c r="R68" s="218">
        <f>CA68&amp;CB68</f>
        <v/>
      </c>
      <c r="AW68" s="226" t="n"/>
      <c r="AX68" s="226" t="n"/>
      <c r="AY68" s="226" t="n"/>
      <c r="AZ68" s="226" t="n"/>
      <c r="BA68" s="226" t="n"/>
      <c r="BB68" s="226" t="n"/>
      <c r="BC68" s="226" t="n"/>
      <c r="BD68" s="226" t="n"/>
      <c r="BE68" s="226" t="n"/>
      <c r="BF68" s="226" t="n"/>
      <c r="BG68" s="226" t="n"/>
      <c r="BH68" s="226" t="n"/>
      <c r="BI68" s="226" t="n"/>
      <c r="BJ68" s="226" t="n"/>
      <c r="BK68" s="226" t="n"/>
      <c r="BL68" s="226" t="n"/>
      <c r="BM68" s="226" t="n"/>
      <c r="BN68" s="226" t="n"/>
      <c r="BO68" s="226" t="n"/>
      <c r="BP68" s="226" t="n"/>
      <c r="BQ68" s="226" t="n"/>
      <c r="BR68" s="226" t="n"/>
      <c r="BS68" s="226" t="n"/>
      <c r="BT68" s="226" t="n"/>
      <c r="BU68" s="226" t="n"/>
      <c r="BV68" s="226" t="n"/>
      <c r="BW68" s="226" t="n"/>
      <c r="BX68" s="226" t="n"/>
      <c r="BY68" s="226" t="n"/>
      <c r="BZ68" s="226" t="n"/>
      <c r="CA68" s="219">
        <f>IF(AND($C68&lt;&gt;0,P68=""),"* No olvide digitar la variable "&amp;P$30&amp;""&amp;". Digite CERO si no tiene. ",IF(P68&gt;$C68,"* La variable Pueblos Originarios no puede superar el Total. ",""))</f>
        <v/>
      </c>
      <c r="CB68" s="219">
        <f>IF(AND($C68&lt;&gt;0,Q68=""),"* No olvide digitar la variable "&amp;Q$30&amp;""&amp;". Digite CERO si no tiene. ",IF(Q68&gt;$C68,"* La variable Migrantes no puede superar el Total. ",""))</f>
        <v/>
      </c>
      <c r="CC68" s="226" t="n"/>
      <c r="CD68" s="226" t="n"/>
      <c r="CE68" s="221">
        <f>IF(AND($C68&lt;&gt;0,P68=""),1,IF(P68&gt;$C68,1,0))</f>
        <v/>
      </c>
      <c r="CF68" s="221">
        <f>IF(AND($C68&lt;&gt;0,Q68=""),1,IF(Q68&gt;$C68,1,0))</f>
        <v/>
      </c>
    </row>
    <row r="69">
      <c r="A69" s="10587" t="inlineStr">
        <is>
          <t>Ecoscopía Básica</t>
        </is>
      </c>
      <c r="B69" s="4409" t="inlineStr">
        <is>
          <t>Solicitadas</t>
        </is>
      </c>
      <c r="C69" s="4410">
        <f>SUM(D69:L69)</f>
        <v/>
      </c>
      <c r="D69" s="4411" t="n"/>
      <c r="E69" s="4412" t="n"/>
      <c r="F69" s="4412" t="n"/>
      <c r="G69" s="4412" t="n"/>
      <c r="H69" s="4412" t="n"/>
      <c r="I69" s="4412" t="n"/>
      <c r="J69" s="4412" t="n"/>
      <c r="K69" s="4412" t="n"/>
      <c r="L69" s="4413" t="n"/>
      <c r="M69" s="4335" t="n"/>
      <c r="N69" s="4336" t="n"/>
      <c r="O69" s="4337" t="n"/>
      <c r="P69" s="5478" t="n"/>
      <c r="Q69" s="5483" t="n"/>
      <c r="R69" s="218">
        <f>CA69&amp;CB69</f>
        <v/>
      </c>
      <c r="AW69" s="226" t="n"/>
      <c r="AX69" s="226" t="n"/>
      <c r="AY69" s="226" t="n"/>
      <c r="AZ69" s="226" t="n"/>
      <c r="BA69" s="226" t="n"/>
      <c r="BB69" s="226" t="n"/>
      <c r="BC69" s="226" t="n"/>
      <c r="BD69" s="226" t="n"/>
      <c r="BE69" s="226" t="n"/>
      <c r="BF69" s="226" t="n"/>
      <c r="BG69" s="226" t="n"/>
      <c r="BH69" s="226" t="n"/>
      <c r="BI69" s="226" t="n"/>
      <c r="BJ69" s="226" t="n"/>
      <c r="BK69" s="226" t="n"/>
      <c r="BL69" s="226" t="n"/>
      <c r="BM69" s="226" t="n"/>
      <c r="BN69" s="226" t="n"/>
      <c r="BO69" s="226" t="n"/>
      <c r="BP69" s="226" t="n"/>
      <c r="BQ69" s="226" t="n"/>
      <c r="BR69" s="226" t="n"/>
      <c r="BS69" s="226" t="n"/>
      <c r="BT69" s="226" t="n"/>
      <c r="BU69" s="226" t="n"/>
      <c r="BV69" s="226" t="n"/>
      <c r="BW69" s="226" t="n"/>
      <c r="BX69" s="226" t="n"/>
      <c r="BY69" s="226" t="n"/>
      <c r="BZ69" s="226" t="n"/>
      <c r="CA69" s="219">
        <f>IF(AND($C69&lt;&gt;0,P69=""),"* No olvide digitar la variable "&amp;P$30&amp;""&amp;". Digite CERO si no tiene. ",IF(P69&gt;$C69,"* La variable Pueblos Originarios no puede superar el Total. ",""))</f>
        <v/>
      </c>
      <c r="CB69" s="219">
        <f>IF(AND($C69&lt;&gt;0,Q69=""),"* No olvide digitar la variable "&amp;Q$30&amp;""&amp;". Digite CERO si no tiene. ",IF(Q69&gt;$C69,"* La variable Migrantes no puede superar el Total. ",""))</f>
        <v/>
      </c>
      <c r="CC69" s="226" t="n"/>
      <c r="CD69" s="226" t="n"/>
      <c r="CE69" s="221">
        <f>IF(AND($C69&lt;&gt;0,P69=""),1,IF(P69&gt;$C69,1,0))</f>
        <v/>
      </c>
      <c r="CF69" s="221">
        <f>IF(AND($C69&lt;&gt;0,Q69=""),1,IF(Q69&gt;$C69,1,0))</f>
        <v/>
      </c>
    </row>
    <row r="70">
      <c r="B70" s="4415" t="inlineStr">
        <is>
          <t>Informadas</t>
        </is>
      </c>
      <c r="C70" s="1121">
        <f>SUM(D70:L70)</f>
        <v/>
      </c>
      <c r="D70" s="4349" t="n"/>
      <c r="E70" s="4343" t="n"/>
      <c r="F70" s="4343" t="n"/>
      <c r="G70" s="4343" t="n"/>
      <c r="H70" s="4343" t="n"/>
      <c r="I70" s="4343" t="n"/>
      <c r="J70" s="4343" t="n"/>
      <c r="K70" s="4343" t="n"/>
      <c r="L70" s="4416" t="n"/>
      <c r="M70" s="4417" t="n"/>
      <c r="N70" s="4343" t="n"/>
      <c r="O70" s="4344" t="n"/>
      <c r="P70" s="5473" t="n"/>
      <c r="Q70" s="5479" t="n"/>
      <c r="R70" s="218">
        <f>CA70&amp;CB70</f>
        <v/>
      </c>
      <c r="AW70" s="226" t="n"/>
      <c r="AX70" s="226" t="n"/>
      <c r="AY70" s="226" t="n"/>
      <c r="AZ70" s="226" t="n"/>
      <c r="BA70" s="226" t="n"/>
      <c r="BB70" s="226" t="n"/>
      <c r="BC70" s="226" t="n"/>
      <c r="BD70" s="226" t="n"/>
      <c r="BE70" s="226" t="n"/>
      <c r="BF70" s="226" t="n"/>
      <c r="BG70" s="226" t="n"/>
      <c r="BH70" s="226" t="n"/>
      <c r="BI70" s="226" t="n"/>
      <c r="BJ70" s="226" t="n"/>
      <c r="BK70" s="226" t="n"/>
      <c r="BL70" s="226" t="n"/>
      <c r="BM70" s="226" t="n"/>
      <c r="BN70" s="226" t="n"/>
      <c r="BO70" s="226" t="n"/>
      <c r="BP70" s="226" t="n"/>
      <c r="BQ70" s="226" t="n"/>
      <c r="BR70" s="226" t="n"/>
      <c r="BS70" s="226" t="n"/>
      <c r="BT70" s="226" t="n"/>
      <c r="BU70" s="226" t="n"/>
      <c r="BV70" s="226" t="n"/>
      <c r="BW70" s="226" t="n"/>
      <c r="BX70" s="226" t="n"/>
      <c r="BY70" s="226" t="n"/>
      <c r="BZ70" s="226" t="n"/>
      <c r="CA70" s="219">
        <f>IF(AND($C70&lt;&gt;0,P70=""),"* No olvide digitar la variable "&amp;P$30&amp;""&amp;". Digite CERO si no tiene. ",IF(P70&gt;$C70,"* La variable Pueblos Originarios no puede superar el Total. ",""))</f>
        <v/>
      </c>
      <c r="CB70" s="219">
        <f>IF(AND($C70&lt;&gt;0,Q70=""),"* No olvide digitar la variable "&amp;Q$30&amp;""&amp;". Digite CERO si no tiene. ",IF(Q70&gt;$C70,"* La variable Migrantes no puede superar el Total. ",""))</f>
        <v/>
      </c>
      <c r="CC70" s="226" t="n"/>
      <c r="CD70" s="226" t="n"/>
      <c r="CE70" s="221">
        <f>IF(AND($C70&lt;&gt;0,P70=""),1,IF(P70&gt;$C70,1,0))</f>
        <v/>
      </c>
      <c r="CF70" s="221">
        <f>IF(AND($C70&lt;&gt;0,Q70=""),1,IF(Q70&gt;$C70,1,0))</f>
        <v/>
      </c>
    </row>
    <row r="71">
      <c r="A71" s="9833" t="n"/>
      <c r="B71" s="4418" t="inlineStr">
        <is>
          <t>Con hallazgos patológicos</t>
        </is>
      </c>
      <c r="C71" s="2669">
        <f>SUM(D71:L71)</f>
        <v/>
      </c>
      <c r="D71" s="4370" t="n"/>
      <c r="E71" s="156" t="n"/>
      <c r="F71" s="156" t="n"/>
      <c r="G71" s="156" t="n"/>
      <c r="H71" s="156" t="n"/>
      <c r="I71" s="156" t="n"/>
      <c r="J71" s="156" t="n"/>
      <c r="K71" s="156" t="n"/>
      <c r="L71" s="633" t="n"/>
      <c r="M71" s="4419" t="n"/>
      <c r="N71" s="4392" t="n"/>
      <c r="O71" s="4393" t="n"/>
      <c r="P71" s="5474" t="n"/>
      <c r="Q71" s="5480" t="n"/>
      <c r="R71" s="218">
        <f>CA71&amp;CB71</f>
        <v/>
      </c>
      <c r="AW71" s="226" t="n"/>
      <c r="AX71" s="226" t="n"/>
      <c r="AY71" s="226" t="n"/>
      <c r="AZ71" s="226" t="n"/>
      <c r="BA71" s="226" t="n"/>
      <c r="BB71" s="226" t="n"/>
      <c r="BC71" s="226" t="n"/>
      <c r="BD71" s="226" t="n"/>
      <c r="BE71" s="226" t="n"/>
      <c r="BF71" s="226" t="n"/>
      <c r="BG71" s="226" t="n"/>
      <c r="BH71" s="226" t="n"/>
      <c r="BI71" s="226" t="n"/>
      <c r="BJ71" s="226" t="n"/>
      <c r="BK71" s="226" t="n"/>
      <c r="BL71" s="226" t="n"/>
      <c r="BM71" s="226" t="n"/>
      <c r="BN71" s="226" t="n"/>
      <c r="BO71" s="226" t="n"/>
      <c r="BP71" s="226" t="n"/>
      <c r="BQ71" s="226" t="n"/>
      <c r="BR71" s="226" t="n"/>
      <c r="BS71" s="226" t="n"/>
      <c r="BT71" s="226" t="n"/>
      <c r="BU71" s="226" t="n"/>
      <c r="BV71" s="226" t="n"/>
      <c r="BW71" s="226" t="n"/>
      <c r="BX71" s="226" t="n"/>
      <c r="BY71" s="226" t="n"/>
      <c r="BZ71" s="226" t="n"/>
      <c r="CA71" s="219">
        <f>IF(AND($C71&lt;&gt;0,P71=""),"* No olvide digitar la variable "&amp;P$30&amp;""&amp;". Digite CERO si no tiene. ",IF(P71&gt;$C71," * La variable Pueblos Originarios no puede superar el Total. ",""))</f>
        <v/>
      </c>
      <c r="CB71" s="219">
        <f>IF(AND($C71&lt;&gt;0,Q71=""),"* No olvide digitar la variable "&amp;Q$30&amp;""&amp;". Digite CERO si no tiene. ",IF(Q71&gt;$C71,"* La variable Migrantes no puede superar el Total. ",""))</f>
        <v/>
      </c>
      <c r="CC71" s="226" t="n"/>
      <c r="CD71" s="226" t="n"/>
      <c r="CE71" s="221">
        <f>IF(AND($C71&lt;&gt;0,P71=""),1,IF(P71&gt;$C71,1,0))</f>
        <v/>
      </c>
      <c r="CF71" s="221">
        <f>IF(AND($C71&lt;&gt;0,Q71=""),1,IF(Q71&gt;$C71,1,0))</f>
        <v/>
      </c>
    </row>
    <row r="72" ht="18" customHeight="1" s="8286">
      <c r="A72" s="4291" t="inlineStr">
        <is>
          <t>SECCIÓN C: PROCEDIMIENTOS APOYO CLÍNICO Y TERAPÉUTICO</t>
        </is>
      </c>
      <c r="B72" s="7" t="n"/>
      <c r="C72" s="3" t="n"/>
      <c r="D72" s="7" t="n"/>
    </row>
    <row r="73" ht="42" customHeight="1" s="8286">
      <c r="A73" s="9497" t="inlineStr">
        <is>
          <t xml:space="preserve">ESPECIALIDAD </t>
        </is>
      </c>
      <c r="B73" s="9534" t="inlineStr">
        <is>
          <t>PROCEDIMIENTO</t>
        </is>
      </c>
      <c r="C73" s="9495" t="inlineStr">
        <is>
          <t>Médico especialista</t>
        </is>
      </c>
      <c r="D73" s="9495" t="inlineStr">
        <is>
          <t>Tecnólogo médico, fonoaudiólogo o terapeuta ocupacional</t>
        </is>
      </c>
    </row>
    <row r="74" ht="22.5" customHeight="1" s="8286">
      <c r="A74" s="10398" t="inlineStr">
        <is>
          <t>Oftalmología</t>
        </is>
      </c>
      <c r="B74" s="4423" t="inlineStr">
        <is>
          <t>Cuantificación de lagrimación (Test de Schimer), uno o ambos ojos</t>
        </is>
      </c>
      <c r="C74" s="4424" t="n"/>
      <c r="D74" s="4424" t="n"/>
    </row>
    <row r="75" ht="22.5" customHeight="1" s="8286">
      <c r="A75" s="9588" t="n"/>
      <c r="B75" s="4063" t="inlineStr">
        <is>
          <t>Curva de tensión aplanática (por cada día), c/ojo</t>
        </is>
      </c>
      <c r="C75" s="4425" t="n"/>
      <c r="D75" s="4425" t="n"/>
    </row>
    <row r="76">
      <c r="A76" s="9588" t="n"/>
      <c r="B76" s="4063" t="inlineStr">
        <is>
          <t>Disploscopia cuantitativa, ambos ojos</t>
        </is>
      </c>
      <c r="C76" s="4425" t="n"/>
      <c r="D76" s="4425" t="n"/>
    </row>
    <row r="77" ht="22.5" customHeight="1" s="8286">
      <c r="A77" s="9588" t="n"/>
      <c r="B77" s="4063" t="inlineStr">
        <is>
          <t>Exploración sensoriomotora: Estabrismo, estudio completo, ambos ojos</t>
        </is>
      </c>
      <c r="C77" s="4425" t="n"/>
      <c r="D77" s="4425" t="n"/>
    </row>
    <row r="78" ht="22.5" customHeight="1" s="8286">
      <c r="A78" s="9588" t="n"/>
      <c r="B78" s="4063" t="inlineStr">
        <is>
          <t>Retinografía ambos ojos pacientes sin diabetes mellitus</t>
        </is>
      </c>
      <c r="C78" s="4425" t="n"/>
      <c r="D78" s="4425" t="n"/>
    </row>
    <row r="79">
      <c r="A79" s="9588" t="n"/>
      <c r="B79" s="9058" t="inlineStr">
        <is>
          <t>Tonometría aplánica c/ojo</t>
        </is>
      </c>
      <c r="C79" s="4425" t="n"/>
      <c r="D79" s="4425" t="n"/>
    </row>
    <row r="80" ht="22.5" customHeight="1" s="8286">
      <c r="A80" s="9588" t="n"/>
      <c r="B80" s="4063" t="inlineStr">
        <is>
          <t>Tratamiento ortóptico y/o pleóptico (por sesión), ambos ojos</t>
        </is>
      </c>
      <c r="C80" s="4425" t="n"/>
      <c r="D80" s="4425" t="n"/>
    </row>
    <row r="81" ht="22.5" customHeight="1" s="8286">
      <c r="A81" s="9588" t="n"/>
      <c r="B81" s="4063" t="inlineStr">
        <is>
          <t>Exploración vitreorretinal, pacientes sin diabetes mellitus</t>
        </is>
      </c>
      <c r="C81" s="4425" t="n"/>
      <c r="D81" s="4425" t="n"/>
    </row>
    <row r="82">
      <c r="A82" s="9588" t="n"/>
      <c r="B82" s="9058" t="inlineStr">
        <is>
          <t>Cuerpo extraño conjuntival y/o corneal</t>
        </is>
      </c>
      <c r="C82" s="4425" t="n"/>
      <c r="D82" s="4425" t="n"/>
    </row>
    <row r="83" ht="22.5" customHeight="1" s="8286">
      <c r="A83" s="9588" t="n"/>
      <c r="B83" s="4063" t="inlineStr">
        <is>
          <t>Campimetría computarizada, c/ojo (en UAPO)</t>
        </is>
      </c>
      <c r="C83" s="4425" t="n"/>
      <c r="D83" s="4425" t="n"/>
    </row>
    <row r="84">
      <c r="A84" s="9588" t="n"/>
      <c r="B84" s="9058" t="inlineStr">
        <is>
          <t>Tomografía coherente óptica, c/ojo</t>
        </is>
      </c>
      <c r="C84" s="4426" t="n"/>
      <c r="D84" s="4426" t="n"/>
    </row>
    <row r="85">
      <c r="A85" s="9588" t="n"/>
      <c r="B85" s="9058" t="inlineStr">
        <is>
          <t>Agudeza visual aislada cada ojo</t>
        </is>
      </c>
      <c r="C85" s="4426" t="n"/>
      <c r="D85" s="4426" t="n"/>
    </row>
    <row r="86">
      <c r="A86" s="9588" t="n"/>
      <c r="B86" s="9058" t="inlineStr">
        <is>
          <t>Paquimetría</t>
        </is>
      </c>
      <c r="C86" s="4426" t="n"/>
      <c r="D86" s="4426" t="n"/>
    </row>
    <row r="87">
      <c r="A87" s="9588" t="n"/>
      <c r="B87" s="9058" t="inlineStr">
        <is>
          <t>Autorefractomía</t>
        </is>
      </c>
      <c r="C87" s="4426" t="n"/>
      <c r="D87" s="4426" t="n"/>
    </row>
    <row r="88">
      <c r="A88" s="9588" t="n"/>
      <c r="B88" s="9058" t="inlineStr">
        <is>
          <t>Lensometría</t>
        </is>
      </c>
      <c r="C88" s="4426" t="n"/>
      <c r="D88" s="4426" t="n"/>
    </row>
    <row r="89" ht="22.5" customHeight="1" s="8286">
      <c r="A89" s="9588" t="n"/>
      <c r="B89" s="4063" t="inlineStr">
        <is>
          <t>Extracción cuerpo extraño ojo (conjuntival y/o corneal)</t>
        </is>
      </c>
      <c r="C89" s="4426" t="n"/>
      <c r="D89" s="4426" t="n"/>
    </row>
    <row r="90" ht="22.5" customHeight="1" s="8286">
      <c r="A90" s="9588" t="n"/>
      <c r="B90" s="4063" t="inlineStr">
        <is>
          <t>Hemoglucotest previo a consulta vicio de refracción en paciente diabético</t>
        </is>
      </c>
      <c r="C90" s="4426" t="n"/>
      <c r="D90" s="4426" t="n"/>
    </row>
    <row r="91">
      <c r="A91" s="9588" t="n"/>
      <c r="B91" s="9058" t="inlineStr">
        <is>
          <t>Autorefracción bajo ciclopejía</t>
        </is>
      </c>
      <c r="C91" s="4426" t="n"/>
      <c r="D91" s="4426" t="n"/>
    </row>
    <row r="92">
      <c r="A92" s="9588" t="n"/>
      <c r="B92" s="9058" t="inlineStr">
        <is>
          <t>Irrigación de la vía lagrimal</t>
        </is>
      </c>
      <c r="C92" s="4426" t="n"/>
      <c r="D92" s="4426" t="n"/>
    </row>
    <row r="93" ht="22.5" customHeight="1" s="8286">
      <c r="A93" s="9589" t="n"/>
      <c r="B93" s="3932" t="inlineStr">
        <is>
          <t>Prueba de provocación oscuridad más pronación</t>
        </is>
      </c>
      <c r="C93" s="4427" t="n"/>
      <c r="D93" s="4427" t="n"/>
    </row>
    <row r="94">
      <c r="A94" s="10003" t="inlineStr">
        <is>
          <t>Otorrinolaringología</t>
        </is>
      </c>
      <c r="B94" s="4423" t="inlineStr">
        <is>
          <t>Audimetrías (realizadas)</t>
        </is>
      </c>
      <c r="C94" s="4428" t="n"/>
      <c r="D94" s="4428" t="n"/>
    </row>
    <row r="95">
      <c r="A95" s="9625" t="n"/>
      <c r="B95" s="4063" t="inlineStr">
        <is>
          <t>Impedanciometría</t>
        </is>
      </c>
      <c r="C95" s="4425" t="n"/>
      <c r="D95" s="4425" t="n"/>
    </row>
    <row r="96">
      <c r="A96" s="9625" t="n"/>
      <c r="B96" s="4063" t="inlineStr">
        <is>
          <t>Emisiones otoacústicas</t>
        </is>
      </c>
      <c r="C96" s="4426" t="n"/>
      <c r="D96" s="4426" t="n"/>
    </row>
    <row r="97">
      <c r="A97" s="9625" t="n"/>
      <c r="B97" s="4063" t="inlineStr">
        <is>
          <t>Examen funcional VIII par</t>
        </is>
      </c>
      <c r="C97" s="4426" t="n"/>
      <c r="D97" s="4426" t="n"/>
    </row>
    <row r="98" ht="22.5" customHeight="1" s="8286">
      <c r="A98" s="9625" t="n"/>
      <c r="B98" s="4063" t="inlineStr">
        <is>
          <t>Otros procedimientos (Lavados de oídos u otros)</t>
        </is>
      </c>
      <c r="C98" s="4429" t="n"/>
      <c r="D98" s="4429" t="n"/>
    </row>
    <row r="99">
      <c r="A99" s="9625" t="n"/>
      <c r="B99" s="4063" t="inlineStr">
        <is>
          <t>Calibración control prueba de audífonos</t>
        </is>
      </c>
      <c r="C99" s="4430" t="n"/>
      <c r="D99" s="4431" t="n"/>
    </row>
    <row r="100">
      <c r="A100" s="9625" t="n"/>
      <c r="B100" s="4063" t="inlineStr">
        <is>
          <t>Procedimiento V-HIT</t>
        </is>
      </c>
      <c r="C100" s="4430" t="n"/>
      <c r="D100" s="4431" t="n"/>
    </row>
    <row r="101">
      <c r="A101" s="9625" t="n"/>
      <c r="B101" s="4063" t="inlineStr">
        <is>
          <t>PEATC</t>
        </is>
      </c>
      <c r="C101" s="4430" t="n"/>
      <c r="D101" s="4431" t="n"/>
    </row>
    <row r="102">
      <c r="A102" s="9625" t="n"/>
      <c r="B102" s="4063" t="inlineStr">
        <is>
          <t>Maniobras de reposición de partículas</t>
        </is>
      </c>
      <c r="C102" s="4430" t="n"/>
      <c r="D102" s="4431" t="n"/>
    </row>
    <row r="103">
      <c r="A103" s="9625" t="n"/>
      <c r="B103" s="4063" t="inlineStr">
        <is>
          <t>Nasofibroscopia adulto/niño</t>
        </is>
      </c>
      <c r="C103" s="4430" t="n"/>
      <c r="D103" s="4431" t="n"/>
    </row>
    <row r="104">
      <c r="A104" s="9625" t="n"/>
      <c r="B104" s="4063" t="inlineStr">
        <is>
          <t>Prueba de función tubaria</t>
        </is>
      </c>
      <c r="C104" s="4430" t="n"/>
      <c r="D104" s="4431" t="n"/>
    </row>
    <row r="105" ht="22.5" customHeight="1" s="8286">
      <c r="A105" s="9625" t="n"/>
      <c r="B105" s="4063" t="inlineStr">
        <is>
          <t>VEMP (Potenciales evocados miogénicos vestibulares)</t>
        </is>
      </c>
      <c r="C105" s="4430" t="n"/>
      <c r="D105" s="4431" t="n"/>
    </row>
    <row r="106">
      <c r="A106" s="9625" t="n"/>
      <c r="B106" s="8752" t="inlineStr">
        <is>
          <t>Toma de impresión de molde auditivo</t>
        </is>
      </c>
      <c r="C106" s="4430" t="n"/>
      <c r="D106" s="4431" t="n"/>
    </row>
    <row r="107">
      <c r="A107" s="9641" t="n"/>
      <c r="B107" s="3932" t="inlineStr">
        <is>
          <t>Rinomanometría</t>
        </is>
      </c>
      <c r="C107" s="4432" t="n"/>
      <c r="D107" s="4433" t="n"/>
    </row>
    <row r="108" ht="18" customHeight="1" s="8286">
      <c r="A108" s="4291" t="inlineStr">
        <is>
          <t>SECCIÓN D: ENTREGA DE AYUDAS TÉCNICAS</t>
        </is>
      </c>
      <c r="B108" s="7" t="n"/>
      <c r="C108" s="3" t="n"/>
      <c r="D108" s="7" t="n"/>
    </row>
    <row r="109">
      <c r="A109" s="9977" t="inlineStr">
        <is>
          <t>CONCEPTO</t>
        </is>
      </c>
      <c r="B109" s="9977" t="inlineStr">
        <is>
          <t>TOTAL</t>
        </is>
      </c>
      <c r="C109" s="9977" t="inlineStr">
        <is>
          <t>&lt; 65 Años</t>
        </is>
      </c>
      <c r="D109" s="9582" t="n"/>
    </row>
    <row r="110">
      <c r="A110" s="9610" t="n"/>
      <c r="B110" s="9610" t="n"/>
      <c r="C110" s="4296" t="inlineStr">
        <is>
          <t>Hombres</t>
        </is>
      </c>
      <c r="D110" s="9273" t="inlineStr">
        <is>
          <t>Mujeres</t>
        </is>
      </c>
    </row>
    <row r="111" ht="15" customHeight="1" s="8286">
      <c r="A111" s="4303" t="inlineStr">
        <is>
          <t>Lentes (Entregados)</t>
        </is>
      </c>
      <c r="B111" s="4366">
        <f>SUM(C111:D111)</f>
        <v/>
      </c>
      <c r="C111" s="4434" t="n"/>
      <c r="D111" s="4435" t="n"/>
    </row>
    <row r="112" ht="15" customHeight="1" s="8286">
      <c r="A112" s="4436" t="inlineStr">
        <is>
          <t>Audífonos (Entregados)</t>
        </is>
      </c>
      <c r="B112" s="3916">
        <f>SUM(C112:D112)</f>
        <v/>
      </c>
      <c r="C112" s="4370" t="n"/>
      <c r="D112" s="4437" t="n"/>
    </row>
    <row r="113" ht="18" customHeight="1" s="8286">
      <c r="A113" s="4291" t="inlineStr">
        <is>
          <t>SECCIÓN E: INTERVENCIONES QUIRÚRGICAS MENORES QUE SE REALIZAN EN UAPO</t>
        </is>
      </c>
      <c r="B113" s="7" t="n"/>
    </row>
    <row r="114" ht="17.25" customHeight="1" s="8286">
      <c r="A114" s="9240" t="inlineStr">
        <is>
          <t>Intervenciones Quirúrgicas</t>
        </is>
      </c>
      <c r="B114" s="9240" t="inlineStr">
        <is>
          <t>Total</t>
        </is>
      </c>
    </row>
    <row r="115">
      <c r="A115" s="4439" t="inlineStr">
        <is>
          <t>Intubación lagrimal</t>
        </is>
      </c>
      <c r="B115" s="4440" t="n"/>
    </row>
    <row r="116">
      <c r="A116" s="1337" t="inlineStr">
        <is>
          <t>Plastía de puntos lagrimales</t>
        </is>
      </c>
      <c r="B116" s="4441" t="n"/>
    </row>
    <row r="117">
      <c r="A117" s="1337" t="inlineStr">
        <is>
          <t>Absceso, vaciamiento y/o drenaje de</t>
        </is>
      </c>
      <c r="B117" s="4442" t="n"/>
    </row>
    <row r="118">
      <c r="A118" s="1337" t="inlineStr">
        <is>
          <t>Absceso, Trat. Quir. Párpado o ceja</t>
        </is>
      </c>
      <c r="B118" s="4442" t="n"/>
    </row>
    <row r="119">
      <c r="A119" s="1337" t="inlineStr">
        <is>
          <t>Biopsia de párpado y/o anexos (proc.aut)</t>
        </is>
      </c>
      <c r="B119" s="4442" t="n"/>
    </row>
    <row r="120">
      <c r="A120" s="1337" t="inlineStr">
        <is>
          <t>Blefarorrafia con blefarotomía posterior</t>
        </is>
      </c>
      <c r="B120" s="4442" t="n"/>
    </row>
    <row r="121">
      <c r="A121" s="1337" t="inlineStr">
        <is>
          <t>Cantoplastía</t>
        </is>
      </c>
      <c r="B121" s="4442" t="n"/>
    </row>
    <row r="122">
      <c r="A122" s="1337" t="inlineStr">
        <is>
          <t>Chalazión y otro tumores benignos</t>
        </is>
      </c>
      <c r="B122" s="4442" t="n"/>
    </row>
    <row r="123">
      <c r="A123" s="1337" t="inlineStr">
        <is>
          <t>Xantelasma, Trat. Quir</t>
        </is>
      </c>
      <c r="B123" s="4442" t="n"/>
    </row>
    <row r="124">
      <c r="A124" s="1337" t="inlineStr">
        <is>
          <t>Herida o dehiscencia de sutura de párpado, reparación</t>
        </is>
      </c>
      <c r="B124" s="4442" t="n"/>
    </row>
    <row r="125">
      <c r="A125" s="1337" t="inlineStr">
        <is>
          <t>Sutura de herida o dehiscencia de la conjuntiva</t>
        </is>
      </c>
      <c r="B125" s="4442" t="n"/>
    </row>
    <row r="126">
      <c r="A126" s="1337" t="inlineStr">
        <is>
          <t>Pterigión y/o pseudopterigión o su recidiva, extirpación</t>
        </is>
      </c>
      <c r="B126" s="4442" t="n"/>
    </row>
    <row r="127">
      <c r="A127" s="1337" t="inlineStr">
        <is>
          <t>Extirpación de tumor benigno de la conjuntiva</t>
        </is>
      </c>
      <c r="B127" s="4442" t="n"/>
    </row>
    <row r="128">
      <c r="A128" s="1337" t="inlineStr">
        <is>
          <t>Crioterapia y recesión conjuntival</t>
        </is>
      </c>
      <c r="B128" s="4442" t="n"/>
    </row>
    <row r="129">
      <c r="A129" s="1337" t="inlineStr">
        <is>
          <t>Extracción quir. de cuerpo extraño en córnea y/o esclera</t>
        </is>
      </c>
      <c r="B129" s="4442" t="n"/>
    </row>
    <row r="130">
      <c r="A130" s="1337" t="inlineStr">
        <is>
          <t>Iridotomía</t>
        </is>
      </c>
      <c r="B130" s="4442" t="n"/>
    </row>
    <row r="131">
      <c r="A131" s="4191" t="inlineStr">
        <is>
          <t>Trabeculopatía o iridoplastía</t>
        </is>
      </c>
      <c r="B131" s="4443" t="n"/>
    </row>
    <row r="132">
      <c r="A132" s="10588" t="inlineStr">
        <is>
          <t>TOTAL</t>
        </is>
      </c>
      <c r="B132" s="4445">
        <f>SUM(B115:B131)</f>
        <v/>
      </c>
    </row>
    <row r="133" ht="18" customHeight="1" s="8286">
      <c r="A133" s="4291" t="inlineStr">
        <is>
          <t>SECCION F: TAMIZAJE DE RETINOPATÍA DIABÉTICA PARA PERSONAS CON DIABETES MELLITUS 2 EN UAPO</t>
        </is>
      </c>
      <c r="B133" s="7" t="n"/>
      <c r="C133" s="3" t="n"/>
      <c r="D133" s="7" t="n"/>
      <c r="E133" s="7" t="n"/>
    </row>
    <row r="134" ht="27.75" customHeight="1" s="8286">
      <c r="A134" s="9240" t="inlineStr">
        <is>
          <t>PROCEDIMIENTOS</t>
        </is>
      </c>
      <c r="B134" s="9240" t="inlineStr">
        <is>
          <t>TIPO DE ACTIVIDAD</t>
        </is>
      </c>
      <c r="C134" s="9240" t="inlineStr">
        <is>
          <t>TOTAL</t>
        </is>
      </c>
      <c r="D134" s="9177" t="inlineStr">
        <is>
          <t>Informe por oftalmólogo licitado</t>
        </is>
      </c>
      <c r="E134" s="9268" t="inlineStr">
        <is>
          <t>Informe por oftalmólogo HD</t>
        </is>
      </c>
      <c r="F134" s="9262" t="inlineStr">
        <is>
          <t>Tamizadas TMO</t>
        </is>
      </c>
      <c r="G134" s="9240" t="inlineStr">
        <is>
          <t>Tamizadas IA local</t>
        </is>
      </c>
    </row>
    <row r="135">
      <c r="A135" s="9232" t="inlineStr">
        <is>
          <t>Exploración vitreorretinal</t>
        </is>
      </c>
      <c r="B135" s="4244" t="inlineStr">
        <is>
          <t>Sin alteración</t>
        </is>
      </c>
      <c r="C135" s="4440" t="n"/>
      <c r="D135" s="4448" t="n"/>
      <c r="E135" s="4449" t="n"/>
      <c r="F135" s="4450" t="n"/>
      <c r="G135" s="4451" t="n"/>
    </row>
    <row r="136">
      <c r="A136" s="10124" t="n"/>
      <c r="B136" s="8729" t="inlineStr">
        <is>
          <t>Alterados</t>
        </is>
      </c>
      <c r="C136" s="4443" t="n"/>
      <c r="D136" s="4452" t="n"/>
      <c r="E136" s="1378" t="n"/>
      <c r="F136" s="4453" t="n"/>
      <c r="G136" s="4454" t="n"/>
    </row>
    <row r="137">
      <c r="A137" s="4455" t="inlineStr">
        <is>
          <t>Retinografía</t>
        </is>
      </c>
      <c r="B137" s="4456" t="inlineStr">
        <is>
          <t>Imágenes capturadas</t>
        </is>
      </c>
      <c r="C137" s="4441" t="n"/>
      <c r="D137" s="4457" t="n"/>
      <c r="E137" s="4458" t="n"/>
      <c r="F137" s="4459" t="n"/>
      <c r="G137" s="4460" t="n"/>
    </row>
    <row r="138">
      <c r="A138" s="9234" t="inlineStr">
        <is>
          <t>Subidas a plataforma de tamizaje a Hospital Digital</t>
        </is>
      </c>
      <c r="B138" s="2377" t="inlineStr">
        <is>
          <t>Informes recibidos sin alteración</t>
        </is>
      </c>
      <c r="C138" s="4442" t="n"/>
      <c r="D138" s="4461" t="n"/>
      <c r="E138" s="4462" t="n"/>
      <c r="F138" s="4463" t="n"/>
      <c r="G138" s="4464" t="n"/>
    </row>
    <row r="139" ht="21" customHeight="1" s="8286">
      <c r="A139" s="10589" t="n"/>
      <c r="B139" s="8729" t="inlineStr">
        <is>
          <t>Informes recibidos con sospecha de alteración</t>
        </is>
      </c>
      <c r="C139" s="4443" t="n"/>
      <c r="D139" s="4364" t="n"/>
      <c r="E139" s="1373" t="n"/>
      <c r="F139" s="4453" t="n"/>
      <c r="G139" s="4454" t="n"/>
    </row>
    <row r="140">
      <c r="A140" s="9232" t="inlineStr">
        <is>
          <t>Subidas a plataforma de teleinforme local (No centralizada)</t>
        </is>
      </c>
      <c r="B140" s="2377" t="inlineStr">
        <is>
          <t>Informes recibidos sin alteración</t>
        </is>
      </c>
      <c r="C140" s="4440" t="n"/>
      <c r="D140" s="4374" t="n"/>
      <c r="E140" s="4449" t="n"/>
      <c r="F140" s="4465" t="n"/>
      <c r="G140" s="4440" t="n"/>
    </row>
    <row r="141" ht="21" customHeight="1" s="8286">
      <c r="A141" s="10124" t="n"/>
      <c r="B141" s="8729" t="inlineStr">
        <is>
          <t>Informes recibidos con sospecha de alteración</t>
        </is>
      </c>
      <c r="C141" s="4443" t="n"/>
      <c r="D141" s="4364" t="n"/>
      <c r="E141" s="1378" t="n"/>
      <c r="F141" s="4466" t="n"/>
      <c r="G141" s="4443" t="n"/>
    </row>
    <row r="142">
      <c r="A142" s="9232" t="inlineStr">
        <is>
          <t>Entrega resultados de retinografías al usuario</t>
        </is>
      </c>
      <c r="B142" s="4244" t="inlineStr">
        <is>
          <t>Presencial</t>
        </is>
      </c>
      <c r="C142" s="4440" t="n"/>
      <c r="D142" s="4448" t="n"/>
      <c r="E142" s="4449" t="n"/>
      <c r="F142" s="4450" t="n"/>
      <c r="G142" s="4451" t="n"/>
    </row>
    <row r="143">
      <c r="A143" s="10124" t="n"/>
      <c r="B143" s="8729" t="inlineStr">
        <is>
          <t>Remoto</t>
        </is>
      </c>
      <c r="C143" s="4443" t="n"/>
      <c r="D143" s="4452" t="n"/>
      <c r="E143" s="1378" t="n"/>
      <c r="F143" s="4453" t="n"/>
      <c r="G143" s="4454" t="n"/>
    </row>
    <row r="144" ht="18" customHeight="1" s="8286">
      <c r="A144" s="4291" t="inlineStr">
        <is>
          <t>SECCION G: ACTIVIDADES DE REHABILITACION EN UAPORRINO</t>
        </is>
      </c>
      <c r="B144" s="7" t="n"/>
      <c r="C144" s="3" t="n"/>
      <c r="D144" s="7" t="n"/>
    </row>
    <row r="145" ht="21" customHeight="1" s="8286">
      <c r="A145" s="9240" t="inlineStr">
        <is>
          <t>ACTIVIDADES</t>
        </is>
      </c>
      <c r="B145" s="9240" t="inlineStr">
        <is>
          <t xml:space="preserve"> TOTAL ACTIVIDADES</t>
        </is>
      </c>
      <c r="C145" s="9177" t="inlineStr">
        <is>
          <t>Número sesiones totales realizadas</t>
        </is>
      </c>
      <c r="D145" s="9268" t="inlineStr">
        <is>
          <t>Número beneficiarios</t>
        </is>
      </c>
    </row>
    <row r="146">
      <c r="A146" s="9232" t="inlineStr">
        <is>
          <t>Sesiones rehabilitación auditiva individual</t>
        </is>
      </c>
      <c r="B146" s="4440" t="n"/>
      <c r="C146" s="4374" t="n"/>
      <c r="D146" s="4414" t="n"/>
    </row>
    <row r="147">
      <c r="A147" s="8053" t="inlineStr">
        <is>
          <t>Sesiones rehabilitación auditiva grupal</t>
        </is>
      </c>
      <c r="B147" s="4442" t="n"/>
      <c r="C147" s="4349" t="n"/>
      <c r="D147" s="4338" t="n"/>
    </row>
    <row r="148">
      <c r="A148" s="8053" t="inlineStr">
        <is>
          <t>Evaluación adherencia</t>
        </is>
      </c>
      <c r="B148" s="4442" t="n"/>
      <c r="C148" s="4461" t="n"/>
      <c r="D148" s="4462" t="n"/>
    </row>
    <row r="149">
      <c r="A149" s="8053" t="inlineStr">
        <is>
          <t>Seguimiento adherencia</t>
        </is>
      </c>
      <c r="B149" s="4442" t="n"/>
      <c r="C149" s="4461" t="n"/>
      <c r="D149" s="4462" t="n"/>
    </row>
    <row r="150">
      <c r="A150" s="8053" t="inlineStr">
        <is>
          <t>Sesiones rehabilitación vestibular</t>
        </is>
      </c>
      <c r="B150" s="4442" t="n"/>
      <c r="C150" s="4349" t="n"/>
      <c r="D150" s="4338" t="n"/>
    </row>
    <row r="151">
      <c r="A151" s="8771" t="inlineStr">
        <is>
          <t>Sesiones rehabilitación deglución</t>
        </is>
      </c>
      <c r="B151" s="4467" t="n"/>
      <c r="C151" s="4370" t="n"/>
      <c r="D151" s="4437" t="n"/>
    </row>
    <row r="152" ht="18" customHeight="1" s="8286">
      <c r="A152" s="4291" t="inlineStr">
        <is>
          <t>SECCION H: CANASTA INTEGRAL DERMATOLOGIA</t>
        </is>
      </c>
      <c r="B152" s="7" t="n"/>
      <c r="C152" s="3" t="n"/>
      <c r="D152" s="7" t="n"/>
      <c r="E152" s="7" t="n"/>
      <c r="F152" s="7" t="n"/>
      <c r="G152" s="7" t="n"/>
      <c r="H152" s="7" t="n"/>
      <c r="I152" s="7" t="n"/>
      <c r="J152" s="7" t="n"/>
      <c r="K152" s="7" t="n"/>
      <c r="L152" s="7" t="n"/>
      <c r="M152" s="7" t="n"/>
    </row>
    <row r="153">
      <c r="A153" s="9977" t="inlineStr">
        <is>
          <t>CANASTA INTEGRAL</t>
        </is>
      </c>
      <c r="B153" s="9977" t="inlineStr">
        <is>
          <t>TOTAL</t>
        </is>
      </c>
      <c r="C153" s="4505" t="inlineStr">
        <is>
          <t>&lt;15 años</t>
        </is>
      </c>
      <c r="D153" s="9647" t="n"/>
      <c r="E153" s="9977" t="inlineStr">
        <is>
          <t>15 - 19 años</t>
        </is>
      </c>
      <c r="F153" s="9582" t="n"/>
      <c r="G153" s="4505" t="inlineStr">
        <is>
          <t>20 - 64 años</t>
        </is>
      </c>
      <c r="H153" s="9647" t="n"/>
      <c r="I153" s="4505" t="inlineStr">
        <is>
          <t>65 y más años</t>
        </is>
      </c>
      <c r="J153" s="9647" t="n"/>
      <c r="K153" s="10590" t="inlineStr">
        <is>
          <t>Médico interconsultor (vía de resolución)</t>
        </is>
      </c>
      <c r="L153" s="9584" t="n"/>
      <c r="M153" s="9582" t="n"/>
    </row>
    <row r="154">
      <c r="A154" s="9610" t="n"/>
      <c r="B154" s="9610" t="n"/>
      <c r="C154" s="4296" t="inlineStr">
        <is>
          <t>Hombres</t>
        </is>
      </c>
      <c r="D154" s="9254" t="inlineStr">
        <is>
          <t>Mujeres</t>
        </is>
      </c>
      <c r="E154" s="4296" t="inlineStr">
        <is>
          <t>Hombres</t>
        </is>
      </c>
      <c r="F154" s="9254" t="inlineStr">
        <is>
          <t>Mujeres</t>
        </is>
      </c>
      <c r="G154" s="4296" t="inlineStr">
        <is>
          <t>Hombres</t>
        </is>
      </c>
      <c r="H154" s="9254" t="inlineStr">
        <is>
          <t>Mujeres</t>
        </is>
      </c>
      <c r="I154" s="4296" t="inlineStr">
        <is>
          <t>Hombres</t>
        </is>
      </c>
      <c r="J154" s="9223" t="inlineStr">
        <is>
          <t>Mujeres</t>
        </is>
      </c>
      <c r="K154" s="4469" t="inlineStr">
        <is>
          <t>Institucional</t>
        </is>
      </c>
      <c r="L154" s="4470" t="inlineStr">
        <is>
          <t>Hospital Digital</t>
        </is>
      </c>
      <c r="M154" s="9249" t="inlineStr">
        <is>
          <t>Otra</t>
        </is>
      </c>
    </row>
    <row r="155">
      <c r="A155" s="4472" t="inlineStr">
        <is>
          <t>Teleinterconsultas solicitadas</t>
        </is>
      </c>
      <c r="B155" s="4473" t="n"/>
      <c r="C155" s="4474" t="n"/>
      <c r="D155" s="4475" t="n"/>
      <c r="E155" s="4474" t="n"/>
      <c r="F155" s="4475" t="n"/>
      <c r="G155" s="4474" t="n"/>
      <c r="H155" s="4475" t="n"/>
      <c r="I155" s="4474" t="n"/>
      <c r="J155" s="4476" t="n"/>
      <c r="K155" s="3263" t="n"/>
      <c r="L155" s="835" t="n"/>
      <c r="M155" s="4237" t="n"/>
    </row>
    <row r="156">
      <c r="A156" s="8774" t="inlineStr">
        <is>
          <t>Teleinterconsultas respondidas</t>
        </is>
      </c>
      <c r="B156" s="4477">
        <f>SUM(C156:J156)</f>
        <v/>
      </c>
      <c r="C156" s="1172" t="n"/>
      <c r="D156" s="3788" t="n"/>
      <c r="E156" s="1172" t="n"/>
      <c r="F156" s="3788" t="n"/>
      <c r="G156" s="1172" t="n">
        <v>2</v>
      </c>
      <c r="H156" s="3788" t="n">
        <v>3</v>
      </c>
      <c r="I156" s="1172" t="n">
        <v>2</v>
      </c>
      <c r="J156" s="3894" t="n">
        <v>8</v>
      </c>
      <c r="K156" s="887" t="n">
        <v>0</v>
      </c>
      <c r="L156" s="2001" t="n">
        <v>15</v>
      </c>
      <c r="M156" s="3788" t="n">
        <v>0</v>
      </c>
    </row>
    <row r="157">
      <c r="A157" s="2665" t="inlineStr">
        <is>
          <t>Información entregada a usuario</t>
        </is>
      </c>
      <c r="B157" s="4478">
        <f>SUM(C157:J157)</f>
        <v/>
      </c>
      <c r="C157" s="2644" t="n"/>
      <c r="D157" s="4479" t="n"/>
      <c r="E157" s="2644" t="n"/>
      <c r="F157" s="4479" t="n"/>
      <c r="G157" s="2644" t="n">
        <v>2</v>
      </c>
      <c r="H157" s="4479" t="n">
        <v>3</v>
      </c>
      <c r="I157" s="2644" t="n">
        <v>2</v>
      </c>
      <c r="J157" s="4480" t="n">
        <v>8</v>
      </c>
      <c r="K157" s="159" t="n">
        <v>0</v>
      </c>
      <c r="L157" s="155" t="n">
        <v>15</v>
      </c>
      <c r="M157" s="4479" t="n">
        <v>0</v>
      </c>
    </row>
    <row r="158" ht="18" customHeight="1" s="8286">
      <c r="A158" s="4291" t="inlineStr">
        <is>
          <t>SECCIÓN I : ATENCION INTEGRAL EN CLIMATERIO</t>
        </is>
      </c>
      <c r="B158" s="7" t="n"/>
      <c r="C158" s="3" t="n"/>
      <c r="D158" s="7" t="n"/>
      <c r="E158" s="7" t="n"/>
      <c r="F158" s="7" t="n"/>
      <c r="G158" s="7" t="n"/>
      <c r="H158" s="7" t="n"/>
    </row>
    <row r="159">
      <c r="A159" s="9977" t="inlineStr">
        <is>
          <t>CANASTA INTEGRAL</t>
        </is>
      </c>
      <c r="B159" s="9977" t="inlineStr">
        <is>
          <t>TOTAL</t>
        </is>
      </c>
      <c r="C159" s="10317" t="inlineStr">
        <is>
          <t>RANGO ETARIO</t>
        </is>
      </c>
      <c r="D159" s="9602" t="n"/>
      <c r="E159" s="9886" t="n"/>
      <c r="F159" s="10591" t="inlineStr">
        <is>
          <t>MODALIDAD</t>
        </is>
      </c>
      <c r="G159" s="9584" t="n"/>
      <c r="H159" s="9584" t="n"/>
      <c r="I159" s="9582" t="n"/>
    </row>
    <row r="160" ht="15" customHeight="1" s="8286">
      <c r="A160" s="9614" t="n"/>
      <c r="B160" s="9614" t="n"/>
      <c r="C160" s="9698" t="n"/>
      <c r="D160" s="9591" t="n"/>
      <c r="E160" s="9865" t="n"/>
      <c r="F160" s="9240" t="inlineStr">
        <is>
          <t>Institucional</t>
        </is>
      </c>
      <c r="G160" s="9647" t="n"/>
      <c r="H160" s="9240" t="inlineStr">
        <is>
          <t>Compra de servicios</t>
        </is>
      </c>
      <c r="I160" s="9647" t="n"/>
    </row>
    <row r="161">
      <c r="A161" s="9610" t="n"/>
      <c r="B161" s="9610" t="n"/>
      <c r="C161" s="4296" t="inlineStr">
        <is>
          <t>40-44 años</t>
        </is>
      </c>
      <c r="D161" s="4294" t="inlineStr">
        <is>
          <t>45 - 64 años</t>
        </is>
      </c>
      <c r="E161" s="9223" t="inlineStr">
        <is>
          <t>65 y más años</t>
        </is>
      </c>
      <c r="F161" s="4482" t="inlineStr">
        <is>
          <t>Presencial</t>
        </is>
      </c>
      <c r="G161" s="9272" t="inlineStr">
        <is>
          <t>Remota</t>
        </is>
      </c>
      <c r="H161" s="4296" t="inlineStr">
        <is>
          <t>Presencial</t>
        </is>
      </c>
      <c r="I161" s="9254" t="inlineStr">
        <is>
          <t>Remota</t>
        </is>
      </c>
    </row>
    <row r="162" ht="15" customHeight="1" s="8286">
      <c r="A162" s="4472" t="inlineStr">
        <is>
          <t>Consulta médica ginecológica en climaterio</t>
        </is>
      </c>
      <c r="B162" s="4484">
        <f>SUM(C162:E162)</f>
        <v/>
      </c>
      <c r="C162" s="4235" t="n"/>
      <c r="D162" s="835" t="n"/>
      <c r="E162" s="4247" t="n"/>
      <c r="F162" s="3263" t="n"/>
      <c r="G162" s="2337" t="n"/>
      <c r="H162" s="4235" t="n"/>
      <c r="I162" s="2337" t="n"/>
    </row>
    <row r="163" ht="15" customHeight="1" s="8286">
      <c r="A163" s="3651" t="inlineStr">
        <is>
          <t>Hormona foliculoestimulante en sangre</t>
        </is>
      </c>
      <c r="B163" s="4485">
        <f>SUM(C163:E163)</f>
        <v/>
      </c>
      <c r="C163" s="1172" t="n"/>
      <c r="D163" s="2001" t="n"/>
      <c r="E163" s="3894" t="n"/>
      <c r="F163" s="887" t="n"/>
      <c r="G163" s="877" t="n"/>
      <c r="H163" s="1172" t="n"/>
      <c r="I163" s="877" t="n"/>
    </row>
    <row r="164" ht="15" customHeight="1" s="8286">
      <c r="A164" s="4486" t="inlineStr">
        <is>
          <t>Ecografía transvaginal o rectal</t>
        </is>
      </c>
      <c r="B164" s="4487">
        <f>SUM(C164:E164)</f>
        <v/>
      </c>
      <c r="C164" s="2644" t="n"/>
      <c r="D164" s="155" t="n"/>
      <c r="E164" s="4480" t="n"/>
      <c r="F164" s="159" t="n"/>
      <c r="G164" s="4488" t="n"/>
      <c r="H164" s="2644" t="n"/>
      <c r="I164" s="4488" t="n"/>
    </row>
    <row r="205" hidden="1" ht="18.75" customHeight="1" s="8286">
      <c r="A205" s="68">
        <f>SUM(B12:B28,C32:C71,C74:D107,B111:B112,B132,C135:E143,B146:D151,B156:B157,B162:B164)</f>
        <v/>
      </c>
      <c r="B205" s="68">
        <f>SUM(CE12:CF71)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/GKeh06F1J/OGV3GtOiiEw==" formatRows="1" sort="1" spinCount="100000" hashValue="uhfoINOAs01Yb67dF+5GotqYL64jyyuBlLUtAN2WMZBYorJcpFyC5I4UL1qyXFJGtRDj1LPwzxs98WQNzbZTkQ=="/>
  <mergeCells count="55">
    <mergeCell ref="C30:C31"/>
    <mergeCell ref="B109:B110"/>
    <mergeCell ref="A74:A93"/>
    <mergeCell ref="A153:A154"/>
    <mergeCell ref="K9:L9"/>
    <mergeCell ref="M9:N9"/>
    <mergeCell ref="O9:P9"/>
    <mergeCell ref="A159:A161"/>
    <mergeCell ref="A49:A54"/>
    <mergeCell ref="M30:O30"/>
    <mergeCell ref="T9:T10"/>
    <mergeCell ref="A65:A66"/>
    <mergeCell ref="C109:D109"/>
    <mergeCell ref="A6:T6"/>
    <mergeCell ref="E153:F153"/>
    <mergeCell ref="A43:A45"/>
    <mergeCell ref="B26:T26"/>
    <mergeCell ref="S9:S10"/>
    <mergeCell ref="B9:D9"/>
    <mergeCell ref="B153:B154"/>
    <mergeCell ref="F160:G160"/>
    <mergeCell ref="A55:A58"/>
    <mergeCell ref="A135:A136"/>
    <mergeCell ref="E9:F9"/>
    <mergeCell ref="A40:A42"/>
    <mergeCell ref="B159:B161"/>
    <mergeCell ref="B16:T16"/>
    <mergeCell ref="D30:L30"/>
    <mergeCell ref="Q30:Q31"/>
    <mergeCell ref="A140:A141"/>
    <mergeCell ref="A109:A110"/>
    <mergeCell ref="A69:A71"/>
    <mergeCell ref="A94:A107"/>
    <mergeCell ref="Q9:R9"/>
    <mergeCell ref="A63:A64"/>
    <mergeCell ref="A30:B31"/>
    <mergeCell ref="B11:T11"/>
    <mergeCell ref="C153:D153"/>
    <mergeCell ref="A142:A143"/>
    <mergeCell ref="A32:A39"/>
    <mergeCell ref="G153:H153"/>
    <mergeCell ref="B23:T23"/>
    <mergeCell ref="I153:J153"/>
    <mergeCell ref="P30:P31"/>
    <mergeCell ref="F159:I159"/>
    <mergeCell ref="A9:A10"/>
    <mergeCell ref="H160:I160"/>
    <mergeCell ref="C159:E160"/>
    <mergeCell ref="A46:A48"/>
    <mergeCell ref="A59:A62"/>
    <mergeCell ref="G9:H9"/>
    <mergeCell ref="K153:M153"/>
    <mergeCell ref="A67:A68"/>
    <mergeCell ref="I9:J9"/>
    <mergeCell ref="A138:A139"/>
  </mergeCells>
  <dataValidations count="7">
    <dataValidation sqref="A6:XFD6 A8:A9 A11:A13 A15:A46 A49:A64 A69 A72:A74 A94 A108:A109 A111:A153 A155:A164 A205:B205 B8:B64 B69:C70 B72:B99 B101:B109 B111:B112 B132:B145 B152:B153 B156:B164 C8:T8 C9:P10 C12:D15 C17:D22 C24:D25 C27:D28 C29:C58 C60:C62 C65:C68 C72:C73 C73:D73 C108:D110 C133:E134 C144:D145 C152:D154 C158:H158 C159 C161:G161 D29:O31 D33:L33 D60:L60 D72 E152:E153 F152:H152 F153 F159 G153:H154 H160:I161 I152:M154 P29:Q30 Q10:R10 S9:T9 U11" showDropDown="0" showInputMessage="1" showErrorMessage="1" allowBlank="0" error="Valor no Permitido"/>
    <dataValidation sqref="B115:B131 C59 C63:C64 C74:D107 C111:D112" showDropDown="0" showInputMessage="1" showErrorMessage="1" allowBlank="0" error="Valor no Permitido" type="whole" operator="greaterThanOrEqual">
      <formula1>0</formula1>
    </dataValidation>
    <dataValidation sqref="C135:E143 E12:T15 E17:T22 E24:T25 E27:T28 M32:Q71" showDropDown="0" showInputMessage="1" showErrorMessage="1" allowBlank="0" type="whole">
      <formula1>0</formula1>
      <formula2>9.99999999999999E+34</formula2>
    </dataValidation>
    <dataValidation sqref="D32:L32 D34:L59 D61:L68" showDropDown="0" showInputMessage="1" showErrorMessage="1" allowBlank="0" type="whole">
      <formula1>0</formula1>
      <formula2>9.99999999999999E+36</formula2>
    </dataValidation>
    <dataValidation sqref="B146:D151 B155 C155:M157" showDropDown="0" showInputMessage="1" showErrorMessage="1" allowBlank="0" type="whole">
      <formula1>0</formula1>
      <formula2>9.99999999999999E+38</formula2>
    </dataValidation>
    <dataValidation sqref="C162:I164" showDropDown="0" showInputMessage="1" showErrorMessage="1" allowBlank="0" error="Valor no Permitido" type="whole">
      <formula1>0</formula1>
      <formula2>9.99999999999999E+36</formula2>
    </dataValidation>
    <dataValidation sqref="D69:L71 F140:G141" showDropDown="0" showInputMessage="1" showErrorMessage="1" allowBlank="0" type="whole" operator="greaterThanOrEqual">
      <formula1>0</formula1>
    </dataValidation>
  </dataValidations>
  <pageMargins left="0.7" right="0.7" top="0.75" bottom="0.75" header="0.3" footer="0.3"/>
  <pageSetup orientation="portrait" paperSize="9"/>
</worksheet>
</file>

<file path=xl/worksheets/sheet23.xml><?xml version="1.0" encoding="utf-8"?>
<worksheet xmlns="http://schemas.openxmlformats.org/spreadsheetml/2006/main">
  <sheetPr codeName="Hoja23">
    <outlinePr summaryBelow="1" summaryRight="1"/>
    <pageSetUpPr/>
  </sheetPr>
  <dimension ref="A1:AU174"/>
  <sheetViews>
    <sheetView showGridLines="0" zoomScaleNormal="100" workbookViewId="0">
      <selection activeCell="A1" sqref="A1"/>
    </sheetView>
  </sheetViews>
  <sheetFormatPr baseColWidth="10" defaultColWidth="11.42578125" defaultRowHeight="15"/>
  <cols>
    <col width="66.42578125" customWidth="1" style="69" min="1" max="1"/>
    <col width="13.5703125" customWidth="1" style="69" min="2" max="2"/>
    <col width="11.42578125" customWidth="1" style="69" min="3" max="5"/>
    <col width="13.28515625" customWidth="1" style="69" min="6" max="6"/>
    <col width="12.140625" customWidth="1" style="69" min="7" max="7"/>
    <col width="13.7109375" customWidth="1" style="69" min="8" max="8"/>
    <col width="13.42578125" customWidth="1" style="69" min="9" max="9"/>
    <col width="17.85546875" customWidth="1" style="69" min="10" max="10"/>
    <col width="11.42578125" customWidth="1" style="69" min="11" max="17"/>
    <col width="13.7109375" customWidth="1" style="69" min="18" max="19"/>
    <col width="14.42578125" customWidth="1" style="69" min="20" max="20"/>
    <col width="11.42578125" customWidth="1" style="69" min="21" max="23"/>
    <col width="11.28515625" customWidth="1" style="69" min="24" max="24"/>
    <col width="12" customWidth="1" style="69" min="25" max="25"/>
    <col width="11.42578125" customWidth="1" style="69" min="26" max="40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25">
        <f>CONCATENATE("AÑO: ",NOMBRE!B7)</f>
        <v/>
      </c>
    </row>
    <row r="6" ht="18" customFormat="1" customHeight="1" s="8">
      <c r="A6" s="8680" t="inlineStr">
        <is>
          <t>REM-30. ATENCIONES POR TELEMEDICINA EN LA RED ASISTENCIAL</t>
        </is>
      </c>
      <c r="Z6" s="370" t="n"/>
      <c r="AA6" s="370" t="n"/>
      <c r="AB6" s="370" t="n"/>
      <c r="AC6" s="370" t="n"/>
      <c r="AD6" s="370" t="n"/>
      <c r="AE6" s="370" t="n"/>
      <c r="AF6" s="6" t="n"/>
      <c r="AG6" s="6" t="n"/>
    </row>
    <row r="7" customFormat="1" s="8">
      <c r="A7" s="520" t="n"/>
      <c r="B7" s="6" t="n"/>
      <c r="C7" s="6" t="n"/>
      <c r="D7" s="6" t="n"/>
      <c r="E7" s="6" t="n"/>
      <c r="F7" s="6" t="n"/>
      <c r="G7" s="6" t="n"/>
      <c r="H7" s="6" t="n"/>
      <c r="I7" s="6" t="n"/>
      <c r="J7" s="6" t="n"/>
      <c r="K7" s="6" t="n"/>
      <c r="L7" s="6" t="n"/>
      <c r="M7" s="6" t="n"/>
      <c r="N7" s="6" t="n"/>
      <c r="O7" s="6" t="n"/>
      <c r="P7" s="6" t="n"/>
      <c r="Q7" s="6" t="n"/>
      <c r="R7" s="6" t="n"/>
      <c r="S7" s="6" t="n"/>
      <c r="T7" s="6" t="n"/>
      <c r="U7" s="6" t="n"/>
      <c r="V7" s="6" t="n"/>
      <c r="W7" s="6" t="n"/>
      <c r="X7" s="6" t="n"/>
      <c r="Y7" s="6" t="n"/>
      <c r="Z7" s="6" t="n"/>
      <c r="AA7" s="6" t="n"/>
      <c r="AB7" s="6" t="n"/>
      <c r="AC7" s="6" t="n"/>
      <c r="AD7" s="6" t="n"/>
      <c r="AE7" s="6" t="n"/>
      <c r="AF7" s="6" t="n"/>
      <c r="AG7" s="6" t="n"/>
    </row>
    <row r="8" ht="18" customFormat="1" customHeight="1" s="7">
      <c r="A8" s="8616" t="inlineStr">
        <is>
          <t>SECCIÓN A: TELEINTERCONSULTA DE ESPECIALIDAD (ATENCION REALIZADA DE MÉDICO A MÉDICO)</t>
        </is>
      </c>
      <c r="B8" s="8616" t="n"/>
      <c r="C8" s="8616" t="n"/>
      <c r="D8" s="8616" t="n"/>
      <c r="E8" s="8616" t="n"/>
      <c r="F8" s="8616" t="n"/>
      <c r="G8" s="8616" t="n"/>
    </row>
    <row r="9" ht="24.95" customFormat="1" customHeight="1" s="6">
      <c r="A9" s="8400" t="inlineStr">
        <is>
          <t>Especialidades</t>
        </is>
      </c>
      <c r="B9" s="8400" t="inlineStr">
        <is>
          <t>Teleinterconsulta médica de especialidad ambulatoria nueva</t>
        </is>
      </c>
      <c r="C9" s="9584" t="n"/>
      <c r="D9" s="9584" t="n"/>
      <c r="E9" s="9584" t="n"/>
      <c r="F9" s="9584" t="n"/>
      <c r="G9" s="9584" t="n"/>
      <c r="H9" s="9584" t="n"/>
      <c r="I9" s="9582" t="n"/>
      <c r="J9" s="8400" t="inlineStr">
        <is>
          <t>Teleinterconsulta médica de especialidad ambulatoria control</t>
        </is>
      </c>
      <c r="K9" s="9584" t="n"/>
      <c r="L9" s="9584" t="n"/>
      <c r="M9" s="9584" t="n"/>
      <c r="N9" s="9584" t="n"/>
      <c r="O9" s="9584" t="n"/>
      <c r="P9" s="9584" t="n"/>
      <c r="Q9" s="9582" t="n"/>
      <c r="R9" s="9976" t="inlineStr">
        <is>
          <t xml:space="preserve">TOTAL TELEINTERCONSULTAS  MEDICAS AMBULATORIAS DE ESPECIALIDAD </t>
        </is>
      </c>
      <c r="S9" s="9584" t="n"/>
      <c r="T9" s="9584" t="n"/>
      <c r="U9" s="9584" t="n"/>
      <c r="V9" s="9584" t="n"/>
      <c r="W9" s="9584" t="n"/>
      <c r="X9" s="9584" t="n"/>
      <c r="Y9" s="9595" t="n"/>
      <c r="Z9" s="5032" t="inlineStr">
        <is>
          <t>Modalidad</t>
        </is>
      </c>
      <c r="AA9" s="9584" t="n"/>
      <c r="AB9" s="9595" t="n"/>
      <c r="AC9" s="9988" t="inlineStr">
        <is>
          <t>Teleinterconsulta medicina de especialidad realizadas a pacientes hospitalizados</t>
        </is>
      </c>
      <c r="AD9" s="9617" t="n"/>
      <c r="AE9" s="9617" t="n"/>
      <c r="AF9" s="9617" t="n"/>
      <c r="AG9" s="9617" t="n"/>
      <c r="AH9" s="9617" t="n"/>
      <c r="AI9" s="9617" t="n"/>
      <c r="AJ9" s="9597" t="n"/>
      <c r="AK9" s="10566" t="inlineStr">
        <is>
          <t>Modalidad</t>
        </is>
      </c>
      <c r="AL9" s="9617" t="n"/>
      <c r="AM9" s="9597" t="n"/>
      <c r="AN9" s="10592" t="inlineStr">
        <is>
          <t>Teleinterconsultas solicitadas desde APS o Nivel Secundario para ser resueltas por otro establecimiento</t>
        </is>
      </c>
      <c r="AO9" s="9617" t="n"/>
      <c r="AP9" s="9617" t="n"/>
      <c r="AQ9" s="9617" t="n"/>
      <c r="AR9" s="9617" t="n"/>
      <c r="AS9" s="9617" t="n"/>
      <c r="AT9" s="9617" t="n"/>
      <c r="AU9" s="9648" t="n"/>
    </row>
    <row r="10" ht="15" customFormat="1" customHeight="1" s="6">
      <c r="A10" s="9614" t="n"/>
      <c r="B10" s="10579" t="inlineStr">
        <is>
          <t>0 - 14 años</t>
        </is>
      </c>
      <c r="C10" s="9582" t="n"/>
      <c r="D10" s="9977" t="inlineStr">
        <is>
          <t>15 - 17 años</t>
        </is>
      </c>
      <c r="E10" s="9582" t="n"/>
      <c r="F10" s="9977" t="inlineStr">
        <is>
          <t xml:space="preserve">18-19 años </t>
        </is>
      </c>
      <c r="G10" s="9582" t="n"/>
      <c r="H10" s="9977" t="inlineStr">
        <is>
          <t>20 y más años</t>
        </is>
      </c>
      <c r="I10" s="9582" t="n"/>
      <c r="J10" s="10579" t="inlineStr">
        <is>
          <t>0 - 14 años</t>
        </is>
      </c>
      <c r="K10" s="9582" t="n"/>
      <c r="L10" s="9977" t="inlineStr">
        <is>
          <t>15 - 17 años</t>
        </is>
      </c>
      <c r="M10" s="9582" t="n"/>
      <c r="N10" s="9977" t="inlineStr">
        <is>
          <t>18 - 19 años</t>
        </is>
      </c>
      <c r="O10" s="9582" t="n"/>
      <c r="P10" s="9977" t="inlineStr">
        <is>
          <t>20 y más años</t>
        </is>
      </c>
      <c r="Q10" s="9582" t="n"/>
      <c r="R10" s="9977" t="inlineStr">
        <is>
          <t>0 - 14 años</t>
        </is>
      </c>
      <c r="S10" s="9582" t="n"/>
      <c r="T10" s="9977" t="inlineStr">
        <is>
          <t>15 - 17 años</t>
        </is>
      </c>
      <c r="U10" s="9582" t="n"/>
      <c r="V10" s="9977" t="inlineStr">
        <is>
          <t>18- 19 años</t>
        </is>
      </c>
      <c r="W10" s="9582" t="n"/>
      <c r="X10" s="5032" t="inlineStr">
        <is>
          <t>20 y más años</t>
        </is>
      </c>
      <c r="Y10" s="9595" t="n"/>
      <c r="Z10" s="10002" t="inlineStr">
        <is>
          <t>Institucional</t>
        </is>
      </c>
      <c r="AA10" s="10593" t="inlineStr">
        <is>
          <t>Compra de Servicio</t>
        </is>
      </c>
      <c r="AB10" s="9595" t="n"/>
      <c r="AC10" s="10579" t="inlineStr">
        <is>
          <t>0 - 14 años</t>
        </is>
      </c>
      <c r="AD10" s="9582" t="n"/>
      <c r="AE10" s="9977" t="inlineStr">
        <is>
          <t>15 - 17 años</t>
        </is>
      </c>
      <c r="AF10" s="9582" t="n"/>
      <c r="AG10" s="9977" t="inlineStr">
        <is>
          <t xml:space="preserve">18 a 19 años </t>
        </is>
      </c>
      <c r="AH10" s="9582" t="n"/>
      <c r="AI10" s="10579" t="inlineStr">
        <is>
          <t>20  y más años</t>
        </is>
      </c>
      <c r="AJ10" s="9582" t="n"/>
      <c r="AK10" s="10341" t="inlineStr">
        <is>
          <t>Institucional</t>
        </is>
      </c>
      <c r="AL10" s="10594" t="inlineStr">
        <is>
          <t>Compra de Servicio</t>
        </is>
      </c>
      <c r="AM10" s="9595" t="n"/>
      <c r="AN10" s="10579" t="inlineStr">
        <is>
          <t>0 - 14 años</t>
        </is>
      </c>
      <c r="AO10" s="9582" t="n"/>
      <c r="AP10" s="9977" t="inlineStr">
        <is>
          <t>15 - 17 años</t>
        </is>
      </c>
      <c r="AQ10" s="9582" t="n"/>
      <c r="AR10" s="9977" t="inlineStr">
        <is>
          <t>18 - 19 años</t>
        </is>
      </c>
      <c r="AS10" s="9582" t="n"/>
      <c r="AT10" s="9977" t="inlineStr">
        <is>
          <t>20 y más años</t>
        </is>
      </c>
      <c r="AU10" s="9582" t="n"/>
    </row>
    <row r="11" ht="15" customFormat="1" customHeight="1" s="6">
      <c r="A11" s="9610" t="n"/>
      <c r="B11" s="4496" t="inlineStr">
        <is>
          <t>Hombres</t>
        </is>
      </c>
      <c r="C11" s="4497" t="inlineStr">
        <is>
          <t>Mujeres</t>
        </is>
      </c>
      <c r="D11" s="4498" t="inlineStr">
        <is>
          <t>Hombres</t>
        </is>
      </c>
      <c r="E11" s="4497" t="inlineStr">
        <is>
          <t>Mujeres</t>
        </is>
      </c>
      <c r="F11" s="4498" t="inlineStr">
        <is>
          <t>Hombres</t>
        </is>
      </c>
      <c r="G11" s="4497" t="inlineStr">
        <is>
          <t>Mujeres</t>
        </is>
      </c>
      <c r="H11" s="4498" t="inlineStr">
        <is>
          <t>Hombres</t>
        </is>
      </c>
      <c r="I11" s="4497" t="inlineStr">
        <is>
          <t>Mujeres</t>
        </is>
      </c>
      <c r="J11" s="4498" t="inlineStr">
        <is>
          <t>Hombres</t>
        </is>
      </c>
      <c r="K11" s="4497" t="inlineStr">
        <is>
          <t>Mujeres</t>
        </is>
      </c>
      <c r="L11" s="4498" t="inlineStr">
        <is>
          <t>Hombres</t>
        </is>
      </c>
      <c r="M11" s="4497" t="inlineStr">
        <is>
          <t>Mujeres</t>
        </is>
      </c>
      <c r="N11" s="4498" t="inlineStr">
        <is>
          <t>Hombres</t>
        </is>
      </c>
      <c r="O11" s="4497" t="inlineStr">
        <is>
          <t>Mujeres</t>
        </is>
      </c>
      <c r="P11" s="4498" t="inlineStr">
        <is>
          <t>Hombres</t>
        </is>
      </c>
      <c r="Q11" s="4497" t="inlineStr">
        <is>
          <t>Mujeres</t>
        </is>
      </c>
      <c r="R11" s="4498" t="inlineStr">
        <is>
          <t>Hombres</t>
        </is>
      </c>
      <c r="S11" s="4497" t="inlineStr">
        <is>
          <t>Mujeres</t>
        </is>
      </c>
      <c r="T11" s="4498" t="inlineStr">
        <is>
          <t>Hombres</t>
        </is>
      </c>
      <c r="U11" s="4497" t="inlineStr">
        <is>
          <t>Mujeres</t>
        </is>
      </c>
      <c r="V11" s="4498" t="inlineStr">
        <is>
          <t>Hombres</t>
        </is>
      </c>
      <c r="W11" s="4497" t="inlineStr">
        <is>
          <t>Mujeres</t>
        </is>
      </c>
      <c r="X11" s="4496" t="inlineStr">
        <is>
          <t>Hombres</t>
        </is>
      </c>
      <c r="Y11" s="4499" t="inlineStr">
        <is>
          <t>Mujeres</t>
        </is>
      </c>
      <c r="Z11" s="9688" t="n"/>
      <c r="AA11" s="9499" t="inlineStr">
        <is>
          <t>Sistema</t>
        </is>
      </c>
      <c r="AB11" s="4502" t="inlineStr">
        <is>
          <t>Extrasistema</t>
        </is>
      </c>
      <c r="AC11" s="4503" t="inlineStr">
        <is>
          <t>Hombres</t>
        </is>
      </c>
      <c r="AD11" s="4497" t="inlineStr">
        <is>
          <t>Mujeres</t>
        </is>
      </c>
      <c r="AE11" s="4496" t="inlineStr">
        <is>
          <t>Hombres</t>
        </is>
      </c>
      <c r="AF11" s="4497" t="inlineStr">
        <is>
          <t>Mujeres</t>
        </is>
      </c>
      <c r="AG11" s="4498" t="inlineStr">
        <is>
          <t>Hombres</t>
        </is>
      </c>
      <c r="AH11" s="4497" t="inlineStr">
        <is>
          <t>Mujeres</t>
        </is>
      </c>
      <c r="AI11" s="4496" t="inlineStr">
        <is>
          <t>Hombres</t>
        </is>
      </c>
      <c r="AJ11" s="4499" t="inlineStr">
        <is>
          <t>Mujeres</t>
        </is>
      </c>
      <c r="AK11" s="10088" t="n"/>
      <c r="AL11" s="4504" t="inlineStr">
        <is>
          <t>Sistema</t>
        </is>
      </c>
      <c r="AM11" s="4502" t="inlineStr">
        <is>
          <t>Extrasistema</t>
        </is>
      </c>
      <c r="AN11" s="4503" t="inlineStr">
        <is>
          <t>Hombres</t>
        </is>
      </c>
      <c r="AO11" s="4497" t="inlineStr">
        <is>
          <t>Mujeres</t>
        </is>
      </c>
      <c r="AP11" s="4496" t="inlineStr">
        <is>
          <t>Hombres</t>
        </is>
      </c>
      <c r="AQ11" s="4497" t="inlineStr">
        <is>
          <t>Mujeres</t>
        </is>
      </c>
      <c r="AR11" s="4498" t="inlineStr">
        <is>
          <t>Hombres</t>
        </is>
      </c>
      <c r="AS11" s="4497" t="inlineStr">
        <is>
          <t>Mujeres</t>
        </is>
      </c>
      <c r="AT11" s="4498" t="inlineStr">
        <is>
          <t>Hombres</t>
        </is>
      </c>
      <c r="AU11" s="4497" t="inlineStr">
        <is>
          <t>Mujeres</t>
        </is>
      </c>
    </row>
    <row r="12" ht="15" customFormat="1" customHeight="1" s="6">
      <c r="A12" s="4505" t="inlineStr">
        <is>
          <t>TOTAL</t>
        </is>
      </c>
      <c r="B12" s="4506">
        <f>SUM(B13:B67)</f>
        <v/>
      </c>
      <c r="C12" s="4279">
        <f>SUM(C13:C67)</f>
        <v/>
      </c>
      <c r="D12" s="4280">
        <f>SUM(D13:D67)</f>
        <v/>
      </c>
      <c r="E12" s="4279">
        <f>SUM(E13:E67)</f>
        <v/>
      </c>
      <c r="F12" s="4280">
        <f>SUM(F13:F67)</f>
        <v/>
      </c>
      <c r="G12" s="4279">
        <f>SUM(G13:G67)</f>
        <v/>
      </c>
      <c r="H12" s="4280">
        <f>SUM(H13:H67)</f>
        <v/>
      </c>
      <c r="I12" s="4279">
        <f>SUM(I13:I67)</f>
        <v/>
      </c>
      <c r="J12" s="4280">
        <f>SUM(J13:J67)</f>
        <v/>
      </c>
      <c r="K12" s="4279">
        <f>SUM(K13:K67)</f>
        <v/>
      </c>
      <c r="L12" s="4280">
        <f>SUM(L13:L67)</f>
        <v/>
      </c>
      <c r="M12" s="4279">
        <f>SUM(M13:M67)</f>
        <v/>
      </c>
      <c r="N12" s="4280">
        <f>SUM(N13:N67)</f>
        <v/>
      </c>
      <c r="O12" s="4279">
        <f>SUM(O13:O67)</f>
        <v/>
      </c>
      <c r="P12" s="4280">
        <f>SUM(P13:P67)</f>
        <v/>
      </c>
      <c r="Q12" s="4279">
        <f>SUM(Q13:Q67)</f>
        <v/>
      </c>
      <c r="R12" s="4280">
        <f>SUM(R13:R67)</f>
        <v/>
      </c>
      <c r="S12" s="4279">
        <f>SUM(S13:S67)</f>
        <v/>
      </c>
      <c r="T12" s="4506">
        <f>SUM(T13:T67)</f>
        <v/>
      </c>
      <c r="U12" s="4279">
        <f>SUM(U13:U67)</f>
        <v/>
      </c>
      <c r="V12" s="4280">
        <f>SUM(V13:V67)</f>
        <v/>
      </c>
      <c r="W12" s="4279">
        <f>SUM(W13:W67)</f>
        <v/>
      </c>
      <c r="X12" s="4506">
        <f>SUM(X13:X67)</f>
        <v/>
      </c>
      <c r="Y12" s="4507">
        <f>SUM(Y13:Y67)</f>
        <v/>
      </c>
      <c r="Z12" s="4508">
        <f>SUM(Z13:Z67)</f>
        <v/>
      </c>
      <c r="AA12" s="4506">
        <f>SUM(AA13:AA67)</f>
        <v/>
      </c>
      <c r="AB12" s="8544">
        <f>SUM(AB13:AB67)</f>
        <v/>
      </c>
      <c r="AC12" s="4277">
        <f>SUM(AC13:AC67)</f>
        <v/>
      </c>
      <c r="AD12" s="4279">
        <f>SUM(AD13:AD67)</f>
        <v/>
      </c>
      <c r="AE12" s="4506">
        <f>SUM(AE13:AE67)</f>
        <v/>
      </c>
      <c r="AF12" s="4279">
        <f>SUM(AF13:AF67)</f>
        <v/>
      </c>
      <c r="AG12" s="4280">
        <f>SUM(AG13:AG67)</f>
        <v/>
      </c>
      <c r="AH12" s="4279">
        <f>SUM(AH13:AH67)</f>
        <v/>
      </c>
      <c r="AI12" s="4506">
        <f>SUM(AI13:AI67)</f>
        <v/>
      </c>
      <c r="AJ12" s="4507">
        <f>SUM(AJ13:AJ67)</f>
        <v/>
      </c>
      <c r="AK12" s="4509">
        <f>SUM(AK13:AK67)</f>
        <v/>
      </c>
      <c r="AL12" s="4506">
        <f>SUM(AL13:AL67)</f>
        <v/>
      </c>
      <c r="AM12" s="8544">
        <f>SUM(AM13:AM67)</f>
        <v/>
      </c>
      <c r="AN12" s="4277">
        <f>SUM(AN13:AN67)</f>
        <v/>
      </c>
      <c r="AO12" s="4279">
        <f>SUM(AO13:AO67)</f>
        <v/>
      </c>
      <c r="AP12" s="4506">
        <f>SUM(AP13:AP67)</f>
        <v/>
      </c>
      <c r="AQ12" s="4279">
        <f>SUM(AQ13:AQ67)</f>
        <v/>
      </c>
      <c r="AR12" s="4280">
        <f>SUM(AR13:AR67)</f>
        <v/>
      </c>
      <c r="AS12" s="4279">
        <f>SUM(AS13:AS67)</f>
        <v/>
      </c>
      <c r="AT12" s="4280">
        <f>SUM(AT13:AT67)</f>
        <v/>
      </c>
      <c r="AU12" s="4279">
        <f>SUM(AU13:AU67)</f>
        <v/>
      </c>
    </row>
    <row r="13" ht="15" customFormat="1" customHeight="1" s="6">
      <c r="A13" s="8320" t="inlineStr">
        <is>
          <t>Pediatría</t>
        </is>
      </c>
      <c r="B13" s="4235" t="n"/>
      <c r="C13" s="2337" t="n"/>
      <c r="D13" s="4235" t="n"/>
      <c r="E13" s="2337" t="n"/>
      <c r="F13" s="4235" t="n"/>
      <c r="G13" s="2337" t="n"/>
      <c r="H13" s="4235" t="n"/>
      <c r="I13" s="2337" t="n"/>
      <c r="J13" s="4235" t="n"/>
      <c r="K13" s="2337" t="n"/>
      <c r="L13" s="4235" t="n"/>
      <c r="M13" s="2337" t="n"/>
      <c r="N13" s="4235" t="n"/>
      <c r="O13" s="2337" t="n"/>
      <c r="P13" s="4235" t="n"/>
      <c r="Q13" s="2337" t="n"/>
      <c r="R13" s="4510">
        <f>SUM(B13+J13)</f>
        <v/>
      </c>
      <c r="S13" s="2705">
        <f>SUM(C13+K13)</f>
        <v/>
      </c>
      <c r="T13" s="4510">
        <f>SUM(D13+L13)</f>
        <v/>
      </c>
      <c r="U13" s="2705">
        <f>SUM(E13+M13)</f>
        <v/>
      </c>
      <c r="V13" s="4511">
        <f>SUM(F13+N13)</f>
        <v/>
      </c>
      <c r="W13" s="2705">
        <f>SUM(G13+O13)</f>
        <v/>
      </c>
      <c r="X13" s="4510">
        <f>SUM(H13+P13)</f>
        <v/>
      </c>
      <c r="Y13" s="8306">
        <f>SUM(I13+Q13)</f>
        <v/>
      </c>
      <c r="Z13" s="3263" t="n"/>
      <c r="AA13" s="4512" t="n"/>
      <c r="AB13" s="2337" t="n"/>
      <c r="AC13" s="3263" t="n"/>
      <c r="AD13" s="2337" t="n"/>
      <c r="AE13" s="4236" t="n"/>
      <c r="AF13" s="2337" t="n"/>
      <c r="AG13" s="4235" t="n"/>
      <c r="AH13" s="2337" t="n"/>
      <c r="AI13" s="4236" t="n"/>
      <c r="AJ13" s="1940" t="n"/>
      <c r="AK13" s="4513" t="n"/>
      <c r="AL13" s="4512" t="n"/>
      <c r="AM13" s="2337" t="n"/>
      <c r="AN13" s="4514" t="n"/>
      <c r="AO13" s="4515" t="n"/>
      <c r="AP13" s="4516" t="n"/>
      <c r="AQ13" s="4515" t="n"/>
      <c r="AR13" s="4517" t="n"/>
      <c r="AS13" s="4515" t="n"/>
      <c r="AT13" s="4517" t="n"/>
      <c r="AU13" s="4515" t="n"/>
    </row>
    <row r="14" ht="15" customFormat="1" customHeight="1" s="6">
      <c r="A14" s="3785" t="inlineStr">
        <is>
          <t>Medicina interna</t>
        </is>
      </c>
      <c r="B14" s="1179" t="n"/>
      <c r="C14" s="1183" t="n"/>
      <c r="D14" s="1179" t="n"/>
      <c r="E14" s="1183" t="n"/>
      <c r="F14" s="1179" t="n"/>
      <c r="G14" s="1183" t="n"/>
      <c r="H14" s="1179" t="n"/>
      <c r="I14" s="1183" t="n"/>
      <c r="J14" s="1179" t="n"/>
      <c r="K14" s="1183" t="n"/>
      <c r="L14" s="1179" t="n"/>
      <c r="M14" s="1183" t="n"/>
      <c r="N14" s="1179" t="n"/>
      <c r="O14" s="1183" t="n"/>
      <c r="P14" s="1179" t="n"/>
      <c r="Q14" s="1183" t="n"/>
      <c r="R14" s="1381">
        <f>SUM(B14+J14)</f>
        <v/>
      </c>
      <c r="S14" s="1382">
        <f>SUM(C14+K14)</f>
        <v/>
      </c>
      <c r="T14" s="1381">
        <f>SUM(D14+L14)</f>
        <v/>
      </c>
      <c r="U14" s="1382">
        <f>SUM(E14+M14)</f>
        <v/>
      </c>
      <c r="V14" s="1383">
        <f>SUM(F14+N14)</f>
        <v/>
      </c>
      <c r="W14" s="1382">
        <f>SUM(G14+O14)</f>
        <v/>
      </c>
      <c r="X14" s="1381">
        <f>SUM(H14+P14)</f>
        <v/>
      </c>
      <c r="Y14" s="1384">
        <f>SUM(I14+Q14)</f>
        <v/>
      </c>
      <c r="Z14" s="1230" t="n"/>
      <c r="AA14" s="35" t="n"/>
      <c r="AB14" s="1183" t="n"/>
      <c r="AC14" s="1230" t="n"/>
      <c r="AD14" s="1183" t="n"/>
      <c r="AE14" s="1181" t="n"/>
      <c r="AF14" s="1183" t="n"/>
      <c r="AG14" s="1179" t="n"/>
      <c r="AH14" s="1183" t="n"/>
      <c r="AI14" s="1181" t="n"/>
      <c r="AJ14" s="1185" t="n"/>
      <c r="AK14" s="1329" t="n"/>
      <c r="AL14" s="35" t="n"/>
      <c r="AM14" s="1183" t="n"/>
      <c r="AN14" s="1385" t="n"/>
      <c r="AO14" s="1386" t="n"/>
      <c r="AP14" s="1387" t="n"/>
      <c r="AQ14" s="1386" t="n"/>
      <c r="AR14" s="1388" t="n"/>
      <c r="AS14" s="1386" t="n"/>
      <c r="AT14" s="1388" t="n"/>
      <c r="AU14" s="1386" t="n"/>
    </row>
    <row r="15" ht="15" customFormat="1" customHeight="1" s="6">
      <c r="A15" s="3785" t="inlineStr">
        <is>
          <t>Neonatología</t>
        </is>
      </c>
      <c r="B15" s="1179" t="n"/>
      <c r="C15" s="1183" t="n"/>
      <c r="D15" s="1179" t="n"/>
      <c r="E15" s="1183" t="n"/>
      <c r="F15" s="1179" t="n"/>
      <c r="G15" s="1183" t="n"/>
      <c r="H15" s="1179" t="n"/>
      <c r="I15" s="1183" t="n"/>
      <c r="J15" s="1179" t="n"/>
      <c r="K15" s="1183" t="n"/>
      <c r="L15" s="1179" t="n"/>
      <c r="M15" s="1183" t="n"/>
      <c r="N15" s="1179" t="n"/>
      <c r="O15" s="1183" t="n"/>
      <c r="P15" s="1179" t="n"/>
      <c r="Q15" s="1183" t="n"/>
      <c r="R15" s="1381">
        <f>SUM(B15+J15)</f>
        <v/>
      </c>
      <c r="S15" s="1382">
        <f>SUM(C15+K15)</f>
        <v/>
      </c>
      <c r="T15" s="1381">
        <f>SUM(D15+L15)</f>
        <v/>
      </c>
      <c r="U15" s="1382">
        <f>SUM(E15+M15)</f>
        <v/>
      </c>
      <c r="V15" s="1383">
        <f>SUM(F15+N15)</f>
        <v/>
      </c>
      <c r="W15" s="1382">
        <f>SUM(G15+O15)</f>
        <v/>
      </c>
      <c r="X15" s="1381">
        <f>SUM(H15+P15)</f>
        <v/>
      </c>
      <c r="Y15" s="1384">
        <f>SUM(I15+Q15)</f>
        <v/>
      </c>
      <c r="Z15" s="1230" t="n"/>
      <c r="AA15" s="35" t="n"/>
      <c r="AB15" s="1183" t="n"/>
      <c r="AC15" s="1230" t="n"/>
      <c r="AD15" s="1183" t="n"/>
      <c r="AE15" s="1181" t="n"/>
      <c r="AF15" s="1183" t="n"/>
      <c r="AG15" s="1179" t="n"/>
      <c r="AH15" s="1183" t="n"/>
      <c r="AI15" s="1181" t="n"/>
      <c r="AJ15" s="1185" t="n"/>
      <c r="AK15" s="1329" t="n"/>
      <c r="AL15" s="35" t="n"/>
      <c r="AM15" s="1183" t="n"/>
      <c r="AN15" s="1385" t="n"/>
      <c r="AO15" s="1386" t="n"/>
      <c r="AP15" s="1387" t="n"/>
      <c r="AQ15" s="1386" t="n"/>
      <c r="AR15" s="1388" t="n"/>
      <c r="AS15" s="1386" t="n"/>
      <c r="AT15" s="1388" t="n"/>
      <c r="AU15" s="1386" t="n"/>
    </row>
    <row r="16" ht="15" customFormat="1" customHeight="1" s="6">
      <c r="A16" s="3785" t="inlineStr">
        <is>
          <t>Enfermedad respiratoria pediátrica</t>
        </is>
      </c>
      <c r="B16" s="1179" t="n"/>
      <c r="C16" s="1183" t="n"/>
      <c r="D16" s="1179" t="n"/>
      <c r="E16" s="1183" t="n"/>
      <c r="F16" s="1179" t="n"/>
      <c r="G16" s="1183" t="n"/>
      <c r="H16" s="1179" t="n"/>
      <c r="I16" s="1183" t="n"/>
      <c r="J16" s="1179" t="n"/>
      <c r="K16" s="1183" t="n"/>
      <c r="L16" s="1179" t="n"/>
      <c r="M16" s="1183" t="n"/>
      <c r="N16" s="1179" t="n"/>
      <c r="O16" s="1183" t="n"/>
      <c r="P16" s="1179" t="n"/>
      <c r="Q16" s="1183" t="n"/>
      <c r="R16" s="1381">
        <f>SUM(B16+J16)</f>
        <v/>
      </c>
      <c r="S16" s="1382">
        <f>SUM(C16+K16)</f>
        <v/>
      </c>
      <c r="T16" s="1381">
        <f>SUM(D16+L16)</f>
        <v/>
      </c>
      <c r="U16" s="1382">
        <f>SUM(E16+M16)</f>
        <v/>
      </c>
      <c r="V16" s="1383">
        <f>SUM(F16+N16)</f>
        <v/>
      </c>
      <c r="W16" s="1382">
        <f>SUM(G16+O16)</f>
        <v/>
      </c>
      <c r="X16" s="1381">
        <f>SUM(H16+P16)</f>
        <v/>
      </c>
      <c r="Y16" s="1384">
        <f>SUM(I16+Q16)</f>
        <v/>
      </c>
      <c r="Z16" s="1230" t="n"/>
      <c r="AA16" s="35" t="n"/>
      <c r="AB16" s="1183" t="n"/>
      <c r="AC16" s="1230" t="n"/>
      <c r="AD16" s="1183" t="n"/>
      <c r="AE16" s="1181" t="n"/>
      <c r="AF16" s="1183" t="n"/>
      <c r="AG16" s="1179" t="n"/>
      <c r="AH16" s="1183" t="n"/>
      <c r="AI16" s="1181" t="n"/>
      <c r="AJ16" s="1185" t="n"/>
      <c r="AK16" s="1329" t="n"/>
      <c r="AL16" s="35" t="n"/>
      <c r="AM16" s="1183" t="n"/>
      <c r="AN16" s="1385" t="n"/>
      <c r="AO16" s="1386" t="n"/>
      <c r="AP16" s="1387" t="n"/>
      <c r="AQ16" s="1386" t="n"/>
      <c r="AR16" s="1388" t="n"/>
      <c r="AS16" s="1386" t="n"/>
      <c r="AT16" s="1388" t="n"/>
      <c r="AU16" s="1386" t="n"/>
    </row>
    <row r="17" ht="15" customFormat="1" customHeight="1" s="6">
      <c r="A17" s="3785" t="inlineStr">
        <is>
          <t>Enfermedad respiratoria de adulto</t>
        </is>
      </c>
      <c r="B17" s="1179" t="n"/>
      <c r="C17" s="1183" t="n"/>
      <c r="D17" s="1179" t="n"/>
      <c r="E17" s="1183" t="n"/>
      <c r="F17" s="1179" t="n"/>
      <c r="G17" s="1183" t="n"/>
      <c r="H17" s="1179" t="n"/>
      <c r="I17" s="1183" t="n"/>
      <c r="J17" s="1179" t="n"/>
      <c r="K17" s="1183" t="n"/>
      <c r="L17" s="1179" t="n"/>
      <c r="M17" s="1183" t="n"/>
      <c r="N17" s="1179" t="n"/>
      <c r="O17" s="1183" t="n"/>
      <c r="P17" s="1179" t="n"/>
      <c r="Q17" s="1183" t="n"/>
      <c r="R17" s="1381">
        <f>SUM(B17+J17)</f>
        <v/>
      </c>
      <c r="S17" s="1382">
        <f>SUM(C17+K17)</f>
        <v/>
      </c>
      <c r="T17" s="1381">
        <f>SUM(D17+L17)</f>
        <v/>
      </c>
      <c r="U17" s="1382">
        <f>SUM(E17+M17)</f>
        <v/>
      </c>
      <c r="V17" s="1383">
        <f>SUM(F17+N17)</f>
        <v/>
      </c>
      <c r="W17" s="1382">
        <f>SUM(G17+O17)</f>
        <v/>
      </c>
      <c r="X17" s="1381">
        <f>SUM(H17+P17)</f>
        <v/>
      </c>
      <c r="Y17" s="1384">
        <f>SUM(I17+Q17)</f>
        <v/>
      </c>
      <c r="Z17" s="1230" t="n"/>
      <c r="AA17" s="35" t="n"/>
      <c r="AB17" s="1183" t="n"/>
      <c r="AC17" s="1230" t="n"/>
      <c r="AD17" s="1183" t="n"/>
      <c r="AE17" s="1181" t="n"/>
      <c r="AF17" s="1183" t="n"/>
      <c r="AG17" s="1179" t="n"/>
      <c r="AH17" s="1183" t="n"/>
      <c r="AI17" s="1181" t="n"/>
      <c r="AJ17" s="1185" t="n"/>
      <c r="AK17" s="1329" t="n"/>
      <c r="AL17" s="35" t="n"/>
      <c r="AM17" s="1183" t="n"/>
      <c r="AN17" s="1385" t="n"/>
      <c r="AO17" s="1386" t="n"/>
      <c r="AP17" s="1387" t="n"/>
      <c r="AQ17" s="1386" t="n"/>
      <c r="AR17" s="1388" t="n"/>
      <c r="AS17" s="1386" t="n"/>
      <c r="AT17" s="1388" t="n"/>
      <c r="AU17" s="1386" t="n"/>
    </row>
    <row r="18" ht="15" customFormat="1" customHeight="1" s="6">
      <c r="A18" s="3785" t="inlineStr">
        <is>
          <t>Cardiología</t>
        </is>
      </c>
      <c r="B18" s="1179" t="n"/>
      <c r="C18" s="1183" t="n"/>
      <c r="D18" s="1179" t="n"/>
      <c r="E18" s="1183" t="n"/>
      <c r="F18" s="1179" t="n"/>
      <c r="G18" s="1183" t="n"/>
      <c r="H18" s="1179" t="n"/>
      <c r="I18" s="1183" t="n"/>
      <c r="J18" s="1179" t="n"/>
      <c r="K18" s="1183" t="n"/>
      <c r="L18" s="1179" t="n"/>
      <c r="M18" s="1183" t="n"/>
      <c r="N18" s="1179" t="n"/>
      <c r="O18" s="1183" t="n"/>
      <c r="P18" s="1179" t="n"/>
      <c r="Q18" s="1183" t="n"/>
      <c r="R18" s="1381">
        <f>SUM(B18+J18)</f>
        <v/>
      </c>
      <c r="S18" s="1382">
        <f>SUM(C18+K18)</f>
        <v/>
      </c>
      <c r="T18" s="1381">
        <f>SUM(D18+L18)</f>
        <v/>
      </c>
      <c r="U18" s="1382">
        <f>SUM(E18+M18)</f>
        <v/>
      </c>
      <c r="V18" s="1383">
        <f>SUM(F18+N18)</f>
        <v/>
      </c>
      <c r="W18" s="1382">
        <f>SUM(G18+O18)</f>
        <v/>
      </c>
      <c r="X18" s="1381">
        <f>SUM(H18+P18)</f>
        <v/>
      </c>
      <c r="Y18" s="1384">
        <f>SUM(I18+Q18)</f>
        <v/>
      </c>
      <c r="Z18" s="1230" t="n"/>
      <c r="AA18" s="35" t="n"/>
      <c r="AB18" s="1183" t="n"/>
      <c r="AC18" s="1230" t="n"/>
      <c r="AD18" s="1183" t="n"/>
      <c r="AE18" s="1181" t="n"/>
      <c r="AF18" s="1183" t="n"/>
      <c r="AG18" s="1179" t="n"/>
      <c r="AH18" s="1183" t="n"/>
      <c r="AI18" s="1181" t="n"/>
      <c r="AJ18" s="1185" t="n"/>
      <c r="AK18" s="1329" t="n"/>
      <c r="AL18" s="35" t="n"/>
      <c r="AM18" s="1183" t="n"/>
      <c r="AN18" s="1385" t="n"/>
      <c r="AO18" s="1386" t="n"/>
      <c r="AP18" s="1387" t="n"/>
      <c r="AQ18" s="1386" t="n"/>
      <c r="AR18" s="1388" t="n"/>
      <c r="AS18" s="1386" t="n"/>
      <c r="AT18" s="1388" t="n"/>
      <c r="AU18" s="1386" t="n"/>
    </row>
    <row r="19" ht="15" customFormat="1" customHeight="1" s="6">
      <c r="A19" s="3785" t="inlineStr">
        <is>
          <t>Mastología</t>
        </is>
      </c>
      <c r="B19" s="1179" t="n"/>
      <c r="C19" s="1183" t="n"/>
      <c r="D19" s="1179" t="n"/>
      <c r="E19" s="1183" t="n"/>
      <c r="F19" s="1179" t="n"/>
      <c r="G19" s="1183" t="n"/>
      <c r="H19" s="1179" t="n"/>
      <c r="I19" s="1183" t="n"/>
      <c r="J19" s="1179" t="n"/>
      <c r="K19" s="1183" t="n"/>
      <c r="L19" s="1179" t="n"/>
      <c r="M19" s="1183" t="n"/>
      <c r="N19" s="1179" t="n"/>
      <c r="O19" s="1183" t="n"/>
      <c r="P19" s="1179" t="n"/>
      <c r="Q19" s="1183" t="n"/>
      <c r="R19" s="1381">
        <f>SUM(B19+J19)</f>
        <v/>
      </c>
      <c r="S19" s="1382">
        <f>SUM(C19+K19)</f>
        <v/>
      </c>
      <c r="T19" s="1381">
        <f>SUM(D19+L19)</f>
        <v/>
      </c>
      <c r="U19" s="1382">
        <f>SUM(E19+M19)</f>
        <v/>
      </c>
      <c r="V19" s="1383">
        <f>SUM(F19+N19)</f>
        <v/>
      </c>
      <c r="W19" s="1382">
        <f>SUM(G19+O19)</f>
        <v/>
      </c>
      <c r="X19" s="1381">
        <f>SUM(H19+P19)</f>
        <v/>
      </c>
      <c r="Y19" s="1384">
        <f>SUM(I19+Q19)</f>
        <v/>
      </c>
      <c r="Z19" s="1230" t="n"/>
      <c r="AA19" s="35" t="n"/>
      <c r="AB19" s="1183" t="n"/>
      <c r="AC19" s="1230" t="n"/>
      <c r="AD19" s="1183" t="n"/>
      <c r="AE19" s="1181" t="n"/>
      <c r="AF19" s="1183" t="n"/>
      <c r="AG19" s="1179" t="n"/>
      <c r="AH19" s="1183" t="n"/>
      <c r="AI19" s="1181" t="n"/>
      <c r="AJ19" s="1185" t="n"/>
      <c r="AK19" s="1329" t="n"/>
      <c r="AL19" s="35" t="n"/>
      <c r="AM19" s="1183" t="n"/>
      <c r="AN19" s="1385" t="n"/>
      <c r="AO19" s="1386" t="n"/>
      <c r="AP19" s="1387" t="n"/>
      <c r="AQ19" s="1386" t="n"/>
      <c r="AR19" s="1388" t="n"/>
      <c r="AS19" s="1386" t="n"/>
      <c r="AT19" s="1388" t="n"/>
      <c r="AU19" s="1386" t="n"/>
    </row>
    <row r="20" ht="15" customFormat="1" customHeight="1" s="6">
      <c r="A20" s="3785" t="inlineStr">
        <is>
          <t>Endocrinología pediátrica</t>
        </is>
      </c>
      <c r="B20" s="1179" t="n"/>
      <c r="C20" s="1183" t="n"/>
      <c r="D20" s="1179" t="n"/>
      <c r="E20" s="1183" t="n"/>
      <c r="F20" s="1179" t="n"/>
      <c r="G20" s="1183" t="n"/>
      <c r="H20" s="1179" t="n"/>
      <c r="I20" s="1183" t="n"/>
      <c r="J20" s="1179" t="n"/>
      <c r="K20" s="1183" t="n"/>
      <c r="L20" s="1179" t="n"/>
      <c r="M20" s="1183" t="n"/>
      <c r="N20" s="1179" t="n"/>
      <c r="O20" s="1183" t="n"/>
      <c r="P20" s="1179" t="n"/>
      <c r="Q20" s="1183" t="n"/>
      <c r="R20" s="1381">
        <f>SUM(B20+J20)</f>
        <v/>
      </c>
      <c r="S20" s="1382">
        <f>SUM(C20+K20)</f>
        <v/>
      </c>
      <c r="T20" s="1381">
        <f>SUM(D20+L20)</f>
        <v/>
      </c>
      <c r="U20" s="1382">
        <f>SUM(E20+M20)</f>
        <v/>
      </c>
      <c r="V20" s="1383">
        <f>SUM(F20+N20)</f>
        <v/>
      </c>
      <c r="W20" s="1382">
        <f>SUM(G20+O20)</f>
        <v/>
      </c>
      <c r="X20" s="1381">
        <f>SUM(H20+P20)</f>
        <v/>
      </c>
      <c r="Y20" s="1384">
        <f>SUM(I20+Q20)</f>
        <v/>
      </c>
      <c r="Z20" s="1230" t="n"/>
      <c r="AA20" s="35" t="n"/>
      <c r="AB20" s="1183" t="n"/>
      <c r="AC20" s="1230" t="n"/>
      <c r="AD20" s="1183" t="n"/>
      <c r="AE20" s="1181" t="n"/>
      <c r="AF20" s="1183" t="n"/>
      <c r="AG20" s="1179" t="n"/>
      <c r="AH20" s="1183" t="n"/>
      <c r="AI20" s="1181" t="n"/>
      <c r="AJ20" s="1185" t="n"/>
      <c r="AK20" s="1329" t="n"/>
      <c r="AL20" s="35" t="n"/>
      <c r="AM20" s="1183" t="n"/>
      <c r="AN20" s="1385" t="n"/>
      <c r="AO20" s="1386" t="n"/>
      <c r="AP20" s="1387" t="n"/>
      <c r="AQ20" s="1386" t="n"/>
      <c r="AR20" s="1388" t="n"/>
      <c r="AS20" s="1386" t="n"/>
      <c r="AT20" s="1388" t="n"/>
      <c r="AU20" s="1386" t="n"/>
    </row>
    <row r="21" ht="15" customFormat="1" customHeight="1" s="6">
      <c r="A21" s="3785" t="inlineStr">
        <is>
          <t>Endocrinología adulto</t>
        </is>
      </c>
      <c r="B21" s="1179" t="n"/>
      <c r="C21" s="1183" t="n"/>
      <c r="D21" s="1179" t="n"/>
      <c r="E21" s="1183" t="n"/>
      <c r="F21" s="1179" t="n"/>
      <c r="G21" s="1183" t="n"/>
      <c r="H21" s="1179" t="n"/>
      <c r="I21" s="1183" t="n"/>
      <c r="J21" s="1179" t="n"/>
      <c r="K21" s="1183" t="n"/>
      <c r="L21" s="1179" t="n"/>
      <c r="M21" s="1183" t="n"/>
      <c r="N21" s="1179" t="n"/>
      <c r="O21" s="1183" t="n"/>
      <c r="P21" s="1179" t="n"/>
      <c r="Q21" s="1183" t="n"/>
      <c r="R21" s="1381">
        <f>SUM(B21+J21)</f>
        <v/>
      </c>
      <c r="S21" s="1382">
        <f>SUM(C21+K21)</f>
        <v/>
      </c>
      <c r="T21" s="1381">
        <f>SUM(D21+L21)</f>
        <v/>
      </c>
      <c r="U21" s="1382">
        <f>SUM(E21+M21)</f>
        <v/>
      </c>
      <c r="V21" s="1383">
        <f>SUM(F21+N21)</f>
        <v/>
      </c>
      <c r="W21" s="1382">
        <f>SUM(G21+O21)</f>
        <v/>
      </c>
      <c r="X21" s="1381">
        <f>SUM(H21+P21)</f>
        <v/>
      </c>
      <c r="Y21" s="1384">
        <f>SUM(I21+Q21)</f>
        <v/>
      </c>
      <c r="Z21" s="1230" t="n"/>
      <c r="AA21" s="35" t="n"/>
      <c r="AB21" s="1183" t="n"/>
      <c r="AC21" s="1230" t="n"/>
      <c r="AD21" s="1183" t="n"/>
      <c r="AE21" s="1181" t="n"/>
      <c r="AF21" s="1183" t="n"/>
      <c r="AG21" s="1179" t="n"/>
      <c r="AH21" s="1183" t="n"/>
      <c r="AI21" s="1181" t="n"/>
      <c r="AJ21" s="1185" t="n"/>
      <c r="AK21" s="1329" t="n"/>
      <c r="AL21" s="35" t="n"/>
      <c r="AM21" s="1183" t="n"/>
      <c r="AN21" s="1385" t="n"/>
      <c r="AO21" s="1386" t="n"/>
      <c r="AP21" s="1387" t="n"/>
      <c r="AQ21" s="1386" t="n"/>
      <c r="AR21" s="1388" t="n"/>
      <c r="AS21" s="1386" t="n"/>
      <c r="AT21" s="1388" t="n"/>
      <c r="AU21" s="1386" t="n"/>
    </row>
    <row r="22" ht="15" customFormat="1" customHeight="1" s="6">
      <c r="A22" s="3785" t="inlineStr">
        <is>
          <t>Gastroenterología pediátrica</t>
        </is>
      </c>
      <c r="B22" s="1179" t="n"/>
      <c r="C22" s="1183" t="n"/>
      <c r="D22" s="1179" t="n"/>
      <c r="E22" s="1183" t="n"/>
      <c r="F22" s="1179" t="n"/>
      <c r="G22" s="1183" t="n"/>
      <c r="H22" s="1179" t="n"/>
      <c r="I22" s="1183" t="n"/>
      <c r="J22" s="1179" t="n"/>
      <c r="K22" s="1183" t="n"/>
      <c r="L22" s="1179" t="n"/>
      <c r="M22" s="1183" t="n"/>
      <c r="N22" s="1179" t="n"/>
      <c r="O22" s="1183" t="n"/>
      <c r="P22" s="1179" t="n"/>
      <c r="Q22" s="1183" t="n"/>
      <c r="R22" s="1381">
        <f>SUM(B22+J22)</f>
        <v/>
      </c>
      <c r="S22" s="1382">
        <f>SUM(C22+K22)</f>
        <v/>
      </c>
      <c r="T22" s="1381">
        <f>SUM(D22+L22)</f>
        <v/>
      </c>
      <c r="U22" s="1382">
        <f>SUM(E22+M22)</f>
        <v/>
      </c>
      <c r="V22" s="1383">
        <f>SUM(F22+N22)</f>
        <v/>
      </c>
      <c r="W22" s="1382">
        <f>SUM(G22+O22)</f>
        <v/>
      </c>
      <c r="X22" s="1381">
        <f>SUM(H22+P22)</f>
        <v/>
      </c>
      <c r="Y22" s="1384">
        <f>SUM(I22+Q22)</f>
        <v/>
      </c>
      <c r="Z22" s="1230" t="n"/>
      <c r="AA22" s="35" t="n"/>
      <c r="AB22" s="1183" t="n"/>
      <c r="AC22" s="1230" t="n"/>
      <c r="AD22" s="1183" t="n"/>
      <c r="AE22" s="1181" t="n"/>
      <c r="AF22" s="1183" t="n"/>
      <c r="AG22" s="1179" t="n"/>
      <c r="AH22" s="1183" t="n"/>
      <c r="AI22" s="1181" t="n"/>
      <c r="AJ22" s="1185" t="n"/>
      <c r="AK22" s="1329" t="n"/>
      <c r="AL22" s="35" t="n"/>
      <c r="AM22" s="1183" t="n"/>
      <c r="AN22" s="1385" t="n"/>
      <c r="AO22" s="1386" t="n"/>
      <c r="AP22" s="1387" t="n"/>
      <c r="AQ22" s="1386" t="n"/>
      <c r="AR22" s="1388" t="n"/>
      <c r="AS22" s="1386" t="n"/>
      <c r="AT22" s="1388" t="n"/>
      <c r="AU22" s="1386" t="n"/>
    </row>
    <row r="23" ht="15" customFormat="1" customHeight="1" s="6">
      <c r="A23" s="3785" t="inlineStr">
        <is>
          <t>Gastroenterología adulto</t>
        </is>
      </c>
      <c r="B23" s="1179" t="n"/>
      <c r="C23" s="1183" t="n"/>
      <c r="D23" s="1179" t="n"/>
      <c r="E23" s="1183" t="n"/>
      <c r="F23" s="1179" t="n"/>
      <c r="G23" s="1183" t="n"/>
      <c r="H23" s="1179" t="n"/>
      <c r="I23" s="1183" t="n"/>
      <c r="J23" s="1179" t="n"/>
      <c r="K23" s="1183" t="n"/>
      <c r="L23" s="1179" t="n"/>
      <c r="M23" s="1183" t="n"/>
      <c r="N23" s="1179" t="n"/>
      <c r="O23" s="1183" t="n"/>
      <c r="P23" s="1179" t="n"/>
      <c r="Q23" s="1183" t="n"/>
      <c r="R23" s="1381">
        <f>SUM(B23+J23)</f>
        <v/>
      </c>
      <c r="S23" s="1382">
        <f>SUM(C23+K23)</f>
        <v/>
      </c>
      <c r="T23" s="1381">
        <f>SUM(D23+L23)</f>
        <v/>
      </c>
      <c r="U23" s="1382">
        <f>SUM(E23+M23)</f>
        <v/>
      </c>
      <c r="V23" s="1383">
        <f>SUM(F23+N23)</f>
        <v/>
      </c>
      <c r="W23" s="1382">
        <f>SUM(G23+O23)</f>
        <v/>
      </c>
      <c r="X23" s="1381">
        <f>SUM(H23+P23)</f>
        <v/>
      </c>
      <c r="Y23" s="1384">
        <f>SUM(I23+Q23)</f>
        <v/>
      </c>
      <c r="Z23" s="1230" t="n"/>
      <c r="AA23" s="35" t="n"/>
      <c r="AB23" s="1183" t="n"/>
      <c r="AC23" s="1230" t="n"/>
      <c r="AD23" s="1183" t="n"/>
      <c r="AE23" s="1181" t="n"/>
      <c r="AF23" s="1183" t="n"/>
      <c r="AG23" s="1179" t="n"/>
      <c r="AH23" s="1183" t="n"/>
      <c r="AI23" s="1181" t="n"/>
      <c r="AJ23" s="1185" t="n"/>
      <c r="AK23" s="1329" t="n"/>
      <c r="AL23" s="35" t="n"/>
      <c r="AM23" s="1183" t="n"/>
      <c r="AN23" s="1385" t="n"/>
      <c r="AO23" s="1386" t="n"/>
      <c r="AP23" s="1387" t="n"/>
      <c r="AQ23" s="1386" t="n"/>
      <c r="AR23" s="1388" t="n"/>
      <c r="AS23" s="1386" t="n"/>
      <c r="AT23" s="1388" t="n"/>
      <c r="AU23" s="1386" t="n"/>
    </row>
    <row r="24" ht="15" customFormat="1" customHeight="1" s="6">
      <c r="A24" s="3785" t="inlineStr">
        <is>
          <t>Genética clínica</t>
        </is>
      </c>
      <c r="B24" s="1179" t="n"/>
      <c r="C24" s="1183" t="n"/>
      <c r="D24" s="1179" t="n"/>
      <c r="E24" s="1183" t="n"/>
      <c r="F24" s="1179" t="n"/>
      <c r="G24" s="1183" t="n"/>
      <c r="H24" s="1179" t="n"/>
      <c r="I24" s="1183" t="n"/>
      <c r="J24" s="1179" t="n"/>
      <c r="K24" s="1183" t="n"/>
      <c r="L24" s="1179" t="n"/>
      <c r="M24" s="1183" t="n"/>
      <c r="N24" s="1179" t="n"/>
      <c r="O24" s="1183" t="n"/>
      <c r="P24" s="1179" t="n"/>
      <c r="Q24" s="1183" t="n"/>
      <c r="R24" s="1381">
        <f>SUM(B24+J24)</f>
        <v/>
      </c>
      <c r="S24" s="1382">
        <f>SUM(C24+K24)</f>
        <v/>
      </c>
      <c r="T24" s="1381">
        <f>SUM(D24+L24)</f>
        <v/>
      </c>
      <c r="U24" s="1382">
        <f>SUM(E24+M24)</f>
        <v/>
      </c>
      <c r="V24" s="1383">
        <f>SUM(F24+N24)</f>
        <v/>
      </c>
      <c r="W24" s="1382">
        <f>SUM(G24+O24)</f>
        <v/>
      </c>
      <c r="X24" s="1381">
        <f>SUM(H24+P24)</f>
        <v/>
      </c>
      <c r="Y24" s="1384">
        <f>SUM(I24+Q24)</f>
        <v/>
      </c>
      <c r="Z24" s="1230" t="n"/>
      <c r="AA24" s="35" t="n"/>
      <c r="AB24" s="1183" t="n"/>
      <c r="AC24" s="1230" t="n"/>
      <c r="AD24" s="1183" t="n"/>
      <c r="AE24" s="1181" t="n"/>
      <c r="AF24" s="1183" t="n"/>
      <c r="AG24" s="1179" t="n"/>
      <c r="AH24" s="1183" t="n"/>
      <c r="AI24" s="1181" t="n"/>
      <c r="AJ24" s="1185" t="n"/>
      <c r="AK24" s="1329" t="n"/>
      <c r="AL24" s="35" t="n"/>
      <c r="AM24" s="1183" t="n"/>
      <c r="AN24" s="1385" t="n"/>
      <c r="AO24" s="1386" t="n"/>
      <c r="AP24" s="1387" t="n"/>
      <c r="AQ24" s="1386" t="n"/>
      <c r="AR24" s="1388" t="n"/>
      <c r="AS24" s="1386" t="n"/>
      <c r="AT24" s="1388" t="n"/>
      <c r="AU24" s="1386" t="n"/>
    </row>
    <row r="25" ht="15" customFormat="1" customHeight="1" s="6">
      <c r="A25" s="3785" t="inlineStr">
        <is>
          <t>Hematología</t>
        </is>
      </c>
      <c r="B25" s="1179" t="n"/>
      <c r="C25" s="1183" t="n"/>
      <c r="D25" s="1179" t="n"/>
      <c r="E25" s="1183" t="n"/>
      <c r="F25" s="1179" t="n"/>
      <c r="G25" s="1183" t="n"/>
      <c r="H25" s="1179" t="n"/>
      <c r="I25" s="1183" t="n"/>
      <c r="J25" s="1179" t="n"/>
      <c r="K25" s="1183" t="n"/>
      <c r="L25" s="1179" t="n"/>
      <c r="M25" s="1183" t="n"/>
      <c r="N25" s="1179" t="n"/>
      <c r="O25" s="1183" t="n"/>
      <c r="P25" s="1179" t="n"/>
      <c r="Q25" s="1183" t="n"/>
      <c r="R25" s="1381">
        <f>SUM(B25+J25)</f>
        <v/>
      </c>
      <c r="S25" s="1382">
        <f>SUM(C25+K25)</f>
        <v/>
      </c>
      <c r="T25" s="1381">
        <f>SUM(D25+L25)</f>
        <v/>
      </c>
      <c r="U25" s="1382">
        <f>SUM(E25+M25)</f>
        <v/>
      </c>
      <c r="V25" s="1383">
        <f>SUM(F25+N25)</f>
        <v/>
      </c>
      <c r="W25" s="1382">
        <f>SUM(G25+O25)</f>
        <v/>
      </c>
      <c r="X25" s="1381">
        <f>SUM(H25+P25)</f>
        <v/>
      </c>
      <c r="Y25" s="1384">
        <f>SUM(I25+Q25)</f>
        <v/>
      </c>
      <c r="Z25" s="1230" t="n"/>
      <c r="AA25" s="35" t="n"/>
      <c r="AB25" s="1183" t="n"/>
      <c r="AC25" s="1230" t="n"/>
      <c r="AD25" s="1183" t="n"/>
      <c r="AE25" s="1181" t="n"/>
      <c r="AF25" s="1183" t="n"/>
      <c r="AG25" s="1179" t="n"/>
      <c r="AH25" s="1183" t="n"/>
      <c r="AI25" s="1181" t="n"/>
      <c r="AJ25" s="1185" t="n"/>
      <c r="AK25" s="1329" t="n"/>
      <c r="AL25" s="35" t="n"/>
      <c r="AM25" s="1183" t="n"/>
      <c r="AN25" s="1385" t="n"/>
      <c r="AO25" s="1386" t="n"/>
      <c r="AP25" s="1387" t="n"/>
      <c r="AQ25" s="1386" t="n"/>
      <c r="AR25" s="1388" t="n"/>
      <c r="AS25" s="1386" t="n"/>
      <c r="AT25" s="1388" t="n"/>
      <c r="AU25" s="1386" t="n"/>
    </row>
    <row r="26" ht="15" customFormat="1" customHeight="1" s="6">
      <c r="A26" s="684" t="inlineStr">
        <is>
          <t>Medicina del adolescente</t>
        </is>
      </c>
      <c r="B26" s="1179" t="n"/>
      <c r="C26" s="1183" t="n"/>
      <c r="D26" s="1179" t="n"/>
      <c r="E26" s="1183" t="n"/>
      <c r="F26" s="1179" t="n"/>
      <c r="G26" s="1183" t="n"/>
      <c r="H26" s="1179" t="n"/>
      <c r="I26" s="1183" t="n"/>
      <c r="J26" s="1179" t="n"/>
      <c r="K26" s="1183" t="n"/>
      <c r="L26" s="1179" t="n"/>
      <c r="M26" s="1183" t="n"/>
      <c r="N26" s="1179" t="n"/>
      <c r="O26" s="1183" t="n"/>
      <c r="P26" s="1179" t="n"/>
      <c r="Q26" s="1183" t="n"/>
      <c r="R26" s="1381">
        <f>SUM(B26+J26)</f>
        <v/>
      </c>
      <c r="S26" s="1382">
        <f>SUM(C26+K26)</f>
        <v/>
      </c>
      <c r="T26" s="1381">
        <f>SUM(D26+L26)</f>
        <v/>
      </c>
      <c r="U26" s="1382">
        <f>SUM(E26+M26)</f>
        <v/>
      </c>
      <c r="V26" s="1383">
        <f>SUM(F26+N26)</f>
        <v/>
      </c>
      <c r="W26" s="1382">
        <f>SUM(G26+O26)</f>
        <v/>
      </c>
      <c r="X26" s="1381">
        <f>SUM(H26+P26)</f>
        <v/>
      </c>
      <c r="Y26" s="1384">
        <f>SUM(I26+Q26)</f>
        <v/>
      </c>
      <c r="Z26" s="1230" t="n"/>
      <c r="AA26" s="35" t="n"/>
      <c r="AB26" s="1183" t="n"/>
      <c r="AC26" s="1230" t="n"/>
      <c r="AD26" s="1183" t="n"/>
      <c r="AE26" s="1181" t="n"/>
      <c r="AF26" s="1183" t="n"/>
      <c r="AG26" s="1179" t="n"/>
      <c r="AH26" s="1183" t="n"/>
      <c r="AI26" s="1181" t="n"/>
      <c r="AJ26" s="1185" t="n"/>
      <c r="AK26" s="1329" t="n"/>
      <c r="AL26" s="35" t="n"/>
      <c r="AM26" s="1183" t="n"/>
      <c r="AN26" s="1385" t="n"/>
      <c r="AO26" s="1386" t="n"/>
      <c r="AP26" s="1387" t="n"/>
      <c r="AQ26" s="1386" t="n"/>
      <c r="AR26" s="1388" t="n"/>
      <c r="AS26" s="1386" t="n"/>
      <c r="AT26" s="1388" t="n"/>
      <c r="AU26" s="1386" t="n"/>
    </row>
    <row r="27" ht="15" customFormat="1" customHeight="1" s="6">
      <c r="A27" s="3785" t="inlineStr">
        <is>
          <t>Nefrología pediátrica</t>
        </is>
      </c>
      <c r="B27" s="1179" t="n"/>
      <c r="C27" s="1183" t="n"/>
      <c r="D27" s="1179" t="n"/>
      <c r="E27" s="1183" t="n"/>
      <c r="F27" s="1179" t="n"/>
      <c r="G27" s="1183" t="n"/>
      <c r="H27" s="1179" t="n"/>
      <c r="I27" s="1183" t="n"/>
      <c r="J27" s="1179" t="n"/>
      <c r="K27" s="1183" t="n"/>
      <c r="L27" s="1179" t="n"/>
      <c r="M27" s="1183" t="n"/>
      <c r="N27" s="1179" t="n"/>
      <c r="O27" s="1183" t="n"/>
      <c r="P27" s="1179" t="n"/>
      <c r="Q27" s="1183" t="n"/>
      <c r="R27" s="1381">
        <f>SUM(B27+J27)</f>
        <v/>
      </c>
      <c r="S27" s="1382">
        <f>SUM(C27+K27)</f>
        <v/>
      </c>
      <c r="T27" s="1381">
        <f>SUM(D27+L27)</f>
        <v/>
      </c>
      <c r="U27" s="1382">
        <f>SUM(E27+M27)</f>
        <v/>
      </c>
      <c r="V27" s="1383">
        <f>SUM(F27+N27)</f>
        <v/>
      </c>
      <c r="W27" s="1382">
        <f>SUM(G27+O27)</f>
        <v/>
      </c>
      <c r="X27" s="1381">
        <f>SUM(H27+P27)</f>
        <v/>
      </c>
      <c r="Y27" s="1384">
        <f>SUM(I27+Q27)</f>
        <v/>
      </c>
      <c r="Z27" s="1230" t="n"/>
      <c r="AA27" s="35" t="n"/>
      <c r="AB27" s="1183" t="n"/>
      <c r="AC27" s="1230" t="n"/>
      <c r="AD27" s="1183" t="n"/>
      <c r="AE27" s="1181" t="n"/>
      <c r="AF27" s="1183" t="n"/>
      <c r="AG27" s="1179" t="n"/>
      <c r="AH27" s="1183" t="n"/>
      <c r="AI27" s="1181" t="n"/>
      <c r="AJ27" s="1185" t="n"/>
      <c r="AK27" s="1329" t="n"/>
      <c r="AL27" s="35" t="n"/>
      <c r="AM27" s="1183" t="n"/>
      <c r="AN27" s="1385" t="n"/>
      <c r="AO27" s="1386" t="n"/>
      <c r="AP27" s="1387" t="n"/>
      <c r="AQ27" s="1386" t="n"/>
      <c r="AR27" s="1388" t="n"/>
      <c r="AS27" s="1386" t="n"/>
      <c r="AT27" s="1388" t="n"/>
      <c r="AU27" s="1386" t="n"/>
    </row>
    <row r="28" ht="15" customFormat="1" customHeight="1" s="6">
      <c r="A28" s="3785" t="inlineStr">
        <is>
          <t>Nefrología adulto</t>
        </is>
      </c>
      <c r="B28" s="1179" t="n"/>
      <c r="C28" s="1183" t="n"/>
      <c r="D28" s="1179" t="n"/>
      <c r="E28" s="1183" t="n"/>
      <c r="F28" s="1179" t="n"/>
      <c r="G28" s="1183" t="n"/>
      <c r="H28" s="1179" t="n"/>
      <c r="I28" s="1183" t="n"/>
      <c r="J28" s="1179" t="n"/>
      <c r="K28" s="1183" t="n"/>
      <c r="L28" s="1179" t="n"/>
      <c r="M28" s="1183" t="n"/>
      <c r="N28" s="1179" t="n"/>
      <c r="O28" s="1183" t="n"/>
      <c r="P28" s="1179" t="n"/>
      <c r="Q28" s="1183" t="n"/>
      <c r="R28" s="1381">
        <f>SUM(B28+J28)</f>
        <v/>
      </c>
      <c r="S28" s="1382">
        <f>SUM(C28+K28)</f>
        <v/>
      </c>
      <c r="T28" s="1381">
        <f>SUM(D28+L28)</f>
        <v/>
      </c>
      <c r="U28" s="1382">
        <f>SUM(E28+M28)</f>
        <v/>
      </c>
      <c r="V28" s="1383">
        <f>SUM(F28+N28)</f>
        <v/>
      </c>
      <c r="W28" s="1382">
        <f>SUM(G28+O28)</f>
        <v/>
      </c>
      <c r="X28" s="1381">
        <f>SUM(H28+P28)</f>
        <v/>
      </c>
      <c r="Y28" s="1384">
        <f>SUM(I28+Q28)</f>
        <v/>
      </c>
      <c r="Z28" s="1230" t="n"/>
      <c r="AA28" s="35" t="n"/>
      <c r="AB28" s="1183" t="n"/>
      <c r="AC28" s="1230" t="n"/>
      <c r="AD28" s="1183" t="n"/>
      <c r="AE28" s="1181" t="n"/>
      <c r="AF28" s="1183" t="n"/>
      <c r="AG28" s="1179" t="n"/>
      <c r="AH28" s="1183" t="n"/>
      <c r="AI28" s="1181" t="n"/>
      <c r="AJ28" s="1185" t="n"/>
      <c r="AK28" s="1329" t="n"/>
      <c r="AL28" s="35" t="n"/>
      <c r="AM28" s="1183" t="n"/>
      <c r="AN28" s="1385" t="n"/>
      <c r="AO28" s="1386" t="n"/>
      <c r="AP28" s="1387" t="n"/>
      <c r="AQ28" s="1386" t="n"/>
      <c r="AR28" s="1388" t="n"/>
      <c r="AS28" s="1386" t="n"/>
      <c r="AT28" s="1388" t="n"/>
      <c r="AU28" s="1386" t="n"/>
    </row>
    <row r="29" ht="15" customFormat="1" customHeight="1" s="6">
      <c r="A29" s="3785" t="inlineStr">
        <is>
          <t>Nutrición clínica</t>
        </is>
      </c>
      <c r="B29" s="1179" t="n"/>
      <c r="C29" s="1183" t="n"/>
      <c r="D29" s="1179" t="n"/>
      <c r="E29" s="1183" t="n"/>
      <c r="F29" s="1179" t="n"/>
      <c r="G29" s="1183" t="n"/>
      <c r="H29" s="1179" t="n"/>
      <c r="I29" s="1183" t="n"/>
      <c r="J29" s="1179" t="n"/>
      <c r="K29" s="1183" t="n"/>
      <c r="L29" s="1179" t="n"/>
      <c r="M29" s="1183" t="n"/>
      <c r="N29" s="1179" t="n"/>
      <c r="O29" s="1183" t="n"/>
      <c r="P29" s="1179" t="n"/>
      <c r="Q29" s="1183" t="n"/>
      <c r="R29" s="1381">
        <f>SUM(B29+J29)</f>
        <v/>
      </c>
      <c r="S29" s="1382">
        <f>SUM(C29+K29)</f>
        <v/>
      </c>
      <c r="T29" s="1381">
        <f>SUM(D29+L29)</f>
        <v/>
      </c>
      <c r="U29" s="1382">
        <f>SUM(E29+M29)</f>
        <v/>
      </c>
      <c r="V29" s="1383">
        <f>SUM(F29+N29)</f>
        <v/>
      </c>
      <c r="W29" s="1382">
        <f>SUM(G29+O29)</f>
        <v/>
      </c>
      <c r="X29" s="1381">
        <f>SUM(H29+P29)</f>
        <v/>
      </c>
      <c r="Y29" s="1384">
        <f>SUM(I29+Q29)</f>
        <v/>
      </c>
      <c r="Z29" s="1230" t="n"/>
      <c r="AA29" s="35" t="n"/>
      <c r="AB29" s="1183" t="n"/>
      <c r="AC29" s="1230" t="n"/>
      <c r="AD29" s="1183" t="n"/>
      <c r="AE29" s="1181" t="n"/>
      <c r="AF29" s="1183" t="n"/>
      <c r="AG29" s="1179" t="n"/>
      <c r="AH29" s="1183" t="n"/>
      <c r="AI29" s="1181" t="n"/>
      <c r="AJ29" s="1185" t="n"/>
      <c r="AK29" s="1329" t="n"/>
      <c r="AL29" s="35" t="n"/>
      <c r="AM29" s="1183" t="n"/>
      <c r="AN29" s="1385" t="n"/>
      <c r="AO29" s="1386" t="n"/>
      <c r="AP29" s="1387" t="n"/>
      <c r="AQ29" s="1386" t="n"/>
      <c r="AR29" s="1388" t="n"/>
      <c r="AS29" s="1386" t="n"/>
      <c r="AT29" s="1388" t="n"/>
      <c r="AU29" s="1386" t="n"/>
    </row>
    <row r="30" ht="15" customFormat="1" customHeight="1" s="6">
      <c r="A30" s="3785" t="inlineStr">
        <is>
          <t>Medicina Materno fetal</t>
        </is>
      </c>
      <c r="B30" s="1179" t="n"/>
      <c r="C30" s="1183" t="n"/>
      <c r="D30" s="1179" t="n"/>
      <c r="E30" s="1183" t="n"/>
      <c r="F30" s="1179" t="n"/>
      <c r="G30" s="1183" t="n"/>
      <c r="H30" s="1179" t="n"/>
      <c r="I30" s="1183" t="n"/>
      <c r="J30" s="1179" t="n"/>
      <c r="K30" s="1183" t="n"/>
      <c r="L30" s="1179" t="n"/>
      <c r="M30" s="1183" t="n"/>
      <c r="N30" s="1179" t="n"/>
      <c r="O30" s="1183" t="n"/>
      <c r="P30" s="1179" t="n"/>
      <c r="Q30" s="1183" t="n"/>
      <c r="R30" s="1381">
        <f>SUM(B30+J30)</f>
        <v/>
      </c>
      <c r="S30" s="1382">
        <f>SUM(C30+K30)</f>
        <v/>
      </c>
      <c r="T30" s="1381">
        <f>SUM(D30+L30)</f>
        <v/>
      </c>
      <c r="U30" s="1382">
        <f>SUM(E30+M30)</f>
        <v/>
      </c>
      <c r="V30" s="1383">
        <f>SUM(F30+N30)</f>
        <v/>
      </c>
      <c r="W30" s="1382">
        <f>SUM(G30+O30)</f>
        <v/>
      </c>
      <c r="X30" s="1381">
        <f>SUM(H30+P30)</f>
        <v/>
      </c>
      <c r="Y30" s="1384">
        <f>SUM(I30+Q30)</f>
        <v/>
      </c>
      <c r="Z30" s="1230" t="n"/>
      <c r="AA30" s="35" t="n"/>
      <c r="AB30" s="1183" t="n"/>
      <c r="AC30" s="1230" t="n"/>
      <c r="AD30" s="1183" t="n"/>
      <c r="AE30" s="1181" t="n"/>
      <c r="AF30" s="1183" t="n"/>
      <c r="AG30" s="1179" t="n"/>
      <c r="AH30" s="1183" t="n"/>
      <c r="AI30" s="1181" t="n"/>
      <c r="AJ30" s="1185" t="n"/>
      <c r="AK30" s="1329" t="n"/>
      <c r="AL30" s="35" t="n"/>
      <c r="AM30" s="1183" t="n"/>
      <c r="AN30" s="1385" t="n"/>
      <c r="AO30" s="1386" t="n"/>
      <c r="AP30" s="1387" t="n"/>
      <c r="AQ30" s="1386" t="n"/>
      <c r="AR30" s="1388" t="n"/>
      <c r="AS30" s="1386" t="n"/>
      <c r="AT30" s="1388" t="n"/>
      <c r="AU30" s="1386" t="n"/>
    </row>
    <row r="31" ht="15" customFormat="1" customHeight="1" s="6">
      <c r="A31" s="3785" t="inlineStr">
        <is>
          <t>Reumatología</t>
        </is>
      </c>
      <c r="B31" s="1179" t="n"/>
      <c r="C31" s="1183" t="n"/>
      <c r="D31" s="1179" t="n"/>
      <c r="E31" s="1183" t="n"/>
      <c r="F31" s="1179" t="n"/>
      <c r="G31" s="1183" t="n"/>
      <c r="H31" s="1179" t="n"/>
      <c r="I31" s="1183" t="n"/>
      <c r="J31" s="1179" t="n"/>
      <c r="K31" s="1183" t="n"/>
      <c r="L31" s="1179" t="n"/>
      <c r="M31" s="1183" t="n"/>
      <c r="N31" s="1179" t="n"/>
      <c r="O31" s="1183" t="n"/>
      <c r="P31" s="1179" t="n"/>
      <c r="Q31" s="1183" t="n"/>
      <c r="R31" s="1381">
        <f>SUM(B31+J31)</f>
        <v/>
      </c>
      <c r="S31" s="1382">
        <f>SUM(C31+K31)</f>
        <v/>
      </c>
      <c r="T31" s="1381">
        <f>SUM(D31+L31)</f>
        <v/>
      </c>
      <c r="U31" s="1382">
        <f>SUM(E31+M31)</f>
        <v/>
      </c>
      <c r="V31" s="1383">
        <f>SUM(F31+N31)</f>
        <v/>
      </c>
      <c r="W31" s="1382">
        <f>SUM(G31+O31)</f>
        <v/>
      </c>
      <c r="X31" s="1381">
        <f>SUM(H31+P31)</f>
        <v/>
      </c>
      <c r="Y31" s="1384">
        <f>SUM(I31+Q31)</f>
        <v/>
      </c>
      <c r="Z31" s="1230" t="n"/>
      <c r="AA31" s="35" t="n"/>
      <c r="AB31" s="1183" t="n"/>
      <c r="AC31" s="1230" t="n"/>
      <c r="AD31" s="1183" t="n"/>
      <c r="AE31" s="1181" t="n"/>
      <c r="AF31" s="1183" t="n"/>
      <c r="AG31" s="1179" t="n"/>
      <c r="AH31" s="1183" t="n"/>
      <c r="AI31" s="1181" t="n"/>
      <c r="AJ31" s="1185" t="n"/>
      <c r="AK31" s="1329" t="n"/>
      <c r="AL31" s="35" t="n"/>
      <c r="AM31" s="1183" t="n"/>
      <c r="AN31" s="1385" t="n"/>
      <c r="AO31" s="1386" t="n"/>
      <c r="AP31" s="1387" t="n"/>
      <c r="AQ31" s="1386" t="n"/>
      <c r="AR31" s="1388" t="n"/>
      <c r="AS31" s="1386" t="n"/>
      <c r="AT31" s="1388" t="n"/>
      <c r="AU31" s="1386" t="n"/>
    </row>
    <row r="32" ht="15" customFormat="1" customHeight="1" s="6">
      <c r="A32" s="288" t="inlineStr">
        <is>
          <t>Medicina Paliativa y Manejo del Dolor</t>
        </is>
      </c>
      <c r="B32" s="1179" t="n"/>
      <c r="C32" s="1183" t="n"/>
      <c r="D32" s="1179" t="n"/>
      <c r="E32" s="1183" t="n"/>
      <c r="F32" s="1179" t="n"/>
      <c r="G32" s="1183" t="n"/>
      <c r="H32" s="1179" t="n"/>
      <c r="I32" s="1183" t="n"/>
      <c r="J32" s="1179" t="n"/>
      <c r="K32" s="1183" t="n"/>
      <c r="L32" s="1179" t="n"/>
      <c r="M32" s="1183" t="n"/>
      <c r="N32" s="1179" t="n"/>
      <c r="O32" s="1183" t="n"/>
      <c r="P32" s="1179" t="n"/>
      <c r="Q32" s="1183" t="n"/>
      <c r="R32" s="1381">
        <f>SUM(B32+J32)</f>
        <v/>
      </c>
      <c r="S32" s="1382">
        <f>SUM(C32+K32)</f>
        <v/>
      </c>
      <c r="T32" s="1381">
        <f>SUM(D32+L32)</f>
        <v/>
      </c>
      <c r="U32" s="1382">
        <f>SUM(E32+M32)</f>
        <v/>
      </c>
      <c r="V32" s="1383">
        <f>SUM(F32+N32)</f>
        <v/>
      </c>
      <c r="W32" s="1382">
        <f>SUM(G32+O32)</f>
        <v/>
      </c>
      <c r="X32" s="1381">
        <f>SUM(H32+P32)</f>
        <v/>
      </c>
      <c r="Y32" s="1384">
        <f>SUM(I32+Q32)</f>
        <v/>
      </c>
      <c r="Z32" s="1230" t="n"/>
      <c r="AA32" s="35" t="n"/>
      <c r="AB32" s="1183" t="n"/>
      <c r="AC32" s="1230" t="n"/>
      <c r="AD32" s="1183" t="n"/>
      <c r="AE32" s="1181" t="n"/>
      <c r="AF32" s="1183" t="n"/>
      <c r="AG32" s="1179" t="n"/>
      <c r="AH32" s="1183" t="n"/>
      <c r="AI32" s="1181" t="n"/>
      <c r="AJ32" s="1185" t="n"/>
      <c r="AK32" s="1329" t="n"/>
      <c r="AL32" s="35" t="n"/>
      <c r="AM32" s="1183" t="n"/>
      <c r="AN32" s="1385" t="n"/>
      <c r="AO32" s="1386" t="n"/>
      <c r="AP32" s="1387" t="n"/>
      <c r="AQ32" s="1386" t="n"/>
      <c r="AR32" s="1388" t="n"/>
      <c r="AS32" s="1386" t="n"/>
      <c r="AT32" s="1388" t="n"/>
      <c r="AU32" s="1386" t="n"/>
    </row>
    <row r="33" ht="15" customFormat="1" customHeight="1" s="6">
      <c r="A33" s="3785" t="inlineStr">
        <is>
          <t>Dermatología</t>
        </is>
      </c>
      <c r="B33" s="1179" t="n"/>
      <c r="C33" s="1183" t="n"/>
      <c r="D33" s="1179" t="n"/>
      <c r="E33" s="1183" t="n"/>
      <c r="F33" s="1179" t="n"/>
      <c r="G33" s="1183" t="n"/>
      <c r="H33" s="1179" t="n"/>
      <c r="I33" s="1183" t="n"/>
      <c r="J33" s="1179" t="n"/>
      <c r="K33" s="1183" t="n"/>
      <c r="L33" s="1179" t="n"/>
      <c r="M33" s="1183" t="n"/>
      <c r="N33" s="1179" t="n"/>
      <c r="O33" s="1183" t="n"/>
      <c r="P33" s="1179" t="n"/>
      <c r="Q33" s="1183" t="n"/>
      <c r="R33" s="1381">
        <f>SUM(B33+J33)</f>
        <v/>
      </c>
      <c r="S33" s="1382">
        <f>SUM(C33+K33)</f>
        <v/>
      </c>
      <c r="T33" s="1381">
        <f>SUM(D33+L33)</f>
        <v/>
      </c>
      <c r="U33" s="1382">
        <f>SUM(E33+M33)</f>
        <v/>
      </c>
      <c r="V33" s="1383">
        <f>SUM(F33+N33)</f>
        <v/>
      </c>
      <c r="W33" s="1382">
        <f>SUM(G33+O33)</f>
        <v/>
      </c>
      <c r="X33" s="1381">
        <f>SUM(H33+P33)</f>
        <v/>
      </c>
      <c r="Y33" s="1384">
        <f>SUM(I33+Q33)</f>
        <v/>
      </c>
      <c r="Z33" s="1230" t="n"/>
      <c r="AA33" s="35" t="n"/>
      <c r="AB33" s="1183" t="n"/>
      <c r="AC33" s="1230" t="n"/>
      <c r="AD33" s="1183" t="n"/>
      <c r="AE33" s="1181" t="n"/>
      <c r="AF33" s="1183" t="n"/>
      <c r="AG33" s="1179" t="n"/>
      <c r="AH33" s="1183" t="n"/>
      <c r="AI33" s="1181" t="n"/>
      <c r="AJ33" s="1185" t="n"/>
      <c r="AK33" s="1329" t="n"/>
      <c r="AL33" s="35" t="n"/>
      <c r="AM33" s="1183" t="n"/>
      <c r="AN33" s="1385" t="n"/>
      <c r="AO33" s="1386" t="n"/>
      <c r="AP33" s="1387" t="n"/>
      <c r="AQ33" s="1386" t="n"/>
      <c r="AR33" s="1388" t="n"/>
      <c r="AS33" s="1386" t="n"/>
      <c r="AT33" s="1388" t="n"/>
      <c r="AU33" s="1386" t="n"/>
    </row>
    <row r="34" ht="15" customFormat="1" customHeight="1" s="6">
      <c r="A34" s="3785" t="inlineStr">
        <is>
          <t>Infectología</t>
        </is>
      </c>
      <c r="B34" s="1179" t="n"/>
      <c r="C34" s="1183" t="n"/>
      <c r="D34" s="1179" t="n"/>
      <c r="E34" s="1183" t="n"/>
      <c r="F34" s="1179" t="n"/>
      <c r="G34" s="1183" t="n"/>
      <c r="H34" s="1179" t="n"/>
      <c r="I34" s="1183" t="n"/>
      <c r="J34" s="1179" t="n"/>
      <c r="K34" s="1183" t="n"/>
      <c r="L34" s="1179" t="n"/>
      <c r="M34" s="1183" t="n"/>
      <c r="N34" s="1179" t="n"/>
      <c r="O34" s="1183" t="n"/>
      <c r="P34" s="1179" t="n"/>
      <c r="Q34" s="1183" t="n"/>
      <c r="R34" s="1381">
        <f>SUM(B34+J34)</f>
        <v/>
      </c>
      <c r="S34" s="1382">
        <f>SUM(C34+K34)</f>
        <v/>
      </c>
      <c r="T34" s="1381">
        <f>SUM(D34+L34)</f>
        <v/>
      </c>
      <c r="U34" s="1382">
        <f>SUM(E34+M34)</f>
        <v/>
      </c>
      <c r="V34" s="1383">
        <f>SUM(F34+N34)</f>
        <v/>
      </c>
      <c r="W34" s="1382">
        <f>SUM(G34+O34)</f>
        <v/>
      </c>
      <c r="X34" s="1381">
        <f>SUM(H34+P34)</f>
        <v/>
      </c>
      <c r="Y34" s="1384">
        <f>SUM(I34+Q34)</f>
        <v/>
      </c>
      <c r="Z34" s="1230" t="n"/>
      <c r="AA34" s="35" t="n"/>
      <c r="AB34" s="1183" t="n"/>
      <c r="AC34" s="1230" t="n"/>
      <c r="AD34" s="1183" t="n"/>
      <c r="AE34" s="1181" t="n"/>
      <c r="AF34" s="1183" t="n"/>
      <c r="AG34" s="1179" t="n"/>
      <c r="AH34" s="1183" t="n"/>
      <c r="AI34" s="1181" t="n"/>
      <c r="AJ34" s="1185" t="n"/>
      <c r="AK34" s="1329" t="n"/>
      <c r="AL34" s="35" t="n"/>
      <c r="AM34" s="1183" t="n"/>
      <c r="AN34" s="1385" t="n"/>
      <c r="AO34" s="1386" t="n"/>
      <c r="AP34" s="1387" t="n"/>
      <c r="AQ34" s="1386" t="n"/>
      <c r="AR34" s="1388" t="n"/>
      <c r="AS34" s="1386" t="n"/>
      <c r="AT34" s="1388" t="n"/>
      <c r="AU34" s="1386" t="n"/>
    </row>
    <row r="35" ht="15" customFormat="1" customHeight="1" s="6">
      <c r="A35" s="3785" t="inlineStr">
        <is>
          <t>Inmunología</t>
        </is>
      </c>
      <c r="B35" s="1179" t="n"/>
      <c r="C35" s="1183" t="n"/>
      <c r="D35" s="1179" t="n"/>
      <c r="E35" s="1183" t="n"/>
      <c r="F35" s="1179" t="n"/>
      <c r="G35" s="1183" t="n"/>
      <c r="H35" s="1179" t="n"/>
      <c r="I35" s="1183" t="n"/>
      <c r="J35" s="1179" t="n"/>
      <c r="K35" s="1183" t="n"/>
      <c r="L35" s="1179" t="n"/>
      <c r="M35" s="1183" t="n"/>
      <c r="N35" s="1179" t="n"/>
      <c r="O35" s="1183" t="n"/>
      <c r="P35" s="1179" t="n"/>
      <c r="Q35" s="1183" t="n"/>
      <c r="R35" s="1381">
        <f>SUM(B35+J35)</f>
        <v/>
      </c>
      <c r="S35" s="1382">
        <f>SUM(C35+K35)</f>
        <v/>
      </c>
      <c r="T35" s="1381">
        <f>SUM(D35+L35)</f>
        <v/>
      </c>
      <c r="U35" s="1382">
        <f>SUM(E35+M35)</f>
        <v/>
      </c>
      <c r="V35" s="1383">
        <f>SUM(F35+N35)</f>
        <v/>
      </c>
      <c r="W35" s="1382">
        <f>SUM(G35+O35)</f>
        <v/>
      </c>
      <c r="X35" s="1381">
        <f>SUM(H35+P35)</f>
        <v/>
      </c>
      <c r="Y35" s="1384">
        <f>SUM(I35+Q35)</f>
        <v/>
      </c>
      <c r="Z35" s="1230" t="n"/>
      <c r="AA35" s="35" t="n"/>
      <c r="AB35" s="1183" t="n"/>
      <c r="AC35" s="1230" t="n"/>
      <c r="AD35" s="1183" t="n"/>
      <c r="AE35" s="1181" t="n"/>
      <c r="AF35" s="1183" t="n"/>
      <c r="AG35" s="1179" t="n"/>
      <c r="AH35" s="1183" t="n"/>
      <c r="AI35" s="1181" t="n"/>
      <c r="AJ35" s="1185" t="n"/>
      <c r="AK35" s="1329" t="n"/>
      <c r="AL35" s="35" t="n"/>
      <c r="AM35" s="1183" t="n"/>
      <c r="AN35" s="1385" t="n"/>
      <c r="AO35" s="1386" t="n"/>
      <c r="AP35" s="1387" t="n"/>
      <c r="AQ35" s="1386" t="n"/>
      <c r="AR35" s="1388" t="n"/>
      <c r="AS35" s="1386" t="n"/>
      <c r="AT35" s="1388" t="n"/>
      <c r="AU35" s="1386" t="n"/>
    </row>
    <row r="36" ht="15" customFormat="1" customHeight="1" s="6">
      <c r="A36" s="3785" t="inlineStr">
        <is>
          <t>Geriatría</t>
        </is>
      </c>
      <c r="B36" s="1179" t="n"/>
      <c r="C36" s="1183" t="n"/>
      <c r="D36" s="1179" t="n"/>
      <c r="E36" s="1183" t="n"/>
      <c r="F36" s="1179" t="n"/>
      <c r="G36" s="1183" t="n"/>
      <c r="H36" s="1179" t="n"/>
      <c r="I36" s="1183" t="n"/>
      <c r="J36" s="1179" t="n"/>
      <c r="K36" s="1183" t="n"/>
      <c r="L36" s="1179" t="n"/>
      <c r="M36" s="1183" t="n"/>
      <c r="N36" s="1179" t="n"/>
      <c r="O36" s="1183" t="n"/>
      <c r="P36" s="1179" t="n"/>
      <c r="Q36" s="1183" t="n"/>
      <c r="R36" s="1381">
        <f>SUM(B36+J36)</f>
        <v/>
      </c>
      <c r="S36" s="1382">
        <f>SUM(C36+K36)</f>
        <v/>
      </c>
      <c r="T36" s="1381">
        <f>SUM(D36+L36)</f>
        <v/>
      </c>
      <c r="U36" s="1382">
        <f>SUM(E36+M36)</f>
        <v/>
      </c>
      <c r="V36" s="1383">
        <f>SUM(F36+N36)</f>
        <v/>
      </c>
      <c r="W36" s="1382">
        <f>SUM(G36+O36)</f>
        <v/>
      </c>
      <c r="X36" s="1381">
        <f>SUM(H36+P36)</f>
        <v/>
      </c>
      <c r="Y36" s="1384">
        <f>SUM(I36+Q36)</f>
        <v/>
      </c>
      <c r="Z36" s="1230" t="n"/>
      <c r="AA36" s="35" t="n"/>
      <c r="AB36" s="1183" t="n"/>
      <c r="AC36" s="1230" t="n"/>
      <c r="AD36" s="1183" t="n"/>
      <c r="AE36" s="1181" t="n"/>
      <c r="AF36" s="1183" t="n"/>
      <c r="AG36" s="1179" t="n"/>
      <c r="AH36" s="1183" t="n"/>
      <c r="AI36" s="1181" t="n"/>
      <c r="AJ36" s="1185" t="n"/>
      <c r="AK36" s="1329" t="n"/>
      <c r="AL36" s="35" t="n"/>
      <c r="AM36" s="1183" t="n"/>
      <c r="AN36" s="1385" t="n"/>
      <c r="AO36" s="1386" t="n"/>
      <c r="AP36" s="1387" t="n"/>
      <c r="AQ36" s="1386" t="n"/>
      <c r="AR36" s="1388" t="n"/>
      <c r="AS36" s="1386" t="n"/>
      <c r="AT36" s="1388" t="n"/>
      <c r="AU36" s="1386" t="n"/>
    </row>
    <row r="37" ht="15" customFormat="1" customHeight="1" s="6">
      <c r="A37" s="3785" t="inlineStr">
        <is>
          <t>Medicina Física y Rehabilitación</t>
        </is>
      </c>
      <c r="B37" s="1179" t="n"/>
      <c r="C37" s="1183" t="n"/>
      <c r="D37" s="1179" t="n"/>
      <c r="E37" s="1183" t="n"/>
      <c r="F37" s="1179" t="n"/>
      <c r="G37" s="1183" t="n"/>
      <c r="H37" s="1179" t="n"/>
      <c r="I37" s="1183" t="n"/>
      <c r="J37" s="1179" t="n"/>
      <c r="K37" s="1183" t="n"/>
      <c r="L37" s="1179" t="n"/>
      <c r="M37" s="1183" t="n"/>
      <c r="N37" s="1179" t="n"/>
      <c r="O37" s="1183" t="n"/>
      <c r="P37" s="1179" t="n"/>
      <c r="Q37" s="1183" t="n"/>
      <c r="R37" s="1381">
        <f>SUM(B37+J37)</f>
        <v/>
      </c>
      <c r="S37" s="1382">
        <f>SUM(C37+K37)</f>
        <v/>
      </c>
      <c r="T37" s="1381">
        <f>SUM(D37+L37)</f>
        <v/>
      </c>
      <c r="U37" s="1382">
        <f>SUM(E37+M37)</f>
        <v/>
      </c>
      <c r="V37" s="1383">
        <f>SUM(F37+N37)</f>
        <v/>
      </c>
      <c r="W37" s="1382">
        <f>SUM(G37+O37)</f>
        <v/>
      </c>
      <c r="X37" s="1381">
        <f>SUM(H37+P37)</f>
        <v/>
      </c>
      <c r="Y37" s="1384">
        <f>SUM(I37+Q37)</f>
        <v/>
      </c>
      <c r="Z37" s="1230" t="n"/>
      <c r="AA37" s="35" t="n"/>
      <c r="AB37" s="1183" t="n"/>
      <c r="AC37" s="1230" t="n"/>
      <c r="AD37" s="1183" t="n"/>
      <c r="AE37" s="1181" t="n"/>
      <c r="AF37" s="1183" t="n"/>
      <c r="AG37" s="1179" t="n"/>
      <c r="AH37" s="1183" t="n"/>
      <c r="AI37" s="1181" t="n"/>
      <c r="AJ37" s="1185" t="n"/>
      <c r="AK37" s="1329" t="n"/>
      <c r="AL37" s="35" t="n"/>
      <c r="AM37" s="1183" t="n"/>
      <c r="AN37" s="1385" t="n"/>
      <c r="AO37" s="1386" t="n"/>
      <c r="AP37" s="1387" t="n"/>
      <c r="AQ37" s="1386" t="n"/>
      <c r="AR37" s="1388" t="n"/>
      <c r="AS37" s="1386" t="n"/>
      <c r="AT37" s="1388" t="n"/>
      <c r="AU37" s="1386" t="n"/>
    </row>
    <row r="38" ht="15" customFormat="1" customHeight="1" s="6">
      <c r="A38" s="288" t="inlineStr">
        <is>
          <t>Medicina Reproductiva e Infertilidad</t>
        </is>
      </c>
      <c r="B38" s="1179" t="n"/>
      <c r="C38" s="1183" t="n"/>
      <c r="D38" s="1179" t="n"/>
      <c r="E38" s="1183" t="n"/>
      <c r="F38" s="1179" t="n"/>
      <c r="G38" s="1183" t="n"/>
      <c r="H38" s="1179" t="n"/>
      <c r="I38" s="1183" t="n"/>
      <c r="J38" s="1179" t="n"/>
      <c r="K38" s="1183" t="n"/>
      <c r="L38" s="1179" t="n"/>
      <c r="M38" s="1183" t="n"/>
      <c r="N38" s="1179" t="n"/>
      <c r="O38" s="1183" t="n"/>
      <c r="P38" s="1179" t="n"/>
      <c r="Q38" s="1183" t="n"/>
      <c r="R38" s="1381">
        <f>SUM(B38+J38)</f>
        <v/>
      </c>
      <c r="S38" s="1382">
        <f>SUM(C38+K38)</f>
        <v/>
      </c>
      <c r="T38" s="1381">
        <f>SUM(D38+L38)</f>
        <v/>
      </c>
      <c r="U38" s="1382">
        <f>SUM(E38+M38)</f>
        <v/>
      </c>
      <c r="V38" s="1383">
        <f>SUM(F38+N38)</f>
        <v/>
      </c>
      <c r="W38" s="1382">
        <f>SUM(G38+O38)</f>
        <v/>
      </c>
      <c r="X38" s="1381">
        <f>SUM(H38+P38)</f>
        <v/>
      </c>
      <c r="Y38" s="1384">
        <f>SUM(I38+Q38)</f>
        <v/>
      </c>
      <c r="Z38" s="1230" t="n"/>
      <c r="AA38" s="35" t="n"/>
      <c r="AB38" s="1183" t="n"/>
      <c r="AC38" s="1230" t="n"/>
      <c r="AD38" s="1183" t="n"/>
      <c r="AE38" s="1181" t="n"/>
      <c r="AF38" s="1183" t="n"/>
      <c r="AG38" s="1179" t="n"/>
      <c r="AH38" s="1183" t="n"/>
      <c r="AI38" s="1181" t="n"/>
      <c r="AJ38" s="1185" t="n"/>
      <c r="AK38" s="1329" t="n"/>
      <c r="AL38" s="35" t="n"/>
      <c r="AM38" s="1183" t="n"/>
      <c r="AN38" s="1385" t="n"/>
      <c r="AO38" s="1386" t="n"/>
      <c r="AP38" s="1387" t="n"/>
      <c r="AQ38" s="1386" t="n"/>
      <c r="AR38" s="1388" t="n"/>
      <c r="AS38" s="1386" t="n"/>
      <c r="AT38" s="1388" t="n"/>
      <c r="AU38" s="1386" t="n"/>
    </row>
    <row r="39" ht="15" customFormat="1" customHeight="1" s="6">
      <c r="A39" s="3785" t="inlineStr">
        <is>
          <t>Neurología pediátrica</t>
        </is>
      </c>
      <c r="B39" s="1179" t="n"/>
      <c r="C39" s="1183" t="n"/>
      <c r="D39" s="1179" t="n"/>
      <c r="E39" s="1183" t="n"/>
      <c r="F39" s="1179" t="n"/>
      <c r="G39" s="1183" t="n"/>
      <c r="H39" s="1179" t="n"/>
      <c r="I39" s="1183" t="n"/>
      <c r="J39" s="1179" t="n"/>
      <c r="K39" s="1183" t="n"/>
      <c r="L39" s="1179" t="n"/>
      <c r="M39" s="1183" t="n"/>
      <c r="N39" s="1179" t="n"/>
      <c r="O39" s="1183" t="n"/>
      <c r="P39" s="1179" t="n"/>
      <c r="Q39" s="1183" t="n"/>
      <c r="R39" s="1381">
        <f>SUM(B39+J39)</f>
        <v/>
      </c>
      <c r="S39" s="1382">
        <f>SUM(C39+K39)</f>
        <v/>
      </c>
      <c r="T39" s="1381">
        <f>SUM(D39+L39)</f>
        <v/>
      </c>
      <c r="U39" s="1382">
        <f>SUM(E39+M39)</f>
        <v/>
      </c>
      <c r="V39" s="1383">
        <f>SUM(F39+N39)</f>
        <v/>
      </c>
      <c r="W39" s="1382">
        <f>SUM(G39+O39)</f>
        <v/>
      </c>
      <c r="X39" s="1381">
        <f>SUM(H39+P39)</f>
        <v/>
      </c>
      <c r="Y39" s="1384">
        <f>SUM(I39+Q39)</f>
        <v/>
      </c>
      <c r="Z39" s="1230" t="n"/>
      <c r="AA39" s="35" t="n"/>
      <c r="AB39" s="1183" t="n"/>
      <c r="AC39" s="1230" t="n"/>
      <c r="AD39" s="1183" t="n"/>
      <c r="AE39" s="1181" t="n"/>
      <c r="AF39" s="1183" t="n"/>
      <c r="AG39" s="1179" t="n"/>
      <c r="AH39" s="1183" t="n"/>
      <c r="AI39" s="1181" t="n"/>
      <c r="AJ39" s="1185" t="n"/>
      <c r="AK39" s="1329" t="n"/>
      <c r="AL39" s="35" t="n"/>
      <c r="AM39" s="1183" t="n"/>
      <c r="AN39" s="1385" t="n"/>
      <c r="AO39" s="1386" t="n"/>
      <c r="AP39" s="1387" t="n"/>
      <c r="AQ39" s="1386" t="n"/>
      <c r="AR39" s="1388" t="n"/>
      <c r="AS39" s="1386" t="n"/>
      <c r="AT39" s="1388" t="n"/>
      <c r="AU39" s="1386" t="n"/>
    </row>
    <row r="40" ht="15" customFormat="1" customHeight="1" s="6">
      <c r="A40" s="3785" t="inlineStr">
        <is>
          <t>Neurología adulto</t>
        </is>
      </c>
      <c r="B40" s="1179" t="n"/>
      <c r="C40" s="1183" t="n"/>
      <c r="D40" s="1179" t="n"/>
      <c r="E40" s="1183" t="n"/>
      <c r="F40" s="1179" t="n"/>
      <c r="G40" s="1183" t="n"/>
      <c r="H40" s="1179" t="n"/>
      <c r="I40" s="1183" t="n"/>
      <c r="J40" s="1179" t="n"/>
      <c r="K40" s="1183" t="n"/>
      <c r="L40" s="1179" t="n"/>
      <c r="M40" s="1183" t="n"/>
      <c r="N40" s="1179" t="n"/>
      <c r="O40" s="1183" t="n"/>
      <c r="P40" s="1179" t="n"/>
      <c r="Q40" s="1183" t="n"/>
      <c r="R40" s="1381">
        <f>SUM(B40+J40)</f>
        <v/>
      </c>
      <c r="S40" s="1382">
        <f>SUM(C40+K40)</f>
        <v/>
      </c>
      <c r="T40" s="1381">
        <f>SUM(D40+L40)</f>
        <v/>
      </c>
      <c r="U40" s="1382">
        <f>SUM(E40+M40)</f>
        <v/>
      </c>
      <c r="V40" s="1383">
        <f>SUM(F40+N40)</f>
        <v/>
      </c>
      <c r="W40" s="1382">
        <f>SUM(G40+O40)</f>
        <v/>
      </c>
      <c r="X40" s="1381">
        <f>SUM(H40+P40)</f>
        <v/>
      </c>
      <c r="Y40" s="1384">
        <f>SUM(I40+Q40)</f>
        <v/>
      </c>
      <c r="Z40" s="1230" t="n"/>
      <c r="AA40" s="35" t="n"/>
      <c r="AB40" s="1183" t="n"/>
      <c r="AC40" s="1230" t="n"/>
      <c r="AD40" s="1183" t="n"/>
      <c r="AE40" s="1181" t="n"/>
      <c r="AF40" s="1183" t="n"/>
      <c r="AG40" s="1179" t="n"/>
      <c r="AH40" s="1183" t="n"/>
      <c r="AI40" s="1181" t="n"/>
      <c r="AJ40" s="1185" t="n"/>
      <c r="AK40" s="1329" t="n"/>
      <c r="AL40" s="35" t="n"/>
      <c r="AM40" s="1183" t="n"/>
      <c r="AN40" s="1385" t="n"/>
      <c r="AO40" s="1386" t="n"/>
      <c r="AP40" s="1387" t="n"/>
      <c r="AQ40" s="1386" t="n"/>
      <c r="AR40" s="1388" t="n"/>
      <c r="AS40" s="1386" t="n"/>
      <c r="AT40" s="1388" t="n"/>
      <c r="AU40" s="1386" t="n"/>
    </row>
    <row r="41" ht="15" customFormat="1" customHeight="1" s="6">
      <c r="A41" s="3785" t="inlineStr">
        <is>
          <t>Oncología médica</t>
        </is>
      </c>
      <c r="B41" s="1179" t="n"/>
      <c r="C41" s="1183" t="n"/>
      <c r="D41" s="1179" t="n"/>
      <c r="E41" s="1183" t="n"/>
      <c r="F41" s="1179" t="n"/>
      <c r="G41" s="1183" t="n"/>
      <c r="H41" s="1179" t="n"/>
      <c r="I41" s="1183" t="n"/>
      <c r="J41" s="1179" t="n"/>
      <c r="K41" s="1183" t="n"/>
      <c r="L41" s="1179" t="n"/>
      <c r="M41" s="1183" t="n"/>
      <c r="N41" s="1179" t="n"/>
      <c r="O41" s="1183" t="n"/>
      <c r="P41" s="1179" t="n"/>
      <c r="Q41" s="1183" t="n"/>
      <c r="R41" s="1381">
        <f>SUM(B41+J41)</f>
        <v/>
      </c>
      <c r="S41" s="1382">
        <f>SUM(C41+K41)</f>
        <v/>
      </c>
      <c r="T41" s="1381">
        <f>SUM(D41+L41)</f>
        <v/>
      </c>
      <c r="U41" s="1382">
        <f>SUM(E41+M41)</f>
        <v/>
      </c>
      <c r="V41" s="1383">
        <f>SUM(F41+N41)</f>
        <v/>
      </c>
      <c r="W41" s="1382">
        <f>SUM(G41+O41)</f>
        <v/>
      </c>
      <c r="X41" s="1381">
        <f>SUM(H41+P41)</f>
        <v/>
      </c>
      <c r="Y41" s="1384">
        <f>SUM(I41+Q41)</f>
        <v/>
      </c>
      <c r="Z41" s="1230" t="n"/>
      <c r="AA41" s="35" t="n"/>
      <c r="AB41" s="1183" t="n"/>
      <c r="AC41" s="1230" t="n"/>
      <c r="AD41" s="1183" t="n"/>
      <c r="AE41" s="1181" t="n"/>
      <c r="AF41" s="1183" t="n"/>
      <c r="AG41" s="1179" t="n"/>
      <c r="AH41" s="1183" t="n"/>
      <c r="AI41" s="1181" t="n"/>
      <c r="AJ41" s="1185" t="n"/>
      <c r="AK41" s="1329" t="n"/>
      <c r="AL41" s="35" t="n"/>
      <c r="AM41" s="1183" t="n"/>
      <c r="AN41" s="1385" t="n"/>
      <c r="AO41" s="1386" t="n"/>
      <c r="AP41" s="1387" t="n"/>
      <c r="AQ41" s="1386" t="n"/>
      <c r="AR41" s="1388" t="n"/>
      <c r="AS41" s="1386" t="n"/>
      <c r="AT41" s="1388" t="n"/>
      <c r="AU41" s="1386" t="n"/>
    </row>
    <row r="42" ht="15" customFormat="1" customHeight="1" s="6">
      <c r="A42" s="3785" t="inlineStr">
        <is>
          <t>Psiquiatría pediátrica y de la adolescencia</t>
        </is>
      </c>
      <c r="B42" s="1179" t="n"/>
      <c r="C42" s="1183" t="n"/>
      <c r="D42" s="1179" t="n"/>
      <c r="E42" s="1183" t="n"/>
      <c r="F42" s="1179" t="n"/>
      <c r="G42" s="1183" t="n"/>
      <c r="H42" s="1179" t="n"/>
      <c r="I42" s="1183" t="n"/>
      <c r="J42" s="1179" t="n"/>
      <c r="K42" s="1183" t="n"/>
      <c r="L42" s="1179" t="n"/>
      <c r="M42" s="1183" t="n"/>
      <c r="N42" s="1179" t="n"/>
      <c r="O42" s="1183" t="n"/>
      <c r="P42" s="1179" t="n"/>
      <c r="Q42" s="1183" t="n"/>
      <c r="R42" s="1381">
        <f>SUM(B42+J42)</f>
        <v/>
      </c>
      <c r="S42" s="1382">
        <f>SUM(C42+K42)</f>
        <v/>
      </c>
      <c r="T42" s="1381">
        <f>SUM(D42+L42)</f>
        <v/>
      </c>
      <c r="U42" s="1382">
        <f>SUM(E42+M42)</f>
        <v/>
      </c>
      <c r="V42" s="1383">
        <f>SUM(F42+N42)</f>
        <v/>
      </c>
      <c r="W42" s="1382">
        <f>SUM(G42+O42)</f>
        <v/>
      </c>
      <c r="X42" s="1381">
        <f>SUM(H42+P42)</f>
        <v/>
      </c>
      <c r="Y42" s="1384">
        <f>SUM(I42+Q42)</f>
        <v/>
      </c>
      <c r="Z42" s="1230" t="n"/>
      <c r="AA42" s="35" t="n"/>
      <c r="AB42" s="1183" t="n"/>
      <c r="AC42" s="1230" t="n"/>
      <c r="AD42" s="1183" t="n"/>
      <c r="AE42" s="1181" t="n"/>
      <c r="AF42" s="1183" t="n"/>
      <c r="AG42" s="1179" t="n"/>
      <c r="AH42" s="1183" t="n"/>
      <c r="AI42" s="1181" t="n"/>
      <c r="AJ42" s="1185" t="n"/>
      <c r="AK42" s="1329" t="n"/>
      <c r="AL42" s="35" t="n"/>
      <c r="AM42" s="1183" t="n"/>
      <c r="AN42" s="1385" t="n"/>
      <c r="AO42" s="1386" t="n"/>
      <c r="AP42" s="1387" t="n"/>
      <c r="AQ42" s="1386" t="n"/>
      <c r="AR42" s="1388" t="n"/>
      <c r="AS42" s="1386" t="n"/>
      <c r="AT42" s="1388" t="n"/>
      <c r="AU42" s="1386" t="n"/>
    </row>
    <row r="43" ht="15" customFormat="1" customHeight="1" s="6">
      <c r="A43" s="3785" t="inlineStr">
        <is>
          <t>Psiquiatría adulto</t>
        </is>
      </c>
      <c r="B43" s="1179" t="n"/>
      <c r="C43" s="1183" t="n"/>
      <c r="D43" s="1179" t="n"/>
      <c r="E43" s="1183" t="n"/>
      <c r="F43" s="1179" t="n"/>
      <c r="G43" s="1183" t="n"/>
      <c r="H43" s="1179" t="n"/>
      <c r="I43" s="1183" t="n"/>
      <c r="J43" s="1179" t="n"/>
      <c r="K43" s="1183" t="n"/>
      <c r="L43" s="1179" t="n"/>
      <c r="M43" s="1183" t="n"/>
      <c r="N43" s="1179" t="n"/>
      <c r="O43" s="1183" t="n"/>
      <c r="P43" s="1179" t="n"/>
      <c r="Q43" s="1183" t="n"/>
      <c r="R43" s="1381">
        <f>SUM(B43+J43)</f>
        <v/>
      </c>
      <c r="S43" s="1382">
        <f>SUM(C43+K43)</f>
        <v/>
      </c>
      <c r="T43" s="1381">
        <f>SUM(D43+L43)</f>
        <v/>
      </c>
      <c r="U43" s="1382">
        <f>SUM(E43+M43)</f>
        <v/>
      </c>
      <c r="V43" s="1383">
        <f>SUM(F43+N43)</f>
        <v/>
      </c>
      <c r="W43" s="1382">
        <f>SUM(G43+O43)</f>
        <v/>
      </c>
      <c r="X43" s="1381">
        <f>SUM(H43+P43)</f>
        <v/>
      </c>
      <c r="Y43" s="1384">
        <f>SUM(I43+Q43)</f>
        <v/>
      </c>
      <c r="Z43" s="1230" t="n"/>
      <c r="AA43" s="35" t="n"/>
      <c r="AB43" s="1183" t="n"/>
      <c r="AC43" s="1230" t="n"/>
      <c r="AD43" s="1183" t="n"/>
      <c r="AE43" s="1181" t="n"/>
      <c r="AF43" s="1183" t="n"/>
      <c r="AG43" s="1179" t="n"/>
      <c r="AH43" s="1183" t="n"/>
      <c r="AI43" s="1181" t="n"/>
      <c r="AJ43" s="1185" t="n"/>
      <c r="AK43" s="1329" t="n"/>
      <c r="AL43" s="35" t="n"/>
      <c r="AM43" s="1183" t="n"/>
      <c r="AN43" s="1385" t="n"/>
      <c r="AO43" s="1386" t="n"/>
      <c r="AP43" s="1387" t="n"/>
      <c r="AQ43" s="1386" t="n"/>
      <c r="AR43" s="1388" t="n"/>
      <c r="AS43" s="1386" t="n"/>
      <c r="AT43" s="1388" t="n"/>
      <c r="AU43" s="1386" t="n"/>
    </row>
    <row r="44" ht="15" customFormat="1" customHeight="1" s="6">
      <c r="A44" s="3785" t="inlineStr">
        <is>
          <t>Cirugía pediátrica</t>
        </is>
      </c>
      <c r="B44" s="1179" t="n"/>
      <c r="C44" s="1183" t="n"/>
      <c r="D44" s="1179" t="n"/>
      <c r="E44" s="1183" t="n"/>
      <c r="F44" s="1179" t="n"/>
      <c r="G44" s="1183" t="n"/>
      <c r="H44" s="1179" t="n"/>
      <c r="I44" s="1183" t="n"/>
      <c r="J44" s="1179" t="n"/>
      <c r="K44" s="1183" t="n"/>
      <c r="L44" s="1179" t="n"/>
      <c r="M44" s="1183" t="n"/>
      <c r="N44" s="1179" t="n"/>
      <c r="O44" s="1183" t="n"/>
      <c r="P44" s="1179" t="n"/>
      <c r="Q44" s="1183" t="n"/>
      <c r="R44" s="1381">
        <f>SUM(B44+J44)</f>
        <v/>
      </c>
      <c r="S44" s="1382">
        <f>SUM(C44+K44)</f>
        <v/>
      </c>
      <c r="T44" s="1381">
        <f>SUM(D44+L44)</f>
        <v/>
      </c>
      <c r="U44" s="1382">
        <f>SUM(E44+M44)</f>
        <v/>
      </c>
      <c r="V44" s="1383">
        <f>SUM(F44+N44)</f>
        <v/>
      </c>
      <c r="W44" s="1382">
        <f>SUM(G44+O44)</f>
        <v/>
      </c>
      <c r="X44" s="1381">
        <f>SUM(H44+P44)</f>
        <v/>
      </c>
      <c r="Y44" s="1384">
        <f>SUM(I44+Q44)</f>
        <v/>
      </c>
      <c r="Z44" s="1230" t="n"/>
      <c r="AA44" s="35" t="n"/>
      <c r="AB44" s="1183" t="n"/>
      <c r="AC44" s="1230" t="n"/>
      <c r="AD44" s="1183" t="n"/>
      <c r="AE44" s="1181" t="n"/>
      <c r="AF44" s="1183" t="n"/>
      <c r="AG44" s="1179" t="n"/>
      <c r="AH44" s="1183" t="n"/>
      <c r="AI44" s="1181" t="n"/>
      <c r="AJ44" s="1185" t="n"/>
      <c r="AK44" s="1329" t="n"/>
      <c r="AL44" s="35" t="n"/>
      <c r="AM44" s="1183" t="n"/>
      <c r="AN44" s="1385" t="n"/>
      <c r="AO44" s="1386" t="n"/>
      <c r="AP44" s="1387" t="n"/>
      <c r="AQ44" s="1386" t="n"/>
      <c r="AR44" s="1388" t="n"/>
      <c r="AS44" s="1386" t="n"/>
      <c r="AT44" s="1388" t="n"/>
      <c r="AU44" s="1386" t="n"/>
    </row>
    <row r="45" ht="15" customFormat="1" customHeight="1" s="6">
      <c r="A45" s="3785" t="inlineStr">
        <is>
          <t>Cirugía General</t>
        </is>
      </c>
      <c r="B45" s="1179" t="n"/>
      <c r="C45" s="1183" t="n"/>
      <c r="D45" s="1179" t="n"/>
      <c r="E45" s="1183" t="n"/>
      <c r="F45" s="1179" t="n"/>
      <c r="G45" s="1183" t="n"/>
      <c r="H45" s="1179" t="n"/>
      <c r="I45" s="1183" t="n"/>
      <c r="J45" s="1179" t="n"/>
      <c r="K45" s="1183" t="n"/>
      <c r="L45" s="1179" t="n"/>
      <c r="M45" s="1183" t="n"/>
      <c r="N45" s="1179" t="n"/>
      <c r="O45" s="1183" t="n"/>
      <c r="P45" s="1179" t="n"/>
      <c r="Q45" s="1183" t="n"/>
      <c r="R45" s="1381">
        <f>SUM(B45+J45)</f>
        <v/>
      </c>
      <c r="S45" s="1382">
        <f>SUM(C45+K45)</f>
        <v/>
      </c>
      <c r="T45" s="1381">
        <f>SUM(D45+L45)</f>
        <v/>
      </c>
      <c r="U45" s="1382">
        <f>SUM(E45+M45)</f>
        <v/>
      </c>
      <c r="V45" s="1383">
        <f>SUM(F45+N45)</f>
        <v/>
      </c>
      <c r="W45" s="1382">
        <f>SUM(G45+O45)</f>
        <v/>
      </c>
      <c r="X45" s="1381">
        <f>SUM(H45+P45)</f>
        <v/>
      </c>
      <c r="Y45" s="1384">
        <f>SUM(I45+Q45)</f>
        <v/>
      </c>
      <c r="Z45" s="1230" t="n"/>
      <c r="AA45" s="35" t="n"/>
      <c r="AB45" s="1183" t="n"/>
      <c r="AC45" s="1230" t="n"/>
      <c r="AD45" s="1183" t="n"/>
      <c r="AE45" s="1181" t="n"/>
      <c r="AF45" s="1183" t="n"/>
      <c r="AG45" s="1179" t="n"/>
      <c r="AH45" s="1183" t="n"/>
      <c r="AI45" s="1181" t="n"/>
      <c r="AJ45" s="1185" t="n"/>
      <c r="AK45" s="1329" t="n"/>
      <c r="AL45" s="35" t="n"/>
      <c r="AM45" s="1183" t="n"/>
      <c r="AN45" s="1385" t="n"/>
      <c r="AO45" s="1386" t="n"/>
      <c r="AP45" s="1387" t="n"/>
      <c r="AQ45" s="1386" t="n"/>
      <c r="AR45" s="1388" t="n"/>
      <c r="AS45" s="1386" t="n"/>
      <c r="AT45" s="1388" t="n"/>
      <c r="AU45" s="1386" t="n"/>
    </row>
    <row r="46" ht="15" customFormat="1" customHeight="1" s="6">
      <c r="A46" s="8347" t="inlineStr">
        <is>
          <t>Cirugía digestiva</t>
        </is>
      </c>
      <c r="B46" s="1179" t="n"/>
      <c r="C46" s="1183" t="n"/>
      <c r="D46" s="1179" t="n"/>
      <c r="E46" s="1183" t="n"/>
      <c r="F46" s="1179" t="n"/>
      <c r="G46" s="1183" t="n"/>
      <c r="H46" s="1179" t="n"/>
      <c r="I46" s="1183" t="n"/>
      <c r="J46" s="1179" t="n"/>
      <c r="K46" s="1183" t="n"/>
      <c r="L46" s="1179" t="n"/>
      <c r="M46" s="1183" t="n"/>
      <c r="N46" s="1179" t="n"/>
      <c r="O46" s="1183" t="n"/>
      <c r="P46" s="1179" t="n"/>
      <c r="Q46" s="1183" t="n"/>
      <c r="R46" s="1381">
        <f>SUM(B46+J46)</f>
        <v/>
      </c>
      <c r="S46" s="1382">
        <f>SUM(C46+K46)</f>
        <v/>
      </c>
      <c r="T46" s="1381">
        <f>SUM(D46+L46)</f>
        <v/>
      </c>
      <c r="U46" s="1382">
        <f>SUM(E46+M46)</f>
        <v/>
      </c>
      <c r="V46" s="1383">
        <f>SUM(F46+N46)</f>
        <v/>
      </c>
      <c r="W46" s="1382">
        <f>SUM(G46+O46)</f>
        <v/>
      </c>
      <c r="X46" s="1381">
        <f>SUM(H46+P46)</f>
        <v/>
      </c>
      <c r="Y46" s="1384">
        <f>SUM(I46+Q46)</f>
        <v/>
      </c>
      <c r="Z46" s="1230" t="n"/>
      <c r="AA46" s="35" t="n"/>
      <c r="AB46" s="1183" t="n"/>
      <c r="AC46" s="1230" t="n"/>
      <c r="AD46" s="1183" t="n"/>
      <c r="AE46" s="1181" t="n"/>
      <c r="AF46" s="1183" t="n"/>
      <c r="AG46" s="1179" t="n"/>
      <c r="AH46" s="1183" t="n"/>
      <c r="AI46" s="1181" t="n"/>
      <c r="AJ46" s="1185" t="n"/>
      <c r="AK46" s="1329" t="n"/>
      <c r="AL46" s="35" t="n"/>
      <c r="AM46" s="1183" t="n"/>
      <c r="AN46" s="1385" t="n"/>
      <c r="AO46" s="1386" t="n"/>
      <c r="AP46" s="1387" t="n"/>
      <c r="AQ46" s="1386" t="n"/>
      <c r="AR46" s="1388" t="n"/>
      <c r="AS46" s="1386" t="n"/>
      <c r="AT46" s="1388" t="n"/>
      <c r="AU46" s="1386" t="n"/>
    </row>
    <row r="47" ht="15" customFormat="1" customHeight="1" s="6">
      <c r="A47" s="4518" t="inlineStr">
        <is>
          <t>Cirugía de cabeza, cuello y maxilofacial</t>
        </is>
      </c>
      <c r="B47" s="1179" t="n"/>
      <c r="C47" s="1183" t="n"/>
      <c r="D47" s="1179" t="n"/>
      <c r="E47" s="1183" t="n"/>
      <c r="F47" s="1179" t="n"/>
      <c r="G47" s="1183" t="n"/>
      <c r="H47" s="1179" t="n"/>
      <c r="I47" s="1183" t="n"/>
      <c r="J47" s="1179" t="n"/>
      <c r="K47" s="1183" t="n"/>
      <c r="L47" s="1179" t="n"/>
      <c r="M47" s="1183" t="n"/>
      <c r="N47" s="1179" t="n"/>
      <c r="O47" s="1183" t="n"/>
      <c r="P47" s="1179" t="n"/>
      <c r="Q47" s="1183" t="n"/>
      <c r="R47" s="1381">
        <f>SUM(B47+J47)</f>
        <v/>
      </c>
      <c r="S47" s="1382">
        <f>SUM(C47+K47)</f>
        <v/>
      </c>
      <c r="T47" s="1381">
        <f>SUM(D47+L47)</f>
        <v/>
      </c>
      <c r="U47" s="1382">
        <f>SUM(E47+M47)</f>
        <v/>
      </c>
      <c r="V47" s="1383">
        <f>SUM(F47+N47)</f>
        <v/>
      </c>
      <c r="W47" s="1382">
        <f>SUM(G47+O47)</f>
        <v/>
      </c>
      <c r="X47" s="1381">
        <f>SUM(H47+P47)</f>
        <v/>
      </c>
      <c r="Y47" s="1384">
        <f>SUM(I47+Q47)</f>
        <v/>
      </c>
      <c r="Z47" s="1230" t="n"/>
      <c r="AA47" s="35" t="n"/>
      <c r="AB47" s="1183" t="n"/>
      <c r="AC47" s="1230" t="n"/>
      <c r="AD47" s="1183" t="n"/>
      <c r="AE47" s="1181" t="n"/>
      <c r="AF47" s="1183" t="n"/>
      <c r="AG47" s="1179" t="n"/>
      <c r="AH47" s="1183" t="n"/>
      <c r="AI47" s="1181" t="n"/>
      <c r="AJ47" s="1185" t="n"/>
      <c r="AK47" s="1329" t="n"/>
      <c r="AL47" s="35" t="n"/>
      <c r="AM47" s="1183" t="n"/>
      <c r="AN47" s="1385" t="n"/>
      <c r="AO47" s="1386" t="n"/>
      <c r="AP47" s="1387" t="n"/>
      <c r="AQ47" s="1386" t="n"/>
      <c r="AR47" s="1388" t="n"/>
      <c r="AS47" s="1386" t="n"/>
      <c r="AT47" s="1388" t="n"/>
      <c r="AU47" s="1386" t="n"/>
    </row>
    <row r="48" ht="15" customFormat="1" customHeight="1" s="6">
      <c r="A48" s="3785" t="inlineStr">
        <is>
          <t xml:space="preserve">Cirugía Plástica y Reparadora </t>
        </is>
      </c>
      <c r="B48" s="1179" t="n"/>
      <c r="C48" s="1183" t="n"/>
      <c r="D48" s="1179" t="n"/>
      <c r="E48" s="1183" t="n"/>
      <c r="F48" s="1179" t="n"/>
      <c r="G48" s="1183" t="n"/>
      <c r="H48" s="1179" t="n"/>
      <c r="I48" s="1183" t="n"/>
      <c r="J48" s="1179" t="n"/>
      <c r="K48" s="1183" t="n"/>
      <c r="L48" s="1179" t="n"/>
      <c r="M48" s="1183" t="n"/>
      <c r="N48" s="1179" t="n"/>
      <c r="O48" s="1183" t="n"/>
      <c r="P48" s="1179" t="n"/>
      <c r="Q48" s="1183" t="n"/>
      <c r="R48" s="1381">
        <f>SUM(B48+J48)</f>
        <v/>
      </c>
      <c r="S48" s="1382">
        <f>SUM(C48+K48)</f>
        <v/>
      </c>
      <c r="T48" s="1381">
        <f>SUM(D48+L48)</f>
        <v/>
      </c>
      <c r="U48" s="1382">
        <f>SUM(E48+M48)</f>
        <v/>
      </c>
      <c r="V48" s="1383">
        <f>SUM(F48+N48)</f>
        <v/>
      </c>
      <c r="W48" s="1382">
        <f>SUM(G48+O48)</f>
        <v/>
      </c>
      <c r="X48" s="1381">
        <f>SUM(H48+P48)</f>
        <v/>
      </c>
      <c r="Y48" s="1384">
        <f>SUM(I48+Q48)</f>
        <v/>
      </c>
      <c r="Z48" s="1230" t="n"/>
      <c r="AA48" s="35" t="n"/>
      <c r="AB48" s="1183" t="n"/>
      <c r="AC48" s="1230" t="n"/>
      <c r="AD48" s="1183" t="n"/>
      <c r="AE48" s="1181" t="n"/>
      <c r="AF48" s="1183" t="n"/>
      <c r="AG48" s="1179" t="n"/>
      <c r="AH48" s="1183" t="n"/>
      <c r="AI48" s="1181" t="n"/>
      <c r="AJ48" s="1185" t="n"/>
      <c r="AK48" s="1329" t="n"/>
      <c r="AL48" s="35" t="n"/>
      <c r="AM48" s="1183" t="n"/>
      <c r="AN48" s="1385" t="n"/>
      <c r="AO48" s="1386" t="n"/>
      <c r="AP48" s="1387" t="n"/>
      <c r="AQ48" s="1386" t="n"/>
      <c r="AR48" s="1388" t="n"/>
      <c r="AS48" s="1386" t="n"/>
      <c r="AT48" s="1388" t="n"/>
      <c r="AU48" s="1386" t="n"/>
    </row>
    <row r="49" ht="15" customFormat="1" customHeight="1" s="6">
      <c r="A49" s="3785" t="inlineStr">
        <is>
          <t>Medicina del Deporte</t>
        </is>
      </c>
      <c r="B49" s="1179" t="n"/>
      <c r="C49" s="1183" t="n"/>
      <c r="D49" s="1179" t="n"/>
      <c r="E49" s="1183" t="n"/>
      <c r="F49" s="1179" t="n"/>
      <c r="G49" s="1183" t="n"/>
      <c r="H49" s="1179" t="n"/>
      <c r="I49" s="1183" t="n"/>
      <c r="J49" s="1179" t="n"/>
      <c r="K49" s="1183" t="n"/>
      <c r="L49" s="1179" t="n"/>
      <c r="M49" s="1183" t="n"/>
      <c r="N49" s="1179" t="n"/>
      <c r="O49" s="1183" t="n"/>
      <c r="P49" s="1179" t="n"/>
      <c r="Q49" s="1183" t="n"/>
      <c r="R49" s="1381">
        <f>SUM(B49+J49)</f>
        <v/>
      </c>
      <c r="S49" s="1382">
        <f>SUM(C49+K49)</f>
        <v/>
      </c>
      <c r="T49" s="1381">
        <f>SUM(D49+L49)</f>
        <v/>
      </c>
      <c r="U49" s="1382">
        <f>SUM(E49+M49)</f>
        <v/>
      </c>
      <c r="V49" s="1383">
        <f>SUM(F49+N49)</f>
        <v/>
      </c>
      <c r="W49" s="1382">
        <f>SUM(G49+O49)</f>
        <v/>
      </c>
      <c r="X49" s="1381">
        <f>SUM(H49+P49)</f>
        <v/>
      </c>
      <c r="Y49" s="1384">
        <f>SUM(I49+Q49)</f>
        <v/>
      </c>
      <c r="Z49" s="1230" t="n"/>
      <c r="AA49" s="35" t="n"/>
      <c r="AB49" s="1183" t="n"/>
      <c r="AC49" s="1230" t="n"/>
      <c r="AD49" s="1183" t="n"/>
      <c r="AE49" s="1181" t="n"/>
      <c r="AF49" s="1183" t="n"/>
      <c r="AG49" s="1179" t="n"/>
      <c r="AH49" s="1183" t="n"/>
      <c r="AI49" s="1181" t="n"/>
      <c r="AJ49" s="1185" t="n"/>
      <c r="AK49" s="1329" t="n"/>
      <c r="AL49" s="35" t="n"/>
      <c r="AM49" s="1183" t="n"/>
      <c r="AN49" s="1385" t="n"/>
      <c r="AO49" s="1386" t="n"/>
      <c r="AP49" s="1387" t="n"/>
      <c r="AQ49" s="1386" t="n"/>
      <c r="AR49" s="1388" t="n"/>
      <c r="AS49" s="1386" t="n"/>
      <c r="AT49" s="1388" t="n"/>
      <c r="AU49" s="1386" t="n"/>
    </row>
    <row r="50" ht="15" customFormat="1" customHeight="1" s="6">
      <c r="A50" s="3785" t="inlineStr">
        <is>
          <t>Coloproctología</t>
        </is>
      </c>
      <c r="B50" s="1179" t="n"/>
      <c r="C50" s="1183" t="n"/>
      <c r="D50" s="1179" t="n"/>
      <c r="E50" s="1183" t="n"/>
      <c r="F50" s="1179" t="n"/>
      <c r="G50" s="1183" t="n"/>
      <c r="H50" s="1179" t="n"/>
      <c r="I50" s="1183" t="n"/>
      <c r="J50" s="1179" t="n"/>
      <c r="K50" s="1183" t="n"/>
      <c r="L50" s="1179" t="n"/>
      <c r="M50" s="1183" t="n"/>
      <c r="N50" s="1179" t="n"/>
      <c r="O50" s="1183" t="n"/>
      <c r="P50" s="1179" t="n"/>
      <c r="Q50" s="1183" t="n"/>
      <c r="R50" s="1381">
        <f>SUM(B50+J50)</f>
        <v/>
      </c>
      <c r="S50" s="1382">
        <f>SUM(C50+K50)</f>
        <v/>
      </c>
      <c r="T50" s="1381">
        <f>SUM(D50+L50)</f>
        <v/>
      </c>
      <c r="U50" s="1382">
        <f>SUM(E50+M50)</f>
        <v/>
      </c>
      <c r="V50" s="1383">
        <f>SUM(F50+N50)</f>
        <v/>
      </c>
      <c r="W50" s="1382">
        <f>SUM(G50+O50)</f>
        <v/>
      </c>
      <c r="X50" s="1381">
        <f>SUM(H50+P50)</f>
        <v/>
      </c>
      <c r="Y50" s="1384">
        <f>SUM(I50+Q50)</f>
        <v/>
      </c>
      <c r="Z50" s="1230" t="n"/>
      <c r="AA50" s="35" t="n"/>
      <c r="AB50" s="1183" t="n"/>
      <c r="AC50" s="1230" t="n"/>
      <c r="AD50" s="1183" t="n"/>
      <c r="AE50" s="1181" t="n"/>
      <c r="AF50" s="1183" t="n"/>
      <c r="AG50" s="1179" t="n"/>
      <c r="AH50" s="1183" t="n"/>
      <c r="AI50" s="1181" t="n"/>
      <c r="AJ50" s="1185" t="n"/>
      <c r="AK50" s="1329" t="n"/>
      <c r="AL50" s="35" t="n"/>
      <c r="AM50" s="1183" t="n"/>
      <c r="AN50" s="1385" t="n"/>
      <c r="AO50" s="1386" t="n"/>
      <c r="AP50" s="1387" t="n"/>
      <c r="AQ50" s="1386" t="n"/>
      <c r="AR50" s="1388" t="n"/>
      <c r="AS50" s="1386" t="n"/>
      <c r="AT50" s="1388" t="n"/>
      <c r="AU50" s="1386" t="n"/>
    </row>
    <row r="51" ht="15" customFormat="1" customHeight="1" s="6">
      <c r="A51" s="3785" t="inlineStr">
        <is>
          <t>Cirugía tórax</t>
        </is>
      </c>
      <c r="B51" s="1179" t="n"/>
      <c r="C51" s="1183" t="n"/>
      <c r="D51" s="1179" t="n"/>
      <c r="E51" s="1183" t="n"/>
      <c r="F51" s="1179" t="n"/>
      <c r="G51" s="1183" t="n"/>
      <c r="H51" s="1179" t="n"/>
      <c r="I51" s="1183" t="n"/>
      <c r="J51" s="1179" t="n"/>
      <c r="K51" s="1183" t="n"/>
      <c r="L51" s="1179" t="n"/>
      <c r="M51" s="1183" t="n"/>
      <c r="N51" s="1179" t="n"/>
      <c r="O51" s="1183" t="n"/>
      <c r="P51" s="1179" t="n"/>
      <c r="Q51" s="1183" t="n"/>
      <c r="R51" s="1381">
        <f>SUM(B51+J51)</f>
        <v/>
      </c>
      <c r="S51" s="1382">
        <f>SUM(C51+K51)</f>
        <v/>
      </c>
      <c r="T51" s="1381">
        <f>SUM(D51+L51)</f>
        <v/>
      </c>
      <c r="U51" s="1382">
        <f>SUM(E51+M51)</f>
        <v/>
      </c>
      <c r="V51" s="1383">
        <f>SUM(F51+N51)</f>
        <v/>
      </c>
      <c r="W51" s="1382">
        <f>SUM(G51+O51)</f>
        <v/>
      </c>
      <c r="X51" s="1381">
        <f>SUM(H51+P51)</f>
        <v/>
      </c>
      <c r="Y51" s="1384">
        <f>SUM(I51+Q51)</f>
        <v/>
      </c>
      <c r="Z51" s="1230" t="n"/>
      <c r="AA51" s="35" t="n"/>
      <c r="AB51" s="1183" t="n"/>
      <c r="AC51" s="1230" t="n"/>
      <c r="AD51" s="1183" t="n"/>
      <c r="AE51" s="1181" t="n"/>
      <c r="AF51" s="1183" t="n"/>
      <c r="AG51" s="1179" t="n"/>
      <c r="AH51" s="1183" t="n"/>
      <c r="AI51" s="1181" t="n"/>
      <c r="AJ51" s="1185" t="n"/>
      <c r="AK51" s="1329" t="n"/>
      <c r="AL51" s="35" t="n"/>
      <c r="AM51" s="1183" t="n"/>
      <c r="AN51" s="1385" t="n"/>
      <c r="AO51" s="1386" t="n"/>
      <c r="AP51" s="1387" t="n"/>
      <c r="AQ51" s="1386" t="n"/>
      <c r="AR51" s="1388" t="n"/>
      <c r="AS51" s="1386" t="n"/>
      <c r="AT51" s="1388" t="n"/>
      <c r="AU51" s="1386" t="n"/>
    </row>
    <row r="52" ht="15" customFormat="1" customHeight="1" s="6">
      <c r="A52" s="3785" t="inlineStr">
        <is>
          <t>Cirugía vascular periferica</t>
        </is>
      </c>
      <c r="B52" s="1179" t="n"/>
      <c r="C52" s="1183" t="n"/>
      <c r="D52" s="1179" t="n"/>
      <c r="E52" s="1183" t="n"/>
      <c r="F52" s="1179" t="n"/>
      <c r="G52" s="1183" t="n"/>
      <c r="H52" s="1179" t="n"/>
      <c r="I52" s="1183" t="n"/>
      <c r="J52" s="1179" t="n"/>
      <c r="K52" s="1183" t="n"/>
      <c r="L52" s="1179" t="n"/>
      <c r="M52" s="1183" t="n"/>
      <c r="N52" s="1179" t="n"/>
      <c r="O52" s="1183" t="n"/>
      <c r="P52" s="1179" t="n"/>
      <c r="Q52" s="1183" t="n"/>
      <c r="R52" s="1381">
        <f>SUM(B52+J52)</f>
        <v/>
      </c>
      <c r="S52" s="1382">
        <f>SUM(C52+K52)</f>
        <v/>
      </c>
      <c r="T52" s="1381">
        <f>SUM(D52+L52)</f>
        <v/>
      </c>
      <c r="U52" s="1382">
        <f>SUM(E52+M52)</f>
        <v/>
      </c>
      <c r="V52" s="1383">
        <f>SUM(F52+N52)</f>
        <v/>
      </c>
      <c r="W52" s="1382">
        <f>SUM(G52+O52)</f>
        <v/>
      </c>
      <c r="X52" s="1381">
        <f>SUM(H52+P52)</f>
        <v/>
      </c>
      <c r="Y52" s="1384">
        <f>SUM(I52+Q52)</f>
        <v/>
      </c>
      <c r="Z52" s="1230" t="n"/>
      <c r="AA52" s="35" t="n"/>
      <c r="AB52" s="1183" t="n"/>
      <c r="AC52" s="1230" t="n"/>
      <c r="AD52" s="1183" t="n"/>
      <c r="AE52" s="1181" t="n"/>
      <c r="AF52" s="1183" t="n"/>
      <c r="AG52" s="1179" t="n"/>
      <c r="AH52" s="1183" t="n"/>
      <c r="AI52" s="1181" t="n"/>
      <c r="AJ52" s="1185" t="n"/>
      <c r="AK52" s="1329" t="n"/>
      <c r="AL52" s="35" t="n"/>
      <c r="AM52" s="1183" t="n"/>
      <c r="AN52" s="1385" t="n"/>
      <c r="AO52" s="1386" t="n"/>
      <c r="AP52" s="1387" t="n"/>
      <c r="AQ52" s="1386" t="n"/>
      <c r="AR52" s="1388" t="n"/>
      <c r="AS52" s="1386" t="n"/>
      <c r="AT52" s="1388" t="n"/>
      <c r="AU52" s="1386" t="n"/>
    </row>
    <row r="53" ht="15" customFormat="1" customHeight="1" s="6">
      <c r="A53" s="3785" t="inlineStr">
        <is>
          <t>Neurocirugía</t>
        </is>
      </c>
      <c r="B53" s="1179" t="n"/>
      <c r="C53" s="1183" t="n"/>
      <c r="D53" s="1179" t="n"/>
      <c r="E53" s="1183" t="n"/>
      <c r="F53" s="1179" t="n"/>
      <c r="G53" s="1183" t="n"/>
      <c r="H53" s="1179" t="n"/>
      <c r="I53" s="1183" t="n"/>
      <c r="J53" s="1179" t="n"/>
      <c r="K53" s="1183" t="n"/>
      <c r="L53" s="1179" t="n"/>
      <c r="M53" s="1183" t="n"/>
      <c r="N53" s="1179" t="n"/>
      <c r="O53" s="1183" t="n"/>
      <c r="P53" s="1179" t="n"/>
      <c r="Q53" s="1183" t="n"/>
      <c r="R53" s="1381">
        <f>SUM(B53+J53)</f>
        <v/>
      </c>
      <c r="S53" s="1382">
        <f>SUM(C53+K53)</f>
        <v/>
      </c>
      <c r="T53" s="1381">
        <f>SUM(D53+L53)</f>
        <v/>
      </c>
      <c r="U53" s="1382">
        <f>SUM(E53+M53)</f>
        <v/>
      </c>
      <c r="V53" s="1383">
        <f>SUM(F53+N53)</f>
        <v/>
      </c>
      <c r="W53" s="1382">
        <f>SUM(G53+O53)</f>
        <v/>
      </c>
      <c r="X53" s="1381">
        <f>SUM(H53+P53)</f>
        <v/>
      </c>
      <c r="Y53" s="1384">
        <f>SUM(I53+Q53)</f>
        <v/>
      </c>
      <c r="Z53" s="1230" t="n"/>
      <c r="AA53" s="35" t="n"/>
      <c r="AB53" s="1183" t="n"/>
      <c r="AC53" s="1230" t="n"/>
      <c r="AD53" s="1183" t="n"/>
      <c r="AE53" s="1181" t="n"/>
      <c r="AF53" s="1183" t="n"/>
      <c r="AG53" s="1179" t="n"/>
      <c r="AH53" s="1183" t="n"/>
      <c r="AI53" s="1181" t="n"/>
      <c r="AJ53" s="1185" t="n"/>
      <c r="AK53" s="1329" t="n"/>
      <c r="AL53" s="35" t="n"/>
      <c r="AM53" s="1183" t="n"/>
      <c r="AN53" s="1385" t="n"/>
      <c r="AO53" s="1386" t="n"/>
      <c r="AP53" s="1387" t="n"/>
      <c r="AQ53" s="1386" t="n"/>
      <c r="AR53" s="1388" t="n"/>
      <c r="AS53" s="1386" t="n"/>
      <c r="AT53" s="1388" t="n"/>
      <c r="AU53" s="1386" t="n"/>
    </row>
    <row r="54" ht="15" customFormat="1" customHeight="1" s="6">
      <c r="A54" s="3785" t="inlineStr">
        <is>
          <t>Cirugía cardiovascular</t>
        </is>
      </c>
      <c r="B54" s="1179" t="n"/>
      <c r="C54" s="1183" t="n"/>
      <c r="D54" s="1179" t="n"/>
      <c r="E54" s="1183" t="n"/>
      <c r="F54" s="1179" t="n"/>
      <c r="G54" s="1183" t="n"/>
      <c r="H54" s="1179" t="n"/>
      <c r="I54" s="1183" t="n"/>
      <c r="J54" s="1179" t="n"/>
      <c r="K54" s="1183" t="n"/>
      <c r="L54" s="1179" t="n"/>
      <c r="M54" s="1183" t="n"/>
      <c r="N54" s="1179" t="n"/>
      <c r="O54" s="1183" t="n"/>
      <c r="P54" s="1179" t="n"/>
      <c r="Q54" s="1183" t="n"/>
      <c r="R54" s="1381">
        <f>SUM(B54+J54)</f>
        <v/>
      </c>
      <c r="S54" s="1382">
        <f>SUM(C54+K54)</f>
        <v/>
      </c>
      <c r="T54" s="1381">
        <f>SUM(D54+L54)</f>
        <v/>
      </c>
      <c r="U54" s="1382">
        <f>SUM(E54+M54)</f>
        <v/>
      </c>
      <c r="V54" s="1383">
        <f>SUM(F54+N54)</f>
        <v/>
      </c>
      <c r="W54" s="1382">
        <f>SUM(G54+O54)</f>
        <v/>
      </c>
      <c r="X54" s="1381">
        <f>SUM(H54+P54)</f>
        <v/>
      </c>
      <c r="Y54" s="1384">
        <f>SUM(I54+Q54)</f>
        <v/>
      </c>
      <c r="Z54" s="1230" t="n"/>
      <c r="AA54" s="35" t="n"/>
      <c r="AB54" s="1183" t="n"/>
      <c r="AC54" s="1230" t="n"/>
      <c r="AD54" s="1183" t="n"/>
      <c r="AE54" s="1181" t="n"/>
      <c r="AF54" s="1183" t="n"/>
      <c r="AG54" s="1179" t="n"/>
      <c r="AH54" s="1183" t="n"/>
      <c r="AI54" s="1181" t="n"/>
      <c r="AJ54" s="1185" t="n"/>
      <c r="AK54" s="1329" t="n"/>
      <c r="AL54" s="35" t="n"/>
      <c r="AM54" s="1183" t="n"/>
      <c r="AN54" s="1385" t="n"/>
      <c r="AO54" s="1386" t="n"/>
      <c r="AP54" s="1387" t="n"/>
      <c r="AQ54" s="1386" t="n"/>
      <c r="AR54" s="1388" t="n"/>
      <c r="AS54" s="1386" t="n"/>
      <c r="AT54" s="1388" t="n"/>
      <c r="AU54" s="1386" t="n"/>
    </row>
    <row r="55" ht="15" customFormat="1" customHeight="1" s="6">
      <c r="A55" s="8320" t="inlineStr">
        <is>
          <t>Anestesiología</t>
        </is>
      </c>
      <c r="B55" s="1179" t="n"/>
      <c r="C55" s="1183" t="n"/>
      <c r="D55" s="1179" t="n"/>
      <c r="E55" s="1183" t="n"/>
      <c r="F55" s="1179" t="n"/>
      <c r="G55" s="1183" t="n"/>
      <c r="H55" s="1179" t="n"/>
      <c r="I55" s="1183" t="n"/>
      <c r="J55" s="1179" t="n"/>
      <c r="K55" s="1183" t="n"/>
      <c r="L55" s="1179" t="n"/>
      <c r="M55" s="1183" t="n"/>
      <c r="N55" s="1179" t="n"/>
      <c r="O55" s="1183" t="n"/>
      <c r="P55" s="1179" t="n"/>
      <c r="Q55" s="1183" t="n"/>
      <c r="R55" s="1381">
        <f>SUM(B55+J55)</f>
        <v/>
      </c>
      <c r="S55" s="1382">
        <f>SUM(C55+K55)</f>
        <v/>
      </c>
      <c r="T55" s="1381">
        <f>SUM(D55+L55)</f>
        <v/>
      </c>
      <c r="U55" s="1382">
        <f>SUM(E55+M55)</f>
        <v/>
      </c>
      <c r="V55" s="1383">
        <f>SUM(F55+N55)</f>
        <v/>
      </c>
      <c r="W55" s="1382">
        <f>SUM(G55+O55)</f>
        <v/>
      </c>
      <c r="X55" s="1381">
        <f>SUM(H55+P55)</f>
        <v/>
      </c>
      <c r="Y55" s="1384">
        <f>SUM(I55+Q55)</f>
        <v/>
      </c>
      <c r="Z55" s="1230" t="n"/>
      <c r="AA55" s="35" t="n"/>
      <c r="AB55" s="1183" t="n"/>
      <c r="AC55" s="1230" t="n"/>
      <c r="AD55" s="1183" t="n"/>
      <c r="AE55" s="1181" t="n"/>
      <c r="AF55" s="1183" t="n"/>
      <c r="AG55" s="1179" t="n"/>
      <c r="AH55" s="1183" t="n"/>
      <c r="AI55" s="1181" t="n"/>
      <c r="AJ55" s="1185" t="n"/>
      <c r="AK55" s="1329" t="n"/>
      <c r="AL55" s="35" t="n"/>
      <c r="AM55" s="1183" t="n"/>
      <c r="AN55" s="1385" t="n"/>
      <c r="AO55" s="1386" t="n"/>
      <c r="AP55" s="1387" t="n"/>
      <c r="AQ55" s="1386" t="n"/>
      <c r="AR55" s="1388" t="n"/>
      <c r="AS55" s="1386" t="n"/>
      <c r="AT55" s="1388" t="n"/>
      <c r="AU55" s="1386" t="n"/>
    </row>
    <row r="56" ht="15" customFormat="1" customHeight="1" s="6">
      <c r="A56" s="4518" t="inlineStr">
        <is>
          <t>Obstetricia y Ginecología</t>
        </is>
      </c>
      <c r="B56" s="1179" t="n"/>
      <c r="C56" s="1183" t="n"/>
      <c r="D56" s="1179" t="n"/>
      <c r="E56" s="1183" t="n"/>
      <c r="F56" s="1179" t="n"/>
      <c r="G56" s="1183" t="n"/>
      <c r="H56" s="1179" t="n"/>
      <c r="I56" s="1183" t="n"/>
      <c r="J56" s="1179" t="n"/>
      <c r="K56" s="1183" t="n"/>
      <c r="L56" s="1179" t="n"/>
      <c r="M56" s="1183" t="n"/>
      <c r="N56" s="1179" t="n"/>
      <c r="O56" s="1183" t="n"/>
      <c r="P56" s="1179" t="n"/>
      <c r="Q56" s="1183" t="n"/>
      <c r="R56" s="1381">
        <f>SUM(B56+J56)</f>
        <v/>
      </c>
      <c r="S56" s="1382">
        <f>SUM(C56+K56)</f>
        <v/>
      </c>
      <c r="T56" s="1381">
        <f>SUM(D56+L56)</f>
        <v/>
      </c>
      <c r="U56" s="1382">
        <f>SUM(E56+M56)</f>
        <v/>
      </c>
      <c r="V56" s="1383">
        <f>SUM(F56+N56)</f>
        <v/>
      </c>
      <c r="W56" s="1382">
        <f>SUM(G56+O56)</f>
        <v/>
      </c>
      <c r="X56" s="1381">
        <f>SUM(H56+P56)</f>
        <v/>
      </c>
      <c r="Y56" s="1384">
        <f>SUM(I56+Q56)</f>
        <v/>
      </c>
      <c r="Z56" s="1230" t="n"/>
      <c r="AA56" s="35" t="n"/>
      <c r="AB56" s="1183" t="n"/>
      <c r="AC56" s="1230" t="n"/>
      <c r="AD56" s="1183" t="n"/>
      <c r="AE56" s="1181" t="n"/>
      <c r="AF56" s="1183" t="n"/>
      <c r="AG56" s="1179" t="n"/>
      <c r="AH56" s="1183" t="n"/>
      <c r="AI56" s="1181" t="n"/>
      <c r="AJ56" s="1185" t="n"/>
      <c r="AK56" s="1329" t="n"/>
      <c r="AL56" s="35" t="n"/>
      <c r="AM56" s="1183" t="n"/>
      <c r="AN56" s="1385" t="n"/>
      <c r="AO56" s="1386" t="n"/>
      <c r="AP56" s="1387" t="n"/>
      <c r="AQ56" s="1386" t="n"/>
      <c r="AR56" s="1388" t="n"/>
      <c r="AS56" s="1386" t="n"/>
      <c r="AT56" s="1388" t="n"/>
      <c r="AU56" s="1386" t="n"/>
    </row>
    <row r="57" ht="15" customFormat="1" customHeight="1" s="6">
      <c r="A57" s="4518" t="inlineStr">
        <is>
          <t xml:space="preserve">Ginecología oncológica </t>
        </is>
      </c>
      <c r="B57" s="1179" t="n"/>
      <c r="C57" s="1183" t="n"/>
      <c r="D57" s="1179" t="n"/>
      <c r="E57" s="1183" t="n"/>
      <c r="F57" s="1179" t="n"/>
      <c r="G57" s="1183" t="n"/>
      <c r="H57" s="1179" t="n"/>
      <c r="I57" s="1183" t="n"/>
      <c r="J57" s="1179" t="n"/>
      <c r="K57" s="1183" t="n"/>
      <c r="L57" s="1179" t="n"/>
      <c r="M57" s="1183" t="n"/>
      <c r="N57" s="1179" t="n"/>
      <c r="O57" s="1183" t="n"/>
      <c r="P57" s="1179" t="n"/>
      <c r="Q57" s="1183" t="n"/>
      <c r="R57" s="1381">
        <f>SUM(B57+J57)</f>
        <v/>
      </c>
      <c r="S57" s="1382">
        <f>SUM(C57+K57)</f>
        <v/>
      </c>
      <c r="T57" s="1381">
        <f>SUM(D57+L57)</f>
        <v/>
      </c>
      <c r="U57" s="1382">
        <f>SUM(E57+M57)</f>
        <v/>
      </c>
      <c r="V57" s="1383">
        <f>SUM(F57+N57)</f>
        <v/>
      </c>
      <c r="W57" s="1382">
        <f>SUM(G57+O57)</f>
        <v/>
      </c>
      <c r="X57" s="1381">
        <f>SUM(H57+P57)</f>
        <v/>
      </c>
      <c r="Y57" s="1384">
        <f>SUM(I57+Q57)</f>
        <v/>
      </c>
      <c r="Z57" s="1230" t="n"/>
      <c r="AA57" s="35" t="n"/>
      <c r="AB57" s="1183" t="n"/>
      <c r="AC57" s="1230" t="n"/>
      <c r="AD57" s="1183" t="n"/>
      <c r="AE57" s="1181" t="n"/>
      <c r="AF57" s="1183" t="n"/>
      <c r="AG57" s="1179" t="n"/>
      <c r="AH57" s="1183" t="n"/>
      <c r="AI57" s="1181" t="n"/>
      <c r="AJ57" s="1185" t="n"/>
      <c r="AK57" s="1329" t="n"/>
      <c r="AL57" s="35" t="n"/>
      <c r="AM57" s="1183" t="n"/>
      <c r="AN57" s="1385" t="n"/>
      <c r="AO57" s="1386" t="n"/>
      <c r="AP57" s="1387" t="n"/>
      <c r="AQ57" s="1386" t="n"/>
      <c r="AR57" s="1388" t="n"/>
      <c r="AS57" s="1386" t="n"/>
      <c r="AT57" s="1388" t="n"/>
      <c r="AU57" s="1386" t="n"/>
    </row>
    <row r="58" ht="15" customFormat="1" customHeight="1" s="6">
      <c r="A58" s="288" t="inlineStr">
        <is>
          <t>Neurorradiologia</t>
        </is>
      </c>
      <c r="B58" s="1179" t="n"/>
      <c r="C58" s="1183" t="n"/>
      <c r="D58" s="1179" t="n"/>
      <c r="E58" s="1183" t="n"/>
      <c r="F58" s="1179" t="n"/>
      <c r="G58" s="1183" t="n"/>
      <c r="H58" s="1179" t="n"/>
      <c r="I58" s="1183" t="n"/>
      <c r="J58" s="1179" t="n"/>
      <c r="K58" s="1183" t="n"/>
      <c r="L58" s="1179" t="n"/>
      <c r="M58" s="1183" t="n"/>
      <c r="N58" s="1179" t="n"/>
      <c r="O58" s="1183" t="n"/>
      <c r="P58" s="1179" t="n"/>
      <c r="Q58" s="1183" t="n"/>
      <c r="R58" s="1381">
        <f>SUM(B58+J58)</f>
        <v/>
      </c>
      <c r="S58" s="1382">
        <f>SUM(C58+K58)</f>
        <v/>
      </c>
      <c r="T58" s="1381">
        <f>SUM(D58+L58)</f>
        <v/>
      </c>
      <c r="U58" s="1382">
        <f>SUM(E58+M58)</f>
        <v/>
      </c>
      <c r="V58" s="1383">
        <f>SUM(F58+N58)</f>
        <v/>
      </c>
      <c r="W58" s="1382">
        <f>SUM(G58+O58)</f>
        <v/>
      </c>
      <c r="X58" s="1381">
        <f>SUM(H58+P58)</f>
        <v/>
      </c>
      <c r="Y58" s="1384">
        <f>SUM(I58+Q58)</f>
        <v/>
      </c>
      <c r="Z58" s="1230" t="n"/>
      <c r="AA58" s="35" t="n"/>
      <c r="AB58" s="1183" t="n"/>
      <c r="AC58" s="1230" t="n"/>
      <c r="AD58" s="1183" t="n"/>
      <c r="AE58" s="1181" t="n"/>
      <c r="AF58" s="1183" t="n"/>
      <c r="AG58" s="1179" t="n"/>
      <c r="AH58" s="1183" t="n"/>
      <c r="AI58" s="1181" t="n"/>
      <c r="AJ58" s="1185" t="n"/>
      <c r="AK58" s="1329" t="n"/>
      <c r="AL58" s="35" t="n"/>
      <c r="AM58" s="1183" t="n"/>
      <c r="AN58" s="1385" t="n"/>
      <c r="AO58" s="1386" t="n"/>
      <c r="AP58" s="1387" t="n"/>
      <c r="AQ58" s="1386" t="n"/>
      <c r="AR58" s="1388" t="n"/>
      <c r="AS58" s="1386" t="n"/>
      <c r="AT58" s="1388" t="n"/>
      <c r="AU58" s="1386" t="n"/>
    </row>
    <row r="59" ht="15" customFormat="1" customHeight="1" s="6">
      <c r="A59" s="3785" t="inlineStr">
        <is>
          <t>Oftalmología</t>
        </is>
      </c>
      <c r="B59" s="1179" t="n"/>
      <c r="C59" s="1183" t="n"/>
      <c r="D59" s="1179" t="n"/>
      <c r="E59" s="1183" t="n"/>
      <c r="F59" s="1179" t="n"/>
      <c r="G59" s="1183" t="n"/>
      <c r="H59" s="1179" t="n"/>
      <c r="I59" s="1183" t="n"/>
      <c r="J59" s="1179" t="n"/>
      <c r="K59" s="1183" t="n"/>
      <c r="L59" s="1179" t="n"/>
      <c r="M59" s="1183" t="n"/>
      <c r="N59" s="1179" t="n"/>
      <c r="O59" s="1183" t="n"/>
      <c r="P59" s="1179" t="n"/>
      <c r="Q59" s="1183" t="n"/>
      <c r="R59" s="1381">
        <f>SUM(B59+J59)</f>
        <v/>
      </c>
      <c r="S59" s="1382">
        <f>SUM(C59+K59)</f>
        <v/>
      </c>
      <c r="T59" s="1381">
        <f>SUM(D59+L59)</f>
        <v/>
      </c>
      <c r="U59" s="1382">
        <f>SUM(E59+M59)</f>
        <v/>
      </c>
      <c r="V59" s="1383">
        <f>SUM(F59+N59)</f>
        <v/>
      </c>
      <c r="W59" s="1382">
        <f>SUM(G59+O59)</f>
        <v/>
      </c>
      <c r="X59" s="1381">
        <f>SUM(H59+P59)</f>
        <v/>
      </c>
      <c r="Y59" s="1384">
        <f>SUM(I59+Q59)</f>
        <v/>
      </c>
      <c r="Z59" s="1230" t="n"/>
      <c r="AA59" s="35" t="n"/>
      <c r="AB59" s="1183" t="n"/>
      <c r="AC59" s="1230" t="n"/>
      <c r="AD59" s="1183" t="n"/>
      <c r="AE59" s="1181" t="n"/>
      <c r="AF59" s="1183" t="n"/>
      <c r="AG59" s="1179" t="n"/>
      <c r="AH59" s="1183" t="n"/>
      <c r="AI59" s="1181" t="n"/>
      <c r="AJ59" s="1185" t="n"/>
      <c r="AK59" s="1329" t="n"/>
      <c r="AL59" s="35" t="n"/>
      <c r="AM59" s="1183" t="n"/>
      <c r="AN59" s="1385" t="n"/>
      <c r="AO59" s="1386" t="n"/>
      <c r="AP59" s="1387" t="n"/>
      <c r="AQ59" s="1386" t="n"/>
      <c r="AR59" s="1388" t="n"/>
      <c r="AS59" s="1386" t="n"/>
      <c r="AT59" s="1388" t="n"/>
      <c r="AU59" s="1386" t="n"/>
    </row>
    <row r="60" ht="15" customFormat="1" customHeight="1" s="6">
      <c r="A60" s="3785" t="inlineStr">
        <is>
          <t>Otorrinolaringología</t>
        </is>
      </c>
      <c r="B60" s="1179" t="n"/>
      <c r="C60" s="1183" t="n"/>
      <c r="D60" s="1179" t="n"/>
      <c r="E60" s="1183" t="n"/>
      <c r="F60" s="1179" t="n"/>
      <c r="G60" s="1183" t="n"/>
      <c r="H60" s="1179" t="n"/>
      <c r="I60" s="1183" t="n"/>
      <c r="J60" s="1179" t="n"/>
      <c r="K60" s="1183" t="n"/>
      <c r="L60" s="1179" t="n"/>
      <c r="M60" s="1183" t="n"/>
      <c r="N60" s="1179" t="n"/>
      <c r="O60" s="1183" t="n"/>
      <c r="P60" s="1179" t="n"/>
      <c r="Q60" s="1183" t="n"/>
      <c r="R60" s="1381">
        <f>SUM(B60+J60)</f>
        <v/>
      </c>
      <c r="S60" s="1382">
        <f>SUM(C60+K60)</f>
        <v/>
      </c>
      <c r="T60" s="1381">
        <f>SUM(D60+L60)</f>
        <v/>
      </c>
      <c r="U60" s="1382">
        <f>SUM(E60+M60)</f>
        <v/>
      </c>
      <c r="V60" s="1383">
        <f>SUM(F60+N60)</f>
        <v/>
      </c>
      <c r="W60" s="1382">
        <f>SUM(G60+O60)</f>
        <v/>
      </c>
      <c r="X60" s="1381">
        <f>SUM(H60+P60)</f>
        <v/>
      </c>
      <c r="Y60" s="1384">
        <f>SUM(I60+Q60)</f>
        <v/>
      </c>
      <c r="Z60" s="1230" t="n"/>
      <c r="AA60" s="35" t="n"/>
      <c r="AB60" s="1183" t="n"/>
      <c r="AC60" s="1230" t="n"/>
      <c r="AD60" s="1183" t="n"/>
      <c r="AE60" s="1181" t="n"/>
      <c r="AF60" s="1183" t="n"/>
      <c r="AG60" s="1179" t="n"/>
      <c r="AH60" s="1183" t="n"/>
      <c r="AI60" s="1181" t="n"/>
      <c r="AJ60" s="1185" t="n"/>
      <c r="AK60" s="1329" t="n"/>
      <c r="AL60" s="35" t="n"/>
      <c r="AM60" s="1183" t="n"/>
      <c r="AN60" s="1385" t="n"/>
      <c r="AO60" s="1386" t="n"/>
      <c r="AP60" s="1387" t="n"/>
      <c r="AQ60" s="1386" t="n"/>
      <c r="AR60" s="1388" t="n"/>
      <c r="AS60" s="1386" t="n"/>
      <c r="AT60" s="1388" t="n"/>
      <c r="AU60" s="1386" t="n"/>
    </row>
    <row r="61" ht="15" customFormat="1" customHeight="1" s="6">
      <c r="A61" s="3785" t="inlineStr">
        <is>
          <t>Traumatología y Ortopedia</t>
        </is>
      </c>
      <c r="B61" s="1179" t="n"/>
      <c r="C61" s="1183" t="n"/>
      <c r="D61" s="1179" t="n"/>
      <c r="E61" s="1183" t="n"/>
      <c r="F61" s="1179" t="n"/>
      <c r="G61" s="1183" t="n"/>
      <c r="H61" s="1179" t="n"/>
      <c r="I61" s="1183" t="n"/>
      <c r="J61" s="1179" t="n"/>
      <c r="K61" s="1183" t="n"/>
      <c r="L61" s="1179" t="n"/>
      <c r="M61" s="1183" t="n"/>
      <c r="N61" s="1179" t="n"/>
      <c r="O61" s="1183" t="n"/>
      <c r="P61" s="1179" t="n"/>
      <c r="Q61" s="1183" t="n"/>
      <c r="R61" s="1381">
        <f>SUM(B61+J61)</f>
        <v/>
      </c>
      <c r="S61" s="1382">
        <f>SUM(C61+K61)</f>
        <v/>
      </c>
      <c r="T61" s="1381">
        <f>SUM(D61+L61)</f>
        <v/>
      </c>
      <c r="U61" s="1382">
        <f>SUM(E61+M61)</f>
        <v/>
      </c>
      <c r="V61" s="1383">
        <f>SUM(F61+N61)</f>
        <v/>
      </c>
      <c r="W61" s="1382">
        <f>SUM(G61+O61)</f>
        <v/>
      </c>
      <c r="X61" s="1381">
        <f>SUM(H61+P61)</f>
        <v/>
      </c>
      <c r="Y61" s="1384">
        <f>SUM(I61+Q61)</f>
        <v/>
      </c>
      <c r="Z61" s="1230" t="n"/>
      <c r="AA61" s="35" t="n"/>
      <c r="AB61" s="1183" t="n"/>
      <c r="AC61" s="1230" t="n"/>
      <c r="AD61" s="1183" t="n"/>
      <c r="AE61" s="1181" t="n"/>
      <c r="AF61" s="1183" t="n"/>
      <c r="AG61" s="1179" t="n"/>
      <c r="AH61" s="1183" t="n"/>
      <c r="AI61" s="1181" t="n"/>
      <c r="AJ61" s="1185" t="n"/>
      <c r="AK61" s="1329" t="n"/>
      <c r="AL61" s="35" t="n"/>
      <c r="AM61" s="1183" t="n"/>
      <c r="AN61" s="1385" t="n"/>
      <c r="AO61" s="1386" t="n"/>
      <c r="AP61" s="1387" t="n"/>
      <c r="AQ61" s="1386" t="n"/>
      <c r="AR61" s="1388" t="n"/>
      <c r="AS61" s="1386" t="n"/>
      <c r="AT61" s="1388" t="n"/>
      <c r="AU61" s="1386" t="n"/>
    </row>
    <row r="62" ht="15" customFormat="1" customHeight="1" s="6">
      <c r="A62" s="3785" t="inlineStr">
        <is>
          <t>Urología</t>
        </is>
      </c>
      <c r="B62" s="1179" t="n"/>
      <c r="C62" s="1183" t="n"/>
      <c r="D62" s="1179" t="n"/>
      <c r="E62" s="1183" t="n"/>
      <c r="F62" s="1179" t="n"/>
      <c r="G62" s="1183" t="n"/>
      <c r="H62" s="1179" t="n"/>
      <c r="I62" s="1183" t="n"/>
      <c r="J62" s="1179" t="n"/>
      <c r="K62" s="1183" t="n"/>
      <c r="L62" s="1179" t="n"/>
      <c r="M62" s="1183" t="n"/>
      <c r="N62" s="1179" t="n"/>
      <c r="O62" s="1183" t="n"/>
      <c r="P62" s="1179" t="n"/>
      <c r="Q62" s="1183" t="n"/>
      <c r="R62" s="1381">
        <f>SUM(B62+J62)</f>
        <v/>
      </c>
      <c r="S62" s="1382">
        <f>SUM(C62+K62)</f>
        <v/>
      </c>
      <c r="T62" s="1381">
        <f>SUM(D62+L62)</f>
        <v/>
      </c>
      <c r="U62" s="1382">
        <f>SUM(E62+M62)</f>
        <v/>
      </c>
      <c r="V62" s="1383">
        <f>SUM(F62+N62)</f>
        <v/>
      </c>
      <c r="W62" s="1382">
        <f>SUM(G62+O62)</f>
        <v/>
      </c>
      <c r="X62" s="1381">
        <f>SUM(H62+P62)</f>
        <v/>
      </c>
      <c r="Y62" s="1384">
        <f>SUM(I62+Q62)</f>
        <v/>
      </c>
      <c r="Z62" s="1230" t="n"/>
      <c r="AA62" s="35" t="n"/>
      <c r="AB62" s="1183" t="n"/>
      <c r="AC62" s="1230" t="n"/>
      <c r="AD62" s="1183" t="n"/>
      <c r="AE62" s="1181" t="n"/>
      <c r="AF62" s="1183" t="n"/>
      <c r="AG62" s="1179" t="n"/>
      <c r="AH62" s="1183" t="n"/>
      <c r="AI62" s="1181" t="n"/>
      <c r="AJ62" s="1185" t="n"/>
      <c r="AK62" s="1329" t="n"/>
      <c r="AL62" s="35" t="n"/>
      <c r="AM62" s="1183" t="n"/>
      <c r="AN62" s="1385" t="n"/>
      <c r="AO62" s="1386" t="n"/>
      <c r="AP62" s="1387" t="n"/>
      <c r="AQ62" s="1386" t="n"/>
      <c r="AR62" s="1388" t="n"/>
      <c r="AS62" s="1386" t="n"/>
      <c r="AT62" s="1388" t="n"/>
      <c r="AU62" s="1386" t="n"/>
    </row>
    <row r="63" ht="15" customFormat="1" customHeight="1" s="6">
      <c r="A63" s="3785" t="inlineStr">
        <is>
          <t>Medicina familiar</t>
        </is>
      </c>
      <c r="B63" s="1179" t="n"/>
      <c r="C63" s="1183" t="n"/>
      <c r="D63" s="1179" t="n"/>
      <c r="E63" s="1183" t="n"/>
      <c r="F63" s="1179" t="n"/>
      <c r="G63" s="1183" t="n"/>
      <c r="H63" s="1179" t="n"/>
      <c r="I63" s="1183" t="n"/>
      <c r="J63" s="1179" t="n"/>
      <c r="K63" s="1183" t="n"/>
      <c r="L63" s="1179" t="n"/>
      <c r="M63" s="1183" t="n"/>
      <c r="N63" s="1179" t="n"/>
      <c r="O63" s="1183" t="n"/>
      <c r="P63" s="1179" t="n"/>
      <c r="Q63" s="1183" t="n"/>
      <c r="R63" s="1381">
        <f>SUM(B63+J63)</f>
        <v/>
      </c>
      <c r="S63" s="1382">
        <f>SUM(C63+K63)</f>
        <v/>
      </c>
      <c r="T63" s="1381">
        <f>SUM(D63+L63)</f>
        <v/>
      </c>
      <c r="U63" s="1382">
        <f>SUM(E63+M63)</f>
        <v/>
      </c>
      <c r="V63" s="1383">
        <f>SUM(F63+N63)</f>
        <v/>
      </c>
      <c r="W63" s="1382">
        <f>SUM(G63+O63)</f>
        <v/>
      </c>
      <c r="X63" s="1381">
        <f>SUM(H63+P63)</f>
        <v/>
      </c>
      <c r="Y63" s="1384">
        <f>SUM(I63+Q63)</f>
        <v/>
      </c>
      <c r="Z63" s="1230" t="n"/>
      <c r="AA63" s="35" t="n"/>
      <c r="AB63" s="1183" t="n"/>
      <c r="AC63" s="1230" t="n"/>
      <c r="AD63" s="1183" t="n"/>
      <c r="AE63" s="1181" t="n"/>
      <c r="AF63" s="1183" t="n"/>
      <c r="AG63" s="1179" t="n"/>
      <c r="AH63" s="1183" t="n"/>
      <c r="AI63" s="1181" t="n"/>
      <c r="AJ63" s="1185" t="n"/>
      <c r="AK63" s="1329" t="n"/>
      <c r="AL63" s="35" t="n"/>
      <c r="AM63" s="1183" t="n"/>
      <c r="AN63" s="1385" t="n"/>
      <c r="AO63" s="1386" t="n"/>
      <c r="AP63" s="1387" t="n"/>
      <c r="AQ63" s="1386" t="n"/>
      <c r="AR63" s="1388" t="n"/>
      <c r="AS63" s="1386" t="n"/>
      <c r="AT63" s="1388" t="n"/>
      <c r="AU63" s="1386" t="n"/>
    </row>
    <row r="64" ht="15" customFormat="1" customHeight="1" s="6">
      <c r="A64" s="3785" t="inlineStr">
        <is>
          <t>Diabetología</t>
        </is>
      </c>
      <c r="B64" s="1179" t="n"/>
      <c r="C64" s="1183" t="n"/>
      <c r="D64" s="1179" t="n"/>
      <c r="E64" s="1183" t="n"/>
      <c r="F64" s="1179" t="n"/>
      <c r="G64" s="1183" t="n"/>
      <c r="H64" s="1179" t="n"/>
      <c r="I64" s="1183" t="n"/>
      <c r="J64" s="1179" t="n"/>
      <c r="K64" s="1183" t="n"/>
      <c r="L64" s="1179" t="n"/>
      <c r="M64" s="1183" t="n"/>
      <c r="N64" s="1179" t="n"/>
      <c r="O64" s="1183" t="n"/>
      <c r="P64" s="1179" t="n"/>
      <c r="Q64" s="1183" t="n"/>
      <c r="R64" s="1381">
        <f>SUM(B64+J64)</f>
        <v/>
      </c>
      <c r="S64" s="1382">
        <f>SUM(C64+K64)</f>
        <v/>
      </c>
      <c r="T64" s="1381">
        <f>SUM(D64+L64)</f>
        <v/>
      </c>
      <c r="U64" s="1382">
        <f>SUM(E64+M64)</f>
        <v/>
      </c>
      <c r="V64" s="1383">
        <f>SUM(F64+N64)</f>
        <v/>
      </c>
      <c r="W64" s="1382">
        <f>SUM(G64+O64)</f>
        <v/>
      </c>
      <c r="X64" s="1381">
        <f>SUM(H64+P64)</f>
        <v/>
      </c>
      <c r="Y64" s="1384">
        <f>SUM(I64+Q64)</f>
        <v/>
      </c>
      <c r="Z64" s="1230" t="n"/>
      <c r="AA64" s="35" t="n"/>
      <c r="AB64" s="1183" t="n"/>
      <c r="AC64" s="1230" t="n"/>
      <c r="AD64" s="1183" t="n"/>
      <c r="AE64" s="1181" t="n"/>
      <c r="AF64" s="1183" t="n"/>
      <c r="AG64" s="1179" t="n"/>
      <c r="AH64" s="1183" t="n"/>
      <c r="AI64" s="1181" t="n"/>
      <c r="AJ64" s="1185" t="n"/>
      <c r="AK64" s="1329" t="n"/>
      <c r="AL64" s="35" t="n"/>
      <c r="AM64" s="1183" t="n"/>
      <c r="AN64" s="1385" t="n"/>
      <c r="AO64" s="1386" t="n"/>
      <c r="AP64" s="1387" t="n"/>
      <c r="AQ64" s="1386" t="n"/>
      <c r="AR64" s="1388" t="n"/>
      <c r="AS64" s="1386" t="n"/>
      <c r="AT64" s="1388" t="n"/>
      <c r="AU64" s="1386" t="n"/>
    </row>
    <row r="65" ht="15" customFormat="1" customHeight="1" s="6">
      <c r="A65" s="1121" t="inlineStr">
        <is>
          <t>Medicina intensiva</t>
        </is>
      </c>
      <c r="B65" s="1172" t="n"/>
      <c r="C65" s="886" t="n"/>
      <c r="D65" s="1172" t="n"/>
      <c r="E65" s="886" t="n"/>
      <c r="F65" s="1172" t="n"/>
      <c r="G65" s="886" t="n"/>
      <c r="H65" s="1172" t="n"/>
      <c r="I65" s="886" t="n"/>
      <c r="J65" s="1172" t="n"/>
      <c r="K65" s="886" t="n"/>
      <c r="L65" s="1172" t="n"/>
      <c r="M65" s="886" t="n"/>
      <c r="N65" s="1172" t="n"/>
      <c r="O65" s="886" t="n"/>
      <c r="P65" s="1172" t="n"/>
      <c r="Q65" s="886" t="n"/>
      <c r="R65" s="4519">
        <f>SUM(B65+J65)</f>
        <v/>
      </c>
      <c r="S65" s="894">
        <f>SUM(C65+K65)</f>
        <v/>
      </c>
      <c r="T65" s="4519">
        <f>SUM(D65+L65)</f>
        <v/>
      </c>
      <c r="U65" s="894">
        <f>SUM(E65+M65)</f>
        <v/>
      </c>
      <c r="V65" s="1485">
        <f>SUM(F65+N65)</f>
        <v/>
      </c>
      <c r="W65" s="894">
        <f>SUM(G65+O65)</f>
        <v/>
      </c>
      <c r="X65" s="4519">
        <f>SUM(H65+P65)</f>
        <v/>
      </c>
      <c r="Y65" s="8309">
        <f>SUM(I65+Q65)</f>
        <v/>
      </c>
      <c r="Z65" s="887" t="n"/>
      <c r="AA65" s="3895" t="n"/>
      <c r="AB65" s="886" t="n"/>
      <c r="AC65" s="887" t="n"/>
      <c r="AD65" s="886" t="n"/>
      <c r="AE65" s="3789" t="n"/>
      <c r="AF65" s="886" t="n"/>
      <c r="AG65" s="1172" t="n"/>
      <c r="AH65" s="886" t="n"/>
      <c r="AI65" s="3789" t="n"/>
      <c r="AJ65" s="1929" t="n"/>
      <c r="AK65" s="4520" t="n"/>
      <c r="AL65" s="3895" t="n"/>
      <c r="AM65" s="886" t="n"/>
      <c r="AN65" s="900" t="n"/>
      <c r="AO65" s="4521" t="n"/>
      <c r="AP65" s="4522" t="n"/>
      <c r="AQ65" s="4521" t="n"/>
      <c r="AR65" s="4523" t="n"/>
      <c r="AS65" s="4521" t="n"/>
      <c r="AT65" s="4523" t="n"/>
      <c r="AU65" s="4521" t="n"/>
    </row>
    <row r="66" ht="15" customFormat="1" customHeight="1" s="6">
      <c r="A66" s="8320" t="inlineStr">
        <is>
          <t>Imagenología</t>
        </is>
      </c>
      <c r="B66" s="1172" t="n"/>
      <c r="C66" s="886" t="n"/>
      <c r="D66" s="1172" t="n"/>
      <c r="E66" s="886" t="n"/>
      <c r="F66" s="1172" t="n"/>
      <c r="G66" s="886" t="n"/>
      <c r="H66" s="1172" t="n"/>
      <c r="I66" s="886" t="n"/>
      <c r="J66" s="1172" t="n"/>
      <c r="K66" s="886" t="n"/>
      <c r="L66" s="1172" t="n"/>
      <c r="M66" s="886" t="n"/>
      <c r="N66" s="1172" t="n"/>
      <c r="O66" s="886" t="n"/>
      <c r="P66" s="1172" t="n"/>
      <c r="Q66" s="886" t="n"/>
      <c r="R66" s="4519">
        <f>SUM(B66+J66)</f>
        <v/>
      </c>
      <c r="S66" s="894">
        <f>SUM(C66+K66)</f>
        <v/>
      </c>
      <c r="T66" s="4519">
        <f>SUM(D66+L66)</f>
        <v/>
      </c>
      <c r="U66" s="894">
        <f>SUM(E66+M66)</f>
        <v/>
      </c>
      <c r="V66" s="1485">
        <f>SUM(F66+N66)</f>
        <v/>
      </c>
      <c r="W66" s="894">
        <f>SUM(G66+O66)</f>
        <v/>
      </c>
      <c r="X66" s="4519">
        <f>SUM(H66+P66)</f>
        <v/>
      </c>
      <c r="Y66" s="8309">
        <f>SUM(I66+Q66)</f>
        <v/>
      </c>
      <c r="Z66" s="887" t="n"/>
      <c r="AA66" s="3895" t="n"/>
      <c r="AB66" s="886" t="n"/>
      <c r="AC66" s="887" t="n"/>
      <c r="AD66" s="886" t="n"/>
      <c r="AE66" s="3789" t="n"/>
      <c r="AF66" s="886" t="n"/>
      <c r="AG66" s="1172" t="n"/>
      <c r="AH66" s="886" t="n"/>
      <c r="AI66" s="3789" t="n"/>
      <c r="AJ66" s="1929" t="n"/>
      <c r="AK66" s="4520" t="n"/>
      <c r="AL66" s="3895" t="n"/>
      <c r="AM66" s="886" t="n"/>
      <c r="AN66" s="900" t="n"/>
      <c r="AO66" s="4521" t="n"/>
      <c r="AP66" s="4522" t="n"/>
      <c r="AQ66" s="4521" t="n"/>
      <c r="AR66" s="4523" t="n"/>
      <c r="AS66" s="4521" t="n"/>
      <c r="AT66" s="4523" t="n"/>
      <c r="AU66" s="4521" t="n"/>
    </row>
    <row r="67" ht="15" customFormat="1" customHeight="1" s="6">
      <c r="A67" s="3598" t="inlineStr">
        <is>
          <t>Radioterapia oncológica</t>
        </is>
      </c>
      <c r="B67" s="3808" t="n"/>
      <c r="C67" s="3601" t="n"/>
      <c r="D67" s="3808" t="n"/>
      <c r="E67" s="3601" t="n"/>
      <c r="F67" s="3808" t="n"/>
      <c r="G67" s="3601" t="n"/>
      <c r="H67" s="3808" t="n"/>
      <c r="I67" s="3601" t="n"/>
      <c r="J67" s="3808" t="n"/>
      <c r="K67" s="3601" t="n"/>
      <c r="L67" s="3808" t="n"/>
      <c r="M67" s="3601" t="n"/>
      <c r="N67" s="3808" t="n"/>
      <c r="O67" s="3601" t="n"/>
      <c r="P67" s="3808" t="n"/>
      <c r="Q67" s="3601" t="n"/>
      <c r="R67" s="4506">
        <f>SUM(B67+J67)</f>
        <v/>
      </c>
      <c r="S67" s="4279">
        <f>SUM(C67+K67)</f>
        <v/>
      </c>
      <c r="T67" s="4506">
        <f>SUM(D67+L67)</f>
        <v/>
      </c>
      <c r="U67" s="4279">
        <f>SUM(E67+M67)</f>
        <v/>
      </c>
      <c r="V67" s="4280">
        <f>SUM(F67+N67)</f>
        <v/>
      </c>
      <c r="W67" s="4279">
        <f>SUM(G67+O67)</f>
        <v/>
      </c>
      <c r="X67" s="4506">
        <f>SUM(H67+P67)</f>
        <v/>
      </c>
      <c r="Y67" s="4524">
        <f>SUM(I67+Q67)</f>
        <v/>
      </c>
      <c r="Z67" s="3898" t="n"/>
      <c r="AA67" s="1227" t="n"/>
      <c r="AB67" s="3601" t="n"/>
      <c r="AC67" s="3898" t="n"/>
      <c r="AD67" s="3601" t="n"/>
      <c r="AE67" s="3818" t="n"/>
      <c r="AF67" s="3601" t="n"/>
      <c r="AG67" s="3808" t="n"/>
      <c r="AH67" s="3601" t="n"/>
      <c r="AI67" s="3818" t="n"/>
      <c r="AJ67" s="3897" t="n"/>
      <c r="AK67" s="4076" t="n"/>
      <c r="AL67" s="1227" t="n"/>
      <c r="AM67" s="3601" t="n"/>
      <c r="AN67" s="4525" t="n"/>
      <c r="AO67" s="4526" t="n"/>
      <c r="AP67" s="4527" t="n"/>
      <c r="AQ67" s="4526" t="n"/>
      <c r="AR67" s="4528" t="n"/>
      <c r="AS67" s="4526" t="n"/>
      <c r="AT67" s="4528" t="n"/>
      <c r="AU67" s="4526" t="n"/>
    </row>
    <row r="68" ht="18" customFormat="1" customHeight="1" s="7">
      <c r="A68" s="8616" t="inlineStr">
        <is>
          <t>SECCIÓN B : TELEINTERCONSULTA  MÉDICA EN ESTABLECIMIENTOS DE ATENCIÓN SECUNDARIA DE URGENCIA (ATENCIÓN MÉDICO A MÉDICO)</t>
        </is>
      </c>
      <c r="B68" s="8616" t="n"/>
      <c r="C68" s="8616" t="n"/>
      <c r="D68" s="8616" t="n"/>
      <c r="E68" s="8616" t="n"/>
      <c r="F68" s="8616" t="n"/>
      <c r="G68" s="8616" t="n"/>
    </row>
    <row r="69" ht="24.75" customFormat="1" customHeight="1" s="8">
      <c r="A69" s="9977" t="inlineStr">
        <is>
          <t>Tipo de teleinterconsulta de urgencia</t>
        </is>
      </c>
      <c r="B69" s="9976" t="inlineStr">
        <is>
          <t>Teleinterconsulta médica de urgencia en hospitales de alta y mediana complejidad</t>
        </is>
      </c>
      <c r="C69" s="9584" t="n"/>
      <c r="D69" s="9584" t="n"/>
      <c r="E69" s="9584" t="n"/>
      <c r="F69" s="9584" t="n"/>
      <c r="G69" s="9584" t="n"/>
      <c r="H69" s="9584" t="n"/>
      <c r="I69" s="9595" t="n"/>
      <c r="J69" s="5032" t="inlineStr">
        <is>
          <t>Modalidad</t>
        </is>
      </c>
      <c r="K69" s="9584" t="n"/>
      <c r="L69" s="9595" t="n"/>
      <c r="M69" s="10592" t="inlineStr">
        <is>
          <t>Teleinterconsultas solicitadas desde APS o Nivel Secundario para ser resueltas por otro establecimiento</t>
        </is>
      </c>
      <c r="N69" s="9617" t="n"/>
      <c r="O69" s="9617" t="n"/>
      <c r="P69" s="9617" t="n"/>
      <c r="Q69" s="9617" t="n"/>
      <c r="R69" s="9617" t="n"/>
      <c r="S69" s="9617" t="n"/>
      <c r="T69" s="9648" t="n"/>
    </row>
    <row r="70" ht="15" customFormat="1" customHeight="1" s="8">
      <c r="A70" s="9614" t="n"/>
      <c r="B70" s="10579" t="inlineStr">
        <is>
          <t>0 - 14 años</t>
        </is>
      </c>
      <c r="C70" s="9582" t="n"/>
      <c r="D70" s="9977" t="inlineStr">
        <is>
          <t>15 - 17 años</t>
        </is>
      </c>
      <c r="E70" s="9582" t="n"/>
      <c r="F70" s="9977" t="inlineStr">
        <is>
          <t>18 - 19 años</t>
        </is>
      </c>
      <c r="G70" s="9582" t="n"/>
      <c r="H70" s="9915" t="inlineStr">
        <is>
          <t>20 y más años</t>
        </is>
      </c>
      <c r="I70" s="9595" t="n"/>
      <c r="J70" s="9268" t="inlineStr">
        <is>
          <t xml:space="preserve">Institucional </t>
        </is>
      </c>
      <c r="K70" s="9976" t="inlineStr">
        <is>
          <t>Compra de Servicio</t>
        </is>
      </c>
      <c r="L70" s="9595" t="n"/>
      <c r="M70" s="10579" t="inlineStr">
        <is>
          <t>0 - 14 años</t>
        </is>
      </c>
      <c r="N70" s="9582" t="n"/>
      <c r="O70" s="9977" t="inlineStr">
        <is>
          <t>15 - 17 años</t>
        </is>
      </c>
      <c r="P70" s="9582" t="n"/>
      <c r="Q70" s="9977" t="inlineStr">
        <is>
          <t>18 - 19 años</t>
        </is>
      </c>
      <c r="R70" s="9582" t="n"/>
      <c r="S70" s="9977" t="inlineStr">
        <is>
          <t>20 y más años</t>
        </is>
      </c>
      <c r="T70" s="9582" t="n"/>
    </row>
    <row r="71" ht="23.25" customFormat="1" customHeight="1" s="8">
      <c r="A71" s="9610" t="n"/>
      <c r="B71" s="4496" t="inlineStr">
        <is>
          <t xml:space="preserve">Hombres </t>
        </is>
      </c>
      <c r="C71" s="4497" t="inlineStr">
        <is>
          <t>Mujeres</t>
        </is>
      </c>
      <c r="D71" s="4498" t="inlineStr">
        <is>
          <t>Hombres</t>
        </is>
      </c>
      <c r="E71" s="4497" t="inlineStr">
        <is>
          <t>Mujeres</t>
        </is>
      </c>
      <c r="F71" s="4498" t="inlineStr">
        <is>
          <t>Hombres</t>
        </is>
      </c>
      <c r="G71" s="4497" t="inlineStr">
        <is>
          <t>Mujeres</t>
        </is>
      </c>
      <c r="H71" s="4496" t="inlineStr">
        <is>
          <t>Hombres</t>
        </is>
      </c>
      <c r="I71" s="4499" t="inlineStr">
        <is>
          <t>Mujeres</t>
        </is>
      </c>
      <c r="J71" s="9268" t="inlineStr">
        <is>
          <t>Establecimiento de la Red</t>
        </is>
      </c>
      <c r="K71" s="9498" t="inlineStr">
        <is>
          <t>Sistema</t>
        </is>
      </c>
      <c r="L71" s="9268" t="inlineStr">
        <is>
          <t>Extrasistema</t>
        </is>
      </c>
      <c r="M71" s="4503" t="inlineStr">
        <is>
          <t>Hombres</t>
        </is>
      </c>
      <c r="N71" s="4497" t="inlineStr">
        <is>
          <t>Mujeres</t>
        </is>
      </c>
      <c r="O71" s="4496" t="inlineStr">
        <is>
          <t>Hombres</t>
        </is>
      </c>
      <c r="P71" s="4497" t="inlineStr">
        <is>
          <t>Mujeres</t>
        </is>
      </c>
      <c r="Q71" s="4496" t="inlineStr">
        <is>
          <t>Hombres</t>
        </is>
      </c>
      <c r="R71" s="4497" t="inlineStr">
        <is>
          <t>Mujeres</t>
        </is>
      </c>
      <c r="S71" s="4498" t="inlineStr">
        <is>
          <t>Hombres</t>
        </is>
      </c>
      <c r="T71" s="4497" t="inlineStr">
        <is>
          <t>Mujeres</t>
        </is>
      </c>
    </row>
    <row r="72" ht="15" customFormat="1" customHeight="1" s="8">
      <c r="A72" s="9232" t="inlineStr">
        <is>
          <t>Consulta urgencia otros</t>
        </is>
      </c>
      <c r="B72" s="4235" t="n"/>
      <c r="C72" s="2337" t="n"/>
      <c r="D72" s="4235" t="n"/>
      <c r="E72" s="2337" t="n"/>
      <c r="F72" s="4235" t="n"/>
      <c r="G72" s="2337" t="n"/>
      <c r="H72" s="4236" t="n"/>
      <c r="I72" s="1940" t="n"/>
      <c r="J72" s="4237" t="n"/>
      <c r="K72" s="4235" t="n"/>
      <c r="L72" s="2337" t="n"/>
      <c r="M72" s="3263" t="n"/>
      <c r="N72" s="2337" t="n"/>
      <c r="O72" s="4236" t="n"/>
      <c r="P72" s="2337" t="n"/>
      <c r="Q72" s="4236" t="n"/>
      <c r="R72" s="2337" t="n"/>
      <c r="S72" s="4235" t="n"/>
      <c r="T72" s="2337" t="n"/>
    </row>
    <row r="73" ht="15" customFormat="1" customHeight="1" s="8">
      <c r="A73" s="8053" t="inlineStr">
        <is>
          <t>Accidente cerebro vascular (ACV)</t>
        </is>
      </c>
      <c r="B73" s="1172" t="n"/>
      <c r="C73" s="886" t="n"/>
      <c r="D73" s="1172" t="n"/>
      <c r="E73" s="886" t="n"/>
      <c r="F73" s="1172" t="n"/>
      <c r="G73" s="886" t="n"/>
      <c r="H73" s="3789" t="n"/>
      <c r="I73" s="1929" t="n"/>
      <c r="J73" s="886" t="n"/>
      <c r="K73" s="1172" t="n"/>
      <c r="L73" s="886" t="n"/>
      <c r="M73" s="887" t="n"/>
      <c r="N73" s="886" t="n"/>
      <c r="O73" s="3789" t="n"/>
      <c r="P73" s="886" t="n"/>
      <c r="Q73" s="3789" t="n"/>
      <c r="R73" s="886" t="n"/>
      <c r="S73" s="1172" t="n"/>
      <c r="T73" s="886" t="n"/>
    </row>
    <row r="74" ht="15" customFormat="1" customHeight="1" s="8">
      <c r="A74" s="8369" t="inlineStr">
        <is>
          <t>Quemados</t>
        </is>
      </c>
      <c r="B74" s="4530" t="n"/>
      <c r="C74" s="183" t="n"/>
      <c r="D74" s="2644" t="n"/>
      <c r="E74" s="183" t="n"/>
      <c r="F74" s="2644" t="n"/>
      <c r="G74" s="183" t="n"/>
      <c r="H74" s="4530" t="n"/>
      <c r="I74" s="176" t="n"/>
      <c r="J74" s="183" t="n"/>
      <c r="K74" s="2644" t="n"/>
      <c r="L74" s="183" t="n"/>
      <c r="M74" s="159" t="n"/>
      <c r="N74" s="183" t="n"/>
      <c r="O74" s="4530" t="n"/>
      <c r="P74" s="183" t="n"/>
      <c r="Q74" s="4530" t="n"/>
      <c r="R74" s="183" t="n"/>
      <c r="S74" s="2644" t="n"/>
      <c r="T74" s="183" t="n"/>
    </row>
    <row r="75" ht="18" customFormat="1" customHeight="1" s="7">
      <c r="A75" s="8616" t="inlineStr">
        <is>
          <t>SECCIÓN C : TELEINFORMES EN ESTABLECIMIENTOS DE ATENCIÓN PRIMARIA, SECUNDARIA Y TERCIARIA</t>
        </is>
      </c>
      <c r="B75" s="8616" t="n"/>
      <c r="C75" s="8616" t="n"/>
      <c r="D75" s="8616" t="n"/>
      <c r="E75" s="8616" t="n"/>
      <c r="F75" s="8616" t="n"/>
      <c r="G75" s="8616" t="n"/>
    </row>
    <row r="76" ht="15" customFormat="1" customHeight="1" s="8">
      <c r="A76" s="10595" t="inlineStr">
        <is>
          <t>Teleinformes realizados</t>
        </is>
      </c>
      <c r="B76" s="10006" t="inlineStr">
        <is>
          <t>Establecimientos del Nivel Primario de salud</t>
        </is>
      </c>
      <c r="C76" s="9584" t="n"/>
      <c r="D76" s="9584" t="n"/>
      <c r="E76" s="9584" t="n"/>
      <c r="F76" s="9584" t="n"/>
      <c r="G76" s="9584" t="n"/>
      <c r="H76" s="9584" t="n"/>
      <c r="I76" s="9584" t="n"/>
      <c r="J76" s="4531" t="n"/>
      <c r="K76" s="4531" t="n"/>
      <c r="L76" s="4532" t="n"/>
      <c r="M76" s="9988" t="inlineStr">
        <is>
          <t>Establecimientos de Nivel Secundario y Terciario</t>
        </is>
      </c>
      <c r="N76" s="9617" t="n"/>
      <c r="O76" s="9617" t="n"/>
      <c r="P76" s="9617" t="n"/>
      <c r="Q76" s="9617" t="n"/>
      <c r="R76" s="9617" t="n"/>
      <c r="S76" s="9617" t="n"/>
      <c r="T76" s="9617" t="n"/>
      <c r="U76" s="9617" t="n"/>
      <c r="V76" s="9617" t="n"/>
      <c r="W76" s="9597" t="n"/>
      <c r="X76" s="9974" t="inlineStr">
        <is>
          <t>Total teleinformes realizados</t>
        </is>
      </c>
      <c r="Y76" s="9603" t="n"/>
      <c r="Z76" s="521" t="n"/>
      <c r="AA76" s="521" t="n"/>
      <c r="AB76" s="521" t="n"/>
      <c r="AC76" s="521" t="n"/>
      <c r="AD76" s="521" t="n"/>
      <c r="AE76" s="521" t="n"/>
      <c r="AF76" s="521" t="n"/>
      <c r="AG76" s="521" t="n"/>
      <c r="AH76" s="521" t="n"/>
      <c r="AI76" s="521" t="n"/>
      <c r="AJ76" s="521" t="n"/>
      <c r="AK76" s="521" t="n"/>
      <c r="AL76" s="521" t="n"/>
      <c r="AM76" s="521" t="n"/>
      <c r="AN76" s="521" t="n"/>
      <c r="AO76" s="521" t="n"/>
    </row>
    <row r="77" ht="15" customFormat="1" customHeight="1" s="8">
      <c r="A77" s="9614" t="n"/>
      <c r="B77" s="10579" t="inlineStr">
        <is>
          <t>0 - 14 años</t>
        </is>
      </c>
      <c r="C77" s="9582" t="n"/>
      <c r="D77" s="9977" t="inlineStr">
        <is>
          <t>15 - 17 años</t>
        </is>
      </c>
      <c r="E77" s="9582" t="n"/>
      <c r="F77" s="9977" t="inlineStr">
        <is>
          <t>18 - 19 años</t>
        </is>
      </c>
      <c r="G77" s="9582" t="n"/>
      <c r="H77" s="9977" t="inlineStr">
        <is>
          <t>20 y más años</t>
        </is>
      </c>
      <c r="I77" s="9582" t="n"/>
      <c r="J77" s="10566" t="inlineStr">
        <is>
          <t>Modalidad</t>
        </is>
      </c>
      <c r="K77" s="9617" t="n"/>
      <c r="L77" s="9597" t="n"/>
      <c r="M77" s="10579" t="inlineStr">
        <is>
          <t>0 - 14 años</t>
        </is>
      </c>
      <c r="N77" s="9582" t="n"/>
      <c r="O77" s="9977" t="inlineStr">
        <is>
          <t>15 - 17 años</t>
        </is>
      </c>
      <c r="P77" s="9582" t="n"/>
      <c r="Q77" s="9977" t="inlineStr">
        <is>
          <t>18 - 19 años</t>
        </is>
      </c>
      <c r="R77" s="9582" t="n"/>
      <c r="S77" s="9977" t="inlineStr">
        <is>
          <t>20 y más años</t>
        </is>
      </c>
      <c r="T77" s="9582" t="n"/>
      <c r="U77" s="10566" t="inlineStr">
        <is>
          <t>Modalidad</t>
        </is>
      </c>
      <c r="V77" s="9617" t="n"/>
      <c r="W77" s="9597" t="n"/>
      <c r="X77" s="9591" t="n"/>
      <c r="Y77" s="9611" t="n"/>
      <c r="Z77" s="521" t="n"/>
      <c r="AA77" s="521" t="n"/>
      <c r="AB77" s="521" t="n"/>
      <c r="AC77" s="521" t="n"/>
      <c r="AD77" s="521" t="n"/>
      <c r="AE77" s="521" t="n"/>
      <c r="AF77" s="521" t="n"/>
      <c r="AG77" s="521" t="n"/>
      <c r="AH77" s="521" t="n"/>
      <c r="AI77" s="521" t="n"/>
      <c r="AJ77" s="521" t="n"/>
      <c r="AK77" s="521" t="n"/>
      <c r="AL77" s="521" t="n"/>
      <c r="AM77" s="521" t="n"/>
      <c r="AN77" s="521" t="n"/>
      <c r="AO77" s="521" t="n"/>
    </row>
    <row r="78" ht="15" customFormat="1" customHeight="1" s="8">
      <c r="A78" s="9614" t="n"/>
      <c r="B78" s="10596" t="inlineStr">
        <is>
          <t>Hombres</t>
        </is>
      </c>
      <c r="C78" s="10250" t="inlineStr">
        <is>
          <t>Mujeres</t>
        </is>
      </c>
      <c r="D78" s="10596" t="inlineStr">
        <is>
          <t>Hombres</t>
        </is>
      </c>
      <c r="E78" s="10250" t="inlineStr">
        <is>
          <t>Mujeres</t>
        </is>
      </c>
      <c r="F78" s="10596" t="inlineStr">
        <is>
          <t>Hombres</t>
        </is>
      </c>
      <c r="G78" s="10250" t="inlineStr">
        <is>
          <t>Mujeres</t>
        </is>
      </c>
      <c r="H78" s="10597" t="inlineStr">
        <is>
          <t>Hombres</t>
        </is>
      </c>
      <c r="I78" s="10598" t="inlineStr">
        <is>
          <t>Mujeres</t>
        </is>
      </c>
      <c r="J78" s="9259" t="inlineStr">
        <is>
          <t>Institucional</t>
        </is>
      </c>
      <c r="K78" s="9975" t="inlineStr">
        <is>
          <t>Compra de Servicio</t>
        </is>
      </c>
      <c r="L78" s="9582" t="n"/>
      <c r="M78" s="10597" t="inlineStr">
        <is>
          <t>Hombres</t>
        </is>
      </c>
      <c r="N78" s="10250" t="inlineStr">
        <is>
          <t>Mujeres</t>
        </is>
      </c>
      <c r="O78" s="10597" t="inlineStr">
        <is>
          <t>Hombres</t>
        </is>
      </c>
      <c r="P78" s="10250" t="inlineStr">
        <is>
          <t>Mujeres</t>
        </is>
      </c>
      <c r="Q78" s="10597" t="inlineStr">
        <is>
          <t>Hombres</t>
        </is>
      </c>
      <c r="R78" s="10250" t="inlineStr">
        <is>
          <t>Mujeres</t>
        </is>
      </c>
      <c r="S78" s="10596" t="inlineStr">
        <is>
          <t>Hombres</t>
        </is>
      </c>
      <c r="T78" s="10322" t="inlineStr">
        <is>
          <t>Mujeres</t>
        </is>
      </c>
      <c r="U78" s="10341" t="inlineStr">
        <is>
          <t>Institucional</t>
        </is>
      </c>
      <c r="V78" s="10594" t="inlineStr">
        <is>
          <t>Compra de Servicio</t>
        </is>
      </c>
      <c r="W78" s="9595" t="n"/>
      <c r="X78" s="10599" t="inlineStr">
        <is>
          <t>Teleinformes realizados por Inteligencia Artificial</t>
        </is>
      </c>
      <c r="Y78" s="9295" t="inlineStr">
        <is>
          <t xml:space="preserve">Teleinformes realizados por Médico Especialista </t>
        </is>
      </c>
      <c r="Z78" s="521" t="n"/>
      <c r="AA78" s="521" t="n"/>
      <c r="AB78" s="521" t="n"/>
      <c r="AC78" s="521" t="n"/>
      <c r="AD78" s="521" t="n"/>
      <c r="AE78" s="521" t="n"/>
      <c r="AF78" s="521" t="n"/>
      <c r="AG78" s="521" t="n"/>
      <c r="AH78" s="521" t="n"/>
      <c r="AI78" s="521" t="n"/>
      <c r="AJ78" s="521" t="n"/>
      <c r="AK78" s="521" t="n"/>
      <c r="AL78" s="521" t="n"/>
      <c r="AM78" s="521" t="n"/>
      <c r="AN78" s="521" t="n"/>
      <c r="AO78" s="521" t="n"/>
    </row>
    <row r="79" ht="30" customFormat="1" customHeight="1" s="8">
      <c r="A79" s="9610" t="n"/>
      <c r="B79" s="9800" t="n"/>
      <c r="C79" s="9641" t="n"/>
      <c r="D79" s="9800" t="n"/>
      <c r="E79" s="9641" t="n"/>
      <c r="F79" s="9800" t="n"/>
      <c r="G79" s="9641" t="n"/>
      <c r="H79" s="9688" t="n"/>
      <c r="I79" s="10600" t="n"/>
      <c r="J79" s="10601" t="n"/>
      <c r="K79" s="4504" t="inlineStr">
        <is>
          <t>Sistema</t>
        </is>
      </c>
      <c r="L79" s="9265" t="inlineStr">
        <is>
          <t>Extrasistema</t>
        </is>
      </c>
      <c r="M79" s="9688" t="n"/>
      <c r="N79" s="9641" t="n"/>
      <c r="O79" s="9688" t="n"/>
      <c r="P79" s="9641" t="n"/>
      <c r="Q79" s="9688" t="n"/>
      <c r="R79" s="9641" t="n"/>
      <c r="S79" s="9800" t="n"/>
      <c r="T79" s="9865" t="n"/>
      <c r="U79" s="10088" t="n"/>
      <c r="V79" s="9279" t="inlineStr">
        <is>
          <t>Sistema</t>
        </is>
      </c>
      <c r="W79" s="4537" t="inlineStr">
        <is>
          <t>Extrasistema</t>
        </is>
      </c>
      <c r="X79" s="9611" t="n"/>
      <c r="Y79" s="9621" t="n"/>
      <c r="Z79" s="521" t="n"/>
      <c r="AA79" s="521" t="n"/>
      <c r="AB79" s="521" t="n"/>
      <c r="AC79" s="521" t="n"/>
      <c r="AD79" s="521" t="n"/>
      <c r="AE79" s="521" t="n"/>
      <c r="AF79" s="521" t="n"/>
      <c r="AG79" s="521" t="n"/>
      <c r="AH79" s="521" t="n"/>
      <c r="AI79" s="521" t="n"/>
      <c r="AJ79" s="521" t="n"/>
      <c r="AK79" s="521" t="n"/>
      <c r="AL79" s="521" t="n"/>
      <c r="AM79" s="521" t="n"/>
      <c r="AN79" s="521" t="n"/>
      <c r="AO79" s="521" t="n"/>
    </row>
    <row r="80" ht="15" customFormat="1" customHeight="1" s="8">
      <c r="A80" s="4538" t="inlineStr">
        <is>
          <t>TOTAL EMISIONES DE INFORMES</t>
        </is>
      </c>
      <c r="B80" s="4539">
        <f>B81+B82+B83+B84+B85+B86+B87+B88+B89+B92+B93</f>
        <v/>
      </c>
      <c r="C80" s="4508">
        <f>C81+C82+C83+C84+C85+C86+C87+C88+C89+C92+C93</f>
        <v/>
      </c>
      <c r="D80" s="4539">
        <f>D81+D82+D83+D84+D85+D86+D87+D88+D89+D92+D93</f>
        <v/>
      </c>
      <c r="E80" s="4508">
        <f>E81+E82+E83+E84+E85+E86+E87+E88+E89+E92+E93</f>
        <v/>
      </c>
      <c r="F80" s="4539">
        <f>F81+F82+F83+F84+F85+F86+F87+F88+F89+F92+F93</f>
        <v/>
      </c>
      <c r="G80" s="4508">
        <f>G81+G82+G83+G84+G85+G86+G87+G88+G89+G92+G93</f>
        <v/>
      </c>
      <c r="H80" s="4539">
        <f>H81+H82+H83+H84+H85+H86+H87+H88+H89+H92+H93</f>
        <v/>
      </c>
      <c r="I80" s="4540">
        <f>I81+I82+I83+I84+I85+I86+I87+I88+I89+I92+I93</f>
        <v/>
      </c>
      <c r="J80" s="4509">
        <f>J81+J82+J83+J84+J85+J86+J87+J88+J89+J92+J93</f>
        <v/>
      </c>
      <c r="K80" s="4508">
        <f>K81+K82+K83+K84+K85+K86+K87+K88+K89+K92+K93</f>
        <v/>
      </c>
      <c r="L80" s="4540">
        <f>L81+L82+L83+L84+L85+L86+L87+L88+L89+L92+L93</f>
        <v/>
      </c>
      <c r="M80" s="4541">
        <f>SUM(M81:M93)</f>
        <v/>
      </c>
      <c r="N80" s="4542">
        <f>SUM(N81:N93)</f>
        <v/>
      </c>
      <c r="O80" s="4543">
        <f>SUM(O81:O93)</f>
        <v/>
      </c>
      <c r="P80" s="4542">
        <f>SUM(P81:P93)</f>
        <v/>
      </c>
      <c r="Q80" s="4543">
        <f>SUM(Q81:Q93)</f>
        <v/>
      </c>
      <c r="R80" s="4542">
        <f>SUM(R81:R93)</f>
        <v/>
      </c>
      <c r="S80" s="4508">
        <f>SUM(S81:S93)</f>
        <v/>
      </c>
      <c r="T80" s="4544">
        <f>SUM(T81:T93)</f>
        <v/>
      </c>
      <c r="U80" s="4509">
        <f>SUM(U81:U93)</f>
        <v/>
      </c>
      <c r="V80" s="4508">
        <f>SUM(V81:V93)</f>
        <v/>
      </c>
      <c r="W80" s="4544">
        <f>SUM(W81:W93)</f>
        <v/>
      </c>
      <c r="X80" s="4542">
        <f>SUM(X81:X93)</f>
        <v/>
      </c>
      <c r="Y80" s="4542">
        <f>SUM(Y81:Y93)</f>
        <v/>
      </c>
      <c r="Z80" s="521" t="n"/>
      <c r="AA80" s="521" t="n"/>
      <c r="AB80" s="6" t="n"/>
      <c r="AC80" s="521" t="n"/>
      <c r="AD80" s="521" t="n"/>
      <c r="AE80" s="521" t="n"/>
      <c r="AF80" s="521" t="n"/>
      <c r="AG80" s="521" t="n"/>
      <c r="AH80" s="521" t="n"/>
      <c r="AI80" s="521" t="n"/>
      <c r="AJ80" s="521" t="n"/>
      <c r="AK80" s="521" t="n"/>
      <c r="AL80" s="521" t="n"/>
      <c r="AM80" s="521" t="n"/>
      <c r="AN80" s="521" t="n"/>
      <c r="AO80" s="521" t="n"/>
    </row>
    <row r="81" ht="15" customFormat="1" customHeight="1" s="8">
      <c r="A81" s="1144" t="inlineStr">
        <is>
          <t>Nº de informes Ecografías obstétricas</t>
        </is>
      </c>
      <c r="B81" s="645" t="n"/>
      <c r="C81" s="3933" t="n"/>
      <c r="D81" s="645" t="n"/>
      <c r="E81" s="3933" t="n"/>
      <c r="F81" s="645" t="n"/>
      <c r="G81" s="3933" t="n"/>
      <c r="H81" s="204" t="n"/>
      <c r="I81" s="3905" t="n"/>
      <c r="J81" s="458" t="n"/>
      <c r="K81" s="37" t="n"/>
      <c r="L81" s="3905" t="n"/>
      <c r="M81" s="204" t="n"/>
      <c r="N81" s="3933" t="n"/>
      <c r="O81" s="204" t="n"/>
      <c r="P81" s="3933" t="n"/>
      <c r="Q81" s="204" t="n"/>
      <c r="R81" s="3933" t="n"/>
      <c r="S81" s="645" t="n"/>
      <c r="T81" s="3905" t="n"/>
      <c r="U81" s="458" t="n"/>
      <c r="V81" s="4545" t="n"/>
      <c r="W81" s="43" t="n"/>
      <c r="X81" s="4237" t="n"/>
      <c r="Y81" s="4546" t="n"/>
      <c r="Z81" s="521" t="n"/>
      <c r="AA81" s="521" t="n"/>
      <c r="AB81" s="6" t="n"/>
      <c r="AC81" s="521" t="n"/>
      <c r="AD81" s="521" t="n"/>
      <c r="AE81" s="521" t="n"/>
      <c r="AF81" s="521" t="n"/>
      <c r="AG81" s="521" t="n"/>
      <c r="AH81" s="521" t="n"/>
      <c r="AI81" s="521" t="n"/>
      <c r="AJ81" s="521" t="n"/>
      <c r="AK81" s="521" t="n"/>
      <c r="AL81" s="521" t="n"/>
      <c r="AM81" s="521" t="n"/>
      <c r="AN81" s="521" t="n"/>
      <c r="AO81" s="521" t="n"/>
    </row>
    <row r="82" ht="15" customFormat="1" customHeight="1" s="8">
      <c r="A82" s="1144" t="inlineStr">
        <is>
          <t>Nº de informes Electrocardiograma</t>
        </is>
      </c>
      <c r="B82" s="1179" t="n"/>
      <c r="C82" s="1183" t="n"/>
      <c r="D82" s="1179" t="n"/>
      <c r="E82" s="1183" t="n"/>
      <c r="F82" s="1179" t="n"/>
      <c r="G82" s="1183" t="n"/>
      <c r="H82" s="1181" t="n"/>
      <c r="I82" s="1185" t="n"/>
      <c r="J82" s="1329" t="n"/>
      <c r="K82" s="35" t="n"/>
      <c r="L82" s="1185" t="n"/>
      <c r="M82" s="1230" t="n"/>
      <c r="N82" s="1183" t="n"/>
      <c r="O82" s="1181" t="n"/>
      <c r="P82" s="1183" t="n"/>
      <c r="Q82" s="1181" t="n"/>
      <c r="R82" s="1183" t="n"/>
      <c r="S82" s="1179" t="n"/>
      <c r="T82" s="1185" t="n"/>
      <c r="U82" s="1329" t="n"/>
      <c r="V82" s="1181" t="n"/>
      <c r="W82" s="1231" t="n"/>
      <c r="X82" s="3788" t="n"/>
      <c r="Y82" s="1220" t="n"/>
      <c r="Z82" s="521" t="n"/>
      <c r="AA82" s="521" t="n"/>
      <c r="AB82" s="6" t="n"/>
      <c r="AC82" s="521" t="n"/>
      <c r="AD82" s="521" t="n"/>
      <c r="AE82" s="521" t="n"/>
      <c r="AF82" s="521" t="n"/>
      <c r="AG82" s="521" t="n"/>
      <c r="AH82" s="521" t="n"/>
      <c r="AI82" s="521" t="n"/>
      <c r="AJ82" s="521" t="n"/>
      <c r="AK82" s="521" t="n"/>
      <c r="AL82" s="521" t="n"/>
      <c r="AM82" s="521" t="n"/>
      <c r="AN82" s="521" t="n"/>
      <c r="AO82" s="521" t="n"/>
    </row>
    <row r="83" ht="15" customFormat="1" customHeight="1" s="8">
      <c r="A83" s="1144" t="inlineStr">
        <is>
          <t>Nº de informes Electroencefalograma</t>
        </is>
      </c>
      <c r="B83" s="1179" t="n"/>
      <c r="C83" s="1183" t="n"/>
      <c r="D83" s="1179" t="n"/>
      <c r="E83" s="1183" t="n"/>
      <c r="F83" s="1179" t="n"/>
      <c r="G83" s="1183" t="n"/>
      <c r="H83" s="1181" t="n"/>
      <c r="I83" s="1185" t="n"/>
      <c r="J83" s="1329" t="n"/>
      <c r="K83" s="35" t="n"/>
      <c r="L83" s="1185" t="n"/>
      <c r="M83" s="1230" t="n"/>
      <c r="N83" s="1183" t="n"/>
      <c r="O83" s="1181" t="n"/>
      <c r="P83" s="1183" t="n"/>
      <c r="Q83" s="1181" t="n"/>
      <c r="R83" s="1183" t="n"/>
      <c r="S83" s="1179" t="n"/>
      <c r="T83" s="1185" t="n"/>
      <c r="U83" s="1329" t="n"/>
      <c r="V83" s="1181" t="n"/>
      <c r="W83" s="1231" t="n"/>
      <c r="X83" s="3788" t="n"/>
      <c r="Y83" s="1220" t="n"/>
      <c r="Z83" s="521" t="n"/>
      <c r="AA83" s="521" t="n"/>
      <c r="AB83" s="6" t="n"/>
      <c r="AC83" s="521" t="n"/>
      <c r="AD83" s="521" t="n"/>
      <c r="AE83" s="521" t="n"/>
      <c r="AF83" s="521" t="n"/>
      <c r="AG83" s="521" t="n"/>
      <c r="AH83" s="521" t="n"/>
      <c r="AI83" s="521" t="n"/>
      <c r="AJ83" s="521" t="n"/>
      <c r="AK83" s="521" t="n"/>
      <c r="AL83" s="521" t="n"/>
      <c r="AM83" s="521" t="n"/>
      <c r="AN83" s="521" t="n"/>
      <c r="AO83" s="521" t="n"/>
    </row>
    <row r="84" ht="15" customFormat="1" customHeight="1" s="8">
      <c r="A84" s="1144" t="inlineStr">
        <is>
          <t>Nº de informes Espirometrías</t>
        </is>
      </c>
      <c r="B84" s="1179" t="n"/>
      <c r="C84" s="1183" t="n"/>
      <c r="D84" s="1179" t="n"/>
      <c r="E84" s="1183" t="n"/>
      <c r="F84" s="1179" t="n"/>
      <c r="G84" s="1183" t="n"/>
      <c r="H84" s="1181" t="n"/>
      <c r="I84" s="1185" t="n"/>
      <c r="J84" s="1329" t="n"/>
      <c r="K84" s="35" t="n"/>
      <c r="L84" s="1185" t="n"/>
      <c r="M84" s="1230" t="n"/>
      <c r="N84" s="1183" t="n"/>
      <c r="O84" s="1181" t="n"/>
      <c r="P84" s="1183" t="n"/>
      <c r="Q84" s="1181" t="n"/>
      <c r="R84" s="1183" t="n"/>
      <c r="S84" s="1179" t="n"/>
      <c r="T84" s="1185" t="n"/>
      <c r="U84" s="1329" t="n"/>
      <c r="V84" s="1181" t="n"/>
      <c r="W84" s="1231" t="n"/>
      <c r="X84" s="3788" t="n"/>
      <c r="Y84" s="1220" t="n"/>
      <c r="Z84" s="521" t="n"/>
      <c r="AA84" s="521" t="n"/>
      <c r="AB84" s="6" t="n"/>
      <c r="AC84" s="521" t="n"/>
      <c r="AD84" s="521" t="n"/>
      <c r="AE84" s="521" t="n"/>
      <c r="AF84" s="521" t="n"/>
      <c r="AG84" s="521" t="n"/>
      <c r="AH84" s="521" t="n"/>
      <c r="AI84" s="521" t="n"/>
      <c r="AJ84" s="521" t="n"/>
      <c r="AK84" s="521" t="n"/>
      <c r="AL84" s="521" t="n"/>
      <c r="AM84" s="521" t="n"/>
      <c r="AN84" s="521" t="n"/>
      <c r="AO84" s="521" t="n"/>
    </row>
    <row r="85" ht="15" customFormat="1" customHeight="1" s="8">
      <c r="A85" s="1144" t="inlineStr">
        <is>
          <t>Nº de informes Fondo de ojo (excluye resolutividad)</t>
        </is>
      </c>
      <c r="B85" s="1179" t="n"/>
      <c r="C85" s="1183" t="n"/>
      <c r="D85" s="1179" t="n"/>
      <c r="E85" s="1183" t="n"/>
      <c r="F85" s="1179" t="n"/>
      <c r="G85" s="1183" t="n"/>
      <c r="H85" s="1181" t="n"/>
      <c r="I85" s="1185" t="n"/>
      <c r="J85" s="1329" t="n"/>
      <c r="K85" s="35" t="n"/>
      <c r="L85" s="1185" t="n"/>
      <c r="M85" s="1230" t="n"/>
      <c r="N85" s="1183" t="n"/>
      <c r="O85" s="1181" t="n"/>
      <c r="P85" s="1183" t="n"/>
      <c r="Q85" s="1181" t="n"/>
      <c r="R85" s="1183" t="n"/>
      <c r="S85" s="1179" t="n"/>
      <c r="T85" s="1185" t="n"/>
      <c r="U85" s="1329" t="n"/>
      <c r="V85" s="1181" t="n"/>
      <c r="W85" s="1231" t="n"/>
      <c r="X85" s="3788" t="n"/>
      <c r="Y85" s="1220" t="n"/>
      <c r="Z85" s="521" t="n"/>
      <c r="AA85" s="521" t="n"/>
      <c r="AB85" s="6" t="n"/>
      <c r="AC85" s="521" t="n"/>
      <c r="AD85" s="521" t="n"/>
      <c r="AE85" s="521" t="n"/>
      <c r="AF85" s="521" t="n"/>
      <c r="AG85" s="521" t="n"/>
      <c r="AH85" s="521" t="n"/>
      <c r="AI85" s="521" t="n"/>
      <c r="AJ85" s="521" t="n"/>
      <c r="AK85" s="521" t="n"/>
      <c r="AL85" s="521" t="n"/>
      <c r="AM85" s="521" t="n"/>
      <c r="AN85" s="521" t="n"/>
      <c r="AO85" s="521" t="n"/>
    </row>
    <row r="86" ht="15" customFormat="1" customHeight="1" s="8">
      <c r="A86" s="1144" t="inlineStr">
        <is>
          <t>Nº de informes Holter de presión arterial</t>
        </is>
      </c>
      <c r="B86" s="1179" t="n"/>
      <c r="C86" s="1183" t="n"/>
      <c r="D86" s="1179" t="n"/>
      <c r="E86" s="1183" t="n"/>
      <c r="F86" s="1179" t="n"/>
      <c r="G86" s="1183" t="n"/>
      <c r="H86" s="1181" t="n"/>
      <c r="I86" s="1185" t="n"/>
      <c r="J86" s="1329" t="n"/>
      <c r="K86" s="35" t="n"/>
      <c r="L86" s="1185" t="n"/>
      <c r="M86" s="1230" t="n"/>
      <c r="N86" s="1183" t="n"/>
      <c r="O86" s="1181" t="n"/>
      <c r="P86" s="1183" t="n"/>
      <c r="Q86" s="1181" t="n"/>
      <c r="R86" s="1183" t="n"/>
      <c r="S86" s="1179" t="n"/>
      <c r="T86" s="1185" t="n"/>
      <c r="U86" s="1329" t="n"/>
      <c r="V86" s="1181" t="n"/>
      <c r="W86" s="1231" t="n"/>
      <c r="X86" s="3788" t="n"/>
      <c r="Y86" s="1220" t="n"/>
      <c r="Z86" s="521" t="n"/>
      <c r="AA86" s="521" t="n"/>
      <c r="AB86" s="6" t="n"/>
      <c r="AC86" s="521" t="n"/>
      <c r="AD86" s="521" t="n"/>
      <c r="AE86" s="521" t="n"/>
      <c r="AF86" s="521" t="n"/>
      <c r="AG86" s="521" t="n"/>
      <c r="AH86" s="521" t="n"/>
      <c r="AI86" s="521" t="n"/>
      <c r="AJ86" s="521" t="n"/>
      <c r="AK86" s="521" t="n"/>
      <c r="AL86" s="521" t="n"/>
      <c r="AM86" s="521" t="n"/>
      <c r="AN86" s="521" t="n"/>
      <c r="AO86" s="521" t="n"/>
    </row>
    <row r="87" ht="15" customFormat="1" customHeight="1" s="8">
      <c r="A87" s="1144" t="inlineStr">
        <is>
          <t>Nº de informes Test de esfuerzo</t>
        </is>
      </c>
      <c r="B87" s="1179" t="n"/>
      <c r="C87" s="1183" t="n"/>
      <c r="D87" s="1179" t="n"/>
      <c r="E87" s="1183" t="n"/>
      <c r="F87" s="1179" t="n"/>
      <c r="G87" s="1183" t="n"/>
      <c r="H87" s="1181" t="n"/>
      <c r="I87" s="1185" t="n"/>
      <c r="J87" s="1329" t="n"/>
      <c r="K87" s="35" t="n"/>
      <c r="L87" s="1185" t="n"/>
      <c r="M87" s="1230" t="n"/>
      <c r="N87" s="1183" t="n"/>
      <c r="O87" s="1181" t="n"/>
      <c r="P87" s="1183" t="n"/>
      <c r="Q87" s="1181" t="n"/>
      <c r="R87" s="1183" t="n"/>
      <c r="S87" s="1179" t="n"/>
      <c r="T87" s="1185" t="n"/>
      <c r="U87" s="1329" t="n"/>
      <c r="V87" s="1181" t="n"/>
      <c r="W87" s="1231" t="n"/>
      <c r="X87" s="3788" t="n"/>
      <c r="Y87" s="1220" t="n"/>
      <c r="Z87" s="521" t="n"/>
      <c r="AA87" s="521" t="n"/>
      <c r="AB87" s="6" t="n"/>
      <c r="AC87" s="521" t="n"/>
      <c r="AD87" s="521" t="n"/>
      <c r="AE87" s="521" t="n"/>
      <c r="AF87" s="521" t="n"/>
      <c r="AG87" s="521" t="n"/>
      <c r="AH87" s="521" t="n"/>
      <c r="AI87" s="521" t="n"/>
      <c r="AJ87" s="521" t="n"/>
      <c r="AK87" s="521" t="n"/>
      <c r="AL87" s="521" t="n"/>
      <c r="AM87" s="521" t="n"/>
      <c r="AN87" s="521" t="n"/>
      <c r="AO87" s="521" t="n"/>
    </row>
    <row r="88" ht="15" customFormat="1" customHeight="1" s="8">
      <c r="A88" s="1144" t="inlineStr">
        <is>
          <t>Nº de informes radiografías simples</t>
        </is>
      </c>
      <c r="B88" s="1179" t="n"/>
      <c r="C88" s="1183" t="n"/>
      <c r="D88" s="1179" t="n"/>
      <c r="E88" s="1183" t="n"/>
      <c r="F88" s="1179" t="n"/>
      <c r="G88" s="1183" t="n"/>
      <c r="H88" s="1181" t="n"/>
      <c r="I88" s="1185" t="n"/>
      <c r="J88" s="1329" t="n"/>
      <c r="K88" s="35" t="n"/>
      <c r="L88" s="1185" t="n"/>
      <c r="M88" s="1230" t="n"/>
      <c r="N88" s="1183" t="n"/>
      <c r="O88" s="1181" t="n"/>
      <c r="P88" s="1183" t="n"/>
      <c r="Q88" s="1181" t="n"/>
      <c r="R88" s="1183" t="n"/>
      <c r="S88" s="1179" t="n"/>
      <c r="T88" s="1185" t="n"/>
      <c r="U88" s="1329" t="n"/>
      <c r="V88" s="1181" t="n"/>
      <c r="W88" s="1231" t="n"/>
      <c r="X88" s="3788" t="n"/>
      <c r="Y88" s="1220" t="n"/>
      <c r="Z88" s="521" t="n"/>
      <c r="AA88" s="521" t="n"/>
      <c r="AB88" s="6" t="n"/>
      <c r="AC88" s="521" t="n"/>
      <c r="AD88" s="521" t="n"/>
      <c r="AE88" s="521" t="n"/>
      <c r="AF88" s="521" t="n"/>
      <c r="AG88" s="521" t="n"/>
      <c r="AH88" s="521" t="n"/>
      <c r="AI88" s="521" t="n"/>
      <c r="AJ88" s="521" t="n"/>
      <c r="AK88" s="521" t="n"/>
      <c r="AL88" s="521" t="n"/>
      <c r="AM88" s="521" t="n"/>
      <c r="AN88" s="521" t="n"/>
      <c r="AO88" s="521" t="n"/>
    </row>
    <row r="89" ht="15" customFormat="1" customHeight="1" s="8">
      <c r="A89" s="1144" t="inlineStr">
        <is>
          <t>Nº de informes radiografías dentales</t>
        </is>
      </c>
      <c r="B89" s="1179" t="n"/>
      <c r="C89" s="1183" t="n"/>
      <c r="D89" s="1179" t="n"/>
      <c r="E89" s="1183" t="n"/>
      <c r="F89" s="1179" t="n"/>
      <c r="G89" s="1183" t="n"/>
      <c r="H89" s="1181" t="n"/>
      <c r="I89" s="1185" t="n"/>
      <c r="J89" s="4520" t="n"/>
      <c r="K89" s="3895" t="n"/>
      <c r="L89" s="1929" t="n"/>
      <c r="M89" s="1230" t="n"/>
      <c r="N89" s="1183" t="n"/>
      <c r="O89" s="1181" t="n"/>
      <c r="P89" s="1183" t="n"/>
      <c r="Q89" s="1181" t="n"/>
      <c r="R89" s="1183" t="n"/>
      <c r="S89" s="1179" t="n"/>
      <c r="T89" s="1185" t="n"/>
      <c r="U89" s="1329" t="n"/>
      <c r="V89" s="1181" t="n"/>
      <c r="W89" s="1231" t="n"/>
      <c r="X89" s="3788" t="n"/>
      <c r="Y89" s="1220" t="n"/>
      <c r="Z89" s="521" t="n"/>
      <c r="AA89" s="521" t="n"/>
      <c r="AB89" s="6" t="n"/>
      <c r="AC89" s="521" t="n"/>
      <c r="AD89" s="521" t="n"/>
      <c r="AE89" s="521" t="n"/>
      <c r="AF89" s="521" t="n"/>
      <c r="AG89" s="521" t="n"/>
      <c r="AH89" s="521" t="n"/>
      <c r="AI89" s="521" t="n"/>
      <c r="AJ89" s="521" t="n"/>
      <c r="AK89" s="521" t="n"/>
      <c r="AL89" s="521" t="n"/>
      <c r="AM89" s="521" t="n"/>
      <c r="AN89" s="521" t="n"/>
      <c r="AO89" s="521" t="n"/>
    </row>
    <row r="90" ht="15" customFormat="1" customHeight="1" s="8">
      <c r="A90" s="1144" t="inlineStr">
        <is>
          <t>Nº de informes de Tomografía axial computarizada</t>
        </is>
      </c>
      <c r="B90" s="1325" t="n"/>
      <c r="C90" s="3980" t="n"/>
      <c r="D90" s="1325" t="n"/>
      <c r="E90" s="877" t="n"/>
      <c r="F90" s="1325" t="n"/>
      <c r="G90" s="877" t="n"/>
      <c r="H90" s="4051" t="n"/>
      <c r="I90" s="1927" t="n"/>
      <c r="J90" s="4547" t="n"/>
      <c r="K90" s="4188" t="n"/>
      <c r="L90" s="4548" t="n"/>
      <c r="M90" s="1230" t="n"/>
      <c r="N90" s="1183" t="n"/>
      <c r="O90" s="1181" t="n"/>
      <c r="P90" s="1183" t="n"/>
      <c r="Q90" s="1181" t="n"/>
      <c r="R90" s="1183" t="n"/>
      <c r="S90" s="1179" t="n"/>
      <c r="T90" s="1185" t="n"/>
      <c r="U90" s="1329" t="n"/>
      <c r="V90" s="1181" t="n"/>
      <c r="W90" s="1231" t="n"/>
      <c r="X90" s="3788" t="n"/>
      <c r="Y90" s="1220" t="n"/>
      <c r="Z90" s="521" t="n"/>
      <c r="AA90" s="521" t="n"/>
      <c r="AB90" s="6" t="n"/>
      <c r="AC90" s="521" t="n"/>
      <c r="AD90" s="521" t="n"/>
      <c r="AE90" s="521" t="n"/>
      <c r="AF90" s="521" t="n"/>
      <c r="AG90" s="521" t="n"/>
      <c r="AH90" s="521" t="n"/>
      <c r="AI90" s="521" t="n"/>
      <c r="AJ90" s="521" t="n"/>
      <c r="AK90" s="521" t="n"/>
      <c r="AL90" s="521" t="n"/>
      <c r="AM90" s="521" t="n"/>
      <c r="AN90" s="521" t="n"/>
      <c r="AO90" s="521" t="n"/>
    </row>
    <row r="91" ht="15" customFormat="1" customHeight="1" s="8">
      <c r="A91" s="3968" t="inlineStr">
        <is>
          <t>Nº de informes de Resonancia magnética nuclear</t>
        </is>
      </c>
      <c r="B91" s="4042" t="n"/>
      <c r="C91" s="1314" t="n"/>
      <c r="D91" s="4042" t="n"/>
      <c r="E91" s="4054" t="n"/>
      <c r="F91" s="4042" t="n"/>
      <c r="G91" s="4054" t="n"/>
      <c r="H91" s="4053" t="n"/>
      <c r="I91" s="4055" t="n"/>
      <c r="J91" s="4549" t="n"/>
      <c r="K91" s="1389" t="n"/>
      <c r="L91" s="4550" t="n"/>
      <c r="M91" s="1230" t="n"/>
      <c r="N91" s="1183" t="n"/>
      <c r="O91" s="1181" t="n"/>
      <c r="P91" s="1183" t="n"/>
      <c r="Q91" s="1181" t="n"/>
      <c r="R91" s="1183" t="n"/>
      <c r="S91" s="1179" t="n"/>
      <c r="T91" s="1185" t="n"/>
      <c r="U91" s="1329" t="n"/>
      <c r="V91" s="1181" t="n"/>
      <c r="W91" s="1231" t="n"/>
      <c r="X91" s="3788" t="n"/>
      <c r="Y91" s="1220" t="n"/>
      <c r="Z91" s="521" t="n"/>
      <c r="AA91" s="521" t="n"/>
      <c r="AB91" s="6" t="n"/>
      <c r="AC91" s="521" t="n"/>
      <c r="AD91" s="521" t="n"/>
      <c r="AE91" s="521" t="n"/>
      <c r="AF91" s="521" t="n"/>
      <c r="AG91" s="521" t="n"/>
      <c r="AH91" s="521" t="n"/>
      <c r="AI91" s="521" t="n"/>
      <c r="AJ91" s="521" t="n"/>
      <c r="AK91" s="521" t="n"/>
      <c r="AL91" s="521" t="n"/>
      <c r="AM91" s="521" t="n"/>
      <c r="AN91" s="521" t="n"/>
      <c r="AO91" s="521" t="n"/>
    </row>
    <row r="92" ht="15" customFormat="1" customHeight="1" s="8">
      <c r="A92" s="3968" t="inlineStr">
        <is>
          <t>Nº de informes Ecografías abdominal</t>
        </is>
      </c>
      <c r="B92" s="1179" t="n"/>
      <c r="C92" s="1183" t="n"/>
      <c r="D92" s="1179" t="n"/>
      <c r="E92" s="1183" t="n"/>
      <c r="F92" s="1179" t="n"/>
      <c r="G92" s="1183" t="n"/>
      <c r="H92" s="1181" t="n"/>
      <c r="I92" s="1185" t="n"/>
      <c r="J92" s="1329" t="n"/>
      <c r="K92" s="35" t="n"/>
      <c r="L92" s="1185" t="n"/>
      <c r="M92" s="1230" t="n"/>
      <c r="N92" s="1183" t="n"/>
      <c r="O92" s="1181" t="n"/>
      <c r="P92" s="1183" t="n"/>
      <c r="Q92" s="1181" t="n"/>
      <c r="R92" s="1183" t="n"/>
      <c r="S92" s="1179" t="n"/>
      <c r="T92" s="1185" t="n"/>
      <c r="U92" s="1329" t="n"/>
      <c r="V92" s="1181" t="n"/>
      <c r="W92" s="1231" t="n"/>
      <c r="X92" s="3788" t="n"/>
      <c r="Y92" s="1220" t="n"/>
      <c r="Z92" s="521" t="n"/>
      <c r="AA92" s="521" t="n"/>
      <c r="AB92" s="521" t="n"/>
      <c r="AC92" s="521" t="n"/>
      <c r="AD92" s="521" t="n"/>
      <c r="AE92" s="521" t="n"/>
      <c r="AF92" s="521" t="n"/>
      <c r="AG92" s="521" t="n"/>
      <c r="AH92" s="521" t="n"/>
      <c r="AI92" s="521" t="n"/>
      <c r="AJ92" s="521" t="n"/>
      <c r="AK92" s="521" t="n"/>
      <c r="AL92" s="521" t="n"/>
      <c r="AM92" s="521" t="n"/>
    </row>
    <row r="93" ht="15" customFormat="1" customHeight="1" s="8">
      <c r="A93" s="3709" t="inlineStr">
        <is>
          <t>N° de mamografía</t>
        </is>
      </c>
      <c r="B93" s="3808" t="n"/>
      <c r="C93" s="3601" t="n"/>
      <c r="D93" s="3808" t="n"/>
      <c r="E93" s="3601" t="n"/>
      <c r="F93" s="3808" t="n"/>
      <c r="G93" s="3601" t="n"/>
      <c r="H93" s="3818" t="n"/>
      <c r="I93" s="3897" t="n"/>
      <c r="J93" s="4076" t="n"/>
      <c r="K93" s="1227" t="n"/>
      <c r="L93" s="3897" t="n"/>
      <c r="M93" s="3898" t="n"/>
      <c r="N93" s="3601" t="n"/>
      <c r="O93" s="3818" t="n"/>
      <c r="P93" s="3601" t="n"/>
      <c r="Q93" s="3818" t="n"/>
      <c r="R93" s="3601" t="n"/>
      <c r="S93" s="3808" t="n"/>
      <c r="T93" s="3897" t="n"/>
      <c r="U93" s="4076" t="n"/>
      <c r="V93" s="3818" t="n"/>
      <c r="W93" s="3899" t="n"/>
      <c r="X93" s="1192" t="n"/>
      <c r="Y93" s="3896" t="n"/>
      <c r="Z93" s="521" t="n"/>
      <c r="AA93" s="521" t="n"/>
      <c r="AB93" s="521" t="n"/>
      <c r="AC93" s="521" t="n"/>
      <c r="AD93" s="521" t="n"/>
      <c r="AE93" s="521" t="n"/>
      <c r="AF93" s="521" t="n"/>
      <c r="AG93" s="521" t="n"/>
      <c r="AH93" s="521" t="n"/>
      <c r="AI93" s="521" t="n"/>
      <c r="AJ93" s="521" t="n"/>
      <c r="AK93" s="521" t="n"/>
      <c r="AL93" s="521" t="n"/>
      <c r="AM93" s="521" t="n"/>
    </row>
    <row r="94" ht="18" customFormat="1" customHeight="1" s="7">
      <c r="A94" s="8616" t="inlineStr">
        <is>
          <t xml:space="preserve">SECCIÓN D: TELEINTERCONSULTA ODONTOLÓGICA </t>
        </is>
      </c>
      <c r="B94" s="8616" t="n"/>
      <c r="C94" s="8616" t="n"/>
      <c r="D94" s="8616" t="n"/>
      <c r="E94" s="8616" t="n"/>
      <c r="F94" s="8616" t="n"/>
      <c r="G94" s="8616" t="n"/>
    </row>
    <row r="95" ht="15" customFormat="1" customHeight="1" s="6">
      <c r="A95" s="10602" t="inlineStr">
        <is>
          <t>Especialidades odontológicas</t>
        </is>
      </c>
      <c r="B95" s="8400" t="inlineStr">
        <is>
          <t>Teleinterconsulta de especialidad odontológica ambulatoria nueva</t>
        </is>
      </c>
      <c r="C95" s="9584" t="n"/>
      <c r="D95" s="9584" t="n"/>
      <c r="E95" s="9584" t="n"/>
      <c r="F95" s="9584" t="n"/>
      <c r="G95" s="9584" t="n"/>
      <c r="H95" s="9584" t="n"/>
      <c r="I95" s="9582" t="n"/>
      <c r="J95" s="9976" t="inlineStr">
        <is>
          <t>Teleinterconsulta de especialidad odontológica ambulatoria control</t>
        </is>
      </c>
      <c r="K95" s="9584" t="n"/>
      <c r="L95" s="9584" t="n"/>
      <c r="M95" s="9584" t="n"/>
      <c r="N95" s="9584" t="n"/>
      <c r="O95" s="9584" t="n"/>
      <c r="P95" s="9584" t="n"/>
      <c r="Q95" s="9595" t="n"/>
      <c r="R95" s="9988" t="inlineStr">
        <is>
          <t xml:space="preserve">TOTAL TELEINTERCONSULTAS AMBULATORIAS DE ESPECIALIDAD ODONTOLÓGICA </t>
        </is>
      </c>
      <c r="S95" s="9617" t="n"/>
      <c r="T95" s="9617" t="n"/>
      <c r="U95" s="9617" t="n"/>
      <c r="V95" s="9617" t="n"/>
      <c r="W95" s="9617" t="n"/>
      <c r="X95" s="9617" t="n"/>
      <c r="Y95" s="9597" t="n"/>
      <c r="Z95" s="5032" t="inlineStr">
        <is>
          <t>Modalidad</t>
        </is>
      </c>
      <c r="AA95" s="9584" t="n"/>
      <c r="AB95" s="9595" t="n"/>
      <c r="AC95" s="10592" t="inlineStr">
        <is>
          <t>Solicitud de teleinterconsulta de especialidad odontológica</t>
        </is>
      </c>
      <c r="AD95" s="9617" t="n"/>
      <c r="AE95" s="9617" t="n"/>
      <c r="AF95" s="9617" t="n"/>
      <c r="AG95" s="9617" t="n"/>
      <c r="AH95" s="9617" t="n"/>
      <c r="AI95" s="9617" t="n"/>
      <c r="AJ95" s="9648" t="n"/>
      <c r="AK95" s="521" t="n"/>
      <c r="AL95" s="521" t="n"/>
      <c r="AM95" s="521" t="n"/>
      <c r="AN95" s="521" t="n"/>
      <c r="AO95" s="521" t="n"/>
      <c r="AP95" s="521" t="n"/>
      <c r="AQ95" s="521" t="n"/>
      <c r="AR95" s="521" t="n"/>
      <c r="AS95" s="521" t="n"/>
    </row>
    <row r="96" ht="15" customFormat="1" customHeight="1" s="6">
      <c r="A96" s="9625" t="n"/>
      <c r="B96" s="10579" t="inlineStr">
        <is>
          <t>0 - 14 años</t>
        </is>
      </c>
      <c r="C96" s="9582" t="n"/>
      <c r="D96" s="9977" t="inlineStr">
        <is>
          <t>15 - 17 años</t>
        </is>
      </c>
      <c r="E96" s="9582" t="n"/>
      <c r="F96" s="9977" t="inlineStr">
        <is>
          <t>18 - 19 años</t>
        </is>
      </c>
      <c r="G96" s="9582" t="n"/>
      <c r="H96" s="9977" t="inlineStr">
        <is>
          <t>20 y más años</t>
        </is>
      </c>
      <c r="I96" s="9582" t="n"/>
      <c r="J96" s="10579" t="inlineStr">
        <is>
          <t>0 - 14 años</t>
        </is>
      </c>
      <c r="K96" s="9582" t="n"/>
      <c r="L96" s="9977" t="inlineStr">
        <is>
          <t>15 - 17 años</t>
        </is>
      </c>
      <c r="M96" s="9582" t="n"/>
      <c r="N96" s="9977" t="inlineStr">
        <is>
          <t>18 - 19 años</t>
        </is>
      </c>
      <c r="O96" s="9582" t="n"/>
      <c r="P96" s="9915" t="inlineStr">
        <is>
          <t>20 y más años</t>
        </is>
      </c>
      <c r="Q96" s="9595" t="n"/>
      <c r="R96" s="10579" t="inlineStr">
        <is>
          <t>0 - 14 años</t>
        </is>
      </c>
      <c r="S96" s="9582" t="n"/>
      <c r="T96" s="9977" t="inlineStr">
        <is>
          <t>15 - 17 años</t>
        </is>
      </c>
      <c r="U96" s="9582" t="n"/>
      <c r="V96" s="9977" t="inlineStr">
        <is>
          <t>18 - 19 años</t>
        </is>
      </c>
      <c r="W96" s="9582" t="n"/>
      <c r="X96" s="9915" t="inlineStr">
        <is>
          <t>20 y más años</t>
        </is>
      </c>
      <c r="Y96" s="9595" t="n"/>
      <c r="Z96" s="4504" t="inlineStr">
        <is>
          <t>Institucional</t>
        </is>
      </c>
      <c r="AA96" s="10594" t="inlineStr">
        <is>
          <t>Compra de Servicio</t>
        </is>
      </c>
      <c r="AB96" s="9595" t="n"/>
      <c r="AC96" s="10579" t="inlineStr">
        <is>
          <t>0 - 14 años</t>
        </is>
      </c>
      <c r="AD96" s="9582" t="n"/>
      <c r="AE96" s="9977" t="inlineStr">
        <is>
          <t>15 - 17 años</t>
        </is>
      </c>
      <c r="AF96" s="9582" t="n"/>
      <c r="AG96" s="9977" t="inlineStr">
        <is>
          <t>18-19 años</t>
        </is>
      </c>
      <c r="AH96" s="9582" t="n"/>
      <c r="AI96" s="9977" t="inlineStr">
        <is>
          <t>20 y más años</t>
        </is>
      </c>
      <c r="AJ96" s="9582" t="n"/>
      <c r="AK96" s="521" t="n"/>
      <c r="AL96" s="521" t="n"/>
      <c r="AM96" s="521" t="n"/>
      <c r="AN96" s="521" t="n"/>
      <c r="AO96" s="521" t="n"/>
      <c r="AP96" s="521" t="n"/>
      <c r="AQ96" s="521" t="n"/>
      <c r="AR96" s="521" t="n"/>
      <c r="AS96" s="521" t="n"/>
    </row>
    <row r="97" ht="21" customFormat="1" customHeight="1" s="6">
      <c r="A97" s="9641" t="n"/>
      <c r="B97" s="4496" t="inlineStr">
        <is>
          <t>Hombres</t>
        </is>
      </c>
      <c r="C97" s="4497" t="inlineStr">
        <is>
          <t>Mujeres</t>
        </is>
      </c>
      <c r="D97" s="4498" t="inlineStr">
        <is>
          <t>Hombres</t>
        </is>
      </c>
      <c r="E97" s="4497" t="inlineStr">
        <is>
          <t>Mujeres</t>
        </is>
      </c>
      <c r="F97" s="4498" t="inlineStr">
        <is>
          <t>Hombres</t>
        </is>
      </c>
      <c r="G97" s="4497" t="inlineStr">
        <is>
          <t>Mujeres</t>
        </is>
      </c>
      <c r="H97" s="4498" t="inlineStr">
        <is>
          <t>Hombres</t>
        </is>
      </c>
      <c r="I97" s="4497" t="inlineStr">
        <is>
          <t>Mujeres</t>
        </is>
      </c>
      <c r="J97" s="4498" t="inlineStr">
        <is>
          <t>Hombres</t>
        </is>
      </c>
      <c r="K97" s="4497" t="inlineStr">
        <is>
          <t>Mujeres</t>
        </is>
      </c>
      <c r="L97" s="4498" t="inlineStr">
        <is>
          <t>Hombres</t>
        </is>
      </c>
      <c r="M97" s="4497" t="inlineStr">
        <is>
          <t>Mujeres</t>
        </is>
      </c>
      <c r="N97" s="4498" t="inlineStr">
        <is>
          <t>Hombres</t>
        </is>
      </c>
      <c r="O97" s="4497" t="inlineStr">
        <is>
          <t>Mujeres</t>
        </is>
      </c>
      <c r="P97" s="4498" t="inlineStr">
        <is>
          <t>Hombres</t>
        </is>
      </c>
      <c r="Q97" s="4499" t="inlineStr">
        <is>
          <t>Mujeres</t>
        </is>
      </c>
      <c r="R97" s="4496" t="inlineStr">
        <is>
          <t>Hombres</t>
        </is>
      </c>
      <c r="S97" s="4497" t="inlineStr">
        <is>
          <t>Mujeres</t>
        </is>
      </c>
      <c r="T97" s="4496" t="inlineStr">
        <is>
          <t>Hombres</t>
        </is>
      </c>
      <c r="U97" s="4497" t="inlineStr">
        <is>
          <t>Mujeres</t>
        </is>
      </c>
      <c r="V97" s="4496" t="inlineStr">
        <is>
          <t>Hombres</t>
        </is>
      </c>
      <c r="W97" s="4497" t="inlineStr">
        <is>
          <t>Mujeres</t>
        </is>
      </c>
      <c r="X97" s="4498" t="inlineStr">
        <is>
          <t>Hombres</t>
        </is>
      </c>
      <c r="Y97" s="4499" t="inlineStr">
        <is>
          <t>Mujeres</t>
        </is>
      </c>
      <c r="Z97" s="9280" t="inlineStr">
        <is>
          <t>Establecimiento de la Red</t>
        </is>
      </c>
      <c r="AA97" s="9499" t="inlineStr">
        <is>
          <t>Sistema</t>
        </is>
      </c>
      <c r="AB97" s="4502" t="inlineStr">
        <is>
          <t>Extrasistema</t>
        </is>
      </c>
      <c r="AC97" s="4503" t="inlineStr">
        <is>
          <t>Hombres</t>
        </is>
      </c>
      <c r="AD97" s="4497" t="inlineStr">
        <is>
          <t>Mujeres</t>
        </is>
      </c>
      <c r="AE97" s="4496" t="inlineStr">
        <is>
          <t>Hombres</t>
        </is>
      </c>
      <c r="AF97" s="4497" t="inlineStr">
        <is>
          <t>Mujeres</t>
        </is>
      </c>
      <c r="AG97" s="4498" t="inlineStr">
        <is>
          <t>Hombres</t>
        </is>
      </c>
      <c r="AH97" s="4497" t="inlineStr">
        <is>
          <t>Mujeres</t>
        </is>
      </c>
      <c r="AI97" s="4498" t="inlineStr">
        <is>
          <t>Hombres</t>
        </is>
      </c>
      <c r="AJ97" s="4497" t="inlineStr">
        <is>
          <t>Mujeres</t>
        </is>
      </c>
      <c r="AK97" s="521" t="n"/>
      <c r="AL97" s="521" t="n"/>
      <c r="AM97" s="521" t="n"/>
      <c r="AN97" s="521" t="n"/>
      <c r="AO97" s="521" t="n"/>
      <c r="AP97" s="521" t="n"/>
      <c r="AQ97" s="521" t="n"/>
      <c r="AR97" s="521" t="n"/>
      <c r="AS97" s="521" t="n"/>
    </row>
    <row r="98" ht="15" customFormat="1" customHeight="1" s="6">
      <c r="A98" s="4505" t="inlineStr">
        <is>
          <t>TOTAL</t>
        </is>
      </c>
      <c r="B98" s="4506">
        <f>SUM(B99:B108)</f>
        <v/>
      </c>
      <c r="C98" s="4551">
        <f>SUM(C99:C108)</f>
        <v/>
      </c>
      <c r="D98" s="4506">
        <f>SUM(D99:D108)</f>
        <v/>
      </c>
      <c r="E98" s="4551">
        <f>SUM(E99:E108)</f>
        <v/>
      </c>
      <c r="F98" s="4506">
        <f>SUM(F99:F108)</f>
        <v/>
      </c>
      <c r="G98" s="4551">
        <f>SUM(G99:G108)</f>
        <v/>
      </c>
      <c r="H98" s="4506">
        <f>SUM(H99:H108)</f>
        <v/>
      </c>
      <c r="I98" s="4551">
        <f>SUM(I99:I108)</f>
        <v/>
      </c>
      <c r="J98" s="4506">
        <f>SUM(J99:J108)</f>
        <v/>
      </c>
      <c r="K98" s="4551">
        <f>SUM(K99:K108)</f>
        <v/>
      </c>
      <c r="L98" s="4506">
        <f>SUM(L99:L108)</f>
        <v/>
      </c>
      <c r="M98" s="4551">
        <f>SUM(M99:M108)</f>
        <v/>
      </c>
      <c r="N98" s="4506">
        <f>SUM(N99:N108)</f>
        <v/>
      </c>
      <c r="O98" s="4551">
        <f>SUM(O99:O108)</f>
        <v/>
      </c>
      <c r="P98" s="4506">
        <f>SUM(P99:P108)</f>
        <v/>
      </c>
      <c r="Q98" s="4506">
        <f>SUM(Q99:Q108)</f>
        <v/>
      </c>
      <c r="R98" s="4552">
        <f>SUM(R99:R108)</f>
        <v/>
      </c>
      <c r="S98" s="4553">
        <f>SUM(S99:S108)</f>
        <v/>
      </c>
      <c r="T98" s="4539">
        <f>SUM(T99:T108)</f>
        <v/>
      </c>
      <c r="U98" s="4553">
        <f>SUM(U99:U108)</f>
        <v/>
      </c>
      <c r="V98" s="4539">
        <f>SUM(V99:V108)</f>
        <v/>
      </c>
      <c r="W98" s="4553">
        <f>SUM(W99:W108)</f>
        <v/>
      </c>
      <c r="X98" s="4539">
        <f>SUM(X99:X108)</f>
        <v/>
      </c>
      <c r="Y98" s="4544">
        <f>SUM(Y99:Y108)</f>
        <v/>
      </c>
      <c r="Z98" s="4552">
        <f>SUM(Z99:Z108)</f>
        <v/>
      </c>
      <c r="AA98" s="4554">
        <f>SUM(AA99:AA108)</f>
        <v/>
      </c>
      <c r="AB98" s="181">
        <f>SUM(AB99:AB108)</f>
        <v/>
      </c>
      <c r="AC98" s="4277">
        <f>SUM(AC99:AC108)</f>
        <v/>
      </c>
      <c r="AD98" s="4279">
        <f>SUM(AD99:AD108)</f>
        <v/>
      </c>
      <c r="AE98" s="4506">
        <f>SUM(AE99:AE108)</f>
        <v/>
      </c>
      <c r="AF98" s="4279">
        <f>SUM(AF99:AF108)</f>
        <v/>
      </c>
      <c r="AG98" s="4280">
        <f>SUM(AG99:AG108)</f>
        <v/>
      </c>
      <c r="AH98" s="4279">
        <f>SUM(AH99:AH108)</f>
        <v/>
      </c>
      <c r="AI98" s="4280">
        <f>SUM(AI99:AI108)</f>
        <v/>
      </c>
      <c r="AJ98" s="4279">
        <f>SUM(AJ99:AJ108)</f>
        <v/>
      </c>
      <c r="AK98" s="521" t="n"/>
      <c r="AL98" s="521" t="n"/>
      <c r="AM98" s="521" t="n"/>
      <c r="AN98" s="521" t="n"/>
      <c r="AO98" s="521" t="n"/>
      <c r="AP98" s="521" t="n"/>
      <c r="AQ98" s="521" t="n"/>
      <c r="AR98" s="521" t="n"/>
      <c r="AS98" s="521" t="n"/>
    </row>
    <row r="99" ht="15" customFormat="1" customHeight="1" s="6">
      <c r="A99" s="1144" t="inlineStr">
        <is>
          <t>Cirugía y traumatología maxilofacial</t>
        </is>
      </c>
      <c r="B99" s="1181" t="n"/>
      <c r="C99" s="1183" t="n"/>
      <c r="D99" s="1179" t="n"/>
      <c r="E99" s="1183" t="n"/>
      <c r="F99" s="1179" t="n"/>
      <c r="G99" s="1183" t="n"/>
      <c r="H99" s="1179" t="n"/>
      <c r="I99" s="1183" t="n"/>
      <c r="J99" s="1179" t="n"/>
      <c r="K99" s="1183" t="n"/>
      <c r="L99" s="1179" t="n"/>
      <c r="M99" s="1183" t="n"/>
      <c r="N99" s="1179" t="n"/>
      <c r="O99" s="1183" t="n"/>
      <c r="P99" s="1179" t="n"/>
      <c r="Q99" s="1185" t="n"/>
      <c r="R99" s="1391">
        <f>+B99+J99</f>
        <v/>
      </c>
      <c r="S99" s="1382">
        <f>+C99+K99</f>
        <v/>
      </c>
      <c r="T99" s="1381">
        <f>+D99+L99</f>
        <v/>
      </c>
      <c r="U99" s="1382">
        <f>+E99+M99</f>
        <v/>
      </c>
      <c r="V99" s="1381">
        <f>+F99+N99</f>
        <v/>
      </c>
      <c r="W99" s="1382">
        <f>+G99+O99</f>
        <v/>
      </c>
      <c r="X99" s="1383">
        <f>+H99+P99</f>
        <v/>
      </c>
      <c r="Y99" s="1392">
        <f>+I99+Q99</f>
        <v/>
      </c>
      <c r="Z99" s="1181" t="n"/>
      <c r="AA99" s="35" t="n"/>
      <c r="AB99" s="1185" t="n"/>
      <c r="AC99" s="1385" t="n"/>
      <c r="AD99" s="1386" t="n"/>
      <c r="AE99" s="1387" t="n"/>
      <c r="AF99" s="1386" t="n"/>
      <c r="AG99" s="1388" t="n"/>
      <c r="AH99" s="1386" t="n"/>
      <c r="AI99" s="1388" t="n"/>
      <c r="AJ99" s="1386" t="n"/>
      <c r="AK99" s="521" t="n"/>
      <c r="AL99" s="521" t="n"/>
      <c r="AM99" s="521" t="n"/>
      <c r="AN99" s="521" t="n"/>
      <c r="AO99" s="521" t="n"/>
      <c r="AP99" s="521" t="n"/>
      <c r="AQ99" s="521" t="n"/>
      <c r="AR99" s="521" t="n"/>
      <c r="AS99" s="521" t="n"/>
    </row>
    <row r="100" ht="15" customFormat="1" customHeight="1" s="6">
      <c r="A100" s="1144" t="inlineStr">
        <is>
          <t>Endodoncia</t>
        </is>
      </c>
      <c r="B100" s="1181" t="n"/>
      <c r="C100" s="1183" t="n"/>
      <c r="D100" s="1179" t="n"/>
      <c r="E100" s="1183" t="n"/>
      <c r="F100" s="1179" t="n"/>
      <c r="G100" s="1183" t="n"/>
      <c r="H100" s="1179" t="n"/>
      <c r="I100" s="1183" t="n"/>
      <c r="J100" s="1179" t="n"/>
      <c r="K100" s="1183" t="n"/>
      <c r="L100" s="1179" t="n"/>
      <c r="M100" s="1183" t="n"/>
      <c r="N100" s="1179" t="n"/>
      <c r="O100" s="1183" t="n"/>
      <c r="P100" s="1179" t="n"/>
      <c r="Q100" s="1185" t="n"/>
      <c r="R100" s="1391">
        <f>+B100+J100</f>
        <v/>
      </c>
      <c r="S100" s="1382">
        <f>+C100+K100</f>
        <v/>
      </c>
      <c r="T100" s="1381">
        <f>+D100+L100</f>
        <v/>
      </c>
      <c r="U100" s="1382">
        <f>+E100+M100</f>
        <v/>
      </c>
      <c r="V100" s="1381">
        <f>+F100+N100</f>
        <v/>
      </c>
      <c r="W100" s="1382">
        <f>+G100+O100</f>
        <v/>
      </c>
      <c r="X100" s="1383">
        <f>+H100+P100</f>
        <v/>
      </c>
      <c r="Y100" s="1392">
        <f>+I100+Q100</f>
        <v/>
      </c>
      <c r="Z100" s="1181" t="n"/>
      <c r="AA100" s="35" t="n"/>
      <c r="AB100" s="1185" t="n"/>
      <c r="AC100" s="1385" t="n"/>
      <c r="AD100" s="1386" t="n"/>
      <c r="AE100" s="1387" t="n"/>
      <c r="AF100" s="1386" t="n"/>
      <c r="AG100" s="1388" t="n"/>
      <c r="AH100" s="1386" t="n"/>
      <c r="AI100" s="1388" t="n"/>
      <c r="AJ100" s="1386" t="n"/>
      <c r="AK100" s="521" t="n"/>
      <c r="AL100" s="521" t="n"/>
      <c r="AM100" s="521" t="n"/>
      <c r="AN100" s="521" t="n"/>
      <c r="AO100" s="521" t="n"/>
      <c r="AP100" s="521" t="n"/>
      <c r="AQ100" s="521" t="n"/>
      <c r="AR100" s="521" t="n"/>
      <c r="AS100" s="521" t="n"/>
    </row>
    <row r="101" ht="15" customFormat="1" customHeight="1" s="6">
      <c r="A101" s="1144" t="inlineStr">
        <is>
          <t>Odontopediatría</t>
        </is>
      </c>
      <c r="B101" s="1181" t="n"/>
      <c r="C101" s="1183" t="n"/>
      <c r="D101" s="1179" t="n"/>
      <c r="E101" s="1183" t="n"/>
      <c r="F101" s="1179" t="n"/>
      <c r="G101" s="1183" t="n"/>
      <c r="H101" s="1179" t="n"/>
      <c r="I101" s="1183" t="n"/>
      <c r="J101" s="1179" t="n"/>
      <c r="K101" s="1183" t="n"/>
      <c r="L101" s="1179" t="n"/>
      <c r="M101" s="1183" t="n"/>
      <c r="N101" s="1179" t="n"/>
      <c r="O101" s="1183" t="n"/>
      <c r="P101" s="1179" t="n"/>
      <c r="Q101" s="1185" t="n"/>
      <c r="R101" s="1391">
        <f>+B101+J101</f>
        <v/>
      </c>
      <c r="S101" s="1382">
        <f>+C101+K101</f>
        <v/>
      </c>
      <c r="T101" s="1381">
        <f>+D101+L101</f>
        <v/>
      </c>
      <c r="U101" s="1382">
        <f>+E101+M101</f>
        <v/>
      </c>
      <c r="V101" s="1381">
        <f>+F101+N101</f>
        <v/>
      </c>
      <c r="W101" s="1382">
        <f>+G101+O101</f>
        <v/>
      </c>
      <c r="X101" s="1383">
        <f>+H101+P101</f>
        <v/>
      </c>
      <c r="Y101" s="1392">
        <f>+I101+Q101</f>
        <v/>
      </c>
      <c r="Z101" s="1181" t="n"/>
      <c r="AA101" s="35" t="n"/>
      <c r="AB101" s="1185" t="n"/>
      <c r="AC101" s="1385" t="n"/>
      <c r="AD101" s="1386" t="n"/>
      <c r="AE101" s="1387" t="n"/>
      <c r="AF101" s="1386" t="n"/>
      <c r="AG101" s="1388" t="n"/>
      <c r="AH101" s="1386" t="n"/>
      <c r="AI101" s="1388" t="n"/>
      <c r="AJ101" s="1386" t="n"/>
      <c r="AK101" s="521" t="n"/>
      <c r="AL101" s="521" t="n"/>
      <c r="AM101" s="521" t="n"/>
      <c r="AN101" s="521" t="n"/>
      <c r="AO101" s="521" t="n"/>
      <c r="AP101" s="521" t="n"/>
      <c r="AQ101" s="521" t="n"/>
      <c r="AR101" s="521" t="n"/>
      <c r="AS101" s="521" t="n"/>
    </row>
    <row r="102" ht="15" customFormat="1" customHeight="1" s="6">
      <c r="A102" s="1144" t="inlineStr">
        <is>
          <t>Ortodoncia y ortopedia dento maxilofacial</t>
        </is>
      </c>
      <c r="B102" s="1181" t="n"/>
      <c r="C102" s="1183" t="n"/>
      <c r="D102" s="1179" t="n"/>
      <c r="E102" s="1183" t="n"/>
      <c r="F102" s="1179" t="n"/>
      <c r="G102" s="1183" t="n"/>
      <c r="H102" s="1179" t="n"/>
      <c r="I102" s="1183" t="n"/>
      <c r="J102" s="1179" t="n"/>
      <c r="K102" s="1183" t="n"/>
      <c r="L102" s="1179" t="n"/>
      <c r="M102" s="1183" t="n"/>
      <c r="N102" s="1179" t="n"/>
      <c r="O102" s="1183" t="n"/>
      <c r="P102" s="1179" t="n"/>
      <c r="Q102" s="1185" t="n"/>
      <c r="R102" s="1391">
        <f>+B102+J102</f>
        <v/>
      </c>
      <c r="S102" s="1382">
        <f>+C102+K102</f>
        <v/>
      </c>
      <c r="T102" s="1381">
        <f>+D102+L102</f>
        <v/>
      </c>
      <c r="U102" s="1382">
        <f>+E102+M102</f>
        <v/>
      </c>
      <c r="V102" s="1381">
        <f>+F102+N102</f>
        <v/>
      </c>
      <c r="W102" s="1382">
        <f>+G102+O102</f>
        <v/>
      </c>
      <c r="X102" s="1383">
        <f>+H102+P102</f>
        <v/>
      </c>
      <c r="Y102" s="1392">
        <f>+I102+Q102</f>
        <v/>
      </c>
      <c r="Z102" s="1181" t="n"/>
      <c r="AA102" s="35" t="n"/>
      <c r="AB102" s="1185" t="n"/>
      <c r="AC102" s="1385" t="n"/>
      <c r="AD102" s="1386" t="n"/>
      <c r="AE102" s="1387" t="n"/>
      <c r="AF102" s="1386" t="n"/>
      <c r="AG102" s="1388" t="n"/>
      <c r="AH102" s="1386" t="n"/>
      <c r="AI102" s="1388" t="n"/>
      <c r="AJ102" s="1386" t="n"/>
      <c r="AK102" s="521" t="n"/>
      <c r="AL102" s="521" t="n"/>
      <c r="AM102" s="521" t="n"/>
      <c r="AN102" s="521" t="n"/>
      <c r="AO102" s="521" t="n"/>
      <c r="AP102" s="521" t="n"/>
      <c r="AQ102" s="521" t="n"/>
      <c r="AR102" s="521" t="n"/>
      <c r="AS102" s="521" t="n"/>
    </row>
    <row r="103" ht="15" customFormat="1" customHeight="1" s="6">
      <c r="A103" s="1144" t="inlineStr">
        <is>
          <t>Periodoncia</t>
        </is>
      </c>
      <c r="B103" s="1181" t="n"/>
      <c r="C103" s="1183" t="n"/>
      <c r="D103" s="1179" t="n"/>
      <c r="E103" s="1183" t="n"/>
      <c r="F103" s="1179" t="n"/>
      <c r="G103" s="1183" t="n"/>
      <c r="H103" s="1179" t="n"/>
      <c r="I103" s="1183" t="n"/>
      <c r="J103" s="1179" t="n"/>
      <c r="K103" s="1183" t="n"/>
      <c r="L103" s="1179" t="n"/>
      <c r="M103" s="1183" t="n"/>
      <c r="N103" s="1179" t="n"/>
      <c r="O103" s="1183" t="n"/>
      <c r="P103" s="1179" t="n"/>
      <c r="Q103" s="1185" t="n"/>
      <c r="R103" s="1391">
        <f>+B103+J103</f>
        <v/>
      </c>
      <c r="S103" s="1382">
        <f>+C103+K103</f>
        <v/>
      </c>
      <c r="T103" s="1381">
        <f>+D103+L103</f>
        <v/>
      </c>
      <c r="U103" s="1382">
        <f>+E103+M103</f>
        <v/>
      </c>
      <c r="V103" s="1381">
        <f>+F103+N103</f>
        <v/>
      </c>
      <c r="W103" s="1382">
        <f>+G103+O103</f>
        <v/>
      </c>
      <c r="X103" s="1383">
        <f>+H103+P103</f>
        <v/>
      </c>
      <c r="Y103" s="1392">
        <f>+I103+Q103</f>
        <v/>
      </c>
      <c r="Z103" s="1181" t="n"/>
      <c r="AA103" s="35" t="n"/>
      <c r="AB103" s="1185" t="n"/>
      <c r="AC103" s="1385" t="n"/>
      <c r="AD103" s="1386" t="n"/>
      <c r="AE103" s="1387" t="n"/>
      <c r="AF103" s="1386" t="n"/>
      <c r="AG103" s="1388" t="n"/>
      <c r="AH103" s="1386" t="n"/>
      <c r="AI103" s="1388" t="n"/>
      <c r="AJ103" s="1386" t="n"/>
      <c r="AK103" s="521" t="n"/>
      <c r="AL103" s="521" t="n"/>
      <c r="AM103" s="521" t="n"/>
      <c r="AN103" s="521" t="n"/>
      <c r="AO103" s="521" t="n"/>
      <c r="AP103" s="521" t="n"/>
      <c r="AQ103" s="521" t="n"/>
      <c r="AR103" s="521" t="n"/>
      <c r="AS103" s="521" t="n"/>
    </row>
    <row r="104" ht="15" customFormat="1" customHeight="1" s="6">
      <c r="A104" s="1144" t="inlineStr">
        <is>
          <t>Rehabilitación: Prótesis fija</t>
        </is>
      </c>
      <c r="B104" s="1181" t="n"/>
      <c r="C104" s="1183" t="n"/>
      <c r="D104" s="1179" t="n"/>
      <c r="E104" s="1183" t="n"/>
      <c r="F104" s="1179" t="n"/>
      <c r="G104" s="1183" t="n"/>
      <c r="H104" s="1179" t="n"/>
      <c r="I104" s="1183" t="n"/>
      <c r="J104" s="1179" t="n"/>
      <c r="K104" s="1183" t="n"/>
      <c r="L104" s="1179" t="n"/>
      <c r="M104" s="1183" t="n"/>
      <c r="N104" s="1179" t="n"/>
      <c r="O104" s="1183" t="n"/>
      <c r="P104" s="1179" t="n"/>
      <c r="Q104" s="1185" t="n"/>
      <c r="R104" s="1391">
        <f>+B104+J104</f>
        <v/>
      </c>
      <c r="S104" s="1382">
        <f>+C104+K104</f>
        <v/>
      </c>
      <c r="T104" s="1381">
        <f>+D104+L104</f>
        <v/>
      </c>
      <c r="U104" s="1382">
        <f>+E104+M104</f>
        <v/>
      </c>
      <c r="V104" s="1381">
        <f>+F104+N104</f>
        <v/>
      </c>
      <c r="W104" s="1382">
        <f>+G104+O104</f>
        <v/>
      </c>
      <c r="X104" s="1383">
        <f>+H104+P104</f>
        <v/>
      </c>
      <c r="Y104" s="1392">
        <f>+I104+Q104</f>
        <v/>
      </c>
      <c r="Z104" s="1181" t="n"/>
      <c r="AA104" s="35" t="n"/>
      <c r="AB104" s="1185" t="n"/>
      <c r="AC104" s="1385" t="n"/>
      <c r="AD104" s="1386" t="n"/>
      <c r="AE104" s="1387" t="n"/>
      <c r="AF104" s="1386" t="n"/>
      <c r="AG104" s="1388" t="n"/>
      <c r="AH104" s="1386" t="n"/>
      <c r="AI104" s="1388" t="n"/>
      <c r="AJ104" s="1386" t="n"/>
      <c r="AK104" s="521" t="n"/>
      <c r="AL104" s="521" t="n"/>
      <c r="AM104" s="521" t="n"/>
      <c r="AN104" s="521" t="n"/>
      <c r="AO104" s="521" t="n"/>
      <c r="AP104" s="521" t="n"/>
      <c r="AQ104" s="521" t="n"/>
      <c r="AR104" s="521" t="n"/>
      <c r="AS104" s="521" t="n"/>
    </row>
    <row r="105" ht="15" customFormat="1" customHeight="1" s="6">
      <c r="A105" s="1144" t="inlineStr">
        <is>
          <t>Rehabilitación: Prótesis removible</t>
        </is>
      </c>
      <c r="B105" s="1181" t="n"/>
      <c r="C105" s="1183" t="n"/>
      <c r="D105" s="1179" t="n"/>
      <c r="E105" s="1183" t="n"/>
      <c r="F105" s="1179" t="n"/>
      <c r="G105" s="1183" t="n"/>
      <c r="H105" s="1179" t="n"/>
      <c r="I105" s="1183" t="n"/>
      <c r="J105" s="1179" t="n"/>
      <c r="K105" s="1183" t="n"/>
      <c r="L105" s="1179" t="n"/>
      <c r="M105" s="1183" t="n"/>
      <c r="N105" s="1179" t="n"/>
      <c r="O105" s="1183" t="n"/>
      <c r="P105" s="1179" t="n"/>
      <c r="Q105" s="1185" t="n"/>
      <c r="R105" s="1391">
        <f>+B105+J105</f>
        <v/>
      </c>
      <c r="S105" s="1382">
        <f>+C105+K105</f>
        <v/>
      </c>
      <c r="T105" s="1381">
        <f>+D105+L105</f>
        <v/>
      </c>
      <c r="U105" s="1382">
        <f>+E105+M105</f>
        <v/>
      </c>
      <c r="V105" s="1381">
        <f>+F105+N105</f>
        <v/>
      </c>
      <c r="W105" s="1382">
        <f>+G105+O105</f>
        <v/>
      </c>
      <c r="X105" s="1383">
        <f>+H105+P105</f>
        <v/>
      </c>
      <c r="Y105" s="1392">
        <f>+I105+Q105</f>
        <v/>
      </c>
      <c r="Z105" s="1181" t="n"/>
      <c r="AA105" s="35" t="n"/>
      <c r="AB105" s="1185" t="n"/>
      <c r="AC105" s="1385" t="n"/>
      <c r="AD105" s="1386" t="n"/>
      <c r="AE105" s="1387" t="n"/>
      <c r="AF105" s="1386" t="n"/>
      <c r="AG105" s="1388" t="n"/>
      <c r="AH105" s="1386" t="n"/>
      <c r="AI105" s="1388" t="n"/>
      <c r="AJ105" s="1386" t="n"/>
      <c r="AK105" s="521" t="n"/>
      <c r="AL105" s="521" t="n"/>
      <c r="AM105" s="521" t="n"/>
      <c r="AN105" s="521" t="n"/>
      <c r="AO105" s="521" t="n"/>
      <c r="AP105" s="521" t="n"/>
      <c r="AQ105" s="521" t="n"/>
      <c r="AR105" s="521" t="n"/>
      <c r="AS105" s="521" t="n"/>
    </row>
    <row r="106" ht="15" customFormat="1" customHeight="1" s="6">
      <c r="A106" s="1144" t="inlineStr">
        <is>
          <t>Implantología buco maxilofacial</t>
        </is>
      </c>
      <c r="B106" s="1181" t="n"/>
      <c r="C106" s="1183" t="n"/>
      <c r="D106" s="1179" t="n"/>
      <c r="E106" s="1183" t="n"/>
      <c r="F106" s="1179" t="n"/>
      <c r="G106" s="1183" t="n"/>
      <c r="H106" s="1179" t="n"/>
      <c r="I106" s="1183" t="n"/>
      <c r="J106" s="1179" t="n"/>
      <c r="K106" s="1183" t="n"/>
      <c r="L106" s="1179" t="n"/>
      <c r="M106" s="1183" t="n"/>
      <c r="N106" s="1179" t="n"/>
      <c r="O106" s="1183" t="n"/>
      <c r="P106" s="1179" t="n"/>
      <c r="Q106" s="1185" t="n"/>
      <c r="R106" s="1391">
        <f>+B106+J106</f>
        <v/>
      </c>
      <c r="S106" s="1382">
        <f>+C106+K106</f>
        <v/>
      </c>
      <c r="T106" s="1381">
        <f>+D106+L106</f>
        <v/>
      </c>
      <c r="U106" s="1382">
        <f>+E106+M106</f>
        <v/>
      </c>
      <c r="V106" s="1381">
        <f>+F106+N106</f>
        <v/>
      </c>
      <c r="W106" s="1382">
        <f>+G106+O106</f>
        <v/>
      </c>
      <c r="X106" s="1383">
        <f>+H106+P106</f>
        <v/>
      </c>
      <c r="Y106" s="1392">
        <f>+I106+Q106</f>
        <v/>
      </c>
      <c r="Z106" s="1181" t="n"/>
      <c r="AA106" s="35" t="n"/>
      <c r="AB106" s="1185" t="n"/>
      <c r="AC106" s="1385" t="n"/>
      <c r="AD106" s="1386" t="n"/>
      <c r="AE106" s="1387" t="n"/>
      <c r="AF106" s="1386" t="n"/>
      <c r="AG106" s="1388" t="n"/>
      <c r="AH106" s="1386" t="n"/>
      <c r="AI106" s="1388" t="n"/>
      <c r="AJ106" s="1386" t="n"/>
      <c r="AK106" s="521" t="n"/>
      <c r="AL106" s="521" t="n"/>
      <c r="AM106" s="521" t="n"/>
      <c r="AN106" s="521" t="n"/>
      <c r="AO106" s="521" t="n"/>
      <c r="AP106" s="521" t="n"/>
      <c r="AQ106" s="521" t="n"/>
      <c r="AR106" s="521" t="n"/>
      <c r="AS106" s="521" t="n"/>
    </row>
    <row r="107" ht="15" customFormat="1" customHeight="1" s="6">
      <c r="A107" s="1144" t="inlineStr">
        <is>
          <t>Patología oral</t>
        </is>
      </c>
      <c r="B107" s="1181" t="n"/>
      <c r="C107" s="1183" t="n"/>
      <c r="D107" s="1179" t="n"/>
      <c r="E107" s="1183" t="n"/>
      <c r="F107" s="1179" t="n"/>
      <c r="G107" s="1183" t="n"/>
      <c r="H107" s="1179" t="n"/>
      <c r="I107" s="1183" t="n"/>
      <c r="J107" s="1179" t="n"/>
      <c r="K107" s="1183" t="n"/>
      <c r="L107" s="1179" t="n"/>
      <c r="M107" s="1183" t="n"/>
      <c r="N107" s="1179" t="n"/>
      <c r="O107" s="1183" t="n"/>
      <c r="P107" s="1179" t="n"/>
      <c r="Q107" s="1185" t="n"/>
      <c r="R107" s="1391">
        <f>+B107+J107</f>
        <v/>
      </c>
      <c r="S107" s="1382">
        <f>+C107+K107</f>
        <v/>
      </c>
      <c r="T107" s="1381">
        <f>+D107+L107</f>
        <v/>
      </c>
      <c r="U107" s="1382">
        <f>+E107+M107</f>
        <v/>
      </c>
      <c r="V107" s="1381">
        <f>+F107+N107</f>
        <v/>
      </c>
      <c r="W107" s="1382">
        <f>+G107+O107</f>
        <v/>
      </c>
      <c r="X107" s="1383">
        <f>+H107+P107</f>
        <v/>
      </c>
      <c r="Y107" s="1392">
        <f>+I107+Q107</f>
        <v/>
      </c>
      <c r="Z107" s="1181" t="n"/>
      <c r="AA107" s="35" t="n"/>
      <c r="AB107" s="1185" t="n"/>
      <c r="AC107" s="1385" t="n"/>
      <c r="AD107" s="1386" t="n"/>
      <c r="AE107" s="1387" t="n"/>
      <c r="AF107" s="1386" t="n"/>
      <c r="AG107" s="1388" t="n"/>
      <c r="AH107" s="1386" t="n"/>
      <c r="AI107" s="1388" t="n"/>
      <c r="AJ107" s="1386" t="n"/>
      <c r="AK107" s="521" t="n"/>
      <c r="AL107" s="521" t="n"/>
      <c r="AM107" s="521" t="n"/>
      <c r="AN107" s="521" t="n"/>
      <c r="AO107" s="521" t="n"/>
      <c r="AP107" s="521" t="n"/>
      <c r="AQ107" s="521" t="n"/>
      <c r="AR107" s="521" t="n"/>
      <c r="AS107" s="521" t="n"/>
    </row>
    <row r="108" ht="15" customFormat="1" customHeight="1" s="6">
      <c r="A108" s="3709" t="inlineStr">
        <is>
          <t>Trastornos temporomandibulares y dolor orofacial</t>
        </is>
      </c>
      <c r="B108" s="3818" t="n"/>
      <c r="C108" s="3601" t="n"/>
      <c r="D108" s="3808" t="n"/>
      <c r="E108" s="3601" t="n"/>
      <c r="F108" s="3808" t="n"/>
      <c r="G108" s="3601" t="n"/>
      <c r="H108" s="3808" t="n"/>
      <c r="I108" s="3601" t="n"/>
      <c r="J108" s="3808" t="n"/>
      <c r="K108" s="3601" t="n"/>
      <c r="L108" s="3808" t="n"/>
      <c r="M108" s="3601" t="n"/>
      <c r="N108" s="3808" t="n"/>
      <c r="O108" s="3601" t="n"/>
      <c r="P108" s="3808" t="n"/>
      <c r="Q108" s="3897" t="n"/>
      <c r="R108" s="4277">
        <f>+B108+J108</f>
        <v/>
      </c>
      <c r="S108" s="4279">
        <f>+C108+K108</f>
        <v/>
      </c>
      <c r="T108" s="4506">
        <f>+D108+L108</f>
        <v/>
      </c>
      <c r="U108" s="4279">
        <f>+E108+M108</f>
        <v/>
      </c>
      <c r="V108" s="4506">
        <f>+F108+N108</f>
        <v/>
      </c>
      <c r="W108" s="4279">
        <f>+G108+O108</f>
        <v/>
      </c>
      <c r="X108" s="4280">
        <f>+H108+P108</f>
        <v/>
      </c>
      <c r="Y108" s="4507">
        <f>+I108+Q108</f>
        <v/>
      </c>
      <c r="Z108" s="3818" t="n"/>
      <c r="AA108" s="1227" t="n"/>
      <c r="AB108" s="3897" t="n"/>
      <c r="AC108" s="4525" t="n"/>
      <c r="AD108" s="4526" t="n"/>
      <c r="AE108" s="4527" t="n"/>
      <c r="AF108" s="4526" t="n"/>
      <c r="AG108" s="4528" t="n"/>
      <c r="AH108" s="4526" t="n"/>
      <c r="AI108" s="4528" t="n"/>
      <c r="AJ108" s="4526" t="n"/>
      <c r="AK108" s="521" t="n"/>
      <c r="AL108" s="521" t="n"/>
      <c r="AM108" s="521" t="n"/>
      <c r="AN108" s="521" t="n"/>
      <c r="AO108" s="521" t="n"/>
      <c r="AP108" s="521" t="n"/>
      <c r="AQ108" s="521" t="n"/>
      <c r="AR108" s="521" t="n"/>
      <c r="AS108" s="521" t="n"/>
    </row>
    <row r="109" ht="18" customFormat="1" customHeight="1" s="7">
      <c r="A109" s="8616" t="inlineStr">
        <is>
          <t>SECCIÓN E: TELEPROCEDIMIENTOS EN ATENCIÓN SECUNDARIA Y TERCIARIA</t>
        </is>
      </c>
      <c r="B109" s="8616" t="n"/>
      <c r="C109" s="8616" t="n"/>
      <c r="D109" s="8616" t="n"/>
      <c r="E109" s="8616" t="n"/>
      <c r="F109" s="8616" t="n"/>
      <c r="G109" s="8616" t="n"/>
    </row>
    <row r="110" ht="15" customFormat="1" customHeight="1" s="6">
      <c r="A110" s="10602" t="inlineStr">
        <is>
          <t>Teleprocedimientos</t>
        </is>
      </c>
      <c r="B110" s="9976" t="inlineStr">
        <is>
          <t>Establecimientos de Nivel Secundario y Terciario</t>
        </is>
      </c>
      <c r="C110" s="9584" t="n"/>
      <c r="D110" s="9584" t="n"/>
      <c r="E110" s="9584" t="n"/>
      <c r="F110" s="9584" t="n"/>
      <c r="G110" s="9584" t="n"/>
      <c r="H110" s="9584" t="n"/>
      <c r="I110" s="9584" t="n"/>
      <c r="J110" s="9584" t="n"/>
      <c r="K110" s="9584" t="n"/>
      <c r="L110" s="9595" t="n"/>
      <c r="M110" s="10603" t="inlineStr">
        <is>
          <t>Teleprocedimientos solicitados desde Nivel Secundario y Terciario y resueltos por otro establecimiento</t>
        </is>
      </c>
      <c r="N110" s="9602" t="n"/>
      <c r="O110" s="9602" t="n"/>
      <c r="P110" s="9602" t="n"/>
      <c r="Q110" s="9602" t="n"/>
      <c r="R110" s="9602" t="n"/>
      <c r="S110" s="9602" t="n"/>
      <c r="T110" s="9630" t="n"/>
    </row>
    <row r="111" ht="15" customFormat="1" customHeight="1" s="6">
      <c r="A111" s="9625" t="n"/>
      <c r="B111" s="10579" t="inlineStr">
        <is>
          <t>0 - 14 años</t>
        </is>
      </c>
      <c r="C111" s="9582" t="n"/>
      <c r="D111" s="9977" t="inlineStr">
        <is>
          <t>15 - 17 años</t>
        </is>
      </c>
      <c r="E111" s="9582" t="n"/>
      <c r="F111" s="9977" t="inlineStr">
        <is>
          <t>18 - 19 años</t>
        </is>
      </c>
      <c r="G111" s="9582" t="n"/>
      <c r="H111" s="9977" t="inlineStr">
        <is>
          <t>20 y más años</t>
        </is>
      </c>
      <c r="I111" s="9582" t="n"/>
      <c r="J111" s="10566" t="inlineStr">
        <is>
          <t>Modalidad</t>
        </is>
      </c>
      <c r="K111" s="9617" t="n"/>
      <c r="L111" s="9597" t="n"/>
      <c r="M111" s="9650" t="n"/>
      <c r="N111" s="9697" t="n"/>
      <c r="O111" s="9697" t="n"/>
      <c r="P111" s="9697" t="n"/>
      <c r="Q111" s="9697" t="n"/>
      <c r="R111" s="9697" t="n"/>
      <c r="S111" s="9697" t="n"/>
      <c r="T111" s="9639" t="n"/>
    </row>
    <row r="112" ht="15" customFormat="1" customHeight="1" s="6">
      <c r="A112" s="9625" t="n"/>
      <c r="B112" s="10596" t="inlineStr">
        <is>
          <t>Hombres</t>
        </is>
      </c>
      <c r="C112" s="10250" t="inlineStr">
        <is>
          <t>Mujeres</t>
        </is>
      </c>
      <c r="D112" s="10596" t="inlineStr">
        <is>
          <t>Hombres</t>
        </is>
      </c>
      <c r="E112" s="10250" t="inlineStr">
        <is>
          <t>Mujeres</t>
        </is>
      </c>
      <c r="F112" s="10596" t="inlineStr">
        <is>
          <t>Hombres</t>
        </is>
      </c>
      <c r="G112" s="10250" t="inlineStr">
        <is>
          <t>Mujeres</t>
        </is>
      </c>
      <c r="H112" s="10596" t="inlineStr">
        <is>
          <t>Hombres</t>
        </is>
      </c>
      <c r="I112" s="10322" t="inlineStr">
        <is>
          <t>Mujeres</t>
        </is>
      </c>
      <c r="J112" s="9268" t="inlineStr">
        <is>
          <t>Institucional</t>
        </is>
      </c>
      <c r="K112" s="9976" t="inlineStr">
        <is>
          <t>Compra de Servicio</t>
        </is>
      </c>
      <c r="L112" s="9595" t="n"/>
      <c r="M112" s="10579" t="inlineStr">
        <is>
          <t>0 - 14 años</t>
        </is>
      </c>
      <c r="N112" s="9582" t="n"/>
      <c r="O112" s="9977" t="inlineStr">
        <is>
          <t>15 - 17 años</t>
        </is>
      </c>
      <c r="P112" s="9582" t="n"/>
      <c r="Q112" s="10579" t="inlineStr">
        <is>
          <t>18 - 19 años</t>
        </is>
      </c>
      <c r="R112" s="9582" t="n"/>
      <c r="S112" s="9977" t="inlineStr">
        <is>
          <t>20 y más años</t>
        </is>
      </c>
      <c r="T112" s="9582" t="n"/>
    </row>
    <row r="113" ht="20.1" customFormat="1" customHeight="1" s="6">
      <c r="A113" s="9641" t="n"/>
      <c r="B113" s="9800" t="n"/>
      <c r="C113" s="9641" t="n"/>
      <c r="D113" s="9800" t="n"/>
      <c r="E113" s="9641" t="n"/>
      <c r="F113" s="9800" t="n"/>
      <c r="G113" s="9641" t="n"/>
      <c r="H113" s="9800" t="n"/>
      <c r="I113" s="9865" t="n"/>
      <c r="J113" s="9268" t="inlineStr">
        <is>
          <t>Establecimiento de la Red</t>
        </is>
      </c>
      <c r="K113" s="9279" t="inlineStr">
        <is>
          <t>Sistema</t>
        </is>
      </c>
      <c r="L113" s="4557" t="inlineStr">
        <is>
          <t>Extrasistema</t>
        </is>
      </c>
      <c r="M113" s="4503" t="inlineStr">
        <is>
          <t>Hombres</t>
        </is>
      </c>
      <c r="N113" s="4497" t="inlineStr">
        <is>
          <t>Mujeres</t>
        </is>
      </c>
      <c r="O113" s="4498" t="inlineStr">
        <is>
          <t>Hombres</t>
        </is>
      </c>
      <c r="P113" s="4497" t="inlineStr">
        <is>
          <t>Mujeres</t>
        </is>
      </c>
      <c r="Q113" s="4496" t="inlineStr">
        <is>
          <t>Hombres</t>
        </is>
      </c>
      <c r="R113" s="4497" t="inlineStr">
        <is>
          <t>Mujeres</t>
        </is>
      </c>
      <c r="S113" s="4498" t="inlineStr">
        <is>
          <t>Hombres</t>
        </is>
      </c>
      <c r="T113" s="4497" t="inlineStr">
        <is>
          <t>Mujeres</t>
        </is>
      </c>
    </row>
    <row r="114" ht="15" customFormat="1" customHeight="1" s="6">
      <c r="A114" s="4505" t="inlineStr">
        <is>
          <t>TOTAL</t>
        </is>
      </c>
      <c r="B114" s="4508">
        <f>SUM(B115:B118)</f>
        <v/>
      </c>
      <c r="C114" s="4551">
        <f>SUM(C115:C118)</f>
        <v/>
      </c>
      <c r="D114" s="4539">
        <f>SUM(D115:D118)</f>
        <v/>
      </c>
      <c r="E114" s="4551">
        <f>SUM(E115:E118)</f>
        <v/>
      </c>
      <c r="F114" s="4539">
        <f>SUM(F115:F118)</f>
        <v/>
      </c>
      <c r="G114" s="4551">
        <f>SUM(G115:G118)</f>
        <v/>
      </c>
      <c r="H114" s="4508">
        <f>SUM(H115:H118)</f>
        <v/>
      </c>
      <c r="I114" s="4544">
        <f>SUM(I115:I118)</f>
        <v/>
      </c>
      <c r="J114" s="4542">
        <f>SUM(J115:J118)</f>
        <v/>
      </c>
      <c r="K114" s="4541">
        <f>SUM(K115:K118)</f>
        <v/>
      </c>
      <c r="L114" s="4558">
        <f>SUM(L115:L118)</f>
        <v/>
      </c>
      <c r="M114" s="4559">
        <f>SUM(M115:M118)</f>
        <v/>
      </c>
      <c r="N114" s="4560">
        <f>SUM(N115:N118)</f>
        <v/>
      </c>
      <c r="O114" s="4543">
        <f>SUM(O115:O118)</f>
        <v/>
      </c>
      <c r="P114" s="4560">
        <f>SUM(P115:P118)</f>
        <v/>
      </c>
      <c r="Q114" s="4541">
        <f>SUM(Q115:Q118)</f>
        <v/>
      </c>
      <c r="R114" s="4561">
        <f>SUM(R115:R118)</f>
        <v/>
      </c>
      <c r="S114" s="4543">
        <f>SUM(S115:S118)</f>
        <v/>
      </c>
      <c r="T114" s="4560">
        <f>SUM(T115:T118)</f>
        <v/>
      </c>
    </row>
    <row r="115" ht="15" customFormat="1" customHeight="1" s="6">
      <c r="A115" s="1144" t="inlineStr">
        <is>
          <t>Ecocardiograma</t>
        </is>
      </c>
      <c r="B115" s="204" t="n"/>
      <c r="C115" s="3933" t="n"/>
      <c r="D115" s="645" t="n"/>
      <c r="E115" s="3933" t="n"/>
      <c r="F115" s="645" t="n"/>
      <c r="G115" s="3933" t="n"/>
      <c r="H115" s="204" t="n"/>
      <c r="I115" s="3905" t="n"/>
      <c r="J115" s="2057" t="n"/>
      <c r="K115" s="204" t="n"/>
      <c r="L115" s="43" t="n"/>
      <c r="M115" s="4562" t="n"/>
      <c r="N115" s="4563" t="n"/>
      <c r="O115" s="4564" t="n"/>
      <c r="P115" s="4563" t="n"/>
      <c r="Q115" s="4565" t="n"/>
      <c r="R115" s="4563" t="n"/>
      <c r="S115" s="4564" t="n"/>
      <c r="T115" s="1386" t="n"/>
    </row>
    <row r="116" ht="15" customFormat="1" customHeight="1" s="6">
      <c r="A116" s="1144" t="inlineStr">
        <is>
          <t>Trombolisis de urgencia infarto cerebral (ACV)</t>
        </is>
      </c>
      <c r="B116" s="1181" t="n"/>
      <c r="C116" s="1183" t="n"/>
      <c r="D116" s="1179" t="n"/>
      <c r="E116" s="1183" t="n"/>
      <c r="F116" s="1179" t="n"/>
      <c r="G116" s="1183" t="n"/>
      <c r="H116" s="1181" t="n"/>
      <c r="I116" s="1185" t="n"/>
      <c r="J116" s="1180" t="n"/>
      <c r="K116" s="1181" t="n"/>
      <c r="L116" s="1231" t="n"/>
      <c r="M116" s="1385" t="n"/>
      <c r="N116" s="1386" t="n"/>
      <c r="O116" s="1388" t="n"/>
      <c r="P116" s="1386" t="n"/>
      <c r="Q116" s="1387" t="n"/>
      <c r="R116" s="1386" t="n"/>
      <c r="S116" s="1388" t="n"/>
      <c r="T116" s="1386" t="n"/>
    </row>
    <row r="117" ht="15" customFormat="1" customHeight="1" s="6">
      <c r="A117" s="1144" t="inlineStr">
        <is>
          <t>Trombolisis intracoronaria (IAM)</t>
        </is>
      </c>
      <c r="B117" s="1181" t="n"/>
      <c r="C117" s="1183" t="n"/>
      <c r="D117" s="1179" t="n"/>
      <c r="E117" s="1183" t="n"/>
      <c r="F117" s="1179" t="n"/>
      <c r="G117" s="1183" t="n"/>
      <c r="H117" s="1181" t="n"/>
      <c r="I117" s="1185" t="n"/>
      <c r="J117" s="1180" t="n"/>
      <c r="K117" s="1181" t="n"/>
      <c r="L117" s="1231" t="n"/>
      <c r="M117" s="1385" t="n"/>
      <c r="N117" s="1386" t="n"/>
      <c r="O117" s="1388" t="n"/>
      <c r="P117" s="1386" t="n"/>
      <c r="Q117" s="1387" t="n"/>
      <c r="R117" s="1386" t="n"/>
      <c r="S117" s="1388" t="n"/>
      <c r="T117" s="1386" t="n"/>
    </row>
    <row r="118" ht="15" customFormat="1" customHeight="1" s="6">
      <c r="A118" s="3709" t="inlineStr">
        <is>
          <t>Ecografía gineco-obstétrica</t>
        </is>
      </c>
      <c r="B118" s="3818" t="n"/>
      <c r="C118" s="3601" t="n"/>
      <c r="D118" s="3808" t="n"/>
      <c r="E118" s="3601" t="n"/>
      <c r="F118" s="3808" t="n"/>
      <c r="G118" s="3601" t="n"/>
      <c r="H118" s="3818" t="n"/>
      <c r="I118" s="3897" t="n"/>
      <c r="J118" s="1192" t="n"/>
      <c r="K118" s="3818" t="n"/>
      <c r="L118" s="3899" t="n"/>
      <c r="M118" s="4525" t="n"/>
      <c r="N118" s="4526" t="n"/>
      <c r="O118" s="4528" t="n"/>
      <c r="P118" s="4526" t="n"/>
      <c r="Q118" s="4527" t="n"/>
      <c r="R118" s="4526" t="n"/>
      <c r="S118" s="4528" t="n"/>
      <c r="T118" s="4526" t="n"/>
    </row>
    <row r="119" ht="18" customFormat="1" customHeight="1" s="7">
      <c r="A119" s="8616" t="inlineStr">
        <is>
          <t xml:space="preserve">SECCIÓN F: TELECOMITÉ DE ESPECIALIDAD </t>
        </is>
      </c>
      <c r="B119" s="8616" t="n"/>
      <c r="C119" s="8616" t="n"/>
      <c r="D119" s="8616" t="n"/>
      <c r="E119" s="8616" t="n"/>
      <c r="F119" s="8616" t="n"/>
      <c r="G119" s="8616" t="n"/>
    </row>
    <row r="120" ht="20.1" customFormat="1" customHeight="1" s="8">
      <c r="A120" s="9240" t="inlineStr">
        <is>
          <t>Actividad</t>
        </is>
      </c>
      <c r="B120" s="8400" t="inlineStr">
        <is>
          <t xml:space="preserve">TOTAL </t>
        </is>
      </c>
      <c r="C120" s="9939" t="inlineStr">
        <is>
          <t>Telecomité realizados</t>
        </is>
      </c>
      <c r="D120" s="9602" t="n"/>
      <c r="E120" s="9602" t="n"/>
      <c r="F120" s="9630" t="n"/>
      <c r="G120" s="9915" t="inlineStr">
        <is>
          <t>Total Nº de casos presentados</t>
        </is>
      </c>
      <c r="H120" s="9602" t="n"/>
      <c r="I120" s="9886" t="n"/>
      <c r="J120" s="10592" t="inlineStr">
        <is>
          <t>Telecomité solicitados desde Nivel Secundario y Terciario</t>
        </is>
      </c>
      <c r="K120" s="9617" t="n"/>
      <c r="L120" s="9617" t="n"/>
      <c r="M120" s="9617" t="n"/>
      <c r="N120" s="9617" t="n"/>
      <c r="O120" s="9617" t="n"/>
      <c r="P120" s="9617" t="n"/>
      <c r="Q120" s="9648" t="n"/>
      <c r="R120" s="9977" t="inlineStr">
        <is>
          <t>N° de casos  presentados antes del primer tratamiento</t>
        </is>
      </c>
      <c r="S120" s="9584" t="n"/>
      <c r="T120" s="9584" t="n"/>
      <c r="U120" s="9582" t="n"/>
    </row>
    <row r="121" ht="20.1" customFormat="1" customHeight="1" s="8">
      <c r="A121" s="9621" t="n"/>
      <c r="B121" s="9614" t="n"/>
      <c r="C121" s="9638" t="n"/>
      <c r="D121" s="9697" t="n"/>
      <c r="E121" s="9697" t="n"/>
      <c r="F121" s="9639" t="n"/>
      <c r="G121" s="9698" t="n"/>
      <c r="H121" s="9591" t="n"/>
      <c r="I121" s="9865" t="n"/>
      <c r="J121" s="10579" t="inlineStr">
        <is>
          <t>0 - 14 años</t>
        </is>
      </c>
      <c r="K121" s="9582" t="n"/>
      <c r="L121" s="9977" t="inlineStr">
        <is>
          <t>15 - 17 años</t>
        </is>
      </c>
      <c r="M121" s="9582" t="n"/>
      <c r="N121" s="9977" t="inlineStr">
        <is>
          <t>18 - 19 años</t>
        </is>
      </c>
      <c r="O121" s="9582" t="n"/>
      <c r="P121" s="9977" t="inlineStr">
        <is>
          <t>20 y más años</t>
        </is>
      </c>
      <c r="Q121" s="9582" t="n"/>
      <c r="R121" s="8602" t="inlineStr">
        <is>
          <t>Menor de 18 años</t>
        </is>
      </c>
      <c r="S121" s="9776" t="n"/>
      <c r="T121" s="8602" t="inlineStr">
        <is>
          <t>18 años y más</t>
        </is>
      </c>
      <c r="U121" s="9776" t="n"/>
    </row>
    <row r="122" ht="20.1" customFormat="1" customHeight="1" s="8">
      <c r="A122" s="9240" t="inlineStr">
        <is>
          <t>Telecomité de especialidad</t>
        </is>
      </c>
      <c r="B122" s="9610" t="n"/>
      <c r="C122" s="9498" t="inlineStr">
        <is>
          <t>0 - 10 años</t>
        </is>
      </c>
      <c r="D122" s="4504" t="inlineStr">
        <is>
          <t>15 - 17 años</t>
        </is>
      </c>
      <c r="E122" s="4504" t="inlineStr">
        <is>
          <t>18 - 19 años</t>
        </is>
      </c>
      <c r="F122" s="9268" t="inlineStr">
        <is>
          <t>20 y más años</t>
        </is>
      </c>
      <c r="G122" s="4505" t="inlineStr">
        <is>
          <t>Ambos Sexos</t>
        </is>
      </c>
      <c r="H122" s="4496" t="inlineStr">
        <is>
          <t>Hombres</t>
        </is>
      </c>
      <c r="I122" s="9267" t="inlineStr">
        <is>
          <t>Mujeres</t>
        </is>
      </c>
      <c r="J122" s="4503" t="inlineStr">
        <is>
          <t>Hombres</t>
        </is>
      </c>
      <c r="K122" s="9254" t="inlineStr">
        <is>
          <t>Mujeres</t>
        </is>
      </c>
      <c r="L122" s="4496" t="inlineStr">
        <is>
          <t>Hombres</t>
        </is>
      </c>
      <c r="M122" s="9254" t="inlineStr">
        <is>
          <t>Mujeres</t>
        </is>
      </c>
      <c r="N122" s="4496" t="inlineStr">
        <is>
          <t>Hombres</t>
        </is>
      </c>
      <c r="O122" s="9254" t="inlineStr">
        <is>
          <t>Mujeres</t>
        </is>
      </c>
      <c r="P122" s="4496" t="inlineStr">
        <is>
          <t>Hombres</t>
        </is>
      </c>
      <c r="Q122" s="4497" t="inlineStr">
        <is>
          <t>Mujeres</t>
        </is>
      </c>
      <c r="R122" s="9149" t="inlineStr">
        <is>
          <t xml:space="preserve">Hombre </t>
        </is>
      </c>
      <c r="S122" s="4567" t="inlineStr">
        <is>
          <t>Mujer</t>
        </is>
      </c>
      <c r="T122" s="4568" t="inlineStr">
        <is>
          <t xml:space="preserve">Hombre </t>
        </is>
      </c>
      <c r="U122" s="4568" t="inlineStr">
        <is>
          <t>Mujer</t>
        </is>
      </c>
    </row>
    <row r="123" ht="15" customFormat="1" customHeight="1" s="8">
      <c r="A123" s="9621" t="n"/>
      <c r="B123" s="4569">
        <f>SUM(B124:B129)</f>
        <v/>
      </c>
      <c r="C123" s="4539">
        <f>SUM(C124:C129)</f>
        <v/>
      </c>
      <c r="D123" s="4508">
        <f>SUM(D124:D129)</f>
        <v/>
      </c>
      <c r="E123" s="4508">
        <f>SUM(E124:E129)</f>
        <v/>
      </c>
      <c r="F123" s="4570">
        <f>SUM(F124:F129)</f>
        <v/>
      </c>
      <c r="G123" s="4569">
        <f>SUM(G124:G129)</f>
        <v/>
      </c>
      <c r="H123" s="4508">
        <f>SUM(H124:H129)</f>
        <v/>
      </c>
      <c r="I123" s="4540">
        <f>SUM(I124:I129)</f>
        <v/>
      </c>
      <c r="J123" s="4559">
        <f>SUM(J124:J129)</f>
        <v/>
      </c>
      <c r="K123" s="4542">
        <f>SUM(K124:K129)</f>
        <v/>
      </c>
      <c r="L123" s="4541">
        <f>SUM(L124:L129)</f>
        <v/>
      </c>
      <c r="M123" s="4542">
        <f>SUM(M124:M129)</f>
        <v/>
      </c>
      <c r="N123" s="4541">
        <f>SUM(N124:N129)</f>
        <v/>
      </c>
      <c r="O123" s="4542">
        <f>SUM(O124:O129)</f>
        <v/>
      </c>
      <c r="P123" s="4543">
        <f>SUM(P124:P129)</f>
        <v/>
      </c>
      <c r="Q123" s="4542">
        <f>SUM(Q124:Q129)</f>
        <v/>
      </c>
      <c r="R123" s="4542">
        <f>SUM(R124)</f>
        <v/>
      </c>
      <c r="S123" s="4542">
        <f>SUM(S124)</f>
        <v/>
      </c>
      <c r="T123" s="4542">
        <f>SUM(T124)</f>
        <v/>
      </c>
      <c r="U123" s="4542">
        <f>SUM(U124)</f>
        <v/>
      </c>
    </row>
    <row r="124" ht="15" customFormat="1" customHeight="1" s="8">
      <c r="A124" s="4571" t="inlineStr">
        <is>
          <t>Oncológico</t>
        </is>
      </c>
      <c r="B124" s="4245">
        <f>SUM(C124:F124)</f>
        <v/>
      </c>
      <c r="C124" s="1179" t="n"/>
      <c r="D124" s="1181" t="n"/>
      <c r="E124" s="1181" t="n"/>
      <c r="F124" s="1180" t="n"/>
      <c r="G124" s="4245">
        <f>SUM(H124:I124)</f>
        <v/>
      </c>
      <c r="H124" s="1181" t="n"/>
      <c r="I124" s="1231" t="n"/>
      <c r="J124" s="1393" t="n"/>
      <c r="K124" s="1371" t="n"/>
      <c r="L124" s="1394" t="n"/>
      <c r="M124" s="1371" t="n"/>
      <c r="N124" s="1394" t="n"/>
      <c r="O124" s="1371" t="n"/>
      <c r="P124" s="1395" t="n"/>
      <c r="Q124" s="1371" t="n"/>
      <c r="R124" s="1396" t="n"/>
      <c r="S124" s="1396" t="n"/>
      <c r="T124" s="1396" t="n"/>
      <c r="U124" s="1396" t="n"/>
    </row>
    <row r="125" ht="15" customFormat="1" customHeight="1" s="8">
      <c r="A125" s="4572" t="inlineStr">
        <is>
          <t>Cuidados paliativos oncológicos</t>
        </is>
      </c>
      <c r="B125" s="2908" t="n"/>
      <c r="C125" s="1395" t="n"/>
      <c r="D125" s="1394" t="n"/>
      <c r="E125" s="1394" t="n"/>
      <c r="F125" s="1371" t="n"/>
      <c r="G125" s="2908" t="n"/>
      <c r="H125" s="1394" t="n"/>
      <c r="I125" s="1366" t="n"/>
      <c r="J125" s="1393" t="n"/>
      <c r="K125" s="1371" t="n"/>
      <c r="L125" s="1394" t="n"/>
      <c r="M125" s="1371" t="n"/>
      <c r="N125" s="1394" t="n"/>
      <c r="O125" s="1371" t="n"/>
      <c r="P125" s="1395" t="n"/>
      <c r="Q125" s="1371" t="n"/>
      <c r="R125" s="1371" t="n"/>
      <c r="S125" s="1371" t="n"/>
      <c r="T125" s="1371" t="n"/>
      <c r="U125" s="1371" t="n"/>
    </row>
    <row r="126" ht="15" customFormat="1" customHeight="1" s="8">
      <c r="A126" s="4572" t="inlineStr">
        <is>
          <t>Cuidados paliativos no oncológicos universales</t>
        </is>
      </c>
      <c r="B126" s="2908" t="n"/>
      <c r="C126" s="1395" t="n"/>
      <c r="D126" s="1394" t="n"/>
      <c r="E126" s="1394" t="n"/>
      <c r="F126" s="1371" t="n"/>
      <c r="G126" s="2908" t="n"/>
      <c r="H126" s="1394" t="n"/>
      <c r="I126" s="1366" t="n"/>
      <c r="J126" s="1393" t="n"/>
      <c r="K126" s="1371" t="n"/>
      <c r="L126" s="1394" t="n"/>
      <c r="M126" s="1371" t="n"/>
      <c r="N126" s="1394" t="n"/>
      <c r="O126" s="1371" t="n"/>
      <c r="P126" s="1395" t="n"/>
      <c r="Q126" s="1371" t="n"/>
      <c r="R126" s="1371" t="n"/>
      <c r="S126" s="1371" t="n"/>
      <c r="T126" s="1371" t="n"/>
      <c r="U126" s="1371" t="n"/>
    </row>
    <row r="127" ht="15" customFormat="1" customHeight="1" s="8">
      <c r="A127" s="1281" t="inlineStr">
        <is>
          <t>VIH</t>
        </is>
      </c>
      <c r="B127" s="1121">
        <f>SUM(C127:F127)</f>
        <v/>
      </c>
      <c r="C127" s="1179" t="n"/>
      <c r="D127" s="1181" t="n"/>
      <c r="E127" s="1181" t="n"/>
      <c r="F127" s="1180" t="n"/>
      <c r="G127" s="1121">
        <f>SUM(H127:I127)</f>
        <v/>
      </c>
      <c r="H127" s="1181" t="n"/>
      <c r="I127" s="1231" t="n"/>
      <c r="J127" s="1385" t="n"/>
      <c r="K127" s="1386" t="n"/>
      <c r="L127" s="1388" t="n"/>
      <c r="M127" s="1386" t="n"/>
      <c r="N127" s="1387" t="n"/>
      <c r="O127" s="1386" t="n"/>
      <c r="P127" s="1388" t="n"/>
      <c r="Q127" s="1386" t="n"/>
      <c r="R127" s="1371" t="n"/>
      <c r="S127" s="1371" t="n"/>
      <c r="T127" s="1371" t="n"/>
      <c r="U127" s="1371" t="n"/>
    </row>
    <row r="128" ht="15" customFormat="1" customHeight="1" s="8">
      <c r="A128" s="1281" t="inlineStr">
        <is>
          <t>Unidad de paciente crítico</t>
        </is>
      </c>
      <c r="B128" s="1121">
        <f>SUM(C128:F128)</f>
        <v/>
      </c>
      <c r="C128" s="1179" t="n"/>
      <c r="D128" s="1181" t="n"/>
      <c r="E128" s="1181" t="n"/>
      <c r="F128" s="1180" t="n"/>
      <c r="G128" s="1121">
        <f>SUM(H128:I128)</f>
        <v/>
      </c>
      <c r="H128" s="1397" t="n"/>
      <c r="I128" s="1231" t="n"/>
      <c r="J128" s="1385" t="n"/>
      <c r="K128" s="1386" t="n"/>
      <c r="L128" s="1388" t="n"/>
      <c r="M128" s="1386" t="n"/>
      <c r="N128" s="1387" t="n"/>
      <c r="O128" s="1386" t="n"/>
      <c r="P128" s="1388" t="n"/>
      <c r="Q128" s="1386" t="n"/>
      <c r="R128" s="1371" t="n"/>
      <c r="S128" s="1371" t="n"/>
      <c r="T128" s="1371" t="n"/>
      <c r="U128" s="1371" t="n"/>
    </row>
    <row r="129" ht="15" customFormat="1" customHeight="1" s="8">
      <c r="A129" s="4573" t="inlineStr">
        <is>
          <t>Otros</t>
        </is>
      </c>
      <c r="B129" s="3598">
        <f>SUM(C129:F129)</f>
        <v/>
      </c>
      <c r="C129" s="3808" t="n"/>
      <c r="D129" s="3818" t="n"/>
      <c r="E129" s="3818" t="n"/>
      <c r="F129" s="1192" t="n"/>
      <c r="G129" s="3598">
        <f>SUM(H129:I129)</f>
        <v/>
      </c>
      <c r="H129" s="3818" t="n"/>
      <c r="I129" s="3899" t="n"/>
      <c r="J129" s="4525" t="n"/>
      <c r="K129" s="4526" t="n"/>
      <c r="L129" s="4528" t="n"/>
      <c r="M129" s="4526" t="n"/>
      <c r="N129" s="4527" t="n"/>
      <c r="O129" s="4526" t="n"/>
      <c r="P129" s="4528" t="n"/>
      <c r="Q129" s="4526" t="n"/>
      <c r="R129" s="4574" t="n"/>
      <c r="S129" s="1398" t="n"/>
      <c r="T129" s="4574" t="n"/>
      <c r="U129" s="1233" t="n"/>
    </row>
    <row r="130" ht="18" customFormat="1" customHeight="1" s="7">
      <c r="A130" s="8616" t="inlineStr">
        <is>
          <t>SECCIÓN G: CONSULTA ABREVIADA POR ATENCIÓN REMOTA</t>
        </is>
      </c>
      <c r="B130" s="8616" t="n"/>
      <c r="C130" s="8616" t="n"/>
      <c r="D130" s="8616" t="n"/>
      <c r="E130" s="8616" t="n"/>
      <c r="F130" s="8616" t="n"/>
      <c r="G130" s="8616" t="n"/>
    </row>
    <row r="131" ht="15" customFormat="1" customHeight="1" s="8">
      <c r="A131" s="9977" t="inlineStr">
        <is>
          <t>Tipo de consulta</t>
        </is>
      </c>
      <c r="B131" s="9977" t="inlineStr">
        <is>
          <t>Modalidad</t>
        </is>
      </c>
      <c r="C131" s="9584" t="n"/>
      <c r="D131" s="9582" t="n"/>
    </row>
    <row r="132" ht="15" customFormat="1" customHeight="1" s="8">
      <c r="A132" s="9614" t="n"/>
      <c r="B132" s="9262" t="inlineStr">
        <is>
          <t>Institucional</t>
        </is>
      </c>
      <c r="C132" s="9240" t="inlineStr">
        <is>
          <t>Compra de Servicio</t>
        </is>
      </c>
      <c r="D132" s="9647" t="n"/>
    </row>
    <row r="133" ht="24" customFormat="1" customHeight="1" s="8">
      <c r="A133" s="9610" t="n"/>
      <c r="B133" s="9240" t="inlineStr">
        <is>
          <t>Establecimiento de la Red</t>
        </is>
      </c>
      <c r="C133" s="9498" t="inlineStr">
        <is>
          <t>Sistema</t>
        </is>
      </c>
      <c r="D133" s="4575" t="inlineStr">
        <is>
          <t>Extrasistema</t>
        </is>
      </c>
    </row>
    <row r="134" ht="18" customFormat="1" customHeight="1" s="8">
      <c r="A134" s="4576" t="inlineStr">
        <is>
          <t>Tratamiento anticoagulante oral</t>
        </is>
      </c>
      <c r="B134" s="4577" t="n"/>
      <c r="C134" s="4578" t="n"/>
      <c r="D134" s="4579" t="n"/>
    </row>
    <row r="174" hidden="1" s="8286">
      <c r="A174" s="70">
        <f>SUM(B12:Q12,R12:Y67,Z12:AU12,B72:T74,B80:Y80,B98:Q98,R98:Y108,Z98:AJ98,B114:T114,C123:F123,H123:I123,,J123:Q123,B134:D134)</f>
        <v/>
      </c>
      <c r="B174" s="8337">
        <f>SUM(CE12:CF67)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djSL1XrWwICSC/76SqHTGA==" formatRows="1" sort="1" spinCount="100000" hashValue="G+99XNa1KCUfNJuiNmtOlPqaFuz9G25YqtnI4sQzUlEutuPStDosp58eF25n6HXbngKvEylbaDU+w/jzanNA8A=="/>
  <mergeCells count="142">
    <mergeCell ref="Q112:R112"/>
    <mergeCell ref="AA96:AB96"/>
    <mergeCell ref="H10:I10"/>
    <mergeCell ref="AC96:AD96"/>
    <mergeCell ref="J10:K10"/>
    <mergeCell ref="T78:T79"/>
    <mergeCell ref="X76:Y77"/>
    <mergeCell ref="B77:C77"/>
    <mergeCell ref="AE96:AF96"/>
    <mergeCell ref="M70:N70"/>
    <mergeCell ref="D77:E77"/>
    <mergeCell ref="AG96:AH96"/>
    <mergeCell ref="G120:I121"/>
    <mergeCell ref="B78:B79"/>
    <mergeCell ref="D78:D79"/>
    <mergeCell ref="D70:E70"/>
    <mergeCell ref="F70:G70"/>
    <mergeCell ref="A76:A79"/>
    <mergeCell ref="S112:T112"/>
    <mergeCell ref="B112:B113"/>
    <mergeCell ref="D112:D113"/>
    <mergeCell ref="AC10:AD10"/>
    <mergeCell ref="AE10:AF10"/>
    <mergeCell ref="F96:G96"/>
    <mergeCell ref="H96:I96"/>
    <mergeCell ref="B9:I9"/>
    <mergeCell ref="Z95:AB95"/>
    <mergeCell ref="R96:S96"/>
    <mergeCell ref="T96:U96"/>
    <mergeCell ref="U78:U79"/>
    <mergeCell ref="B120:B122"/>
    <mergeCell ref="AC95:AJ95"/>
    <mergeCell ref="F112:F113"/>
    <mergeCell ref="B76:I76"/>
    <mergeCell ref="U77:W77"/>
    <mergeCell ref="X96:Y96"/>
    <mergeCell ref="K78:L78"/>
    <mergeCell ref="D10:E10"/>
    <mergeCell ref="AN9:AU9"/>
    <mergeCell ref="F10:G10"/>
    <mergeCell ref="P10:Q10"/>
    <mergeCell ref="E78:E79"/>
    <mergeCell ref="R10:S10"/>
    <mergeCell ref="G78:G79"/>
    <mergeCell ref="C112:C113"/>
    <mergeCell ref="R120:U120"/>
    <mergeCell ref="J9:Q9"/>
    <mergeCell ref="S70:T70"/>
    <mergeCell ref="T10:U10"/>
    <mergeCell ref="L121:M121"/>
    <mergeCell ref="V10:W10"/>
    <mergeCell ref="N121:O121"/>
    <mergeCell ref="G112:G113"/>
    <mergeCell ref="I112:I113"/>
    <mergeCell ref="AK10:AK11"/>
    <mergeCell ref="Q78:Q79"/>
    <mergeCell ref="J95:Q95"/>
    <mergeCell ref="N78:N79"/>
    <mergeCell ref="P78:P79"/>
    <mergeCell ref="Z9:AB9"/>
    <mergeCell ref="A69:A71"/>
    <mergeCell ref="C132:D132"/>
    <mergeCell ref="F111:G111"/>
    <mergeCell ref="H111:I111"/>
    <mergeCell ref="AC9:AJ9"/>
    <mergeCell ref="J69:L69"/>
    <mergeCell ref="M110:T111"/>
    <mergeCell ref="AK9:AM9"/>
    <mergeCell ref="A110:A113"/>
    <mergeCell ref="O77:P77"/>
    <mergeCell ref="Q77:R77"/>
    <mergeCell ref="AA10:AB10"/>
    <mergeCell ref="M78:M79"/>
    <mergeCell ref="B96:C96"/>
    <mergeCell ref="D96:E96"/>
    <mergeCell ref="S77:T77"/>
    <mergeCell ref="N96:O96"/>
    <mergeCell ref="P96:Q96"/>
    <mergeCell ref="T121:U121"/>
    <mergeCell ref="S78:S79"/>
    <mergeCell ref="O112:P112"/>
    <mergeCell ref="AP10:AQ10"/>
    <mergeCell ref="AR10:AS10"/>
    <mergeCell ref="A120:A121"/>
    <mergeCell ref="Z10:Z11"/>
    <mergeCell ref="B69:I69"/>
    <mergeCell ref="R95:Y95"/>
    <mergeCell ref="A122:A123"/>
    <mergeCell ref="L10:M10"/>
    <mergeCell ref="AT10:AU10"/>
    <mergeCell ref="N10:O10"/>
    <mergeCell ref="C78:C79"/>
    <mergeCell ref="A6:Y6"/>
    <mergeCell ref="O70:P70"/>
    <mergeCell ref="F77:G77"/>
    <mergeCell ref="AI96:AJ96"/>
    <mergeCell ref="Q70:R70"/>
    <mergeCell ref="H77:I77"/>
    <mergeCell ref="J121:K121"/>
    <mergeCell ref="B95:I95"/>
    <mergeCell ref="E112:E113"/>
    <mergeCell ref="F78:F79"/>
    <mergeCell ref="M76:W76"/>
    <mergeCell ref="H78:H79"/>
    <mergeCell ref="R78:R79"/>
    <mergeCell ref="J78:J79"/>
    <mergeCell ref="J120:Q120"/>
    <mergeCell ref="H112:H113"/>
    <mergeCell ref="AG10:AH10"/>
    <mergeCell ref="AI10:AJ10"/>
    <mergeCell ref="X78:X79"/>
    <mergeCell ref="D111:E111"/>
    <mergeCell ref="A131:A133"/>
    <mergeCell ref="B70:C70"/>
    <mergeCell ref="V96:W96"/>
    <mergeCell ref="V78:W78"/>
    <mergeCell ref="M69:T69"/>
    <mergeCell ref="B111:C111"/>
    <mergeCell ref="Y78:Y79"/>
    <mergeCell ref="C120:F121"/>
    <mergeCell ref="H70:I70"/>
    <mergeCell ref="A9:A11"/>
    <mergeCell ref="M77:N77"/>
    <mergeCell ref="B10:C10"/>
    <mergeCell ref="I78:I79"/>
    <mergeCell ref="R121:S121"/>
    <mergeCell ref="J111:L111"/>
    <mergeCell ref="K70:L70"/>
    <mergeCell ref="J96:K96"/>
    <mergeCell ref="L96:M96"/>
    <mergeCell ref="X10:Y10"/>
    <mergeCell ref="P121:Q121"/>
    <mergeCell ref="B131:D131"/>
    <mergeCell ref="O78:O79"/>
    <mergeCell ref="K112:L112"/>
    <mergeCell ref="M112:N112"/>
    <mergeCell ref="AL10:AM10"/>
    <mergeCell ref="A95:A97"/>
    <mergeCell ref="AN10:AO10"/>
    <mergeCell ref="R9:Y9"/>
    <mergeCell ref="B110:L110"/>
    <mergeCell ref="J77:L77"/>
  </mergeCells>
  <dataValidations count="2">
    <dataValidation sqref="B13:Q67 B72:T74 B99:Q108 B115:T118 B124:Q129 B134:D134 R124:U129 Z13:AU67 Z99:AJ108" showDropDown="0" showInputMessage="1" showErrorMessage="1" allowBlank="0" type="whole" operator="greaterThanOrEqual">
      <formula1>0</formula1>
    </dataValidation>
    <dataValidation sqref="B81:Y93" showDropDown="0" showInputMessage="1" showErrorMessage="1" allowBlank="0" type="whole">
      <formula1>0</formula1>
      <formula2>9.99999999999999E+40</formula2>
    </dataValidation>
  </dataValidations>
  <pageMargins left="0.7" right="0.7" top="0.75" bottom="0.75" header="0.3" footer="0.3"/>
  <pageSetup orientation="portrait" paperSize="9"/>
</worksheet>
</file>

<file path=xl/worksheets/sheet24.xml><?xml version="1.0" encoding="utf-8"?>
<worksheet xmlns="http://schemas.openxmlformats.org/spreadsheetml/2006/main">
  <sheetPr codeName="Hoja24">
    <outlinePr summaryBelow="1" summaryRight="1"/>
    <pageSetUpPr/>
  </sheetPr>
  <dimension ref="A1:U138"/>
  <sheetViews>
    <sheetView showGridLines="0" zoomScaleNormal="100" workbookViewId="0">
      <selection activeCell="A1" sqref="A1"/>
    </sheetView>
  </sheetViews>
  <sheetFormatPr baseColWidth="10" defaultColWidth="11.42578125" defaultRowHeight="15"/>
  <cols>
    <col width="57.42578125" customWidth="1" style="8286" min="1" max="1"/>
    <col width="11.28515625" customWidth="1" style="8286" min="2" max="2"/>
    <col width="12.85546875" customWidth="1" style="8286" min="3" max="3"/>
    <col width="14.28515625" customWidth="1" style="8286" min="4" max="4"/>
    <col width="14.7109375" customWidth="1" style="8286" min="5" max="5"/>
    <col width="18.42578125" customWidth="1" style="8286" min="6" max="6"/>
    <col width="16.140625" customWidth="1" style="8286" min="7" max="7"/>
    <col width="12" customWidth="1" style="8286" min="8" max="8"/>
    <col width="11.7109375" customWidth="1" style="8286" min="9" max="9"/>
    <col width="12" customWidth="1" style="8286" min="10" max="10"/>
    <col width="11.7109375" customWidth="1" style="8286" min="11" max="11"/>
    <col width="12.42578125" customWidth="1" style="8286" min="13" max="13"/>
    <col width="12.28515625" customWidth="1" style="8286" min="15" max="15"/>
    <col width="11.28515625" customWidth="1" style="8286" min="17" max="17"/>
    <col width="12" customWidth="1" style="8286" min="18" max="18"/>
    <col width="11.7109375" customWidth="1" style="8286" min="19" max="19"/>
    <col width="12.42578125" customWidth="1" style="8286" min="21" max="21"/>
    <col width="12.28515625" customWidth="1" style="8286" min="23" max="23"/>
    <col width="11.28515625" customWidth="1" style="8286" min="25" max="25"/>
    <col width="12.7109375" customWidth="1" style="8286" min="28" max="28"/>
    <col width="11.7109375" customWidth="1" style="8286" min="73" max="96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 ht="18" customHeight="1" s="8286">
      <c r="A5" s="247">
        <f>CONCATENATE("AÑO: ",NOMBRE!B7)</f>
        <v/>
      </c>
    </row>
    <row r="6" ht="18" customFormat="1" customHeight="1" s="522">
      <c r="A6" s="8082" t="inlineStr">
        <is>
          <t>REM-A30 AR: ATENCIÓN Y ORIENTACIÓN DE SALUD A DISTANCIA (HD)</t>
        </is>
      </c>
    </row>
    <row r="7" ht="18" customFormat="1" customHeight="1" s="522">
      <c r="A7" s="9304" t="inlineStr">
        <is>
          <t>USO EXCLUSIVO DE HOSPITAL DIGITAL, NIVEL CENTRAL</t>
        </is>
      </c>
    </row>
    <row r="10" ht="17.1" customFormat="1" customHeight="1" s="7">
      <c r="A10" s="1" t="inlineStr">
        <is>
          <t xml:space="preserve">SECCION A: ATENCIONES POR TELEMEDICINA DE ESPECIALIDAD MEDICA </t>
        </is>
      </c>
    </row>
    <row r="11" ht="17.1" customFormat="1" customHeight="1" s="7">
      <c r="A11" s="1" t="inlineStr">
        <is>
          <t>SECCION A1: TELEINTERCONSULTA DE ESPECIALIDAD MEDICA POR HOSPITAL DIGITAL</t>
        </is>
      </c>
      <c r="B11" s="1" t="n"/>
      <c r="C11" s="1" t="n"/>
      <c r="D11" s="1" t="n"/>
      <c r="E11" s="1" t="n"/>
    </row>
    <row r="12" ht="36" customHeight="1" s="8286">
      <c r="A12" s="10089" t="inlineStr">
        <is>
          <t xml:space="preserve">ESPECIALIDADES  </t>
        </is>
      </c>
      <c r="B12" s="8400" t="inlineStr">
        <is>
          <t>TOTAL TELEINTERCONSULTAS MÉDICAS DE ESPECIALIDAD REALIZADAS  POR HOSPITAL DIGITAL</t>
        </is>
      </c>
      <c r="C12" s="9584" t="n"/>
      <c r="D12" s="9584" t="n"/>
      <c r="E12" s="9582" t="n"/>
      <c r="F12" s="9240" t="inlineStr">
        <is>
          <t>TELEINTERCONSULTA MEDICA DE ESPECIALIDAD AMBULATORIA NUEVA</t>
        </is>
      </c>
      <c r="G12" s="9584" t="n"/>
      <c r="H12" s="9584" t="n"/>
      <c r="I12" s="9647" t="n"/>
      <c r="J12" s="8400" t="inlineStr">
        <is>
          <t xml:space="preserve">TELEINTERCONSULTA MEDICA  DE ESPECIALIDAD AMBULATORIA CONTROL </t>
        </is>
      </c>
      <c r="K12" s="9584" t="n"/>
      <c r="L12" s="9584" t="n"/>
      <c r="M12" s="9582" t="n"/>
      <c r="N12" s="8400" t="inlineStr">
        <is>
          <t>TELEINTERCONSULTAS  SOLICITADAS DESDE APS O NIVEL SECUNDARIO PARA SER RESUELTAS POR HOSPITAL DIGITAL</t>
        </is>
      </c>
      <c r="O12" s="9584" t="n"/>
      <c r="P12" s="9584" t="n"/>
      <c r="Q12" s="9582" t="n"/>
    </row>
    <row r="13">
      <c r="A13" s="9978" t="n"/>
      <c r="B13" s="9977" t="inlineStr">
        <is>
          <t>Menores de 15 años</t>
        </is>
      </c>
      <c r="C13" s="9582" t="n"/>
      <c r="D13" s="9977" t="inlineStr">
        <is>
          <t>15 y más años</t>
        </is>
      </c>
      <c r="E13" s="9582" t="n"/>
      <c r="F13" s="9977" t="inlineStr">
        <is>
          <t>Menores de 15 años</t>
        </is>
      </c>
      <c r="G13" s="9582" t="n"/>
      <c r="H13" s="9977" t="inlineStr">
        <is>
          <t>15 y más años</t>
        </is>
      </c>
      <c r="I13" s="9582" t="n"/>
      <c r="J13" s="9977" t="inlineStr">
        <is>
          <t>Menores de 15 años</t>
        </is>
      </c>
      <c r="K13" s="9582" t="n"/>
      <c r="L13" s="9977" t="inlineStr">
        <is>
          <t>15 y más años</t>
        </is>
      </c>
      <c r="M13" s="9582" t="n"/>
      <c r="N13" s="9977" t="inlineStr">
        <is>
          <t>Menores de 15 años</t>
        </is>
      </c>
      <c r="O13" s="9582" t="n"/>
      <c r="P13" s="9977" t="inlineStr">
        <is>
          <t>15 y más años</t>
        </is>
      </c>
      <c r="Q13" s="9582" t="n"/>
    </row>
    <row r="14">
      <c r="A14" s="9650" t="n"/>
      <c r="B14" s="4498" t="inlineStr">
        <is>
          <t>Hombres</t>
        </is>
      </c>
      <c r="C14" s="9254" t="inlineStr">
        <is>
          <t>Mujeres</t>
        </is>
      </c>
      <c r="D14" s="4498" t="inlineStr">
        <is>
          <t>Hombres</t>
        </is>
      </c>
      <c r="E14" s="9254" t="inlineStr">
        <is>
          <t>Mujeres</t>
        </is>
      </c>
      <c r="F14" s="4498" t="inlineStr">
        <is>
          <t>Hombres</t>
        </is>
      </c>
      <c r="G14" s="9254" t="inlineStr">
        <is>
          <t>Mujeres</t>
        </is>
      </c>
      <c r="H14" s="4498" t="inlineStr">
        <is>
          <t>Hombres</t>
        </is>
      </c>
      <c r="I14" s="9258" t="inlineStr">
        <is>
          <t>Mujeres</t>
        </is>
      </c>
      <c r="J14" s="4498" t="inlineStr">
        <is>
          <t>Hombres</t>
        </is>
      </c>
      <c r="K14" s="4497" t="inlineStr">
        <is>
          <t>Mujeres</t>
        </is>
      </c>
      <c r="L14" s="9271" t="inlineStr">
        <is>
          <t>Hombres</t>
        </is>
      </c>
      <c r="M14" s="9273" t="inlineStr">
        <is>
          <t>Mujeres</t>
        </is>
      </c>
      <c r="N14" s="4498" t="inlineStr">
        <is>
          <t>Hombres</t>
        </is>
      </c>
      <c r="O14" s="9254" t="inlineStr">
        <is>
          <t>Mujeres</t>
        </is>
      </c>
      <c r="P14" s="4498" t="inlineStr">
        <is>
          <t>Hombres</t>
        </is>
      </c>
      <c r="Q14" s="9254" t="inlineStr">
        <is>
          <t>Mujeres</t>
        </is>
      </c>
    </row>
    <row r="15">
      <c r="A15" s="4580" t="inlineStr">
        <is>
          <t>TOTAL</t>
        </is>
      </c>
      <c r="B15" s="4581">
        <f>SUM(B16:B27)</f>
        <v/>
      </c>
      <c r="C15" s="4582">
        <f>SUM(C16:C27)</f>
        <v/>
      </c>
      <c r="D15" s="4581">
        <f>SUM(D16:D27)</f>
        <v/>
      </c>
      <c r="E15" s="4582">
        <f>SUM(E16:E27)</f>
        <v/>
      </c>
      <c r="F15" s="4581">
        <f>SUM(F16:F27)</f>
        <v/>
      </c>
      <c r="G15" s="4582">
        <f>SUM(G16:G27)</f>
        <v/>
      </c>
      <c r="H15" s="4581">
        <f>SUM(H16:H27)</f>
        <v/>
      </c>
      <c r="I15" s="4582">
        <f>SUM(I16:I27)</f>
        <v/>
      </c>
      <c r="J15" s="4581">
        <f>SUM(J16:J27)</f>
        <v/>
      </c>
      <c r="K15" s="4582">
        <f>SUM(K16:K27)</f>
        <v/>
      </c>
      <c r="L15" s="4583">
        <f>SUM(L16:L27)</f>
        <v/>
      </c>
      <c r="M15" s="4584">
        <f>SUM(M16:M27)</f>
        <v/>
      </c>
      <c r="N15" s="4581">
        <f>SUM(N16:N27)</f>
        <v/>
      </c>
      <c r="O15" s="4582">
        <f>SUM(O16:O27)</f>
        <v/>
      </c>
      <c r="P15" s="4581">
        <f>SUM(P16:P27)</f>
        <v/>
      </c>
      <c r="Q15" s="4582">
        <f>SUM(Q16:Q27)</f>
        <v/>
      </c>
    </row>
    <row r="16">
      <c r="A16" s="1934" t="inlineStr">
        <is>
          <t>Nefrología Adulto</t>
        </is>
      </c>
      <c r="B16" s="4310" t="n"/>
      <c r="C16" s="2879" t="n"/>
      <c r="D16" s="4585">
        <f>SUM(H16+L16)</f>
        <v/>
      </c>
      <c r="E16" s="894">
        <f>SUM(I16+M16)</f>
        <v/>
      </c>
      <c r="F16" s="1941" t="n"/>
      <c r="G16" s="890" t="n"/>
      <c r="H16" s="1172" t="n"/>
      <c r="I16" s="885" t="n"/>
      <c r="J16" s="1941" t="n"/>
      <c r="K16" s="890" t="n"/>
      <c r="L16" s="4512" t="n"/>
      <c r="M16" s="2337" t="n"/>
      <c r="N16" s="1941" t="n"/>
      <c r="O16" s="890" t="n"/>
      <c r="P16" s="4523" t="n"/>
      <c r="Q16" s="4521" t="n"/>
    </row>
    <row r="17">
      <c r="A17" s="1934" t="inlineStr">
        <is>
          <t>Dermatología</t>
        </is>
      </c>
      <c r="B17" s="1485">
        <f>SUM(F17+J17)</f>
        <v/>
      </c>
      <c r="C17" s="894">
        <f>SUM(G17+K17)</f>
        <v/>
      </c>
      <c r="D17" s="1383">
        <f>SUM(H17+L17)</f>
        <v/>
      </c>
      <c r="E17" s="894">
        <f>SUM(I17+M17)</f>
        <v/>
      </c>
      <c r="F17" s="1172" t="n"/>
      <c r="G17" s="886" t="n"/>
      <c r="H17" s="1172" t="n"/>
      <c r="I17" s="885" t="n"/>
      <c r="J17" s="1172" t="n"/>
      <c r="K17" s="886" t="n"/>
      <c r="L17" s="3789" t="n"/>
      <c r="M17" s="3788" t="n"/>
      <c r="N17" s="4523" t="n"/>
      <c r="O17" s="4521" t="n"/>
      <c r="P17" s="4523" t="n"/>
      <c r="Q17" s="4521" t="n"/>
    </row>
    <row r="18">
      <c r="A18" s="1934" t="inlineStr">
        <is>
          <t>Geriatría</t>
        </is>
      </c>
      <c r="B18" s="1941" t="n"/>
      <c r="C18" s="890" t="n"/>
      <c r="D18" s="1383">
        <f>SUM(H18+L18)</f>
        <v/>
      </c>
      <c r="E18" s="894">
        <f>SUM(I18+M18)</f>
        <v/>
      </c>
      <c r="F18" s="1941" t="n"/>
      <c r="G18" s="890" t="n"/>
      <c r="H18" s="1172" t="n"/>
      <c r="I18" s="885" t="n"/>
      <c r="J18" s="1941" t="n"/>
      <c r="K18" s="890" t="n"/>
      <c r="L18" s="3789" t="n"/>
      <c r="M18" s="886" t="n"/>
      <c r="N18" s="1941" t="n"/>
      <c r="O18" s="890" t="n"/>
      <c r="P18" s="4523" t="n"/>
      <c r="Q18" s="4521" t="n"/>
    </row>
    <row r="19">
      <c r="A19" s="1934" t="inlineStr">
        <is>
          <t>Diabetología</t>
        </is>
      </c>
      <c r="B19" s="1485">
        <f>SUM(F19+J19)</f>
        <v/>
      </c>
      <c r="C19" s="894">
        <f>SUM(G19+K19)</f>
        <v/>
      </c>
      <c r="D19" s="1383">
        <f>SUM(H19+L19)</f>
        <v/>
      </c>
      <c r="E19" s="894">
        <f>SUM(I19+M19)</f>
        <v/>
      </c>
      <c r="F19" s="1242" t="n"/>
      <c r="G19" s="2830" t="n"/>
      <c r="H19" s="1242" t="n"/>
      <c r="I19" s="885" t="n"/>
      <c r="J19" s="1172" t="n"/>
      <c r="K19" s="886" t="n"/>
      <c r="L19" s="3789" t="n"/>
      <c r="M19" s="886" t="n"/>
      <c r="N19" s="4523" t="n"/>
      <c r="O19" s="4521" t="n"/>
      <c r="P19" s="1388" t="n"/>
      <c r="Q19" s="1386" t="n"/>
    </row>
    <row r="20">
      <c r="A20" s="1934" t="inlineStr">
        <is>
          <t>Psiquiatría</t>
        </is>
      </c>
      <c r="B20" s="1485">
        <f>SUM(F20+J20)</f>
        <v/>
      </c>
      <c r="C20" s="894">
        <f>SUM(G20+K20)</f>
        <v/>
      </c>
      <c r="D20" s="1383">
        <f>SUM(H20+L20)</f>
        <v/>
      </c>
      <c r="E20" s="894">
        <f>SUM(I20+M20)</f>
        <v/>
      </c>
      <c r="F20" s="664" t="n"/>
      <c r="G20" s="4586" t="n"/>
      <c r="H20" s="1172" t="n"/>
      <c r="I20" s="885" t="n"/>
      <c r="J20" s="645" t="n"/>
      <c r="K20" s="3933" t="n"/>
      <c r="L20" s="3895" t="n"/>
      <c r="M20" s="886" t="n"/>
      <c r="N20" s="4523" t="n"/>
      <c r="O20" s="4521" t="n"/>
      <c r="P20" s="1388" t="n"/>
      <c r="Q20" s="1386" t="n"/>
    </row>
    <row r="21">
      <c r="A21" s="1934" t="inlineStr">
        <is>
          <t>Reumatología</t>
        </is>
      </c>
      <c r="B21" s="1941" t="n"/>
      <c r="C21" s="890" t="n"/>
      <c r="D21" s="1383">
        <f>SUM(H21+L21)</f>
        <v/>
      </c>
      <c r="E21" s="894">
        <f>SUM(I21+M21)</f>
        <v/>
      </c>
      <c r="F21" s="650" t="n"/>
      <c r="G21" s="4587" t="n"/>
      <c r="H21" s="1172" t="n"/>
      <c r="I21" s="885" t="n"/>
      <c r="J21" s="650" t="n"/>
      <c r="K21" s="4587" t="n"/>
      <c r="L21" s="3789" t="n"/>
      <c r="M21" s="886" t="n"/>
      <c r="N21" s="1395" t="n"/>
      <c r="O21" s="1310" t="n"/>
      <c r="P21" s="1388" t="n"/>
      <c r="Q21" s="1386" t="n"/>
    </row>
    <row r="22">
      <c r="A22" s="1340" t="inlineStr">
        <is>
          <t>Endocrinología</t>
        </is>
      </c>
      <c r="B22" s="1941" t="n"/>
      <c r="C22" s="890" t="n"/>
      <c r="D22" s="1383">
        <f>SUM(H22+L22)</f>
        <v/>
      </c>
      <c r="E22" s="894">
        <f>SUM(I22+M22)</f>
        <v/>
      </c>
      <c r="F22" s="650" t="n"/>
      <c r="G22" s="4587" t="n"/>
      <c r="H22" s="1172" t="n"/>
      <c r="I22" s="885" t="n"/>
      <c r="J22" s="650" t="n"/>
      <c r="K22" s="4587" t="n"/>
      <c r="L22" s="3789" t="n"/>
      <c r="M22" s="3788" t="n"/>
      <c r="N22" s="1395" t="n"/>
      <c r="O22" s="1310" t="n"/>
      <c r="P22" s="1388" t="n"/>
      <c r="Q22" s="1386" t="n"/>
    </row>
    <row r="23">
      <c r="A23" s="1340" t="inlineStr">
        <is>
          <t>Genética</t>
        </is>
      </c>
      <c r="B23" s="1485">
        <f>SUM(F23+J23)</f>
        <v/>
      </c>
      <c r="C23" s="894">
        <f>SUM(G23+K23)</f>
        <v/>
      </c>
      <c r="D23" s="1485">
        <f>SUM(H23+L23)</f>
        <v/>
      </c>
      <c r="E23" s="894">
        <f>SUM(I23+M23)</f>
        <v/>
      </c>
      <c r="F23" s="1172" t="n"/>
      <c r="G23" s="886" t="n"/>
      <c r="H23" s="1172" t="n"/>
      <c r="I23" s="885" t="n"/>
      <c r="J23" s="1172" t="n"/>
      <c r="K23" s="886" t="n"/>
      <c r="L23" s="3789" t="n"/>
      <c r="M23" s="886" t="n"/>
      <c r="N23" s="1388" t="n"/>
      <c r="O23" s="1386" t="n"/>
      <c r="P23" s="4523" t="n"/>
      <c r="Q23" s="4521" t="n"/>
    </row>
    <row r="24">
      <c r="A24" s="1934" t="inlineStr">
        <is>
          <t>Neurología</t>
        </is>
      </c>
      <c r="B24" s="1485">
        <f>SUM(F24+J24)</f>
        <v/>
      </c>
      <c r="C24" s="894">
        <f>SUM(G24+K24)</f>
        <v/>
      </c>
      <c r="D24" s="1485">
        <f>SUM(H24+L24)</f>
        <v/>
      </c>
      <c r="E24" s="894">
        <f>SUM(I24+M24)</f>
        <v/>
      </c>
      <c r="F24" s="1172" t="n"/>
      <c r="G24" s="886" t="n"/>
      <c r="H24" s="685" t="n"/>
      <c r="I24" s="4588" t="n"/>
      <c r="J24" s="4589" t="n"/>
      <c r="K24" s="4590" t="n"/>
      <c r="L24" s="4589" t="n"/>
      <c r="M24" s="4590" t="n"/>
      <c r="N24" s="4523" t="n"/>
      <c r="O24" s="4521" t="n"/>
      <c r="P24" s="686" t="n"/>
      <c r="Q24" s="4591" t="n"/>
    </row>
    <row r="25">
      <c r="A25" s="1340" t="inlineStr">
        <is>
          <t>Otorrinolaringología</t>
        </is>
      </c>
      <c r="B25" s="1485">
        <f>SUM(F25+J25)</f>
        <v/>
      </c>
      <c r="C25" s="894">
        <f>SUM(G25+K25)</f>
        <v/>
      </c>
      <c r="D25" s="1485">
        <f>SUM(H25+L25)</f>
        <v/>
      </c>
      <c r="E25" s="894">
        <f>SUM(I25+M25)</f>
        <v/>
      </c>
      <c r="F25" s="1172" t="n"/>
      <c r="G25" s="886" t="n"/>
      <c r="H25" s="4589" t="n"/>
      <c r="I25" s="4590" t="n"/>
      <c r="J25" s="685" t="n"/>
      <c r="K25" s="4588" t="n"/>
      <c r="L25" s="4592" t="n"/>
      <c r="M25" s="4593" t="n"/>
      <c r="N25" s="4523" t="n"/>
      <c r="O25" s="4521" t="n"/>
      <c r="P25" s="4594" t="n"/>
      <c r="Q25" s="1386" t="n"/>
    </row>
    <row r="26">
      <c r="A26" s="1340" t="inlineStr">
        <is>
          <t>Ginecología</t>
        </is>
      </c>
      <c r="B26" s="1485">
        <f>SUM(F26+J26)</f>
        <v/>
      </c>
      <c r="C26" s="894">
        <f>SUM(G26+K26)</f>
        <v/>
      </c>
      <c r="D26" s="1383">
        <f>SUM(H26+L26)</f>
        <v/>
      </c>
      <c r="E26" s="894">
        <f>SUM(I26+M26)</f>
        <v/>
      </c>
      <c r="F26" s="1172" t="n"/>
      <c r="G26" s="886" t="n"/>
      <c r="H26" s="4592" t="n"/>
      <c r="I26" s="4593" t="n"/>
      <c r="J26" s="1172" t="n"/>
      <c r="K26" s="886" t="n"/>
      <c r="L26" s="4592" t="n"/>
      <c r="M26" s="4593" t="n"/>
      <c r="N26" s="4595" t="n"/>
      <c r="O26" s="773" t="n"/>
      <c r="P26" s="4594" t="n"/>
      <c r="Q26" s="4596" t="n"/>
    </row>
    <row r="27">
      <c r="A27" s="1340" t="inlineStr">
        <is>
          <t>Otras Especialidades Médicas</t>
        </is>
      </c>
      <c r="B27" s="1383">
        <f>SUM(F27+J27)</f>
        <v/>
      </c>
      <c r="C27" s="1382">
        <f>SUM(G27+K27)</f>
        <v/>
      </c>
      <c r="D27" s="1383">
        <f>SUM(H27+L27)</f>
        <v/>
      </c>
      <c r="E27" s="1382">
        <f>SUM(I27+M27)</f>
        <v/>
      </c>
      <c r="F27" s="685" t="n"/>
      <c r="G27" s="4597" t="n"/>
      <c r="H27" s="4598" t="n"/>
      <c r="I27" s="4597" t="n"/>
      <c r="J27" s="4598" t="n"/>
      <c r="K27" s="4597" t="n"/>
      <c r="L27" s="4598" t="n"/>
      <c r="M27" s="4597" t="n"/>
      <c r="N27" s="4599" t="n"/>
      <c r="O27" s="4600" t="n"/>
      <c r="P27" s="4599" t="n"/>
      <c r="Q27" s="4600" t="n"/>
    </row>
    <row r="28" ht="18" customFormat="1" customHeight="1" s="5">
      <c r="A28" s="10604" t="inlineStr">
        <is>
          <t>SECCION A2: TELECONSULTA DE ESPECIALIDAD MEDICA  POR HOSPITAL DIGITAL</t>
        </is>
      </c>
      <c r="B28" s="9584" t="n"/>
      <c r="C28" s="9584" t="n"/>
      <c r="D28" s="9584" t="n"/>
      <c r="E28" s="9584" t="n"/>
      <c r="F28" s="9584" t="n"/>
      <c r="G28" s="4601" t="n"/>
      <c r="H28" s="7" t="n"/>
      <c r="I28" s="7" t="n"/>
      <c r="J28" s="7" t="n"/>
      <c r="K28" s="7" t="n"/>
      <c r="L28" s="7" t="n"/>
      <c r="M28" s="7" t="n"/>
      <c r="N28" s="7" t="n"/>
      <c r="O28" s="7" t="n"/>
      <c r="P28" s="7" t="n"/>
      <c r="Q28" s="7" t="n"/>
    </row>
    <row r="29" ht="24.75" customHeight="1" s="8286">
      <c r="A29" s="8400" t="inlineStr">
        <is>
          <t xml:space="preserve">ESPECIALIDADES  </t>
        </is>
      </c>
      <c r="B29" s="9240" t="inlineStr">
        <is>
          <t>TOTAL TELECONSULTAS DE ESPECIALIDAD REALIZADAS  POR HOSPITAL DIGITAL</t>
        </is>
      </c>
      <c r="C29" s="9584" t="n"/>
      <c r="D29" s="9584" t="n"/>
      <c r="E29" s="9647" t="n"/>
      <c r="F29" s="9240" t="inlineStr">
        <is>
          <t>TELECONSULTA DE ESPECIALIDAD CONSULTA NUEVA</t>
        </is>
      </c>
      <c r="G29" s="9584" t="n"/>
      <c r="H29" s="9584" t="n"/>
      <c r="I29" s="9647" t="n"/>
      <c r="J29" s="9240" t="inlineStr">
        <is>
          <t xml:space="preserve">TELECONSULTA DE ESPECIALIDAD CONTROL </t>
        </is>
      </c>
      <c r="K29" s="9584" t="n"/>
      <c r="L29" s="9584" t="n"/>
      <c r="M29" s="9647" t="n"/>
      <c r="N29" s="8400" t="inlineStr">
        <is>
          <t>TELECONSULTAS SOLICITADAS PARA SER RESUELTAS POR HOSPITAL DIGITAL</t>
        </is>
      </c>
      <c r="O29" s="9584" t="n"/>
      <c r="P29" s="9584" t="n"/>
      <c r="Q29" s="9582" t="n"/>
    </row>
    <row r="30">
      <c r="A30" s="9614" t="n"/>
      <c r="B30" s="9977" t="inlineStr">
        <is>
          <t>Menores de 15 años</t>
        </is>
      </c>
      <c r="C30" s="9582" t="n"/>
      <c r="D30" s="9977" t="inlineStr">
        <is>
          <t>15 y más años</t>
        </is>
      </c>
      <c r="E30" s="9582" t="n"/>
      <c r="F30" s="9977" t="inlineStr">
        <is>
          <t>Menores de 15 años</t>
        </is>
      </c>
      <c r="G30" s="9582" t="n"/>
      <c r="H30" s="9977" t="inlineStr">
        <is>
          <t>15 y más años</t>
        </is>
      </c>
      <c r="I30" s="9582" t="n"/>
      <c r="J30" s="9977" t="inlineStr">
        <is>
          <t>Menores de 15 años</t>
        </is>
      </c>
      <c r="K30" s="9582" t="n"/>
      <c r="L30" s="9977" t="inlineStr">
        <is>
          <t>15 y más años</t>
        </is>
      </c>
      <c r="M30" s="9582" t="n"/>
      <c r="N30" s="9977" t="inlineStr">
        <is>
          <t>Menores de 15 años</t>
        </is>
      </c>
      <c r="O30" s="9582" t="n"/>
      <c r="P30" s="9977" t="inlineStr">
        <is>
          <t>15 y más años</t>
        </is>
      </c>
      <c r="Q30" s="9582" t="n"/>
    </row>
    <row r="31">
      <c r="A31" s="9610" t="n"/>
      <c r="B31" s="4498" t="inlineStr">
        <is>
          <t>Hombres</t>
        </is>
      </c>
      <c r="C31" s="9254" t="inlineStr">
        <is>
          <t>Mujeres</t>
        </is>
      </c>
      <c r="D31" s="4498" t="inlineStr">
        <is>
          <t>Hombres</t>
        </is>
      </c>
      <c r="E31" s="9254" t="inlineStr">
        <is>
          <t>Mujeres</t>
        </is>
      </c>
      <c r="F31" s="4498" t="inlineStr">
        <is>
          <t>Hombres</t>
        </is>
      </c>
      <c r="G31" s="9254" t="inlineStr">
        <is>
          <t>Mujeres</t>
        </is>
      </c>
      <c r="H31" s="4498" t="inlineStr">
        <is>
          <t>Hombres</t>
        </is>
      </c>
      <c r="I31" s="9254" t="inlineStr">
        <is>
          <t>Mujeres</t>
        </is>
      </c>
      <c r="J31" s="4498" t="inlineStr">
        <is>
          <t>Hombres</t>
        </is>
      </c>
      <c r="K31" s="9254" t="inlineStr">
        <is>
          <t>Mujeres</t>
        </is>
      </c>
      <c r="L31" s="4498" t="inlineStr">
        <is>
          <t>Hombres</t>
        </is>
      </c>
      <c r="M31" s="9254" t="inlineStr">
        <is>
          <t>Mujeres</t>
        </is>
      </c>
      <c r="N31" s="4498" t="inlineStr">
        <is>
          <t>Hombres</t>
        </is>
      </c>
      <c r="O31" s="9254" t="inlineStr">
        <is>
          <t>Mujeres</t>
        </is>
      </c>
      <c r="P31" s="4498" t="inlineStr">
        <is>
          <t>Hombres</t>
        </is>
      </c>
      <c r="Q31" s="9254" t="inlineStr">
        <is>
          <t>Mujeres</t>
        </is>
      </c>
    </row>
    <row r="32">
      <c r="A32" s="4505" t="inlineStr">
        <is>
          <t>TOTAL</t>
        </is>
      </c>
      <c r="B32" s="4583">
        <f>SUM(B33+B36+B38+B39+B40)</f>
        <v/>
      </c>
      <c r="C32" s="4602">
        <f>SUM(C33+C36+C38+C39+C40)</f>
        <v/>
      </c>
      <c r="D32" s="4583">
        <f>SUM(D33:D40)</f>
        <v/>
      </c>
      <c r="E32" s="4602">
        <f>SUM(E33:E40)</f>
        <v/>
      </c>
      <c r="F32" s="4583">
        <f>SUM(F33+F36+F38+F39+F40+F41+F42+F43)</f>
        <v/>
      </c>
      <c r="G32" s="4584">
        <f>SUM(G33+G36+G38+G39+G40+G41+G42+G43)</f>
        <v/>
      </c>
      <c r="H32" s="4583">
        <f>SUM(H33:H43)</f>
        <v/>
      </c>
      <c r="I32" s="4584">
        <f>SUM(I33:I43)</f>
        <v/>
      </c>
      <c r="J32" s="4583">
        <f>SUM(J33+J36+J38+J39+J40+J41+J42+J43)</f>
        <v/>
      </c>
      <c r="K32" s="4584">
        <f>SUM(K33+K36+K38+K39+K40+K41+K42+K43)</f>
        <v/>
      </c>
      <c r="L32" s="4583">
        <f>SUM(L33:L43)</f>
        <v/>
      </c>
      <c r="M32" s="4584">
        <f>SUM(M33:M43)</f>
        <v/>
      </c>
      <c r="N32" s="4583">
        <f>SUM(N33+N36+N38+N39+N40+N41+N42+N43)</f>
        <v/>
      </c>
      <c r="O32" s="4584">
        <f>SUM(O33+O36+O38+O39+O40+O41+O42+O43)</f>
        <v/>
      </c>
      <c r="P32" s="4583">
        <f>SUM(P33:P43)</f>
        <v/>
      </c>
      <c r="Q32" s="4602">
        <f>SUM(Q33:Q43)</f>
        <v/>
      </c>
    </row>
    <row r="33">
      <c r="A33" s="4195" t="inlineStr">
        <is>
          <t>Dermatología</t>
        </is>
      </c>
      <c r="B33" s="4603">
        <f>SUM(F33+J33)</f>
        <v/>
      </c>
      <c r="C33" s="4604">
        <f>SUM(G33+K33)</f>
        <v/>
      </c>
      <c r="D33" s="4603">
        <f>SUM(H33+L33)</f>
        <v/>
      </c>
      <c r="E33" s="4604">
        <f>SUM(I33+M33)</f>
        <v/>
      </c>
      <c r="F33" s="4235" t="n"/>
      <c r="G33" s="2337" t="n"/>
      <c r="H33" s="4235" t="n"/>
      <c r="I33" s="2337" t="n"/>
      <c r="J33" s="4235" t="n"/>
      <c r="K33" s="2337" t="n"/>
      <c r="L33" s="4235" t="n"/>
      <c r="M33" s="2337" t="n"/>
      <c r="N33" s="4517" t="n"/>
      <c r="O33" s="4515" t="n"/>
      <c r="P33" s="4517" t="n"/>
      <c r="Q33" s="4515" t="n"/>
    </row>
    <row r="34">
      <c r="A34" s="1934" t="inlineStr">
        <is>
          <t>Urología</t>
        </is>
      </c>
      <c r="B34" s="1941" t="n"/>
      <c r="C34" s="890" t="n"/>
      <c r="D34" s="4605">
        <f>SUM(H34+L34)</f>
        <v/>
      </c>
      <c r="E34" s="4606">
        <f>SUM(I34+M34)</f>
        <v/>
      </c>
      <c r="F34" s="1941" t="n"/>
      <c r="G34" s="890" t="n"/>
      <c r="H34" s="1172" t="n"/>
      <c r="I34" s="886" t="n"/>
      <c r="J34" s="1941" t="n"/>
      <c r="K34" s="890" t="n"/>
      <c r="L34" s="1172" t="n"/>
      <c r="M34" s="886" t="n"/>
      <c r="N34" s="1941" t="n"/>
      <c r="O34" s="890" t="n"/>
      <c r="P34" s="4523" t="n"/>
      <c r="Q34" s="4521" t="n"/>
    </row>
    <row r="35">
      <c r="A35" s="1934" t="inlineStr">
        <is>
          <t>Psiquiatría</t>
        </is>
      </c>
      <c r="B35" s="4605">
        <f>SUM(F35+J35)</f>
        <v/>
      </c>
      <c r="C35" s="4606">
        <f>SUM(G35+K35)</f>
        <v/>
      </c>
      <c r="D35" s="4605">
        <f>SUM(H35+L35)</f>
        <v/>
      </c>
      <c r="E35" s="4606">
        <f>SUM(I35+M35)</f>
        <v/>
      </c>
      <c r="F35" s="1172" t="n"/>
      <c r="G35" s="886" t="n"/>
      <c r="H35" s="1172" t="n"/>
      <c r="I35" s="886" t="n"/>
      <c r="J35" s="1172" t="n"/>
      <c r="K35" s="886" t="n"/>
      <c r="L35" s="1172" t="n"/>
      <c r="M35" s="886" t="n"/>
      <c r="N35" s="4523" t="n"/>
      <c r="O35" s="4521" t="n"/>
      <c r="P35" s="4523" t="n"/>
      <c r="Q35" s="4521" t="n"/>
    </row>
    <row r="36">
      <c r="A36" s="1934" t="inlineStr">
        <is>
          <t>Otorrinolaringología</t>
        </is>
      </c>
      <c r="B36" s="4605">
        <f>SUM(F36+J36)</f>
        <v/>
      </c>
      <c r="C36" s="4606">
        <f>SUM(G36+K36)</f>
        <v/>
      </c>
      <c r="D36" s="4605">
        <f>SUM(H36+L36)</f>
        <v/>
      </c>
      <c r="E36" s="4606">
        <f>SUM(I36+M36)</f>
        <v/>
      </c>
      <c r="F36" s="1172" t="n"/>
      <c r="G36" s="886" t="n"/>
      <c r="H36" s="1172" t="n"/>
      <c r="I36" s="886" t="n"/>
      <c r="J36" s="1172" t="n"/>
      <c r="K36" s="886" t="n"/>
      <c r="L36" s="1172" t="n"/>
      <c r="M36" s="886" t="n"/>
      <c r="N36" s="4523" t="n"/>
      <c r="O36" s="4521" t="n"/>
      <c r="P36" s="4523" t="n"/>
      <c r="Q36" s="4521" t="n"/>
    </row>
    <row r="37">
      <c r="A37" s="1934" t="inlineStr">
        <is>
          <t>Medicina Interna</t>
        </is>
      </c>
      <c r="B37" s="1941" t="n"/>
      <c r="C37" s="890" t="n"/>
      <c r="D37" s="4605">
        <f>SUM(H37+L37)</f>
        <v/>
      </c>
      <c r="E37" s="4606">
        <f>SUM(I37+M37)</f>
        <v/>
      </c>
      <c r="F37" s="1941" t="n"/>
      <c r="G37" s="890" t="n"/>
      <c r="H37" s="1172" t="n"/>
      <c r="I37" s="886" t="n"/>
      <c r="J37" s="1941" t="n"/>
      <c r="K37" s="890" t="n"/>
      <c r="L37" s="1172" t="n"/>
      <c r="M37" s="886" t="n"/>
      <c r="N37" s="1941" t="n"/>
      <c r="O37" s="890" t="n"/>
      <c r="P37" s="4523" t="n"/>
      <c r="Q37" s="4521" t="n"/>
    </row>
    <row r="38">
      <c r="A38" s="1934" t="inlineStr">
        <is>
          <t>Enfermedades Metabólicas</t>
        </is>
      </c>
      <c r="B38" s="4605">
        <f>SUM(F38+J38)</f>
        <v/>
      </c>
      <c r="C38" s="4606">
        <f>SUM(G38+K38)</f>
        <v/>
      </c>
      <c r="D38" s="4605">
        <f>SUM(H38+L38)</f>
        <v/>
      </c>
      <c r="E38" s="4606">
        <f>SUM(I38+M38)</f>
        <v/>
      </c>
      <c r="F38" s="645" t="n"/>
      <c r="G38" s="3933" t="n"/>
      <c r="H38" s="645" t="n"/>
      <c r="I38" s="3933" t="n"/>
      <c r="J38" s="645" t="n"/>
      <c r="K38" s="3933" t="n"/>
      <c r="L38" s="645" t="n"/>
      <c r="M38" s="3933" t="n"/>
      <c r="N38" s="1388" t="n"/>
      <c r="O38" s="4521" t="n"/>
      <c r="P38" s="4523" t="n"/>
      <c r="Q38" s="1386" t="n"/>
    </row>
    <row r="39">
      <c r="A39" s="1934" t="inlineStr">
        <is>
          <t>Neurología</t>
        </is>
      </c>
      <c r="B39" s="4605">
        <f>SUM(F39+J39)</f>
        <v/>
      </c>
      <c r="C39" s="4606">
        <f>SUM(G39+K39)</f>
        <v/>
      </c>
      <c r="D39" s="4605">
        <f>SUM(H39+L39)</f>
        <v/>
      </c>
      <c r="E39" s="4606">
        <f>SUM(I39+M39)</f>
        <v/>
      </c>
      <c r="F39" s="1179" t="n"/>
      <c r="G39" s="1183" t="n"/>
      <c r="H39" s="1179" t="n"/>
      <c r="I39" s="1183" t="n"/>
      <c r="J39" s="1179" t="n"/>
      <c r="K39" s="1183" t="n"/>
      <c r="L39" s="1179" t="n"/>
      <c r="M39" s="1183" t="n"/>
      <c r="N39" s="1388" t="n"/>
      <c r="O39" s="4521" t="n"/>
      <c r="P39" s="4523" t="n"/>
      <c r="Q39" s="4521" t="n"/>
    </row>
    <row r="40">
      <c r="A40" s="1934" t="inlineStr">
        <is>
          <t>Ginecología</t>
        </is>
      </c>
      <c r="B40" s="4605">
        <f>SUM(F40+J40)</f>
        <v/>
      </c>
      <c r="C40" s="4606">
        <f>SUM(G40+K40)</f>
        <v/>
      </c>
      <c r="D40" s="4605">
        <f>SUM(H40+L40)</f>
        <v/>
      </c>
      <c r="E40" s="4606">
        <f>SUM(I40+M40)</f>
        <v/>
      </c>
      <c r="F40" s="1179" t="n"/>
      <c r="G40" s="1183" t="n"/>
      <c r="H40" s="1179" t="n"/>
      <c r="I40" s="1183" t="n"/>
      <c r="J40" s="1179" t="n"/>
      <c r="K40" s="1183" t="n"/>
      <c r="L40" s="1179" t="n"/>
      <c r="M40" s="1183" t="n"/>
      <c r="N40" s="1388" t="n"/>
      <c r="O40" s="4521" t="n"/>
      <c r="P40" s="687" t="n"/>
      <c r="Q40" s="4521" t="n"/>
    </row>
    <row r="41">
      <c r="A41" s="1934" t="inlineStr">
        <is>
          <t>Cardiología</t>
        </is>
      </c>
      <c r="B41" s="4605">
        <f>SUM(F41+J41)</f>
        <v/>
      </c>
      <c r="C41" s="4606">
        <f>SUM(G41+K41)</f>
        <v/>
      </c>
      <c r="D41" s="4605">
        <f>SUM(H41+L41)</f>
        <v/>
      </c>
      <c r="E41" s="4606">
        <f>SUM(I41+M41)</f>
        <v/>
      </c>
      <c r="F41" s="1179" t="n"/>
      <c r="G41" s="1180" t="n"/>
      <c r="H41" s="1179" t="n"/>
      <c r="I41" s="1183" t="n"/>
      <c r="J41" s="1181" t="n"/>
      <c r="K41" s="1183" t="n"/>
      <c r="L41" s="1179" t="n"/>
      <c r="M41" s="1183" t="n"/>
      <c r="N41" s="1387" t="n"/>
      <c r="O41" s="4521" t="n"/>
      <c r="P41" s="4523" t="n"/>
      <c r="Q41" s="4521" t="n"/>
    </row>
    <row r="42">
      <c r="A42" s="1934" t="inlineStr">
        <is>
          <t>Endocrinología</t>
        </is>
      </c>
      <c r="B42" s="4605">
        <f>SUM(F42+J42)</f>
        <v/>
      </c>
      <c r="C42" s="4606">
        <f>SUM(G42+K42)</f>
        <v/>
      </c>
      <c r="D42" s="4605">
        <f>SUM(H42+L42)</f>
        <v/>
      </c>
      <c r="E42" s="4606">
        <f>SUM(I42+M42)</f>
        <v/>
      </c>
      <c r="F42" s="1172" t="n"/>
      <c r="G42" s="3788" t="n"/>
      <c r="H42" s="1172" t="n"/>
      <c r="I42" s="886" t="n"/>
      <c r="J42" s="3789" t="n"/>
      <c r="K42" s="886" t="n"/>
      <c r="L42" s="1172" t="n"/>
      <c r="M42" s="886" t="n"/>
      <c r="N42" s="1387" t="n"/>
      <c r="O42" s="4521" t="n"/>
      <c r="P42" s="687" t="n"/>
      <c r="Q42" s="4521" t="n"/>
    </row>
    <row r="43">
      <c r="A43" s="3597" t="inlineStr">
        <is>
          <t xml:space="preserve">Otras especialidades Médicas </t>
        </is>
      </c>
      <c r="B43" s="4607">
        <f>SUM(F43+J43)</f>
        <v/>
      </c>
      <c r="C43" s="4608">
        <f>SUM(G43+K43)</f>
        <v/>
      </c>
      <c r="D43" s="4607">
        <f>SUM(H43+L43)</f>
        <v/>
      </c>
      <c r="E43" s="4608">
        <f>SUM(I43+M43)</f>
        <v/>
      </c>
      <c r="F43" s="2644" t="n"/>
      <c r="G43" s="4479" t="n"/>
      <c r="H43" s="2644" t="n"/>
      <c r="I43" s="183" t="n"/>
      <c r="J43" s="4530" t="n"/>
      <c r="K43" s="183" t="n"/>
      <c r="L43" s="2644" t="n"/>
      <c r="M43" s="183" t="n"/>
      <c r="N43" s="4609" t="n"/>
      <c r="O43" s="4610" t="n"/>
      <c r="P43" s="4528" t="n"/>
      <c r="Q43" s="4526" t="n"/>
    </row>
    <row r="44" ht="17.1" customFormat="1" customHeight="1" s="5">
      <c r="A44" s="8616" t="inlineStr">
        <is>
          <t>SECCIÓN B : TELEINFORMES EN ESTABLECIMIENTOS DE ATENCIÓN PRIMARIA, SECUNDARIA Y TERCIARIA</t>
        </is>
      </c>
      <c r="B44" s="3" t="n"/>
      <c r="C44" s="3" t="n"/>
      <c r="D44" s="3" t="n"/>
      <c r="E44" s="3" t="n"/>
      <c r="F44" s="7" t="n"/>
      <c r="G44" s="7" t="n"/>
      <c r="H44" s="7" t="n"/>
      <c r="I44" s="7" t="n"/>
      <c r="J44" s="14" t="n"/>
      <c r="K44" s="14" t="n"/>
      <c r="L44" s="14" t="n"/>
      <c r="M44" s="14" t="n"/>
      <c r="N44" s="14" t="n"/>
      <c r="O44" s="14" t="n"/>
      <c r="P44" s="14" t="n"/>
      <c r="Q44" s="14" t="n"/>
      <c r="R44" s="14" t="n"/>
      <c r="S44" s="14" t="n"/>
      <c r="T44" s="14" t="n"/>
      <c r="U44" s="14" t="n"/>
    </row>
    <row r="45" ht="22.5" customHeight="1" s="8286">
      <c r="A45" s="9303" t="inlineStr">
        <is>
          <t xml:space="preserve">TELEINFORMES </t>
        </is>
      </c>
      <c r="B45" s="9240" t="inlineStr">
        <is>
          <t xml:space="preserve"> TOTAL TELEINFORMES REALIZADOS </t>
        </is>
      </c>
      <c r="C45" s="9584" t="n"/>
      <c r="D45" s="9584" t="n"/>
      <c r="E45" s="9647" t="n"/>
      <c r="F45" s="9240" t="inlineStr">
        <is>
          <t xml:space="preserve">ESTABLECIMIENTOS DE NIVEL PRIMARIO DE SALUD </t>
        </is>
      </c>
      <c r="G45" s="9584" t="n"/>
      <c r="H45" s="9584" t="n"/>
      <c r="I45" s="9647" t="n"/>
      <c r="J45" s="9240" t="inlineStr">
        <is>
          <t xml:space="preserve"> (ESTABLECIMIENTOS DE NIVEL SECUNDARIO Y TERCIARIO)</t>
        </is>
      </c>
      <c r="K45" s="9584" t="n"/>
      <c r="L45" s="9584" t="n"/>
      <c r="M45" s="9647" t="n"/>
      <c r="N45" s="9240" t="inlineStr">
        <is>
          <t>TOTAL TELEINFORMES REALIZADOS POR INTELIGENCIA ARTIFICIAL</t>
        </is>
      </c>
      <c r="O45" s="9584" t="n"/>
      <c r="P45" s="9584" t="n"/>
      <c r="Q45" s="9647" t="n"/>
      <c r="R45" s="9975" t="inlineStr">
        <is>
          <t xml:space="preserve">TOTAL TELEINFORMES REALIZADOS POR ESPECIALISTA </t>
        </is>
      </c>
      <c r="S45" s="9584" t="n"/>
      <c r="T45" s="9584" t="n"/>
      <c r="U45" s="9582" t="n"/>
    </row>
    <row r="46">
      <c r="A46" s="9627" t="n"/>
      <c r="B46" s="9977" t="inlineStr">
        <is>
          <t>Menores de 15 años</t>
        </is>
      </c>
      <c r="C46" s="9582" t="n"/>
      <c r="D46" s="9977" t="inlineStr">
        <is>
          <t>15 y más años</t>
        </is>
      </c>
      <c r="E46" s="9582" t="n"/>
      <c r="F46" s="9977" t="inlineStr">
        <is>
          <t>Menores de 15 años</t>
        </is>
      </c>
      <c r="G46" s="9582" t="n"/>
      <c r="H46" s="9977" t="inlineStr">
        <is>
          <t>15 y más años</t>
        </is>
      </c>
      <c r="I46" s="9582" t="n"/>
      <c r="J46" s="9977" t="inlineStr">
        <is>
          <t>Menores de 15 años</t>
        </is>
      </c>
      <c r="K46" s="9582" t="n"/>
      <c r="L46" s="9977" t="inlineStr">
        <is>
          <t>15 y más años</t>
        </is>
      </c>
      <c r="M46" s="9582" t="n"/>
      <c r="N46" s="9977" t="inlineStr">
        <is>
          <t>Menores de 15 años</t>
        </is>
      </c>
      <c r="O46" s="9582" t="n"/>
      <c r="P46" s="9977" t="inlineStr">
        <is>
          <t>15 y más años</t>
        </is>
      </c>
      <c r="Q46" s="9582" t="n"/>
      <c r="R46" s="9977" t="inlineStr">
        <is>
          <t>Menores de 15 años</t>
        </is>
      </c>
      <c r="S46" s="9582" t="n"/>
      <c r="T46" s="9977" t="inlineStr">
        <is>
          <t>15 y más años</t>
        </is>
      </c>
      <c r="U46" s="9582" t="n"/>
    </row>
    <row r="47">
      <c r="A47" s="9621" t="n"/>
      <c r="B47" s="4498" t="inlineStr">
        <is>
          <t>Hombres</t>
        </is>
      </c>
      <c r="C47" s="9254" t="inlineStr">
        <is>
          <t>Mujeres</t>
        </is>
      </c>
      <c r="D47" s="4498" t="inlineStr">
        <is>
          <t>Hombres</t>
        </is>
      </c>
      <c r="E47" s="9254" t="inlineStr">
        <is>
          <t>Mujeres</t>
        </is>
      </c>
      <c r="F47" s="4498" t="inlineStr">
        <is>
          <t>Hombres</t>
        </is>
      </c>
      <c r="G47" s="9254" t="inlineStr">
        <is>
          <t>Mujeres</t>
        </is>
      </c>
      <c r="H47" s="4498" t="inlineStr">
        <is>
          <t>Hombres</t>
        </is>
      </c>
      <c r="I47" s="9254" t="inlineStr">
        <is>
          <t>Mujeres</t>
        </is>
      </c>
      <c r="J47" s="4498" t="inlineStr">
        <is>
          <t>Hombres</t>
        </is>
      </c>
      <c r="K47" s="9254" t="inlineStr">
        <is>
          <t>Mujeres</t>
        </is>
      </c>
      <c r="L47" s="4498" t="inlineStr">
        <is>
          <t>Hombres</t>
        </is>
      </c>
      <c r="M47" s="9258" t="inlineStr">
        <is>
          <t>Mujeres</t>
        </is>
      </c>
      <c r="N47" s="4498" t="inlineStr">
        <is>
          <t>Hombres</t>
        </is>
      </c>
      <c r="O47" s="9254" t="inlineStr">
        <is>
          <t>Mujeres</t>
        </is>
      </c>
      <c r="P47" s="4498" t="inlineStr">
        <is>
          <t>Hombres</t>
        </is>
      </c>
      <c r="Q47" s="9254" t="inlineStr">
        <is>
          <t>Mujeres</t>
        </is>
      </c>
      <c r="R47" s="4496" t="inlineStr">
        <is>
          <t>Hombres</t>
        </is>
      </c>
      <c r="S47" s="9254" t="inlineStr">
        <is>
          <t>Mujeres</t>
        </is>
      </c>
      <c r="T47" s="4498" t="inlineStr">
        <is>
          <t>Hombres</t>
        </is>
      </c>
      <c r="U47" s="9254" t="inlineStr">
        <is>
          <t>Mujeres</t>
        </is>
      </c>
    </row>
    <row r="48">
      <c r="A48" s="4611" t="inlineStr">
        <is>
          <t>TOTAL</t>
        </is>
      </c>
      <c r="B48" s="4539">
        <f>SUM(B49:B52)</f>
        <v/>
      </c>
      <c r="C48" s="4570">
        <f>SUM(C49:C52)</f>
        <v/>
      </c>
      <c r="D48" s="4508">
        <f>SUM(D49:D52)</f>
        <v/>
      </c>
      <c r="E48" s="4570">
        <f>SUM(E49:E52)</f>
        <v/>
      </c>
      <c r="F48" s="4539">
        <f>SUM(F49:F52)</f>
        <v/>
      </c>
      <c r="G48" s="4508">
        <f>SUM(G49:G52)</f>
        <v/>
      </c>
      <c r="H48" s="4539">
        <f>SUM(H49:H52)</f>
        <v/>
      </c>
      <c r="I48" s="4508">
        <f>SUM(I49:I52)</f>
        <v/>
      </c>
      <c r="J48" s="4539">
        <f>SUM(J49:J52)</f>
        <v/>
      </c>
      <c r="K48" s="4508">
        <f>SUM(K49:K52)</f>
        <v/>
      </c>
      <c r="L48" s="4539">
        <f>SUM(L49:L52)</f>
        <v/>
      </c>
      <c r="M48" s="4612">
        <f>SUM(M49:M52)</f>
        <v/>
      </c>
      <c r="N48" s="4539">
        <f>SUM(N49)</f>
        <v/>
      </c>
      <c r="O48" s="4570">
        <f>SUM(O49)</f>
        <v/>
      </c>
      <c r="P48" s="4508">
        <f>SUM(P49)</f>
        <v/>
      </c>
      <c r="Q48" s="4551">
        <f>SUM(Q49)</f>
        <v/>
      </c>
      <c r="R48" s="4508">
        <f>SUM(R49:R52)</f>
        <v/>
      </c>
      <c r="S48" s="4570">
        <f>SUM(S49:S52)</f>
        <v/>
      </c>
      <c r="T48" s="4539">
        <f>SUM(T49:T52)</f>
        <v/>
      </c>
      <c r="U48" s="4570">
        <f>SUM(U49:U52)</f>
        <v/>
      </c>
    </row>
    <row r="49">
      <c r="A49" s="4165" t="inlineStr">
        <is>
          <t>N° de Teleinformes Fondo de Ojo</t>
        </is>
      </c>
      <c r="B49" s="4511">
        <f>SUM(F49+J49)</f>
        <v/>
      </c>
      <c r="C49" s="4613">
        <f>SUM(G49+K49)</f>
        <v/>
      </c>
      <c r="D49" s="4511">
        <f>SUM(H49+L49)</f>
        <v/>
      </c>
      <c r="E49" s="4613">
        <f>SUM(I49+M49)</f>
        <v/>
      </c>
      <c r="F49" s="4236" t="n"/>
      <c r="G49" s="2337" t="n"/>
      <c r="H49" s="4235" t="n"/>
      <c r="I49" s="2337" t="n"/>
      <c r="J49" s="4235" t="n"/>
      <c r="K49" s="2337" t="n"/>
      <c r="L49" s="4235" t="n"/>
      <c r="M49" s="2581" t="n"/>
      <c r="N49" s="4235" t="n"/>
      <c r="O49" s="2337" t="n"/>
      <c r="P49" s="4235" t="n"/>
      <c r="Q49" s="2337" t="n"/>
      <c r="R49" s="4236" t="n"/>
      <c r="S49" s="2337" t="n"/>
      <c r="T49" s="4235" t="n"/>
      <c r="U49" s="2337" t="n"/>
    </row>
    <row r="50">
      <c r="A50" s="1144" t="inlineStr">
        <is>
          <t>N° de Teleinformes de Tomografía Axial Computarizada</t>
        </is>
      </c>
      <c r="B50" s="1978">
        <f>SUM(F50+J50)</f>
        <v/>
      </c>
      <c r="C50" s="4156">
        <f>SUM(G50+K50)</f>
        <v/>
      </c>
      <c r="D50" s="1978">
        <f>SUM(H50+L50)</f>
        <v/>
      </c>
      <c r="E50" s="4156">
        <f>SUM(I50+M50)</f>
        <v/>
      </c>
      <c r="F50" s="3789" t="n"/>
      <c r="G50" s="886" t="n"/>
      <c r="H50" s="1172" t="n"/>
      <c r="I50" s="886" t="n"/>
      <c r="J50" s="1172" t="n"/>
      <c r="K50" s="886" t="n"/>
      <c r="L50" s="1172" t="n"/>
      <c r="M50" s="885" t="n"/>
      <c r="N50" s="1941" t="n"/>
      <c r="O50" s="4312" t="n"/>
      <c r="P50" s="1941" t="n"/>
      <c r="Q50" s="4312" t="n"/>
      <c r="R50" s="3789" t="n"/>
      <c r="S50" s="886" t="n"/>
      <c r="T50" s="1172" t="n"/>
      <c r="U50" s="886" t="n"/>
    </row>
    <row r="51">
      <c r="A51" s="1144" t="inlineStr">
        <is>
          <t>N° de Teleinformes de Resonancia Magnética</t>
        </is>
      </c>
      <c r="B51" s="1978">
        <f>SUM(F51+J51)</f>
        <v/>
      </c>
      <c r="C51" s="4156">
        <f>SUM(G51+K51)</f>
        <v/>
      </c>
      <c r="D51" s="1978">
        <f>SUM(H51+L51)</f>
        <v/>
      </c>
      <c r="E51" s="4156">
        <f>SUM(I51+M51)</f>
        <v/>
      </c>
      <c r="F51" s="3789" t="n"/>
      <c r="G51" s="886" t="n"/>
      <c r="H51" s="1172" t="n"/>
      <c r="I51" s="886" t="n"/>
      <c r="J51" s="1172" t="n"/>
      <c r="K51" s="886" t="n"/>
      <c r="L51" s="1172" t="n"/>
      <c r="M51" s="885" t="n"/>
      <c r="N51" s="4614" t="n"/>
      <c r="O51" s="890" t="n"/>
      <c r="P51" s="4615" t="n"/>
      <c r="Q51" s="890" t="n"/>
      <c r="R51" s="3789" t="n"/>
      <c r="S51" s="886" t="n"/>
      <c r="T51" s="1172" t="n"/>
      <c r="U51" s="886" t="n"/>
    </row>
    <row r="52">
      <c r="A52" s="3336" t="inlineStr">
        <is>
          <t>N° de Teleinformes Mamografías</t>
        </is>
      </c>
      <c r="B52" s="8543">
        <f>SUM(F52+J52)</f>
        <v/>
      </c>
      <c r="C52" s="4616">
        <f>SUM(G52+K52)</f>
        <v/>
      </c>
      <c r="D52" s="8543">
        <f>SUM(H52+L52)</f>
        <v/>
      </c>
      <c r="E52" s="4616">
        <f>SUM(I52+M52)</f>
        <v/>
      </c>
      <c r="F52" s="4530" t="n"/>
      <c r="G52" s="183" t="n"/>
      <c r="H52" s="2644" t="n"/>
      <c r="I52" s="183" t="n"/>
      <c r="J52" s="2644" t="n"/>
      <c r="K52" s="183" t="n"/>
      <c r="L52" s="2644" t="n"/>
      <c r="M52" s="185" t="n"/>
      <c r="N52" s="2936" t="n"/>
      <c r="O52" s="4046" t="n"/>
      <c r="P52" s="4316" t="n"/>
      <c r="Q52" s="4617" t="n"/>
      <c r="R52" s="4530" t="n"/>
      <c r="S52" s="183" t="n"/>
      <c r="T52" s="2644" t="n"/>
      <c r="U52" s="183" t="n"/>
    </row>
    <row r="53" ht="17.1" customFormat="1" customHeight="1" s="5">
      <c r="A53" s="4618" t="inlineStr">
        <is>
          <t>SECCION C: TELEINTERCONSULTA DE ESPECIALIDADES ODONTOLOGICAS POR HOSPITAL DIGITAL</t>
        </is>
      </c>
      <c r="B53" s="7" t="n"/>
      <c r="C53" s="7" t="n"/>
      <c r="D53" s="7" t="n"/>
      <c r="E53" s="7" t="n"/>
      <c r="F53" s="7" t="n"/>
      <c r="G53" s="7" t="n"/>
      <c r="H53" s="7" t="n"/>
      <c r="I53" s="7" t="n"/>
      <c r="J53" s="7" t="n"/>
      <c r="K53" s="7" t="n"/>
      <c r="L53" s="7" t="n"/>
      <c r="M53" s="7" t="n"/>
      <c r="N53" s="7" t="n"/>
      <c r="O53" s="7" t="n"/>
      <c r="P53" s="7" t="n"/>
      <c r="Q53" s="7" t="n"/>
    </row>
    <row r="54" ht="22.5" customHeight="1" s="8286">
      <c r="A54" s="9303" t="inlineStr">
        <is>
          <t>ESPECIALIDADES ODONTOLOGICAS</t>
        </is>
      </c>
      <c r="B54" s="8400" t="inlineStr">
        <is>
          <t xml:space="preserve">TOTAL TELEINTERCONSULTAS DE ESPECIALIDADES ODONTOLÓGICAS </t>
        </is>
      </c>
      <c r="C54" s="9584" t="n"/>
      <c r="D54" s="9584" t="n"/>
      <c r="E54" s="9582" t="n"/>
      <c r="F54" s="8400" t="inlineStr">
        <is>
          <t>TELEINTERCONSULTA DE ESPECIALIDADES ODONTOLÓGICAS AMBULATORIA NUEVA</t>
        </is>
      </c>
      <c r="G54" s="9584" t="n"/>
      <c r="H54" s="9584" t="n"/>
      <c r="I54" s="9582" t="n"/>
      <c r="J54" s="8400" t="inlineStr">
        <is>
          <t xml:space="preserve">TELEINTERCONSULTA DE ESPECIALIDADES ODONTOLÓGICAS AMBULATORIA CONTROL </t>
        </is>
      </c>
      <c r="K54" s="9584" t="n"/>
      <c r="L54" s="9584" t="n"/>
      <c r="M54" s="9582" t="n"/>
      <c r="N54" s="9975" t="inlineStr">
        <is>
          <t>TELEINTERCONSULTAS  SOLICITADAS PARA SER RESUELTAS POR HOSPITAL DIGITAL</t>
        </is>
      </c>
      <c r="O54" s="9584" t="n"/>
      <c r="P54" s="9584" t="n"/>
      <c r="Q54" s="9582" t="n"/>
    </row>
    <row r="55">
      <c r="A55" s="9627" t="n"/>
      <c r="B55" s="9977" t="inlineStr">
        <is>
          <t>Menores de 15 años</t>
        </is>
      </c>
      <c r="C55" s="9582" t="n"/>
      <c r="D55" s="9977" t="inlineStr">
        <is>
          <t>15 y más años</t>
        </is>
      </c>
      <c r="E55" s="9582" t="n"/>
      <c r="F55" s="9977" t="inlineStr">
        <is>
          <t>Menores de 15 años</t>
        </is>
      </c>
      <c r="G55" s="9582" t="n"/>
      <c r="H55" s="9977" t="inlineStr">
        <is>
          <t>15 y más años</t>
        </is>
      </c>
      <c r="I55" s="9582" t="n"/>
      <c r="J55" s="9977" t="inlineStr">
        <is>
          <t>Menores de 15 años</t>
        </is>
      </c>
      <c r="K55" s="9582" t="n"/>
      <c r="L55" s="9977" t="inlineStr">
        <is>
          <t>15 y más años</t>
        </is>
      </c>
      <c r="M55" s="9582" t="n"/>
      <c r="N55" s="9977" t="inlineStr">
        <is>
          <t>Menores de 15 años</t>
        </is>
      </c>
      <c r="O55" s="9582" t="n"/>
      <c r="P55" s="9977" t="inlineStr">
        <is>
          <t>15 y más años</t>
        </is>
      </c>
      <c r="Q55" s="9582" t="n"/>
    </row>
    <row r="56">
      <c r="A56" s="9621" t="n"/>
      <c r="B56" s="9260" t="inlineStr">
        <is>
          <t>Hombres</t>
        </is>
      </c>
      <c r="C56" s="9272" t="inlineStr">
        <is>
          <t>Mujeres</t>
        </is>
      </c>
      <c r="D56" s="9270" t="inlineStr">
        <is>
          <t>Hombres</t>
        </is>
      </c>
      <c r="E56" s="9272" t="inlineStr">
        <is>
          <t>Mujeres</t>
        </is>
      </c>
      <c r="F56" s="9260" t="inlineStr">
        <is>
          <t>Hombres</t>
        </is>
      </c>
      <c r="G56" s="9272" t="inlineStr">
        <is>
          <t>Mujeres</t>
        </is>
      </c>
      <c r="H56" s="9270" t="inlineStr">
        <is>
          <t>Hombres</t>
        </is>
      </c>
      <c r="I56" s="9272" t="inlineStr">
        <is>
          <t>Mujeres</t>
        </is>
      </c>
      <c r="J56" s="4498" t="inlineStr">
        <is>
          <t>Hombres</t>
        </is>
      </c>
      <c r="K56" s="9254" t="inlineStr">
        <is>
          <t>Mujeres</t>
        </is>
      </c>
      <c r="L56" s="4498" t="inlineStr">
        <is>
          <t>Hombres</t>
        </is>
      </c>
      <c r="M56" s="9254" t="inlineStr">
        <is>
          <t>Mujeres</t>
        </is>
      </c>
      <c r="N56" s="9270" t="inlineStr">
        <is>
          <t>Hombres</t>
        </is>
      </c>
      <c r="O56" s="9272" t="inlineStr">
        <is>
          <t>Mujeres</t>
        </is>
      </c>
      <c r="P56" s="9260" t="inlineStr">
        <is>
          <t>Hombres</t>
        </is>
      </c>
      <c r="Q56" s="9272" t="inlineStr">
        <is>
          <t>Mujeres</t>
        </is>
      </c>
    </row>
    <row r="57">
      <c r="A57" s="4611" t="inlineStr">
        <is>
          <t>TOTAL</t>
        </is>
      </c>
      <c r="B57" s="4619">
        <f>SUM(B58:B62)</f>
        <v/>
      </c>
      <c r="C57" s="4620">
        <f>SUM(C58:C62)</f>
        <v/>
      </c>
      <c r="D57" s="4621">
        <f>SUM(D58:D62)</f>
        <v/>
      </c>
      <c r="E57" s="4620">
        <f>SUM(E58:E62)</f>
        <v/>
      </c>
      <c r="F57" s="4619">
        <f>SUM(F58:F63)</f>
        <v/>
      </c>
      <c r="G57" s="4620">
        <f>SUM(G58:G63)</f>
        <v/>
      </c>
      <c r="H57" s="4621">
        <f>SUM(H58:H63)</f>
        <v/>
      </c>
      <c r="I57" s="4620">
        <f>SUM(I58:I63)</f>
        <v/>
      </c>
      <c r="J57" s="711">
        <f>SUM(J58:J63)</f>
        <v/>
      </c>
      <c r="K57" s="523">
        <f>SUM(K58:K63)</f>
        <v/>
      </c>
      <c r="L57" s="4622">
        <f>SUM(L58:L63)</f>
        <v/>
      </c>
      <c r="M57" s="4623">
        <f>SUM(M58:M63)</f>
        <v/>
      </c>
      <c r="N57" s="4624">
        <f>SUM(N58:N63)</f>
        <v/>
      </c>
      <c r="O57" s="4623">
        <f>SUM(O58:O63)</f>
        <v/>
      </c>
      <c r="P57" s="4621">
        <f>SUM(P58:P63)</f>
        <v/>
      </c>
      <c r="Q57" s="4625">
        <f>SUM(Q58:Q63)</f>
        <v/>
      </c>
    </row>
    <row r="58">
      <c r="A58" s="4626" t="inlineStr">
        <is>
          <t>Cirugía y traumatología buco maxilofacial</t>
        </is>
      </c>
      <c r="B58" s="4511">
        <f>SUM(F58+J58)</f>
        <v/>
      </c>
      <c r="C58" s="2705">
        <f>SUM(G58+K58)</f>
        <v/>
      </c>
      <c r="D58" s="4510">
        <f>SUM(H58+L58)</f>
        <v/>
      </c>
      <c r="E58" s="2705">
        <f>SUM(I58+M58)</f>
        <v/>
      </c>
      <c r="F58" s="4235" t="n"/>
      <c r="G58" s="4237" t="n"/>
      <c r="H58" s="4236" t="n"/>
      <c r="I58" s="4237" t="n"/>
      <c r="J58" s="4236" t="n"/>
      <c r="K58" s="4237" t="n"/>
      <c r="L58" s="4235" t="n"/>
      <c r="M58" s="4237" t="n"/>
      <c r="N58" s="4517" t="n"/>
      <c r="O58" s="4515" t="n"/>
      <c r="P58" s="4517" t="n"/>
      <c r="Q58" s="4515" t="n"/>
    </row>
    <row r="59">
      <c r="A59" s="1144" t="inlineStr">
        <is>
          <t>Endodoncia</t>
        </is>
      </c>
      <c r="B59" s="1485">
        <f>SUM(F59+J59)</f>
        <v/>
      </c>
      <c r="C59" s="894">
        <f>SUM(G59+K59)</f>
        <v/>
      </c>
      <c r="D59" s="4519">
        <f>SUM(H59+L59)</f>
        <v/>
      </c>
      <c r="E59" s="894">
        <f>SUM(I59+M59)</f>
        <v/>
      </c>
      <c r="F59" s="1172" t="n"/>
      <c r="G59" s="886" t="n"/>
      <c r="H59" s="3789" t="n"/>
      <c r="I59" s="886" t="n"/>
      <c r="J59" s="3789" t="n"/>
      <c r="K59" s="886" t="n"/>
      <c r="L59" s="1172" t="n"/>
      <c r="M59" s="886" t="n"/>
      <c r="N59" s="4523" t="n"/>
      <c r="O59" s="4521" t="n"/>
      <c r="P59" s="4523" t="n"/>
      <c r="Q59" s="4521" t="n"/>
    </row>
    <row r="60">
      <c r="A60" s="4627" t="inlineStr">
        <is>
          <t>Trastornos Temporomandibulares y Dolor Orofacial</t>
        </is>
      </c>
      <c r="B60" s="1485">
        <f>SUM(F60+J60)</f>
        <v/>
      </c>
      <c r="C60" s="894">
        <f>SUM(G60+K60)</f>
        <v/>
      </c>
      <c r="D60" s="4519">
        <f>SUM(H60+L60)</f>
        <v/>
      </c>
      <c r="E60" s="894">
        <f>SUM(I60+M60)</f>
        <v/>
      </c>
      <c r="F60" s="1172" t="n"/>
      <c r="G60" s="3788" t="n"/>
      <c r="H60" s="3789" t="n"/>
      <c r="I60" s="3788" t="n"/>
      <c r="J60" s="3789" t="n"/>
      <c r="K60" s="3788" t="n"/>
      <c r="L60" s="1172" t="n"/>
      <c r="M60" s="3788" t="n"/>
      <c r="N60" s="4523" t="n"/>
      <c r="O60" s="4521" t="n"/>
      <c r="P60" s="4523" t="n"/>
      <c r="Q60" s="4521" t="n"/>
    </row>
    <row r="61">
      <c r="A61" s="4627" t="inlineStr">
        <is>
          <t>Ortodoncia</t>
        </is>
      </c>
      <c r="B61" s="1485">
        <f>SUM(F61+J61)</f>
        <v/>
      </c>
      <c r="C61" s="894">
        <f>SUM(G61+K61)</f>
        <v/>
      </c>
      <c r="D61" s="4519">
        <f>SUM(H61+L61)</f>
        <v/>
      </c>
      <c r="E61" s="894">
        <f>SUM(I61+M61)</f>
        <v/>
      </c>
      <c r="F61" s="1172" t="n"/>
      <c r="G61" s="3788" t="n"/>
      <c r="H61" s="3789" t="n"/>
      <c r="I61" s="3788" t="n"/>
      <c r="J61" s="3789" t="n"/>
      <c r="K61" s="3788" t="n"/>
      <c r="L61" s="1172" t="n"/>
      <c r="M61" s="3788" t="n"/>
      <c r="N61" s="4523" t="n"/>
      <c r="O61" s="4521" t="n"/>
      <c r="P61" s="4523" t="n"/>
      <c r="Q61" s="4521" t="n"/>
    </row>
    <row r="62">
      <c r="A62" s="1144" t="inlineStr">
        <is>
          <t>Patología Oral</t>
        </is>
      </c>
      <c r="B62" s="1485">
        <f>SUM(F62+J62)</f>
        <v/>
      </c>
      <c r="C62" s="894">
        <f>SUM(G62+K62)</f>
        <v/>
      </c>
      <c r="D62" s="4519">
        <f>SUM(H62+L62)</f>
        <v/>
      </c>
      <c r="E62" s="894">
        <f>SUM(I62+M62)</f>
        <v/>
      </c>
      <c r="F62" s="1172" t="n"/>
      <c r="G62" s="3788" t="n"/>
      <c r="H62" s="3789" t="n"/>
      <c r="I62" s="3788" t="n"/>
      <c r="J62" s="3789" t="n"/>
      <c r="K62" s="3788" t="n"/>
      <c r="L62" s="1172" t="n"/>
      <c r="M62" s="3788" t="n"/>
      <c r="N62" s="4523" t="n"/>
      <c r="O62" s="4521" t="n"/>
      <c r="P62" s="4523" t="n"/>
      <c r="Q62" s="4521" t="n"/>
    </row>
    <row r="63">
      <c r="A63" s="4628" t="inlineStr">
        <is>
          <t>Otras Especialidades Odontológicas</t>
        </is>
      </c>
      <c r="B63" s="8543">
        <f>SUM(F63+J63)</f>
        <v/>
      </c>
      <c r="C63" s="8544">
        <f>SUM(G63+K63)</f>
        <v/>
      </c>
      <c r="D63" s="4554">
        <f>SUM(H63+L63)</f>
        <v/>
      </c>
      <c r="E63" s="8544">
        <f>SUM(I63+M63)</f>
        <v/>
      </c>
      <c r="F63" s="2644" t="n"/>
      <c r="G63" s="4479" t="n"/>
      <c r="H63" s="4530" t="n"/>
      <c r="I63" s="4479" t="n"/>
      <c r="J63" s="4530" t="n"/>
      <c r="K63" s="4479" t="n"/>
      <c r="L63" s="2644" t="n"/>
      <c r="M63" s="4479" t="n"/>
      <c r="N63" s="4629" t="n"/>
      <c r="O63" s="524" t="n"/>
      <c r="P63" s="4629" t="n"/>
      <c r="Q63" s="524" t="n"/>
    </row>
    <row r="64" ht="17.1" customFormat="1" customHeight="1" s="5">
      <c r="A64" s="2" t="inlineStr">
        <is>
          <t>SECCIÓN D: PRESTACIONES DE TELEMEDICINA REALIZADAS POR OTROS PROFESIONALES</t>
        </is>
      </c>
      <c r="B64" s="34" t="n"/>
      <c r="C64" s="34" t="n"/>
      <c r="D64" s="34" t="n"/>
      <c r="E64" s="34" t="n"/>
    </row>
    <row r="65" ht="27" customHeight="1" s="8286">
      <c r="A65" s="9296" t="inlineStr">
        <is>
          <t xml:space="preserve"> PROFESIONAL DE LA SALUD</t>
        </is>
      </c>
      <c r="B65" s="9240" t="inlineStr">
        <is>
          <t xml:space="preserve">TOTAL PRESTACIONES REALIZADAS POR OTROS PROFESIONALES DE LA SALUD </t>
        </is>
      </c>
      <c r="C65" s="9584" t="n"/>
      <c r="D65" s="9584" t="n"/>
      <c r="E65" s="9647" t="n"/>
      <c r="F65" s="9920" t="inlineStr">
        <is>
          <t xml:space="preserve">TOTAL PRESTACIONES TELEMEDICINA REALIZADAS EN MODALIDAD SINCRÓNICA </t>
        </is>
      </c>
      <c r="G65" s="8400" t="inlineStr">
        <is>
          <t xml:space="preserve">TOTAL PRESTACIONES TELEMEDICINA REALIZADAS EN MODALIDAD ASINCRÓNICA </t>
        </is>
      </c>
    </row>
    <row r="66">
      <c r="A66" s="9627" t="n"/>
      <c r="B66" s="9977" t="inlineStr">
        <is>
          <t>Menores de 15 años</t>
        </is>
      </c>
      <c r="C66" s="9582" t="n"/>
      <c r="D66" s="9977" t="inlineStr">
        <is>
          <t>15 y más años</t>
        </is>
      </c>
      <c r="E66" s="9582" t="n"/>
      <c r="F66" s="9625" t="n"/>
      <c r="G66" s="9614" t="n"/>
    </row>
    <row r="67" ht="22.5" customHeight="1" s="8286">
      <c r="A67" s="9621" t="n"/>
      <c r="B67" s="4498" t="inlineStr">
        <is>
          <t>Hombres</t>
        </is>
      </c>
      <c r="C67" s="9254" t="inlineStr">
        <is>
          <t>Mujeres</t>
        </is>
      </c>
      <c r="D67" s="4498" t="inlineStr">
        <is>
          <t>Hombres</t>
        </is>
      </c>
      <c r="E67" s="9254" t="inlineStr">
        <is>
          <t>Mujeres</t>
        </is>
      </c>
      <c r="F67" s="9641" t="n"/>
      <c r="G67" s="9610" t="n"/>
    </row>
    <row r="68">
      <c r="A68" s="4630" t="inlineStr">
        <is>
          <t>TOTAL</t>
        </is>
      </c>
      <c r="B68" s="4539">
        <f>SUM(B69:B72)</f>
        <v/>
      </c>
      <c r="C68" s="4508">
        <f>SUM(C69:C72)</f>
        <v/>
      </c>
      <c r="D68" s="4539">
        <f>SUM(D69:D72)</f>
        <v/>
      </c>
      <c r="E68" s="4508">
        <f>SUM(E69:E72)</f>
        <v/>
      </c>
      <c r="F68" s="4539">
        <f>SUM(F69:F72)</f>
        <v/>
      </c>
      <c r="G68" s="4569">
        <f>SUM(G69:G72)</f>
        <v/>
      </c>
    </row>
    <row r="69">
      <c r="A69" s="4165" t="inlineStr">
        <is>
          <t>Enfermera/o</t>
        </is>
      </c>
      <c r="B69" s="1935" t="n"/>
      <c r="C69" s="755" t="n"/>
      <c r="D69" s="1432" t="n"/>
      <c r="E69" s="755" t="n"/>
      <c r="F69" s="36" t="n"/>
      <c r="G69" s="4546" t="n"/>
    </row>
    <row r="70">
      <c r="A70" s="1121" t="inlineStr">
        <is>
          <t xml:space="preserve">Quimico Farmacéutico </t>
        </is>
      </c>
      <c r="B70" s="1172" t="n"/>
      <c r="C70" s="886" t="n"/>
      <c r="D70" s="3789" t="n"/>
      <c r="E70" s="886" t="n"/>
      <c r="F70" s="3895" t="n"/>
      <c r="G70" s="1220" t="n"/>
    </row>
    <row r="71">
      <c r="A71" s="1121" t="inlineStr">
        <is>
          <t>Psicologa/o</t>
        </is>
      </c>
      <c r="B71" s="1172" t="n"/>
      <c r="C71" s="886" t="n"/>
      <c r="D71" s="3789" t="n"/>
      <c r="E71" s="886" t="n"/>
      <c r="F71" s="3895" t="n"/>
      <c r="G71" s="1220" t="n"/>
    </row>
    <row r="72">
      <c r="A72" s="3598" t="inlineStr">
        <is>
          <t>Nutricionista</t>
        </is>
      </c>
      <c r="B72" s="3808" t="n"/>
      <c r="C72" s="3601" t="n"/>
      <c r="D72" s="3818" t="n"/>
      <c r="E72" s="3601" t="n"/>
      <c r="F72" s="1227" t="n"/>
      <c r="G72" s="3896" t="n"/>
    </row>
    <row r="73" ht="17.1" customFormat="1" customHeight="1" s="5">
      <c r="A73" s="4618" t="inlineStr">
        <is>
          <t xml:space="preserve">SECCION E: TELEMEDICINA EN ESTRATEGIAS DE MEDICINA GENERAL </t>
        </is>
      </c>
      <c r="B73" s="1" t="n"/>
      <c r="C73" s="1" t="n"/>
      <c r="D73" s="1" t="n"/>
      <c r="E73" s="1" t="n"/>
      <c r="F73" s="1" t="n"/>
      <c r="G73" s="1" t="n"/>
      <c r="H73" s="1" t="n"/>
      <c r="I73" s="1" t="n"/>
    </row>
    <row r="74" ht="22.5" customHeight="1" s="8286">
      <c r="A74" s="10605" t="inlineStr">
        <is>
          <t>TELECONSULTA</t>
        </is>
      </c>
      <c r="B74" s="9240" t="inlineStr">
        <is>
          <t xml:space="preserve">TELEMEDICINA POR PROFESIONAL DE SALUD AMBULATORIA  </t>
        </is>
      </c>
      <c r="C74" s="9584" t="n"/>
      <c r="D74" s="9584" t="n"/>
      <c r="E74" s="9647" t="n"/>
      <c r="F74" s="9240" t="inlineStr">
        <is>
          <t>TELEMEDICINA SOLICITADAS PARA SER RESUELTAS POR MEDICOS GENERALES DE HOSPITAL DIGITAL</t>
        </is>
      </c>
      <c r="G74" s="9584" t="n"/>
      <c r="H74" s="9584" t="n"/>
      <c r="I74" s="9647" t="n"/>
    </row>
    <row r="75">
      <c r="A75" s="9614" t="n"/>
      <c r="B75" s="9977" t="inlineStr">
        <is>
          <t>Menores de 15 años</t>
        </is>
      </c>
      <c r="C75" s="9582" t="n"/>
      <c r="D75" s="9977" t="inlineStr">
        <is>
          <t>15 y más años</t>
        </is>
      </c>
      <c r="E75" s="9582" t="n"/>
      <c r="F75" s="9977" t="inlineStr">
        <is>
          <t>Menores de 15 años</t>
        </is>
      </c>
      <c r="G75" s="9582" t="n"/>
      <c r="H75" s="9977" t="inlineStr">
        <is>
          <t>15 y más años</t>
        </is>
      </c>
      <c r="I75" s="9582" t="n"/>
    </row>
    <row r="76">
      <c r="A76" s="9610" t="n"/>
      <c r="B76" s="4498" t="inlineStr">
        <is>
          <t>Hombres</t>
        </is>
      </c>
      <c r="C76" s="4497" t="inlineStr">
        <is>
          <t>Mujeres</t>
        </is>
      </c>
      <c r="D76" s="4496" t="inlineStr">
        <is>
          <t>Hombres</t>
        </is>
      </c>
      <c r="E76" s="9254" t="inlineStr">
        <is>
          <t>Mujeres</t>
        </is>
      </c>
      <c r="F76" s="4498" t="inlineStr">
        <is>
          <t>Hombres</t>
        </is>
      </c>
      <c r="G76" s="9254" t="inlineStr">
        <is>
          <t>Mujeres</t>
        </is>
      </c>
      <c r="H76" s="4498" t="inlineStr">
        <is>
          <t>Hombres</t>
        </is>
      </c>
      <c r="I76" s="4497" t="inlineStr">
        <is>
          <t>Mujeres</t>
        </is>
      </c>
    </row>
    <row r="77">
      <c r="A77" s="4611" t="inlineStr">
        <is>
          <t>TOTAL</t>
        </is>
      </c>
      <c r="B77" s="4622">
        <f>SUM(B78:B79)</f>
        <v/>
      </c>
      <c r="C77" s="4624">
        <f>SUM(C78:C79)</f>
        <v/>
      </c>
      <c r="D77" s="4622">
        <f>SUM(D78:D79)</f>
        <v/>
      </c>
      <c r="E77" s="4624">
        <f>SUM(E78:E79)</f>
        <v/>
      </c>
      <c r="F77" s="4631">
        <f>SUM(F78:F79)</f>
        <v/>
      </c>
      <c r="G77" s="4625">
        <f>SUM(G78:G79)</f>
        <v/>
      </c>
      <c r="H77" s="4631">
        <f>SUM(H78:H79)</f>
        <v/>
      </c>
      <c r="I77" s="4625">
        <f>SUM(I78:I79)</f>
        <v/>
      </c>
    </row>
    <row r="78">
      <c r="A78" s="4165" t="inlineStr">
        <is>
          <t>Medicina General Hospital Digital Rural</t>
        </is>
      </c>
      <c r="B78" s="4235" t="n"/>
      <c r="C78" s="2337" t="n"/>
      <c r="D78" s="4236" t="n"/>
      <c r="E78" s="4237" t="n"/>
      <c r="F78" s="4517" t="n"/>
      <c r="G78" s="4515" t="n"/>
      <c r="H78" s="4517" t="n"/>
      <c r="I78" s="4515" t="n"/>
    </row>
    <row r="79">
      <c r="A79" s="3709" t="inlineStr">
        <is>
          <t>Medicina General en otras Instancias</t>
        </is>
      </c>
      <c r="B79" s="2644" t="n"/>
      <c r="C79" s="183" t="n"/>
      <c r="D79" s="4530" t="n"/>
      <c r="E79" s="183" t="n"/>
      <c r="F79" s="4629" t="n"/>
      <c r="G79" s="524" t="n"/>
      <c r="H79" s="4629" t="n"/>
      <c r="I79" s="524" t="n"/>
    </row>
    <row r="80" ht="17.1" customFormat="1" customHeight="1" s="5">
      <c r="A80" s="8616" t="inlineStr">
        <is>
          <t xml:space="preserve">SECCION F: ESTRATEGIAS SALUD MENTAL </t>
        </is>
      </c>
    </row>
    <row r="81" ht="17.1" customFormat="1" customHeight="1" s="5">
      <c r="A81" s="1" t="inlineStr">
        <is>
          <t xml:space="preserve">SECCIÓN F1: ESTRATEGIA SALUD MENTAL POBLACION GENERAL </t>
        </is>
      </c>
      <c r="B81" s="8616" t="n"/>
      <c r="C81" s="525" t="n"/>
      <c r="D81" s="525" t="n"/>
      <c r="E81" s="525" t="n"/>
      <c r="F81" s="525" t="n"/>
      <c r="G81" s="7" t="n"/>
    </row>
    <row r="82" ht="24.75" customHeight="1" s="8286">
      <c r="A82" s="10595" t="inlineStr">
        <is>
          <t xml:space="preserve">ESTRATEGIAS DE SALUD A POBLACIÓN GENERAL </t>
        </is>
      </c>
      <c r="B82" s="9975" t="inlineStr">
        <is>
          <t>TOTAL</t>
        </is>
      </c>
      <c r="C82" s="9939" t="inlineStr">
        <is>
          <t>PRESTACIONES DE SALUD MENTAL A POBLACIÓN GENERAL</t>
        </is>
      </c>
      <c r="D82" s="9602" t="n"/>
      <c r="E82" s="9630" t="n"/>
    </row>
    <row r="83" ht="11.25" customHeight="1" s="8286">
      <c r="A83" s="9614" t="n"/>
      <c r="B83" s="9625" t="n"/>
      <c r="C83" s="9638" t="n"/>
      <c r="D83" s="9697" t="n"/>
      <c r="E83" s="9639" t="n"/>
    </row>
    <row r="84" ht="21" customHeight="1" s="8286">
      <c r="A84" s="9610" t="n"/>
      <c r="B84" s="9611" t="n"/>
      <c r="C84" s="9498" t="inlineStr">
        <is>
          <t>Menores de 15 años</t>
        </is>
      </c>
      <c r="D84" s="4632" t="inlineStr">
        <is>
          <t>15 y más años</t>
        </is>
      </c>
      <c r="E84" s="4633" t="inlineStr">
        <is>
          <t>Sin información</t>
        </is>
      </c>
    </row>
    <row r="85">
      <c r="A85" s="4165" t="inlineStr">
        <is>
          <t>Primera Ayuda Psicológica</t>
        </is>
      </c>
      <c r="B85" s="4245">
        <f>SUM(C85:E85)</f>
        <v/>
      </c>
      <c r="C85" s="1432" t="n"/>
      <c r="D85" s="755" t="n"/>
      <c r="E85" s="4546" t="n"/>
    </row>
    <row r="86">
      <c r="A86" s="1930" t="inlineStr">
        <is>
          <t>Línea prevención suicidio</t>
        </is>
      </c>
      <c r="B86" s="2669">
        <f>SUM(C86:E86)</f>
        <v/>
      </c>
      <c r="C86" s="4530" t="n"/>
      <c r="D86" s="183" t="n"/>
      <c r="E86" s="2670" t="n"/>
    </row>
    <row r="87" ht="17.1" customFormat="1" customHeight="1" s="5">
      <c r="A87" s="4634" t="inlineStr">
        <is>
          <t xml:space="preserve">SECCION F2: ESTRATEGIA SALUD MENTAL EN FUNCIONARIOS DE LA SALUD </t>
        </is>
      </c>
      <c r="B87" s="4635" t="n"/>
      <c r="C87" s="4636" t="n"/>
      <c r="D87" s="4636" t="n"/>
      <c r="E87" s="4636" t="n"/>
      <c r="F87" s="4637" t="n"/>
    </row>
    <row r="88" ht="24.75" customHeight="1" s="8286">
      <c r="A88" s="10595" t="inlineStr">
        <is>
          <t>ESTRATEGIAS DE SALUD A FUNCIONARIOS</t>
        </is>
      </c>
      <c r="B88" s="9300" t="inlineStr">
        <is>
          <t>TOTAL</t>
        </is>
      </c>
      <c r="C88" s="9976" t="inlineStr">
        <is>
          <t>PRESTACIONES DE SALUD MENTAL FUNCIONARIOS</t>
        </is>
      </c>
      <c r="D88" s="9595" t="n"/>
      <c r="E88" s="10005" t="inlineStr">
        <is>
          <t xml:space="preserve">PRESTACIONES DIFERENCIADAS POR VÍA DE REALIZACIÓN  </t>
        </is>
      </c>
      <c r="F88" s="9630" t="n"/>
    </row>
    <row r="89">
      <c r="A89" s="9614" t="n"/>
      <c r="B89" s="10125" t="n"/>
      <c r="C89" s="9915" t="inlineStr">
        <is>
          <t>15 y más años</t>
        </is>
      </c>
      <c r="D89" s="9595" t="n"/>
      <c r="E89" s="9697" t="n"/>
      <c r="F89" s="9639" t="n"/>
    </row>
    <row r="90" ht="21" customHeight="1" s="8286">
      <c r="A90" s="9610" t="n"/>
      <c r="B90" s="10124" t="n"/>
      <c r="C90" s="9498" t="inlineStr">
        <is>
          <t>Hombres</t>
        </is>
      </c>
      <c r="D90" s="9265" t="inlineStr">
        <is>
          <t>Mujeres</t>
        </is>
      </c>
      <c r="E90" s="9376" t="inlineStr">
        <is>
          <t xml:space="preserve"> llamada telefónica</t>
        </is>
      </c>
      <c r="F90" s="9288" t="inlineStr">
        <is>
          <t>Video llamada</t>
        </is>
      </c>
    </row>
    <row r="91">
      <c r="A91" s="4165" t="inlineStr">
        <is>
          <t>Primera Ayuda Psicológica</t>
        </is>
      </c>
      <c r="B91" s="4245">
        <f>SUM(C91:D91)</f>
        <v/>
      </c>
      <c r="C91" s="1432" t="n"/>
      <c r="D91" s="792" t="n"/>
      <c r="E91" s="3263" t="n"/>
      <c r="F91" s="4237" t="n"/>
    </row>
    <row r="92">
      <c r="A92" s="3709" t="inlineStr">
        <is>
          <t>Ingresos PASMET</t>
        </is>
      </c>
      <c r="B92" s="2669">
        <f>SUM(C92:D92)</f>
        <v/>
      </c>
      <c r="C92" s="4530" t="n"/>
      <c r="D92" s="176" t="n"/>
      <c r="E92" s="159" t="n"/>
      <c r="F92" s="4479" t="n"/>
    </row>
    <row r="93" ht="17.1" customFormat="1" customHeight="1" s="5">
      <c r="A93" s="8616" t="inlineStr">
        <is>
          <t>SECCION F3: ALTA PROGRAMA DE ACOMPAÑAMIENTO EN SALUD MENTAL POR TELEMEDICINA A FUNCIONARIOS (PASMET)</t>
        </is>
      </c>
      <c r="B93" s="8616" t="n"/>
      <c r="C93" s="525" t="n"/>
      <c r="D93" s="525" t="n"/>
      <c r="E93" s="525" t="n"/>
      <c r="F93" s="525" t="n"/>
      <c r="G93" s="7" t="n"/>
    </row>
    <row r="94" ht="37.5" customHeight="1" s="8286">
      <c r="A94" s="10595" t="inlineStr">
        <is>
          <t>TIPO DE ALTA PASMET</t>
        </is>
      </c>
      <c r="B94" s="8400" t="inlineStr">
        <is>
          <t>TOTAL</t>
        </is>
      </c>
      <c r="C94" s="8400" t="inlineStr">
        <is>
          <t xml:space="preserve">PRESTACIÓN PSICOLÓGICA A FUNCIONARIOS </t>
        </is>
      </c>
      <c r="D94" s="9582" t="n"/>
    </row>
    <row r="95">
      <c r="A95" s="9614" t="n"/>
      <c r="B95" s="9614" t="n"/>
      <c r="C95" s="9977" t="inlineStr">
        <is>
          <t>15 y más años</t>
        </is>
      </c>
      <c r="D95" s="9582" t="n"/>
    </row>
    <row r="96">
      <c r="A96" s="9610" t="n"/>
      <c r="B96" s="9610" t="n"/>
      <c r="C96" s="4496" t="inlineStr">
        <is>
          <t>Hombres</t>
        </is>
      </c>
      <c r="D96" s="9254" t="inlineStr">
        <is>
          <t>Mujeres</t>
        </is>
      </c>
    </row>
    <row r="97" ht="14.25" customHeight="1" s="8286">
      <c r="A97" s="4165" t="inlineStr">
        <is>
          <t xml:space="preserve">Alta Terapéutica </t>
        </is>
      </c>
      <c r="B97" s="4234">
        <f>SUM(C97:D97)</f>
        <v/>
      </c>
      <c r="C97" s="4236" t="n"/>
      <c r="D97" s="2337" t="n"/>
    </row>
    <row r="98" ht="14.25" customHeight="1" s="8286">
      <c r="A98" s="4639" t="inlineStr">
        <is>
          <t>Abondono</t>
        </is>
      </c>
      <c r="B98" s="2669">
        <f>SUM(C98:D98)</f>
        <v/>
      </c>
      <c r="C98" s="4530" t="n"/>
      <c r="D98" s="183" t="n"/>
    </row>
    <row r="99" ht="17.1" customFormat="1" customHeight="1" s="5">
      <c r="A99" s="4618" t="inlineStr">
        <is>
          <t>SECCION G: TELECOMITÉ</t>
        </is>
      </c>
      <c r="B99" s="525" t="n"/>
      <c r="C99" s="525" t="n"/>
      <c r="D99" s="525" t="n"/>
      <c r="E99" s="525" t="n"/>
      <c r="F99" s="7" t="n"/>
      <c r="G99" s="7" t="n"/>
      <c r="H99" s="7" t="n"/>
      <c r="I99" s="7" t="n"/>
    </row>
    <row r="100" ht="21.75" customHeight="1" s="8286">
      <c r="A100" s="10595" t="inlineStr">
        <is>
          <t>TELECOMITE</t>
        </is>
      </c>
      <c r="B100" s="9240" t="inlineStr">
        <is>
          <t xml:space="preserve">USUARIOS EVALUADOS POR TELECOMITÉ </t>
        </is>
      </c>
      <c r="C100" s="9584" t="n"/>
      <c r="D100" s="9584" t="n"/>
      <c r="E100" s="9647" t="n"/>
    </row>
    <row r="101">
      <c r="A101" s="9614" t="n"/>
      <c r="B101" s="9977" t="inlineStr">
        <is>
          <t>Menores de 15 años</t>
        </is>
      </c>
      <c r="C101" s="9582" t="n"/>
      <c r="D101" s="9977" t="inlineStr">
        <is>
          <t>15 y más años</t>
        </is>
      </c>
      <c r="E101" s="9582" t="n"/>
    </row>
    <row r="102">
      <c r="A102" s="9610" t="n"/>
      <c r="B102" s="4498" t="inlineStr">
        <is>
          <t>Hombres</t>
        </is>
      </c>
      <c r="C102" s="9254" t="inlineStr">
        <is>
          <t>Mujeres</t>
        </is>
      </c>
      <c r="D102" s="4498" t="inlineStr">
        <is>
          <t>Hombres</t>
        </is>
      </c>
      <c r="E102" s="9254" t="inlineStr">
        <is>
          <t>Mujeres</t>
        </is>
      </c>
    </row>
    <row r="103">
      <c r="A103" s="4611" t="inlineStr">
        <is>
          <t>TOTAL</t>
        </is>
      </c>
      <c r="B103" s="4583">
        <f>SUM(B104:B106)</f>
        <v/>
      </c>
      <c r="C103" s="4602">
        <f>SUM(C104:C106)</f>
        <v/>
      </c>
      <c r="D103" s="4583">
        <f>SUM(D104:D106)</f>
        <v/>
      </c>
      <c r="E103" s="4602">
        <f>SUM(E104:E106)</f>
        <v/>
      </c>
    </row>
    <row r="104">
      <c r="A104" s="4165" t="inlineStr">
        <is>
          <t>Telecomité Oncológico Central</t>
        </is>
      </c>
      <c r="B104" s="4235" t="n"/>
      <c r="C104" s="4237" t="n"/>
      <c r="D104" s="4235" t="n"/>
      <c r="E104" s="4237" t="n"/>
    </row>
    <row r="105">
      <c r="A105" s="1144" t="inlineStr">
        <is>
          <t>Telecomité de Cuidados Paliativos</t>
        </is>
      </c>
      <c r="B105" s="1172" t="n"/>
      <c r="C105" s="3788" t="n"/>
      <c r="D105" s="1172" t="n"/>
      <c r="E105" s="3788" t="n"/>
    </row>
    <row r="106">
      <c r="A106" s="3709" t="inlineStr">
        <is>
          <t>Otros</t>
        </is>
      </c>
      <c r="B106" s="3808" t="n"/>
      <c r="C106" s="1192" t="n"/>
      <c r="D106" s="3808" t="n"/>
      <c r="E106" s="1192" t="n"/>
    </row>
    <row r="107" ht="17.1" customFormat="1" customHeight="1" s="5">
      <c r="A107" s="4618" t="inlineStr">
        <is>
          <t>SECCION H: ORIENTACIÓN TELEFÓNICA EN SALUD</t>
        </is>
      </c>
      <c r="B107" s="525" t="n"/>
      <c r="C107" s="525" t="n"/>
      <c r="D107" s="525" t="n"/>
      <c r="E107" s="525" t="n"/>
      <c r="F107" s="7" t="n"/>
      <c r="G107" s="7" t="n"/>
    </row>
    <row r="108">
      <c r="A108" s="10595" t="inlineStr">
        <is>
          <t xml:space="preserve">ORIENTACIÓN TELEFÓNICA EN SALUD </t>
        </is>
      </c>
      <c r="B108" s="9977" t="inlineStr">
        <is>
          <t xml:space="preserve">TOTAL </t>
        </is>
      </c>
      <c r="C108" s="9975" t="inlineStr">
        <is>
          <t>ORIENTACIÓN EN SALUD</t>
        </is>
      </c>
      <c r="D108" s="9584" t="n"/>
      <c r="E108" s="9584" t="n"/>
      <c r="F108" s="9584" t="n"/>
      <c r="G108" s="9582" t="n"/>
    </row>
    <row r="109">
      <c r="A109" s="9614" t="n"/>
      <c r="B109" s="9614" t="n"/>
      <c r="C109" s="9977" t="inlineStr">
        <is>
          <t>Menores de 15 años</t>
        </is>
      </c>
      <c r="D109" s="9582" t="n"/>
      <c r="E109" s="9977" t="inlineStr">
        <is>
          <t>15 y más años</t>
        </is>
      </c>
      <c r="F109" s="9582" t="n"/>
      <c r="G109" s="8400" t="inlineStr">
        <is>
          <t xml:space="preserve">Sin Información </t>
        </is>
      </c>
    </row>
    <row r="110">
      <c r="A110" s="9610" t="n"/>
      <c r="B110" s="9610" t="n"/>
      <c r="C110" s="4496" t="inlineStr">
        <is>
          <t>Hombres</t>
        </is>
      </c>
      <c r="D110" s="9254" t="inlineStr">
        <is>
          <t>Mujeres</t>
        </is>
      </c>
      <c r="E110" s="4496" t="inlineStr">
        <is>
          <t>Hombres</t>
        </is>
      </c>
      <c r="F110" s="9254" t="inlineStr">
        <is>
          <t>Mujeres</t>
        </is>
      </c>
      <c r="G110" s="9610" t="n"/>
    </row>
    <row r="111">
      <c r="A111" s="4165" t="inlineStr">
        <is>
          <t>Orientación Clínica por Profesional no Médico</t>
        </is>
      </c>
      <c r="B111" s="4234">
        <f>SUM(C111:G111)</f>
        <v/>
      </c>
      <c r="C111" s="4235" t="n"/>
      <c r="D111" s="2337" t="n"/>
      <c r="E111" s="4235" t="n"/>
      <c r="F111" s="2337" t="n"/>
      <c r="G111" s="4546" t="n"/>
    </row>
    <row r="112">
      <c r="A112" s="1144" t="inlineStr">
        <is>
          <t>Orientación Administrativa</t>
        </is>
      </c>
      <c r="B112" s="1272">
        <f>SUM(C112:G112)</f>
        <v/>
      </c>
      <c r="C112" s="1172" t="n"/>
      <c r="D112" s="886" t="n"/>
      <c r="E112" s="1172" t="n"/>
      <c r="F112" s="886" t="n"/>
      <c r="G112" s="1220" t="n"/>
    </row>
    <row r="113">
      <c r="A113" s="1144" t="inlineStr">
        <is>
          <t>Orientación Médica</t>
        </is>
      </c>
      <c r="B113" s="1272">
        <f>SUM(C113:G113)</f>
        <v/>
      </c>
      <c r="C113" s="1179" t="n"/>
      <c r="D113" s="1183" t="n"/>
      <c r="E113" s="1179" t="n"/>
      <c r="F113" s="1183" t="n"/>
      <c r="G113" s="1229" t="n"/>
    </row>
    <row r="114">
      <c r="A114" s="3336" t="inlineStr">
        <is>
          <t>Orientacion por Matrona</t>
        </is>
      </c>
      <c r="B114" s="4001">
        <f>SUM(C114:G114)</f>
        <v/>
      </c>
      <c r="C114" s="3808" t="n"/>
      <c r="D114" s="3601" t="n"/>
      <c r="E114" s="3808" t="n"/>
      <c r="F114" s="3601" t="n"/>
      <c r="G114" s="3896" t="n"/>
    </row>
    <row r="115">
      <c r="A115" s="442" t="inlineStr">
        <is>
          <t>SECCION I: TELEINTERCONSULTA MÉDICA EN SERVICIOS DE URGENCIA POR HOSPITAL DIGITAL</t>
        </is>
      </c>
      <c r="B115" s="339" t="n"/>
      <c r="C115" s="339" t="n"/>
      <c r="D115" s="8347" t="n"/>
      <c r="E115" s="8347" t="n"/>
      <c r="F115" s="8347" t="n"/>
      <c r="G115" s="8347" t="n"/>
      <c r="H115" s="232" t="n"/>
      <c r="I115" s="232" t="n"/>
    </row>
    <row r="116">
      <c r="A116" s="9977" t="inlineStr">
        <is>
          <t>TIPO DE TELEINTERCONSULTA DE URGENCIA</t>
        </is>
      </c>
      <c r="B116" s="8400" t="inlineStr">
        <is>
          <t xml:space="preserve"> TELEINTERCONSULTA MEDICA DE URGENCIA </t>
        </is>
      </c>
      <c r="C116" s="9584" t="n"/>
      <c r="D116" s="9584" t="n"/>
      <c r="E116" s="9582" t="n"/>
      <c r="F116" s="8400" t="inlineStr">
        <is>
          <t xml:space="preserve">TOTAL USUARIOS QUE SE INDICA TROMBOLISIS </t>
        </is>
      </c>
      <c r="G116" s="9584" t="n"/>
      <c r="H116" s="9584" t="n"/>
      <c r="I116" s="9582" t="n"/>
      <c r="K116" s="7672" t="n"/>
      <c r="L116" s="116" t="n"/>
    </row>
    <row r="117">
      <c r="A117" s="9614" t="n"/>
      <c r="B117" s="9977" t="inlineStr">
        <is>
          <t>Menores de 15 años</t>
        </is>
      </c>
      <c r="C117" s="9582" t="n"/>
      <c r="D117" s="9977" t="inlineStr">
        <is>
          <t>15 y más años</t>
        </is>
      </c>
      <c r="E117" s="9582" t="n"/>
      <c r="F117" s="9977" t="inlineStr">
        <is>
          <t>Menores de 15 años</t>
        </is>
      </c>
      <c r="G117" s="9582" t="n"/>
      <c r="H117" s="9977" t="inlineStr">
        <is>
          <t>15 y más años</t>
        </is>
      </c>
      <c r="I117" s="9582" t="n"/>
    </row>
    <row r="118">
      <c r="A118" s="9610" t="n"/>
      <c r="B118" s="4498" t="inlineStr">
        <is>
          <t>Hombres</t>
        </is>
      </c>
      <c r="C118" s="4497" t="inlineStr">
        <is>
          <t>Mujeres</t>
        </is>
      </c>
      <c r="D118" s="4496" t="inlineStr">
        <is>
          <t>Hombres</t>
        </is>
      </c>
      <c r="E118" s="4497" t="inlineStr">
        <is>
          <t>Mujeres</t>
        </is>
      </c>
      <c r="F118" s="4498" t="inlineStr">
        <is>
          <t>Hombres</t>
        </is>
      </c>
      <c r="G118" s="4497" t="inlineStr">
        <is>
          <t>Mujeres</t>
        </is>
      </c>
      <c r="H118" s="4496" t="inlineStr">
        <is>
          <t>Hombres</t>
        </is>
      </c>
      <c r="I118" s="4497" t="inlineStr">
        <is>
          <t>Mujeres</t>
        </is>
      </c>
    </row>
    <row r="119">
      <c r="A119" s="8053" t="inlineStr">
        <is>
          <t>Ataque cerebro vascular (ACV)</t>
        </is>
      </c>
      <c r="B119" s="1941" t="n"/>
      <c r="C119" s="890" t="n"/>
      <c r="D119" s="4236" t="n"/>
      <c r="E119" s="2337" t="n"/>
      <c r="F119" s="1941" t="n"/>
      <c r="G119" s="890" t="n"/>
      <c r="H119" s="4236" t="n"/>
      <c r="I119" s="2337" t="n"/>
    </row>
    <row r="120">
      <c r="A120" s="8369" t="inlineStr">
        <is>
          <t>Otras teleinterconsultas urgencia</t>
        </is>
      </c>
      <c r="B120" s="2644" t="n"/>
      <c r="C120" s="183" t="n"/>
      <c r="D120" s="4530" t="n"/>
      <c r="E120" s="183" t="n"/>
      <c r="F120" s="2935" t="n"/>
      <c r="G120" s="526" t="n"/>
      <c r="H120" s="4640" t="n"/>
      <c r="I120" s="526" t="n"/>
    </row>
    <row r="121" ht="17.1" customFormat="1" customHeight="1" s="5">
      <c r="A121" s="442" t="inlineStr">
        <is>
          <t xml:space="preserve">SECCIÓN J : ATENCIÓN REMOTA DE URGENCIA </t>
        </is>
      </c>
      <c r="B121" s="339" t="n"/>
      <c r="C121" s="339" t="n"/>
      <c r="D121" s="3" t="n"/>
      <c r="E121" s="3" t="n"/>
      <c r="F121" s="3" t="n"/>
      <c r="G121" s="3" t="n"/>
      <c r="H121" s="4" t="n"/>
      <c r="I121" s="4" t="n"/>
    </row>
    <row r="122" ht="24" customHeight="1" s="8286">
      <c r="A122" s="9977" t="inlineStr">
        <is>
          <t xml:space="preserve">ATENCIÓN REMOTA </t>
        </is>
      </c>
      <c r="B122" s="8400" t="inlineStr">
        <is>
          <t>TOTAL PRESTACIONES REALIZADAS</t>
        </is>
      </c>
      <c r="C122" s="9582" t="n"/>
      <c r="D122" s="9240" t="inlineStr">
        <is>
          <t>VIAS DE INGRESO A ESTRATEGIA</t>
        </is>
      </c>
      <c r="E122" s="9584" t="n"/>
      <c r="F122" s="9647" t="n"/>
      <c r="G122" s="8" t="n"/>
      <c r="H122" s="8" t="n"/>
      <c r="I122" s="8" t="n"/>
    </row>
    <row r="123">
      <c r="A123" s="9610" t="n"/>
      <c r="B123" s="4498" t="inlineStr">
        <is>
          <t>Hombres</t>
        </is>
      </c>
      <c r="C123" s="9254" t="inlineStr">
        <is>
          <t>Mujeres</t>
        </is>
      </c>
      <c r="D123" s="4498" t="inlineStr">
        <is>
          <t>UGCC</t>
        </is>
      </c>
      <c r="E123" s="4641" t="inlineStr">
        <is>
          <t xml:space="preserve">UPC </t>
        </is>
      </c>
      <c r="F123" s="9254" t="inlineStr">
        <is>
          <t>Red de Urgencia</t>
        </is>
      </c>
      <c r="G123" s="8" t="n"/>
      <c r="H123" s="8" t="n"/>
      <c r="I123" s="8" t="n"/>
    </row>
    <row r="124">
      <c r="A124" s="4244" t="inlineStr">
        <is>
          <t xml:space="preserve">Neonatología </t>
        </is>
      </c>
      <c r="B124" s="4236" t="n"/>
      <c r="C124" s="2581" t="n"/>
      <c r="D124" s="1935" t="n"/>
      <c r="E124" s="793" t="n"/>
      <c r="F124" s="36" t="n"/>
      <c r="G124" s="688" t="n"/>
      <c r="H124" s="8" t="n"/>
      <c r="I124" s="8" t="n"/>
    </row>
    <row r="125">
      <c r="A125" s="8369" t="inlineStr">
        <is>
          <t xml:space="preserve">Otras atenciones remotas de urgencia </t>
        </is>
      </c>
      <c r="B125" s="4530" t="n"/>
      <c r="C125" s="183" t="n"/>
      <c r="D125" s="2644" t="n"/>
      <c r="E125" s="155" t="n"/>
      <c r="F125" s="4479" t="n"/>
      <c r="G125" s="8" t="n"/>
      <c r="H125" s="8" t="n"/>
      <c r="I125" s="8" t="n"/>
    </row>
    <row r="138" hidden="1" s="8286">
      <c r="A138" s="282">
        <f>SUM(B15:E27,N15:Q27,B32:E40,N32:Q40,B48:E52,N48:U52,B57:E62,B69:G72,N57:Q62,B77:I77,B85:B85,B91:B92,B97:B98,B103:E103,B111:B114,B119:I120,B124:F125)</f>
        <v/>
      </c>
      <c r="B138">
        <f>SUM(CE12:CF68)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PUcE/Gu0TdG+T0n4OCU73A==" formatRows="1" sort="1" spinCount="100000" hashValue="qKJlALle/l/dwgcf3CwQuG9ijq8hbfAXnQFXd7LV6nVxaA/7bzVMwSMiILGF/AlFUle7zLr34WXHEVsJMnuI0A=="/>
  <mergeCells count="103">
    <mergeCell ref="B65:E65"/>
    <mergeCell ref="B74:E74"/>
    <mergeCell ref="A29:A31"/>
    <mergeCell ref="B108:B110"/>
    <mergeCell ref="C89:D89"/>
    <mergeCell ref="H55:I55"/>
    <mergeCell ref="B45:E45"/>
    <mergeCell ref="A6:Q6"/>
    <mergeCell ref="D13:E13"/>
    <mergeCell ref="N46:O46"/>
    <mergeCell ref="P46:Q46"/>
    <mergeCell ref="B100:E100"/>
    <mergeCell ref="B101:C101"/>
    <mergeCell ref="B94:B96"/>
    <mergeCell ref="F116:I116"/>
    <mergeCell ref="F29:I29"/>
    <mergeCell ref="B13:C13"/>
    <mergeCell ref="B12:E12"/>
    <mergeCell ref="F65:F67"/>
    <mergeCell ref="N12:Q12"/>
    <mergeCell ref="P13:Q13"/>
    <mergeCell ref="F13:G13"/>
    <mergeCell ref="H13:I13"/>
    <mergeCell ref="A108:A110"/>
    <mergeCell ref="J45:M45"/>
    <mergeCell ref="B55:C55"/>
    <mergeCell ref="B88:B90"/>
    <mergeCell ref="A12:A14"/>
    <mergeCell ref="C108:G108"/>
    <mergeCell ref="B66:C66"/>
    <mergeCell ref="D101:E101"/>
    <mergeCell ref="C109:D109"/>
    <mergeCell ref="H117:I117"/>
    <mergeCell ref="F30:G30"/>
    <mergeCell ref="B117:C117"/>
    <mergeCell ref="A7:Q7"/>
    <mergeCell ref="F54:I54"/>
    <mergeCell ref="D66:E66"/>
    <mergeCell ref="D75:E75"/>
    <mergeCell ref="L30:M30"/>
    <mergeCell ref="F75:G75"/>
    <mergeCell ref="A28:F28"/>
    <mergeCell ref="A88:A90"/>
    <mergeCell ref="A82:A84"/>
    <mergeCell ref="F46:G46"/>
    <mergeCell ref="H75:I75"/>
    <mergeCell ref="A54:A56"/>
    <mergeCell ref="N13:O13"/>
    <mergeCell ref="F45:I45"/>
    <mergeCell ref="E88:F89"/>
    <mergeCell ref="N30:O30"/>
    <mergeCell ref="R45:U45"/>
    <mergeCell ref="P30:Q30"/>
    <mergeCell ref="J46:K46"/>
    <mergeCell ref="A74:A76"/>
    <mergeCell ref="L46:M46"/>
    <mergeCell ref="B116:E116"/>
    <mergeCell ref="B29:E29"/>
    <mergeCell ref="N29:Q29"/>
    <mergeCell ref="C82:E83"/>
    <mergeCell ref="N55:O55"/>
    <mergeCell ref="P55:Q55"/>
    <mergeCell ref="A116:A118"/>
    <mergeCell ref="A100:A102"/>
    <mergeCell ref="J12:M12"/>
    <mergeCell ref="B122:C122"/>
    <mergeCell ref="D122:F122"/>
    <mergeCell ref="C94:D94"/>
    <mergeCell ref="B54:E54"/>
    <mergeCell ref="N54:Q54"/>
    <mergeCell ref="A45:A47"/>
    <mergeCell ref="C95:D95"/>
    <mergeCell ref="A122:A123"/>
    <mergeCell ref="F74:I74"/>
    <mergeCell ref="A65:A67"/>
    <mergeCell ref="D117:E117"/>
    <mergeCell ref="B30:C30"/>
    <mergeCell ref="D55:E55"/>
    <mergeCell ref="F117:G117"/>
    <mergeCell ref="D30:E30"/>
    <mergeCell ref="R46:S46"/>
    <mergeCell ref="G65:G67"/>
    <mergeCell ref="T46:U46"/>
    <mergeCell ref="H30:I30"/>
    <mergeCell ref="B75:C75"/>
    <mergeCell ref="B46:C46"/>
    <mergeCell ref="D46:E46"/>
    <mergeCell ref="C88:D88"/>
    <mergeCell ref="J13:K13"/>
    <mergeCell ref="L13:M13"/>
    <mergeCell ref="J30:K30"/>
    <mergeCell ref="N45:Q45"/>
    <mergeCell ref="F55:G55"/>
    <mergeCell ref="H46:I46"/>
    <mergeCell ref="J29:M29"/>
    <mergeCell ref="J55:K55"/>
    <mergeCell ref="L55:M55"/>
    <mergeCell ref="F12:I12"/>
    <mergeCell ref="A94:A96"/>
    <mergeCell ref="G109:G110"/>
    <mergeCell ref="B82:B84"/>
    <mergeCell ref="J54:M54"/>
    <mergeCell ref="E109:F109"/>
  </mergeCells>
  <dataValidations count="8">
    <dataValidation sqref="B33:C33 B35:C36 B38:C43 B49:E52 B58:E64 B67:E68 D33:E43" showDropDown="0" showInputMessage="1" showErrorMessage="1" allowBlank="0" errorTitle="Error de ingreso" error="Debe ingresar sólo números." type="whole">
      <formula1>0</formula1>
      <formula2>99999</formula2>
    </dataValidation>
    <dataValidation sqref="B78:I79 C85:E86 C91:F92 C97:D98 D16:E27 F58:Q63 F68:G68 H65:Q72" showDropDown="0" showInputMessage="1" showErrorMessage="1" allowBlank="0" errorTitle="Error de ingreso" error="Debe ingresar sólo números." type="whole" operator="greaterThanOrEqual">
      <formula1>0</formula1>
    </dataValidation>
    <dataValidation sqref="F65:G67" showDropDown="0" showInputMessage="1" showErrorMessage="1" allowBlank="0" errorTitle="Error de ingreso" error="Debe ingresar sólo números." operator="greaterThanOrEqual"/>
    <dataValidation sqref="B65:E65" showDropDown="0" showInputMessage="1" showErrorMessage="1" allowBlank="0" errorTitle="Error de ingreso" error="Debe ingresar sólo números."/>
    <dataValidation sqref="B15:Q15 B17:C17 B19:C20 B23:C27 B32:Q32 B48:U48" showDropDown="0" showInputMessage="1" showErrorMessage="1" allowBlank="0" type="whole" operator="greaterThanOrEqual">
      <formula1>0</formula1>
    </dataValidation>
    <dataValidation sqref="B16:C16 B18:C18 B21:C22 B34:C34 B37:C37 F16:Q27 F33:O34 F35:O36 F37:O43 P33:Q43" showDropDown="0" showInputMessage="1" showErrorMessage="1" allowBlank="0" type="whole">
      <formula1>0</formula1>
      <formula2>9.99999999999999E+40</formula2>
    </dataValidation>
    <dataValidation sqref="B104:E106 B119:I120 B124:F125 C111:G114 F49:U52" showDropDown="0" showInputMessage="1" showErrorMessage="1" allowBlank="0" type="whole">
      <formula1>0</formula1>
      <formula2>9.99999999999999E+38</formula2>
    </dataValidation>
    <dataValidation sqref="B69:G72" showDropDown="0" showInputMessage="1" showErrorMessage="1" allowBlank="0" type="whole">
      <formula1>0</formula1>
      <formula2>9.99999999999999E+42</formula2>
    </dataValidation>
  </dataValidations>
  <pageMargins left="0.7" right="0.7" top="0.75" bottom="0.75" header="0.3" footer="0.3"/>
  <pageSetup orientation="portrait" paperSize="9"/>
</worksheet>
</file>

<file path=xl/worksheets/sheet25.xml><?xml version="1.0" encoding="utf-8"?>
<worksheet xmlns="http://schemas.openxmlformats.org/spreadsheetml/2006/main">
  <sheetPr codeName="Hoja25">
    <outlinePr summaryBelow="1" summaryRight="1"/>
    <pageSetUpPr/>
  </sheetPr>
  <dimension ref="A1:CK144"/>
  <sheetViews>
    <sheetView showGridLines="0" zoomScaleNormal="100" workbookViewId="0">
      <selection activeCell="A1" sqref="A1"/>
    </sheetView>
  </sheetViews>
  <sheetFormatPr baseColWidth="10" defaultColWidth="11.42578125" defaultRowHeight="15"/>
  <cols>
    <col width="41.85546875" customWidth="1" style="8286" min="1" max="1"/>
    <col width="17.42578125" customWidth="1" style="8286" min="2" max="2"/>
    <col width="14.140625" customWidth="1" style="8286" min="3" max="3"/>
    <col width="11.140625" customWidth="1" style="8286" min="6" max="11"/>
    <col width="12.42578125" customWidth="1" style="8286" min="12" max="12"/>
    <col width="12.28515625" customWidth="1" style="8286" min="13" max="13"/>
    <col width="12.85546875" customWidth="1" style="8286" min="14" max="14"/>
    <col width="12.140625" customWidth="1" style="8286" min="15" max="15"/>
    <col width="12" customWidth="1" style="8286" min="16" max="16"/>
    <col width="13.7109375" customWidth="1" style="8286" min="17" max="17"/>
    <col width="12.42578125" customWidth="1" style="8286" min="18" max="18"/>
    <col width="11.140625" customWidth="1" style="8286" min="19" max="19"/>
    <col width="12.42578125" customWidth="1" style="8286" min="20" max="21"/>
    <col width="11" customWidth="1" style="8286" min="22" max="22"/>
    <col width="10.7109375" customWidth="1" style="8286" min="23" max="23"/>
    <col width="12.28515625" customWidth="1" style="8286" min="25" max="25"/>
    <col width="13.140625" customWidth="1" style="8286" min="26" max="26"/>
    <col width="10.28515625" customWidth="1" style="8286" min="27" max="27"/>
    <col width="12.140625" customWidth="1" style="8286" min="28" max="28"/>
    <col width="12.42578125" customWidth="1" style="8286" min="29" max="29"/>
    <col width="12" customWidth="1" style="8286" min="30" max="30"/>
    <col width="12.7109375" customWidth="1" style="8286" min="31" max="31"/>
    <col width="11" customWidth="1" style="8286" min="32" max="32"/>
    <col width="11.7109375" customWidth="1" style="8286" min="33" max="34"/>
    <col width="10.42578125" customWidth="1" style="8286" min="35" max="35"/>
    <col width="11.85546875" customWidth="1" style="8286" min="36" max="36"/>
    <col width="10.85546875" customWidth="1" style="8286" min="38" max="38"/>
    <col width="11.7109375" customWidth="1" style="8286" min="40" max="40"/>
    <col width="13.5703125" customWidth="1" style="8286" min="44" max="44"/>
    <col width="14.42578125" customWidth="1" style="8286" min="45" max="45"/>
    <col hidden="1" width="11.42578125" customWidth="1" style="252" min="79" max="84"/>
    <col hidden="1" width="11.42578125" customWidth="1" style="8286" min="85" max="85"/>
    <col hidden="1" width="11.42578125" customWidth="1" style="221" min="86" max="88"/>
    <col hidden="1" width="11.42578125" customWidth="1" style="8286" min="89" max="89"/>
    <col width="11.42578125" customWidth="1" style="8286" min="90" max="90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25">
        <f>CONCATENATE("AÑO: ",NOMBRE!B7)</f>
        <v/>
      </c>
    </row>
    <row r="6" ht="18" customHeight="1" s="8286">
      <c r="A6" s="7256" t="inlineStr">
        <is>
          <t>REM-31.  MEDICINA COMPLEMENTARIA Y PRÁCTICAS DE BIENESTAR DE LA SALUD</t>
        </is>
      </c>
    </row>
    <row r="7"/>
    <row r="8" ht="17.1" customFormat="1" customHeight="1" s="20">
      <c r="A8" s="10606" t="inlineStr">
        <is>
          <t>SECCIÓN A: TIPOS DE MEDICINA COMPLEMENTARIA Y PRÁCTICAS DE BIENESTAR DE LA SALUD ENTREGADAS EN ATENCIÓN INDIVIDUAL</t>
        </is>
      </c>
      <c r="B8" s="9591" t="n"/>
      <c r="C8" s="9591" t="n"/>
      <c r="D8" s="9591" t="n"/>
      <c r="E8" s="9591" t="n"/>
      <c r="F8" s="9591" t="n"/>
      <c r="G8" s="9591" t="n"/>
      <c r="H8" s="9591" t="n"/>
      <c r="I8" s="9591" t="n"/>
      <c r="J8" s="9591" t="n"/>
      <c r="K8" s="26" t="n"/>
    </row>
    <row r="9" ht="20.1" customHeight="1" s="8286">
      <c r="A9" s="10607" t="inlineStr">
        <is>
          <t>TIPO DE MEDICINA COMPLEMENTARIA O PRÁCTICA DE BIENESTAR DE LA SALUD</t>
        </is>
      </c>
      <c r="B9" s="9630" t="n"/>
      <c r="C9" s="10607" t="inlineStr">
        <is>
          <t>TOTAL</t>
        </is>
      </c>
      <c r="D9" s="9602" t="n"/>
      <c r="E9" s="9630" t="n"/>
      <c r="F9" s="10608" t="inlineStr">
        <is>
          <t>RANGO ETARIO Y SEXO</t>
        </is>
      </c>
      <c r="G9" s="9584" t="n"/>
      <c r="H9" s="9584" t="n"/>
      <c r="I9" s="9584" t="n"/>
      <c r="J9" s="9584" t="n"/>
      <c r="K9" s="9584" t="n"/>
      <c r="L9" s="9584" t="n"/>
      <c r="M9" s="9584" t="n"/>
      <c r="N9" s="9584" t="n"/>
      <c r="O9" s="9584" t="n"/>
      <c r="P9" s="9584" t="n"/>
      <c r="Q9" s="9584" t="n"/>
      <c r="R9" s="9584" t="n"/>
      <c r="S9" s="9584" t="n"/>
      <c r="T9" s="9584" t="n"/>
      <c r="U9" s="9584" t="n"/>
      <c r="V9" s="9584" t="n"/>
      <c r="W9" s="9584" t="n"/>
      <c r="X9" s="9584" t="n"/>
      <c r="Y9" s="9584" t="n"/>
      <c r="Z9" s="9584" t="n"/>
      <c r="AA9" s="9584" t="n"/>
      <c r="AB9" s="9584" t="n"/>
      <c r="AC9" s="9584" t="n"/>
      <c r="AD9" s="9584" t="n"/>
      <c r="AE9" s="9584" t="n"/>
      <c r="AF9" s="9584" t="n"/>
      <c r="AG9" s="9584" t="n"/>
      <c r="AH9" s="9584" t="n"/>
      <c r="AI9" s="9584" t="n"/>
      <c r="AJ9" s="9584" t="n"/>
      <c r="AK9" s="9584" t="n"/>
      <c r="AL9" s="9584" t="n"/>
      <c r="AM9" s="9873" t="n"/>
      <c r="AN9" s="10609" t="inlineStr">
        <is>
          <t>Atenciones realizadas durante otras consultas</t>
        </is>
      </c>
      <c r="AO9" s="10610" t="inlineStr">
        <is>
          <t>Beneficiarios</t>
        </is>
      </c>
      <c r="AP9" s="10610" t="inlineStr">
        <is>
          <t>Pueblos Originarios</t>
        </is>
      </c>
      <c r="AQ9" s="10610" t="inlineStr">
        <is>
          <t>Migrantes</t>
        </is>
      </c>
      <c r="AR9" s="9693" t="inlineStr">
        <is>
          <t>SENAME/ Servicio Nacional de Reinserción social Juvenil</t>
        </is>
      </c>
      <c r="AS9" s="10611" t="inlineStr">
        <is>
          <t>Ingresos a Medicina Complementaria</t>
        </is>
      </c>
      <c r="AT9" s="10612" t="inlineStr">
        <is>
          <t>Controles</t>
        </is>
      </c>
      <c r="AU9" s="10613" t="inlineStr">
        <is>
          <t>Pacientes</t>
        </is>
      </c>
      <c r="AV9" s="10612" t="inlineStr">
        <is>
          <t>Familiares / Cuidadores de los Pacientes</t>
        </is>
      </c>
      <c r="AW9" s="10614" t="inlineStr">
        <is>
          <t>Funcionarios</t>
        </is>
      </c>
    </row>
    <row r="10" ht="18" customHeight="1" s="8286">
      <c r="B10" s="9718" t="n"/>
      <c r="C10" s="9697" t="n"/>
      <c r="D10" s="9697" t="n"/>
      <c r="E10" s="9639" t="n"/>
      <c r="F10" s="10326" t="inlineStr">
        <is>
          <t xml:space="preserve"> 0  -  4 años</t>
        </is>
      </c>
      <c r="G10" s="9582" t="n"/>
      <c r="H10" s="10311" t="inlineStr">
        <is>
          <t xml:space="preserve"> 5  -  9 años</t>
        </is>
      </c>
      <c r="I10" s="9582" t="n"/>
      <c r="J10" s="10311" t="inlineStr">
        <is>
          <t xml:space="preserve"> 10 - 14  años</t>
        </is>
      </c>
      <c r="K10" s="9582" t="n"/>
      <c r="L10" s="10326" t="inlineStr">
        <is>
          <t>15 - 19 años</t>
        </is>
      </c>
      <c r="M10" s="9582" t="n"/>
      <c r="N10" s="10339" t="inlineStr">
        <is>
          <t>20 - 24 años</t>
        </is>
      </c>
      <c r="O10" s="9582" t="n"/>
      <c r="P10" s="10339" t="inlineStr">
        <is>
          <t>25 - 29 años</t>
        </is>
      </c>
      <c r="Q10" s="9582" t="n"/>
      <c r="R10" s="10339" t="inlineStr">
        <is>
          <t>30 - 34 años</t>
        </is>
      </c>
      <c r="S10" s="9582" t="n"/>
      <c r="T10" s="10339" t="inlineStr">
        <is>
          <t>35 - 39 años</t>
        </is>
      </c>
      <c r="U10" s="9582" t="n"/>
      <c r="V10" s="10339" t="inlineStr">
        <is>
          <t>40 - 44 años</t>
        </is>
      </c>
      <c r="W10" s="9582" t="n"/>
      <c r="X10" s="10339" t="inlineStr">
        <is>
          <t>45 - 49 años</t>
        </is>
      </c>
      <c r="Y10" s="9582" t="n"/>
      <c r="Z10" s="10339" t="inlineStr">
        <is>
          <t>50 - 54 años</t>
        </is>
      </c>
      <c r="AA10" s="9582" t="n"/>
      <c r="AB10" s="10339" t="inlineStr">
        <is>
          <t>55 - 59 años</t>
        </is>
      </c>
      <c r="AC10" s="9582" t="n"/>
      <c r="AD10" s="10339" t="inlineStr">
        <is>
          <t>60 - 64 años</t>
        </is>
      </c>
      <c r="AE10" s="9582" t="n"/>
      <c r="AF10" s="10339" t="inlineStr">
        <is>
          <t>65 - 69 años</t>
        </is>
      </c>
      <c r="AG10" s="9582" t="n"/>
      <c r="AH10" s="10339" t="inlineStr">
        <is>
          <t>70 - 74 años</t>
        </is>
      </c>
      <c r="AI10" s="9582" t="n"/>
      <c r="AJ10" s="10339" t="inlineStr">
        <is>
          <t>75 - 79 años</t>
        </is>
      </c>
      <c r="AK10" s="9582" t="n"/>
      <c r="AL10" s="10615" t="inlineStr">
        <is>
          <t>80 y mas años</t>
        </is>
      </c>
      <c r="AM10" s="9873" t="n"/>
      <c r="AN10" s="9687" t="n"/>
      <c r="AO10" s="10159" t="n"/>
      <c r="AP10" s="10159" t="n"/>
      <c r="AQ10" s="10159" t="n"/>
      <c r="AR10" s="10027" t="n"/>
      <c r="AS10" s="9978" t="n"/>
      <c r="AT10" s="9614" t="n"/>
      <c r="AV10" s="9614" t="n"/>
      <c r="AW10" s="9625" t="n"/>
    </row>
    <row r="11" ht="18" customHeight="1" s="8286">
      <c r="A11" s="9697" t="n"/>
      <c r="B11" s="9639" t="n"/>
      <c r="C11" s="4648" t="inlineStr">
        <is>
          <t>Ambos Sexos</t>
        </is>
      </c>
      <c r="D11" s="4649" t="inlineStr">
        <is>
          <t>Hombres</t>
        </is>
      </c>
      <c r="E11" s="9152" t="inlineStr">
        <is>
          <t>Mujeres</t>
        </is>
      </c>
      <c r="F11" s="4650" t="inlineStr">
        <is>
          <t>Hombres</t>
        </is>
      </c>
      <c r="G11" s="9321" t="inlineStr">
        <is>
          <t>Mujeres</t>
        </is>
      </c>
      <c r="H11" s="4651" t="inlineStr">
        <is>
          <t>Hombres</t>
        </is>
      </c>
      <c r="I11" s="9321" t="inlineStr">
        <is>
          <t>Mujeres</t>
        </is>
      </c>
      <c r="J11" s="4651" t="inlineStr">
        <is>
          <t>Hombres</t>
        </is>
      </c>
      <c r="K11" s="9321" t="inlineStr">
        <is>
          <t>Mujeres</t>
        </is>
      </c>
      <c r="L11" s="4650" t="inlineStr">
        <is>
          <t>Hombres</t>
        </is>
      </c>
      <c r="M11" s="9321" t="inlineStr">
        <is>
          <t>Mujeres</t>
        </is>
      </c>
      <c r="N11" s="4650" t="inlineStr">
        <is>
          <t>Hombres</t>
        </is>
      </c>
      <c r="O11" s="9321" t="inlineStr">
        <is>
          <t>Mujeres</t>
        </is>
      </c>
      <c r="P11" s="4650" t="inlineStr">
        <is>
          <t>Hombres</t>
        </is>
      </c>
      <c r="Q11" s="9321" t="inlineStr">
        <is>
          <t>Mujeres</t>
        </is>
      </c>
      <c r="R11" s="4650" t="inlineStr">
        <is>
          <t>Hombres</t>
        </is>
      </c>
      <c r="S11" s="9321" t="inlineStr">
        <is>
          <t>Mujeres</t>
        </is>
      </c>
      <c r="T11" s="4650" t="inlineStr">
        <is>
          <t>Hombres</t>
        </is>
      </c>
      <c r="U11" s="9321" t="inlineStr">
        <is>
          <t>Mujeres</t>
        </is>
      </c>
      <c r="V11" s="4650" t="inlineStr">
        <is>
          <t>Hombres</t>
        </is>
      </c>
      <c r="W11" s="9321" t="inlineStr">
        <is>
          <t>Mujeres</t>
        </is>
      </c>
      <c r="X11" s="4650" t="inlineStr">
        <is>
          <t>Hombres</t>
        </is>
      </c>
      <c r="Y11" s="9321" t="inlineStr">
        <is>
          <t>Mujeres</t>
        </is>
      </c>
      <c r="Z11" s="4650" t="inlineStr">
        <is>
          <t>Hombres</t>
        </is>
      </c>
      <c r="AA11" s="9321" t="inlineStr">
        <is>
          <t>Mujeres</t>
        </is>
      </c>
      <c r="AB11" s="4650" t="inlineStr">
        <is>
          <t>Hombres</t>
        </is>
      </c>
      <c r="AC11" s="9321" t="inlineStr">
        <is>
          <t>Mujeres</t>
        </is>
      </c>
      <c r="AD11" s="4650" t="inlineStr">
        <is>
          <t>Hombres</t>
        </is>
      </c>
      <c r="AE11" s="9321" t="inlineStr">
        <is>
          <t>Mujeres</t>
        </is>
      </c>
      <c r="AF11" s="4650" t="inlineStr">
        <is>
          <t>Hombres</t>
        </is>
      </c>
      <c r="AG11" s="9321" t="inlineStr">
        <is>
          <t>Mujeres</t>
        </is>
      </c>
      <c r="AH11" s="4650" t="inlineStr">
        <is>
          <t>Hombres</t>
        </is>
      </c>
      <c r="AI11" s="9321" t="inlineStr">
        <is>
          <t>Mujeres</t>
        </is>
      </c>
      <c r="AJ11" s="4650" t="inlineStr">
        <is>
          <t>Hombres</t>
        </is>
      </c>
      <c r="AK11" s="9321" t="inlineStr">
        <is>
          <t>Mujeres</t>
        </is>
      </c>
      <c r="AL11" s="4650" t="inlineStr">
        <is>
          <t>Hombres</t>
        </is>
      </c>
      <c r="AM11" s="9350" t="inlineStr">
        <is>
          <t>Mujeres</t>
        </is>
      </c>
      <c r="AN11" s="9688" t="n"/>
      <c r="AO11" s="9605" t="n"/>
      <c r="AP11" s="9605" t="n"/>
      <c r="AQ11" s="9605" t="n"/>
      <c r="AR11" s="10028" t="n"/>
      <c r="AS11" s="9890" t="n"/>
      <c r="AT11" s="9610" t="n"/>
      <c r="AU11" s="9591" t="n"/>
      <c r="AV11" s="9610" t="n"/>
      <c r="AW11" s="9641" t="n"/>
    </row>
    <row r="12" ht="15" customFormat="1" customHeight="1" s="17">
      <c r="A12" s="10616" t="inlineStr">
        <is>
          <t>Reguladas</t>
        </is>
      </c>
      <c r="B12" s="4654" t="inlineStr">
        <is>
          <t>Acupuntura</t>
        </is>
      </c>
      <c r="C12" s="4511">
        <f>+D12+E12</f>
        <v/>
      </c>
      <c r="D12" s="4510">
        <f>+F12+H12+J12+L12+N12+P12+R12+T12+V12+X12+Z12+AB12+AD12+AF12+AH12+AJ12+AL12</f>
        <v/>
      </c>
      <c r="E12" s="4613">
        <f>+G12+I12+K12+M12+O12+Q12+S12+U12+W12+Y12+AA12+AC12+AE12+AG12+AI12+AK12+AM12</f>
        <v/>
      </c>
      <c r="F12" s="645" t="n"/>
      <c r="G12" s="3933" t="n"/>
      <c r="H12" s="204" t="n"/>
      <c r="I12" s="3933" t="n"/>
      <c r="J12" s="204" t="n"/>
      <c r="K12" s="3933" t="n"/>
      <c r="L12" s="204" t="n"/>
      <c r="M12" s="3933" t="n"/>
      <c r="N12" s="204" t="n"/>
      <c r="O12" s="3933" t="n"/>
      <c r="P12" s="204" t="n"/>
      <c r="Q12" s="3933" t="n"/>
      <c r="R12" s="204" t="n"/>
      <c r="S12" s="3933" t="n"/>
      <c r="T12" s="204" t="n"/>
      <c r="U12" s="3933" t="n"/>
      <c r="V12" s="204" t="n"/>
      <c r="W12" s="3933" t="n"/>
      <c r="X12" s="204" t="n"/>
      <c r="Y12" s="3933" t="n"/>
      <c r="Z12" s="204" t="n"/>
      <c r="AA12" s="3933" t="n"/>
      <c r="AB12" s="204" t="n"/>
      <c r="AC12" s="3933" t="n"/>
      <c r="AD12" s="204" t="n"/>
      <c r="AE12" s="3933" t="n"/>
      <c r="AF12" s="204" t="n"/>
      <c r="AG12" s="3933" t="n"/>
      <c r="AH12" s="204" t="n"/>
      <c r="AI12" s="3933" t="n"/>
      <c r="AJ12" s="204" t="n"/>
      <c r="AK12" s="3933" t="n"/>
      <c r="AL12" s="204" t="n"/>
      <c r="AM12" s="3912" t="n"/>
      <c r="AN12" s="454" t="n"/>
      <c r="AO12" s="4655" t="n"/>
      <c r="AP12" s="145" t="n"/>
      <c r="AQ12" s="145" t="n"/>
      <c r="AR12" s="4656" t="n"/>
      <c r="AS12" s="5247" t="n"/>
      <c r="AT12" s="5353" t="n"/>
      <c r="AU12" s="37" t="n"/>
      <c r="AV12" s="670" t="n"/>
      <c r="AW12" s="2057" t="n"/>
      <c r="AX12" s="17">
        <f>CA12&amp;CB12&amp;CC12&amp;CD12&amp;CE12&amp;CF12</f>
        <v/>
      </c>
      <c r="CA12" s="51">
        <f>IF(AND(C12&gt;0,AO12="")," * No olvide digitar la variable Beneficiarios. Digite Cero si no tiene.",IF(AO12&gt;C12,"  *La variable Beneficiarios No puede ser mayor al Total Ambos Sexos.",""))</f>
        <v/>
      </c>
      <c r="CB12" s="51">
        <f>IF(AND(C12&gt;0,AP12="")," * No olvide digitar la variable Pueblos originarios. Digite Cero si no tiene.",IF(AP12&gt;C12,"  * La variable pueblos originarios No puede ser mayor al Total Ambos Sexos.",""))</f>
        <v/>
      </c>
      <c r="CC12" s="51">
        <f>IF(AND(C12&gt;0,AQ12="")," * No olvide digitar la variable Migrantes. Digite Cero si no tiene.",IF(AQ12&gt;C12,"  * La variable Migrantes No puede ser mayor al Total Ambos Sexos.",""))</f>
        <v/>
      </c>
      <c r="CD12" s="51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/>
      </c>
      <c r="CI12" s="52">
        <f>IF(AND(C12&gt;0,AP12=""),1,IF(AP12&gt;C12,1,0))</f>
        <v/>
      </c>
      <c r="CJ12" s="52">
        <f>IF(AND(C12&gt;0,AQ12=""),1,IF(AQ12&gt;C12,1,0))</f>
        <v/>
      </c>
      <c r="CK12" s="52">
        <f>IF(AND(C12&gt;0,AR12=""),1,IF(AR12&gt;C12,1,0))</f>
        <v/>
      </c>
    </row>
    <row r="13" ht="15" customFormat="1" customHeight="1" s="17">
      <c r="A13" s="9625" t="n"/>
      <c r="B13" s="3952" t="inlineStr">
        <is>
          <t>Homeopatía</t>
        </is>
      </c>
      <c r="C13" s="1485">
        <f>+D13+E13</f>
        <v/>
      </c>
      <c r="D13" s="4519">
        <f>+F13+H13+J13+L13+N13+P13+R13+T13+V13+X13+Z13+AB13+AD13+AF13+AH13+AJ13+AL13</f>
        <v/>
      </c>
      <c r="E13" s="4158">
        <f>+G13+I13+K13+M13+O13+Q13+S13+U13+W13+Y13+AA13+AC13+AE13+AG13+AI13+AK13+AM13</f>
        <v/>
      </c>
      <c r="F13" s="1179" t="n"/>
      <c r="G13" s="1183" t="n"/>
      <c r="H13" s="1181" t="n"/>
      <c r="I13" s="1183" t="n"/>
      <c r="J13" s="1181" t="n"/>
      <c r="K13" s="1183" t="n"/>
      <c r="L13" s="1181" t="n"/>
      <c r="M13" s="1183" t="n"/>
      <c r="N13" s="1181" t="n"/>
      <c r="O13" s="1183" t="n"/>
      <c r="P13" s="1181" t="n"/>
      <c r="Q13" s="1183" t="n"/>
      <c r="R13" s="1181" t="n"/>
      <c r="S13" s="1183" t="n"/>
      <c r="T13" s="1181" t="n"/>
      <c r="U13" s="1183" t="n"/>
      <c r="V13" s="1181" t="n"/>
      <c r="W13" s="1183" t="n"/>
      <c r="X13" s="1181" t="n"/>
      <c r="Y13" s="1183" t="n"/>
      <c r="Z13" s="1181" t="n"/>
      <c r="AA13" s="1183" t="n"/>
      <c r="AB13" s="1181" t="n"/>
      <c r="AC13" s="1183" t="n"/>
      <c r="AD13" s="1181" t="n"/>
      <c r="AE13" s="1183" t="n"/>
      <c r="AF13" s="1181" t="n"/>
      <c r="AG13" s="1183" t="n"/>
      <c r="AH13" s="1181" t="n"/>
      <c r="AI13" s="1183" t="n"/>
      <c r="AJ13" s="1181" t="n"/>
      <c r="AK13" s="1183" t="n"/>
      <c r="AL13" s="1181" t="n"/>
      <c r="AM13" s="1182" t="n"/>
      <c r="AN13" s="1320" t="n"/>
      <c r="AO13" s="1228" t="n"/>
      <c r="AP13" s="1228" t="n"/>
      <c r="AQ13" s="1228" t="n"/>
      <c r="AR13" s="35" t="n"/>
      <c r="AS13" s="5248" t="n"/>
      <c r="AT13" s="5485" t="n"/>
      <c r="AU13" s="35" t="n"/>
      <c r="AV13" s="5485" t="n"/>
      <c r="AW13" s="1180" t="n"/>
      <c r="AX13" s="17">
        <f>CA13&amp;CB13&amp;CC13&amp;CD13&amp;CE13&amp;CF13</f>
        <v/>
      </c>
      <c r="CA13" s="51">
        <f>IF(AND(C13&gt;0,AO13="")," * No olvide digitar la variable Beneficiarios. Digite Cero si no tiene.",IF(AO13&gt;C13,"  *La variable Beneficiarios No puede ser mayor al Total Ambos Sexos.",""))</f>
        <v/>
      </c>
      <c r="CB13" s="51">
        <f>IF(AND(C13&gt;0,AP13="")," * No olvide digitar la variable Pueblos originarios. Digite Cero si no tiene.",IF(AP13&gt;C13,"  * La variable pueblos originarios No puede ser mayor al Total Ambos Sexos.",""))</f>
        <v/>
      </c>
      <c r="CC13" s="51">
        <f>IF(AND(C13&gt;0,AQ13="")," * No olvide digitar la variable Migrantes. Digite Cero si no tiene.",IF(AQ13&gt;C13,"  * La variable Migrantes No puede ser mayor al Total Ambos Sexos.",""))</f>
        <v/>
      </c>
      <c r="CD13" s="51">
        <f>IF(AND(C13&gt;0,AR13="")," * No olvide digitar la variable "&amp;AR$9&amp;""&amp;". Digite Cero si no tiene.",IF(AR13&gt;C13,"  * La variable "&amp;AR$9&amp;""&amp;" No puede ser mayor al Total Ambos Sexos.",""))</f>
        <v/>
      </c>
      <c r="CH13" s="52">
        <f>IF(AND(C13&gt;0,AO13=""),1,IF(AO13&gt;C13,1,0))</f>
        <v/>
      </c>
      <c r="CI13" s="52">
        <f>IF(AND(C13&gt;0,AP13=""),1,IF(AP13&gt;C13,1,0))</f>
        <v/>
      </c>
      <c r="CJ13" s="52">
        <f>IF(AND(C13&gt;0,AQ13=""),1,IF(AQ13&gt;C13,1,0))</f>
        <v/>
      </c>
      <c r="CK13" s="52">
        <f>IF(AND(C13&gt;0,AR13=""),1,IF(AR13&gt;C13,1,0))</f>
        <v/>
      </c>
    </row>
    <row r="14" ht="15" customFormat="1" customHeight="1" s="17">
      <c r="A14" s="9641" t="n"/>
      <c r="B14" s="3953" t="inlineStr">
        <is>
          <t>Naturopatía</t>
        </is>
      </c>
      <c r="C14" s="4280">
        <f>+D14+E14</f>
        <v/>
      </c>
      <c r="D14" s="4506">
        <f>+F14+H14+J14+L14+N14+P14+R14+T14+V14+X14+Z14+AB14+AD14+AF14+AH14+AJ14+AL14</f>
        <v/>
      </c>
      <c r="E14" s="7764">
        <f>+G14+I14+K14+M14+O14+Q14+S14+U14+W14+Y14+AA14+AC14+AE14+AG14+AI14+AK14+AM14</f>
        <v/>
      </c>
      <c r="F14" s="3808" t="n"/>
      <c r="G14" s="3601" t="n"/>
      <c r="H14" s="3818" t="n"/>
      <c r="I14" s="3601" t="n"/>
      <c r="J14" s="3818" t="n"/>
      <c r="K14" s="3601" t="n"/>
      <c r="L14" s="3818" t="n"/>
      <c r="M14" s="3601" t="n"/>
      <c r="N14" s="3818" t="n"/>
      <c r="O14" s="3601" t="n"/>
      <c r="P14" s="3818" t="n"/>
      <c r="Q14" s="3601" t="n"/>
      <c r="R14" s="3818" t="n"/>
      <c r="S14" s="3601" t="n"/>
      <c r="T14" s="3818" t="n"/>
      <c r="U14" s="3601" t="n"/>
      <c r="V14" s="3818" t="n"/>
      <c r="W14" s="3601" t="n"/>
      <c r="X14" s="3818" t="n"/>
      <c r="Y14" s="3601" t="n"/>
      <c r="Z14" s="3818" t="n"/>
      <c r="AA14" s="3601" t="n"/>
      <c r="AB14" s="3818" t="n"/>
      <c r="AC14" s="3601" t="n"/>
      <c r="AD14" s="3818" t="n"/>
      <c r="AE14" s="3601" t="n"/>
      <c r="AF14" s="3818" t="n"/>
      <c r="AG14" s="3601" t="n"/>
      <c r="AH14" s="3818" t="n"/>
      <c r="AI14" s="3601" t="n"/>
      <c r="AJ14" s="3818" t="n"/>
      <c r="AK14" s="3601" t="n"/>
      <c r="AL14" s="3818" t="n"/>
      <c r="AM14" s="3819" t="n"/>
      <c r="AN14" s="4045" t="n"/>
      <c r="AO14" s="3599" t="n"/>
      <c r="AP14" s="3599" t="n"/>
      <c r="AQ14" s="3599" t="n"/>
      <c r="AR14" s="1227" t="n"/>
      <c r="AS14" s="5249" t="n"/>
      <c r="AT14" s="3896" t="n"/>
      <c r="AU14" s="1227" t="n"/>
      <c r="AV14" s="3896" t="n"/>
      <c r="AW14" s="1192" t="n"/>
      <c r="AX14" s="17">
        <f>CA14&amp;CB14&amp;CC14&amp;CD14&amp;CE14&amp;CF14</f>
        <v/>
      </c>
      <c r="CA14" s="51">
        <f>IF(AND(C14&gt;0,AO14="")," * No olvide digitar la variable Beneficiarios. Digite Cero si no tiene.",IF(AO14&gt;C14,"  *La variable Beneficiarios No puede ser mayor al Total Ambos Sexos.",""))</f>
        <v/>
      </c>
      <c r="CB14" s="51">
        <f>IF(AND(C14&gt;0,AP14="")," * No olvide digitar la variable Pueblos originarios. Digite Cero si no tiene.",IF(AP14&gt;C14,"  * La variable pueblos originarios No puede ser mayor al Total Ambos Sexos.",""))</f>
        <v/>
      </c>
      <c r="CC14" s="51">
        <f>IF(AND(C14&gt;0,AQ14="")," * No olvide digitar la variable Migrantes. Digite Cero si no tiene.",IF(AQ14&gt;C14,"  * La variable Migrantes No puede ser mayor al Total Ambos Sexos.",""))</f>
        <v/>
      </c>
      <c r="CD14" s="51">
        <f>IF(AND(C14&gt;0,AR14="")," * No olvide digitar la variable "&amp;AR$9&amp;""&amp;". Digite Cero si no tiene.",IF(AR14&gt;C14,"  * La variable "&amp;AR$9&amp;""&amp;" No puede ser mayor al Total Ambos Sexos.",""))</f>
        <v/>
      </c>
      <c r="CH14" s="52">
        <f>IF(AND(C14&gt;0,AO14=""),1,IF(AO14&gt;C14,1,0))</f>
        <v/>
      </c>
      <c r="CI14" s="52">
        <f>IF(AND(C14&gt;0,AP14=""),1,IF(AP14&gt;C14,1,0))</f>
        <v/>
      </c>
      <c r="CJ14" s="52">
        <f>IF(AND(C14&gt;0,AQ14=""),1,IF(AQ14&gt;C14,1,0))</f>
        <v/>
      </c>
      <c r="CK14" s="52">
        <f>IF(AND(C14&gt;0,AR14=""),1,IF(AR14&gt;C14,1,0))</f>
        <v/>
      </c>
    </row>
    <row r="15" ht="15" customFormat="1" customHeight="1" s="17">
      <c r="A15" s="9330" t="inlineStr">
        <is>
          <t>No reguladas</t>
        </is>
      </c>
      <c r="B15" s="9230" t="inlineStr">
        <is>
          <t>Apiterapia</t>
        </is>
      </c>
      <c r="C15" s="4657">
        <f>+D15+E15</f>
        <v/>
      </c>
      <c r="D15" s="4658">
        <f>+F15+H15+J15+L15+N15+P15+R15+T15+V15+X15+Z15+AB15+AD15+AF15+AH15+AJ15+AL15</f>
        <v/>
      </c>
      <c r="E15" s="4659">
        <f>+G15+I15+K15+M15+O15+Q15+S15+U15+W15+Y15+AA15+AC15+AE15+AG15+AI15+AK15+AM15</f>
        <v/>
      </c>
      <c r="F15" s="1935" t="n"/>
      <c r="G15" s="755" t="n"/>
      <c r="H15" s="1432" t="n"/>
      <c r="I15" s="755" t="n"/>
      <c r="J15" s="1432" t="n"/>
      <c r="K15" s="3805" t="n"/>
      <c r="L15" s="1432" t="n"/>
      <c r="M15" s="3805" t="n"/>
      <c r="N15" s="1432" t="n"/>
      <c r="O15" s="3805" t="n"/>
      <c r="P15" s="1432" t="n"/>
      <c r="Q15" s="3805" t="n"/>
      <c r="R15" s="1432" t="n"/>
      <c r="S15" s="3805" t="n"/>
      <c r="T15" s="1432" t="n"/>
      <c r="U15" s="3805" t="n"/>
      <c r="V15" s="1432" t="n"/>
      <c r="W15" s="3805" t="n"/>
      <c r="X15" s="1432" t="n"/>
      <c r="Y15" s="3805" t="n"/>
      <c r="Z15" s="1432" t="n"/>
      <c r="AA15" s="3805" t="n"/>
      <c r="AB15" s="1432" t="n"/>
      <c r="AC15" s="3805" t="n"/>
      <c r="AD15" s="1432" t="n"/>
      <c r="AE15" s="3805" t="n"/>
      <c r="AF15" s="1432" t="n"/>
      <c r="AG15" s="3805" t="n"/>
      <c r="AH15" s="1432" t="n"/>
      <c r="AI15" s="3805" t="n"/>
      <c r="AJ15" s="1432" t="n"/>
      <c r="AK15" s="3805" t="n"/>
      <c r="AL15" s="1432" t="n"/>
      <c r="AM15" s="36" t="n"/>
      <c r="AN15" s="3918" t="n"/>
      <c r="AO15" s="793" t="n"/>
      <c r="AP15" s="793" t="n"/>
      <c r="AQ15" s="793" t="n"/>
      <c r="AR15" s="36" t="n"/>
      <c r="AS15" s="5484" t="n"/>
      <c r="AT15" s="5486" t="n"/>
      <c r="AU15" s="36" t="n"/>
      <c r="AV15" s="5486" t="n"/>
      <c r="AW15" s="3805" t="n"/>
      <c r="AX15" s="17">
        <f>CA15&amp;CB15&amp;CC15&amp;CD15&amp;CE15&amp;CF15</f>
        <v/>
      </c>
      <c r="CA15" s="51">
        <f>IF(AND(C15&gt;0,AO15="")," * No olvide digitar la variable Beneficiarios. Digite Cero si no tiene.",IF(AO15&gt;C15,"  *La variable Beneficiarios No puede ser mayor al Total Ambos Sexos.",""))</f>
        <v/>
      </c>
      <c r="CB15" s="51">
        <f>IF(AND(C15&gt;0,AP15="")," * No olvide digitar la variable Pueblos originarios. Digite Cero si no tiene.",IF(AP15&gt;C15,"  * La variable pueblos originarios No puede ser mayor al Total Ambos Sexos.",""))</f>
        <v/>
      </c>
      <c r="CC15" s="51">
        <f>IF(AND(C15&gt;0,AQ15="")," * No olvide digitar la variable Migrantes. Digite Cero si no tiene.",IF(AQ15&gt;C15,"  * La variable Migrantes No puede ser mayor al Total Ambos Sexos.",""))</f>
        <v/>
      </c>
      <c r="CD15" s="51">
        <f>IF(AND(C15&gt;0,AR15="")," * No olvide digitar la variable "&amp;AR$9&amp;""&amp;". Digite Cero si no tiene.",IF(AR15&gt;C15,"  * La variable "&amp;AR$9&amp;""&amp;" No puede ser mayor al Total Ambos Sexos.",""))</f>
        <v/>
      </c>
      <c r="CH15" s="52">
        <f>IF(AND(C15&gt;0,AO15=""),1,IF(AO15&gt;C15,1,0))</f>
        <v/>
      </c>
      <c r="CI15" s="52">
        <f>IF(AND(C15&gt;0,AP15=""),1,IF(AP15&gt;C15,1,0))</f>
        <v/>
      </c>
      <c r="CJ15" s="52">
        <f>IF(AND(C15&gt;0,AQ15=""),1,IF(AQ15&gt;C15,1,0))</f>
        <v/>
      </c>
      <c r="CK15" s="52">
        <f>IF(AND(C15&gt;0,AR15=""),1,IF(AR15&gt;C15,1,0))</f>
        <v/>
      </c>
    </row>
    <row r="16" ht="15" customFormat="1" customHeight="1" s="17">
      <c r="A16" s="9718" t="n"/>
      <c r="B16" s="4660" t="inlineStr">
        <is>
          <t>Aurículoterapia</t>
        </is>
      </c>
      <c r="C16" s="4657">
        <f>+D16+E16</f>
        <v/>
      </c>
      <c r="D16" s="4658">
        <f>+F16+H16+J16+L16+N16+P16+R16+T16+V16+X16+Z16+AB16+AD16+AF16+AH16+AJ16+AL16</f>
        <v/>
      </c>
      <c r="E16" s="4661">
        <f>+G16+I16+K16+M16+O16+Q16+S16+U16+W16+Y16+AA16+AC16+AE16+AG16+AI16+AK16+AM16</f>
        <v/>
      </c>
      <c r="F16" s="1935" t="n"/>
      <c r="G16" s="755" t="n"/>
      <c r="H16" s="1432" t="n"/>
      <c r="I16" s="755" t="n"/>
      <c r="J16" s="1432" t="n"/>
      <c r="K16" s="3805" t="n"/>
      <c r="L16" s="1432" t="n"/>
      <c r="M16" s="3805" t="n"/>
      <c r="N16" s="1432" t="n"/>
      <c r="O16" s="3805" t="n"/>
      <c r="P16" s="1432" t="n"/>
      <c r="Q16" s="3805" t="n"/>
      <c r="R16" s="1432" t="n"/>
      <c r="S16" s="3805" t="n"/>
      <c r="T16" s="1432" t="n"/>
      <c r="U16" s="3805" t="n"/>
      <c r="V16" s="1432" t="n"/>
      <c r="W16" s="3805" t="n"/>
      <c r="X16" s="1432" t="n"/>
      <c r="Y16" s="3805" t="n"/>
      <c r="Z16" s="1432" t="n"/>
      <c r="AA16" s="3805" t="n"/>
      <c r="AB16" s="1432" t="n"/>
      <c r="AC16" s="3805" t="n"/>
      <c r="AD16" s="1432" t="n"/>
      <c r="AE16" s="3805" t="n"/>
      <c r="AF16" s="1432" t="n"/>
      <c r="AG16" s="3805" t="n"/>
      <c r="AH16" s="1432" t="n"/>
      <c r="AI16" s="3805" t="n"/>
      <c r="AJ16" s="1432" t="n"/>
      <c r="AK16" s="3805" t="n"/>
      <c r="AL16" s="1432" t="n"/>
      <c r="AM16" s="36" t="n"/>
      <c r="AN16" s="3918" t="n"/>
      <c r="AO16" s="793" t="n"/>
      <c r="AP16" s="793" t="n"/>
      <c r="AQ16" s="793" t="n"/>
      <c r="AR16" s="36" t="n"/>
      <c r="AS16" s="5484" t="n"/>
      <c r="AT16" s="5486" t="n"/>
      <c r="AU16" s="36" t="n"/>
      <c r="AV16" s="5486" t="n"/>
      <c r="AW16" s="3805" t="n"/>
      <c r="AX16" s="17">
        <f>CA16&amp;CB16&amp;CC16&amp;CD16&amp;CE16&amp;CF16</f>
        <v/>
      </c>
      <c r="CA16" s="51">
        <f>IF(AND(C16&gt;0,AO16="")," * No olvide digitar la variable Beneficiarios. Digite Cero si no tiene.",IF(AO16&gt;C16,"  *La variable Beneficiarios No puede ser mayor al Total Ambos Sexos.",""))</f>
        <v/>
      </c>
      <c r="CB16" s="51">
        <f>IF(AND(C16&gt;0,AP16="")," * No olvide digitar la variable Pueblos originarios. Digite Cero si no tiene.",IF(AP16&gt;C16,"  * La variable pueblos originarios No puede ser mayor al Total Ambos Sexos.",""))</f>
        <v/>
      </c>
      <c r="CC16" s="51">
        <f>IF(AND(C16&gt;0,AQ16="")," * No olvide digitar la variable Migrantes. Digite Cero si no tiene.",IF(AQ16&gt;C16,"  * La variable Migrantes No puede ser mayor al Total Ambos Sexos.",""))</f>
        <v/>
      </c>
      <c r="CD16" s="51">
        <f>IF(AND(C16&gt;0,AR16="")," * No olvide digitar la variable "&amp;AR$9&amp;""&amp;". Digite Cero si no tiene.",IF(AR16&gt;C16,"  * La variable "&amp;AR$9&amp;""&amp;" No puede ser mayor al Total Ambos Sexos.",""))</f>
        <v/>
      </c>
      <c r="CH16" s="52">
        <f>IF(AND(C16&gt;0,AO16=""),1,IF(AO16&gt;C16,1,0))</f>
        <v/>
      </c>
      <c r="CI16" s="52">
        <f>IF(AND(C16&gt;0,AP16=""),1,IF(AP16&gt;C16,1,0))</f>
        <v/>
      </c>
      <c r="CJ16" s="52">
        <f>IF(AND(C16&gt;0,AQ16=""),1,IF(AQ16&gt;C16,1,0))</f>
        <v/>
      </c>
      <c r="CK16" s="52">
        <f>IF(AND(C16&gt;0,AR16=""),1,IF(AR16&gt;C16,1,0))</f>
        <v/>
      </c>
    </row>
    <row r="17" ht="15" customFormat="1" customHeight="1" s="17">
      <c r="A17" s="9718" t="n"/>
      <c r="B17" s="4660" t="inlineStr">
        <is>
          <t>Biomagnetismo</t>
        </is>
      </c>
      <c r="C17" s="4657">
        <f>+D17+E17</f>
        <v/>
      </c>
      <c r="D17" s="2741">
        <f>+F17+H17+J17+L17+N17+P17+R17+T17+V17+X17+Z17+AB17+AD17+AF17+AH17+AJ17+AL17</f>
        <v/>
      </c>
      <c r="E17" s="4661">
        <f>+G17+I17+K17+M17+O17+Q17+S17+U17+W17+Y17+AA17+AC17+AE17+AG17+AI17+AK17+AM17</f>
        <v/>
      </c>
      <c r="F17" s="1935" t="n"/>
      <c r="G17" s="755" t="n"/>
      <c r="H17" s="1432" t="n"/>
      <c r="I17" s="755" t="n"/>
      <c r="J17" s="1432" t="n"/>
      <c r="K17" s="3805" t="n"/>
      <c r="L17" s="1432" t="n"/>
      <c r="M17" s="3805" t="n"/>
      <c r="N17" s="1432" t="n"/>
      <c r="O17" s="3805" t="n"/>
      <c r="P17" s="1432" t="n"/>
      <c r="Q17" s="3805" t="n"/>
      <c r="R17" s="1432" t="n"/>
      <c r="S17" s="3805" t="n"/>
      <c r="T17" s="1432" t="n"/>
      <c r="U17" s="3805" t="n"/>
      <c r="V17" s="1432" t="n"/>
      <c r="W17" s="3805" t="n"/>
      <c r="X17" s="1432" t="n"/>
      <c r="Y17" s="3805" t="n"/>
      <c r="Z17" s="1432" t="n"/>
      <c r="AA17" s="3805" t="n"/>
      <c r="AB17" s="1432" t="n"/>
      <c r="AC17" s="3805" t="n"/>
      <c r="AD17" s="1432" t="n"/>
      <c r="AE17" s="3805" t="n"/>
      <c r="AF17" s="1432" t="n"/>
      <c r="AG17" s="3805" t="n"/>
      <c r="AH17" s="1432" t="n"/>
      <c r="AI17" s="3805" t="n"/>
      <c r="AJ17" s="1432" t="n"/>
      <c r="AK17" s="3805" t="n"/>
      <c r="AL17" s="1432" t="n"/>
      <c r="AM17" s="36" t="n"/>
      <c r="AN17" s="3918" t="n"/>
      <c r="AO17" s="793" t="n"/>
      <c r="AP17" s="793" t="n"/>
      <c r="AQ17" s="793" t="n"/>
      <c r="AR17" s="36" t="n"/>
      <c r="AS17" s="5484" t="n"/>
      <c r="AT17" s="5486" t="n"/>
      <c r="AU17" s="36" t="n"/>
      <c r="AV17" s="5486" t="n"/>
      <c r="AW17" s="3805" t="n"/>
      <c r="AX17" s="17">
        <f>CA17&amp;CB17&amp;CC17&amp;CD17&amp;CE17&amp;CF17</f>
        <v/>
      </c>
      <c r="CA17" s="51">
        <f>IF(AND(C17&gt;0,AO17="")," * No olvide digitar la variable Beneficiarios. Digite Cero si no tiene.",IF(AO17&gt;C17,"  *La variable Beneficiarios No puede ser mayor al Total Ambos Sexos.",""))</f>
        <v/>
      </c>
      <c r="CB17" s="51">
        <f>IF(AND(C17&gt;0,AP17="")," * No olvide digitar la variable Pueblos originarios. Digite Cero si no tiene.",IF(AP17&gt;C17,"  * La variable pueblos originarios No puede ser mayor al Total Ambos Sexos.",""))</f>
        <v/>
      </c>
      <c r="CC17" s="51">
        <f>IF(AND(C17&gt;0,AQ17="")," * No olvide digitar la variable Migrantes. Digite Cero si no tiene.",IF(AQ17&gt;C17,"  * La variable Migrantes No puede ser mayor al Total Ambos Sexos.",""))</f>
        <v/>
      </c>
      <c r="CD17" s="51">
        <f>IF(AND(C17&gt;0,AR17="")," * No olvide digitar la variable "&amp;AR$9&amp;""&amp;". Digite Cero si no tiene.",IF(AR17&gt;C17,"  * La variable "&amp;AR$9&amp;""&amp;" No puede ser mayor al Total Ambos Sexos.",""))</f>
        <v/>
      </c>
      <c r="CH17" s="52">
        <f>IF(AND(C17&gt;0,AO17=""),1,IF(AO17&gt;C17,1,0))</f>
        <v/>
      </c>
      <c r="CI17" s="52">
        <f>IF(AND(C17&gt;0,AP17=""),1,IF(AP17&gt;C17,1,0))</f>
        <v/>
      </c>
      <c r="CJ17" s="52">
        <f>IF(AND(C17&gt;0,AQ17=""),1,IF(AQ17&gt;C17,1,0))</f>
        <v/>
      </c>
      <c r="CK17" s="52">
        <f>IF(AND(C17&gt;0,AR17=""),1,IF(AR17&gt;C17,1,0))</f>
        <v/>
      </c>
    </row>
    <row r="18" ht="15" customFormat="1" customHeight="1" s="17">
      <c r="A18" s="9718" t="n"/>
      <c r="B18" s="4660" t="inlineStr">
        <is>
          <t xml:space="preserve">Fitoterapia </t>
        </is>
      </c>
      <c r="C18" s="4657">
        <f>+D18+E18</f>
        <v/>
      </c>
      <c r="D18" s="4658">
        <f>+F18+H18+J18+L18+N18+P18+R18+T18+V18+X18+Z18+AB18+AD18+AF18+AH18+AJ18+AL18</f>
        <v/>
      </c>
      <c r="E18" s="4661">
        <f>+G18+I18+K18+M18+O18+Q18+S18+U18+W18+Y18+AA18+AC18+AE18+AG18+AI18+AK18+AM18</f>
        <v/>
      </c>
      <c r="F18" s="1935" t="n"/>
      <c r="G18" s="755" t="n"/>
      <c r="H18" s="1432" t="n"/>
      <c r="I18" s="755" t="n"/>
      <c r="J18" s="1432" t="n"/>
      <c r="K18" s="3805" t="n"/>
      <c r="L18" s="1432" t="n"/>
      <c r="M18" s="3805" t="n"/>
      <c r="N18" s="1432" t="n"/>
      <c r="O18" s="3805" t="n"/>
      <c r="P18" s="1432" t="n"/>
      <c r="Q18" s="3805" t="n"/>
      <c r="R18" s="1432" t="n"/>
      <c r="S18" s="3805" t="n"/>
      <c r="T18" s="1432" t="n"/>
      <c r="U18" s="3805" t="n"/>
      <c r="V18" s="1432" t="n"/>
      <c r="W18" s="3805" t="n"/>
      <c r="X18" s="1432" t="n"/>
      <c r="Y18" s="3805" t="n"/>
      <c r="Z18" s="1432" t="n"/>
      <c r="AA18" s="3805" t="n"/>
      <c r="AB18" s="1432" t="n"/>
      <c r="AC18" s="3805" t="n"/>
      <c r="AD18" s="1432" t="n"/>
      <c r="AE18" s="3805" t="n"/>
      <c r="AF18" s="1432" t="n"/>
      <c r="AG18" s="3805" t="n"/>
      <c r="AH18" s="1432" t="n"/>
      <c r="AI18" s="3805" t="n"/>
      <c r="AJ18" s="1432" t="n"/>
      <c r="AK18" s="3805" t="n"/>
      <c r="AL18" s="1432" t="n"/>
      <c r="AM18" s="36" t="n"/>
      <c r="AN18" s="3918" t="n"/>
      <c r="AO18" s="793" t="n"/>
      <c r="AP18" s="793" t="n"/>
      <c r="AQ18" s="793" t="n"/>
      <c r="AR18" s="36" t="n"/>
      <c r="AS18" s="5484" t="n"/>
      <c r="AT18" s="5486" t="n"/>
      <c r="AU18" s="36" t="n"/>
      <c r="AV18" s="5486" t="n"/>
      <c r="AW18" s="3805" t="n"/>
      <c r="AX18" s="17">
        <f>CA18&amp;CB18&amp;CC18&amp;CD18&amp;CE18&amp;CF18</f>
        <v/>
      </c>
      <c r="CA18" s="51">
        <f>IF(AND(C18&gt;0,AO18="")," * No olvide digitar la variable Beneficiarios. Digite Cero si no tiene.",IF(AO18&gt;C18,"  *La variable Beneficiarios No puede ser mayor al Total Ambos Sexos.",""))</f>
        <v/>
      </c>
      <c r="CB18" s="51">
        <f>IF(AND(C18&gt;0,AP18="")," * No olvide digitar la variable Pueblos originarios. Digite Cero si no tiene.",IF(AP18&gt;C18,"  * La variable pueblos originarios No puede ser mayor al Total Ambos Sexos.",""))</f>
        <v/>
      </c>
      <c r="CC18" s="51">
        <f>IF(AND(C18&gt;0,AQ18="")," * No olvide digitar la variable Migrantes. Digite Cero si no tiene.",IF(AQ18&gt;C18,"  * La variable Migrantes No puede ser mayor al Total Ambos Sexos.",""))</f>
        <v/>
      </c>
      <c r="CD18" s="51">
        <f>IF(AND(C18&gt;0,AR18="")," * No olvide digitar la variable "&amp;AR$9&amp;""&amp;". Digite Cero si no tiene.",IF(AR18&gt;C18,"  * La variable "&amp;AR$9&amp;""&amp;" No puede ser mayor al Total Ambos Sexos.",""))</f>
        <v/>
      </c>
      <c r="CH18" s="52">
        <f>IF(AND(C18&gt;0,AO18=""),1,IF(AO18&gt;C18,1,0))</f>
        <v/>
      </c>
      <c r="CI18" s="52">
        <f>IF(AND(C18&gt;0,AP18=""),1,IF(AP18&gt;C18,1,0))</f>
        <v/>
      </c>
      <c r="CJ18" s="52">
        <f>IF(AND(C18&gt;0,AQ18=""),1,IF(AQ18&gt;C18,1,0))</f>
        <v/>
      </c>
      <c r="CK18" s="52">
        <f>IF(AND(C18&gt;0,AR18=""),1,IF(AR18&gt;C18,1,0))</f>
        <v/>
      </c>
    </row>
    <row r="19" ht="15" customFormat="1" customHeight="1" s="17">
      <c r="A19" s="9718" t="n"/>
      <c r="B19" s="4660" t="inlineStr">
        <is>
          <t>Masoterapia</t>
        </is>
      </c>
      <c r="C19" s="4657">
        <f>+D19+E19</f>
        <v/>
      </c>
      <c r="D19" s="4658">
        <f>+F19+H19+J19+L19+N19+P19+R19+T19+V19+X19+Z19+AB19+AD19+AF19+AH19+AJ19+AL19</f>
        <v/>
      </c>
      <c r="E19" s="4661">
        <f>+G19+I19+K19+M19+O19+Q19+S19+U19+W19+Y19+AA19+AC19+AE19+AG19+AI19+AK19+AM19</f>
        <v/>
      </c>
      <c r="F19" s="1935" t="n"/>
      <c r="G19" s="755" t="n"/>
      <c r="H19" s="1432" t="n"/>
      <c r="I19" s="755" t="n"/>
      <c r="J19" s="1432" t="n"/>
      <c r="K19" s="3805" t="n"/>
      <c r="L19" s="1432" t="n"/>
      <c r="M19" s="3805" t="n"/>
      <c r="N19" s="1432" t="n"/>
      <c r="O19" s="3805" t="n"/>
      <c r="P19" s="1432" t="n"/>
      <c r="Q19" s="3805" t="n"/>
      <c r="R19" s="1432" t="n"/>
      <c r="S19" s="3805" t="n"/>
      <c r="T19" s="1432" t="n"/>
      <c r="U19" s="3805" t="n"/>
      <c r="V19" s="1432" t="n"/>
      <c r="W19" s="3805" t="n"/>
      <c r="X19" s="1432" t="n"/>
      <c r="Y19" s="3805" t="n"/>
      <c r="Z19" s="1432" t="n"/>
      <c r="AA19" s="3805" t="n"/>
      <c r="AB19" s="1432" t="n"/>
      <c r="AC19" s="3805" t="n"/>
      <c r="AD19" s="1432" t="n"/>
      <c r="AE19" s="3805" t="n"/>
      <c r="AF19" s="1432" t="n"/>
      <c r="AG19" s="3805" t="n"/>
      <c r="AH19" s="1432" t="n"/>
      <c r="AI19" s="3805" t="n"/>
      <c r="AJ19" s="1432" t="n"/>
      <c r="AK19" s="3805" t="n"/>
      <c r="AL19" s="1432" t="n"/>
      <c r="AM19" s="36" t="n"/>
      <c r="AN19" s="3918" t="n"/>
      <c r="AO19" s="793" t="n"/>
      <c r="AP19" s="793" t="n"/>
      <c r="AQ19" s="793" t="n"/>
      <c r="AR19" s="36" t="n"/>
      <c r="AS19" s="5484" t="n"/>
      <c r="AT19" s="5486" t="n"/>
      <c r="AU19" s="36" t="n"/>
      <c r="AV19" s="5486" t="n"/>
      <c r="AW19" s="3805" t="n"/>
      <c r="AX19" s="17">
        <f>CA19&amp;CB19&amp;CC19&amp;CD19&amp;CE19&amp;CF19</f>
        <v/>
      </c>
      <c r="CA19" s="51">
        <f>IF(AND(C19&gt;0,AO19="")," * No olvide digitar la variable Beneficiarios. Digite Cero si no tiene.",IF(AO19&gt;C19,"  *La variable Beneficiarios No puede ser mayor al Total Ambos Sexos.",""))</f>
        <v/>
      </c>
      <c r="CB19" s="51">
        <f>IF(AND(C19&gt;0,AP19="")," * No olvide digitar la variable Pueblos originarios. Digite Cero si no tiene.",IF(AP19&gt;C19,"  * La variable pueblos originarios No puede ser mayor al Total Ambos Sexos.",""))</f>
        <v/>
      </c>
      <c r="CC19" s="51">
        <f>IF(AND(C19&gt;0,AQ19="")," * No olvide digitar la variable Migrantes. Digite Cero si no tiene.",IF(AQ19&gt;C19,"  * La variable Migrantes No puede ser mayor al Total Ambos Sexos.",""))</f>
        <v/>
      </c>
      <c r="CD19" s="51">
        <f>IF(AND(C19&gt;0,AR19="")," * No olvide digitar la variable "&amp;AR$9&amp;""&amp;". Digite Cero si no tiene.",IF(AR19&gt;C19,"  * La variable "&amp;AR$9&amp;""&amp;" No puede ser mayor al Total Ambos Sexos.",""))</f>
        <v/>
      </c>
      <c r="CH19" s="52">
        <f>IF(AND(C19&gt;0,AO19=""),1,IF(AO19&gt;C19,1,0))</f>
        <v/>
      </c>
      <c r="CI19" s="52">
        <f>IF(AND(C19&gt;0,AP19=""),1,IF(AP19&gt;C19,1,0))</f>
        <v/>
      </c>
      <c r="CJ19" s="52">
        <f>IF(AND(C19&gt;0,AQ19=""),1,IF(AQ19&gt;C19,1,0))</f>
        <v/>
      </c>
      <c r="CK19" s="52">
        <f>IF(AND(C19&gt;0,AR19=""),1,IF(AR19&gt;C19,1,0))</f>
        <v/>
      </c>
    </row>
    <row r="20" ht="21" customFormat="1" customHeight="1" s="17">
      <c r="A20" s="9718" t="n"/>
      <c r="B20" s="4660" t="inlineStr">
        <is>
          <t>Medicina Antroposófica</t>
        </is>
      </c>
      <c r="C20" s="4657">
        <f>+D20+E20</f>
        <v/>
      </c>
      <c r="D20" s="4658">
        <f>+F20+H20+J20+L20+N20+P20+R20+T20+V20+X20+Z20+AB20+AD20+AF20+AH20+AJ20+AL20</f>
        <v/>
      </c>
      <c r="E20" s="4661">
        <f>+G20+I20+K20+M20+O20+Q20+S20+U20+W20+Y20+AA20+AC20+AE20+AG20+AI20+AK20+AM20</f>
        <v/>
      </c>
      <c r="F20" s="1935" t="n"/>
      <c r="G20" s="755" t="n"/>
      <c r="H20" s="1432" t="n"/>
      <c r="I20" s="755" t="n"/>
      <c r="J20" s="1432" t="n"/>
      <c r="K20" s="3805" t="n"/>
      <c r="L20" s="1432" t="n"/>
      <c r="M20" s="3805" t="n"/>
      <c r="N20" s="1432" t="n"/>
      <c r="O20" s="3805" t="n"/>
      <c r="P20" s="1432" t="n"/>
      <c r="Q20" s="3805" t="n"/>
      <c r="R20" s="1432" t="n"/>
      <c r="S20" s="3805" t="n"/>
      <c r="T20" s="1432" t="n"/>
      <c r="U20" s="3805" t="n"/>
      <c r="V20" s="1432" t="n"/>
      <c r="W20" s="3805" t="n"/>
      <c r="X20" s="1432" t="n"/>
      <c r="Y20" s="3805" t="n"/>
      <c r="Z20" s="1432" t="n"/>
      <c r="AA20" s="3805" t="n"/>
      <c r="AB20" s="1432" t="n"/>
      <c r="AC20" s="3805" t="n"/>
      <c r="AD20" s="1432" t="n"/>
      <c r="AE20" s="3805" t="n"/>
      <c r="AF20" s="1432" t="n"/>
      <c r="AG20" s="3805" t="n"/>
      <c r="AH20" s="1432" t="n"/>
      <c r="AI20" s="3805" t="n"/>
      <c r="AJ20" s="1432" t="n"/>
      <c r="AK20" s="3805" t="n"/>
      <c r="AL20" s="1432" t="n"/>
      <c r="AM20" s="36" t="n"/>
      <c r="AN20" s="3918" t="n"/>
      <c r="AO20" s="793" t="n"/>
      <c r="AP20" s="793" t="n"/>
      <c r="AQ20" s="793" t="n"/>
      <c r="AR20" s="36" t="n"/>
      <c r="AS20" s="5484" t="n"/>
      <c r="AT20" s="5486" t="n"/>
      <c r="AU20" s="36" t="n"/>
      <c r="AV20" s="5486" t="n"/>
      <c r="AW20" s="3805" t="n"/>
      <c r="AX20" s="17">
        <f>CA20&amp;CB20&amp;CC20&amp;CD20&amp;CE20&amp;CF20</f>
        <v/>
      </c>
      <c r="CA20" s="51">
        <f>IF(AND(C20&gt;0,AO20="")," * No olvide digitar la variable Beneficiarios. Digite Cero si no tiene.",IF(AO20&gt;C20,"  *La variable Beneficiarios No puede ser mayor al Total Ambos Sexos.",""))</f>
        <v/>
      </c>
      <c r="CB20" s="51">
        <f>IF(AND(C20&gt;0,AP20="")," * No olvide digitar la variable Pueblos originarios. Digite Cero si no tiene.",IF(AP20&gt;C20,"  * La variable pueblos originarios No puede ser mayor al Total Ambos Sexos.",""))</f>
        <v/>
      </c>
      <c r="CC20" s="51">
        <f>IF(AND(C20&gt;0,AQ20="")," * No olvide digitar la variable Migrantes. Digite Cero si no tiene.",IF(AQ20&gt;C20,"  * La variable Migrantes No puede ser mayor al Total Ambos Sexos.",""))</f>
        <v/>
      </c>
      <c r="CD20" s="51">
        <f>IF(AND(C20&gt;0,AR20="")," * No olvide digitar la variable "&amp;AR$9&amp;""&amp;". Digite Cero si no tiene.",IF(AR20&gt;C20,"  * La variable "&amp;AR$9&amp;""&amp;" No puede ser mayor al Total Ambos Sexos.",""))</f>
        <v/>
      </c>
      <c r="CH20" s="52">
        <f>IF(AND(C20&gt;0,AO20=""),1,IF(AO20&gt;C20,1,0))</f>
        <v/>
      </c>
      <c r="CI20" s="52">
        <f>IF(AND(C20&gt;0,AP20=""),1,IF(AP20&gt;C20,1,0))</f>
        <v/>
      </c>
      <c r="CJ20" s="52">
        <f>IF(AND(C20&gt;0,AQ20=""),1,IF(AQ20&gt;C20,1,0))</f>
        <v/>
      </c>
      <c r="CK20" s="52">
        <f>IF(AND(C20&gt;0,AR20=""),1,IF(AR20&gt;C20,1,0))</f>
        <v/>
      </c>
    </row>
    <row r="21" ht="15" customFormat="1" customHeight="1" s="17">
      <c r="A21" s="9718" t="n"/>
      <c r="B21" s="4660" t="inlineStr">
        <is>
          <t>Quiropraxia</t>
        </is>
      </c>
      <c r="C21" s="4657">
        <f>+D21+E21</f>
        <v/>
      </c>
      <c r="D21" s="4658">
        <f>+F21+H21+J21+L21+N21+P21+R21+T21+V21+X21+Z21+AB21+AD21+AF21+AH21+AJ21+AL21</f>
        <v/>
      </c>
      <c r="E21" s="4661">
        <f>+G21+I21+K21+M21+O21+Q21+S21+U21+W21+Y21+AA21+AC21+AE21+AG21+AI21+AK21+AM21</f>
        <v/>
      </c>
      <c r="F21" s="1935" t="n"/>
      <c r="G21" s="755" t="n"/>
      <c r="H21" s="1432" t="n"/>
      <c r="I21" s="755" t="n"/>
      <c r="J21" s="1432" t="n"/>
      <c r="K21" s="3805" t="n"/>
      <c r="L21" s="1432" t="n"/>
      <c r="M21" s="3805" t="n"/>
      <c r="N21" s="1432" t="n"/>
      <c r="O21" s="3805" t="n"/>
      <c r="P21" s="1432" t="n"/>
      <c r="Q21" s="3805" t="n"/>
      <c r="R21" s="1432" t="n"/>
      <c r="S21" s="3805" t="n"/>
      <c r="T21" s="1432" t="n"/>
      <c r="U21" s="3805" t="n"/>
      <c r="V21" s="1432" t="n"/>
      <c r="W21" s="3805" t="n"/>
      <c r="X21" s="1432" t="n"/>
      <c r="Y21" s="3805" t="n"/>
      <c r="Z21" s="1432" t="n"/>
      <c r="AA21" s="3805" t="n"/>
      <c r="AB21" s="1432" t="n"/>
      <c r="AC21" s="3805" t="n"/>
      <c r="AD21" s="1432" t="n"/>
      <c r="AE21" s="3805" t="n"/>
      <c r="AF21" s="1432" t="n"/>
      <c r="AG21" s="3805" t="n"/>
      <c r="AH21" s="1432" t="n"/>
      <c r="AI21" s="3805" t="n"/>
      <c r="AJ21" s="1432" t="n"/>
      <c r="AK21" s="3805" t="n"/>
      <c r="AL21" s="1432" t="n"/>
      <c r="AM21" s="36" t="n"/>
      <c r="AN21" s="3918" t="n"/>
      <c r="AO21" s="793" t="n"/>
      <c r="AP21" s="793" t="n"/>
      <c r="AQ21" s="793" t="n"/>
      <c r="AR21" s="36" t="n"/>
      <c r="AS21" s="5484" t="n"/>
      <c r="AT21" s="5486" t="n"/>
      <c r="AU21" s="36" t="n"/>
      <c r="AV21" s="5486" t="n"/>
      <c r="AW21" s="3805" t="n"/>
      <c r="AX21" s="17">
        <f>CA21&amp;CB21&amp;CC21&amp;CD21&amp;CE21&amp;CF21</f>
        <v/>
      </c>
      <c r="CA21" s="51">
        <f>IF(AND(C21&gt;0,AO21="")," * No olvide digitar la variable Beneficiarios. Digite Cero si no tiene.",IF(AO21&gt;C21,"  *La variable Beneficiarios No puede ser mayor al Total Ambos Sexos.",""))</f>
        <v/>
      </c>
      <c r="CB21" s="51">
        <f>IF(AND(C21&gt;0,AP21="")," * No olvide digitar la variable Pueblos originarios. Digite Cero si no tiene.",IF(AP21&gt;C21,"  * La variable pueblos originarios No puede ser mayor al Total Ambos Sexos.",""))</f>
        <v/>
      </c>
      <c r="CC21" s="51">
        <f>IF(AND(C21&gt;0,AQ21="")," * No olvide digitar la variable Migrantes. Digite Cero si no tiene.",IF(AQ21&gt;C21,"  * La variable Migrantes No puede ser mayor al Total Ambos Sexos.",""))</f>
        <v/>
      </c>
      <c r="CD21" s="51">
        <f>IF(AND(C21&gt;0,AR21="")," * No olvide digitar la variable "&amp;AR$9&amp;""&amp;". Digite Cero si no tiene.",IF(AR21&gt;C21,"  * La variable "&amp;AR$9&amp;""&amp;" No puede ser mayor al Total Ambos Sexos.",""))</f>
        <v/>
      </c>
      <c r="CH21" s="52">
        <f>IF(AND(C21&gt;0,AO21=""),1,IF(AO21&gt;C21,1,0))</f>
        <v/>
      </c>
      <c r="CI21" s="52">
        <f>IF(AND(C21&gt;0,AP21=""),1,IF(AP21&gt;C21,1,0))</f>
        <v/>
      </c>
      <c r="CJ21" s="52">
        <f>IF(AND(C21&gt;0,AQ21=""),1,IF(AQ21&gt;C21,1,0))</f>
        <v/>
      </c>
      <c r="CK21" s="52">
        <f>IF(AND(C21&gt;0,AR21=""),1,IF(AR21&gt;C21,1,0))</f>
        <v/>
      </c>
    </row>
    <row r="22" ht="15" customFormat="1" customHeight="1" s="17">
      <c r="A22" s="9718" t="n"/>
      <c r="B22" s="4660" t="inlineStr">
        <is>
          <t>Reiki</t>
        </is>
      </c>
      <c r="C22" s="4657">
        <f>+D22+E22</f>
        <v/>
      </c>
      <c r="D22" s="4658">
        <f>+F22+H22+J22+L22+N22+P22+R22+T22+V22+X22+Z22+AB22+AD22+AF22+AH22+AJ22+AL22</f>
        <v/>
      </c>
      <c r="E22" s="4661">
        <f>+G22+I22+K22+M22+O22+Q22+S22+U22+W22+Y22+AA22+AC22+AE22+AG22+AI22+AK22+AM22</f>
        <v/>
      </c>
      <c r="F22" s="1935" t="n"/>
      <c r="G22" s="755" t="n"/>
      <c r="H22" s="1432" t="n"/>
      <c r="I22" s="755" t="n"/>
      <c r="J22" s="1432" t="n"/>
      <c r="K22" s="3805" t="n"/>
      <c r="L22" s="1432" t="n"/>
      <c r="M22" s="3805" t="n"/>
      <c r="N22" s="1432" t="n"/>
      <c r="O22" s="3805" t="n"/>
      <c r="P22" s="1432" t="n"/>
      <c r="Q22" s="3805" t="n"/>
      <c r="R22" s="1432" t="n"/>
      <c r="S22" s="3805" t="n"/>
      <c r="T22" s="1432" t="n"/>
      <c r="U22" s="3805" t="n"/>
      <c r="V22" s="1432" t="n"/>
      <c r="W22" s="3805" t="n"/>
      <c r="X22" s="1432" t="n"/>
      <c r="Y22" s="3805" t="n"/>
      <c r="Z22" s="1432" t="n"/>
      <c r="AA22" s="3805" t="n"/>
      <c r="AB22" s="1432" t="n"/>
      <c r="AC22" s="3805" t="n"/>
      <c r="AD22" s="1432" t="n"/>
      <c r="AE22" s="3805" t="n"/>
      <c r="AF22" s="1432" t="n"/>
      <c r="AG22" s="3805" t="n"/>
      <c r="AH22" s="1432" t="n"/>
      <c r="AI22" s="3805" t="n"/>
      <c r="AJ22" s="1432" t="n"/>
      <c r="AK22" s="3805" t="n"/>
      <c r="AL22" s="1432" t="n"/>
      <c r="AM22" s="36" t="n"/>
      <c r="AN22" s="3918" t="n"/>
      <c r="AO22" s="793" t="n"/>
      <c r="AP22" s="793" t="n"/>
      <c r="AQ22" s="793" t="n"/>
      <c r="AR22" s="36" t="n"/>
      <c r="AS22" s="5484" t="n"/>
      <c r="AT22" s="5486" t="n"/>
      <c r="AU22" s="36" t="n"/>
      <c r="AV22" s="5486" t="n"/>
      <c r="AW22" s="3805" t="n"/>
      <c r="AX22" s="17">
        <f>CA22&amp;CB22&amp;CC22&amp;CD22&amp;CE22&amp;CF22</f>
        <v/>
      </c>
      <c r="CA22" s="51">
        <f>IF(AND(C22&gt;0,AO22="")," * No olvide digitar la variable Beneficiarios. Digite Cero si no tiene.",IF(AO22&gt;C22,"  *La variable Beneficiarios No puede ser mayor al Total Ambos Sexos.",""))</f>
        <v/>
      </c>
      <c r="CB22" s="51">
        <f>IF(AND(C22&gt;0,AP22="")," * No olvide digitar la variable Pueblos originarios. Digite Cero si no tiene.",IF(AP22&gt;C22,"  * La variable pueblos originarios No puede ser mayor al Total Ambos Sexos.",""))</f>
        <v/>
      </c>
      <c r="CC22" s="51">
        <f>IF(AND(C22&gt;0,AQ22="")," * No olvide digitar la variable Migrantes. Digite Cero si no tiene.",IF(AQ22&gt;C22,"  * La variable Migrantes No puede ser mayor al Total Ambos Sexos.",""))</f>
        <v/>
      </c>
      <c r="CD22" s="51">
        <f>IF(AND(C22&gt;0,AR22="")," * No olvide digitar la variable "&amp;AR$9&amp;""&amp;". Digite Cero si no tiene.",IF(AR22&gt;C22,"  * La variable "&amp;AR$9&amp;""&amp;" No puede ser mayor al Total Ambos Sexos.",""))</f>
        <v/>
      </c>
      <c r="CH22" s="52">
        <f>IF(AND(C22&gt;0,AO22=""),1,IF(AO22&gt;C22,1,0))</f>
        <v/>
      </c>
      <c r="CI22" s="52">
        <f>IF(AND(C22&gt;0,AP22=""),1,IF(AP22&gt;C22,1,0))</f>
        <v/>
      </c>
      <c r="CJ22" s="52">
        <f>IF(AND(C22&gt;0,AQ22=""),1,IF(AQ22&gt;C22,1,0))</f>
        <v/>
      </c>
      <c r="CK22" s="52">
        <f>IF(AND(C22&gt;0,AR22=""),1,IF(AR22&gt;C22,1,0))</f>
        <v/>
      </c>
    </row>
    <row r="23" ht="15" customFormat="1" customHeight="1" s="17">
      <c r="A23" s="9718" t="n"/>
      <c r="B23" s="4660" t="inlineStr">
        <is>
          <t xml:space="preserve">Sanación Pránica </t>
        </is>
      </c>
      <c r="C23" s="4657">
        <f>+D23+E23</f>
        <v/>
      </c>
      <c r="D23" s="4662">
        <f>+F23+H23+J23+L23+N23+P23+R23+T23+V23+X23+Z23+AB23+AD23+AF23+AH23+AJ23+AL23</f>
        <v/>
      </c>
      <c r="E23" s="4663">
        <f>+G23+I23+K23+M23+O23+Q23+S23+U23+W23+Y23+AA23+AC23+AE23+AG23+AI23+AK23+AM23</f>
        <v/>
      </c>
      <c r="F23" s="1172" t="n"/>
      <c r="G23" s="886" t="n"/>
      <c r="H23" s="3789" t="n"/>
      <c r="I23" s="886" t="n"/>
      <c r="J23" s="3789" t="n"/>
      <c r="K23" s="3788" t="n"/>
      <c r="L23" s="3789" t="n"/>
      <c r="M23" s="3788" t="n"/>
      <c r="N23" s="3789" t="n"/>
      <c r="O23" s="3788" t="n"/>
      <c r="P23" s="3789" t="n"/>
      <c r="Q23" s="3788" t="n"/>
      <c r="R23" s="3789" t="n"/>
      <c r="S23" s="3788" t="n"/>
      <c r="T23" s="3789" t="n"/>
      <c r="U23" s="3788" t="n"/>
      <c r="V23" s="3789" t="n"/>
      <c r="W23" s="3788" t="n"/>
      <c r="X23" s="3789" t="n"/>
      <c r="Y23" s="3788" t="n"/>
      <c r="Z23" s="3789" t="n"/>
      <c r="AA23" s="3788" t="n"/>
      <c r="AB23" s="3789" t="n"/>
      <c r="AC23" s="3788" t="n"/>
      <c r="AD23" s="3789" t="n"/>
      <c r="AE23" s="3788" t="n"/>
      <c r="AF23" s="3789" t="n"/>
      <c r="AG23" s="3788" t="n"/>
      <c r="AH23" s="3789" t="n"/>
      <c r="AI23" s="3788" t="n"/>
      <c r="AJ23" s="3789" t="n"/>
      <c r="AK23" s="3788" t="n"/>
      <c r="AL23" s="3789" t="n"/>
      <c r="AM23" s="3895" t="n"/>
      <c r="AN23" s="888" t="n"/>
      <c r="AO23" s="2001" t="n"/>
      <c r="AP23" s="2001" t="n"/>
      <c r="AQ23" s="2001" t="n"/>
      <c r="AR23" s="3895" t="n"/>
      <c r="AS23" s="5215" t="n"/>
      <c r="AT23" s="3892" t="n"/>
      <c r="AU23" s="3895" t="n"/>
      <c r="AV23" s="3892" t="n"/>
      <c r="AW23" s="3788" t="n"/>
      <c r="AX23" s="17">
        <f>CA23&amp;CB23&amp;CC23&amp;CD23&amp;CE23&amp;CF23</f>
        <v/>
      </c>
      <c r="CA23" s="51">
        <f>IF(AND(C23&gt;0,AO23="")," * No olvide digitar la variable Beneficiarios. Digite Cero si no tiene.",IF(AO23&gt;C23,"  *La variable Beneficiarios No puede ser mayor al Total Ambos Sexos.",""))</f>
        <v/>
      </c>
      <c r="CB23" s="51">
        <f>IF(AND(C23&gt;0,AP23="")," * No olvide digitar la variable Pueblos originarios. Digite Cero si no tiene.",IF(AP23&gt;C23,"  * La variable pueblos originarios No puede ser mayor al Total Ambos Sexos.",""))</f>
        <v/>
      </c>
      <c r="CC23" s="51">
        <f>IF(AND(C23&gt;0,AQ23="")," * No olvide digitar la variable Migrantes. Digite Cero si no tiene.",IF(AQ23&gt;C23,"  * La variable Migrantes No puede ser mayor al Total Ambos Sexos.",""))</f>
        <v/>
      </c>
      <c r="CD23" s="51">
        <f>IF(AND(C23&gt;0,AR23="")," * No olvide digitar la variable "&amp;AR$9&amp;""&amp;". Digite Cero si no tiene.",IF(AR23&gt;C23,"  * La variable "&amp;AR$9&amp;""&amp;" No puede ser mayor al Total Ambos Sexos.",""))</f>
        <v/>
      </c>
      <c r="CH23" s="52">
        <f>IF(AND(C23&gt;0,AO23=""),1,IF(AO23&gt;C23,1,0))</f>
        <v/>
      </c>
      <c r="CI23" s="52">
        <f>IF(AND(C23&gt;0,AP23=""),1,IF(AP23&gt;C23,1,0))</f>
        <v/>
      </c>
      <c r="CJ23" s="52">
        <f>IF(AND(C23&gt;0,AQ23=""),1,IF(AQ23&gt;C23,1,0))</f>
        <v/>
      </c>
      <c r="CK23" s="52">
        <f>IF(AND(C23&gt;0,AR23=""),1,IF(AR23&gt;C23,1,0))</f>
        <v/>
      </c>
    </row>
    <row r="24" ht="15" customFormat="1" customHeight="1" s="17">
      <c r="A24" s="9718" t="n"/>
      <c r="B24" s="4664" t="inlineStr">
        <is>
          <t>Sintergética</t>
        </is>
      </c>
      <c r="C24" s="4657">
        <f>+D24+E24</f>
        <v/>
      </c>
      <c r="D24" s="4662">
        <f>+F24+H24+J24+L24+N24+P24+R24+T24+V24+X24+Z24+AB24+AD24+AF24+AH24+AJ24+AL24</f>
        <v/>
      </c>
      <c r="E24" s="4663">
        <f>+G24+I24+K24+M24+O24+Q24+S24+U24+W24+Y24+AA24+AC24+AE24+AG24+AI24+AK24+AM24</f>
        <v/>
      </c>
      <c r="F24" s="1172" t="n"/>
      <c r="G24" s="886" t="n"/>
      <c r="H24" s="3789" t="n"/>
      <c r="I24" s="886" t="n"/>
      <c r="J24" s="3789" t="n"/>
      <c r="K24" s="3788" t="n"/>
      <c r="L24" s="3789" t="n"/>
      <c r="M24" s="3788" t="n"/>
      <c r="N24" s="3789" t="n"/>
      <c r="O24" s="3788" t="n"/>
      <c r="P24" s="3789" t="n"/>
      <c r="Q24" s="3788" t="n"/>
      <c r="R24" s="3789" t="n"/>
      <c r="S24" s="3788" t="n"/>
      <c r="T24" s="3789" t="n"/>
      <c r="U24" s="3788" t="n"/>
      <c r="V24" s="3789" t="n"/>
      <c r="W24" s="3788" t="n"/>
      <c r="X24" s="3789" t="n"/>
      <c r="Y24" s="3788" t="n"/>
      <c r="Z24" s="3789" t="n"/>
      <c r="AA24" s="3788" t="n"/>
      <c r="AB24" s="3789" t="n"/>
      <c r="AC24" s="3788" t="n"/>
      <c r="AD24" s="3789" t="n"/>
      <c r="AE24" s="3788" t="n"/>
      <c r="AF24" s="3789" t="n"/>
      <c r="AG24" s="3788" t="n"/>
      <c r="AH24" s="3789" t="n"/>
      <c r="AI24" s="3788" t="n"/>
      <c r="AJ24" s="3789" t="n"/>
      <c r="AK24" s="3788" t="n"/>
      <c r="AL24" s="3789" t="n"/>
      <c r="AM24" s="3895" t="n"/>
      <c r="AN24" s="888" t="n"/>
      <c r="AO24" s="2001" t="n"/>
      <c r="AP24" s="2001" t="n"/>
      <c r="AQ24" s="2001" t="n"/>
      <c r="AR24" s="3895" t="n"/>
      <c r="AS24" s="5215" t="n"/>
      <c r="AT24" s="3892" t="n"/>
      <c r="AU24" s="3895" t="n"/>
      <c r="AV24" s="3892" t="n"/>
      <c r="AW24" s="3788" t="n"/>
      <c r="AX24" s="17">
        <f>CA24&amp;CB24&amp;CC24&amp;CD24&amp;CE24&amp;CF24</f>
        <v/>
      </c>
      <c r="CA24" s="51">
        <f>IF(AND(C24&gt;0,AO24="")," * No olvide digitar la variable Beneficiarios. Digite Cero si no tiene.",IF(AO24&gt;C24,"  *La variable Beneficiarios No puede ser mayor al Total Ambos Sexos.",""))</f>
        <v/>
      </c>
      <c r="CB24" s="51">
        <f>IF(AND(C24&gt;0,AP24="")," * No olvide digitar la variable Pueblos originarios. Digite Cero si no tiene.",IF(AP24&gt;C24,"  * La variable pueblos originarios No puede ser mayor al Total Ambos Sexos.",""))</f>
        <v/>
      </c>
      <c r="CC24" s="51">
        <f>IF(AND(C24&gt;0,AQ24="")," * No olvide digitar la variable Migrantes. Digite Cero si no tiene.",IF(AQ24&gt;C24,"  * La variable Migrantes No puede ser mayor al Total Ambos Sexos.",""))</f>
        <v/>
      </c>
      <c r="CD24" s="51">
        <f>IF(AND(C24&gt;0,AR24="")," * No olvide digitar la variable "&amp;AR$9&amp;""&amp;". Digite Cero si no tiene.",IF(AR24&gt;C24,"  * La variable "&amp;AR$9&amp;""&amp;" No puede ser mayor al Total Ambos Sexos.",""))</f>
        <v/>
      </c>
      <c r="CH24" s="52">
        <f>IF(AND(C24&gt;0,AO24=""),1,IF(AO24&gt;C24,1,0))</f>
        <v/>
      </c>
      <c r="CI24" s="52">
        <f>IF(AND(C24&gt;0,AP24=""),1,IF(AP24&gt;C24,1,0))</f>
        <v/>
      </c>
      <c r="CJ24" s="52">
        <f>IF(AND(C24&gt;0,AQ24=""),1,IF(AQ24&gt;C24,1,0))</f>
        <v/>
      </c>
      <c r="CK24" s="52">
        <f>IF(AND(C24&gt;0,AR24=""),1,IF(AR24&gt;C24,1,0))</f>
        <v/>
      </c>
    </row>
    <row r="25" ht="15" customFormat="1" customHeight="1" s="17">
      <c r="A25" s="9718" t="n"/>
      <c r="B25" s="3952" t="inlineStr">
        <is>
          <t>Terapia Floral</t>
        </is>
      </c>
      <c r="C25" s="4657">
        <f>+D25+E25</f>
        <v/>
      </c>
      <c r="D25" s="4662">
        <f>+F25+H25+J25+L25+N25+P25+R25+T25+V25+X25+Z25+AB25+AD25+AF25+AH25+AJ25+AL25</f>
        <v/>
      </c>
      <c r="E25" s="4663">
        <f>+G25+I25+K25+M25+O25+Q25+S25+U25+W25+Y25+AA25+AC25+AE25+AG25+AI25+AK25+AM25</f>
        <v/>
      </c>
      <c r="F25" s="1172" t="n"/>
      <c r="G25" s="886" t="n"/>
      <c r="H25" s="3789" t="n"/>
      <c r="I25" s="886" t="n"/>
      <c r="J25" s="3789" t="n"/>
      <c r="K25" s="3788" t="n"/>
      <c r="L25" s="3789" t="n"/>
      <c r="M25" s="3788" t="n"/>
      <c r="N25" s="3789" t="n"/>
      <c r="O25" s="3788" t="n"/>
      <c r="P25" s="3789" t="n"/>
      <c r="Q25" s="3788" t="n"/>
      <c r="R25" s="3789" t="n"/>
      <c r="S25" s="3788" t="n"/>
      <c r="T25" s="3789" t="n"/>
      <c r="U25" s="3788" t="n"/>
      <c r="V25" s="3789" t="n"/>
      <c r="W25" s="3788" t="n"/>
      <c r="X25" s="3789" t="n"/>
      <c r="Y25" s="3788" t="n"/>
      <c r="Z25" s="3789" t="n"/>
      <c r="AA25" s="3788" t="n"/>
      <c r="AB25" s="3789" t="n"/>
      <c r="AC25" s="3788" t="n"/>
      <c r="AD25" s="3789" t="n"/>
      <c r="AE25" s="3788" t="n"/>
      <c r="AF25" s="3789" t="n"/>
      <c r="AG25" s="3788" t="n"/>
      <c r="AH25" s="3789" t="n"/>
      <c r="AI25" s="3788" t="n"/>
      <c r="AJ25" s="3789" t="n"/>
      <c r="AK25" s="3788" t="n"/>
      <c r="AL25" s="3789" t="n"/>
      <c r="AM25" s="3895" t="n"/>
      <c r="AN25" s="888" t="n"/>
      <c r="AO25" s="2001" t="n"/>
      <c r="AP25" s="2001" t="n"/>
      <c r="AQ25" s="2001" t="n"/>
      <c r="AR25" s="3895" t="n"/>
      <c r="AS25" s="5215" t="n"/>
      <c r="AT25" s="3892" t="n"/>
      <c r="AU25" s="3895" t="n"/>
      <c r="AV25" s="3892" t="n"/>
      <c r="AW25" s="3788" t="n"/>
      <c r="AX25" s="17">
        <f>CA25&amp;CB25&amp;CC25&amp;CD25&amp;CE25&amp;CF25</f>
        <v/>
      </c>
      <c r="CA25" s="51">
        <f>IF(AND(C25&gt;0,AO25="")," * No olvide digitar la variable Beneficiarios. Digite Cero si no tiene.",IF(AO25&gt;C25,"  *La variable Beneficiarios No puede ser mayor al Total Ambos Sexos.",""))</f>
        <v/>
      </c>
      <c r="CB25" s="51">
        <f>IF(AND(C25&gt;0,AP25="")," * No olvide digitar la variable Pueblos originarios. Digite Cero si no tiene.",IF(AP25&gt;C25,"  * La variable pueblos originarios No puede ser mayor al Total Ambos Sexos.",""))</f>
        <v/>
      </c>
      <c r="CC25" s="51">
        <f>IF(AND(C25&gt;0,AQ25="")," * No olvide digitar la variable Migrantes. Digite Cero si no tiene.",IF(AQ25&gt;C25,"  * La variable Migrantes No puede ser mayor al Total Ambos Sexos.",""))</f>
        <v/>
      </c>
      <c r="CD25" s="51">
        <f>IF(AND(C25&gt;0,AR25="")," * No olvide digitar la variable "&amp;AR$9&amp;""&amp;". Digite Cero si no tiene.",IF(AR25&gt;C25,"  * La variable "&amp;AR$9&amp;""&amp;" No puede ser mayor al Total Ambos Sexos.",""))</f>
        <v/>
      </c>
      <c r="CH25" s="52">
        <f>IF(AND(C25&gt;0,AO25=""),1,IF(AO25&gt;C25,1,0))</f>
        <v/>
      </c>
      <c r="CI25" s="52">
        <f>IF(AND(C25&gt;0,AP25=""),1,IF(AP25&gt;C25,1,0))</f>
        <v/>
      </c>
      <c r="CJ25" s="52">
        <f>IF(AND(C25&gt;0,AQ25=""),1,IF(AQ25&gt;C25,1,0))</f>
        <v/>
      </c>
      <c r="CK25" s="52">
        <f>IF(AND(C25&gt;0,AR25=""),1,IF(AR25&gt;C25,1,0))</f>
        <v/>
      </c>
    </row>
    <row r="26" ht="15" customFormat="1" customHeight="1" s="17">
      <c r="A26" s="9718" t="n"/>
      <c r="B26" s="4665" t="inlineStr">
        <is>
          <t>Terapia Neural</t>
        </is>
      </c>
      <c r="C26" s="4657">
        <f>+D26+E26</f>
        <v/>
      </c>
      <c r="D26" s="4662">
        <f>+F26+H26+J26+L26+N26+P26+R26+T26+V26+X26+Z26+AB26+AD26+AF26+AH26+AJ26+AL26</f>
        <v/>
      </c>
      <c r="E26" s="4663">
        <f>+G26+I26+K26+M26+O26+Q26+S26+U26+W26+Y26+AA26+AC26+AE26+AG26+AI26+AK26+AM26</f>
        <v/>
      </c>
      <c r="F26" s="1172" t="n"/>
      <c r="G26" s="886" t="n"/>
      <c r="H26" s="3789" t="n"/>
      <c r="I26" s="886" t="n"/>
      <c r="J26" s="3789" t="n"/>
      <c r="K26" s="3788" t="n"/>
      <c r="L26" s="3789" t="n"/>
      <c r="M26" s="3788" t="n"/>
      <c r="N26" s="3789" t="n"/>
      <c r="O26" s="3788" t="n"/>
      <c r="P26" s="3789" t="n"/>
      <c r="Q26" s="3788" t="n"/>
      <c r="R26" s="3789" t="n"/>
      <c r="S26" s="3788" t="n"/>
      <c r="T26" s="3789" t="n"/>
      <c r="U26" s="3788" t="n"/>
      <c r="V26" s="3789" t="n"/>
      <c r="W26" s="3788" t="n"/>
      <c r="X26" s="3789" t="n"/>
      <c r="Y26" s="3788" t="n"/>
      <c r="Z26" s="3789" t="n"/>
      <c r="AA26" s="3788" t="n"/>
      <c r="AB26" s="3789" t="n"/>
      <c r="AC26" s="3788" t="n"/>
      <c r="AD26" s="3789" t="n"/>
      <c r="AE26" s="3788" t="n"/>
      <c r="AF26" s="3789" t="n"/>
      <c r="AG26" s="3788" t="n"/>
      <c r="AH26" s="3789" t="n"/>
      <c r="AI26" s="3788" t="n"/>
      <c r="AJ26" s="3789" t="n"/>
      <c r="AK26" s="3788" t="n"/>
      <c r="AL26" s="3789" t="n"/>
      <c r="AM26" s="3895" t="n"/>
      <c r="AN26" s="888" t="n"/>
      <c r="AO26" s="2001" t="n"/>
      <c r="AP26" s="2001" t="n"/>
      <c r="AQ26" s="2001" t="n"/>
      <c r="AR26" s="3895" t="n"/>
      <c r="AS26" s="5215" t="n"/>
      <c r="AT26" s="3892" t="n"/>
      <c r="AU26" s="3895" t="n"/>
      <c r="AV26" s="3892" t="n"/>
      <c r="AW26" s="3788" t="n"/>
      <c r="AX26" s="17">
        <f>CA26&amp;CB26&amp;CC26&amp;CD26&amp;CE26&amp;CF26</f>
        <v/>
      </c>
      <c r="CA26" s="51">
        <f>IF(AND(C26&gt;0,AO26="")," * No olvide digitar la variable Beneficiarios. Digite Cero si no tiene.",IF(AO26&gt;C26,"  *La variable Beneficiarios No puede ser mayor al Total Ambos Sexos.",""))</f>
        <v/>
      </c>
      <c r="CB26" s="51">
        <f>IF(AND(C26&gt;0,AP26="")," * No olvide digitar la variable Pueblos originarios. Digite Cero si no tiene.",IF(AP26&gt;C26,"  * La variable pueblos originarios No puede ser mayor al Total Ambos Sexos.",""))</f>
        <v/>
      </c>
      <c r="CC26" s="51">
        <f>IF(AND(C26&gt;0,AQ26="")," * No olvide digitar la variable Migrantes. Digite Cero si no tiene.",IF(AQ26&gt;C26,"  * La variable Migrantes No puede ser mayor al Total Ambos Sexos.",""))</f>
        <v/>
      </c>
      <c r="CD26" s="51">
        <f>IF(AND(C26&gt;0,AR26="")," * No olvide digitar la variable "&amp;AR$9&amp;""&amp;". Digite Cero si no tiene.",IF(AR26&gt;C26,"  * La variable "&amp;AR$9&amp;""&amp;" No puede ser mayor al Total Ambos Sexos.",""))</f>
        <v/>
      </c>
      <c r="CH26" s="52">
        <f>IF(AND(C26&gt;0,AO26=""),1,IF(AO26&gt;C26,1,0))</f>
        <v/>
      </c>
      <c r="CI26" s="52">
        <f>IF(AND(C26&gt;0,AP26=""),1,IF(AP26&gt;C26,1,0))</f>
        <v/>
      </c>
      <c r="CJ26" s="52">
        <f>IF(AND(C26&gt;0,AQ26=""),1,IF(AQ26&gt;C26,1,0))</f>
        <v/>
      </c>
      <c r="CK26" s="52">
        <f>IF(AND(C26&gt;0,AR26=""),1,IF(AR26&gt;C26,1,0))</f>
        <v/>
      </c>
    </row>
    <row r="27" ht="15" customFormat="1" customHeight="1" s="17">
      <c r="A27" s="9639" t="n"/>
      <c r="B27" s="3952" t="inlineStr">
        <is>
          <t>Otras</t>
        </is>
      </c>
      <c r="C27" s="689">
        <f>+D27+E27</f>
        <v/>
      </c>
      <c r="D27" s="4662">
        <f>+F27+H27+J27+L27+N27+P27+R27+T27+V27+X27+Z27+AB27+AD27+AF27+AH27+AJ27+AL27</f>
        <v/>
      </c>
      <c r="E27" s="1402">
        <f>+G27+I27+K27+M27+O27+Q27+S27+U27+W27+Y27+AA27+AC27+AE27+AG27+AI27+AK27+AM27</f>
        <v/>
      </c>
      <c r="F27" s="1172" t="n"/>
      <c r="G27" s="886" t="n"/>
      <c r="H27" s="3789" t="n"/>
      <c r="I27" s="886" t="n"/>
      <c r="J27" s="3789" t="n"/>
      <c r="K27" s="3788" t="n"/>
      <c r="L27" s="3789" t="n"/>
      <c r="M27" s="3788" t="n"/>
      <c r="N27" s="3789" t="n"/>
      <c r="O27" s="3788" t="n"/>
      <c r="P27" s="3789" t="n"/>
      <c r="Q27" s="3788" t="n"/>
      <c r="R27" s="3789" t="n"/>
      <c r="S27" s="3788" t="n"/>
      <c r="T27" s="3789" t="n"/>
      <c r="U27" s="3788" t="n"/>
      <c r="V27" s="3789" t="n"/>
      <c r="W27" s="3788" t="n"/>
      <c r="X27" s="3789" t="n"/>
      <c r="Y27" s="3788" t="n"/>
      <c r="Z27" s="3789" t="n"/>
      <c r="AA27" s="3788" t="n"/>
      <c r="AB27" s="3789" t="n"/>
      <c r="AC27" s="3788" t="n"/>
      <c r="AD27" s="3789" t="n"/>
      <c r="AE27" s="3788" t="n"/>
      <c r="AF27" s="3789" t="n"/>
      <c r="AG27" s="3788" t="n"/>
      <c r="AH27" s="3789" t="n"/>
      <c r="AI27" s="3788" t="n"/>
      <c r="AJ27" s="3789" t="n"/>
      <c r="AK27" s="3788" t="n"/>
      <c r="AL27" s="3789" t="n"/>
      <c r="AM27" s="1227" t="n"/>
      <c r="AN27" s="888" t="n"/>
      <c r="AO27" s="2001" t="n"/>
      <c r="AP27" s="2001" t="n"/>
      <c r="AQ27" s="2001" t="n"/>
      <c r="AR27" s="3895" t="n"/>
      <c r="AS27" s="5215" t="n"/>
      <c r="AT27" s="3892" t="n"/>
      <c r="AU27" s="3895" t="n"/>
      <c r="AV27" s="3892" t="n"/>
      <c r="AW27" s="3788" t="n"/>
      <c r="AX27" s="17">
        <f>CA27&amp;CB27&amp;CC27&amp;CD27&amp;CE27&amp;CF27</f>
        <v/>
      </c>
      <c r="CA27" s="51">
        <f>IF(AND(C27&gt;0,AO27="")," * No olvide digitar la variable Beneficiarios. Digite Cero si no tiene.",IF(AO27&gt;C27,"  *La variable Beneficiarios No puede ser mayor al Total Ambos Sexos.",""))</f>
        <v/>
      </c>
      <c r="CB27" s="51">
        <f>IF(AND(C27&gt;0,AP27="")," * No olvide digitar la variable Pueblos originarios. Digite Cero si no tiene.",IF(AP27&gt;C27,"  * La variable pueblos originarios No puede ser mayor al Total Ambos Sexos.",""))</f>
        <v/>
      </c>
      <c r="CC27" s="51">
        <f>IF(AND(C27&gt;0,AQ27="")," * No olvide digitar la variable Migrantes. Digite Cero si no tiene.",IF(AQ27&gt;C27,"  * La variable Migrantes No puede ser mayor al Total Ambos Sexos.",""))</f>
        <v/>
      </c>
      <c r="CD27" s="51">
        <f>IF(AND(C27&gt;0,AR27="")," * No olvide digitar la variable "&amp;AR$9&amp;""&amp;". Digite Cero si no tiene.",IF(AR27&gt;C27,"  * La variable "&amp;AR$9&amp;""&amp;" No puede ser mayor al Total Ambos Sexos.",""))</f>
        <v/>
      </c>
      <c r="CH27" s="52">
        <f>IF(AND(C27&gt;0,AO27=""),1,IF(AO27&gt;C27,1,0))</f>
        <v/>
      </c>
      <c r="CI27" s="52">
        <f>IF(AND(C27&gt;0,AP27=""),1,IF(AP27&gt;C27,1,0))</f>
        <v/>
      </c>
      <c r="CJ27" s="52">
        <f>IF(AND(C27&gt;0,AQ27=""),1,IF(AQ27&gt;C27,1,0))</f>
        <v/>
      </c>
      <c r="CK27" s="52">
        <f>IF(AND(C27&gt;0,AR27=""),1,IF(AR27&gt;C27,1,0))</f>
        <v/>
      </c>
    </row>
    <row r="28" ht="15" customFormat="1" customHeight="1" s="17">
      <c r="A28" s="10326" t="inlineStr">
        <is>
          <t>TOTAL</t>
        </is>
      </c>
      <c r="B28" s="9582" t="n"/>
      <c r="C28" s="4666">
        <f>+D28+E28</f>
        <v/>
      </c>
      <c r="D28" s="4508">
        <f>+F28+H28+J28+L28+N28+P28+R28+T28+V28+X28+Z28+AB28+AD28+AF28+AH28+AJ28+AL28</f>
        <v/>
      </c>
      <c r="E28" s="4570">
        <f>+G28+I28+K28+M28+O28+Q28+S28+U28+W28+Y28+AA28+AC28+AE28+AG28+AI28+AK28+AM28</f>
        <v/>
      </c>
      <c r="F28" s="4539">
        <f>SUM(F12:F27)</f>
        <v/>
      </c>
      <c r="G28" s="4508">
        <f>SUM(G12:G27)</f>
        <v/>
      </c>
      <c r="H28" s="4539">
        <f>SUM(H12:H27)</f>
        <v/>
      </c>
      <c r="I28" s="4508">
        <f>SUM(I12:I27)</f>
        <v/>
      </c>
      <c r="J28" s="4539">
        <f>SUM(J12:J27)</f>
        <v/>
      </c>
      <c r="K28" s="4508">
        <f>SUM(K12:K27)</f>
        <v/>
      </c>
      <c r="L28" s="4539">
        <f>SUM(L12:L27)</f>
        <v/>
      </c>
      <c r="M28" s="4508">
        <f>SUM(M12:M27)</f>
        <v/>
      </c>
      <c r="N28" s="4539">
        <f>SUM(N12:N27)</f>
        <v/>
      </c>
      <c r="O28" s="4508">
        <f>SUM(O12:O27)</f>
        <v/>
      </c>
      <c r="P28" s="4539">
        <f>SUM(P12:P27)</f>
        <v/>
      </c>
      <c r="Q28" s="4508">
        <f>SUM(Q12:Q27)</f>
        <v/>
      </c>
      <c r="R28" s="4539">
        <f>SUM(R12:R27)</f>
        <v/>
      </c>
      <c r="S28" s="4508">
        <f>SUM(S12:S27)</f>
        <v/>
      </c>
      <c r="T28" s="4539">
        <f>SUM(T12:T27)</f>
        <v/>
      </c>
      <c r="U28" s="4508">
        <f>SUM(U12:U27)</f>
        <v/>
      </c>
      <c r="V28" s="4539">
        <f>SUM(V12:V27)</f>
        <v/>
      </c>
      <c r="W28" s="4508">
        <f>SUM(W12:W27)</f>
        <v/>
      </c>
      <c r="X28" s="4539">
        <f>SUM(X12:X27)</f>
        <v/>
      </c>
      <c r="Y28" s="4508">
        <f>SUM(Y12:Y27)</f>
        <v/>
      </c>
      <c r="Z28" s="4539">
        <f>SUM(Z12:Z27)</f>
        <v/>
      </c>
      <c r="AA28" s="4508">
        <f>SUM(AA12:AA27)</f>
        <v/>
      </c>
      <c r="AB28" s="4539">
        <f>SUM(AB12:AB27)</f>
        <v/>
      </c>
      <c r="AC28" s="4508">
        <f>SUM(AC12:AC27)</f>
        <v/>
      </c>
      <c r="AD28" s="4539">
        <f>SUM(AD12:AD27)</f>
        <v/>
      </c>
      <c r="AE28" s="4508">
        <f>SUM(AE12:AE27)</f>
        <v/>
      </c>
      <c r="AF28" s="4539">
        <f>SUM(AF12:AF27)</f>
        <v/>
      </c>
      <c r="AG28" s="4508">
        <f>SUM(AG12:AG27)</f>
        <v/>
      </c>
      <c r="AH28" s="4539">
        <f>SUM(AH12:AH27)</f>
        <v/>
      </c>
      <c r="AI28" s="4508">
        <f>SUM(AI12:AI27)</f>
        <v/>
      </c>
      <c r="AJ28" s="4539">
        <f>SUM(AJ12:AJ27)</f>
        <v/>
      </c>
      <c r="AK28" s="4508">
        <f>SUM(AK12:AK27)</f>
        <v/>
      </c>
      <c r="AL28" s="4539">
        <f>SUM(AL12:AL27)</f>
        <v/>
      </c>
      <c r="AM28" s="4553">
        <f>SUM(AM12:AM27)</f>
        <v/>
      </c>
      <c r="AN28" s="4552">
        <f>SUM(AN12:AN27)</f>
        <v/>
      </c>
      <c r="AO28" s="4667">
        <f>SUM(AO12:AO27)</f>
        <v/>
      </c>
      <c r="AP28" s="4667">
        <f>SUM(AP12:AP27)</f>
        <v/>
      </c>
      <c r="AQ28" s="4667">
        <f>SUM(AQ12:AQ27)</f>
        <v/>
      </c>
      <c r="AR28" s="4612">
        <f>SUM(AR12:AR27)</f>
        <v/>
      </c>
      <c r="AS28" s="5471">
        <f>SUM(AS12:AS27)</f>
        <v/>
      </c>
      <c r="AT28" s="5472">
        <f>SUM(AT12:AT27)</f>
        <v/>
      </c>
      <c r="AU28" s="5487">
        <f>SUM(AU12:AU27)</f>
        <v/>
      </c>
      <c r="AV28" s="5472">
        <f>SUM(AV12:AV27)</f>
        <v/>
      </c>
      <c r="AW28" s="4570">
        <f>SUM(AW12:AW27)</f>
        <v/>
      </c>
    </row>
    <row r="29" ht="17.1" customFormat="1" customHeight="1" s="20">
      <c r="A29" s="10617" t="inlineStr">
        <is>
          <t xml:space="preserve">SECCIÓN B: MEDICINA COMPLEMENTARIA Y PRÁCTICAS DE BIENESTAR DE LA SALUD EN ATENCIONES INDIVIDUALES O GRUPALES, SEGÚN PROFESIONAL </t>
        </is>
      </c>
      <c r="B29" s="9584" t="n"/>
      <c r="C29" s="9584" t="n"/>
      <c r="D29" s="9584" t="n"/>
      <c r="E29" s="9584" t="n"/>
      <c r="F29" s="9584" t="n"/>
      <c r="G29" s="9584" t="n"/>
      <c r="H29" s="9584" t="n"/>
      <c r="I29" s="9584" t="n"/>
      <c r="J29" s="9584" t="n"/>
      <c r="K29" s="9584" t="n"/>
      <c r="L29" s="9584" t="n"/>
    </row>
    <row r="30" ht="15" customFormat="1" customHeight="1" s="17">
      <c r="A30" s="10326" t="inlineStr">
        <is>
          <t xml:space="preserve">PERFIL PROFESIONAL </t>
        </is>
      </c>
      <c r="B30" s="10326" t="inlineStr">
        <is>
          <t>TOTAL</t>
        </is>
      </c>
      <c r="C30" s="10618" t="inlineStr">
        <is>
          <t>Acupuntura</t>
        </is>
      </c>
      <c r="D30" s="10619" t="inlineStr">
        <is>
          <t>Homeopatía</t>
        </is>
      </c>
      <c r="E30" s="10620" t="inlineStr">
        <is>
          <t>Naturopatía</t>
        </is>
      </c>
      <c r="F30" s="10326" t="inlineStr">
        <is>
          <t>NO REGULADAS</t>
        </is>
      </c>
      <c r="G30" s="9584" t="n"/>
      <c r="H30" s="9584" t="n"/>
      <c r="I30" s="9584" t="n"/>
      <c r="J30" s="9584" t="n"/>
      <c r="K30" s="9584" t="n"/>
      <c r="L30" s="9584" t="n"/>
      <c r="M30" s="9584" t="n"/>
      <c r="N30" s="9584" t="n"/>
      <c r="O30" s="9584" t="n"/>
      <c r="P30" s="9584" t="n"/>
      <c r="Q30" s="9584" t="n"/>
      <c r="R30" s="9584" t="n"/>
      <c r="S30" s="9584" t="n"/>
      <c r="T30" s="9584" t="n"/>
      <c r="U30" s="9584" t="n"/>
      <c r="V30" s="9584" t="n"/>
      <c r="W30" s="9584" t="n"/>
      <c r="X30" s="9584" t="n"/>
      <c r="Y30" s="9584" t="n"/>
      <c r="Z30" s="9584" t="n"/>
      <c r="AA30" s="9584" t="n"/>
      <c r="AB30" s="9584" t="n"/>
      <c r="AC30" s="9584" t="n"/>
      <c r="AD30" s="9584" t="n"/>
      <c r="AE30" s="9584" t="n"/>
      <c r="AF30" s="9582" t="n"/>
    </row>
    <row r="31" ht="42" customHeight="1" s="8286">
      <c r="A31" s="9610" t="n"/>
      <c r="B31" s="9610" t="n"/>
      <c r="C31" s="9800" t="n"/>
      <c r="D31" s="9605" t="n"/>
      <c r="E31" s="9705" t="n"/>
      <c r="F31" s="9323" t="inlineStr">
        <is>
          <t>Apiterapia</t>
        </is>
      </c>
      <c r="G31" s="8634" t="inlineStr">
        <is>
          <t>Arte terapia</t>
        </is>
      </c>
      <c r="H31" s="8634" t="inlineStr">
        <is>
          <t>Aurículo-terapia</t>
        </is>
      </c>
      <c r="I31" s="8634" t="inlineStr">
        <is>
          <t>Biodanza</t>
        </is>
      </c>
      <c r="J31" s="8074" t="inlineStr">
        <is>
          <t>Biomagnetismo</t>
        </is>
      </c>
      <c r="K31" s="8634" t="inlineStr">
        <is>
          <t>Qi Gong</t>
        </is>
      </c>
      <c r="L31" s="9349" t="inlineStr">
        <is>
          <t>Fitoterapia</t>
        </is>
      </c>
      <c r="M31" s="8634" t="inlineStr">
        <is>
          <t>Huertos Medicinales o Alimenticio/ Medicinales</t>
        </is>
      </c>
      <c r="N31" s="8634" t="inlineStr">
        <is>
          <t>Masoterapia</t>
        </is>
      </c>
      <c r="O31" s="8634" t="inlineStr">
        <is>
          <t>Medicina Antroposófica</t>
        </is>
      </c>
      <c r="P31" s="4669" t="inlineStr">
        <is>
          <t xml:space="preserve">Meditación </t>
        </is>
      </c>
      <c r="Q31" s="4670" t="inlineStr">
        <is>
          <t>Quiropraxia</t>
        </is>
      </c>
      <c r="R31" s="8634" t="inlineStr">
        <is>
          <t>Reiki</t>
        </is>
      </c>
      <c r="S31" s="9349" t="inlineStr">
        <is>
          <t>Sanación Pránica</t>
        </is>
      </c>
      <c r="T31" s="4669" t="inlineStr">
        <is>
          <t>Sintergética</t>
        </is>
      </c>
      <c r="U31" s="4651" t="inlineStr">
        <is>
          <t>Sonoterapia</t>
        </is>
      </c>
      <c r="V31" s="4669" t="inlineStr">
        <is>
          <t xml:space="preserve">Tai Chi </t>
        </is>
      </c>
      <c r="W31" s="4669" t="inlineStr">
        <is>
          <t>Terapia Floral</t>
        </is>
      </c>
      <c r="X31" s="9349" t="inlineStr">
        <is>
          <t>Terapia Neural</t>
        </is>
      </c>
      <c r="Y31" s="4669" t="inlineStr">
        <is>
          <t>Yoga</t>
        </is>
      </c>
      <c r="Z31" s="4651" t="inlineStr">
        <is>
          <t>Constelaciones Familiares</t>
        </is>
      </c>
      <c r="AA31" s="4669" t="inlineStr">
        <is>
          <t>Circulos de escucha</t>
        </is>
      </c>
      <c r="AB31" s="8634" t="inlineStr">
        <is>
          <t>Musicoterapia</t>
        </is>
      </c>
      <c r="AC31" s="4669" t="inlineStr">
        <is>
          <t>Danzaterapia</t>
        </is>
      </c>
      <c r="AD31" s="4669" t="inlineStr">
        <is>
          <t>Dramaterapia</t>
        </is>
      </c>
      <c r="AE31" s="4669" t="inlineStr">
        <is>
          <t>Otras Individuales</t>
        </is>
      </c>
      <c r="AF31" s="9321" t="inlineStr">
        <is>
          <t>Otras Grupales</t>
        </is>
      </c>
    </row>
    <row r="32" ht="15" customFormat="1" customHeight="1" s="17">
      <c r="A32" s="9230" t="inlineStr">
        <is>
          <t>Médico</t>
        </is>
      </c>
      <c r="B32" s="4245">
        <f>SUM(C32:AF32)</f>
        <v/>
      </c>
      <c r="C32" s="204" t="n"/>
      <c r="D32" s="204" t="n"/>
      <c r="E32" s="3933" t="n"/>
      <c r="F32" s="1935" t="n"/>
      <c r="G32" s="793" t="n"/>
      <c r="H32" s="793" t="n"/>
      <c r="I32" s="793" t="n"/>
      <c r="J32" s="2261" t="n"/>
      <c r="K32" s="835" t="n"/>
      <c r="L32" s="835" t="n"/>
      <c r="M32" s="835" t="n"/>
      <c r="N32" s="835" t="n"/>
      <c r="O32" s="835" t="n"/>
      <c r="P32" s="835" t="n"/>
      <c r="Q32" s="835" t="n"/>
      <c r="R32" s="835" t="n"/>
      <c r="S32" s="835" t="n"/>
      <c r="T32" s="4236" t="n"/>
      <c r="U32" s="835" t="n"/>
      <c r="V32" s="835" t="n"/>
      <c r="W32" s="835" t="n"/>
      <c r="X32" s="835" t="n"/>
      <c r="Y32" s="835" t="n"/>
      <c r="Z32" s="835" t="n"/>
      <c r="AA32" s="835" t="n"/>
      <c r="AB32" s="835" t="n"/>
      <c r="AC32" s="835" t="n"/>
      <c r="AD32" s="835" t="n"/>
      <c r="AE32" s="835" t="n"/>
      <c r="AF32" s="4237" t="n"/>
    </row>
    <row r="33" ht="15" customFormat="1" customHeight="1" s="17">
      <c r="A33" s="4660" t="inlineStr">
        <is>
          <t>Odontólogo</t>
        </is>
      </c>
      <c r="B33" s="1121">
        <f>SUM(C33:AF33)</f>
        <v/>
      </c>
      <c r="C33" s="1181" t="n"/>
      <c r="D33" s="1181" t="n"/>
      <c r="E33" s="1183" t="n"/>
      <c r="F33" s="1179" t="n"/>
      <c r="G33" s="1228" t="n"/>
      <c r="H33" s="1228" t="n"/>
      <c r="I33" s="1228" t="n"/>
      <c r="J33" s="1182" t="n"/>
      <c r="K33" s="2001" t="n"/>
      <c r="L33" s="2001" t="n"/>
      <c r="M33" s="2001" t="n"/>
      <c r="N33" s="2001" t="n"/>
      <c r="O33" s="2001" t="n"/>
      <c r="P33" s="2001" t="n"/>
      <c r="Q33" s="2001" t="n"/>
      <c r="R33" s="2001" t="n"/>
      <c r="S33" s="2001" t="n"/>
      <c r="T33" s="3789" t="n"/>
      <c r="U33" s="2001" t="n"/>
      <c r="V33" s="2001" t="n"/>
      <c r="W33" s="2001" t="n"/>
      <c r="X33" s="2001" t="n"/>
      <c r="Y33" s="2001" t="n"/>
      <c r="Z33" s="2001" t="n"/>
      <c r="AA33" s="2001" t="n"/>
      <c r="AB33" s="2001" t="n"/>
      <c r="AC33" s="2001" t="n"/>
      <c r="AD33" s="2001" t="n"/>
      <c r="AE33" s="2001" t="n"/>
      <c r="AF33" s="3788" t="n"/>
    </row>
    <row r="34" ht="15" customFormat="1" customHeight="1" s="17">
      <c r="A34" s="4660" t="inlineStr">
        <is>
          <t>Enfermera(o)</t>
        </is>
      </c>
      <c r="B34" s="1121">
        <f>SUM(C34:AF34)</f>
        <v/>
      </c>
      <c r="C34" s="1181" t="n"/>
      <c r="D34" s="1181" t="n"/>
      <c r="E34" s="1183" t="n"/>
      <c r="F34" s="1179" t="n"/>
      <c r="G34" s="1228" t="n"/>
      <c r="H34" s="1228" t="n"/>
      <c r="I34" s="1228" t="n"/>
      <c r="J34" s="1182" t="n"/>
      <c r="K34" s="2001" t="n"/>
      <c r="L34" s="2001" t="n"/>
      <c r="M34" s="2001" t="n"/>
      <c r="N34" s="2001" t="n"/>
      <c r="O34" s="2001" t="n"/>
      <c r="P34" s="2001" t="n"/>
      <c r="Q34" s="2001" t="n"/>
      <c r="R34" s="2001" t="n"/>
      <c r="S34" s="2001" t="n"/>
      <c r="T34" s="3789" t="n"/>
      <c r="U34" s="2001" t="n"/>
      <c r="V34" s="2001" t="n"/>
      <c r="W34" s="2001" t="n"/>
      <c r="X34" s="2001" t="n"/>
      <c r="Y34" s="2001" t="n"/>
      <c r="Z34" s="2001" t="n"/>
      <c r="AA34" s="2001" t="n"/>
      <c r="AB34" s="2001" t="n"/>
      <c r="AC34" s="2001" t="n"/>
      <c r="AD34" s="2001" t="n"/>
      <c r="AE34" s="2001" t="n"/>
      <c r="AF34" s="3788" t="n"/>
    </row>
    <row r="35" ht="15" customFormat="1" customHeight="1" s="17">
      <c r="A35" s="4660" t="inlineStr">
        <is>
          <t>Matrona(ón)</t>
        </is>
      </c>
      <c r="B35" s="1121">
        <f>SUM(C35:AF35)</f>
        <v/>
      </c>
      <c r="C35" s="1181" t="n"/>
      <c r="D35" s="1181" t="n"/>
      <c r="E35" s="1183" t="n"/>
      <c r="F35" s="1179" t="n"/>
      <c r="G35" s="1228" t="n"/>
      <c r="H35" s="1228" t="n"/>
      <c r="I35" s="1228" t="n"/>
      <c r="J35" s="1182" t="n"/>
      <c r="K35" s="2001" t="n"/>
      <c r="L35" s="2001" t="n"/>
      <c r="M35" s="2001" t="n"/>
      <c r="N35" s="2001" t="n"/>
      <c r="O35" s="2001" t="n"/>
      <c r="P35" s="2001" t="n"/>
      <c r="Q35" s="2001" t="n"/>
      <c r="R35" s="2001" t="n"/>
      <c r="S35" s="2001" t="n"/>
      <c r="T35" s="3789" t="n"/>
      <c r="U35" s="2001" t="n"/>
      <c r="V35" s="2001" t="n"/>
      <c r="W35" s="2001" t="n"/>
      <c r="X35" s="2001" t="n"/>
      <c r="Y35" s="2001" t="n"/>
      <c r="Z35" s="2001" t="n"/>
      <c r="AA35" s="2001" t="n"/>
      <c r="AB35" s="2001" t="n"/>
      <c r="AC35" s="2001" t="n"/>
      <c r="AD35" s="2001" t="n"/>
      <c r="AE35" s="2001" t="n"/>
      <c r="AF35" s="3788" t="n"/>
    </row>
    <row r="36" ht="15" customFormat="1" customHeight="1" s="17">
      <c r="A36" s="4660" t="inlineStr">
        <is>
          <t>Psicólogo</t>
        </is>
      </c>
      <c r="B36" s="1121">
        <f>SUM(C36:AF36)</f>
        <v/>
      </c>
      <c r="C36" s="1181" t="n"/>
      <c r="D36" s="1181" t="n"/>
      <c r="E36" s="1183" t="n"/>
      <c r="F36" s="1179" t="n"/>
      <c r="G36" s="1228" t="n"/>
      <c r="H36" s="1228" t="n"/>
      <c r="I36" s="1228" t="n"/>
      <c r="J36" s="1182" t="n"/>
      <c r="K36" s="2001" t="n"/>
      <c r="L36" s="2001" t="n"/>
      <c r="M36" s="2001" t="n"/>
      <c r="N36" s="2001" t="n"/>
      <c r="O36" s="2001" t="n"/>
      <c r="P36" s="2001" t="n"/>
      <c r="Q36" s="2001" t="n"/>
      <c r="R36" s="2001" t="n"/>
      <c r="S36" s="2001" t="n"/>
      <c r="T36" s="3789" t="n"/>
      <c r="U36" s="2001" t="n"/>
      <c r="V36" s="2001" t="n"/>
      <c r="W36" s="2001" t="n"/>
      <c r="X36" s="2001" t="n"/>
      <c r="Y36" s="2001" t="n"/>
      <c r="Z36" s="2001" t="n"/>
      <c r="AA36" s="2001" t="n"/>
      <c r="AB36" s="2001" t="n"/>
      <c r="AC36" s="2001" t="n"/>
      <c r="AD36" s="2001" t="n"/>
      <c r="AE36" s="2001" t="n"/>
      <c r="AF36" s="3788" t="n"/>
    </row>
    <row r="37" ht="15" customFormat="1" customHeight="1" s="17">
      <c r="A37" s="4660" t="inlineStr">
        <is>
          <t>Fonoaudiólogo</t>
        </is>
      </c>
      <c r="B37" s="1121">
        <f>SUM(C37:AF37)</f>
        <v/>
      </c>
      <c r="C37" s="1181" t="n"/>
      <c r="D37" s="1181" t="n"/>
      <c r="E37" s="1183" t="n"/>
      <c r="F37" s="1179" t="n"/>
      <c r="G37" s="1228" t="n"/>
      <c r="H37" s="1228" t="n"/>
      <c r="I37" s="1228" t="n"/>
      <c r="J37" s="1182" t="n"/>
      <c r="K37" s="2001" t="n"/>
      <c r="L37" s="2001" t="n"/>
      <c r="M37" s="2001" t="n"/>
      <c r="N37" s="2001" t="n"/>
      <c r="O37" s="2001" t="n"/>
      <c r="P37" s="2001" t="n"/>
      <c r="Q37" s="2001" t="n"/>
      <c r="R37" s="2001" t="n"/>
      <c r="S37" s="2001" t="n"/>
      <c r="T37" s="3789" t="n"/>
      <c r="U37" s="2001" t="n"/>
      <c r="V37" s="2001" t="n"/>
      <c r="W37" s="2001" t="n"/>
      <c r="X37" s="2001" t="n"/>
      <c r="Y37" s="2001" t="n"/>
      <c r="Z37" s="2001" t="n"/>
      <c r="AA37" s="2001" t="n"/>
      <c r="AB37" s="2001" t="n"/>
      <c r="AC37" s="2001" t="n"/>
      <c r="AD37" s="2001" t="n"/>
      <c r="AE37" s="2001" t="n"/>
      <c r="AF37" s="3788" t="n"/>
    </row>
    <row r="38" ht="15" customFormat="1" customHeight="1" s="17">
      <c r="A38" s="4660" t="inlineStr">
        <is>
          <t>Kinesiólogo</t>
        </is>
      </c>
      <c r="B38" s="1121">
        <f>SUM(C38:AF38)</f>
        <v/>
      </c>
      <c r="C38" s="1181" t="n"/>
      <c r="D38" s="1181" t="n"/>
      <c r="E38" s="1183" t="n"/>
      <c r="F38" s="1179" t="n"/>
      <c r="G38" s="1228" t="n"/>
      <c r="H38" s="1228" t="n"/>
      <c r="I38" s="1228" t="n"/>
      <c r="J38" s="1182" t="n"/>
      <c r="K38" s="2001" t="n"/>
      <c r="L38" s="2001" t="n"/>
      <c r="M38" s="2001" t="n"/>
      <c r="N38" s="2001" t="n"/>
      <c r="O38" s="2001" t="n"/>
      <c r="P38" s="2001" t="n"/>
      <c r="Q38" s="2001" t="n"/>
      <c r="R38" s="2001" t="n"/>
      <c r="S38" s="2001" t="n"/>
      <c r="T38" s="3789" t="n"/>
      <c r="U38" s="2001" t="n"/>
      <c r="V38" s="2001" t="n"/>
      <c r="W38" s="2001" t="n"/>
      <c r="X38" s="2001" t="n"/>
      <c r="Y38" s="2001" t="n"/>
      <c r="Z38" s="2001" t="n"/>
      <c r="AA38" s="2001" t="n"/>
      <c r="AB38" s="2001" t="n"/>
      <c r="AC38" s="2001" t="n"/>
      <c r="AD38" s="2001" t="n"/>
      <c r="AE38" s="2001" t="n"/>
      <c r="AF38" s="3788" t="n"/>
    </row>
    <row r="39" ht="15" customFormat="1" customHeight="1" s="17">
      <c r="A39" s="4660" t="inlineStr">
        <is>
          <t>Farmacéutico</t>
        </is>
      </c>
      <c r="B39" s="1121">
        <f>SUM(C39:AF39)</f>
        <v/>
      </c>
      <c r="C39" s="1181" t="n"/>
      <c r="D39" s="1181" t="n"/>
      <c r="E39" s="1183" t="n"/>
      <c r="F39" s="1179" t="n"/>
      <c r="G39" s="1228" t="n"/>
      <c r="H39" s="1228" t="n"/>
      <c r="I39" s="1228" t="n"/>
      <c r="J39" s="1182" t="n"/>
      <c r="K39" s="2001" t="n"/>
      <c r="L39" s="2001" t="n"/>
      <c r="M39" s="2001" t="n"/>
      <c r="N39" s="2001" t="n"/>
      <c r="O39" s="2001" t="n"/>
      <c r="P39" s="2001" t="n"/>
      <c r="Q39" s="2001" t="n"/>
      <c r="R39" s="2001" t="n"/>
      <c r="S39" s="2001" t="n"/>
      <c r="T39" s="3789" t="n"/>
      <c r="U39" s="2001" t="n"/>
      <c r="V39" s="2001" t="n"/>
      <c r="W39" s="2001" t="n"/>
      <c r="X39" s="2001" t="n"/>
      <c r="Y39" s="2001" t="n"/>
      <c r="Z39" s="2001" t="n"/>
      <c r="AA39" s="2001" t="n"/>
      <c r="AB39" s="2001" t="n"/>
      <c r="AC39" s="2001" t="n"/>
      <c r="AD39" s="2001" t="n"/>
      <c r="AE39" s="2001" t="n"/>
      <c r="AF39" s="3788" t="n"/>
    </row>
    <row r="40" ht="15" customFormat="1" customHeight="1" s="17">
      <c r="A40" s="4660" t="inlineStr">
        <is>
          <t>Técnico en enfermería</t>
        </is>
      </c>
      <c r="B40" s="1121">
        <f>SUM(C40:AF40)</f>
        <v/>
      </c>
      <c r="C40" s="1181" t="n"/>
      <c r="D40" s="1181" t="n"/>
      <c r="E40" s="1183" t="n"/>
      <c r="F40" s="1179" t="n"/>
      <c r="G40" s="1228" t="n"/>
      <c r="H40" s="1228" t="n"/>
      <c r="I40" s="1228" t="n"/>
      <c r="J40" s="1182" t="n"/>
      <c r="K40" s="2001" t="n"/>
      <c r="L40" s="2001" t="n"/>
      <c r="M40" s="2001" t="n"/>
      <c r="N40" s="2001" t="n"/>
      <c r="O40" s="2001" t="n"/>
      <c r="P40" s="2001" t="n"/>
      <c r="Q40" s="2001" t="n"/>
      <c r="R40" s="2001" t="n"/>
      <c r="S40" s="2001" t="n"/>
      <c r="T40" s="3789" t="n"/>
      <c r="U40" s="2001" t="n"/>
      <c r="V40" s="2001" t="n"/>
      <c r="W40" s="2001" t="n"/>
      <c r="X40" s="2001" t="n"/>
      <c r="Y40" s="2001" t="n"/>
      <c r="Z40" s="2001" t="n"/>
      <c r="AA40" s="2001" t="n"/>
      <c r="AB40" s="2001" t="n"/>
      <c r="AC40" s="2001" t="n"/>
      <c r="AD40" s="2001" t="n"/>
      <c r="AE40" s="2001" t="n"/>
      <c r="AF40" s="3788" t="n"/>
    </row>
    <row r="41" ht="15" customFormat="1" customHeight="1" s="17">
      <c r="A41" s="4660" t="inlineStr">
        <is>
          <t>Nutricionista</t>
        </is>
      </c>
      <c r="B41" s="1121">
        <f>SUM(C41:AF41)</f>
        <v/>
      </c>
      <c r="C41" s="1181" t="n"/>
      <c r="D41" s="1181" t="n"/>
      <c r="E41" s="1183" t="n"/>
      <c r="F41" s="1179" t="n"/>
      <c r="G41" s="1228" t="n"/>
      <c r="H41" s="1228" t="n"/>
      <c r="I41" s="1228" t="n"/>
      <c r="J41" s="1182" t="n"/>
      <c r="K41" s="2001" t="n"/>
      <c r="L41" s="2001" t="n"/>
      <c r="M41" s="2001" t="n"/>
      <c r="N41" s="2001" t="n"/>
      <c r="O41" s="2001" t="n"/>
      <c r="P41" s="2001" t="n"/>
      <c r="Q41" s="2001" t="n"/>
      <c r="R41" s="2001" t="n"/>
      <c r="S41" s="2001" t="n"/>
      <c r="T41" s="3789" t="n"/>
      <c r="U41" s="2001" t="n"/>
      <c r="V41" s="2001" t="n"/>
      <c r="W41" s="2001" t="n"/>
      <c r="X41" s="2001" t="n"/>
      <c r="Y41" s="2001" t="n"/>
      <c r="Z41" s="2001" t="n"/>
      <c r="AA41" s="2001" t="n"/>
      <c r="AB41" s="2001" t="n"/>
      <c r="AC41" s="2001" t="n"/>
      <c r="AD41" s="2001" t="n"/>
      <c r="AE41" s="2001" t="n"/>
      <c r="AF41" s="3788" t="n"/>
    </row>
    <row r="42" ht="15" customFormat="1" customHeight="1" s="17">
      <c r="A42" s="4660" t="inlineStr">
        <is>
          <t>Tecnólogo Médico</t>
        </is>
      </c>
      <c r="B42" s="1121">
        <f>SUM(C42:AF42)</f>
        <v/>
      </c>
      <c r="C42" s="1181" t="n"/>
      <c r="D42" s="1181" t="n"/>
      <c r="E42" s="1183" t="n"/>
      <c r="F42" s="1179" t="n"/>
      <c r="G42" s="1228" t="n"/>
      <c r="H42" s="1228" t="n"/>
      <c r="I42" s="1228" t="n"/>
      <c r="J42" s="1182" t="n"/>
      <c r="K42" s="2001" t="n"/>
      <c r="L42" s="2001" t="n"/>
      <c r="M42" s="2001" t="n"/>
      <c r="N42" s="2001" t="n"/>
      <c r="O42" s="2001" t="n"/>
      <c r="P42" s="2001" t="n"/>
      <c r="Q42" s="2001" t="n"/>
      <c r="R42" s="2001" t="n"/>
      <c r="S42" s="2001" t="n"/>
      <c r="T42" s="3789" t="n"/>
      <c r="U42" s="2001" t="n"/>
      <c r="V42" s="2001" t="n"/>
      <c r="W42" s="2001" t="n"/>
      <c r="X42" s="2001" t="n"/>
      <c r="Y42" s="2001" t="n"/>
      <c r="Z42" s="2001" t="n"/>
      <c r="AA42" s="2001" t="n"/>
      <c r="AB42" s="2001" t="n"/>
      <c r="AC42" s="2001" t="n"/>
      <c r="AD42" s="2001" t="n"/>
      <c r="AE42" s="2001" t="n"/>
      <c r="AF42" s="3788" t="n"/>
    </row>
    <row r="43" ht="15" customFormat="1" customHeight="1" s="17">
      <c r="A43" s="4660" t="inlineStr">
        <is>
          <t>Trabajador/a Social</t>
        </is>
      </c>
      <c r="B43" s="1121">
        <f>SUM(C43:AF43)</f>
        <v/>
      </c>
      <c r="C43" s="1181" t="n"/>
      <c r="D43" s="1181" t="n"/>
      <c r="E43" s="1183" t="n"/>
      <c r="F43" s="1179" t="n"/>
      <c r="G43" s="1228" t="n"/>
      <c r="H43" s="1228" t="n"/>
      <c r="I43" s="1228" t="n"/>
      <c r="J43" s="1182" t="n"/>
      <c r="K43" s="2001" t="n"/>
      <c r="L43" s="2001" t="n"/>
      <c r="M43" s="2001" t="n"/>
      <c r="N43" s="2001" t="n"/>
      <c r="O43" s="2001" t="n"/>
      <c r="P43" s="2001" t="n"/>
      <c r="Q43" s="2001" t="n"/>
      <c r="R43" s="2001" t="n"/>
      <c r="S43" s="2001" t="n"/>
      <c r="T43" s="3789" t="n"/>
      <c r="U43" s="2001" t="n"/>
      <c r="V43" s="2001" t="n"/>
      <c r="W43" s="2001" t="n"/>
      <c r="X43" s="2001" t="n"/>
      <c r="Y43" s="2001" t="n"/>
      <c r="Z43" s="2001" t="n"/>
      <c r="AA43" s="2001" t="n"/>
      <c r="AB43" s="2001" t="n"/>
      <c r="AC43" s="2001" t="n"/>
      <c r="AD43" s="2001" t="n"/>
      <c r="AE43" s="2001" t="n"/>
      <c r="AF43" s="3788" t="n"/>
    </row>
    <row r="44" ht="15" customFormat="1" customHeight="1" s="17">
      <c r="A44" s="1403" t="inlineStr">
        <is>
          <t>Terapeuta Ocupacional</t>
        </is>
      </c>
      <c r="B44" s="4158">
        <f>SUM(C44:AF44)</f>
        <v/>
      </c>
      <c r="C44" s="1181" t="n"/>
      <c r="D44" s="1181" t="n"/>
      <c r="E44" s="1183" t="n"/>
      <c r="F44" s="1179" t="n"/>
      <c r="G44" s="1228" t="n"/>
      <c r="H44" s="1228" t="n"/>
      <c r="I44" s="1228" t="n"/>
      <c r="J44" s="1182" t="n"/>
      <c r="K44" s="2001" t="n"/>
      <c r="L44" s="2001" t="n"/>
      <c r="M44" s="2001" t="n"/>
      <c r="N44" s="2001" t="n"/>
      <c r="O44" s="2001" t="n"/>
      <c r="P44" s="2001" t="n"/>
      <c r="Q44" s="2001" t="n"/>
      <c r="R44" s="2001" t="n"/>
      <c r="S44" s="2001" t="n"/>
      <c r="T44" s="3789" t="n"/>
      <c r="U44" s="2001" t="n"/>
      <c r="V44" s="2001" t="n"/>
      <c r="W44" s="2001" t="n"/>
      <c r="X44" s="2001" t="n"/>
      <c r="Y44" s="2001" t="n"/>
      <c r="Z44" s="2001" t="n"/>
      <c r="AA44" s="2001" t="n"/>
      <c r="AB44" s="2001" t="n"/>
      <c r="AC44" s="2001" t="n"/>
      <c r="AD44" s="2001" t="n"/>
      <c r="AE44" s="2001" t="n"/>
      <c r="AF44" s="3788" t="n"/>
    </row>
    <row r="45" ht="15" customFormat="1" customHeight="1" s="17">
      <c r="A45" s="9231" t="inlineStr">
        <is>
          <t>Terapeuta Complementario</t>
        </is>
      </c>
      <c r="B45" s="7764">
        <f>SUM(C45:AF45)</f>
        <v/>
      </c>
      <c r="C45" s="3818" t="n"/>
      <c r="D45" s="3818" t="n"/>
      <c r="E45" s="3601" t="n"/>
      <c r="F45" s="3808" t="n"/>
      <c r="G45" s="3599" t="n"/>
      <c r="H45" s="3599" t="n"/>
      <c r="I45" s="3599" t="n"/>
      <c r="J45" s="3819" t="n"/>
      <c r="K45" s="3599" t="n"/>
      <c r="L45" s="3599" t="n"/>
      <c r="M45" s="3599" t="n"/>
      <c r="N45" s="3599" t="n"/>
      <c r="O45" s="3599" t="n"/>
      <c r="P45" s="3599" t="n"/>
      <c r="Q45" s="3599" t="n"/>
      <c r="R45" s="3599" t="n"/>
      <c r="S45" s="3599" t="n"/>
      <c r="T45" s="3818" t="n"/>
      <c r="U45" s="3599" t="n"/>
      <c r="V45" s="3599" t="n"/>
      <c r="W45" s="3599" t="n"/>
      <c r="X45" s="3599" t="n"/>
      <c r="Y45" s="3599" t="n"/>
      <c r="Z45" s="3599" t="n"/>
      <c r="AA45" s="3599" t="n"/>
      <c r="AB45" s="3599" t="n"/>
      <c r="AC45" s="3599" t="n"/>
      <c r="AD45" s="3599" t="n"/>
      <c r="AE45" s="3599" t="n"/>
      <c r="AF45" s="1192" t="n"/>
    </row>
    <row r="46" ht="15" customFormat="1" customHeight="1" s="17">
      <c r="A46" s="4568" t="inlineStr">
        <is>
          <t>TOTAL</t>
        </is>
      </c>
      <c r="B46" s="4575">
        <f>SUM(B32:B45)</f>
        <v/>
      </c>
      <c r="C46" s="4508">
        <f>SUM(C32:C45)</f>
        <v/>
      </c>
      <c r="D46" s="4508">
        <f>SUM(D32:D45)</f>
        <v/>
      </c>
      <c r="E46" s="4551">
        <f>SUM(E32:E45)</f>
        <v/>
      </c>
      <c r="F46" s="4539">
        <f>SUM(F32:F45)</f>
        <v/>
      </c>
      <c r="G46" s="4508">
        <f>SUM(G32:G45)</f>
        <v/>
      </c>
      <c r="H46" s="4508">
        <f>SUM(H32:H45)</f>
        <v/>
      </c>
      <c r="I46" s="4508">
        <f>SUM(I32:I45)</f>
        <v/>
      </c>
      <c r="J46" s="4667">
        <f>SUM(J32:J45)</f>
        <v/>
      </c>
      <c r="K46" s="4667">
        <f>SUM(K32:K45)</f>
        <v/>
      </c>
      <c r="L46" s="4667">
        <f>SUM(L32:L45)</f>
        <v/>
      </c>
      <c r="M46" s="4667">
        <f>SUM(M32:M45)</f>
        <v/>
      </c>
      <c r="N46" s="4667">
        <f>SUM(N32:N45)</f>
        <v/>
      </c>
      <c r="O46" s="4667">
        <f>SUM(O32:O45)</f>
        <v/>
      </c>
      <c r="P46" s="4667">
        <f>SUM(P32:P45)</f>
        <v/>
      </c>
      <c r="Q46" s="4667">
        <f>SUM(Q32:Q45)</f>
        <v/>
      </c>
      <c r="R46" s="4667">
        <f>SUM(R32:R45)</f>
        <v/>
      </c>
      <c r="S46" s="4667">
        <f>SUM(S32:S45)</f>
        <v/>
      </c>
      <c r="T46" s="4667">
        <f>SUM(T32:T45)</f>
        <v/>
      </c>
      <c r="U46" s="4667">
        <f>SUM(U32:U45)</f>
        <v/>
      </c>
      <c r="V46" s="4667">
        <f>SUM(V32:V45)</f>
        <v/>
      </c>
      <c r="W46" s="4667">
        <f>SUM(W32:W45)</f>
        <v/>
      </c>
      <c r="X46" s="4667">
        <f>SUM(X32:X45)</f>
        <v/>
      </c>
      <c r="Y46" s="4667">
        <f>SUM(Y32:Y45)</f>
        <v/>
      </c>
      <c r="Z46" s="4667">
        <f>SUM(Z32:Z45)</f>
        <v/>
      </c>
      <c r="AA46" s="4667">
        <f>SUM(AA32:AA45)</f>
        <v/>
      </c>
      <c r="AB46" s="4667">
        <f>SUM(AB32:AB45)</f>
        <v/>
      </c>
      <c r="AC46" s="4667">
        <f>SUM(AC32:AC45)</f>
        <v/>
      </c>
      <c r="AD46" s="4667">
        <f>SUM(AD32:AD45)</f>
        <v/>
      </c>
      <c r="AE46" s="4667">
        <f>SUM(AE32:AE45)</f>
        <v/>
      </c>
      <c r="AF46" s="4570">
        <f>SUM(AF32:AF45)</f>
        <v/>
      </c>
    </row>
    <row r="47" ht="17.1" customFormat="1" customHeight="1" s="20">
      <c r="A47" s="10617" t="inlineStr">
        <is>
          <t>SECCIÓN C: ORIGEN DE LA ATENCIÓN CON MEDICINA COMPLEMENTARIA Y PRÁCTICAS DE BIENESTAR DE LA SALUD</t>
        </is>
      </c>
      <c r="B47" s="9584" t="n"/>
      <c r="C47" s="9584" t="n"/>
      <c r="D47" s="9584" t="n"/>
      <c r="E47" s="9584" t="n"/>
      <c r="F47" s="9584" t="n"/>
      <c r="G47" s="9584" t="n"/>
      <c r="H47" s="9584" t="n"/>
      <c r="I47" s="9584" t="n"/>
      <c r="J47" s="9584" t="n"/>
      <c r="K47" s="9584" t="n"/>
      <c r="L47" s="9584" t="n"/>
      <c r="M47" s="9584" t="n"/>
    </row>
    <row r="48" ht="15" customFormat="1" customHeight="1" s="17">
      <c r="A48" s="10335" t="inlineStr">
        <is>
          <t>ORIGEN DE LA ATENCIÓN</t>
        </is>
      </c>
      <c r="B48" s="10326" t="inlineStr">
        <is>
          <t>TOTAL</t>
        </is>
      </c>
      <c r="C48" s="10618" t="inlineStr">
        <is>
          <t>Acupuntura</t>
        </is>
      </c>
      <c r="D48" s="10619" t="inlineStr">
        <is>
          <t>Homeopatía</t>
        </is>
      </c>
      <c r="E48" s="10620" t="inlineStr">
        <is>
          <t>Naturopatía</t>
        </is>
      </c>
      <c r="F48" s="10326" t="inlineStr">
        <is>
          <t>NO REGULADAS</t>
        </is>
      </c>
      <c r="G48" s="9584" t="n"/>
      <c r="H48" s="9584" t="n"/>
      <c r="I48" s="9584" t="n"/>
      <c r="J48" s="9584" t="n"/>
      <c r="K48" s="9584" t="n"/>
      <c r="L48" s="9584" t="n"/>
      <c r="M48" s="9584" t="n"/>
      <c r="N48" s="9584" t="n"/>
      <c r="O48" s="9584" t="n"/>
      <c r="P48" s="9584" t="n"/>
      <c r="Q48" s="9584" t="n"/>
      <c r="R48" s="9584" t="n"/>
      <c r="S48" s="9584" t="n"/>
      <c r="T48" s="9584" t="n"/>
      <c r="U48" s="9584" t="n"/>
      <c r="V48" s="9584" t="n"/>
      <c r="W48" s="9584" t="n"/>
      <c r="X48" s="9584" t="n"/>
      <c r="Y48" s="9584" t="n"/>
      <c r="Z48" s="9584" t="n"/>
      <c r="AA48" s="9584" t="n"/>
      <c r="AB48" s="9584" t="n"/>
      <c r="AC48" s="9584" t="n"/>
      <c r="AD48" s="9584" t="n"/>
      <c r="AE48" s="9584" t="n"/>
      <c r="AF48" s="9582" t="n"/>
    </row>
    <row r="49" ht="42" customFormat="1" customHeight="1" s="17">
      <c r="A49" s="9641" t="n"/>
      <c r="B49" s="9610" t="n"/>
      <c r="C49" s="9800" t="n"/>
      <c r="D49" s="9605" t="n"/>
      <c r="E49" s="9705" t="n"/>
      <c r="F49" s="9323" t="inlineStr">
        <is>
          <t>Apiterapia</t>
        </is>
      </c>
      <c r="G49" s="8634" t="inlineStr">
        <is>
          <t>Arte terapia</t>
        </is>
      </c>
      <c r="H49" s="8634" t="inlineStr">
        <is>
          <t>Aurículo-terapia</t>
        </is>
      </c>
      <c r="I49" s="8634" t="inlineStr">
        <is>
          <t>Biodanza</t>
        </is>
      </c>
      <c r="J49" s="8074" t="inlineStr">
        <is>
          <t>Biomagnetismo</t>
        </is>
      </c>
      <c r="K49" s="8634" t="inlineStr">
        <is>
          <t>Qi Gong</t>
        </is>
      </c>
      <c r="L49" s="9349" t="inlineStr">
        <is>
          <t>Fitoterapia</t>
        </is>
      </c>
      <c r="M49" s="8634" t="inlineStr">
        <is>
          <t>Huertos Medicinales o Alimenticio / Medicinales</t>
        </is>
      </c>
      <c r="N49" s="8634" t="inlineStr">
        <is>
          <t>Masoterapia</t>
        </is>
      </c>
      <c r="O49" s="8634" t="inlineStr">
        <is>
          <t>Medicina Antroposófica</t>
        </is>
      </c>
      <c r="P49" s="4669" t="inlineStr">
        <is>
          <t xml:space="preserve">Meditación </t>
        </is>
      </c>
      <c r="Q49" s="4670" t="inlineStr">
        <is>
          <t>Quiropraxia</t>
        </is>
      </c>
      <c r="R49" s="8634" t="inlineStr">
        <is>
          <t>Reiki</t>
        </is>
      </c>
      <c r="S49" s="9349" t="inlineStr">
        <is>
          <t>Sanación Pránica</t>
        </is>
      </c>
      <c r="T49" s="4669" t="inlineStr">
        <is>
          <t>Sintergética</t>
        </is>
      </c>
      <c r="U49" s="4651" t="inlineStr">
        <is>
          <t>Sonoterapia</t>
        </is>
      </c>
      <c r="V49" s="4669" t="inlineStr">
        <is>
          <t xml:space="preserve">Tai Chi </t>
        </is>
      </c>
      <c r="W49" s="4669" t="inlineStr">
        <is>
          <t>Terapia Floral</t>
        </is>
      </c>
      <c r="X49" s="9349" t="inlineStr">
        <is>
          <t>Terapia Neural</t>
        </is>
      </c>
      <c r="Y49" s="4669" t="inlineStr">
        <is>
          <t>Yoga</t>
        </is>
      </c>
      <c r="Z49" s="4651" t="inlineStr">
        <is>
          <t>Constelaciones Familiares</t>
        </is>
      </c>
      <c r="AA49" s="4669" t="inlineStr">
        <is>
          <t>Circulos de escucha</t>
        </is>
      </c>
      <c r="AB49" s="8634" t="inlineStr">
        <is>
          <t>Musicoterapia</t>
        </is>
      </c>
      <c r="AC49" s="4669" t="inlineStr">
        <is>
          <t>Danzaterapia</t>
        </is>
      </c>
      <c r="AD49" s="4669" t="inlineStr">
        <is>
          <t>Dramaterapia</t>
        </is>
      </c>
      <c r="AE49" s="4669" t="inlineStr">
        <is>
          <t>Otras Individuales</t>
        </is>
      </c>
      <c r="AF49" s="4671" t="inlineStr">
        <is>
          <t>Otras Grupales</t>
        </is>
      </c>
    </row>
    <row r="50" ht="15" customFormat="1" customHeight="1" s="17">
      <c r="A50" s="4286" t="inlineStr">
        <is>
          <t>Consulta Espontánea</t>
        </is>
      </c>
      <c r="B50" s="4287">
        <f>SUM(C50:AF50)</f>
        <v/>
      </c>
      <c r="C50" s="1172" t="n"/>
      <c r="D50" s="835" t="n"/>
      <c r="E50" s="3788" t="n"/>
      <c r="F50" s="3917" t="n"/>
      <c r="G50" s="803" t="n"/>
      <c r="H50" s="803" t="n"/>
      <c r="I50" s="803" t="n"/>
      <c r="J50" s="4672" t="n"/>
      <c r="K50" s="846" t="n"/>
      <c r="L50" s="846" t="n"/>
      <c r="M50" s="846" t="n"/>
      <c r="N50" s="4034" t="n"/>
      <c r="O50" s="803" t="n"/>
      <c r="P50" s="803" t="n"/>
      <c r="Q50" s="803" t="n"/>
      <c r="R50" s="803" t="n"/>
      <c r="S50" s="803" t="n"/>
      <c r="T50" s="803" t="n"/>
      <c r="U50" s="803" t="n"/>
      <c r="V50" s="803" t="n"/>
      <c r="W50" s="803" t="n"/>
      <c r="X50" s="803" t="n"/>
      <c r="Y50" s="803" t="n"/>
      <c r="Z50" s="4672" t="n"/>
      <c r="AA50" s="4672" t="n"/>
      <c r="AB50" s="4672" t="n"/>
      <c r="AC50" s="4672" t="n"/>
      <c r="AD50" s="846" t="n"/>
      <c r="AE50" s="4673" t="n"/>
      <c r="AF50" s="774" t="n"/>
    </row>
    <row r="51" ht="15" customFormat="1" customHeight="1" s="17">
      <c r="A51" s="4288" t="inlineStr">
        <is>
          <t>Derivado desde Morbilidad</t>
        </is>
      </c>
      <c r="B51" s="1267">
        <f>SUM(C51:AF51)</f>
        <v/>
      </c>
      <c r="C51" s="1172" t="n"/>
      <c r="D51" s="2001" t="n"/>
      <c r="E51" s="3788" t="n"/>
      <c r="F51" s="1179" t="n"/>
      <c r="G51" s="1228" t="n"/>
      <c r="H51" s="1228" t="n"/>
      <c r="I51" s="1228" t="n"/>
      <c r="J51" s="1182" t="n"/>
      <c r="K51" s="1228" t="n"/>
      <c r="L51" s="1228" t="n"/>
      <c r="M51" s="1228" t="n"/>
      <c r="N51" s="1181" t="n"/>
      <c r="O51" s="1228" t="n"/>
      <c r="P51" s="1228" t="n"/>
      <c r="Q51" s="1228" t="n"/>
      <c r="R51" s="1228" t="n"/>
      <c r="S51" s="1228" t="n"/>
      <c r="T51" s="1228" t="n"/>
      <c r="U51" s="1228" t="n"/>
      <c r="V51" s="1228" t="n"/>
      <c r="W51" s="1228" t="n"/>
      <c r="X51" s="1228" t="n"/>
      <c r="Y51" s="1228" t="n"/>
      <c r="Z51" s="1182" t="n"/>
      <c r="AA51" s="1182" t="n"/>
      <c r="AB51" s="1182" t="n"/>
      <c r="AC51" s="1182" t="n"/>
      <c r="AD51" s="1228" t="n"/>
      <c r="AE51" s="1181" t="n"/>
      <c r="AF51" s="1183" t="n"/>
    </row>
    <row r="52" ht="15" customFormat="1" customHeight="1" s="17">
      <c r="A52" s="4288" t="inlineStr">
        <is>
          <t>Derivado desde Especialidad</t>
        </is>
      </c>
      <c r="B52" s="1267">
        <f>SUM(C52:AF52)</f>
        <v/>
      </c>
      <c r="C52" s="1172" t="n"/>
      <c r="D52" s="2001" t="n"/>
      <c r="E52" s="3788" t="n"/>
      <c r="F52" s="1172" t="n"/>
      <c r="G52" s="2001" t="n"/>
      <c r="H52" s="2001" t="n"/>
      <c r="I52" s="2001" t="n"/>
      <c r="J52" s="885" t="n"/>
      <c r="K52" s="2001" t="n"/>
      <c r="L52" s="2001" t="n"/>
      <c r="M52" s="2001" t="n"/>
      <c r="N52" s="3789" t="n"/>
      <c r="O52" s="2001" t="n"/>
      <c r="P52" s="2001" t="n"/>
      <c r="Q52" s="2001" t="n"/>
      <c r="R52" s="2001" t="n"/>
      <c r="S52" s="2001" t="n"/>
      <c r="T52" s="2001" t="n"/>
      <c r="U52" s="2001" t="n"/>
      <c r="V52" s="2001" t="n"/>
      <c r="W52" s="2001" t="n"/>
      <c r="X52" s="2001" t="n"/>
      <c r="Y52" s="2001" t="n"/>
      <c r="Z52" s="885" t="n"/>
      <c r="AA52" s="885" t="n"/>
      <c r="AB52" s="885" t="n"/>
      <c r="AC52" s="885" t="n"/>
      <c r="AD52" s="2001" t="n"/>
      <c r="AE52" s="3789" t="n"/>
      <c r="AF52" s="886" t="n"/>
    </row>
    <row r="53" ht="15" customFormat="1" customHeight="1" s="17">
      <c r="A53" s="4288" t="inlineStr">
        <is>
          <t>Paciente Hospitalizado</t>
        </is>
      </c>
      <c r="B53" s="1267">
        <f>SUM(C53:AF53)</f>
        <v/>
      </c>
      <c r="C53" s="1172" t="n"/>
      <c r="D53" s="2001" t="n"/>
      <c r="E53" s="3788" t="n"/>
      <c r="F53" s="1172" t="n"/>
      <c r="G53" s="2001" t="n"/>
      <c r="H53" s="2001" t="n"/>
      <c r="I53" s="2001" t="n"/>
      <c r="J53" s="885" t="n"/>
      <c r="K53" s="2001" t="n"/>
      <c r="L53" s="2001" t="n"/>
      <c r="M53" s="2001" t="n"/>
      <c r="N53" s="3789" t="n"/>
      <c r="O53" s="2001" t="n"/>
      <c r="P53" s="2001" t="n"/>
      <c r="Q53" s="2001" t="n"/>
      <c r="R53" s="2001" t="n"/>
      <c r="S53" s="2001" t="n"/>
      <c r="T53" s="2001" t="n"/>
      <c r="U53" s="2001" t="n"/>
      <c r="V53" s="2001" t="n"/>
      <c r="W53" s="2001" t="n"/>
      <c r="X53" s="2001" t="n"/>
      <c r="Y53" s="2001" t="n"/>
      <c r="Z53" s="885" t="n"/>
      <c r="AA53" s="885" t="n"/>
      <c r="AB53" s="885" t="n"/>
      <c r="AC53" s="885" t="n"/>
      <c r="AD53" s="2001" t="n"/>
      <c r="AE53" s="3789" t="n"/>
      <c r="AF53" s="886" t="n"/>
    </row>
    <row r="54" ht="15" customFormat="1" customHeight="1" s="17">
      <c r="A54" s="4660" t="inlineStr">
        <is>
          <t>Programa Crónicos Cardiovascular</t>
        </is>
      </c>
      <c r="B54" s="1267">
        <f>SUM(C54:AF54)</f>
        <v/>
      </c>
      <c r="C54" s="1172" t="n"/>
      <c r="D54" s="2001" t="n"/>
      <c r="E54" s="3788" t="n"/>
      <c r="F54" s="1935" t="n"/>
      <c r="G54" s="793" t="n"/>
      <c r="H54" s="793" t="n"/>
      <c r="I54" s="793" t="n"/>
      <c r="J54" s="2261" t="n"/>
      <c r="K54" s="793" t="n"/>
      <c r="L54" s="793" t="n"/>
      <c r="M54" s="793" t="n"/>
      <c r="N54" s="1432" t="n"/>
      <c r="O54" s="793" t="n"/>
      <c r="P54" s="793" t="n"/>
      <c r="Q54" s="793" t="n"/>
      <c r="R54" s="793" t="n"/>
      <c r="S54" s="793" t="n"/>
      <c r="T54" s="793" t="n"/>
      <c r="U54" s="793" t="n"/>
      <c r="V54" s="793" t="n"/>
      <c r="W54" s="793" t="n"/>
      <c r="X54" s="793" t="n"/>
      <c r="Y54" s="793" t="n"/>
      <c r="Z54" s="2261" t="n"/>
      <c r="AA54" s="2261" t="n"/>
      <c r="AB54" s="2261" t="n"/>
      <c r="AC54" s="2261" t="n"/>
      <c r="AD54" s="793" t="n"/>
      <c r="AE54" s="1432" t="n"/>
      <c r="AF54" s="755" t="n"/>
    </row>
    <row r="55" ht="15" customFormat="1" customHeight="1" s="17">
      <c r="A55" s="4660" t="inlineStr">
        <is>
          <t>Otros programas de crónicos</t>
        </is>
      </c>
      <c r="B55" s="1267">
        <f>SUM(C55:AF55)</f>
        <v/>
      </c>
      <c r="C55" s="1172" t="n"/>
      <c r="D55" s="2001" t="n"/>
      <c r="E55" s="3788" t="n"/>
      <c r="F55" s="1935" t="n"/>
      <c r="G55" s="793" t="n"/>
      <c r="H55" s="793" t="n"/>
      <c r="I55" s="793" t="n"/>
      <c r="J55" s="2261" t="n"/>
      <c r="K55" s="793" t="n"/>
      <c r="L55" s="2001" t="n"/>
      <c r="M55" s="2001" t="n"/>
      <c r="N55" s="1432" t="n"/>
      <c r="O55" s="793" t="n"/>
      <c r="P55" s="793" t="n"/>
      <c r="Q55" s="793" t="n"/>
      <c r="R55" s="793" t="n"/>
      <c r="S55" s="793" t="n"/>
      <c r="T55" s="793" t="n"/>
      <c r="U55" s="793" t="n"/>
      <c r="V55" s="793" t="n"/>
      <c r="W55" s="793" t="n"/>
      <c r="X55" s="793" t="n"/>
      <c r="Y55" s="793" t="n"/>
      <c r="Z55" s="2261" t="n"/>
      <c r="AA55" s="2261" t="n"/>
      <c r="AB55" s="2261" t="n"/>
      <c r="AC55" s="2261" t="n"/>
      <c r="AD55" s="793" t="n"/>
      <c r="AE55" s="3789" t="n"/>
      <c r="AF55" s="886" t="n"/>
    </row>
    <row r="56" ht="15" customFormat="1" customHeight="1" s="17">
      <c r="A56" s="4660" t="inlineStr">
        <is>
          <t>Programa de Salud Mental</t>
        </is>
      </c>
      <c r="B56" s="1267">
        <f>SUM(C56:AF56)</f>
        <v/>
      </c>
      <c r="C56" s="1172" t="n"/>
      <c r="D56" s="2001" t="n"/>
      <c r="E56" s="3788" t="n"/>
      <c r="F56" s="1172" t="n"/>
      <c r="G56" s="2001" t="n"/>
      <c r="H56" s="2001" t="n"/>
      <c r="I56" s="2001" t="n"/>
      <c r="J56" s="885" t="n"/>
      <c r="K56" s="2001" t="n"/>
      <c r="L56" s="2001" t="n"/>
      <c r="M56" s="2001" t="n"/>
      <c r="N56" s="3789" t="n"/>
      <c r="O56" s="2001" t="n"/>
      <c r="P56" s="2001" t="n"/>
      <c r="Q56" s="2001" t="n"/>
      <c r="R56" s="2001" t="n"/>
      <c r="S56" s="2001" t="n"/>
      <c r="T56" s="2001" t="n"/>
      <c r="U56" s="2001" t="n"/>
      <c r="V56" s="2001" t="n"/>
      <c r="W56" s="2001" t="n"/>
      <c r="X56" s="2001" t="n"/>
      <c r="Y56" s="2001" t="n"/>
      <c r="Z56" s="885" t="n"/>
      <c r="AA56" s="885" t="n"/>
      <c r="AB56" s="885" t="n"/>
      <c r="AC56" s="885" t="n"/>
      <c r="AD56" s="2001" t="n"/>
      <c r="AE56" s="3789" t="n"/>
      <c r="AF56" s="886" t="n"/>
    </row>
    <row r="57" ht="15" customFormat="1" customHeight="1" s="17">
      <c r="A57" s="4660" t="inlineStr">
        <is>
          <t>Programa de Salud Oral</t>
        </is>
      </c>
      <c r="B57" s="1267">
        <f>SUM(C57:AF57)</f>
        <v/>
      </c>
      <c r="C57" s="1172" t="n"/>
      <c r="D57" s="2001" t="n"/>
      <c r="E57" s="3788" t="n"/>
      <c r="F57" s="1172" t="n"/>
      <c r="G57" s="2001" t="n"/>
      <c r="H57" s="2001" t="n"/>
      <c r="I57" s="2001" t="n"/>
      <c r="J57" s="885" t="n"/>
      <c r="K57" s="2001" t="n"/>
      <c r="L57" s="2001" t="n"/>
      <c r="M57" s="2001" t="n"/>
      <c r="N57" s="3789" t="n"/>
      <c r="O57" s="2001" t="n"/>
      <c r="P57" s="2001" t="n"/>
      <c r="Q57" s="2001" t="n"/>
      <c r="R57" s="2001" t="n"/>
      <c r="S57" s="2001" t="n"/>
      <c r="T57" s="2001" t="n"/>
      <c r="U57" s="2001" t="n"/>
      <c r="V57" s="2001" t="n"/>
      <c r="W57" s="2001" t="n"/>
      <c r="X57" s="2001" t="n"/>
      <c r="Y57" s="2001" t="n"/>
      <c r="Z57" s="885" t="n"/>
      <c r="AA57" s="885" t="n"/>
      <c r="AB57" s="885" t="n"/>
      <c r="AC57" s="885" t="n"/>
      <c r="AD57" s="2001" t="n"/>
      <c r="AE57" s="3789" t="n"/>
      <c r="AF57" s="886" t="n"/>
    </row>
    <row r="58" ht="15" customFormat="1" customHeight="1" s="17">
      <c r="A58" s="4660" t="inlineStr">
        <is>
          <t xml:space="preserve">Programa de Salud sexual y reproductiva </t>
        </is>
      </c>
      <c r="B58" s="1267">
        <f>SUM(C58:AF58)</f>
        <v/>
      </c>
      <c r="C58" s="1172" t="n"/>
      <c r="D58" s="2001" t="n"/>
      <c r="E58" s="3788" t="n"/>
      <c r="F58" s="1179" t="n"/>
      <c r="G58" s="1228" t="n"/>
      <c r="H58" s="1228" t="n"/>
      <c r="I58" s="1228" t="n"/>
      <c r="J58" s="1228" t="n"/>
      <c r="K58" s="1181" t="n"/>
      <c r="L58" s="1181" t="n"/>
      <c r="M58" s="1181" t="n"/>
      <c r="N58" s="1181" t="n"/>
      <c r="O58" s="1228" t="n"/>
      <c r="P58" s="1181" t="n"/>
      <c r="Q58" s="1228" t="n"/>
      <c r="R58" s="1181" t="n"/>
      <c r="S58" s="1228" t="n"/>
      <c r="T58" s="1181" t="n"/>
      <c r="U58" s="1228" t="n"/>
      <c r="V58" s="1181" t="n"/>
      <c r="W58" s="1228" t="n"/>
      <c r="X58" s="1181" t="n"/>
      <c r="Y58" s="1228" t="n"/>
      <c r="Z58" s="1181" t="n"/>
      <c r="AA58" s="1228" t="n"/>
      <c r="AB58" s="1181" t="n"/>
      <c r="AC58" s="1228" t="n"/>
      <c r="AD58" s="1228" t="n"/>
      <c r="AE58" s="1181" t="n"/>
      <c r="AF58" s="1183" t="n"/>
    </row>
    <row r="59" ht="15" customFormat="1" customHeight="1" s="17">
      <c r="A59" s="4288" t="inlineStr">
        <is>
          <t>Chile Crece Contigo/Programa Infantil</t>
        </is>
      </c>
      <c r="B59" s="3962">
        <f>SUM(C59:AF59)</f>
        <v/>
      </c>
      <c r="C59" s="1935" t="n"/>
      <c r="D59" s="793" t="n"/>
      <c r="E59" s="3805" t="n"/>
      <c r="F59" s="1179" t="n"/>
      <c r="G59" s="1228" t="n"/>
      <c r="H59" s="1228" t="n"/>
      <c r="I59" s="1228" t="n"/>
      <c r="J59" s="2001" t="n"/>
      <c r="K59" s="3789" t="n"/>
      <c r="L59" s="1181" t="n"/>
      <c r="M59" s="3789" t="n"/>
      <c r="N59" s="1181" t="n"/>
      <c r="O59" s="2001" t="n"/>
      <c r="P59" s="1181" t="n"/>
      <c r="Q59" s="2001" t="n"/>
      <c r="R59" s="1181" t="n"/>
      <c r="S59" s="2001" t="n"/>
      <c r="T59" s="1181" t="n"/>
      <c r="U59" s="1228" t="n"/>
      <c r="V59" s="1181" t="n"/>
      <c r="W59" s="2001" t="n"/>
      <c r="X59" s="1181" t="n"/>
      <c r="Y59" s="2001" t="n"/>
      <c r="Z59" s="1181" t="n"/>
      <c r="AA59" s="1228" t="n"/>
      <c r="AB59" s="1181" t="n"/>
      <c r="AC59" s="2001" t="n"/>
      <c r="AD59" s="2001" t="n"/>
      <c r="AE59" s="3789" t="n"/>
      <c r="AF59" s="886" t="n"/>
    </row>
    <row r="60" ht="15" customFormat="1" customHeight="1" s="17">
      <c r="A60" s="4660" t="inlineStr">
        <is>
          <t>Programa de Cáncer (QT/RT)</t>
        </is>
      </c>
      <c r="B60" s="1267">
        <f>SUM(C60:AF60)</f>
        <v/>
      </c>
      <c r="C60" s="1179" t="n"/>
      <c r="D60" s="1228" t="n"/>
      <c r="E60" s="1180" t="n"/>
      <c r="F60" s="1172" t="n"/>
      <c r="G60" s="2001" t="n"/>
      <c r="H60" s="2001" t="n"/>
      <c r="I60" s="2001" t="n"/>
      <c r="J60" s="885" t="n"/>
      <c r="K60" s="2001" t="n"/>
      <c r="L60" s="2001" t="n"/>
      <c r="M60" s="2001" t="n"/>
      <c r="N60" s="3789" t="n"/>
      <c r="O60" s="2001" t="n"/>
      <c r="P60" s="2001" t="n"/>
      <c r="Q60" s="2001" t="n"/>
      <c r="R60" s="2001" t="n"/>
      <c r="S60" s="2001" t="n"/>
      <c r="T60" s="2001" t="n"/>
      <c r="U60" s="2001" t="n"/>
      <c r="V60" s="3789" t="n"/>
      <c r="W60" s="2001" t="n"/>
      <c r="X60" s="2001" t="n"/>
      <c r="Y60" s="2001" t="n"/>
      <c r="Z60" s="885" t="n"/>
      <c r="AA60" s="2001" t="n"/>
      <c r="AB60" s="3895" t="n"/>
      <c r="AC60" s="885" t="n"/>
      <c r="AD60" s="2001" t="n"/>
      <c r="AE60" s="3789" t="n"/>
      <c r="AF60" s="886" t="n"/>
    </row>
    <row r="61" ht="15" customFormat="1" customHeight="1" s="17">
      <c r="A61" s="4660" t="inlineStr">
        <is>
          <t>Programa de Dependencia severa</t>
        </is>
      </c>
      <c r="B61" s="1267">
        <f>SUM(C61:AF61)</f>
        <v/>
      </c>
      <c r="C61" s="1172" t="n"/>
      <c r="D61" s="2001" t="n"/>
      <c r="E61" s="3788" t="n"/>
      <c r="F61" s="1172" t="n"/>
      <c r="G61" s="2001" t="n"/>
      <c r="H61" s="2001" t="n"/>
      <c r="I61" s="2001" t="n"/>
      <c r="J61" s="885" t="n"/>
      <c r="K61" s="2001" t="n"/>
      <c r="L61" s="2001" t="n"/>
      <c r="M61" s="2001" t="n"/>
      <c r="N61" s="3789" t="n"/>
      <c r="O61" s="2001" t="n"/>
      <c r="P61" s="2001" t="n"/>
      <c r="Q61" s="2001" t="n"/>
      <c r="R61" s="2001" t="n"/>
      <c r="S61" s="2001" t="n"/>
      <c r="T61" s="2001" t="n"/>
      <c r="U61" s="2001" t="n"/>
      <c r="V61" s="2001" t="n"/>
      <c r="W61" s="2001" t="n"/>
      <c r="X61" s="2001" t="n"/>
      <c r="Y61" s="2001" t="n"/>
      <c r="Z61" s="885" t="n"/>
      <c r="AA61" s="885" t="n"/>
      <c r="AB61" s="885" t="n"/>
      <c r="AC61" s="885" t="n"/>
      <c r="AD61" s="2001" t="n"/>
      <c r="AE61" s="3789" t="n"/>
      <c r="AF61" s="886" t="n"/>
    </row>
    <row r="62" ht="15" customFormat="1" customHeight="1" s="17">
      <c r="A62" s="4660" t="inlineStr">
        <is>
          <t>Programa de Hospitalización Domiciliaria</t>
        </is>
      </c>
      <c r="B62" s="1267">
        <f>SUM(C62:AF62)</f>
        <v/>
      </c>
      <c r="C62" s="1172" t="n"/>
      <c r="D62" s="2001" t="n"/>
      <c r="E62" s="3788" t="n"/>
      <c r="F62" s="1172" t="n"/>
      <c r="G62" s="2001" t="n"/>
      <c r="H62" s="2001" t="n"/>
      <c r="I62" s="2001" t="n"/>
      <c r="J62" s="885" t="n"/>
      <c r="K62" s="2001" t="n"/>
      <c r="L62" s="2001" t="n"/>
      <c r="M62" s="2001" t="n"/>
      <c r="N62" s="3789" t="n"/>
      <c r="O62" s="2001" t="n"/>
      <c r="P62" s="2001" t="n"/>
      <c r="Q62" s="2001" t="n"/>
      <c r="R62" s="2001" t="n"/>
      <c r="S62" s="2001" t="n"/>
      <c r="T62" s="2001" t="n"/>
      <c r="U62" s="2001" t="n"/>
      <c r="V62" s="2001" t="n"/>
      <c r="W62" s="2001" t="n"/>
      <c r="X62" s="2001" t="n"/>
      <c r="Y62" s="2001" t="n"/>
      <c r="Z62" s="885" t="n"/>
      <c r="AA62" s="885" t="n"/>
      <c r="AB62" s="885" t="n"/>
      <c r="AC62" s="885" t="n"/>
      <c r="AD62" s="2001" t="n"/>
      <c r="AE62" s="3789" t="n"/>
      <c r="AF62" s="886" t="n"/>
    </row>
    <row r="63" ht="15" customFormat="1" customHeight="1" s="17">
      <c r="A63" s="4660" t="inlineStr">
        <is>
          <t>Programa de Rehabilitación física</t>
        </is>
      </c>
      <c r="B63" s="1267">
        <f>SUM(C63:AF63)</f>
        <v/>
      </c>
      <c r="C63" s="1172" t="n"/>
      <c r="D63" s="2001" t="n"/>
      <c r="E63" s="3788" t="n"/>
      <c r="F63" s="1172" t="n"/>
      <c r="G63" s="2001" t="n"/>
      <c r="H63" s="2001" t="n"/>
      <c r="I63" s="2001" t="n"/>
      <c r="J63" s="885" t="n"/>
      <c r="K63" s="2001" t="n"/>
      <c r="L63" s="2001" t="n"/>
      <c r="M63" s="2001" t="n"/>
      <c r="N63" s="3789" t="n"/>
      <c r="O63" s="2001" t="n"/>
      <c r="P63" s="2001" t="n"/>
      <c r="Q63" s="2001" t="n"/>
      <c r="R63" s="2001" t="n"/>
      <c r="S63" s="2001" t="n"/>
      <c r="T63" s="2001" t="n"/>
      <c r="U63" s="2001" t="n"/>
      <c r="V63" s="2001" t="n"/>
      <c r="W63" s="2001" t="n"/>
      <c r="X63" s="2001" t="n"/>
      <c r="Y63" s="2001" t="n"/>
      <c r="Z63" s="885" t="n"/>
      <c r="AA63" s="885" t="n"/>
      <c r="AB63" s="885" t="n"/>
      <c r="AC63" s="885" t="n"/>
      <c r="AD63" s="2001" t="n"/>
      <c r="AE63" s="3789" t="n"/>
      <c r="AF63" s="886" t="n"/>
    </row>
    <row r="64" ht="21" customFormat="1" customHeight="1" s="17">
      <c r="A64" s="4288" t="inlineStr">
        <is>
          <t>Programa de Cuidados Paliativos y Manejo del Dolor</t>
        </is>
      </c>
      <c r="B64" s="1267">
        <f>SUM(C64:AF64)</f>
        <v/>
      </c>
      <c r="C64" s="1172" t="n"/>
      <c r="D64" s="2001" t="n"/>
      <c r="E64" s="3788" t="n"/>
      <c r="F64" s="1172" t="n"/>
      <c r="G64" s="2001" t="n"/>
      <c r="H64" s="2001" t="n"/>
      <c r="I64" s="2001" t="n"/>
      <c r="J64" s="885" t="n"/>
      <c r="K64" s="2001" t="n"/>
      <c r="L64" s="2001" t="n"/>
      <c r="M64" s="2001" t="n"/>
      <c r="N64" s="3789" t="n"/>
      <c r="O64" s="2001" t="n"/>
      <c r="P64" s="2001" t="n"/>
      <c r="Q64" s="2001" t="n"/>
      <c r="R64" s="2001" t="n"/>
      <c r="S64" s="2001" t="n"/>
      <c r="T64" s="2001" t="n"/>
      <c r="U64" s="2001" t="n"/>
      <c r="V64" s="2001" t="n"/>
      <c r="W64" s="2001" t="n"/>
      <c r="X64" s="2001" t="n"/>
      <c r="Y64" s="2001" t="n"/>
      <c r="Z64" s="885" t="n"/>
      <c r="AA64" s="885" t="n"/>
      <c r="AB64" s="885" t="n"/>
      <c r="AC64" s="885" t="n"/>
      <c r="AD64" s="2001" t="n"/>
      <c r="AE64" s="3789" t="n"/>
      <c r="AF64" s="886" t="n"/>
    </row>
    <row r="65" ht="15" customFormat="1" customHeight="1" s="17">
      <c r="A65" s="3258" t="inlineStr">
        <is>
          <t>Otros programas</t>
        </is>
      </c>
      <c r="B65" s="3938">
        <f>SUM(C65:AF65)</f>
        <v/>
      </c>
      <c r="C65" s="2644" t="n"/>
      <c r="D65" s="155" t="n"/>
      <c r="E65" s="4479" t="n"/>
      <c r="F65" s="3808" t="n"/>
      <c r="G65" s="3599" t="n"/>
      <c r="H65" s="3599" t="n"/>
      <c r="I65" s="3599" t="n"/>
      <c r="J65" s="3819" t="n"/>
      <c r="K65" s="3599" t="n"/>
      <c r="L65" s="3599" t="n"/>
      <c r="M65" s="3599" t="n"/>
      <c r="N65" s="3818" t="n"/>
      <c r="O65" s="3599" t="n"/>
      <c r="P65" s="3599" t="n"/>
      <c r="Q65" s="3599" t="n"/>
      <c r="R65" s="3599" t="n"/>
      <c r="S65" s="3599" t="n"/>
      <c r="T65" s="3599" t="n"/>
      <c r="U65" s="3599" t="n"/>
      <c r="V65" s="3599" t="n"/>
      <c r="W65" s="3599" t="n"/>
      <c r="X65" s="3599" t="n"/>
      <c r="Y65" s="3599" t="n"/>
      <c r="Z65" s="3819" t="n"/>
      <c r="AA65" s="3819" t="n"/>
      <c r="AB65" s="3819" t="n"/>
      <c r="AC65" s="3819" t="n"/>
      <c r="AD65" s="3599" t="n"/>
      <c r="AE65" s="3818" t="n"/>
      <c r="AF65" s="3601" t="n"/>
    </row>
    <row r="66" ht="15" customFormat="1" customHeight="1" s="17">
      <c r="A66" s="4568" t="inlineStr">
        <is>
          <t>TOTAL</t>
        </is>
      </c>
      <c r="B66" s="2669">
        <f>SUM(B50:B65)</f>
        <v/>
      </c>
      <c r="C66" s="4539">
        <f>SUM(C50:C65)</f>
        <v/>
      </c>
      <c r="D66" s="4667">
        <f>SUM(D50:D65)</f>
        <v/>
      </c>
      <c r="E66" s="4570">
        <f>SUM(E50:E65)</f>
        <v/>
      </c>
      <c r="F66" s="4539">
        <f>SUM(F50:F65)</f>
        <v/>
      </c>
      <c r="G66" s="4667">
        <f>SUM(G50:G65)</f>
        <v/>
      </c>
      <c r="H66" s="4667">
        <f>SUM(H50:H65)</f>
        <v/>
      </c>
      <c r="I66" s="4667">
        <f>SUM(I50:I65)</f>
        <v/>
      </c>
      <c r="J66" s="4553">
        <f>SUM(J50:J65)</f>
        <v/>
      </c>
      <c r="K66" s="4667">
        <f>SUM(K50:K65)</f>
        <v/>
      </c>
      <c r="L66" s="4667">
        <f>SUM(L50:L65)</f>
        <v/>
      </c>
      <c r="M66" s="4667">
        <f>SUM(M50:M65)</f>
        <v/>
      </c>
      <c r="N66" s="4508">
        <f>SUM(N50:N65)</f>
        <v/>
      </c>
      <c r="O66" s="4667">
        <f>SUM(O50:O65)</f>
        <v/>
      </c>
      <c r="P66" s="4667">
        <f>SUM(P50:P65)</f>
        <v/>
      </c>
      <c r="Q66" s="4667">
        <f>SUM(Q50:Q65)</f>
        <v/>
      </c>
      <c r="R66" s="4667">
        <f>SUM(R50:R65)</f>
        <v/>
      </c>
      <c r="S66" s="4667">
        <f>SUM(S50:S65)</f>
        <v/>
      </c>
      <c r="T66" s="4667">
        <f>SUM(T50:T65)</f>
        <v/>
      </c>
      <c r="U66" s="4667">
        <f>SUM(U50:U65)</f>
        <v/>
      </c>
      <c r="V66" s="4667">
        <f>SUM(V50:V65)</f>
        <v/>
      </c>
      <c r="W66" s="4667">
        <f>SUM(W50:W65)</f>
        <v/>
      </c>
      <c r="X66" s="4667">
        <f>SUM(X50:X65)</f>
        <v/>
      </c>
      <c r="Y66" s="4667">
        <f>SUM(Y50:Y65)</f>
        <v/>
      </c>
      <c r="Z66" s="4553">
        <f>SUM(Z50:Z65)</f>
        <v/>
      </c>
      <c r="AA66" s="4553">
        <f>SUM(AA50:AA65)</f>
        <v/>
      </c>
      <c r="AB66" s="4553">
        <f>SUM(AB50:AB65)</f>
        <v/>
      </c>
      <c r="AC66" s="4553">
        <f>SUM(AC50:AC65)</f>
        <v/>
      </c>
      <c r="AD66" s="4667">
        <f>SUM(AD50:AD65)</f>
        <v/>
      </c>
      <c r="AE66" s="4508">
        <f>SUM(AE50:AE65)</f>
        <v/>
      </c>
      <c r="AF66" s="4551">
        <f>SUM(AF50:AF65)</f>
        <v/>
      </c>
    </row>
    <row r="67" ht="17.1" customFormat="1" customHeight="1" s="20">
      <c r="A67" s="10617" t="inlineStr">
        <is>
          <t>SECCIÓN D: TIPOS DE MEDICINA COMPLEMENTARIA Y PRÁCTICAS DE BIENESTAR DE LA SALUD ENTREGADAS EN ATENCION GRUPAL Y COMUNITARIA</t>
        </is>
      </c>
      <c r="B67" s="9584" t="n"/>
      <c r="C67" s="9584" t="n"/>
      <c r="D67" s="9584" t="n"/>
      <c r="E67" s="9584" t="n"/>
      <c r="F67" s="9584" t="n"/>
      <c r="G67" s="9584" t="n"/>
      <c r="H67" s="9584" t="n"/>
      <c r="I67" s="9584" t="n"/>
      <c r="J67" s="9584" t="n"/>
      <c r="K67" s="9584" t="n"/>
      <c r="L67" s="9584" t="n"/>
      <c r="M67" s="9584" t="n"/>
    </row>
    <row r="68" ht="18.95" customFormat="1" customHeight="1" s="17">
      <c r="A68" s="10335" t="inlineStr">
        <is>
          <t>TIPO DE  MEDICINA COMPLEMENTARIA O PRÁCTICA DE BIENESTAR DE LA SALUD</t>
        </is>
      </c>
      <c r="B68" s="10621" t="inlineStr">
        <is>
          <t xml:space="preserve">
TOTAL DE SESIONES GRUPALES</t>
        </is>
      </c>
      <c r="C68" s="10622" t="inlineStr">
        <is>
          <t>N° DE PARTICIPANTES</t>
        </is>
      </c>
      <c r="D68" s="9602" t="n"/>
      <c r="E68" s="9630" t="n"/>
      <c r="F68" s="10303" t="inlineStr">
        <is>
          <t>RANGO ETARIO Y SEXO</t>
        </is>
      </c>
      <c r="G68" s="9584" t="n"/>
      <c r="H68" s="9584" t="n"/>
      <c r="I68" s="9584" t="n"/>
      <c r="J68" s="9584" t="n"/>
      <c r="K68" s="9584" t="n"/>
      <c r="L68" s="9584" t="n"/>
      <c r="M68" s="9595" t="n"/>
      <c r="N68" s="10330" t="inlineStr">
        <is>
          <t>Pacientes</t>
        </is>
      </c>
      <c r="O68" s="10326" t="inlineStr">
        <is>
          <t>Familiares / Cuidadores de los pacientes</t>
        </is>
      </c>
      <c r="P68" s="10338" t="inlineStr">
        <is>
          <t>Funcionarios</t>
        </is>
      </c>
      <c r="Q68" s="10326" t="inlineStr">
        <is>
          <t>Beneficiarios</t>
        </is>
      </c>
      <c r="R68" s="10338" t="inlineStr">
        <is>
          <t>Pueblos Originarios</t>
        </is>
      </c>
      <c r="S68" s="10326" t="inlineStr">
        <is>
          <t>Migrantes</t>
        </is>
      </c>
      <c r="T68" s="9919" t="inlineStr">
        <is>
          <t>SENAME/ Servicio Nacional de Reinserción social Juvenil</t>
        </is>
      </c>
    </row>
    <row r="69" ht="15" customFormat="1" customHeight="1" s="17">
      <c r="A69" s="9625" t="n"/>
      <c r="B69" s="10027" t="n"/>
      <c r="E69" s="9718" t="n"/>
      <c r="F69" s="10326" t="inlineStr">
        <is>
          <t>Menos de 10 años</t>
        </is>
      </c>
      <c r="G69" s="9582" t="n"/>
      <c r="H69" s="10326" t="inlineStr">
        <is>
          <t>10-19 años</t>
        </is>
      </c>
      <c r="I69" s="9582" t="n"/>
      <c r="J69" s="10326" t="inlineStr">
        <is>
          <t>20-64 años</t>
        </is>
      </c>
      <c r="K69" s="9582" t="n"/>
      <c r="L69" s="10303" t="inlineStr">
        <is>
          <t>65 y más años</t>
        </is>
      </c>
      <c r="M69" s="9595" t="n"/>
      <c r="N69" s="9978" t="n"/>
      <c r="O69" s="9614" t="n"/>
      <c r="Q69" s="9614" t="n"/>
      <c r="S69" s="9614" t="n"/>
      <c r="T69" s="9668" t="n"/>
    </row>
    <row r="70" ht="21.75" customFormat="1" customHeight="1" s="17">
      <c r="A70" s="9641" t="n"/>
      <c r="B70" s="10028" t="n"/>
      <c r="C70" s="4469" t="inlineStr">
        <is>
          <t>Ambos Sexos</t>
        </is>
      </c>
      <c r="D70" s="4651" t="inlineStr">
        <is>
          <t>Hombres</t>
        </is>
      </c>
      <c r="E70" s="9321" t="inlineStr">
        <is>
          <t>Mujeres</t>
        </is>
      </c>
      <c r="F70" s="4650" t="inlineStr">
        <is>
          <t>Hombres</t>
        </is>
      </c>
      <c r="G70" s="9321" t="inlineStr">
        <is>
          <t>Mujeres</t>
        </is>
      </c>
      <c r="H70" s="4650" t="inlineStr">
        <is>
          <t>Hombres</t>
        </is>
      </c>
      <c r="I70" s="9321" t="inlineStr">
        <is>
          <t>Mujeres</t>
        </is>
      </c>
      <c r="J70" s="4650" t="inlineStr">
        <is>
          <t>Hombres</t>
        </is>
      </c>
      <c r="K70" s="9321" t="inlineStr">
        <is>
          <t>Mujeres</t>
        </is>
      </c>
      <c r="L70" s="4650" t="inlineStr">
        <is>
          <t>Hombres</t>
        </is>
      </c>
      <c r="M70" s="9319" t="inlineStr">
        <is>
          <t>Mujeres</t>
        </is>
      </c>
      <c r="N70" s="9890" t="n"/>
      <c r="O70" s="9610" t="n"/>
      <c r="P70" s="9591" t="n"/>
      <c r="Q70" s="9610" t="n"/>
      <c r="R70" s="9591" t="n"/>
      <c r="S70" s="9610" t="n"/>
      <c r="T70" s="9855" t="n"/>
    </row>
    <row r="71" ht="15" customFormat="1" customHeight="1" s="17">
      <c r="A71" s="4675" t="inlineStr">
        <is>
          <t>Arte terapia</t>
        </is>
      </c>
      <c r="B71" s="4676" t="n"/>
      <c r="C71" s="4677">
        <f>SUM(D71:E71)</f>
        <v/>
      </c>
      <c r="D71" s="1997">
        <f>SUM(F71+H71+J71+L71)</f>
        <v/>
      </c>
      <c r="E71" s="4156">
        <f>SUM(G71+I71+K71+M71)</f>
        <v/>
      </c>
      <c r="F71" s="1935" t="n"/>
      <c r="G71" s="755" t="n"/>
      <c r="H71" s="1432" t="n"/>
      <c r="I71" s="755" t="n"/>
      <c r="J71" s="1432" t="n"/>
      <c r="K71" s="755" t="n"/>
      <c r="L71" s="1432" t="n"/>
      <c r="M71" s="792" t="n"/>
      <c r="N71" s="5213" t="n"/>
      <c r="O71" s="5488" t="n"/>
      <c r="P71" s="5414" t="n"/>
      <c r="Q71" s="5488" t="n"/>
      <c r="R71" s="5414" t="n"/>
      <c r="S71" s="5488" t="n"/>
      <c r="T71" s="5185" t="n"/>
      <c r="U71" s="17">
        <f>CA71&amp;CB71&amp;CC71&amp;CD71&amp;CE71&amp;CF71</f>
        <v/>
      </c>
      <c r="CA71" s="51">
        <f>IF(AND(C71&gt;0,Q71=""),"  *No olvide digitar la variable Beneficiarios. Digite Cero si no tiene.",IF(Q71&gt;C71," *La variable beneficiarios No puede ser mayor al Total Ambos Sexos.",""))</f>
        <v/>
      </c>
      <c r="CB71" s="51">
        <f>IF(AND(C71&gt;0,R71=""),"  *No olvide digitar la variable Pueblos originarios. Digite Cero si no tiene.",IF(R71&gt;C71," *La variable Pueblos originarios No puede ser mayor al Total Ambos Sexos.",""))</f>
        <v/>
      </c>
      <c r="CC71" s="51">
        <f>IF(AND(C71&gt;0,S71=""),"  *No olvide digitar la variable Migrantes. Digite Cero si no tiene.",IF(S71&gt;C71," *La variable Migrantes No puede ser mayor al Total Ambos Sexos.",""))</f>
        <v/>
      </c>
      <c r="CD71" s="51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/>
      </c>
      <c r="CI71" s="52">
        <f>IF(AND(C71&gt;0,R71=""),1,IF(R71&gt;C71,1,0))</f>
        <v/>
      </c>
      <c r="CJ71" s="52">
        <f>IF(AND(C71&gt;0,S71=""),1,IF(S71&gt;C71,1,0))</f>
        <v/>
      </c>
      <c r="CK71" s="52">
        <f>IF(AND(C71&gt;0,T71=""),1,IF(T71&gt;C71,1,0))</f>
        <v/>
      </c>
    </row>
    <row r="72" ht="15" customFormat="1" customHeight="1" s="17">
      <c r="A72" s="4678" t="inlineStr">
        <is>
          <t>Biodanza</t>
        </is>
      </c>
      <c r="B72" s="1965" t="n"/>
      <c r="C72" s="4677">
        <f>SUM(D72:E72)</f>
        <v/>
      </c>
      <c r="D72" s="1997">
        <f>SUM(F72+H72+J72+L72)</f>
        <v/>
      </c>
      <c r="E72" s="4156">
        <f>SUM(G72+I72+K72+M72)</f>
        <v/>
      </c>
      <c r="F72" s="1935" t="n"/>
      <c r="G72" s="755" t="n"/>
      <c r="H72" s="1432" t="n"/>
      <c r="I72" s="755" t="n"/>
      <c r="J72" s="1432" t="n"/>
      <c r="K72" s="755" t="n"/>
      <c r="L72" s="1432" t="n"/>
      <c r="M72" s="792" t="n"/>
      <c r="N72" s="5215" t="n"/>
      <c r="O72" s="3892" t="n"/>
      <c r="P72" s="3895" t="n"/>
      <c r="Q72" s="3892" t="n"/>
      <c r="R72" s="3895" t="n"/>
      <c r="S72" s="3892" t="n"/>
      <c r="T72" s="3788" t="n"/>
      <c r="U72" s="17">
        <f>CA72&amp;CB72&amp;CC72&amp;CD72&amp;CE72&amp;CF72</f>
        <v/>
      </c>
      <c r="CA72" s="51">
        <f>IF(AND(C72&gt;0,Q72=""),"  *No olvide digitar la variable Beneficiarios. Digite Cero si no tiene.",IF(Q72&gt;C72," *La variable beneficiarios No puede ser mayor al Total Ambos Sexos.",""))</f>
        <v/>
      </c>
      <c r="CB72" s="51">
        <f>IF(AND(C72&gt;0,R72=""),"  *No olvide digitar la variable Pueblos originarios. Digite Cero si no tiene.",IF(R72&gt;C72," *La variable Pueblos originarios No puede ser mayor al Total Ambos Sexos.",""))</f>
        <v/>
      </c>
      <c r="CC72" s="51">
        <f>IF(AND(C72&gt;0,S72=""),"  *No olvide digitar la variable Migrantes. Digite Cero si no tiene.",IF(S72&gt;C72," *La variable Migrantes No puede ser mayor al Total Ambos Sexos.",""))</f>
        <v/>
      </c>
      <c r="CD72" s="51">
        <f>IF(AND(C72&gt;0,T72=""),"  *No olvide digitar la variable "&amp;AR$9&amp;""&amp;". Digite Cero si no tiene.",IF(T72&gt;C72," *La variable "&amp;AR$9&amp;""&amp;" No puede ser mayor al Total Ambos Sexos.",""))</f>
        <v/>
      </c>
      <c r="CH72" s="52">
        <f>IF(AND(C72&gt;0,Q72=""),1,IF(Q72&gt;C72,1,0))</f>
        <v/>
      </c>
      <c r="CI72" s="52">
        <f>IF(AND(C72&gt;0,R72=""),1,IF(R72&gt;C72,1,0))</f>
        <v/>
      </c>
      <c r="CJ72" s="52">
        <f>IF(AND(C72&gt;0,S72=""),1,IF(S72&gt;C72,1,0))</f>
        <v/>
      </c>
      <c r="CK72" s="52">
        <f>IF(AND(C72&gt;0,T72=""),1,IF(T72&gt;C72,1,0))</f>
        <v/>
      </c>
    </row>
    <row r="73" ht="15" customFormat="1" customHeight="1" s="17">
      <c r="A73" s="4678" t="inlineStr">
        <is>
          <t>Huertos Medicinales o Alimenticio/Medicinales</t>
        </is>
      </c>
      <c r="B73" s="1965" t="n"/>
      <c r="C73" s="4677">
        <f>SUM(D73:E73)</f>
        <v/>
      </c>
      <c r="D73" s="1997">
        <f>SUM(F73+H73+J73+L73)</f>
        <v/>
      </c>
      <c r="E73" s="4156">
        <f>SUM(G73+I73+K73+M73)</f>
        <v/>
      </c>
      <c r="F73" s="1935" t="n"/>
      <c r="G73" s="755" t="n"/>
      <c r="H73" s="1432" t="n"/>
      <c r="I73" s="755" t="n"/>
      <c r="J73" s="1432" t="n"/>
      <c r="K73" s="755" t="n"/>
      <c r="L73" s="1432" t="n"/>
      <c r="M73" s="792" t="n"/>
      <c r="N73" s="5215" t="n"/>
      <c r="O73" s="3892" t="n"/>
      <c r="P73" s="3895" t="n"/>
      <c r="Q73" s="3892" t="n"/>
      <c r="R73" s="3895" t="n"/>
      <c r="S73" s="3892" t="n"/>
      <c r="T73" s="3788" t="n"/>
      <c r="U73" s="17">
        <f>CA73&amp;CB73&amp;CC73&amp;CD73&amp;CE73&amp;CF73</f>
        <v/>
      </c>
      <c r="CA73" s="51">
        <f>IF(AND(C73&gt;0,Q73=""),"  *No olvide digitar la variable Beneficiarios. Digite Cero si no tiene.",IF(Q73&gt;C73," *La variable beneficiarios No puede ser mayor al Total Ambos Sexos.",""))</f>
        <v/>
      </c>
      <c r="CB73" s="51">
        <f>IF(AND(C73&gt;0,R73=""),"  *No olvide digitar la variable Pueblos originarios. Digite Cero si no tiene.",IF(R73&gt;C73," *La variable Pueblos originarios No puede ser mayor al Total Ambos Sexos.",""))</f>
        <v/>
      </c>
      <c r="CC73" s="51">
        <f>IF(AND(C73&gt;0,S73=""),"  *No olvide digitar la variable Migrantes. Digite Cero si no tiene.",IF(S73&gt;C73," *La variable Migrantes No puede ser mayor al Total Ambos Sexos.",""))</f>
        <v/>
      </c>
      <c r="CD73" s="51">
        <f>IF(AND(C73&gt;0,T73=""),"  *No olvide digitar la variable "&amp;AR$9&amp;""&amp;". Digite Cero si no tiene.",IF(T73&gt;C73," *La variable "&amp;AR$9&amp;""&amp;" No puede ser mayor al Total Ambos Sexos.",""))</f>
        <v/>
      </c>
      <c r="CH73" s="52">
        <f>IF(AND(C73&gt;0,Q73=""),1,IF(Q73&gt;C73,1,0))</f>
        <v/>
      </c>
      <c r="CI73" s="52">
        <f>IF(AND(C73&gt;0,R73=""),1,IF(R73&gt;C73,1,0))</f>
        <v/>
      </c>
      <c r="CJ73" s="52">
        <f>IF(AND(C73&gt;0,S73=""),1,IF(S73&gt;C73,1,0))</f>
        <v/>
      </c>
      <c r="CK73" s="52">
        <f>IF(AND(C73&gt;0,T73=""),1,IF(T73&gt;C73,1,0))</f>
        <v/>
      </c>
    </row>
    <row r="74" ht="15" customFormat="1" customHeight="1" s="17">
      <c r="A74" s="4678" t="inlineStr">
        <is>
          <t>Meditación</t>
        </is>
      </c>
      <c r="B74" s="1965" t="n"/>
      <c r="C74" s="4677">
        <f>SUM(D74:E74)</f>
        <v/>
      </c>
      <c r="D74" s="1997">
        <f>SUM(F74+H74+J74+L74)</f>
        <v/>
      </c>
      <c r="E74" s="4156">
        <f>SUM(G74+I74+K74+M74)</f>
        <v/>
      </c>
      <c r="F74" s="1935" t="n"/>
      <c r="G74" s="755" t="n"/>
      <c r="H74" s="1432" t="n"/>
      <c r="I74" s="755" t="n"/>
      <c r="J74" s="1432" t="n"/>
      <c r="K74" s="755" t="n"/>
      <c r="L74" s="1432" t="n"/>
      <c r="M74" s="792" t="n"/>
      <c r="N74" s="5215" t="n"/>
      <c r="O74" s="3892" t="n"/>
      <c r="P74" s="3895" t="n"/>
      <c r="Q74" s="3892" t="n"/>
      <c r="R74" s="3895" t="n"/>
      <c r="S74" s="3892" t="n"/>
      <c r="T74" s="3788" t="n"/>
      <c r="U74" s="17">
        <f>CA74&amp;CB74&amp;CC74&amp;CD74&amp;CE74&amp;CF74</f>
        <v/>
      </c>
      <c r="CA74" s="51">
        <f>IF(AND(C74&gt;0,Q74=""),"  *No olvide digitar la variable Beneficiarios. Digite Cero si no tiene.",IF(Q74&gt;C74," *La variable beneficiarios No puede ser mayor al Total Ambos Sexos.",""))</f>
        <v/>
      </c>
      <c r="CB74" s="51">
        <f>IF(AND(C74&gt;0,R74=""),"  *No olvide digitar la variable Pueblos originarios. Digite Cero si no tiene.",IF(R74&gt;C74," *La variable Pueblos originarios No puede ser mayor al Total Ambos Sexos.",""))</f>
        <v/>
      </c>
      <c r="CC74" s="51">
        <f>IF(AND(C74&gt;0,S74=""),"  *No olvide digitar la variable Migrantes. Digite Cero si no tiene.",IF(S74&gt;C74," *La variable Migrantes No puede ser mayor al Total Ambos Sexos.",""))</f>
        <v/>
      </c>
      <c r="CD74" s="51">
        <f>IF(AND(C74&gt;0,T74=""),"  *No olvide digitar la variable "&amp;AR$9&amp;""&amp;". Digite Cero si no tiene.",IF(T74&gt;C74," *La variable "&amp;AR$9&amp;""&amp;" No puede ser mayor al Total Ambos Sexos.",""))</f>
        <v/>
      </c>
      <c r="CH74" s="52">
        <f>IF(AND(C74&gt;0,Q74=""),1,IF(Q74&gt;C74,1,0))</f>
        <v/>
      </c>
      <c r="CI74" s="52">
        <f>IF(AND(C74&gt;0,R74=""),1,IF(R74&gt;C74,1,0))</f>
        <v/>
      </c>
      <c r="CJ74" s="52">
        <f>IF(AND(C74&gt;0,S74=""),1,IF(S74&gt;C74,1,0))</f>
        <v/>
      </c>
      <c r="CK74" s="52">
        <f>IF(AND(C74&gt;0,T74=""),1,IF(T74&gt;C74,1,0))</f>
        <v/>
      </c>
    </row>
    <row r="75" ht="15" customFormat="1" customHeight="1" s="17">
      <c r="A75" s="4678" t="inlineStr">
        <is>
          <t>Sonoterapia</t>
        </is>
      </c>
      <c r="B75" s="1965" t="n"/>
      <c r="C75" s="4677">
        <f>SUM(D75:E75)</f>
        <v/>
      </c>
      <c r="D75" s="1997">
        <f>SUM(F75+H75+J75+L75)</f>
        <v/>
      </c>
      <c r="E75" s="4156">
        <f>SUM(G75+I75+K75+M75)</f>
        <v/>
      </c>
      <c r="F75" s="1935" t="n"/>
      <c r="G75" s="755" t="n"/>
      <c r="H75" s="1432" t="n"/>
      <c r="I75" s="755" t="n"/>
      <c r="J75" s="1432" t="n"/>
      <c r="K75" s="755" t="n"/>
      <c r="L75" s="1432" t="n"/>
      <c r="M75" s="792" t="n"/>
      <c r="N75" s="5215" t="n"/>
      <c r="O75" s="3892" t="n"/>
      <c r="P75" s="3895" t="n"/>
      <c r="Q75" s="3892" t="n"/>
      <c r="R75" s="3895" t="n"/>
      <c r="S75" s="3892" t="n"/>
      <c r="T75" s="3788" t="n"/>
      <c r="U75" s="17">
        <f>CA75&amp;CB75&amp;CC75&amp;CD75&amp;CE75&amp;CF75</f>
        <v/>
      </c>
      <c r="CA75" s="51">
        <f>IF(AND(C75&gt;0,Q75=""),"  *No olvide digitar la variable Beneficiarios. Digite Cero si no tiene.",IF(Q75&gt;C75," *La variable beneficiarios No puede ser mayor al Total Ambos Sexos.",""))</f>
        <v/>
      </c>
      <c r="CB75" s="51">
        <f>IF(AND(C75&gt;0,R75=""),"  *No olvide digitar la variable Pueblos originarios. Digite Cero si no tiene.",IF(R75&gt;C75," *La variable Pueblos originarios No puede ser mayor al Total Ambos Sexos.",""))</f>
        <v/>
      </c>
      <c r="CC75" s="51">
        <f>IF(AND(C75&gt;0,S75=""),"  *No olvide digitar la variable Migrantes. Digite Cero si no tiene.",IF(S75&gt;C75," *La variable Migrantes No puede ser mayor al Total Ambos Sexos.",""))</f>
        <v/>
      </c>
      <c r="CD75" s="51">
        <f>IF(AND(C75&gt;0,T75=""),"  *No olvide digitar la variable "&amp;AR$9&amp;""&amp;". Digite Cero si no tiene.",IF(T75&gt;C75," *La variable "&amp;AR$9&amp;""&amp;" No puede ser mayor al Total Ambos Sexos.",""))</f>
        <v/>
      </c>
      <c r="CH75" s="52">
        <f>IF(AND(C75&gt;0,Q75=""),1,IF(Q75&gt;C75,1,0))</f>
        <v/>
      </c>
      <c r="CI75" s="52">
        <f>IF(AND(C75&gt;0,R75=""),1,IF(R75&gt;C75,1,0))</f>
        <v/>
      </c>
      <c r="CJ75" s="52">
        <f>IF(AND(C75&gt;0,S75=""),1,IF(S75&gt;C75,1,0))</f>
        <v/>
      </c>
      <c r="CK75" s="52">
        <f>IF(AND(C75&gt;0,T75=""),1,IF(T75&gt;C75,1,0))</f>
        <v/>
      </c>
    </row>
    <row r="76" ht="15" customFormat="1" customHeight="1" s="17">
      <c r="A76" s="4678" t="inlineStr">
        <is>
          <t>Tai Chi</t>
        </is>
      </c>
      <c r="B76" s="1965" t="n"/>
      <c r="C76" s="4679">
        <f>SUM(D76:E76)</f>
        <v/>
      </c>
      <c r="D76" s="1997">
        <f>SUM(F76+H76+J76+L76)</f>
        <v/>
      </c>
      <c r="E76" s="4156">
        <f>SUM(G76+I76+K76+M76)</f>
        <v/>
      </c>
      <c r="F76" s="1935" t="n"/>
      <c r="G76" s="755" t="n"/>
      <c r="H76" s="1432" t="n"/>
      <c r="I76" s="755" t="n"/>
      <c r="J76" s="1432" t="n"/>
      <c r="K76" s="755" t="n"/>
      <c r="L76" s="1432" t="n"/>
      <c r="M76" s="792" t="n"/>
      <c r="N76" s="5215" t="n"/>
      <c r="O76" s="3892" t="n"/>
      <c r="P76" s="3895" t="n"/>
      <c r="Q76" s="3892" t="n"/>
      <c r="R76" s="3895" t="n"/>
      <c r="S76" s="3892" t="n"/>
      <c r="T76" s="3788" t="n"/>
      <c r="U76" s="17">
        <f>CA76&amp;CB76&amp;CC76&amp;CD76&amp;CE76&amp;CF76</f>
        <v/>
      </c>
      <c r="CA76" s="51">
        <f>IF(AND(C76&gt;0,Q76=""),"  *No olvide digitar la variable Beneficiarios. Digite Cero si no tiene.",IF(Q76&gt;C76," *La variable beneficiarios No puede ser mayor al Total Ambos Sexos.",""))</f>
        <v/>
      </c>
      <c r="CB76" s="51">
        <f>IF(AND(C76&gt;0,R76=""),"  *No olvide digitar la variable Pueblos originarios. Digite Cero si no tiene.",IF(R76&gt;C76," *La variable Pueblos originarios No puede ser mayor al Total Ambos Sexos.",""))</f>
        <v/>
      </c>
      <c r="CC76" s="51">
        <f>IF(AND(C76&gt;0,S76=""),"  *No olvide digitar la variable Migrantes. Digite Cero si no tiene.",IF(S76&gt;C76," *La variable Migrantes No puede ser mayor al Total Ambos Sexos.",""))</f>
        <v/>
      </c>
      <c r="CD76" s="51">
        <f>IF(AND(C76&gt;0,T76=""),"  *No olvide digitar la variable "&amp;AR$9&amp;""&amp;". Digite Cero si no tiene.",IF(T76&gt;C76," *La variable "&amp;AR$9&amp;""&amp;" No puede ser mayor al Total Ambos Sexos.",""))</f>
        <v/>
      </c>
      <c r="CH76" s="52">
        <f>IF(AND(C76&gt;0,Q76=""),1,IF(Q76&gt;C76,1,0))</f>
        <v/>
      </c>
      <c r="CI76" s="52">
        <f>IF(AND(C76&gt;0,R76=""),1,IF(R76&gt;C76,1,0))</f>
        <v/>
      </c>
      <c r="CJ76" s="52">
        <f>IF(AND(C76&gt;0,S76=""),1,IF(S76&gt;C76,1,0))</f>
        <v/>
      </c>
      <c r="CK76" s="52">
        <f>IF(AND(C76&gt;0,T76=""),1,IF(T76&gt;C76,1,0))</f>
        <v/>
      </c>
    </row>
    <row r="77" ht="15" customFormat="1" customHeight="1" s="17">
      <c r="A77" s="4680" t="inlineStr">
        <is>
          <t>Yoga</t>
        </is>
      </c>
      <c r="B77" s="1965" t="n"/>
      <c r="C77" s="4677">
        <f>SUM(D77:E77)</f>
        <v/>
      </c>
      <c r="D77" s="1997">
        <f>SUM(F77+H77+J77+L77)</f>
        <v/>
      </c>
      <c r="E77" s="4156">
        <f>SUM(G77+I77+K77+M77)</f>
        <v/>
      </c>
      <c r="F77" s="1935" t="n"/>
      <c r="G77" s="755" t="n"/>
      <c r="H77" s="1432" t="n"/>
      <c r="I77" s="755" t="n"/>
      <c r="J77" s="1432" t="n"/>
      <c r="K77" s="755" t="n"/>
      <c r="L77" s="1432" t="n"/>
      <c r="M77" s="792" t="n"/>
      <c r="N77" s="5215" t="n"/>
      <c r="O77" s="3892" t="n"/>
      <c r="P77" s="3895" t="n"/>
      <c r="Q77" s="3892" t="n"/>
      <c r="R77" s="3895" t="n"/>
      <c r="S77" s="3892" t="n"/>
      <c r="T77" s="3788" t="n"/>
      <c r="U77" s="17">
        <f>CA77&amp;CB77&amp;CC77&amp;CD77&amp;CE77&amp;CF77</f>
        <v/>
      </c>
      <c r="CA77" s="51">
        <f>IF(AND(C77&gt;0,Q77=""),"  *No olvide digitar la variable Beneficiarios. Digite Cero si no tiene.",IF(Q77&gt;C77," *La variable beneficiarios No puede ser mayor al Total Ambos Sexos.",""))</f>
        <v/>
      </c>
      <c r="CB77" s="51">
        <f>IF(AND(C77&gt;0,R77=""),"  *No olvide digitar la variable Pueblos originarios. Digite Cero si no tiene.",IF(R77&gt;C77," *La variable Pueblos originarios No puede ser mayor al Total Ambos Sexos.",""))</f>
        <v/>
      </c>
      <c r="CC77" s="51">
        <f>IF(AND(C77&gt;0,S77=""),"  *No olvide digitar la variable Migrantes. Digite Cero si no tiene.",IF(S77&gt;C77," *La variable Migrantes No puede ser mayor al Total Ambos Sexos.",""))</f>
        <v/>
      </c>
      <c r="CD77" s="51">
        <f>IF(AND(C77&gt;0,T77=""),"  *No olvide digitar la variable "&amp;AR$9&amp;""&amp;". Digite Cero si no tiene.",IF(T77&gt;C77," *La variable "&amp;AR$9&amp;""&amp;" No puede ser mayor al Total Ambos Sexos.",""))</f>
        <v/>
      </c>
      <c r="CH77" s="52">
        <f>IF(AND(C77&gt;0,Q77=""),1,IF(Q77&gt;C77,1,0))</f>
        <v/>
      </c>
      <c r="CI77" s="52">
        <f>IF(AND(C77&gt;0,R77=""),1,IF(R77&gt;C77,1,0))</f>
        <v/>
      </c>
      <c r="CJ77" s="52">
        <f>IF(AND(C77&gt;0,S77=""),1,IF(S77&gt;C77,1,0))</f>
        <v/>
      </c>
      <c r="CK77" s="52">
        <f>IF(AND(C77&gt;0,T77=""),1,IF(T77&gt;C77,1,0))</f>
        <v/>
      </c>
    </row>
    <row r="78" ht="15" customFormat="1" customHeight="1" s="17">
      <c r="A78" s="4680" t="inlineStr">
        <is>
          <t>Constelaciones familiares</t>
        </is>
      </c>
      <c r="B78" s="1965" t="n"/>
      <c r="C78" s="4677">
        <f>SUM(D78:E78)</f>
        <v/>
      </c>
      <c r="D78" s="1997">
        <f>SUM(F78+H78+J78+L78)</f>
        <v/>
      </c>
      <c r="E78" s="4156">
        <f>SUM(G78+I78+K78+M78)</f>
        <v/>
      </c>
      <c r="F78" s="1935" t="n"/>
      <c r="G78" s="755" t="n"/>
      <c r="H78" s="1432" t="n"/>
      <c r="I78" s="755" t="n"/>
      <c r="J78" s="1432" t="n"/>
      <c r="K78" s="755" t="n"/>
      <c r="L78" s="1432" t="n"/>
      <c r="M78" s="792" t="n"/>
      <c r="N78" s="5215" t="n"/>
      <c r="O78" s="3892" t="n"/>
      <c r="P78" s="3895" t="n"/>
      <c r="Q78" s="3892" t="n"/>
      <c r="R78" s="3895" t="n"/>
      <c r="S78" s="3892" t="n"/>
      <c r="T78" s="3788" t="n"/>
      <c r="U78" s="17">
        <f>CA78&amp;CB78&amp;CC78&amp;CD78&amp;CE78&amp;CF78</f>
        <v/>
      </c>
      <c r="CA78" s="51">
        <f>IF(AND(C78&gt;0,Q78=""),"  *No olvide digitar la variable Beneficiarios. Digite Cero si no tiene.",IF(Q78&gt;C78," *La variable beneficiarios No puede ser mayor al Total Ambos Sexos.",""))</f>
        <v/>
      </c>
      <c r="CB78" s="51">
        <f>IF(AND(C78&gt;0,R78=""),"  *No olvide digitar la variable Pueblos originarios. Digite Cero si no tiene.",IF(R78&gt;C78," *La variable Pueblos originarios No puede ser mayor al Total Ambos Sexos.",""))</f>
        <v/>
      </c>
      <c r="CC78" s="51">
        <f>IF(AND(C78&gt;0,S78=""),"  *No olvide digitar la variable Migrantes. Digite Cero si no tiene.",IF(S78&gt;C78," *La variable Migrantes No puede ser mayor al Total Ambos Sexos.",""))</f>
        <v/>
      </c>
      <c r="CD78" s="51">
        <f>IF(AND(C78&gt;0,T78=""),"  *No olvide digitar la variable "&amp;AR$9&amp;""&amp;". Digite Cero si no tiene.",IF(T78&gt;C78," *La variable "&amp;AR$9&amp;""&amp;" No puede ser mayor al Total Ambos Sexos.",""))</f>
        <v/>
      </c>
      <c r="CH78" s="52">
        <f>IF(AND(C78&gt;0,Q78=""),1,IF(Q78&gt;C78,1,0))</f>
        <v/>
      </c>
      <c r="CI78" s="52">
        <f>IF(AND(C78&gt;0,R78=""),1,IF(R78&gt;C78,1,0))</f>
        <v/>
      </c>
      <c r="CJ78" s="52">
        <f>IF(AND(C78&gt;0,S78=""),1,IF(S78&gt;C78,1,0))</f>
        <v/>
      </c>
      <c r="CK78" s="52">
        <f>IF(AND(C78&gt;0,T78=""),1,IF(T78&gt;C78,1,0))</f>
        <v/>
      </c>
    </row>
    <row r="79" ht="15" customFormat="1" customHeight="1" s="17">
      <c r="A79" s="4680" t="inlineStr">
        <is>
          <t>Círculos de Escucha</t>
        </is>
      </c>
      <c r="B79" s="1965" t="n"/>
      <c r="C79" s="4679">
        <f>SUM(D79:E79)</f>
        <v/>
      </c>
      <c r="D79" s="1997">
        <f>SUM(F79+H79+J79+L79)</f>
        <v/>
      </c>
      <c r="E79" s="4156">
        <f>SUM(G79+I79+K79+M79)</f>
        <v/>
      </c>
      <c r="F79" s="1935" t="n"/>
      <c r="G79" s="755" t="n"/>
      <c r="H79" s="1432" t="n"/>
      <c r="I79" s="755" t="n"/>
      <c r="J79" s="1432" t="n"/>
      <c r="K79" s="755" t="n"/>
      <c r="L79" s="1432" t="n"/>
      <c r="M79" s="792" t="n"/>
      <c r="N79" s="5215" t="n"/>
      <c r="O79" s="3892" t="n"/>
      <c r="P79" s="3895" t="n"/>
      <c r="Q79" s="3892" t="n"/>
      <c r="R79" s="3895" t="n"/>
      <c r="S79" s="3892" t="n"/>
      <c r="T79" s="3788" t="n"/>
      <c r="U79" s="17">
        <f>CA79&amp;CB79&amp;CC79&amp;CD79&amp;CE79&amp;CF79</f>
        <v/>
      </c>
      <c r="CA79" s="51">
        <f>IF(AND(C79&gt;0,Q79=""),"  *No olvide digitar la variable Beneficiarios. Digite Cero si no tiene.",IF(Q79&gt;C79," *La variable beneficiarios No puede ser mayor al Total Ambos Sexos.",""))</f>
        <v/>
      </c>
      <c r="CB79" s="51">
        <f>IF(AND(C79&gt;0,R79=""),"  *No olvide digitar la variable Pueblos originarios. Digite Cero si no tiene.",IF(R79&gt;C79," *La variable Pueblos originarios No puede ser mayor al Total Ambos Sexos.",""))</f>
        <v/>
      </c>
      <c r="CC79" s="51">
        <f>IF(AND(C79&gt;0,S79=""),"  *No olvide digitar la variable Migrantes. Digite Cero si no tiene.",IF(S79&gt;C79," *La variable Migrantes No puede ser mayor al Total Ambos Sexos.",""))</f>
        <v/>
      </c>
      <c r="CD79" s="51">
        <f>IF(AND(C79&gt;0,T79=""),"  *No olvide digitar la variable "&amp;AR$9&amp;""&amp;". Digite Cero si no tiene.",IF(T79&gt;C79," *La variable "&amp;AR$9&amp;""&amp;" No puede ser mayor al Total Ambos Sexos.",""))</f>
        <v/>
      </c>
      <c r="CH79" s="52">
        <f>IF(AND(C79&gt;0,Q79=""),1,IF(Q79&gt;C79,1,0))</f>
        <v/>
      </c>
      <c r="CI79" s="52">
        <f>IF(AND(C79&gt;0,R79=""),1,IF(R79&gt;C79,1,0))</f>
        <v/>
      </c>
      <c r="CJ79" s="52">
        <f>IF(AND(C79&gt;0,S79=""),1,IF(S79&gt;C79,1,0))</f>
        <v/>
      </c>
      <c r="CK79" s="52">
        <f>IF(AND(C79&gt;0,T79=""),1,IF(T79&gt;C79,1,0))</f>
        <v/>
      </c>
    </row>
    <row r="80" ht="15" customFormat="1" customHeight="1" s="17">
      <c r="A80" s="4678" t="inlineStr">
        <is>
          <t>Qi Gong</t>
        </is>
      </c>
      <c r="B80" s="1965" t="n"/>
      <c r="C80" s="4677">
        <f>SUM(D80:E80)</f>
        <v/>
      </c>
      <c r="D80" s="1997">
        <f>SUM(F80+H80+J80+L80)</f>
        <v/>
      </c>
      <c r="E80" s="4156">
        <f>SUM(G80+I80+K80+M80)</f>
        <v/>
      </c>
      <c r="F80" s="1935" t="n"/>
      <c r="G80" s="755" t="n"/>
      <c r="H80" s="1432" t="n"/>
      <c r="I80" s="755" t="n"/>
      <c r="J80" s="1432" t="n"/>
      <c r="K80" s="755" t="n"/>
      <c r="L80" s="1432" t="n"/>
      <c r="M80" s="792" t="n"/>
      <c r="N80" s="5215" t="n"/>
      <c r="O80" s="3892" t="n"/>
      <c r="P80" s="3895" t="n"/>
      <c r="Q80" s="3892" t="n"/>
      <c r="R80" s="3895" t="n"/>
      <c r="S80" s="3892" t="n"/>
      <c r="T80" s="3788" t="n"/>
      <c r="U80" s="17">
        <f>CA80&amp;CB80&amp;CC80&amp;CD80&amp;CE80&amp;CF80</f>
        <v/>
      </c>
      <c r="CA80" s="51">
        <f>IF(AND(C80&gt;0,Q80=""),"  *No olvide digitar la variable Beneficiarios. Digite Cero si no tiene.",IF(Q80&gt;C80," *La variable beneficiarios No puede ser mayor al Total Ambos Sexos.",""))</f>
        <v/>
      </c>
      <c r="CB80" s="51">
        <f>IF(AND(C80&gt;0,R80=""),"  *No olvide digitar la variable Pueblos originarios. Digite Cero si no tiene.",IF(R80&gt;C80," *La variable Pueblos originarios No puede ser mayor al Total Ambos Sexos.",""))</f>
        <v/>
      </c>
      <c r="CC80" s="51">
        <f>IF(AND(C80&gt;0,S80=""),"  *No olvide digitar la variable Migrantes. Digite Cero si no tiene.",IF(S80&gt;C80," *La variable Migrantes No puede ser mayor al Total Ambos Sexos.",""))</f>
        <v/>
      </c>
      <c r="CD80" s="51">
        <f>IF(AND(C80&gt;0,T80=""),"  *No olvide digitar la variable "&amp;AR$9&amp;""&amp;". Digite Cero si no tiene.",IF(T80&gt;C80," *La variable "&amp;AR$9&amp;""&amp;" No puede ser mayor al Total Ambos Sexos.",""))</f>
        <v/>
      </c>
      <c r="CH80" s="52">
        <f>IF(AND(C80&gt;0,Q80=""),1,IF(Q80&gt;C80,1,0))</f>
        <v/>
      </c>
      <c r="CI80" s="52">
        <f>IF(AND(C80&gt;0,R80=""),1,IF(R80&gt;C80,1,0))</f>
        <v/>
      </c>
      <c r="CJ80" s="52">
        <f>IF(AND(C80&gt;0,S80=""),1,IF(S80&gt;C80,1,0))</f>
        <v/>
      </c>
      <c r="CK80" s="52">
        <f>IF(AND(C80&gt;0,T80=""),1,IF(T80&gt;C80,1,0))</f>
        <v/>
      </c>
    </row>
    <row r="81" ht="15" customFormat="1" customHeight="1" s="17">
      <c r="A81" s="4678" t="inlineStr">
        <is>
          <t>Danzaterapia</t>
        </is>
      </c>
      <c r="B81" s="1965" t="n"/>
      <c r="C81" s="4677">
        <f>SUM(D81:E81)</f>
        <v/>
      </c>
      <c r="D81" s="1997">
        <f>SUM(F81+H81+J81+L81)</f>
        <v/>
      </c>
      <c r="E81" s="4156">
        <f>SUM(G81+I81+K81+M81)</f>
        <v/>
      </c>
      <c r="F81" s="1935" t="n"/>
      <c r="G81" s="755" t="n"/>
      <c r="H81" s="1432" t="n"/>
      <c r="I81" s="755" t="n"/>
      <c r="J81" s="1432" t="n"/>
      <c r="K81" s="755" t="n"/>
      <c r="L81" s="1432" t="n"/>
      <c r="M81" s="792" t="n"/>
      <c r="N81" s="5215" t="n"/>
      <c r="O81" s="3892" t="n"/>
      <c r="P81" s="3895" t="n"/>
      <c r="Q81" s="3892" t="n"/>
      <c r="R81" s="3895" t="n"/>
      <c r="S81" s="3892" t="n"/>
      <c r="T81" s="3788" t="n"/>
      <c r="U81" s="17">
        <f>CA81&amp;CB81&amp;CC81&amp;CD81&amp;CE81&amp;CF81</f>
        <v/>
      </c>
      <c r="CA81" s="51">
        <f>IF(AND(C81&gt;0,Q81=""),"  *No olvide digitar la variable Beneficiarios. Digite Cero si no tiene.",IF(Q81&gt;C81," *La variable beneficiarios No puede ser mayor al Total Ambos Sexos.",""))</f>
        <v/>
      </c>
      <c r="CB81" s="51">
        <f>IF(AND(C81&gt;0,R81=""),"  *No olvide digitar la variable Pueblos originarios. Digite Cero si no tiene.",IF(R81&gt;C81," *La variable Pueblos originarios No puede ser mayor al Total Ambos Sexos.",""))</f>
        <v/>
      </c>
      <c r="CC81" s="51">
        <f>IF(AND(C81&gt;0,S81=""),"  *No olvide digitar la variable Migrantes. Digite Cero si no tiene.",IF(S81&gt;C81," *La variable Migrantes No puede ser mayor al Total Ambos Sexos.",""))</f>
        <v/>
      </c>
      <c r="CD81" s="51">
        <f>IF(AND(C81&gt;0,T81=""),"  *No olvide digitar la variable "&amp;AR$9&amp;""&amp;". Digite Cero si no tiene.",IF(T81&gt;C81," *La variable "&amp;AR$9&amp;""&amp;" No puede ser mayor al Total Ambos Sexos.",""))</f>
        <v/>
      </c>
      <c r="CH81" s="52">
        <f>IF(AND(C81&gt;0,Q81=""),1,IF(Q81&gt;C81,1,0))</f>
        <v/>
      </c>
      <c r="CI81" s="52">
        <f>IF(AND(C81&gt;0,R81=""),1,IF(R81&gt;C81,1,0))</f>
        <v/>
      </c>
      <c r="CJ81" s="52">
        <f>IF(AND(C81&gt;0,S81=""),1,IF(S81&gt;C81,1,0))</f>
        <v/>
      </c>
      <c r="CK81" s="52">
        <f>IF(AND(C81&gt;0,T81=""),1,IF(T81&gt;C81,1,0))</f>
        <v/>
      </c>
    </row>
    <row r="82" ht="15" customFormat="1" customHeight="1" s="17">
      <c r="A82" s="4680" t="inlineStr">
        <is>
          <t>Musicoterapia</t>
        </is>
      </c>
      <c r="B82" s="1965" t="n"/>
      <c r="C82" s="901">
        <f>SUM(D82:E82)</f>
        <v/>
      </c>
      <c r="D82" s="1997">
        <f>SUM(F82+H82+J82+L82)</f>
        <v/>
      </c>
      <c r="E82" s="4156">
        <f>SUM(G82+I82+K82+M82)</f>
        <v/>
      </c>
      <c r="F82" s="1935" t="n"/>
      <c r="G82" s="755" t="n"/>
      <c r="H82" s="1432" t="n"/>
      <c r="I82" s="755" t="n"/>
      <c r="J82" s="1432" t="n"/>
      <c r="K82" s="755" t="n"/>
      <c r="L82" s="1432" t="n"/>
      <c r="M82" s="792" t="n"/>
      <c r="N82" s="5215" t="n"/>
      <c r="O82" s="3892" t="n"/>
      <c r="P82" s="3895" t="n"/>
      <c r="Q82" s="3892" t="n"/>
      <c r="R82" s="3895" t="n"/>
      <c r="S82" s="3892" t="n"/>
      <c r="T82" s="3788" t="n"/>
      <c r="U82" s="17">
        <f>CA82&amp;CB82&amp;CC82&amp;CD82&amp;CE82&amp;CF82</f>
        <v/>
      </c>
      <c r="CA82" s="51">
        <f>IF(AND(C82&gt;0,Q82=""),"  *No olvide digitar la variable Beneficiarios. Digite Cero si no tiene.",IF(Q82&gt;C82," *La variable beneficiarios No puede ser mayor al Total Ambos Sexos.",""))</f>
        <v/>
      </c>
      <c r="CB82" s="51">
        <f>IF(AND(C82&gt;0,R82=""),"  *No olvide digitar la variable Pueblos originarios. Digite Cero si no tiene.",IF(R82&gt;C82," *La variable Pueblos originarios No puede ser mayor al Total Ambos Sexos.",""))</f>
        <v/>
      </c>
      <c r="CC82" s="51">
        <f>IF(AND(C82&gt;0,S82=""),"  *No olvide digitar la variable Migrantes. Digite Cero si no tiene.",IF(S82&gt;C82," *La variable Migrantes No puede ser mayor al Total Ambos Sexos.",""))</f>
        <v/>
      </c>
      <c r="CD82" s="51">
        <f>IF(AND(C82&gt;0,T82=""),"  *No olvide digitar la variable "&amp;AR$9&amp;""&amp;". Digite Cero si no tiene.",IF(T82&gt;C82," *La variable "&amp;AR$9&amp;""&amp;" No puede ser mayor al Total Ambos Sexos.",""))</f>
        <v/>
      </c>
      <c r="CH82" s="52">
        <f>IF(AND(C82&gt;0,Q82=""),1,IF(Q82&gt;C82,1,0))</f>
        <v/>
      </c>
      <c r="CI82" s="52">
        <f>IF(AND(C82&gt;0,R82=""),1,IF(R82&gt;C82,1,0))</f>
        <v/>
      </c>
      <c r="CJ82" s="52">
        <f>IF(AND(C82&gt;0,S82=""),1,IF(S82&gt;C82,1,0))</f>
        <v/>
      </c>
      <c r="CK82" s="52">
        <f>IF(AND(C82&gt;0,T82=""),1,IF(T82&gt;C82,1,0))</f>
        <v/>
      </c>
    </row>
    <row r="83" ht="15" customFormat="1" customHeight="1" s="17">
      <c r="A83" s="4680" t="inlineStr">
        <is>
          <t>Dramaterapia</t>
        </is>
      </c>
      <c r="B83" s="1965" t="n"/>
      <c r="C83" s="4679">
        <f>SUM(D83:E83)</f>
        <v/>
      </c>
      <c r="D83" s="1997">
        <f>SUM(F83+H83+J83+L83)</f>
        <v/>
      </c>
      <c r="E83" s="4156">
        <f>SUM(G83+I83+K83+M83)</f>
        <v/>
      </c>
      <c r="F83" s="1172" t="n"/>
      <c r="G83" s="886" t="n"/>
      <c r="H83" s="3789" t="n"/>
      <c r="I83" s="886" t="n"/>
      <c r="J83" s="3789" t="n"/>
      <c r="K83" s="886" t="n"/>
      <c r="L83" s="1432" t="n"/>
      <c r="M83" s="792" t="n"/>
      <c r="N83" s="5484" t="n"/>
      <c r="O83" s="5486" t="n"/>
      <c r="P83" s="36" t="n"/>
      <c r="Q83" s="5486" t="n"/>
      <c r="R83" s="36" t="n"/>
      <c r="S83" s="5486" t="n"/>
      <c r="T83" s="3805" t="n"/>
      <c r="U83" s="17">
        <f>CA83&amp;CB83&amp;CC83&amp;CD83&amp;CE83&amp;CF83</f>
        <v/>
      </c>
      <c r="CA83" s="51">
        <f>IF(AND(C83&gt;0,Q83=""),"  *No olvide digitar la variable Beneficiarios. Digite Cero si no tiene.",IF(Q83&gt;C83," *La variable beneficiarios No puede ser mayor al Total Ambos Sexos.",""))</f>
        <v/>
      </c>
      <c r="CB83" s="51">
        <f>IF(AND(C83&gt;0,R83=""),"  *No olvide digitar la variable Pueblos originarios. Digite Cero si no tiene.",IF(R83&gt;C83," *La variable Pueblos originarios No puede ser mayor al Total Ambos Sexos.",""))</f>
        <v/>
      </c>
      <c r="CC83" s="51">
        <f>IF(AND(C83&gt;0,S83=""),"  *No olvide digitar la variable Migrantes. Digite Cero si no tiene.",IF(S83&gt;C83," *La variable Migrantes No puede ser mayor al Total Ambos Sexos.",""))</f>
        <v/>
      </c>
      <c r="CD83" s="51">
        <f>IF(AND(C83&gt;0,T83=""),"  *No olvide digitar la variable "&amp;AR$9&amp;""&amp;". Digite Cero si no tiene.",IF(T83&gt;C83," *La variable "&amp;AR$9&amp;""&amp;" No puede ser mayor al Total Ambos Sexos.",""))</f>
        <v/>
      </c>
      <c r="CH83" s="52">
        <f>IF(AND(C83&gt;0,Q83=""),1,IF(Q83&gt;C83,1,0))</f>
        <v/>
      </c>
      <c r="CI83" s="52">
        <f>IF(AND(C83&gt;0,R83=""),1,IF(R83&gt;C83,1,0))</f>
        <v/>
      </c>
      <c r="CJ83" s="52">
        <f>IF(AND(C83&gt;0,S83=""),1,IF(S83&gt;C83,1,0))</f>
        <v/>
      </c>
      <c r="CK83" s="52">
        <f>IF(AND(C83&gt;0,T83=""),1,IF(T83&gt;C83,1,0))</f>
        <v/>
      </c>
    </row>
    <row r="84" ht="15" customFormat="1" customHeight="1" s="17">
      <c r="A84" s="4681" t="inlineStr">
        <is>
          <t>Otras</t>
        </is>
      </c>
      <c r="B84" s="1965" t="n"/>
      <c r="C84" s="4679">
        <f>SUM(D84:E84)</f>
        <v/>
      </c>
      <c r="D84" s="1997">
        <f>SUM(F84+H84+J84+L84)</f>
        <v/>
      </c>
      <c r="E84" s="4156">
        <f>SUM(G84+I84+K84+M84)</f>
        <v/>
      </c>
      <c r="F84" s="1935" t="n"/>
      <c r="G84" s="755" t="n"/>
      <c r="H84" s="1432" t="n"/>
      <c r="I84" s="755" t="n"/>
      <c r="J84" s="1432" t="n"/>
      <c r="K84" s="755" t="n"/>
      <c r="L84" s="3789" t="n"/>
      <c r="M84" s="1929" t="n"/>
      <c r="N84" s="5484" t="n"/>
      <c r="O84" s="5486" t="n"/>
      <c r="P84" s="36" t="n"/>
      <c r="Q84" s="5486" t="n"/>
      <c r="R84" s="36" t="n"/>
      <c r="S84" s="5486" t="n"/>
      <c r="T84" s="3805" t="n"/>
      <c r="U84" s="17">
        <f>CA84&amp;CB84&amp;CC84&amp;CD84&amp;CE84&amp;CF84</f>
        <v/>
      </c>
      <c r="CA84" s="51">
        <f>IF(AND(C84&gt;0,Q84=""),"  *No olvide digitar la variable Beneficiarios. Digite Cero si no tiene.",IF(Q84&gt;C84," *La variable beneficiarios No puede ser mayor al Total Ambos Sexos.",""))</f>
        <v/>
      </c>
      <c r="CB84" s="51">
        <f>IF(AND(C84&gt;0,R84=""),"  *No olvide digitar la variable Pueblos originarios. Digite Cero si no tiene.",IF(R84&gt;C84," *La variable Pueblos originarios No puede ser mayor al Total Ambos Sexos.",""))</f>
        <v/>
      </c>
      <c r="CC84" s="51">
        <f>IF(AND(C84&gt;0,S84=""),"  *No olvide digitar la variable Migrantes. Digite Cero si no tiene.",IF(S84&gt;C84," *La variable Migrantes No puede ser mayor al Total Ambos Sexos.",""))</f>
        <v/>
      </c>
      <c r="CD84" s="51">
        <f>IF(AND(C84&gt;0,T84=""),"  *No olvide digitar la variable "&amp;AR$9&amp;""&amp;". Digite Cero si no tiene.",IF(T84&gt;C84," *La variable "&amp;AR$9&amp;""&amp;" No puede ser mayor al Total Ambos Sexos.",""))</f>
        <v/>
      </c>
      <c r="CH84" s="52">
        <f>IF(AND(C84&gt;0,Q84=""),1,IF(Q84&gt;C84,1,0))</f>
        <v/>
      </c>
      <c r="CI84" s="52">
        <f>IF(AND(C84&gt;0,R84=""),1,IF(R84&gt;C84,1,0))</f>
        <v/>
      </c>
      <c r="CJ84" s="52">
        <f>IF(AND(C84&gt;0,S84=""),1,IF(S84&gt;C84,1,0))</f>
        <v/>
      </c>
      <c r="CK84" s="52">
        <f>IF(AND(C84&gt;0,T84=""),1,IF(T84&gt;C84,1,0))</f>
        <v/>
      </c>
    </row>
    <row r="85" ht="15" customFormat="1" customHeight="1" s="17">
      <c r="A85" s="9317" t="inlineStr">
        <is>
          <t>TOTAL</t>
        </is>
      </c>
      <c r="B85" s="4682">
        <f>SUM(B71:B84)</f>
        <v/>
      </c>
      <c r="C85" s="4552">
        <f>SUM(D85:E85)</f>
        <v/>
      </c>
      <c r="D85" s="4508">
        <f>SUM(D71:D84)</f>
        <v/>
      </c>
      <c r="E85" s="4508">
        <f>SUM(E71:E84)</f>
        <v/>
      </c>
      <c r="F85" s="4539">
        <f>SUM(F71:F84)</f>
        <v/>
      </c>
      <c r="G85" s="4551">
        <f>SUM(G71:G84)</f>
        <v/>
      </c>
      <c r="H85" s="4508">
        <f>SUM(H71:H84)</f>
        <v/>
      </c>
      <c r="I85" s="4551">
        <f>SUM(I71:I84)</f>
        <v/>
      </c>
      <c r="J85" s="4508">
        <f>SUM(J71:J84)</f>
        <v/>
      </c>
      <c r="K85" s="4551">
        <f>SUM(K71:K84)</f>
        <v/>
      </c>
      <c r="L85" s="4508">
        <f>SUM(L71:L84)</f>
        <v/>
      </c>
      <c r="M85" s="4544">
        <f>SUM(M71:M84)</f>
        <v/>
      </c>
      <c r="N85" s="5471">
        <f>SUM(N71:N84)</f>
        <v/>
      </c>
      <c r="O85" s="5472">
        <f>SUM(O71:O84)</f>
        <v/>
      </c>
      <c r="P85" s="5487">
        <f>SUM(P71:P84)</f>
        <v/>
      </c>
      <c r="Q85" s="5472">
        <f>SUM(Q71:Q84)</f>
        <v/>
      </c>
      <c r="R85" s="5487">
        <f>SUM(R71:R84)</f>
        <v/>
      </c>
      <c r="S85" s="5472">
        <f>SUM(S71:S84)</f>
        <v/>
      </c>
      <c r="T85" s="5489">
        <f>SUM(T71:T84)</f>
        <v/>
      </c>
    </row>
    <row r="86" ht="17.1" customFormat="1" customHeight="1" s="20">
      <c r="A86" s="10617" t="inlineStr">
        <is>
          <t xml:space="preserve">SECCION E: ACCIONES REMOTAS DE MEDICINAS COMPLEMENTARIAS Y PRÁCTICAS DE BIENESTAR EN SALUD </t>
        </is>
      </c>
      <c r="B86" s="9584" t="n"/>
      <c r="C86" s="9584" t="n"/>
      <c r="D86" s="9584" t="n"/>
      <c r="E86" s="9584" t="n"/>
      <c r="F86" s="9584" t="n"/>
    </row>
    <row r="87" ht="15" customFormat="1" customHeight="1" s="17">
      <c r="A87" s="10335" t="inlineStr">
        <is>
          <t>GRUPO OBJETIVO</t>
        </is>
      </c>
      <c r="B87" s="5245" t="inlineStr">
        <is>
          <t xml:space="preserve">TOTAL </t>
        </is>
      </c>
      <c r="C87" s="9977" t="inlineStr">
        <is>
          <t>RANGO ETARIO</t>
        </is>
      </c>
      <c r="D87" s="9584" t="n"/>
      <c r="E87" s="9584" t="n"/>
      <c r="F87" s="9584" t="n"/>
      <c r="G87" s="9584" t="n"/>
      <c r="H87" s="9584" t="n"/>
      <c r="I87" s="9584" t="n"/>
      <c r="J87" s="9584" t="n"/>
      <c r="K87" s="9584" t="n"/>
      <c r="L87" s="9584" t="n"/>
      <c r="M87" s="9584" t="n"/>
      <c r="N87" s="9584" t="n"/>
      <c r="O87" s="9584" t="n"/>
      <c r="P87" s="9584" t="n"/>
      <c r="Q87" s="9584" t="n"/>
      <c r="R87" s="9584" t="n"/>
      <c r="S87" s="9582" t="n"/>
    </row>
    <row r="88" ht="21" customFormat="1" customHeight="1" s="17">
      <c r="A88" s="9641" t="n"/>
      <c r="B88" s="10000" t="n"/>
      <c r="C88" s="9498" t="inlineStr">
        <is>
          <t>0 - 4 años</t>
        </is>
      </c>
      <c r="D88" s="9499" t="inlineStr">
        <is>
          <t>5 - 9 años</t>
        </is>
      </c>
      <c r="E88" s="9499" t="inlineStr">
        <is>
          <t>10 - 14 años</t>
        </is>
      </c>
      <c r="F88" s="9499" t="inlineStr">
        <is>
          <t>15 - 19 años</t>
        </is>
      </c>
      <c r="G88" s="9499" t="inlineStr">
        <is>
          <t>20 - 24 años</t>
        </is>
      </c>
      <c r="H88" s="9499" t="inlineStr">
        <is>
          <t>25 - 29 años</t>
        </is>
      </c>
      <c r="I88" s="9499" t="inlineStr">
        <is>
          <t>30 - 34 años</t>
        </is>
      </c>
      <c r="J88" s="9499" t="inlineStr">
        <is>
          <t>35 - 39 años</t>
        </is>
      </c>
      <c r="K88" s="9499" t="inlineStr">
        <is>
          <t>40 - 44 años</t>
        </is>
      </c>
      <c r="L88" s="9499" t="inlineStr">
        <is>
          <t>45 - 49 años</t>
        </is>
      </c>
      <c r="M88" s="9499" t="inlineStr">
        <is>
          <t>50 - 54 años</t>
        </is>
      </c>
      <c r="N88" s="9499" t="inlineStr">
        <is>
          <t>55 - 59 años</t>
        </is>
      </c>
      <c r="O88" s="9499" t="inlineStr">
        <is>
          <t>60 - 64 años</t>
        </is>
      </c>
      <c r="P88" s="9499" t="inlineStr">
        <is>
          <t>65 - 69 años</t>
        </is>
      </c>
      <c r="Q88" s="9499" t="inlineStr">
        <is>
          <t>70 - 74 años</t>
        </is>
      </c>
      <c r="R88" s="9499" t="inlineStr">
        <is>
          <t>75 - 79 años</t>
        </is>
      </c>
      <c r="S88" s="9268" t="inlineStr">
        <is>
          <t>80 y más años</t>
        </is>
      </c>
    </row>
    <row r="89" ht="15" customFormat="1" customHeight="1" s="17">
      <c r="A89" s="3952" t="inlineStr">
        <is>
          <t>Pacientes</t>
        </is>
      </c>
      <c r="B89" s="1121">
        <f>SUM(C89:S89)</f>
        <v/>
      </c>
      <c r="C89" s="1242" t="n"/>
      <c r="D89" s="2831" t="n"/>
      <c r="E89" s="2831" t="n"/>
      <c r="F89" s="2831" t="n"/>
      <c r="G89" s="2831" t="n"/>
      <c r="H89" s="2831" t="n"/>
      <c r="I89" s="2831" t="n"/>
      <c r="J89" s="2831" t="n"/>
      <c r="K89" s="2831" t="n"/>
      <c r="L89" s="2831" t="n"/>
      <c r="M89" s="2831" t="n"/>
      <c r="N89" s="2831" t="n"/>
      <c r="O89" s="2831" t="n"/>
      <c r="P89" s="2831" t="n"/>
      <c r="Q89" s="2831" t="n"/>
      <c r="R89" s="2831" t="n"/>
      <c r="S89" s="3920" t="n"/>
    </row>
    <row r="90" ht="15" customFormat="1" customHeight="1" s="17">
      <c r="A90" s="3952" t="inlineStr">
        <is>
          <t xml:space="preserve">Familiares/Cuidadores de los pacientes </t>
        </is>
      </c>
      <c r="B90" s="1121">
        <f>SUM(C90:S90)</f>
        <v/>
      </c>
      <c r="C90" s="1242" t="n"/>
      <c r="D90" s="2831" t="n"/>
      <c r="E90" s="2831" t="n"/>
      <c r="F90" s="2831" t="n"/>
      <c r="G90" s="2831" t="n"/>
      <c r="H90" s="2831" t="n"/>
      <c r="I90" s="2831" t="n"/>
      <c r="J90" s="2831" t="n"/>
      <c r="K90" s="2831" t="n"/>
      <c r="L90" s="2831" t="n"/>
      <c r="M90" s="2831" t="n"/>
      <c r="N90" s="2831" t="n"/>
      <c r="O90" s="2831" t="n"/>
      <c r="P90" s="2831" t="n"/>
      <c r="Q90" s="2831" t="n"/>
      <c r="R90" s="2831" t="n"/>
      <c r="S90" s="3920" t="n"/>
    </row>
    <row r="91" ht="15" customFormat="1" customHeight="1" s="17">
      <c r="A91" s="9231" t="inlineStr">
        <is>
          <t>Funcionarios</t>
        </is>
      </c>
      <c r="B91" s="2669">
        <f>SUM(C91:S91)</f>
        <v/>
      </c>
      <c r="C91" s="3921" t="n"/>
      <c r="D91" s="528" t="n"/>
      <c r="E91" s="528" t="n"/>
      <c r="F91" s="528" t="n"/>
      <c r="G91" s="528" t="n"/>
      <c r="H91" s="528" t="n"/>
      <c r="I91" s="528" t="n"/>
      <c r="J91" s="528" t="n"/>
      <c r="K91" s="528" t="n"/>
      <c r="L91" s="528" t="n"/>
      <c r="M91" s="528" t="n"/>
      <c r="N91" s="528" t="n"/>
      <c r="O91" s="528" t="n"/>
      <c r="P91" s="528" t="n"/>
      <c r="Q91" s="528" t="n"/>
      <c r="R91" s="528" t="n"/>
      <c r="S91" s="4683" t="n"/>
    </row>
    <row r="92"/>
    <row r="93"/>
    <row r="94"/>
    <row r="95"/>
    <row r="96"/>
    <row r="97" s="8286"/>
    <row r="98" s="8286"/>
    <row r="99" s="8286"/>
    <row r="100" s="8286"/>
    <row r="101" s="8286"/>
    <row r="102" s="8286"/>
    <row r="103" s="8286"/>
    <row r="104" s="8286"/>
    <row r="105" s="8286"/>
    <row r="106" s="8286"/>
    <row r="107" s="8286"/>
    <row r="108" s="8286"/>
    <row r="109" s="8286"/>
    <row r="110" s="8286"/>
    <row r="111" s="8286"/>
    <row r="112" s="8286"/>
    <row r="113" s="8286"/>
    <row r="114" s="8286"/>
    <row r="115" s="8286"/>
    <row r="116" s="8286"/>
    <row r="117" s="8286"/>
    <row r="118" s="8286"/>
    <row r="119" s="8286"/>
    <row r="120" s="8286"/>
    <row r="121" s="8286"/>
    <row r="122" s="8286"/>
    <row r="123" s="8286"/>
    <row r="124" s="8286"/>
    <row r="125" s="8286"/>
    <row r="126" s="8286"/>
    <row r="127" s="8286"/>
    <row r="128" s="8286"/>
    <row r="129"/>
    <row r="130" hidden="1" s="8286">
      <c r="A130" s="451">
        <f>SUM(C12:C28,B32:B46,B50:B66,C71:C85,B89:B91)</f>
        <v/>
      </c>
      <c r="B130" s="452">
        <f>SUM(CH12:CL91)</f>
        <v/>
      </c>
    </row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 s="8286"/>
    <row r="146" s="8286"/>
    <row r="147" s="8286"/>
    <row r="148" s="8286"/>
    <row r="149" s="8286"/>
    <row r="150" s="8286"/>
    <row r="151" s="8286"/>
    <row r="152" s="8286"/>
    <row r="153" s="8286"/>
    <row r="154" s="8286"/>
    <row r="155" s="8286"/>
    <row r="156" s="8286"/>
    <row r="157" s="8286"/>
    <row r="158" s="8286"/>
    <row r="159" s="8286"/>
    <row r="160" s="8286"/>
    <row r="161" s="8286"/>
    <row r="162" s="8286"/>
    <row r="163" s="8286"/>
    <row r="164" s="8286"/>
    <row r="165" s="8286"/>
    <row r="166" s="8286"/>
    <row r="167" s="8286"/>
    <row r="168" s="8286"/>
    <row r="169" s="8286"/>
    <row r="170" s="8286"/>
    <row r="171" s="8286"/>
    <row r="172" s="8286"/>
    <row r="173" s="8286"/>
    <row r="174" s="8286"/>
    <row r="175" s="8286"/>
    <row r="176" s="8286"/>
    <row r="177" s="8286"/>
    <row r="178" s="8286"/>
    <row r="179" s="8286"/>
    <row r="180" s="8286"/>
    <row r="181" s="8286"/>
    <row r="182" s="8286"/>
    <row r="183" s="8286"/>
    <row r="184" s="8286"/>
    <row r="185" s="8286"/>
    <row r="186" s="8286"/>
    <row r="187" s="8286"/>
    <row r="188" s="8286"/>
    <row r="189" s="8286"/>
    <row r="190" s="8286"/>
    <row r="191" s="8286"/>
    <row r="192" s="8286"/>
    <row r="193" s="8286"/>
    <row r="194" s="8286"/>
    <row r="195" s="8286"/>
    <row r="196" s="8286"/>
    <row r="197" s="8286"/>
    <row r="198" s="8286"/>
    <row r="199" s="8286"/>
    <row r="200" s="8286"/>
    <row r="201" s="8286"/>
    <row r="202" s="8286"/>
    <row r="203" s="8286"/>
    <row r="204" s="8286"/>
    <row r="205" s="8286"/>
    <row r="206" s="8286"/>
    <row r="207" s="8286"/>
    <row r="208" s="8286"/>
    <row r="209" s="8286"/>
    <row r="210" s="8286"/>
    <row r="211" s="8286"/>
    <row r="212" s="8286"/>
    <row r="213" s="8286"/>
    <row r="214" s="8286"/>
    <row r="215" s="8286"/>
    <row r="216" s="8286"/>
    <row r="217" s="8286"/>
    <row r="218" s="8286"/>
    <row r="219" s="8286"/>
    <row r="220" s="8286"/>
    <row r="221" s="8286"/>
    <row r="222" s="8286"/>
    <row r="223" s="8286"/>
    <row r="224" s="8286"/>
    <row r="225" s="8286"/>
    <row r="226" s="8286"/>
    <row r="227" s="8286"/>
    <row r="228" s="8286"/>
    <row r="229" s="8286"/>
    <row r="230" s="8286"/>
    <row r="231" s="8286"/>
    <row r="232" s="8286"/>
    <row r="233" s="8286"/>
    <row r="234" s="8286"/>
    <row r="235" s="8286"/>
    <row r="236" s="8286"/>
    <row r="237" s="8286"/>
    <row r="238" s="8286"/>
    <row r="239" s="8286"/>
    <row r="240" s="8286"/>
    <row r="241" s="8286"/>
    <row r="242" s="8286"/>
    <row r="243" s="8286"/>
    <row r="244" s="8286"/>
    <row r="245" s="8286"/>
    <row r="246" s="8286"/>
    <row r="247" s="8286"/>
    <row r="248" s="8286"/>
    <row r="249" s="8286"/>
    <row r="250" s="8286"/>
    <row r="251" s="8286"/>
    <row r="252" s="8286"/>
    <row r="253" s="8286"/>
    <row r="254" s="8286"/>
    <row r="255" s="8286"/>
    <row r="256" s="8286"/>
    <row r="257" s="8286"/>
    <row r="258" s="8286"/>
    <row r="259" s="8286"/>
    <row r="260" s="8286"/>
    <row r="261" s="8286"/>
    <row r="262" s="8286"/>
    <row r="263" s="8286"/>
    <row r="264" s="8286"/>
    <row r="265" s="8286"/>
    <row r="266" s="8286"/>
    <row r="267" s="8286"/>
    <row r="268" s="8286"/>
    <row r="269" s="8286"/>
    <row r="270" s="8286"/>
    <row r="271" s="8286"/>
    <row r="272" s="8286"/>
    <row r="273" s="8286"/>
    <row r="274" s="8286"/>
    <row r="275" s="8286"/>
    <row r="276" s="8286"/>
    <row r="277" s="8286"/>
    <row r="278" s="8286"/>
    <row r="279" s="8286"/>
    <row r="280" s="8286"/>
    <row r="281" s="8286"/>
    <row r="282" s="8286"/>
    <row r="283" s="8286"/>
    <row r="284" s="8286"/>
    <row r="285" s="8286"/>
    <row r="286" s="8286"/>
    <row r="287" s="8286"/>
    <row r="288" s="8286"/>
    <row r="289" s="8286"/>
    <row r="290" s="8286"/>
    <row r="291" s="8286"/>
    <row r="292" s="8286"/>
    <row r="293" s="8286"/>
    <row r="294" s="8286"/>
    <row r="295" s="8286"/>
    <row r="296" s="8286"/>
    <row r="297" s="8286"/>
    <row r="298" s="8286"/>
    <row r="299" s="8286"/>
    <row r="300" s="8286"/>
    <row r="301" s="8286"/>
    <row r="302" s="8286"/>
    <row r="303" s="8286"/>
    <row r="304" s="8286"/>
    <row r="305" s="8286"/>
    <row r="306" s="8286"/>
    <row r="307" s="8286"/>
    <row r="308" s="8286"/>
    <row r="309" s="8286"/>
    <row r="310" s="8286"/>
    <row r="311" s="8286"/>
    <row r="312" s="8286"/>
    <row r="313" s="8286"/>
    <row r="314" s="8286"/>
    <row r="315" s="8286"/>
    <row r="316" s="8286"/>
    <row r="317" s="8286"/>
    <row r="318" s="8286"/>
    <row r="319" s="8286"/>
    <row r="320" s="8286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Ryr2KJbnVjDrMchCf/AHaw==" formatRows="1" sort="1" spinCount="100000" hashValue="PK9HJIbMR3QQkFV0j7NXtpmhEuYMCCnR7KhWMlbYnM5O2R5LVgZ34e8HaYPUcNNzkxQzrnIdN7HoKt4Pe4e8BQ=="/>
  <mergeCells count="69">
    <mergeCell ref="C30:C31"/>
    <mergeCell ref="A48:A49"/>
    <mergeCell ref="A12:A14"/>
    <mergeCell ref="F69:G69"/>
    <mergeCell ref="A8:J8"/>
    <mergeCell ref="C87:S87"/>
    <mergeCell ref="E48:E49"/>
    <mergeCell ref="F10:G10"/>
    <mergeCell ref="AT9:AT11"/>
    <mergeCell ref="H10:I10"/>
    <mergeCell ref="F30:AF30"/>
    <mergeCell ref="AV9:AV11"/>
    <mergeCell ref="J10:K10"/>
    <mergeCell ref="A9:B11"/>
    <mergeCell ref="P10:Q10"/>
    <mergeCell ref="B68:B70"/>
    <mergeCell ref="R10:S10"/>
    <mergeCell ref="S68:S70"/>
    <mergeCell ref="F68:M68"/>
    <mergeCell ref="A30:A31"/>
    <mergeCell ref="J69:K69"/>
    <mergeCell ref="C68:E69"/>
    <mergeCell ref="A86:F86"/>
    <mergeCell ref="A68:A70"/>
    <mergeCell ref="A87:A88"/>
    <mergeCell ref="F9:AM9"/>
    <mergeCell ref="AO9:AO11"/>
    <mergeCell ref="A6:T6"/>
    <mergeCell ref="T10:U10"/>
    <mergeCell ref="AQ9:AQ11"/>
    <mergeCell ref="V10:W10"/>
    <mergeCell ref="B48:B49"/>
    <mergeCell ref="D48:D49"/>
    <mergeCell ref="A67:M67"/>
    <mergeCell ref="AD10:AE10"/>
    <mergeCell ref="P68:P70"/>
    <mergeCell ref="AF10:AG10"/>
    <mergeCell ref="R68:R70"/>
    <mergeCell ref="AH10:AI10"/>
    <mergeCell ref="AJ10:AK10"/>
    <mergeCell ref="E30:E31"/>
    <mergeCell ref="H69:I69"/>
    <mergeCell ref="A29:L29"/>
    <mergeCell ref="B87:B88"/>
    <mergeCell ref="AN9:AN11"/>
    <mergeCell ref="AP9:AP11"/>
    <mergeCell ref="F48:AF48"/>
    <mergeCell ref="AR9:AR11"/>
    <mergeCell ref="L10:M10"/>
    <mergeCell ref="O68:O70"/>
    <mergeCell ref="N10:O10"/>
    <mergeCell ref="Q68:Q70"/>
    <mergeCell ref="C9:E10"/>
    <mergeCell ref="L69:M69"/>
    <mergeCell ref="C48:C49"/>
    <mergeCell ref="B30:B31"/>
    <mergeCell ref="D30:D31"/>
    <mergeCell ref="AS9:AS11"/>
    <mergeCell ref="X10:Y10"/>
    <mergeCell ref="AU9:AU11"/>
    <mergeCell ref="Z10:AA10"/>
    <mergeCell ref="AW9:AW11"/>
    <mergeCell ref="AB10:AC10"/>
    <mergeCell ref="A28:B28"/>
    <mergeCell ref="A15:A27"/>
    <mergeCell ref="T68:T70"/>
    <mergeCell ref="N68:N70"/>
    <mergeCell ref="AL10:AM10"/>
    <mergeCell ref="A47:M47"/>
  </mergeCells>
  <dataValidations count="2">
    <dataValidation sqref="B71:B84 C32:AF45 C50:AF65 C89:S91 F12:AW27 F71:T84" showDropDown="0" showInputMessage="1" showErrorMessage="1" allowBlank="0" error="Valor no Permitido" type="whole" operator="greaterThanOrEqual">
      <formula1>0</formula1>
    </dataValidation>
    <dataValidation sqref="A6:T6 A8 A9:E28 A29 A30:B46 A47:A48 A50:A68 A71:A86 A87:B91 B48:B66 B68:B70 B85 C30:AF31 C46:AF46 C48:AF49 C66:AF66 C68:E85 C87:S88 F9:AM11 F28:AW28 F68:S70 F85:T85 AN9 AO9:AQ11 AS9:AW11" showDropDown="0" showInputMessage="1" showErrorMessage="1" allowBlank="0" error="Valor no Permitido"/>
  </dataValidations>
  <pageMargins left="0.7" right="0.7" top="0.75" bottom="0.75" header="0.3" footer="0.3"/>
  <pageSetup orientation="portrait" paperSize="9"/>
</worksheet>
</file>

<file path=xl/worksheets/sheet26.xml><?xml version="1.0" encoding="utf-8"?>
<worksheet xmlns="http://schemas.openxmlformats.org/spreadsheetml/2006/main">
  <sheetPr codeName="Hoja26">
    <outlinePr summaryBelow="1" summaryRight="1"/>
    <pageSetUpPr/>
  </sheetPr>
  <dimension ref="A1:CR236"/>
  <sheetViews>
    <sheetView showGridLines="0" zoomScaleNormal="100" workbookViewId="0">
      <selection activeCell="A1" sqref="A1"/>
    </sheetView>
  </sheetViews>
  <sheetFormatPr baseColWidth="10" defaultColWidth="11.42578125" defaultRowHeight="15"/>
  <cols>
    <col width="67.28515625" customWidth="1" style="227" min="1" max="1"/>
    <col width="25.42578125" customWidth="1" style="227" min="2" max="2"/>
    <col width="16" customWidth="1" style="227" min="3" max="3"/>
    <col width="14.5703125" customWidth="1" style="227" min="4" max="4"/>
    <col width="14.42578125" customWidth="1" style="227" min="5" max="5"/>
    <col width="12.7109375" customWidth="1" style="227" min="6" max="6"/>
    <col width="12.140625" customWidth="1" style="227" min="7" max="7"/>
    <col width="11.42578125" customWidth="1" style="227" min="8" max="9"/>
    <col width="12.85546875" customWidth="1" style="227" min="10" max="10"/>
    <col width="11.42578125" customWidth="1" style="227" min="11" max="12"/>
    <col width="12.85546875" customWidth="1" style="227" min="13" max="13"/>
    <col width="12.7109375" customWidth="1" style="227" min="14" max="14"/>
    <col width="11.42578125" customWidth="1" style="227" min="15" max="15"/>
    <col width="12.28515625" customWidth="1" style="227" min="16" max="16"/>
    <col width="14.7109375" customWidth="1" style="227" min="17" max="17"/>
    <col width="14" customWidth="1" style="227" min="18" max="18"/>
    <col width="14.5703125" customWidth="1" style="227" min="19" max="19"/>
    <col width="13.140625" customWidth="1" style="227" min="20" max="20"/>
    <col width="12.85546875" customWidth="1" style="227" min="21" max="21"/>
    <col width="12.5703125" customWidth="1" style="227" min="22" max="26"/>
    <col width="11.42578125" customWidth="1" style="227" min="27" max="27"/>
    <col width="12.42578125" customWidth="1" style="227" min="28" max="28"/>
    <col width="11.42578125" customWidth="1" style="227" min="29" max="29"/>
    <col width="12.42578125" customWidth="1" style="227" min="30" max="30"/>
    <col width="11.42578125" customWidth="1" style="227" min="31" max="32"/>
    <col width="12.28515625" customWidth="1" style="227" min="33" max="33"/>
    <col width="11.42578125" customWidth="1" style="227" min="34" max="34"/>
    <col width="12.140625" customWidth="1" style="227" min="35" max="35"/>
    <col width="11.42578125" customWidth="1" style="227" min="36" max="38"/>
    <col width="20.28515625" customWidth="1" style="227" min="39" max="39"/>
    <col width="17.140625" customWidth="1" style="227" min="40" max="40"/>
    <col width="13.140625" customWidth="1" style="227" min="41" max="41"/>
    <col width="11.42578125" customWidth="1" style="227" min="42" max="42"/>
    <col width="12" customWidth="1" style="227" min="43" max="43"/>
    <col width="11.42578125" customWidth="1" style="227" min="44" max="44"/>
    <col width="12.140625" customWidth="1" style="227" min="45" max="45"/>
    <col width="22" customWidth="1" style="227" min="46" max="46"/>
    <col width="11.42578125" customWidth="1" style="227" min="47" max="75"/>
    <col width="11.42578125" customWidth="1" style="227" min="76" max="78"/>
    <col hidden="1" width="11.42578125" customWidth="1" style="227" min="79" max="94"/>
    <col hidden="1" width="11.5703125" customWidth="1" style="227" min="95" max="96"/>
    <col width="11.42578125" customWidth="1" style="227" min="97" max="97"/>
    <col width="11.42578125" customWidth="1" style="227" min="98" max="16384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512">
        <f>CONCATENATE("AÑO: ",NOMBRE!B7)</f>
        <v/>
      </c>
    </row>
    <row r="6" ht="18" customHeight="1" s="8286">
      <c r="A6" s="7780" t="inlineStr">
        <is>
          <t xml:space="preserve">REM-32. ACTIVIDADES DE ATENCIÓN DE SALUD REMOTA </t>
        </is>
      </c>
    </row>
    <row r="8" ht="18" customFormat="1" customHeight="1" s="109">
      <c r="A8" s="10623" t="inlineStr">
        <is>
          <t>SECCIÓN A: SEGUIMIENTO EN ATENCIÓN PRIMARIA DE SALUD POR LLAMADA TELEFÓNICA O VIDEOLLAMADAS</t>
        </is>
      </c>
      <c r="B8" s="9591" t="n"/>
      <c r="C8" s="9591" t="n"/>
    </row>
    <row r="9" ht="15" customFormat="1" customHeight="1" s="110">
      <c r="A9" s="10522" t="inlineStr">
        <is>
          <t>PROFESIONAL</t>
        </is>
      </c>
      <c r="B9" s="10624" t="inlineStr">
        <is>
          <t>TOTAL</t>
        </is>
      </c>
      <c r="C9" s="10625" t="inlineStr">
        <is>
          <t>RANGO ETARIO</t>
        </is>
      </c>
      <c r="D9" s="9602" t="n"/>
      <c r="E9" s="9602" t="n"/>
      <c r="F9" s="9602" t="n"/>
      <c r="G9" s="9602" t="n"/>
      <c r="H9" s="9602" t="n"/>
      <c r="I9" s="9602" t="n"/>
      <c r="J9" s="9602" t="n"/>
      <c r="K9" s="9602" t="n"/>
      <c r="L9" s="9602" t="n"/>
      <c r="M9" s="9602" t="n"/>
      <c r="N9" s="9602" t="n"/>
      <c r="O9" s="9602" t="n"/>
      <c r="P9" s="9602" t="n"/>
      <c r="Q9" s="9602" t="n"/>
      <c r="R9" s="9602" t="n"/>
      <c r="S9" s="9603" t="n"/>
      <c r="T9" s="10626" t="inlineStr">
        <is>
          <t xml:space="preserve"> SEXO</t>
        </is>
      </c>
      <c r="U9" s="9595" t="n"/>
      <c r="V9" s="10338" t="inlineStr">
        <is>
          <t xml:space="preserve">SENAME/ Servicio Nacional de Reinserción social Juvenil </t>
        </is>
      </c>
      <c r="W9" s="10326" t="inlineStr">
        <is>
          <t>Servicio Nacional Protección Especializada a la Niñez y Adolescencia</t>
        </is>
      </c>
      <c r="X9" s="7829" t="inlineStr">
        <is>
          <t>Pueblos Originarios</t>
        </is>
      </c>
      <c r="Y9" s="8400" t="inlineStr">
        <is>
          <t>Migrantes</t>
        </is>
      </c>
      <c r="Z9" s="9975" t="inlineStr">
        <is>
          <t>Espacios amigables/ Adolescentes</t>
        </is>
      </c>
    </row>
    <row r="10" ht="52.5" customFormat="1" customHeight="1" s="110">
      <c r="A10" s="9621" t="n"/>
      <c r="B10" s="9610" t="n"/>
      <c r="C10" s="9498" t="inlineStr">
        <is>
          <t>0 - 4 años</t>
        </is>
      </c>
      <c r="D10" s="9499" t="inlineStr">
        <is>
          <t>5 - 9 años</t>
        </is>
      </c>
      <c r="E10" s="4504" t="inlineStr">
        <is>
          <t xml:space="preserve"> 10 - 14 años</t>
        </is>
      </c>
      <c r="F10" s="9499" t="inlineStr">
        <is>
          <t>15 - 19 años</t>
        </is>
      </c>
      <c r="G10" s="4641" t="inlineStr">
        <is>
          <t>20 - 24 años</t>
        </is>
      </c>
      <c r="H10" s="4641" t="inlineStr">
        <is>
          <t>25 - 29 años</t>
        </is>
      </c>
      <c r="I10" s="4641" t="inlineStr">
        <is>
          <t>30 - 34 años</t>
        </is>
      </c>
      <c r="J10" s="4641" t="inlineStr">
        <is>
          <t>35 - 39 años</t>
        </is>
      </c>
      <c r="K10" s="4641" t="inlineStr">
        <is>
          <t>40 - 44 años</t>
        </is>
      </c>
      <c r="L10" s="4641" t="inlineStr">
        <is>
          <t>45 - 49 años</t>
        </is>
      </c>
      <c r="M10" s="4641" t="inlineStr">
        <is>
          <t>50 - 54 años</t>
        </is>
      </c>
      <c r="N10" s="4641" t="inlineStr">
        <is>
          <t>55 - 59 años</t>
        </is>
      </c>
      <c r="O10" s="4641" t="inlineStr">
        <is>
          <t>60 - 64 años</t>
        </is>
      </c>
      <c r="P10" s="4641" t="inlineStr">
        <is>
          <t>65 - 69 años</t>
        </is>
      </c>
      <c r="Q10" s="4641" t="inlineStr">
        <is>
          <t>70 - 74 años</t>
        </is>
      </c>
      <c r="R10" s="4641" t="inlineStr">
        <is>
          <t>75 - 79 años</t>
        </is>
      </c>
      <c r="S10" s="4497" t="inlineStr">
        <is>
          <t>80 y más años</t>
        </is>
      </c>
      <c r="T10" s="10627" t="inlineStr">
        <is>
          <t>Hombres</t>
        </is>
      </c>
      <c r="U10" s="10628" t="inlineStr">
        <is>
          <t>Mujeres</t>
        </is>
      </c>
      <c r="V10" s="9591" t="n"/>
      <c r="W10" s="9610" t="n"/>
      <c r="X10" s="9591" t="n"/>
      <c r="Y10" s="9610" t="n"/>
      <c r="Z10" s="9611" t="n"/>
    </row>
    <row r="11" ht="15" customFormat="1" customHeight="1" s="110">
      <c r="A11" s="4686" t="inlineStr">
        <is>
          <t>Médico/a</t>
        </is>
      </c>
      <c r="B11" s="10629">
        <f>SUM(C11:S11)</f>
        <v/>
      </c>
      <c r="C11" s="1333" t="n"/>
      <c r="D11" s="4688" t="n"/>
      <c r="E11" s="4689" t="n"/>
      <c r="F11" s="854" t="n"/>
      <c r="G11" s="854" t="n"/>
      <c r="H11" s="854" t="n"/>
      <c r="I11" s="854" t="n"/>
      <c r="J11" s="854" t="n"/>
      <c r="K11" s="854" t="n"/>
      <c r="L11" s="854" t="n"/>
      <c r="M11" s="854" t="n"/>
      <c r="N11" s="854" t="n"/>
      <c r="O11" s="854" t="n"/>
      <c r="P11" s="854" t="n"/>
      <c r="Q11" s="854" t="n"/>
      <c r="R11" s="854" t="n"/>
      <c r="S11" s="4690" t="n"/>
      <c r="T11" s="4691" t="n"/>
      <c r="U11" s="4692" t="n"/>
      <c r="V11" s="118" t="n"/>
      <c r="W11" s="5492" t="n"/>
      <c r="X11" s="5495" t="n"/>
      <c r="Y11" s="5499" t="n"/>
      <c r="Z11" s="5497" t="n"/>
      <c r="AA11" s="110">
        <f>CA11&amp;CB11&amp;CC11&amp;CD11&amp;CE11&amp;CF11</f>
        <v/>
      </c>
      <c r="CA11" s="111">
        <f>IF((T11+U11)&lt;&gt;B11," * El desglose por Sexo No puede ser distinto al Total.","")</f>
        <v/>
      </c>
      <c r="CB11" s="111">
        <f>IF(AND(B11&gt;0,V11="")," * No olvide digitar la variable "&amp;V$9&amp;". Digite Cero si no tiene.",IF(V11&gt;B11," * La variable "&amp;V$9&amp;" no puede ser mayor al Total.",""))</f>
        <v/>
      </c>
      <c r="CC11" s="111">
        <f>IF(AND(B11&gt;0,W11="")," * No olvide digitar la variable "&amp;W$9&amp;". Digite Cero si no tiene.",IF(W11&gt;B11," * La variable "&amp;W$9&amp;" no puede ser mayor al Total.",""))</f>
        <v/>
      </c>
      <c r="CD11" s="111">
        <f>IF(AND(B11&gt;0,X11="")," * No olvide digitar la variable "&amp;X$9&amp;". Digite Cero si no tiene.",IF(X11&gt;B11," * La variable "&amp;X$9&amp;" no puede ser mayor al Total.",""))</f>
        <v/>
      </c>
      <c r="CE11" s="111">
        <f>IF(AND(B11&gt;0,Y11="")," * No olvide digitar la variable "&amp;Y$9&amp;". Digite Cero si no tiene.",IF(Y11&gt;B11," * La variable "&amp;Y$9&amp;" no puede ser mayor al Total.",""))</f>
        <v/>
      </c>
      <c r="CF11" s="111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/>
      </c>
      <c r="CL11" s="112">
        <f>IF(AND(B11&gt;0,V11=""),1,IF(V11&gt;B11,1,0))</f>
        <v/>
      </c>
      <c r="CM11" s="112">
        <f>IF(AND(B11&gt;0,W11=""),1,IF(W11&gt;B11,1,0))</f>
        <v/>
      </c>
      <c r="CN11" s="112">
        <f>IF(AND(B11&gt;0,X11=""),1,IF(X11&gt;B11,1,0))</f>
        <v/>
      </c>
      <c r="CO11" s="112">
        <f>IF(AND(B11&gt;0,Y11=""),1,IF(Y11&gt;B11,1,0))</f>
        <v/>
      </c>
      <c r="CP11" s="112">
        <f>IF(AND(B11&gt;0,Z11=""),1,IF(Z11&gt;B11,1,0))</f>
        <v/>
      </c>
    </row>
    <row r="12" ht="15" customFormat="1" customHeight="1" s="110">
      <c r="A12" s="4686" t="inlineStr">
        <is>
          <t>Enfermera/o</t>
        </is>
      </c>
      <c r="B12" s="10629">
        <f>SUM(C12:S12)</f>
        <v/>
      </c>
      <c r="C12" s="1333" t="n"/>
      <c r="D12" s="4688" t="n"/>
      <c r="E12" s="4115" t="n"/>
      <c r="F12" s="4688" t="n"/>
      <c r="G12" s="4688" t="n"/>
      <c r="H12" s="4688" t="n"/>
      <c r="I12" s="4688" t="n"/>
      <c r="J12" s="4688" t="n"/>
      <c r="K12" s="4688" t="n"/>
      <c r="L12" s="4688" t="n"/>
      <c r="M12" s="4688" t="n"/>
      <c r="N12" s="4688" t="n"/>
      <c r="O12" s="4688" t="n"/>
      <c r="P12" s="4688" t="n"/>
      <c r="Q12" s="4688" t="n"/>
      <c r="R12" s="4688" t="n"/>
      <c r="S12" s="4697" t="n"/>
      <c r="T12" s="4698" t="n"/>
      <c r="U12" s="4699" t="n"/>
      <c r="V12" s="4838" t="n"/>
      <c r="W12" s="4113" t="n"/>
      <c r="X12" s="4838" t="n"/>
      <c r="Y12" s="4113" t="n"/>
      <c r="Z12" s="4114" t="n"/>
      <c r="AA12" s="110">
        <f>CA12&amp;CB12&amp;CC12&amp;CD12&amp;CE12&amp;CF12</f>
        <v/>
      </c>
      <c r="CA12" s="111">
        <f>IF((T12+U12)&lt;&gt;B12," * El desglose por Sexo No puede ser distinto al Total.","")</f>
        <v/>
      </c>
      <c r="CB12" s="111">
        <f>IF(AND(B12&gt;0,V12="")," * No olvide digitar la variable "&amp;V$9&amp;". Digite Cero si no tiene.",IF(V12&gt;B12," * La variable "&amp;V$9&amp;" no puede ser mayor al Total.",""))</f>
        <v/>
      </c>
      <c r="CC12" s="111">
        <f>IF(AND(B12&gt;0,W12="")," * No olvide digitar la variable "&amp;W$9&amp;". Digite Cero si no tiene.",IF(W12&gt;B12," * La variable "&amp;W$9&amp;" no puede ser mayor al Total.",""))</f>
        <v/>
      </c>
      <c r="CD12" s="111">
        <f>IF(AND(B12&gt;0,X12="")," * No olvide digitar la variable "&amp;X$9&amp;". Digite Cero si no tiene.",IF(X12&gt;B12," * La variable "&amp;X$9&amp;" no puede ser mayor al Total.",""))</f>
        <v/>
      </c>
      <c r="CE12" s="111">
        <f>IF(AND(B12&gt;0,Y12="")," * No olvide digitar la variable "&amp;Y$9&amp;". Digite Cero si no tiene.",IF(Y12&gt;B12," * La variable "&amp;Y$9&amp;" no puede ser mayor al Total.",""))</f>
        <v/>
      </c>
      <c r="CF12" s="111">
        <f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/>
      </c>
      <c r="CL12" s="112">
        <f>IF(AND(B12&gt;0,V12=""),1,IF(V12&gt;B12,1,0))</f>
        <v/>
      </c>
      <c r="CM12" s="112">
        <f>IF(AND(B12&gt;0,W12=""),1,IF(W12&gt;B12,1,0))</f>
        <v/>
      </c>
      <c r="CN12" s="112">
        <f>IF(AND(B12&gt;0,X12=""),1,IF(X12&gt;B12,1,0))</f>
        <v/>
      </c>
      <c r="CO12" s="112">
        <f>IF(AND(B12&gt;0,Y12=""),1,IF(Y12&gt;B12,1,0))</f>
        <v/>
      </c>
      <c r="CP12" s="112">
        <f>IF(AND(B12&gt;0,Z12=""),1,IF(Z12&gt;B12,1,0))</f>
        <v/>
      </c>
    </row>
    <row r="13" ht="15" customFormat="1" customHeight="1" s="110">
      <c r="A13" s="4686" t="inlineStr">
        <is>
          <t>Matrón/a</t>
        </is>
      </c>
      <c r="B13" s="10629">
        <f>SUM(E13:S13)</f>
        <v/>
      </c>
      <c r="C13" s="4703" t="n"/>
      <c r="D13" s="4704" t="n"/>
      <c r="E13" s="4115" t="n"/>
      <c r="F13" s="4688" t="n"/>
      <c r="G13" s="4688" t="n"/>
      <c r="H13" s="4688" t="n"/>
      <c r="I13" s="4688" t="n"/>
      <c r="J13" s="4688" t="n"/>
      <c r="K13" s="4688" t="n"/>
      <c r="L13" s="4688" t="n"/>
      <c r="M13" s="4688" t="n"/>
      <c r="N13" s="4688" t="n"/>
      <c r="O13" s="4688" t="n"/>
      <c r="P13" s="4688" t="n"/>
      <c r="Q13" s="4688" t="n"/>
      <c r="R13" s="4688" t="n"/>
      <c r="S13" s="775" t="n"/>
      <c r="T13" s="4705" t="n"/>
      <c r="U13" s="4699" t="n"/>
      <c r="V13" s="4838" t="n"/>
      <c r="W13" s="4113" t="n"/>
      <c r="X13" s="4838" t="n"/>
      <c r="Y13" s="4113" t="n"/>
      <c r="Z13" s="4114" t="n"/>
      <c r="AA13" s="110">
        <f>CA13&amp;CB13&amp;CC13&amp;CD13&amp;CE13&amp;CF13</f>
        <v/>
      </c>
      <c r="AD13" s="109" t="n"/>
      <c r="AE13" s="109" t="n"/>
      <c r="AF13" s="109" t="n"/>
      <c r="CA13" s="111">
        <f>IF((T13+U13)&lt;&gt;B13," * El desglose por Sexo No puede ser distinto al Total.","")</f>
        <v/>
      </c>
      <c r="CB13" s="111">
        <f>IF(AND(B13&gt;0,V13="")," * No olvide digitar la variable "&amp;V$9&amp;". Digite Cero si no tiene.",IF(V13&gt;B13," * La variable "&amp;V$9&amp;" no puede ser mayor al Total.",""))</f>
        <v/>
      </c>
      <c r="CC13" s="111">
        <f>IF(AND(B13&gt;0,W13="")," * No olvide digitar la variable "&amp;W$9&amp;". Digite Cero si no tiene.",IF(W13&gt;B13," * La variable "&amp;W$9&amp;" no puede ser mayor al Total.",""))</f>
        <v/>
      </c>
      <c r="CD13" s="111">
        <f>IF(AND(B13&gt;0,X13="")," * No olvide digitar la variable "&amp;X$9&amp;". Digite Cero si no tiene.",IF(X13&gt;B13," * La variable "&amp;X$9&amp;" no puede ser mayor al Total.",""))</f>
        <v/>
      </c>
      <c r="CE13" s="111">
        <f>IF(AND(B13&gt;0,Y13="")," * No olvide digitar la variable "&amp;Y$9&amp;". Digite Cero si no tiene.",IF(Y13&gt;B13," * La variable "&amp;Y$9&amp;" no puede ser mayor al Total.",""))</f>
        <v/>
      </c>
      <c r="CF13" s="111">
        <f>IF(AND(B13&gt;0,Z13="")," * No olvide digitar la variable "&amp;Z$9&amp;". Digite Cero si no tiene.",IF(Z13&gt;B13," * La variable "&amp;Z$9&amp;" no puede ser mayor al Total.",""))</f>
        <v/>
      </c>
      <c r="CK13" s="112">
        <f>IF((T13+U13)&lt;&gt;B13,1,0)</f>
        <v/>
      </c>
      <c r="CL13" s="112">
        <f>IF(AND(B13&gt;0,V13=""),1,IF(V13&gt;B13,1,0))</f>
        <v/>
      </c>
      <c r="CM13" s="112">
        <f>IF(AND(B13&gt;0,W13=""),1,IF(W13&gt;B13,1,0))</f>
        <v/>
      </c>
      <c r="CN13" s="112">
        <f>IF(AND(B13&gt;0,X13=""),1,IF(X13&gt;B13,1,0))</f>
        <v/>
      </c>
      <c r="CO13" s="112">
        <f>IF(AND(B13&gt;0,Y13=""),1,IF(Y13&gt;B13,1,0))</f>
        <v/>
      </c>
      <c r="CP13" s="112">
        <f>IF(AND(B13&gt;0,Z13=""),1,IF(Z13&gt;B13,1,0))</f>
        <v/>
      </c>
    </row>
    <row r="14" ht="15" customFormat="1" customHeight="1" s="110">
      <c r="A14" s="4686" t="inlineStr">
        <is>
          <t>Nutricionista</t>
        </is>
      </c>
      <c r="B14" s="10629">
        <f>SUM(C14:S14)</f>
        <v/>
      </c>
      <c r="C14" s="1333" t="n"/>
      <c r="D14" s="4688" t="n"/>
      <c r="E14" s="4115" t="n"/>
      <c r="F14" s="4688" t="n"/>
      <c r="G14" s="4688" t="n"/>
      <c r="H14" s="4688" t="n"/>
      <c r="I14" s="4688" t="n"/>
      <c r="J14" s="4688" t="n"/>
      <c r="K14" s="4688" t="n"/>
      <c r="L14" s="4688" t="n"/>
      <c r="M14" s="4688" t="n"/>
      <c r="N14" s="4688" t="n"/>
      <c r="O14" s="4688" t="n"/>
      <c r="P14" s="4688" t="n"/>
      <c r="Q14" s="4688" t="n"/>
      <c r="R14" s="4688" t="n"/>
      <c r="S14" s="4697" t="n"/>
      <c r="T14" s="4698" t="n"/>
      <c r="U14" s="4699" t="n"/>
      <c r="V14" s="4838" t="n"/>
      <c r="W14" s="4113" t="n"/>
      <c r="X14" s="4838" t="n"/>
      <c r="Y14" s="4113" t="n"/>
      <c r="Z14" s="4114" t="n"/>
      <c r="AA14" s="110">
        <f>CA14&amp;CB14&amp;CC14&amp;CD14&amp;CE14&amp;CF14</f>
        <v/>
      </c>
      <c r="CA14" s="111">
        <f>IF((T14+U14)&lt;&gt;B14," * El desglose por Sexo No puede ser distinto al Total.","")</f>
        <v/>
      </c>
      <c r="CB14" s="111">
        <f>IF(AND(B14&gt;0,V14="")," * No olvide digitar la variable "&amp;V$9&amp;". Digite Cero si no tiene.",IF(V14&gt;B14," * La variable "&amp;V$9&amp;" no puede ser mayor al Total.",""))</f>
        <v/>
      </c>
      <c r="CC14" s="111">
        <f>IF(AND(B14&gt;0,W14="")," * No olvide digitar la variable "&amp;W$9&amp;". Digite Cero si no tiene.",IF(W14&gt;B14," * La variable "&amp;W$9&amp;" no puede ser mayor al Total.",""))</f>
        <v/>
      </c>
      <c r="CD14" s="111">
        <f>IF(AND(B14&gt;0,X14="")," * No olvide digitar la variable "&amp;X$9&amp;". Digite Cero si no tiene.",IF(X14&gt;B14," * La variable "&amp;X$9&amp;" no puede ser mayor al Total.",""))</f>
        <v/>
      </c>
      <c r="CE14" s="111">
        <f>IF(AND(B14&gt;0,Y14="")," * No olvide digitar la variable "&amp;Y$9&amp;". Digite Cero si no tiene.",IF(Y14&gt;B14," * La variable "&amp;Y$9&amp;" no puede ser mayor al Total.",""))</f>
        <v/>
      </c>
      <c r="CF14" s="111">
        <f>IF(AND(B14&gt;0,Z14="")," * No olvide digitar la variable "&amp;Z$9&amp;". Digite Cero si no tiene.",IF(Z14&gt;B14," * La variable "&amp;Z$9&amp;" no puede ser mayor al Total.",""))</f>
        <v/>
      </c>
      <c r="CK14" s="112">
        <f>IF((T14+U14)&lt;&gt;B14,1,0)</f>
        <v/>
      </c>
      <c r="CL14" s="112">
        <f>IF(AND(B14&gt;0,V14=""),1,IF(V14&gt;B14,1,0))</f>
        <v/>
      </c>
      <c r="CM14" s="112">
        <f>IF(AND(B14&gt;0,W14=""),1,IF(W14&gt;B14,1,0))</f>
        <v/>
      </c>
      <c r="CN14" s="112">
        <f>IF(AND(B14&gt;0,X14=""),1,IF(X14&gt;B14,1,0))</f>
        <v/>
      </c>
      <c r="CO14" s="112">
        <f>IF(AND(B14&gt;0,Y14=""),1,IF(Y14&gt;B14,1,0))</f>
        <v/>
      </c>
      <c r="CP14" s="112">
        <f>IF(AND(B14&gt;0,Z14=""),1,IF(Z14&gt;B14,1,0))</f>
        <v/>
      </c>
    </row>
    <row r="15" ht="15" customFormat="1" customHeight="1" s="110">
      <c r="A15" s="4686" t="inlineStr">
        <is>
          <t>Otros Profesionales</t>
        </is>
      </c>
      <c r="B15" s="10629">
        <f>SUM(C15:S15)</f>
        <v/>
      </c>
      <c r="C15" s="1333" t="n"/>
      <c r="D15" s="4688" t="n"/>
      <c r="E15" s="4115" t="n"/>
      <c r="F15" s="4688" t="n"/>
      <c r="G15" s="4688" t="n"/>
      <c r="H15" s="4688" t="n"/>
      <c r="I15" s="4688" t="n"/>
      <c r="J15" s="4688" t="n"/>
      <c r="K15" s="4688" t="n"/>
      <c r="L15" s="4688" t="n"/>
      <c r="M15" s="4688" t="n"/>
      <c r="N15" s="4688" t="n"/>
      <c r="O15" s="4688" t="n"/>
      <c r="P15" s="4688" t="n"/>
      <c r="Q15" s="4688" t="n"/>
      <c r="R15" s="4688" t="n"/>
      <c r="S15" s="4697" t="n"/>
      <c r="T15" s="4698" t="n"/>
      <c r="U15" s="4699" t="n"/>
      <c r="V15" s="5490" t="n"/>
      <c r="W15" s="5493" t="n"/>
      <c r="X15" s="4838" t="n"/>
      <c r="Y15" s="4113" t="n"/>
      <c r="Z15" s="4114" t="n"/>
      <c r="AA15" s="110">
        <f>CA15&amp;CB15&amp;CC15&amp;CD15&amp;CE15&amp;CF15</f>
        <v/>
      </c>
      <c r="AD15" s="109" t="n"/>
      <c r="AE15" s="109" t="n"/>
      <c r="AF15" s="109" t="n"/>
      <c r="CA15" s="111">
        <f>IF((T15+U15)&lt;&gt;B15," * El desglose por Sexo No puede ser distinto al Total.","")</f>
        <v/>
      </c>
      <c r="CB15" s="111">
        <f>IF(AND(B15&gt;0,V15="")," * No olvide digitar la variable "&amp;V$9&amp;". Digite Cero si no tiene.",IF(V15&gt;B15," * La variable "&amp;V$9&amp;" no puede ser mayor al Total.",""))</f>
        <v/>
      </c>
      <c r="CC15" s="111">
        <f>IF(AND(B15&gt;0,W15="")," * No olvide digitar la variable "&amp;W$9&amp;". Digite Cero si no tiene.",IF(W15&gt;B15," * La variable "&amp;W$9&amp;" no puede ser mayor al Total.",""))</f>
        <v/>
      </c>
      <c r="CD15" s="111">
        <f>IF(AND(B15&gt;0,X15="")," * No olvide digitar la variable "&amp;X$9&amp;". Digite Cero si no tiene.",IF(X15&gt;B15," * La variable "&amp;X$9&amp;" no puede ser mayor al Total.",""))</f>
        <v/>
      </c>
      <c r="CE15" s="111">
        <f>IF(AND(B15&gt;0,Y15="")," * No olvide digitar la variable "&amp;Y$9&amp;". Digite Cero si no tiene.",IF(Y15&gt;B15," * La variable "&amp;Y$9&amp;" no puede ser mayor al Total.",""))</f>
        <v/>
      </c>
      <c r="CF15" s="111">
        <f>IF(AND(B15&gt;0,Z15="")," * No olvide digitar la variable "&amp;Z$9&amp;". Digite Cero si no tiene.",IF(Z15&gt;B15," * La variable "&amp;Z$9&amp;" no puede ser mayor al Total.",""))</f>
        <v/>
      </c>
      <c r="CK15" s="112">
        <f>IF((T15+U15)&lt;&gt;B15,1,0)</f>
        <v/>
      </c>
      <c r="CL15" s="112">
        <f>IF(AND(B15&gt;0,V15=""),1,IF(V15&gt;B15,1,0))</f>
        <v/>
      </c>
      <c r="CM15" s="112">
        <f>IF(AND(B15&gt;0,W15=""),1,IF(W15&gt;B15,1,0))</f>
        <v/>
      </c>
      <c r="CN15" s="112">
        <f>IF(AND(B15&gt;0,X15=""),1,IF(X15&gt;B15,1,0))</f>
        <v/>
      </c>
      <c r="CO15" s="112">
        <f>IF(AND(B15&gt;0,Y15=""),1,IF(Y15&gt;B15,1,0))</f>
        <v/>
      </c>
      <c r="CP15" s="112">
        <f>IF(AND(B15&gt;0,Z15=""),1,IF(Z15&gt;B15,1,0))</f>
        <v/>
      </c>
    </row>
    <row r="16" ht="15" customFormat="1" customHeight="1" s="110">
      <c r="A16" s="10630" t="inlineStr">
        <is>
          <t xml:space="preserve">TOTAL </t>
        </is>
      </c>
      <c r="B16" s="10631">
        <f>SUM(C16:S16)</f>
        <v/>
      </c>
      <c r="C16" s="10632">
        <f>SUM(C11:C15)</f>
        <v/>
      </c>
      <c r="D16" s="10633">
        <f>SUM(D11:D15)</f>
        <v/>
      </c>
      <c r="E16" s="10633">
        <f>SUM(E11:E15)</f>
        <v/>
      </c>
      <c r="F16" s="10634">
        <f>SUM(F11:F15)</f>
        <v/>
      </c>
      <c r="G16" s="10634">
        <f>SUM(G11:G15)</f>
        <v/>
      </c>
      <c r="H16" s="10634">
        <f>SUM(H11:H15)</f>
        <v/>
      </c>
      <c r="I16" s="10634">
        <f>SUM(I11:I15)</f>
        <v/>
      </c>
      <c r="J16" s="10634">
        <f>SUM(J11:J15)</f>
        <v/>
      </c>
      <c r="K16" s="10634">
        <f>SUM(K11:K15)</f>
        <v/>
      </c>
      <c r="L16" s="10634">
        <f>SUM(L11:L15)</f>
        <v/>
      </c>
      <c r="M16" s="10634">
        <f>SUM(M11:M15)</f>
        <v/>
      </c>
      <c r="N16" s="10634">
        <f>SUM(N11:N15)</f>
        <v/>
      </c>
      <c r="O16" s="10634">
        <f>SUM(O11:O15)</f>
        <v/>
      </c>
      <c r="P16" s="10634">
        <f>SUM(P11:P15)</f>
        <v/>
      </c>
      <c r="Q16" s="10634">
        <f>SUM(Q11:Q15)</f>
        <v/>
      </c>
      <c r="R16" s="10634">
        <f>SUM(R11:R15)</f>
        <v/>
      </c>
      <c r="S16" s="10635">
        <f>SUM(S11:S15)</f>
        <v/>
      </c>
      <c r="T16" s="10636">
        <f>SUM(T11:T15)</f>
        <v/>
      </c>
      <c r="U16" s="10637">
        <f>SUM(U11:U15)</f>
        <v/>
      </c>
      <c r="V16" s="10638">
        <f>SUM(V11:V15)</f>
        <v/>
      </c>
      <c r="W16" s="10639">
        <f>SUM(W11:W15)</f>
        <v/>
      </c>
      <c r="X16" s="10640">
        <f>SUM(X11:X15)</f>
        <v/>
      </c>
      <c r="Y16" s="10641">
        <f>SUM(Y11:Y15)</f>
        <v/>
      </c>
      <c r="Z16" s="10642">
        <f>SUM(Z11:Z15)</f>
        <v/>
      </c>
    </row>
    <row r="17" ht="17.1" customFormat="1" customHeight="1" s="109">
      <c r="A17" s="10643" t="inlineStr">
        <is>
          <t>SECCIÓN B:  GESTION REMOTA ABREVIADA MEDIANTE PLATAFORMA TELESALUD</t>
        </is>
      </c>
      <c r="B17" s="9584" t="n"/>
      <c r="C17" s="9584" t="n"/>
      <c r="D17" s="9584" t="n"/>
      <c r="E17" s="4714" t="n"/>
      <c r="F17" s="529" t="n"/>
      <c r="G17" s="529" t="n"/>
      <c r="H17" s="529" t="n"/>
      <c r="I17" s="529" t="n"/>
      <c r="J17" s="529" t="n"/>
      <c r="K17" s="529" t="n"/>
      <c r="L17" s="529" t="n"/>
    </row>
    <row r="18" ht="31.5" customFormat="1" customHeight="1" s="110">
      <c r="A18" s="4715" t="inlineStr">
        <is>
          <t>TIPO DE ACTIVIDAD</t>
        </is>
      </c>
      <c r="B18" s="4716" t="inlineStr">
        <is>
          <t>TOTAL</t>
        </is>
      </c>
      <c r="C18" s="4717" t="inlineStr">
        <is>
          <t>Médico/a</t>
        </is>
      </c>
      <c r="D18" s="4718" t="inlineStr">
        <is>
          <t xml:space="preserve">Odontólogo/a </t>
        </is>
      </c>
      <c r="E18" s="4719" t="inlineStr">
        <is>
          <t>Otros profesionales</t>
        </is>
      </c>
      <c r="F18" s="113" t="n"/>
      <c r="G18" s="113" t="n"/>
      <c r="H18" s="113" t="n"/>
      <c r="I18" s="113" t="n"/>
      <c r="J18" s="113" t="n"/>
      <c r="K18" s="113" t="n"/>
      <c r="L18" s="113" t="n"/>
    </row>
    <row r="19" ht="15" customFormat="1" customHeight="1" s="110">
      <c r="A19" s="4720" t="inlineStr">
        <is>
          <t xml:space="preserve">Renovación de recetas/ </t>
        </is>
      </c>
      <c r="B19" s="4721">
        <f>SUM(C19:E19)</f>
        <v/>
      </c>
      <c r="C19" s="4722" t="n"/>
      <c r="D19" s="859" t="n"/>
      <c r="E19" s="4723" t="n"/>
      <c r="F19" s="113" t="n"/>
      <c r="G19" s="113" t="n"/>
      <c r="H19" s="113" t="n"/>
      <c r="I19" s="113" t="n"/>
      <c r="J19" s="113" t="n"/>
      <c r="K19" s="113" t="n"/>
      <c r="L19" s="113" t="n"/>
      <c r="BU19" s="113" t="n"/>
      <c r="BV19" s="113" t="n"/>
      <c r="BW19" s="113" t="n"/>
      <c r="BX19" s="113" t="n"/>
    </row>
    <row r="20" ht="15" customFormat="1" customHeight="1" s="110">
      <c r="A20" s="4686" t="inlineStr">
        <is>
          <t>Entrega de resultados de exámenes</t>
        </is>
      </c>
      <c r="B20" s="4724">
        <f>SUM(C20:E20)</f>
        <v/>
      </c>
      <c r="C20" s="4725" t="n"/>
      <c r="D20" s="4726" t="n"/>
      <c r="E20" s="4727" t="n"/>
      <c r="F20" s="113" t="n"/>
      <c r="G20" s="113" t="n"/>
      <c r="H20" s="113" t="n"/>
      <c r="I20" s="113" t="n"/>
      <c r="J20" s="113" t="n"/>
      <c r="K20" s="113" t="n"/>
      <c r="L20" s="113" t="n"/>
      <c r="BU20" s="113" t="n"/>
      <c r="BV20" s="113" t="n"/>
      <c r="BW20" s="113" t="n"/>
      <c r="BX20" s="113" t="n"/>
      <c r="BY20" s="113" t="n"/>
      <c r="BZ20" s="113" t="n"/>
      <c r="CA20" s="113" t="n"/>
      <c r="CB20" s="113" t="n"/>
      <c r="CF20" s="113" t="n"/>
      <c r="CG20" s="113" t="n"/>
      <c r="CH20" s="113" t="n"/>
    </row>
    <row r="21" ht="15" customFormat="1" customHeight="1" s="110">
      <c r="A21" s="4686" t="inlineStr">
        <is>
          <t>Renovación de licencia médica</t>
        </is>
      </c>
      <c r="B21" s="4724">
        <f>SUM(C21:E21)</f>
        <v/>
      </c>
      <c r="C21" s="4725" t="n"/>
      <c r="D21" s="4726" t="n"/>
      <c r="E21" s="4727" t="n"/>
      <c r="F21" s="113" t="n"/>
      <c r="G21" s="113" t="n"/>
      <c r="H21" s="113" t="n"/>
      <c r="I21" s="113" t="n"/>
      <c r="J21" s="113" t="n"/>
      <c r="K21" s="113" t="n"/>
      <c r="L21" s="113" t="n"/>
      <c r="BU21" s="113" t="n"/>
      <c r="BV21" s="113" t="n"/>
      <c r="BW21" s="113" t="n"/>
      <c r="BX21" s="113" t="n"/>
      <c r="BY21" s="113" t="n"/>
      <c r="BZ21" s="113" t="n"/>
      <c r="CA21" s="113" t="n"/>
      <c r="CB21" s="113" t="n"/>
      <c r="CF21" s="113" t="n"/>
      <c r="CG21" s="113" t="n"/>
      <c r="CH21" s="113" t="n"/>
    </row>
    <row r="22" ht="15" customFormat="1" customHeight="1" s="110">
      <c r="A22" s="4728" t="inlineStr">
        <is>
          <t>Orden de exámenes</t>
        </is>
      </c>
      <c r="B22" s="4724">
        <f>SUM(C22:E22)</f>
        <v/>
      </c>
      <c r="C22" s="4725" t="n"/>
      <c r="D22" s="4726" t="n"/>
      <c r="E22" s="4727" t="n"/>
      <c r="G22" s="113" t="n"/>
      <c r="H22" s="113" t="n"/>
      <c r="I22" s="113" t="n"/>
      <c r="J22" s="113" t="n"/>
      <c r="K22" s="113" t="n"/>
      <c r="L22" s="113" t="n"/>
      <c r="BU22" s="113" t="n"/>
      <c r="BV22" s="113" t="n"/>
      <c r="BW22" s="113" t="n"/>
      <c r="BX22" s="113" t="n"/>
      <c r="BY22" s="113" t="n"/>
      <c r="BZ22" s="113" t="n"/>
      <c r="CA22" s="113" t="n"/>
      <c r="CB22" s="113" t="n"/>
      <c r="CF22" s="113" t="n"/>
      <c r="CG22" s="113" t="n"/>
      <c r="CH22" s="113" t="n"/>
    </row>
    <row r="23" ht="15" customFormat="1" customHeight="1" s="110">
      <c r="A23" s="4729" t="inlineStr">
        <is>
          <t>Certificados médicos</t>
        </is>
      </c>
      <c r="B23" s="4730">
        <f>SUM(C23:E23)</f>
        <v/>
      </c>
      <c r="C23" s="4731" t="n"/>
      <c r="D23" s="4732" t="n"/>
      <c r="E23" s="4733" t="n"/>
      <c r="F23" s="113" t="n"/>
      <c r="G23" s="113" t="n"/>
      <c r="H23" s="113" t="n"/>
      <c r="I23" s="113" t="n"/>
      <c r="J23" s="113" t="n"/>
      <c r="K23" s="113" t="n"/>
      <c r="L23" s="113" t="n"/>
      <c r="BU23" s="113" t="n"/>
      <c r="BV23" s="113" t="n"/>
      <c r="BW23" s="113" t="n"/>
      <c r="BX23" s="113" t="n"/>
      <c r="BY23" s="113" t="n"/>
      <c r="BZ23" s="113" t="n"/>
      <c r="CA23" s="113" t="n"/>
      <c r="CB23" s="113" t="n"/>
      <c r="CF23" s="113" t="n"/>
      <c r="CG23" s="113" t="n"/>
      <c r="CH23" s="113" t="n"/>
    </row>
    <row r="24" ht="15" customFormat="1" customHeight="1" s="110">
      <c r="A24" s="10644" t="inlineStr">
        <is>
          <t>TOTAL</t>
        </is>
      </c>
      <c r="B24" s="4735">
        <f>SUM(B19:B23)</f>
        <v/>
      </c>
      <c r="C24" s="4736">
        <f>SUM(C19:C23)</f>
        <v/>
      </c>
      <c r="D24" s="4737">
        <f>SUM(D19:D23)</f>
        <v/>
      </c>
      <c r="E24" s="4738">
        <f>SUM(E19:E23)</f>
        <v/>
      </c>
      <c r="F24" s="113" t="n"/>
      <c r="G24" s="113" t="n"/>
      <c r="H24" s="113" t="n"/>
      <c r="I24" s="113" t="n"/>
      <c r="J24" s="113" t="n"/>
      <c r="K24" s="113" t="n"/>
      <c r="L24" s="113" t="n"/>
      <c r="BU24" s="113" t="n"/>
      <c r="BV24" s="113" t="n"/>
      <c r="BW24" s="113" t="n"/>
      <c r="BX24" s="113" t="n"/>
    </row>
    <row r="25" ht="17.1" customFormat="1" customHeight="1" s="109">
      <c r="A25" s="10623" t="inlineStr">
        <is>
          <t>SECCIÓN C: CONSULTA MÉDICA EN ATENCIÓN PRIMARIA DE SALUD POR LLAMADA TELEFÓNICA O VIDEOLLAMADAS</t>
        </is>
      </c>
      <c r="B25" s="9591" t="n"/>
      <c r="C25" s="9591" t="n"/>
      <c r="D25" s="9591" t="n"/>
      <c r="E25" s="9591" t="n"/>
      <c r="F25" s="9591" t="n"/>
      <c r="G25" s="9591" t="n"/>
      <c r="H25" s="9591" t="n"/>
      <c r="I25" s="9591" t="n"/>
      <c r="J25" s="9591" t="n"/>
      <c r="K25" s="9591" t="n"/>
      <c r="L25" s="9591" t="n"/>
    </row>
    <row r="26" ht="25.5" customHeight="1" s="8286">
      <c r="A26" s="10624" t="inlineStr">
        <is>
          <t xml:space="preserve">ATENCION </t>
        </is>
      </c>
      <c r="B26" s="10624" t="inlineStr">
        <is>
          <t>TOTAL</t>
        </is>
      </c>
      <c r="C26" s="10645" t="inlineStr">
        <is>
          <t>RANGO ETARIO</t>
        </is>
      </c>
      <c r="D26" s="9584" t="n"/>
      <c r="E26" s="9584" t="n"/>
      <c r="F26" s="9584" t="n"/>
      <c r="G26" s="9584" t="n"/>
      <c r="H26" s="9584" t="n"/>
      <c r="I26" s="9584" t="n"/>
      <c r="J26" s="9584" t="n"/>
      <c r="K26" s="9584" t="n"/>
      <c r="L26" s="9584" t="n"/>
      <c r="M26" s="9584" t="n"/>
      <c r="N26" s="9584" t="n"/>
      <c r="O26" s="9584" t="n"/>
      <c r="P26" s="9584" t="n"/>
      <c r="Q26" s="9584" t="n"/>
      <c r="R26" s="9584" t="n"/>
      <c r="S26" s="9582" t="n"/>
      <c r="T26" s="10626" t="inlineStr">
        <is>
          <t>SEXO</t>
        </is>
      </c>
      <c r="U26" s="9595" t="n"/>
      <c r="V26" s="10646" t="inlineStr">
        <is>
          <t>Pueblos Originarios</t>
        </is>
      </c>
      <c r="W26" s="10084" t="inlineStr">
        <is>
          <t>Migrantes</t>
        </is>
      </c>
      <c r="X26" s="8400" t="inlineStr">
        <is>
          <t xml:space="preserve">Modalidad por la cual se realiza la atención </t>
        </is>
      </c>
      <c r="Y26" s="9582" t="n"/>
      <c r="Z26" s="114" t="n"/>
      <c r="AA26" s="114" t="n"/>
      <c r="AB26" s="114" t="n"/>
      <c r="AC26" s="114" t="n"/>
      <c r="AD26" s="114" t="n"/>
      <c r="AE26" s="114" t="n"/>
      <c r="AF26" s="114" t="n"/>
      <c r="AG26" s="114" t="n"/>
      <c r="AH26" s="114" t="n"/>
      <c r="AI26" s="114" t="n"/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  <c r="AW26" s="114" t="n"/>
      <c r="AX26" s="114" t="n"/>
      <c r="AY26" s="114" t="n"/>
      <c r="AZ26" s="114" t="n"/>
      <c r="BA26" s="114" t="n"/>
      <c r="BB26" s="114" t="n"/>
      <c r="BC26" s="114" t="n"/>
      <c r="BD26" s="114" t="n"/>
      <c r="BE26" s="114" t="n"/>
      <c r="BF26" s="114" t="n"/>
      <c r="BG26" s="114" t="n"/>
      <c r="BH26" s="114" t="n"/>
      <c r="BI26" s="114" t="n"/>
      <c r="BJ26" s="114" t="n"/>
      <c r="BK26" s="114" t="n"/>
      <c r="BL26" s="114" t="n"/>
      <c r="BM26" s="114" t="n"/>
      <c r="BN26" s="114" t="n"/>
      <c r="BO26" s="114" t="n"/>
      <c r="BP26" s="114" t="n"/>
      <c r="BQ26" s="114" t="n"/>
      <c r="BR26" s="114" t="n"/>
      <c r="BS26" s="114" t="n"/>
      <c r="BT26" s="114" t="n"/>
      <c r="BU26" s="114" t="n"/>
      <c r="BV26" s="114" t="n"/>
      <c r="BW26" s="114" t="n"/>
      <c r="BX26" s="114" t="n"/>
      <c r="BY26" s="114" t="n"/>
      <c r="BZ26" s="114" t="n"/>
      <c r="CA26" s="110" t="n"/>
      <c r="CB26" s="110" t="n"/>
      <c r="CC26" s="110" t="n"/>
      <c r="CD26" s="110" t="n"/>
      <c r="CE26" s="110" t="n"/>
      <c r="CF26" s="110" t="n"/>
      <c r="CG26" s="110" t="n"/>
      <c r="CH26" s="110" t="n"/>
      <c r="CI26" s="110" t="n"/>
      <c r="CJ26" s="110" t="n"/>
      <c r="CK26" s="110" t="n"/>
      <c r="CL26" s="110" t="n"/>
      <c r="CM26" s="110" t="n"/>
    </row>
    <row r="27" ht="25.5" customHeight="1" s="8286">
      <c r="A27" s="9610" t="n"/>
      <c r="B27" s="9610" t="n"/>
      <c r="C27" s="9498" t="inlineStr">
        <is>
          <t>0 - 4 años</t>
        </is>
      </c>
      <c r="D27" s="9499" t="inlineStr">
        <is>
          <t>5 - 9 años</t>
        </is>
      </c>
      <c r="E27" s="4504" t="inlineStr">
        <is>
          <t xml:space="preserve"> 10 - 14 años</t>
        </is>
      </c>
      <c r="F27" s="9499" t="inlineStr">
        <is>
          <t>15 - 19 años</t>
        </is>
      </c>
      <c r="G27" s="4641" t="inlineStr">
        <is>
          <t>20 - 24 años</t>
        </is>
      </c>
      <c r="H27" s="4641" t="inlineStr">
        <is>
          <t>25 - 29 años</t>
        </is>
      </c>
      <c r="I27" s="4641" t="inlineStr">
        <is>
          <t>30 - 34 años</t>
        </is>
      </c>
      <c r="J27" s="4641" t="inlineStr">
        <is>
          <t>35 - 39 años</t>
        </is>
      </c>
      <c r="K27" s="4641" t="inlineStr">
        <is>
          <t>40 - 44 años</t>
        </is>
      </c>
      <c r="L27" s="4641" t="inlineStr">
        <is>
          <t>45 - 49 años</t>
        </is>
      </c>
      <c r="M27" s="4641" t="inlineStr">
        <is>
          <t>50 - 54 años</t>
        </is>
      </c>
      <c r="N27" s="4641" t="inlineStr">
        <is>
          <t>55 - 59 años</t>
        </is>
      </c>
      <c r="O27" s="4641" t="inlineStr">
        <is>
          <t>60 - 64 años</t>
        </is>
      </c>
      <c r="P27" s="4641" t="inlineStr">
        <is>
          <t>65 - 69 años</t>
        </is>
      </c>
      <c r="Q27" s="4641" t="inlineStr">
        <is>
          <t>70 - 74 años</t>
        </is>
      </c>
      <c r="R27" s="4641" t="inlineStr">
        <is>
          <t>75 - 79 años</t>
        </is>
      </c>
      <c r="S27" s="4497" t="inlineStr">
        <is>
          <t>80 y más años</t>
        </is>
      </c>
      <c r="T27" s="10647" t="inlineStr">
        <is>
          <t>Hombres</t>
        </is>
      </c>
      <c r="U27" s="10648" t="inlineStr">
        <is>
          <t>Mujeres</t>
        </is>
      </c>
      <c r="V27" s="10649" t="n"/>
      <c r="W27" s="10086" t="n"/>
      <c r="X27" s="10650" t="inlineStr">
        <is>
          <t>Videollamada</t>
        </is>
      </c>
      <c r="Y27" s="10651" t="inlineStr">
        <is>
          <t xml:space="preserve">Llamada Telefónica </t>
        </is>
      </c>
      <c r="Z27" s="114" t="n"/>
      <c r="AA27" s="114" t="n"/>
      <c r="AB27" s="114" t="n"/>
      <c r="AC27" s="114" t="n"/>
      <c r="AD27" s="114" t="n"/>
      <c r="AE27" s="114" t="n"/>
      <c r="AF27" s="114" t="n"/>
      <c r="AG27" s="114" t="n"/>
      <c r="AH27" s="114" t="n"/>
      <c r="AI27" s="114" t="n"/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  <c r="AW27" s="114" t="n"/>
      <c r="AX27" s="114" t="n"/>
      <c r="AY27" s="114" t="n"/>
      <c r="AZ27" s="114" t="n"/>
      <c r="BA27" s="114" t="n"/>
      <c r="BB27" s="114" t="n"/>
      <c r="BC27" s="114" t="n"/>
      <c r="BD27" s="114" t="n"/>
      <c r="BE27" s="114" t="n"/>
      <c r="BF27" s="114" t="n"/>
      <c r="BG27" s="114" t="n"/>
      <c r="BH27" s="114" t="n"/>
      <c r="BI27" s="114" t="n"/>
      <c r="BJ27" s="114" t="n"/>
      <c r="BK27" s="114" t="n"/>
      <c r="BL27" s="114" t="n"/>
      <c r="BM27" s="114" t="n"/>
      <c r="BN27" s="114" t="n"/>
      <c r="BO27" s="114" t="n"/>
      <c r="BP27" s="114" t="n"/>
      <c r="BQ27" s="114" t="n"/>
      <c r="BR27" s="114" t="n"/>
      <c r="BS27" s="114" t="n"/>
      <c r="BT27" s="114" t="n"/>
      <c r="BU27" s="114" t="n"/>
      <c r="BV27" s="114" t="n"/>
      <c r="BW27" s="114" t="n"/>
      <c r="BX27" s="114" t="n"/>
      <c r="BY27" s="114" t="n"/>
      <c r="BZ27" s="114" t="n"/>
      <c r="CA27" s="115" t="n"/>
      <c r="CB27" s="115" t="n"/>
      <c r="CC27" s="115" t="n"/>
      <c r="CD27" s="110" t="n"/>
      <c r="CE27" s="115" t="n"/>
      <c r="CF27" s="110" t="n"/>
      <c r="CG27" s="110" t="n"/>
      <c r="CH27" s="110" t="n"/>
      <c r="CI27" s="110" t="n"/>
      <c r="CJ27" s="110" t="n"/>
      <c r="CK27" s="7672" t="n"/>
      <c r="CL27" s="115" t="n"/>
      <c r="CM27" s="115" t="n"/>
    </row>
    <row r="28">
      <c r="A28" s="4744" t="inlineStr">
        <is>
          <t>Medicina General</t>
        </is>
      </c>
      <c r="B28" s="10652">
        <f>SUM(C28:S28)</f>
        <v/>
      </c>
      <c r="C28" s="4746" t="n"/>
      <c r="D28" s="854" t="n"/>
      <c r="E28" s="854" t="n"/>
      <c r="F28" s="854" t="n"/>
      <c r="G28" s="854" t="n"/>
      <c r="H28" s="854" t="n"/>
      <c r="I28" s="854" t="n"/>
      <c r="J28" s="854" t="n"/>
      <c r="K28" s="854" t="n"/>
      <c r="L28" s="854" t="n"/>
      <c r="M28" s="854" t="n"/>
      <c r="N28" s="854" t="n"/>
      <c r="O28" s="854" t="n"/>
      <c r="P28" s="854" t="n"/>
      <c r="Q28" s="854" t="n"/>
      <c r="R28" s="854" t="n"/>
      <c r="S28" s="4690" t="n"/>
      <c r="T28" s="4746" t="n"/>
      <c r="U28" s="4747" t="n"/>
      <c r="V28" s="4695" t="n"/>
      <c r="W28" s="4696" t="n"/>
      <c r="X28" s="4746" t="n"/>
      <c r="Y28" s="4748" t="n"/>
      <c r="Z28" s="110">
        <f>CA28&amp;CB28&amp;CC28</f>
        <v/>
      </c>
      <c r="AA28" s="114" t="n"/>
      <c r="AB28" s="114" t="n"/>
      <c r="AC28" s="114" t="n"/>
      <c r="AD28" s="114" t="n"/>
      <c r="AE28" s="114" t="n"/>
      <c r="AF28" s="114" t="n"/>
      <c r="AG28" s="114" t="n"/>
      <c r="AH28" s="114" t="n"/>
      <c r="AI28" s="114" t="n"/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  <c r="AW28" s="114" t="n"/>
      <c r="AX28" s="114" t="n"/>
      <c r="AY28" s="114" t="n"/>
      <c r="AZ28" s="114" t="n"/>
      <c r="BA28" s="114" t="n"/>
      <c r="BB28" s="114" t="n"/>
      <c r="BC28" s="114" t="n"/>
      <c r="BD28" s="114" t="n"/>
      <c r="BE28" s="114" t="n"/>
      <c r="BF28" s="114" t="n"/>
      <c r="BG28" s="114" t="n"/>
      <c r="BH28" s="114" t="n"/>
      <c r="BI28" s="114" t="n"/>
      <c r="BJ28" s="114" t="n"/>
      <c r="BK28" s="114" t="n"/>
      <c r="BL28" s="114" t="n"/>
      <c r="BM28" s="114" t="n"/>
      <c r="BN28" s="114" t="n"/>
      <c r="BO28" s="114" t="n"/>
      <c r="BP28" s="114" t="n"/>
      <c r="BQ28" s="114" t="n"/>
      <c r="BR28" s="114" t="n"/>
      <c r="BS28" s="114" t="n"/>
      <c r="BT28" s="114" t="n"/>
      <c r="BU28" s="114" t="n"/>
      <c r="BV28" s="114" t="n"/>
      <c r="BW28" s="114" t="n"/>
      <c r="BX28" s="114" t="n"/>
      <c r="BY28" s="114" t="n"/>
      <c r="BZ28" s="114" t="n"/>
      <c r="CA28" s="111">
        <f>IF(AND($B28&gt;0,V28=""),"No olvide digitar la variable Pueblos Originarios. Digite cCero si no tiene. ",IF(V28&gt;$B28," * La variable Pueblos Originarios no puede ser mayor al Total. ",""))</f>
        <v/>
      </c>
      <c r="CB28" s="111">
        <f>IF(AND($B28&gt;0,W28=""),"No olvide digitar la variable Migrantes. Digite Cero si no tiene. ",IF(W28&gt;$B28," * La variable Migrantes no puede ser mayor al Total. ",""))</f>
        <v/>
      </c>
      <c r="CC28" s="111">
        <f>IF((X28+Y28)&lt;&gt;B28," *La sumatoria de las variables Videollamada + Llamada Telefónica debe ser igual al Total.","")</f>
        <v/>
      </c>
      <c r="CD28" s="110" t="n"/>
      <c r="CE28" s="116" t="n"/>
      <c r="CF28" s="110" t="n"/>
      <c r="CG28" s="110" t="n"/>
      <c r="CH28" s="110" t="n"/>
      <c r="CI28" s="110" t="n"/>
      <c r="CJ28" s="110" t="n"/>
      <c r="CK28" s="112">
        <f>IF(AND(V28&gt;0,$B28=""),1,IF(V28&gt;$B28,1,0))</f>
        <v/>
      </c>
      <c r="CL28" s="112">
        <f>IF(AND(W28&gt;0,$B28=""),1,IF(W28&gt;$B28,1,0))</f>
        <v/>
      </c>
      <c r="CM28" s="117">
        <f>IF((X28+Y28)&lt;&gt;B28,1,0)</f>
        <v/>
      </c>
    </row>
    <row r="29">
      <c r="A29" s="4749" t="inlineStr">
        <is>
          <t>Atención remota de morbilidad (Plataforma Telesalud)</t>
        </is>
      </c>
      <c r="B29" s="10653">
        <f>SUM(C29:S29)</f>
        <v/>
      </c>
      <c r="C29" s="4751" t="n"/>
      <c r="D29" s="160" t="n"/>
      <c r="E29" s="160" t="n"/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0" t="n"/>
      <c r="O29" s="160" t="n"/>
      <c r="P29" s="160" t="n"/>
      <c r="Q29" s="160" t="n"/>
      <c r="R29" s="160" t="n"/>
      <c r="S29" s="161" t="n"/>
      <c r="T29" s="4751" t="n"/>
      <c r="U29" s="4752" t="n"/>
      <c r="V29" s="4753" t="n"/>
      <c r="W29" s="4754" t="n"/>
      <c r="X29" s="4751" t="n"/>
      <c r="Y29" s="4755" t="n"/>
      <c r="Z29" s="110">
        <f>CA29&amp;CB29&amp;CC29</f>
        <v/>
      </c>
      <c r="AA29" s="114" t="n"/>
      <c r="AB29" s="114" t="n"/>
      <c r="AC29" s="114" t="n"/>
      <c r="AD29" s="114" t="n"/>
      <c r="AE29" s="114" t="n"/>
      <c r="AF29" s="114" t="n"/>
      <c r="AG29" s="114" t="n"/>
      <c r="AH29" s="114" t="n"/>
      <c r="AI29" s="114" t="n"/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  <c r="AW29" s="114" t="n"/>
      <c r="AX29" s="114" t="n"/>
      <c r="AY29" s="114" t="n"/>
      <c r="AZ29" s="114" t="n"/>
      <c r="BA29" s="114" t="n"/>
      <c r="BB29" s="114" t="n"/>
      <c r="BC29" s="114" t="n"/>
      <c r="BD29" s="114" t="n"/>
      <c r="BE29" s="114" t="n"/>
      <c r="BF29" s="114" t="n"/>
      <c r="BG29" s="114" t="n"/>
      <c r="BH29" s="114" t="n"/>
      <c r="BI29" s="114" t="n"/>
      <c r="BJ29" s="114" t="n"/>
      <c r="BK29" s="114" t="n"/>
      <c r="BL29" s="114" t="n"/>
      <c r="BM29" s="114" t="n"/>
      <c r="BN29" s="114" t="n"/>
      <c r="BO29" s="114" t="n"/>
      <c r="BP29" s="114" t="n"/>
      <c r="BQ29" s="114" t="n"/>
      <c r="BR29" s="114" t="n"/>
      <c r="BS29" s="114" t="n"/>
      <c r="BT29" s="114" t="n"/>
      <c r="BU29" s="114" t="n"/>
      <c r="BV29" s="114" t="n"/>
      <c r="BW29" s="114" t="n"/>
      <c r="BX29" s="114" t="n"/>
      <c r="BY29" s="114" t="n"/>
      <c r="BZ29" s="114" t="n"/>
      <c r="CA29" s="111">
        <f>IF(AND($B29&gt;0,V29=""),"No olvide digitar pueblos originarios, digite cero si no tiene. ",IF(V29&gt;$B29," * La variable Pueblos originarios no puede ser mayor al Total. ",""))</f>
        <v/>
      </c>
      <c r="CB29" s="111">
        <f>IF(AND($B29&gt;0,W29=""),"No olvide digitar Migrantes, digite cero si no tiene. ",IF(W29&gt;$B29," * La variable Migrantes no puede ser mayor al Total. ",""))</f>
        <v/>
      </c>
      <c r="CC29" s="111">
        <f>IF((X29+Y29)&lt;&gt;B29," *El desglose de Videollamada + Llamada Telefónica debe ser igual al Total.","")</f>
        <v/>
      </c>
      <c r="CD29" s="110" t="n"/>
      <c r="CE29" s="116" t="n"/>
      <c r="CF29" s="110" t="n"/>
      <c r="CG29" s="110" t="n"/>
      <c r="CH29" s="110" t="n"/>
      <c r="CI29" s="110" t="n"/>
      <c r="CJ29" s="110" t="n"/>
      <c r="CK29" s="112">
        <f>IF(AND(V29&gt;0,$B29=""),1,IF(V29&gt;$B29,1,0))</f>
        <v/>
      </c>
      <c r="CL29" s="112">
        <f>IF(AND(W29&gt;0,$B29=""),1,IF(W29&gt;$B29,1,0))</f>
        <v/>
      </c>
      <c r="CM29" s="117">
        <f>IF((X29+Y29)&lt;&gt;B29,1,0)</f>
        <v/>
      </c>
    </row>
    <row r="30" ht="17.1" customFormat="1" customHeight="1" s="109">
      <c r="A30" s="10654" t="inlineStr">
        <is>
          <t>SECCIÓN D: ATENCIONES TELEFÓNICAS EN CONSULTAS Y CONTROLES</t>
        </is>
      </c>
      <c r="B30" s="9602" t="n"/>
      <c r="C30" s="9602" t="n"/>
      <c r="D30" s="9602" t="n"/>
      <c r="E30" s="9602" t="n"/>
      <c r="F30" s="9602" t="n"/>
      <c r="G30" s="9602" t="n"/>
      <c r="H30" s="9602" t="n"/>
      <c r="I30" s="9602" t="n"/>
      <c r="J30" s="9602" t="n"/>
      <c r="K30" s="9602" t="n"/>
      <c r="L30" s="9602" t="n"/>
    </row>
    <row r="31" ht="17.1" customFormat="1" customHeight="1" s="109">
      <c r="A31" s="10655" t="inlineStr">
        <is>
          <t>SECCIÓN D1: ATENCIONES REMOTAS MÉDICAS EN ESPECIALIDAD</t>
        </is>
      </c>
      <c r="B31" s="9591" t="n"/>
      <c r="C31" s="9591" t="n"/>
      <c r="D31" s="9591" t="n"/>
      <c r="E31" s="9591" t="n"/>
      <c r="F31" s="9591" t="n"/>
      <c r="G31" s="9591" t="n"/>
      <c r="H31" s="9591" t="n"/>
      <c r="I31" s="9591" t="n"/>
      <c r="J31" s="9591" t="n"/>
      <c r="K31" s="9591" t="n"/>
      <c r="L31" s="9591" t="n"/>
    </row>
    <row r="32" ht="15" customFormat="1" customHeight="1" s="110">
      <c r="A32" s="10006" t="inlineStr">
        <is>
          <t>ESPECIALIDADES Y 
SUB-ESPECIALIDADES</t>
        </is>
      </c>
      <c r="B32" s="10624" t="inlineStr">
        <is>
          <t>TOTAL</t>
        </is>
      </c>
      <c r="C32" s="10624" t="inlineStr">
        <is>
          <t>ATENCIONES REMOTAS DE CONSULTAS DE ESPECIALIDAD</t>
        </is>
      </c>
      <c r="D32" s="9584" t="n"/>
      <c r="E32" s="9584" t="n"/>
      <c r="F32" s="9584" t="n"/>
      <c r="G32" s="9584" t="n"/>
      <c r="H32" s="9584" t="n"/>
      <c r="I32" s="9584" t="n"/>
      <c r="J32" s="9584" t="n"/>
      <c r="K32" s="9584" t="n"/>
      <c r="L32" s="9584" t="n"/>
      <c r="M32" s="9584" t="n"/>
      <c r="N32" s="9584" t="n"/>
      <c r="O32" s="9584" t="n"/>
      <c r="P32" s="9584" t="n"/>
      <c r="Q32" s="9584" t="n"/>
      <c r="R32" s="9584" t="n"/>
      <c r="S32" s="9584" t="n"/>
      <c r="T32" s="9584" t="n"/>
      <c r="U32" s="9582" t="n"/>
      <c r="V32" s="10656" t="inlineStr">
        <is>
          <t>NO CONTESTA</t>
        </is>
      </c>
      <c r="W32" s="9630" t="n"/>
      <c r="X32" s="9939" t="inlineStr">
        <is>
          <t>ALTA DE CONSULTA DE ESPECIALIDAD AMBULATORIA REMOTA</t>
        </is>
      </c>
      <c r="Y32" s="9630" t="n"/>
      <c r="Z32" s="10099" t="inlineStr">
        <is>
          <t>TELECONSULTAS NUEVAS DE ESPECIALIDAD SEGÚN ORIGEN</t>
        </is>
      </c>
      <c r="AA32" s="9584" t="n"/>
      <c r="AB32" s="9584" t="n"/>
      <c r="AC32" s="9584" t="n"/>
      <c r="AD32" s="9584" t="n"/>
      <c r="AE32" s="9584" t="n"/>
      <c r="AF32" s="9584" t="n"/>
      <c r="AG32" s="9584" t="n"/>
      <c r="AH32" s="9584" t="n"/>
      <c r="AI32" s="9873" t="n"/>
      <c r="AJ32" s="10657" t="inlineStr">
        <is>
          <t>ATENCIONES SEGÚN MODALIDAD DE CONTACTO</t>
        </is>
      </c>
      <c r="AK32" s="9602" t="n"/>
      <c r="AL32" s="9630" t="n"/>
      <c r="AM32" s="8400" t="inlineStr">
        <is>
          <t>Teleconsulta Abreviada  (Videollamada)/ Consulta Abreviada Telefónica Atención Remota: entrega de los resultados de exámenes o procedimiento (Confección de recetas o lectura de exámenes)</t>
        </is>
      </c>
      <c r="AN32" s="9920" t="inlineStr">
        <is>
          <t>Teleconsultorías</t>
        </is>
      </c>
      <c r="AO32" s="10006" t="inlineStr">
        <is>
          <t>Pueblos Originarios</t>
        </is>
      </c>
      <c r="AP32" s="8400" t="inlineStr">
        <is>
          <t>Migrantes</t>
        </is>
      </c>
      <c r="AQ32" s="9920" t="inlineStr">
        <is>
          <t>Teleconsulta de especialidad resueltas por Médicos Generales</t>
        </is>
      </c>
      <c r="AR32" s="9385" t="inlineStr">
        <is>
          <t>SENAME/ Servicio Nacional de Reinserción social Juvenil</t>
        </is>
      </c>
      <c r="AS32" s="9386" t="inlineStr">
        <is>
          <t>Servicio Nacional Protección Especializada a la Niñez y Adolescencia</t>
        </is>
      </c>
    </row>
    <row r="33" ht="15" customFormat="1" customHeight="1" s="110">
      <c r="A33" s="642" t="n"/>
      <c r="B33" s="9614" t="n"/>
      <c r="C33" s="10645" t="inlineStr">
        <is>
          <t>RANGO ETARIO</t>
        </is>
      </c>
      <c r="D33" s="9584" t="n"/>
      <c r="E33" s="9584" t="n"/>
      <c r="F33" s="9584" t="n"/>
      <c r="G33" s="9584" t="n"/>
      <c r="H33" s="9584" t="n"/>
      <c r="I33" s="9584" t="n"/>
      <c r="J33" s="9584" t="n"/>
      <c r="K33" s="9584" t="n"/>
      <c r="L33" s="9584" t="n"/>
      <c r="M33" s="9584" t="n"/>
      <c r="N33" s="9584" t="n"/>
      <c r="O33" s="9584" t="n"/>
      <c r="P33" s="9584" t="n"/>
      <c r="Q33" s="9584" t="n"/>
      <c r="R33" s="9584" t="n"/>
      <c r="S33" s="9582" t="n"/>
      <c r="T33" s="10658" t="inlineStr">
        <is>
          <t>SEXO</t>
        </is>
      </c>
      <c r="U33" s="9582" t="n"/>
      <c r="V33" s="9638" t="n"/>
      <c r="W33" s="9639" t="n"/>
      <c r="X33" s="9638" t="n"/>
      <c r="Y33" s="9639" t="n"/>
      <c r="Z33" s="9977" t="inlineStr">
        <is>
          <t>Menos 15 años</t>
        </is>
      </c>
      <c r="AA33" s="9584" t="n"/>
      <c r="AB33" s="9584" t="n"/>
      <c r="AC33" s="9584" t="n"/>
      <c r="AD33" s="9582" t="n"/>
      <c r="AE33" s="9192" t="inlineStr">
        <is>
          <t>De 15 y más años</t>
        </is>
      </c>
      <c r="AF33" s="9584" t="n"/>
      <c r="AG33" s="9584" t="n"/>
      <c r="AH33" s="9584" t="n"/>
      <c r="AI33" s="9873" t="n"/>
      <c r="AL33" s="9718" t="n"/>
      <c r="AM33" s="9614" t="n"/>
      <c r="AN33" s="9625" t="n"/>
      <c r="AO33" s="642" t="n"/>
      <c r="AP33" s="9614" t="n"/>
      <c r="AQ33" s="9625" t="n"/>
      <c r="AR33" s="642" t="n"/>
      <c r="AS33" s="9614" t="n"/>
    </row>
    <row r="34" ht="74.25" customFormat="1" customHeight="1" s="110">
      <c r="A34" s="9698" t="n"/>
      <c r="B34" s="9610" t="n"/>
      <c r="C34" s="9498" t="inlineStr">
        <is>
          <t>0 - 4 años</t>
        </is>
      </c>
      <c r="D34" s="9499" t="inlineStr">
        <is>
          <t>5 - 9 años</t>
        </is>
      </c>
      <c r="E34" s="4504" t="inlineStr">
        <is>
          <t xml:space="preserve"> 10 - 14 años</t>
        </is>
      </c>
      <c r="F34" s="9499" t="inlineStr">
        <is>
          <t>15 - 19 años</t>
        </is>
      </c>
      <c r="G34" s="4641" t="inlineStr">
        <is>
          <t>20 - 24 años</t>
        </is>
      </c>
      <c r="H34" s="4641" t="inlineStr">
        <is>
          <t>25 - 29 años</t>
        </is>
      </c>
      <c r="I34" s="4641" t="inlineStr">
        <is>
          <t>30 - 34 años</t>
        </is>
      </c>
      <c r="J34" s="4641" t="inlineStr">
        <is>
          <t>35 - 39 años</t>
        </is>
      </c>
      <c r="K34" s="4641" t="inlineStr">
        <is>
          <t>40 - 44 años</t>
        </is>
      </c>
      <c r="L34" s="4641" t="inlineStr">
        <is>
          <t>45 - 49 años</t>
        </is>
      </c>
      <c r="M34" s="4641" t="inlineStr">
        <is>
          <t>50 - 54 años</t>
        </is>
      </c>
      <c r="N34" s="4641" t="inlineStr">
        <is>
          <t>55 - 59 años</t>
        </is>
      </c>
      <c r="O34" s="4641" t="inlineStr">
        <is>
          <t>60 - 64 años</t>
        </is>
      </c>
      <c r="P34" s="4641" t="inlineStr">
        <is>
          <t>65 - 69 años</t>
        </is>
      </c>
      <c r="Q34" s="4641" t="inlineStr">
        <is>
          <t>70 - 74 años</t>
        </is>
      </c>
      <c r="R34" s="4641" t="inlineStr">
        <is>
          <t>75 - 79 años</t>
        </is>
      </c>
      <c r="S34" s="4497" t="inlineStr">
        <is>
          <t>80 y más años</t>
        </is>
      </c>
      <c r="T34" s="10647" t="inlineStr">
        <is>
          <t>Hombres</t>
        </is>
      </c>
      <c r="U34" s="10659" t="inlineStr">
        <is>
          <t>Mujeres</t>
        </is>
      </c>
      <c r="V34" s="9498" t="inlineStr">
        <is>
          <t>Nuevas</t>
        </is>
      </c>
      <c r="W34" s="9268" t="inlineStr">
        <is>
          <t>Controles</t>
        </is>
      </c>
      <c r="X34" s="9498" t="inlineStr">
        <is>
          <t>Menos 
15 años</t>
        </is>
      </c>
      <c r="Y34" s="4758" t="inlineStr">
        <is>
          <t>15 y más 
años</t>
        </is>
      </c>
      <c r="Z34" s="9253" t="inlineStr">
        <is>
          <t>TOTAL</t>
        </is>
      </c>
      <c r="AA34" s="4498" t="inlineStr">
        <is>
          <t>APS</t>
        </is>
      </c>
      <c r="AB34" s="9499" t="inlineStr">
        <is>
          <t>CAE/CDT/CRS</t>
        </is>
      </c>
      <c r="AC34" s="9499" t="inlineStr">
        <is>
          <t>Urgencia</t>
        </is>
      </c>
      <c r="AD34" s="9268" t="inlineStr">
        <is>
          <t>Hospitalización</t>
        </is>
      </c>
      <c r="AE34" s="9261" t="inlineStr">
        <is>
          <t>Total</t>
        </is>
      </c>
      <c r="AF34" s="4498" t="inlineStr">
        <is>
          <t>APS</t>
        </is>
      </c>
      <c r="AG34" s="9499" t="inlineStr">
        <is>
          <t>CAE/CDT/CRS</t>
        </is>
      </c>
      <c r="AH34" s="9499" t="inlineStr">
        <is>
          <t>Urgencia</t>
        </is>
      </c>
      <c r="AI34" s="9268" t="inlineStr">
        <is>
          <t>Hospitalización</t>
        </is>
      </c>
      <c r="AJ34" s="4759" t="inlineStr">
        <is>
          <t>Teleconsulta Nueva</t>
        </is>
      </c>
      <c r="AK34" s="4760" t="inlineStr">
        <is>
          <t>Teleconsulta Control</t>
        </is>
      </c>
      <c r="AL34" s="4761" t="inlineStr">
        <is>
          <t>Contacto telefónico control</t>
        </is>
      </c>
      <c r="AM34" s="9610" t="n"/>
      <c r="AN34" s="9641" t="n"/>
      <c r="AO34" s="9698" t="n"/>
      <c r="AP34" s="9610" t="n"/>
      <c r="AQ34" s="9641" t="n"/>
      <c r="AR34" s="9698" t="n"/>
      <c r="AS34" s="10176" t="n"/>
    </row>
    <row r="35" ht="15" customFormat="1" customHeight="1" s="110">
      <c r="A35" s="3759" t="inlineStr">
        <is>
          <t>Pediatría</t>
        </is>
      </c>
      <c r="B35" s="10629">
        <f>SUM(C35:S35)</f>
        <v/>
      </c>
      <c r="C35" s="4746" t="n"/>
      <c r="D35" s="854" t="n"/>
      <c r="E35" s="854" t="n"/>
      <c r="F35" s="854" t="n"/>
      <c r="G35" s="860" t="n"/>
      <c r="H35" s="860" t="n"/>
      <c r="I35" s="860" t="n"/>
      <c r="J35" s="860" t="n"/>
      <c r="K35" s="860" t="n"/>
      <c r="L35" s="860" t="n"/>
      <c r="M35" s="860" t="n"/>
      <c r="N35" s="860" t="n"/>
      <c r="O35" s="860" t="n"/>
      <c r="P35" s="860" t="n"/>
      <c r="Q35" s="860" t="n"/>
      <c r="R35" s="860" t="n"/>
      <c r="S35" s="4762" t="n"/>
      <c r="T35" s="4746" t="n"/>
      <c r="U35" s="4690" t="n"/>
      <c r="V35" s="4746" t="n"/>
      <c r="W35" s="4690" t="n"/>
      <c r="X35" s="4746" t="n"/>
      <c r="Y35" s="4690" t="n"/>
      <c r="Z35" s="3651">
        <f>SUM(AA35+AB35+AC35+AD35)</f>
        <v/>
      </c>
      <c r="AA35" s="4746" t="n"/>
      <c r="AB35" s="854" t="n"/>
      <c r="AC35" s="854" t="n"/>
      <c r="AD35" s="4690" t="n"/>
      <c r="AE35" s="3651">
        <f>SUM(AF35+AG35+AH35+AI35)</f>
        <v/>
      </c>
      <c r="AF35" s="4746" t="n"/>
      <c r="AG35" s="854" t="n"/>
      <c r="AH35" s="854" t="n"/>
      <c r="AI35" s="4111" t="n"/>
      <c r="AJ35" s="4700" t="n"/>
      <c r="AK35" s="4702" t="n"/>
      <c r="AL35" s="4701" t="n"/>
      <c r="AM35" s="4114" t="n"/>
      <c r="AN35" s="4114" t="n"/>
      <c r="AO35" s="4838" t="n"/>
      <c r="AP35" s="4113" t="n"/>
      <c r="AQ35" s="4114" t="n"/>
      <c r="AR35" s="118" t="n"/>
      <c r="AS35" s="5492" t="n"/>
      <c r="AT35" s="110">
        <f>CA35&amp;CB35&amp;CC35&amp;CD35&amp;CE35&amp;CF35&amp;CG35&amp;CH35</f>
        <v/>
      </c>
      <c r="CA35" s="111">
        <f>IF((T35+U35)&lt;&gt;B35,"* El número de "&amp;C$32&amp;" según Sexo debe ser igual al Total.","")</f>
        <v/>
      </c>
      <c r="CB35" s="111">
        <f>IF((AE35+Z35)&gt;B35," * El Total de "&amp;Z$32&amp;" no debe ser mayor que el Total","")</f>
        <v/>
      </c>
      <c r="CC35" s="111">
        <f>IF(AND(B35&gt;0,AO35="")," * No olvide digitar la variable Pueblos Originarios. Digite Cero si no tiene.",IF(AO35&gt;B35," * La variable Pueblos Originarios no puede ser mayor al Total.",""))</f>
        <v/>
      </c>
      <c r="CD35" s="111">
        <f>IF(AND(B35&gt;0,AP35="")," * No olvide digitar la variable Migrantes. Digite cero si no tiene.",IF(AP35&gt;B35," * La variable Migrantes no puede ser mayor al Total.",""))</f>
        <v/>
      </c>
      <c r="CE35" s="111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>
        <f>IF(AND($B35&gt;0,AR35="")," * No olvide digitar la variable "&amp;AR32&amp;". Digite cero si no tiene.",IF(AR35&gt;$B35," * La variable "&amp;AR32&amp;" no puede ser mayor al Total.",""))</f>
        <v/>
      </c>
      <c r="CG35" s="111">
        <f>IF(AND($B35&gt;0,AS35="")," * No olvide digitar la variable "&amp;AS$32&amp;". Digite cero si no tiene.",IF(AS35&gt;$B35," * La variable "&amp;AS$32&amp;" no puede ser mayor al Total.",""))</f>
        <v/>
      </c>
      <c r="CH35" s="111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>IF((T35+U35)&lt;&gt;B35,1,0)</f>
        <v/>
      </c>
      <c r="CL35" s="112">
        <f>IF((AE35+Z35)&gt;B35,1,0)</f>
        <v/>
      </c>
      <c r="CM35" s="112">
        <f>IF(AND(B35&gt;0,AO35=""),1,IF(AO35&gt;B35,1,0))</f>
        <v/>
      </c>
      <c r="CN35" s="112">
        <f>IF(AND($B35&gt;0,AP35=""),1,IF(AP35&gt;$B35,1,0))</f>
        <v/>
      </c>
      <c r="CO35" s="112">
        <f>IF(AND($B35&gt;0,AQ35=""),1,IF(AQ35&gt;$B35,1,0))</f>
        <v/>
      </c>
      <c r="CP35" s="112">
        <f>IF(AND($B35&gt;0,AR35=""),1,IF(AR35&gt;$B35,1,0))</f>
        <v/>
      </c>
      <c r="CQ35" s="112">
        <f>IF(AND($B35&gt;0,AS35=""),1,IF(AS35&gt;$B35,1,0))</f>
        <v/>
      </c>
      <c r="CR35" s="112">
        <f>IF(OR(AND(B35&gt;0,AJ35="",AK35="",AL35=""),AJ35+AK35+AL35&gt;B35,AJ35+AK35+AL35&lt;B35),1,0)</f>
        <v/>
      </c>
    </row>
    <row r="36" ht="15" customFormat="1" customHeight="1" s="110">
      <c r="A36" s="3651" t="inlineStr">
        <is>
          <t>Medicina interna</t>
        </is>
      </c>
      <c r="B36" s="10629">
        <f>SUM(C36:S36)</f>
        <v/>
      </c>
      <c r="C36" s="1333" t="n"/>
      <c r="D36" s="4688" t="n"/>
      <c r="E36" s="4688" t="n"/>
      <c r="F36" s="4688" t="n"/>
      <c r="G36" s="4688" t="n"/>
      <c r="H36" s="4688" t="n"/>
      <c r="I36" s="4688" t="n"/>
      <c r="J36" s="4688" t="n"/>
      <c r="K36" s="4688" t="n"/>
      <c r="L36" s="4688" t="n"/>
      <c r="M36" s="4688" t="n"/>
      <c r="N36" s="4688" t="n"/>
      <c r="O36" s="4688" t="n"/>
      <c r="P36" s="4688" t="n"/>
      <c r="Q36" s="4688" t="n"/>
      <c r="R36" s="4688" t="n"/>
      <c r="S36" s="4697" t="n"/>
      <c r="T36" s="4763" t="n"/>
      <c r="U36" s="775" t="n"/>
      <c r="V36" s="4763" t="n"/>
      <c r="W36" s="775" t="n"/>
      <c r="X36" s="4763" t="n"/>
      <c r="Y36" s="775" t="n"/>
      <c r="Z36" s="3651">
        <f>SUM(AA36+AB36+AC36+AD36)</f>
        <v/>
      </c>
      <c r="AA36" s="4763" t="n"/>
      <c r="AB36" s="814" t="n"/>
      <c r="AC36" s="814" t="n"/>
      <c r="AD36" s="775" t="n"/>
      <c r="AE36" s="3651">
        <f>SUM(AF36+AG36+AH36+AI36)</f>
        <v/>
      </c>
      <c r="AF36" s="4763" t="n"/>
      <c r="AG36" s="814" t="n"/>
      <c r="AH36" s="814" t="n"/>
      <c r="AI36" s="815" t="n"/>
      <c r="AJ36" s="4700" t="n"/>
      <c r="AK36" s="4702" t="n"/>
      <c r="AL36" s="4701" t="n"/>
      <c r="AM36" s="4114" t="n"/>
      <c r="AN36" s="4114" t="n"/>
      <c r="AO36" s="4838" t="n"/>
      <c r="AP36" s="4113" t="n"/>
      <c r="AQ36" s="4114" t="n"/>
      <c r="AR36" s="4838" t="n"/>
      <c r="AS36" s="4113" t="n"/>
      <c r="AT36" s="110">
        <f>CA36&amp;CB36&amp;CC36&amp;CD36&amp;CE36&amp;CF36&amp;CG36</f>
        <v/>
      </c>
      <c r="CA36" s="111">
        <f>IF((T36+U36)&lt;&gt;B36,"* El número de "&amp;C$32&amp;" según Sexo debe ser igual al Total.","")</f>
        <v/>
      </c>
      <c r="CB36" s="111">
        <f>IF((AE36+Z36)&gt;B36," * El Total de "&amp;Z$32&amp;" no debe ser mayor que el Total","")</f>
        <v/>
      </c>
      <c r="CC36" s="111">
        <f>IF(AND(B36&gt;0,AO36="")," * No olvide digitar la variable Pueblos Originarios. Digite Cero si no tiene.",IF(AO36&gt;B36," * La variable Pueblos Originarios no puede ser mayor al Total.",""))</f>
        <v/>
      </c>
      <c r="CD36" s="111">
        <f>IF(AND(B36&gt;0,AP36="")," * No olvide digitar la variable Migrantes. Digite cero si no tiene.",IF(AP36&gt;B36," * La variable Migrantes no puede ser mayor al Total.",""))</f>
        <v/>
      </c>
      <c r="CE36" s="111">
        <f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>
        <f>IF(AND($B36&gt;0,AR36="")," * No olvide digitar la variable "&amp;AR33&amp;". Digite cero si no tiene.",IF(AR36&gt;$B36," * La variable "&amp;AR33&amp;" no puede ser mayor al Total.",""))</f>
        <v/>
      </c>
      <c r="CG36" s="111">
        <f>IF(AND($B36&gt;0,AS36="")," * No olvide digitar la variable "&amp;AS$32&amp;". Digite cero si no tiene.",IF(AS36&gt;$B36," * La variable "&amp;AS$32&amp;" no puede ser mayor al Total.",""))</f>
        <v/>
      </c>
      <c r="CH36" s="111">
        <f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>IF((T36+U36)&lt;&gt;B36,1,0)</f>
        <v/>
      </c>
      <c r="CL36" s="112">
        <f>IF((AE36+Z36)&gt;B36,1,0)</f>
        <v/>
      </c>
      <c r="CM36" s="112">
        <f>IF(AND(B36&gt;0,AO36=""),1,IF(AO36&gt;B36,1,0))</f>
        <v/>
      </c>
      <c r="CN36" s="112">
        <f>IF(AND(B36&gt;0,AP36=""),1,IF(AP36&gt;B36,1,0))</f>
        <v/>
      </c>
      <c r="CO36" s="112">
        <f>IF(AND($B36&gt;0,AQ36=""),1,IF(AQ36&gt;$B36,1,0))</f>
        <v/>
      </c>
      <c r="CP36" s="112">
        <f>IF(AND($B36&gt;0,AR36=""),1,IF(AR36&gt;$B36,1,0))</f>
        <v/>
      </c>
      <c r="CQ36" s="112">
        <f>IF(AND($B36&gt;0,AS36=""),1,IF(AS36&gt;$B36,1,0))</f>
        <v/>
      </c>
      <c r="CR36" s="112">
        <f>IF(OR(AND(B36&gt;0,AJ36="",AJ36=""),AK36+AJ36+AL36&gt;B36,AK36+AJ36+AL36&lt;B36),1,0)</f>
        <v/>
      </c>
    </row>
    <row r="37" ht="15" customFormat="1" customHeight="1" s="110">
      <c r="A37" s="3651" t="inlineStr">
        <is>
          <t>Neonatología</t>
        </is>
      </c>
      <c r="B37" s="10629">
        <f>SUM(C37:D37)</f>
        <v/>
      </c>
      <c r="C37" s="1333" t="n"/>
      <c r="D37" s="4688" t="n"/>
      <c r="E37" s="4764" t="n"/>
      <c r="F37" s="4764" t="n"/>
      <c r="G37" s="4764" t="n"/>
      <c r="H37" s="4764" t="n"/>
      <c r="I37" s="4764" t="n"/>
      <c r="J37" s="4764" t="n"/>
      <c r="K37" s="4764" t="n"/>
      <c r="L37" s="4764" t="n"/>
      <c r="M37" s="4764" t="n"/>
      <c r="N37" s="4764" t="n"/>
      <c r="O37" s="4764" t="n"/>
      <c r="P37" s="4764" t="n"/>
      <c r="Q37" s="4764" t="n"/>
      <c r="R37" s="4764" t="n"/>
      <c r="S37" s="4765" t="n"/>
      <c r="T37" s="4763" t="n"/>
      <c r="U37" s="775" t="n"/>
      <c r="V37" s="4763" t="n"/>
      <c r="W37" s="775" t="n"/>
      <c r="X37" s="4763" t="n"/>
      <c r="Y37" s="775" t="n"/>
      <c r="Z37" s="3651">
        <f>SUM(AA37+AB37+AC37+AD37)</f>
        <v/>
      </c>
      <c r="AA37" s="4763" t="n"/>
      <c r="AB37" s="814" t="n"/>
      <c r="AC37" s="814" t="n"/>
      <c r="AD37" s="775" t="n"/>
      <c r="AE37" s="3651">
        <f>SUM(AF37+AG37+AH37+AI37)</f>
        <v/>
      </c>
      <c r="AF37" s="4763" t="n"/>
      <c r="AG37" s="814" t="n"/>
      <c r="AH37" s="814" t="n"/>
      <c r="AI37" s="815" t="n"/>
      <c r="AJ37" s="4700" t="n"/>
      <c r="AK37" s="4702" t="n"/>
      <c r="AL37" s="4701" t="n"/>
      <c r="AM37" s="4114" t="n"/>
      <c r="AN37" s="4114" t="n"/>
      <c r="AO37" s="4838" t="n"/>
      <c r="AP37" s="4113" t="n"/>
      <c r="AQ37" s="4114" t="n"/>
      <c r="AR37" s="4838" t="n"/>
      <c r="AS37" s="4113" t="n"/>
      <c r="AT37" s="110">
        <f>CA37&amp;CB37&amp;CC37&amp;CD37&amp;CE37&amp;CF37&amp;CG37</f>
        <v/>
      </c>
      <c r="CA37" s="111">
        <f>IF((T37+U37)&lt;&gt;B37,"* El número de "&amp;C$32&amp;" según Sexo debe ser igual al Total.","")</f>
        <v/>
      </c>
      <c r="CB37" s="111">
        <f>IF((AE37+Z37)&gt;B37," * El Total de "&amp;Z$32&amp;" no debe ser mayor que el Total","")</f>
        <v/>
      </c>
      <c r="CC37" s="111">
        <f>IF(AND(B37&gt;0,AO37="")," * No olvide digitar la variable Pueblos Originarios. Digite Cero si no tiene.",IF(AO37&gt;B37," * La variable Pueblos Originarios no puede ser mayor al Total.",""))</f>
        <v/>
      </c>
      <c r="CD37" s="111">
        <f>IF(AND(B37&gt;0,AP37="")," * No olvide digitar la variable Migrantes. Digite cero si no tiene.",IF(AP37&gt;B37," * La variable Migrantes no puede ser mayor al Total.",""))</f>
        <v/>
      </c>
      <c r="CE37" s="111">
        <f>IF(AND($B37&gt;0,AQ37="")," * No olvide digitar la variable Teleconsulta de especialidad resueltas por Médicos Generales. Digite cero si no tiene.",IF(AQ37&gt;$B37," * La variable Teleconsulta de especialidad resueltas por Médicos Generales no puede ser mayor al Total.",""))</f>
        <v/>
      </c>
      <c r="CF37" s="111">
        <f>IF(AND($B37&gt;0,AR37="")," * No olvide digitar la variable "&amp;AR34&amp;". Digite cero si no tiene.",IF(AR37&gt;$B37," * La variable "&amp;AR34&amp;" no puede ser mayor al Total.",""))</f>
        <v/>
      </c>
      <c r="CG37" s="111">
        <f>IF(AND($B37&gt;0,AS37="")," * No olvide digitar la variable "&amp;AS$32&amp;". Digite cero si no tiene.",IF(AS37&gt;$B37," * La variable "&amp;AS$32&amp;" no puede ser mayor al Total.",""))</f>
        <v/>
      </c>
      <c r="CH37" s="111">
        <f>IF(AND(B37&gt;0,AJ37="",AK37="",AL37=""),"*No olvide digitar datos en "&amp;AJ$32,
IF(AJ37+AK37+AL37&gt;B37,"*El Total de "&amp;AJ$32&amp;" no puede ser mayor que el Total Ambos Sexos.",
IF(AJ37+AK37+AL37&lt;B37,"*El Total de "&amp;AJ$32&amp;" no debe ser menor que el Total Ambos Sexos.","")))</f>
        <v/>
      </c>
      <c r="CK37" s="112">
        <f>IF((T37+U37)&lt;&gt;B37,1,0)</f>
        <v/>
      </c>
      <c r="CL37" s="112">
        <f>IF((AE37+Z37)&gt;B37,1,0)</f>
        <v/>
      </c>
      <c r="CM37" s="112">
        <f>IF(AND(B37&gt;0,AO37=""),1,IF(AO37&gt;B37,1,0))</f>
        <v/>
      </c>
      <c r="CN37" s="112">
        <f>IF(AND(B37&gt;0,AP37=""),1,IF(AP37&gt;B37,1,0))</f>
        <v/>
      </c>
      <c r="CO37" s="112">
        <f>IF(AND($B37&gt;0,AQ37=""),1,IF(AQ37&gt;$B37,1,0))</f>
        <v/>
      </c>
      <c r="CP37" s="112">
        <f>IF(AND($B37&gt;0,AR37=""),1,IF(AR37&gt;$B37,1,0))</f>
        <v/>
      </c>
      <c r="CQ37" s="112">
        <f>IF(AND($B37&gt;0,AS37=""),1,IF(AS37&gt;$B37,1,0))</f>
        <v/>
      </c>
      <c r="CR37" s="112">
        <f>IF(OR(AND(B37&gt;0,AJ37="",AJ37=""),AK37+AJ37+AL37&gt;B37,AK37+AJ37+AL37&lt;B37),1,0)</f>
        <v/>
      </c>
    </row>
    <row r="38" ht="15" customFormat="1" customHeight="1" s="110">
      <c r="A38" s="3651" t="inlineStr">
        <is>
          <t xml:space="preserve">Enfermedad respiratoria pediátrica </t>
        </is>
      </c>
      <c r="B38" s="10629">
        <f>SUM(C38:S38)</f>
        <v/>
      </c>
      <c r="C38" s="1333" t="n"/>
      <c r="D38" s="4688" t="n"/>
      <c r="E38" s="4688" t="n"/>
      <c r="F38" s="4688" t="n"/>
      <c r="G38" s="4688" t="n"/>
      <c r="H38" s="4688" t="n"/>
      <c r="I38" s="4688" t="n"/>
      <c r="J38" s="4688" t="n"/>
      <c r="K38" s="4688" t="n"/>
      <c r="L38" s="4688" t="n"/>
      <c r="M38" s="4688" t="n"/>
      <c r="N38" s="4688" t="n"/>
      <c r="O38" s="4688" t="n"/>
      <c r="P38" s="4688" t="n"/>
      <c r="Q38" s="4688" t="n"/>
      <c r="R38" s="4688" t="n"/>
      <c r="S38" s="4697" t="n"/>
      <c r="T38" s="4763" t="n"/>
      <c r="U38" s="775" t="n"/>
      <c r="V38" s="4763" t="n"/>
      <c r="W38" s="775" t="n"/>
      <c r="X38" s="4763" t="n"/>
      <c r="Y38" s="775" t="n"/>
      <c r="Z38" s="3651">
        <f>SUM(AA38+AB38+AC38+AD38)</f>
        <v/>
      </c>
      <c r="AA38" s="4763" t="n"/>
      <c r="AB38" s="814" t="n"/>
      <c r="AC38" s="814" t="n"/>
      <c r="AD38" s="775" t="n"/>
      <c r="AE38" s="3651">
        <f>SUM(AF38+AG38+AH38+AI38)</f>
        <v/>
      </c>
      <c r="AF38" s="4763" t="n"/>
      <c r="AG38" s="814" t="n"/>
      <c r="AH38" s="814" t="n"/>
      <c r="AI38" s="815" t="n"/>
      <c r="AJ38" s="4700" t="n"/>
      <c r="AK38" s="4702" t="n"/>
      <c r="AL38" s="4701" t="n"/>
      <c r="AM38" s="4114" t="n"/>
      <c r="AN38" s="4114" t="n"/>
      <c r="AO38" s="4838" t="n"/>
      <c r="AP38" s="4113" t="n"/>
      <c r="AQ38" s="4114" t="n"/>
      <c r="AR38" s="4838" t="n"/>
      <c r="AS38" s="4113" t="n"/>
      <c r="AT38" s="110">
        <f>CA38&amp;CB38&amp;CC38&amp;CD38&amp;CE38&amp;CF38&amp;CG38</f>
        <v/>
      </c>
      <c r="CA38" s="111">
        <f>IF((T38+U38)&lt;&gt;B38,"* El número de "&amp;C$32&amp;" según Sexo debe ser igual al Total.","")</f>
        <v/>
      </c>
      <c r="CB38" s="111">
        <f>IF((AE38+Z38)&gt;B38," * El Total de "&amp;Z$32&amp;" no debe ser mayor que el Total","")</f>
        <v/>
      </c>
      <c r="CC38" s="111">
        <f>IF(AND(B38&gt;0,AO38="")," * No olvide digitar la variable Pueblos Originarios. Digite Cero si no tiene.",IF(AO38&gt;B38," * La variable Pueblos Originarios no puede ser mayor al Total.",""))</f>
        <v/>
      </c>
      <c r="CD38" s="111">
        <f>IF(AND(B38&gt;0,AP38="")," * No olvide digitar la variable Migrantes. Digite cero si no tiene.",IF(AP38&gt;B38," * La variable Migrantes no puede ser mayor al Total.",""))</f>
        <v/>
      </c>
      <c r="CE38" s="111">
        <f>IF(AND($B38&gt;0,AQ38="")," * No olvide digitar la variable Teleconsulta de especialidad resueltas por Médicos Generales. Digite cero si no tiene.",IF(AQ38&gt;$B38," * La variable Teleconsulta de especialidad resueltas por Médicos Generales no puede ser mayor al Total.",""))</f>
        <v/>
      </c>
      <c r="CF38" s="111">
        <f>IF(AND($B38&gt;0,AR38="")," * No olvide digitar la variable "&amp;AR35&amp;". Digite cero si no tiene.",IF(AR38&gt;$B38," * La variable "&amp;AR35&amp;" no puede ser mayor al Total.",""))</f>
        <v/>
      </c>
      <c r="CG38" s="111">
        <f>IF(AND($B38&gt;0,AS38="")," * No olvide digitar la variable "&amp;AS$32&amp;". Digite cero si no tiene.",IF(AS38&gt;$B38," * La variable "&amp;AS$32&amp;" no puede ser mayor al Total.",""))</f>
        <v/>
      </c>
      <c r="CH38" s="111">
        <f>IF(AND(B38&gt;0,AJ38="",AK38="",AL38=""),"*No olvide digitar datos en "&amp;AJ$32,
IF(AJ38+AK38+AL38&gt;B38,"*El Total de "&amp;AJ$32&amp;" no puede ser mayor que el Total Ambos Sexos.",
IF(AJ38+AK38+AL38&lt;B38,"*El Total de "&amp;AJ$32&amp;" no debe ser menor que el Total Ambos Sexos.","")))</f>
        <v/>
      </c>
      <c r="CK38" s="112">
        <f>IF((T38+U38)&lt;&gt;B38,1,0)</f>
        <v/>
      </c>
      <c r="CL38" s="112">
        <f>IF((AE38+Z38)&gt;B38,1,0)</f>
        <v/>
      </c>
      <c r="CM38" s="112">
        <f>IF(AND(B38&gt;0,AO38=""),1,IF(AO38&gt;B38,1,0))</f>
        <v/>
      </c>
      <c r="CN38" s="112">
        <f>IF(AND(B38&gt;0,AP38=""),1,IF(AP38&gt;B38,1,0))</f>
        <v/>
      </c>
      <c r="CO38" s="112">
        <f>IF(AND($B38&gt;0,AQ38=""),1,IF(AQ38&gt;$B38,1,0))</f>
        <v/>
      </c>
      <c r="CP38" s="112">
        <f>IF(AND($B38&gt;0,AR38=""),1,IF(AR38&gt;$B38,1,0))</f>
        <v/>
      </c>
      <c r="CQ38" s="112">
        <f>IF(AND($B38&gt;0,AS38=""),1,IF(AS38&gt;$B38,1,0))</f>
        <v/>
      </c>
      <c r="CR38" s="112">
        <f>IF(OR(AND(B38&gt;0,AJ38="",AJ38=""),AK38+AJ38+AL38&gt;B38,AK38+AJ38+AL38&lt;B38),1,0)</f>
        <v/>
      </c>
    </row>
    <row r="39" ht="15" customFormat="1" customHeight="1" s="110">
      <c r="A39" s="3651" t="inlineStr">
        <is>
          <t xml:space="preserve">Enfermedad respiratoria de adulto </t>
        </is>
      </c>
      <c r="B39" s="10629">
        <f>SUM(C39:S39)</f>
        <v/>
      </c>
      <c r="C39" s="1333" t="n"/>
      <c r="D39" s="4688" t="n"/>
      <c r="E39" s="4688" t="n"/>
      <c r="F39" s="4688" t="n"/>
      <c r="G39" s="4688" t="n"/>
      <c r="H39" s="4688" t="n"/>
      <c r="I39" s="4688" t="n"/>
      <c r="J39" s="4688" t="n"/>
      <c r="K39" s="4688" t="n"/>
      <c r="L39" s="4688" t="n"/>
      <c r="M39" s="4688" t="n"/>
      <c r="N39" s="4688" t="n"/>
      <c r="O39" s="4688" t="n"/>
      <c r="P39" s="4688" t="n"/>
      <c r="Q39" s="4688" t="n"/>
      <c r="R39" s="4688" t="n"/>
      <c r="S39" s="4697" t="n"/>
      <c r="T39" s="4763" t="n"/>
      <c r="U39" s="775" t="n"/>
      <c r="V39" s="4763" t="n"/>
      <c r="W39" s="775" t="n"/>
      <c r="X39" s="4763" t="n"/>
      <c r="Y39" s="775" t="n"/>
      <c r="Z39" s="3651">
        <f>SUM(AA39+AB39+AC39+AD39)</f>
        <v/>
      </c>
      <c r="AA39" s="4763" t="n"/>
      <c r="AB39" s="814" t="n"/>
      <c r="AC39" s="814" t="n"/>
      <c r="AD39" s="775" t="n"/>
      <c r="AE39" s="3651">
        <f>SUM(AF39+AG39+AH39+AI39)</f>
        <v/>
      </c>
      <c r="AF39" s="4763" t="n"/>
      <c r="AG39" s="814" t="n"/>
      <c r="AH39" s="814" t="n"/>
      <c r="AI39" s="815" t="n"/>
      <c r="AJ39" s="4700" t="n"/>
      <c r="AK39" s="4702" t="n"/>
      <c r="AL39" s="4701" t="n"/>
      <c r="AM39" s="4114" t="n"/>
      <c r="AN39" s="4114" t="n"/>
      <c r="AO39" s="4838" t="n"/>
      <c r="AP39" s="4113" t="n"/>
      <c r="AQ39" s="4114" t="n"/>
      <c r="AR39" s="4838" t="n"/>
      <c r="AS39" s="4113" t="n"/>
      <c r="AT39" s="110">
        <f>CA39&amp;CB39&amp;CC39&amp;CD39&amp;CE39&amp;CF39&amp;CG39</f>
        <v/>
      </c>
      <c r="CA39" s="111">
        <f>IF((T39+U39)&lt;&gt;B39,"* El número de "&amp;C$32&amp;" según Sexo debe ser igual al Total.","")</f>
        <v/>
      </c>
      <c r="CB39" s="111">
        <f>IF((AE39+Z39)&gt;B39," * El Total de "&amp;Z$32&amp;" no debe ser mayor que el Total","")</f>
        <v/>
      </c>
      <c r="CC39" s="111">
        <f>IF(AND(B39&gt;0,AO39="")," * No olvide digitar la variable Pueblos Originarios. Digite Cero si no tiene.",IF(AO39&gt;B39," * La variable Pueblos Originarios no puede ser mayor al Total.",""))</f>
        <v/>
      </c>
      <c r="CD39" s="111">
        <f>IF(AND(B39&gt;0,AP39="")," * No olvide digitar la variable Migrantes. Digite cero si no tiene.",IF(AP39&gt;B39," * La variable Migrantes no puede ser mayor al Total.",""))</f>
        <v/>
      </c>
      <c r="CE39" s="111">
        <f>IF(AND($B39&gt;0,AQ39="")," * No olvide digitar la variable Teleconsulta de especialidad resueltas por Médicos Generales. Digite cero si no tiene.",IF(AQ39&gt;$B39," * La variable Teleconsulta de especialidad resueltas por Médicos Generales no puede ser mayor al Total.",""))</f>
        <v/>
      </c>
      <c r="CF39" s="111">
        <f>IF(AND($B39&gt;0,AR39="")," * No olvide digitar la variable "&amp;AR36&amp;". Digite cero si no tiene.",IF(AR39&gt;$B39," * La variable "&amp;AR36&amp;" no puede ser mayor al Total.",""))</f>
        <v/>
      </c>
      <c r="CG39" s="111">
        <f>IF(AND($B39&gt;0,AS39="")," * No olvide digitar la variable "&amp;AS$32&amp;". Digite cero si no tiene.",IF(AS39&gt;$B39," * La variable "&amp;AS$32&amp;" no puede ser mayor al Total.",""))</f>
        <v/>
      </c>
      <c r="CH39" s="111">
        <f>IF(AND(B39&gt;0,AJ39="",AK39="",AL39=""),"*No olvide digitar datos en "&amp;AJ$32,
IF(AJ39+AK39+AL39&gt;B39,"*El Total de "&amp;AJ$32&amp;" no puede ser mayor que el Total Ambos Sexos.",
IF(AJ39+AK39+AL39&lt;B39,"*El Total de "&amp;AJ$32&amp;" no debe ser menor que el Total Ambos Sexos.","")))</f>
        <v/>
      </c>
      <c r="CK39" s="112">
        <f>IF((T39+U39)&lt;&gt;B39,1,0)</f>
        <v/>
      </c>
      <c r="CL39" s="112">
        <f>IF((AE39+Z39)&gt;B39,1,0)</f>
        <v/>
      </c>
      <c r="CM39" s="112">
        <f>IF(AND(B39&gt;0,AO39=""),1,IF(AO39&gt;B39,1,0))</f>
        <v/>
      </c>
      <c r="CN39" s="112">
        <f>IF(AND(B39&gt;0,AP39=""),1,IF(AP39&gt;B39,1,0))</f>
        <v/>
      </c>
      <c r="CO39" s="112">
        <f>IF(AND($B39&gt;0,AQ39=""),1,IF(AQ39&gt;$B39,1,0))</f>
        <v/>
      </c>
      <c r="CP39" s="112">
        <f>IF(AND($B39&gt;0,AR39=""),1,IF(AR39&gt;$B39,1,0))</f>
        <v/>
      </c>
      <c r="CQ39" s="112">
        <f>IF(AND($B39&gt;0,AS39=""),1,IF(AS39&gt;$B39,1,0))</f>
        <v/>
      </c>
      <c r="CR39" s="112">
        <f>IF(OR(AND(B39&gt;0,AJ39="",AJ39=""),AK39+AJ39+AL39&gt;B39,AK39+AJ39+AL39&lt;B39),1,0)</f>
        <v/>
      </c>
    </row>
    <row r="40" ht="15" customFormat="1" customHeight="1" s="110">
      <c r="A40" s="3785" t="inlineStr">
        <is>
          <t>Cardiología</t>
        </is>
      </c>
      <c r="B40" s="10629">
        <f>SUM(C40:S40)</f>
        <v/>
      </c>
      <c r="C40" s="1333" t="n"/>
      <c r="D40" s="4688" t="n"/>
      <c r="E40" s="4688" t="n"/>
      <c r="F40" s="4688" t="n"/>
      <c r="G40" s="4688" t="n"/>
      <c r="H40" s="4688" t="n"/>
      <c r="I40" s="4688" t="n"/>
      <c r="J40" s="4688" t="n"/>
      <c r="K40" s="4688" t="n"/>
      <c r="L40" s="4688" t="n"/>
      <c r="M40" s="4688" t="n"/>
      <c r="N40" s="4688" t="n"/>
      <c r="O40" s="4688" t="n"/>
      <c r="P40" s="4688" t="n"/>
      <c r="Q40" s="4688" t="n"/>
      <c r="R40" s="4688" t="n"/>
      <c r="S40" s="4697" t="n"/>
      <c r="T40" s="4763" t="n"/>
      <c r="U40" s="775" t="n"/>
      <c r="V40" s="4763" t="n"/>
      <c r="W40" s="775" t="n"/>
      <c r="X40" s="4763" t="n"/>
      <c r="Y40" s="775" t="n"/>
      <c r="Z40" s="3651">
        <f>SUM(AA40+AB40+AC40+AD40)</f>
        <v/>
      </c>
      <c r="AA40" s="4763" t="n"/>
      <c r="AB40" s="814" t="n"/>
      <c r="AC40" s="814" t="n"/>
      <c r="AD40" s="775" t="n"/>
      <c r="AE40" s="3651">
        <f>SUM(AF40+AG40+AH40+AI40)</f>
        <v/>
      </c>
      <c r="AF40" s="4763" t="n"/>
      <c r="AG40" s="814" t="n"/>
      <c r="AH40" s="814" t="n"/>
      <c r="AI40" s="815" t="n"/>
      <c r="AJ40" s="4700" t="n"/>
      <c r="AK40" s="4702" t="n"/>
      <c r="AL40" s="4701" t="n"/>
      <c r="AM40" s="4114" t="n"/>
      <c r="AN40" s="4114" t="n"/>
      <c r="AO40" s="4838" t="n"/>
      <c r="AP40" s="4113" t="n"/>
      <c r="AQ40" s="4114" t="n"/>
      <c r="AR40" s="4838" t="n"/>
      <c r="AS40" s="4113" t="n"/>
      <c r="AT40" s="110">
        <f>CA40&amp;CB40&amp;CC40&amp;CD40&amp;CE40&amp;CF40&amp;CG40</f>
        <v/>
      </c>
      <c r="CA40" s="111">
        <f>IF((T40+U40)&lt;&gt;B40,"* El número de "&amp;C$32&amp;" según Sexo debe ser igual al Total.","")</f>
        <v/>
      </c>
      <c r="CB40" s="111">
        <f>IF((AE40+Z40)&gt;B40," * El Total de "&amp;Z$32&amp;" no debe ser mayor que el Total","")</f>
        <v/>
      </c>
      <c r="CC40" s="111">
        <f>IF(AND(B40&gt;0,AO40="")," * No olvide digitar la variable Pueblos Originarios. Digite Cero si no tiene.",IF(AO40&gt;B40," * La variable Pueblos Originarios no puede ser mayor al Total.",""))</f>
        <v/>
      </c>
      <c r="CD40" s="111">
        <f>IF(AND(B40&gt;0,AP40="")," * No olvide digitar la variable Migrantes. Digite cero si no tiene.",IF(AP40&gt;B40," * La variable Migrantes no puede ser mayor al Total.",""))</f>
        <v/>
      </c>
      <c r="CE40" s="111">
        <f>IF(AND($B40&gt;0,AQ40="")," * No olvide digitar la variable Teleconsulta de especialidad resueltas por Médicos Generales. Digite cero si no tiene.",IF(AQ40&gt;$B40," * La variable Teleconsulta de especialidad resueltas por Médicos Generales no puede ser mayor al Total.",""))</f>
        <v/>
      </c>
      <c r="CF40" s="111">
        <f>IF(AND($B40&gt;0,AR40="")," * No olvide digitar la variable "&amp;AR37&amp;". Digite cero si no tiene.",IF(AR40&gt;$B40," * La variable "&amp;AR37&amp;" no puede ser mayor al Total.",""))</f>
        <v/>
      </c>
      <c r="CG40" s="111">
        <f>IF(AND($B40&gt;0,AS40="")," * No olvide digitar la variable "&amp;AS$32&amp;". Digite cero si no tiene.",IF(AS40&gt;$B40," * La variable "&amp;AS$32&amp;" no puede ser mayor al Total.",""))</f>
        <v/>
      </c>
      <c r="CH40" s="111">
        <f>IF(AND(B40&gt;0,AJ40="",AK40="",AL40=""),"*No olvide digitar datos en "&amp;AJ$32,
IF(AJ40+AK40+AL40&gt;B40,"*El Total de "&amp;AJ$32&amp;" no puede ser mayor que el Total Ambos Sexos.",
IF(AJ40+AK40+AL40&lt;B40,"*El Total de "&amp;AJ$32&amp;" no debe ser menor que el Total Ambos Sexos.","")))</f>
        <v/>
      </c>
      <c r="CK40" s="112">
        <f>IF((T40+U40)&lt;&gt;B40,1,0)</f>
        <v/>
      </c>
      <c r="CL40" s="112">
        <f>IF((AE40+Z40)&gt;B40,1,0)</f>
        <v/>
      </c>
      <c r="CM40" s="112">
        <f>IF(AND(B40&gt;0,AO40=""),1,IF(AO40&gt;B40,1,0))</f>
        <v/>
      </c>
      <c r="CN40" s="112">
        <f>IF(AND(B40&gt;0,AP40=""),1,IF(AP40&gt;B40,1,0))</f>
        <v/>
      </c>
      <c r="CO40" s="112">
        <f>IF(AND($B40&gt;0,AQ40=""),1,IF(AQ40&gt;$B40,1,0))</f>
        <v/>
      </c>
      <c r="CP40" s="112">
        <f>IF(AND($B40&gt;0,AR40=""),1,IF(AR40&gt;$B40,1,0))</f>
        <v/>
      </c>
      <c r="CQ40" s="112">
        <f>IF(AND($B40&gt;0,AS40=""),1,IF(AS40&gt;$B40,1,0))</f>
        <v/>
      </c>
      <c r="CR40" s="112">
        <f>IF(OR(AND(B40&gt;0,AJ40="",AJ40=""),AK40+AJ40+AL40&gt;B40,AK40+AJ40+AL40&lt;B40),1,0)</f>
        <v/>
      </c>
    </row>
    <row r="41" ht="15" customFormat="1" customHeight="1" s="110">
      <c r="A41" s="288" t="inlineStr">
        <is>
          <t>Mastología</t>
        </is>
      </c>
      <c r="B41" s="10629">
        <f>SUM(C41:S41)</f>
        <v/>
      </c>
      <c r="C41" s="1333" t="n"/>
      <c r="D41" s="4688" t="n"/>
      <c r="E41" s="4688" t="n"/>
      <c r="F41" s="4688" t="n"/>
      <c r="G41" s="4688" t="n"/>
      <c r="H41" s="4688" t="n"/>
      <c r="I41" s="4688" t="n"/>
      <c r="J41" s="4688" t="n"/>
      <c r="K41" s="4688" t="n"/>
      <c r="L41" s="4688" t="n"/>
      <c r="M41" s="4688" t="n"/>
      <c r="N41" s="4688" t="n"/>
      <c r="O41" s="4688" t="n"/>
      <c r="P41" s="4688" t="n"/>
      <c r="Q41" s="4688" t="n"/>
      <c r="R41" s="4688" t="n"/>
      <c r="S41" s="4697" t="n"/>
      <c r="T41" s="4763" t="n"/>
      <c r="U41" s="775" t="n"/>
      <c r="V41" s="4763" t="n"/>
      <c r="W41" s="775" t="n"/>
      <c r="X41" s="4763" t="n"/>
      <c r="Y41" s="775" t="n"/>
      <c r="Z41" s="3651">
        <f>SUM(AA41+AB41+AC41+AD41)</f>
        <v/>
      </c>
      <c r="AA41" s="4763" t="n"/>
      <c r="AB41" s="814" t="n"/>
      <c r="AC41" s="814" t="n"/>
      <c r="AD41" s="775" t="n"/>
      <c r="AE41" s="3651">
        <f>SUM(AF41+AG41+AH41+AI41)</f>
        <v/>
      </c>
      <c r="AF41" s="4763" t="n"/>
      <c r="AG41" s="814" t="n"/>
      <c r="AH41" s="814" t="n"/>
      <c r="AI41" s="815" t="n"/>
      <c r="AJ41" s="4700" t="n"/>
      <c r="AK41" s="4702" t="n"/>
      <c r="AL41" s="4701" t="n"/>
      <c r="AM41" s="4114" t="n"/>
      <c r="AN41" s="4114" t="n"/>
      <c r="AO41" s="4838" t="n"/>
      <c r="AP41" s="4113" t="n"/>
      <c r="AQ41" s="4114" t="n"/>
      <c r="AR41" s="4838" t="n"/>
      <c r="AS41" s="4113" t="n"/>
      <c r="AT41" s="110">
        <f>CA41&amp;CB41&amp;CC41&amp;CD41&amp;CE41&amp;CF41&amp;CG41</f>
        <v/>
      </c>
      <c r="CA41" s="111">
        <f>IF((T41+U41)&lt;&gt;B41,"* El número de "&amp;C$32&amp;" según Sexo debe ser igual al Total.","")</f>
        <v/>
      </c>
      <c r="CB41" s="111">
        <f>IF((AE41+Z41)&gt;B41," * El Total de "&amp;Z$32&amp;" no debe ser mayor que el Total","")</f>
        <v/>
      </c>
      <c r="CC41" s="111">
        <f>IF(AND(B41&gt;0,AO41="")," * No olvide digitar la variable Pueblos Originarios. Digite Cero si no tiene.",IF(AO41&gt;B41," * La variable Pueblos Originarios no puede ser mayor al Total.",""))</f>
        <v/>
      </c>
      <c r="CD41" s="111">
        <f>IF(AND(B41&gt;0,AP41="")," * No olvide digitar la variable Migrantes. Digite cero si no tiene.",IF(AP41&gt;B41," * La variable Migrantes no puede ser mayor al Total.",""))</f>
        <v/>
      </c>
      <c r="CE41" s="111">
        <f>IF(AND($B41&gt;0,AQ41="")," * No olvide digitar la variable Teleconsulta de especialidad resueltas por Médicos Generales. Digite cero si no tiene.",IF(AQ41&gt;$B41," * La variable Teleconsulta de especialidad resueltas por Médicos Generales no puede ser mayor al Total.",""))</f>
        <v/>
      </c>
      <c r="CF41" s="111">
        <f>IF(AND($B41&gt;0,AR41="")," * No olvide digitar la variable "&amp;AR38&amp;". Digite cero si no tiene.",IF(AR41&gt;$B41," * La variable "&amp;AR38&amp;" no puede ser mayor al Total.",""))</f>
        <v/>
      </c>
      <c r="CG41" s="111">
        <f>IF(AND($B41&gt;0,AS41="")," * No olvide digitar la variable "&amp;AS$32&amp;". Digite cero si no tiene.",IF(AS41&gt;$B41," * La variable "&amp;AS$32&amp;" no puede ser mayor al Total.",""))</f>
        <v/>
      </c>
      <c r="CH41" s="111">
        <f>IF(AND(B41&gt;0,AJ41="",AK41="",AL41=""),"*No olvide digitar datos en "&amp;AJ$32,
IF(AJ41+AK41+AL41&gt;B41,"*El Total de "&amp;AJ$32&amp;" no puede ser mayor que el Total Ambos Sexos.",
IF(AJ41+AK41+AL41&lt;B41,"*El Total de "&amp;AJ$32&amp;" no debe ser menor que el Total Ambos Sexos.","")))</f>
        <v/>
      </c>
      <c r="CK41" s="112">
        <f>IF((T41+U41)&lt;&gt;B41,1,0)</f>
        <v/>
      </c>
      <c r="CL41" s="112">
        <f>IF((AE41+Z41)&gt;B41,1,0)</f>
        <v/>
      </c>
      <c r="CM41" s="112">
        <f>IF(AND(B41&gt;0,AO41=""),1,IF(AO41&gt;B41,1,0))</f>
        <v/>
      </c>
      <c r="CN41" s="112">
        <f>IF(AND(B41&gt;0,AP41=""),1,IF(AP41&gt;B41,1,0))</f>
        <v/>
      </c>
      <c r="CO41" s="112">
        <f>IF(AND($B41&gt;0,AQ41=""),1,IF(AQ41&gt;$B41,1,0))</f>
        <v/>
      </c>
      <c r="CP41" s="112">
        <f>IF(AND($B41&gt;0,AR41=""),1,IF(AR41&gt;$B41,1,0))</f>
        <v/>
      </c>
      <c r="CQ41" s="112">
        <f>IF(AND($B41&gt;0,AS41=""),1,IF(AS41&gt;$B41,1,0))</f>
        <v/>
      </c>
      <c r="CR41" s="112">
        <f>IF(OR(AND(B41&gt;0,AJ41="",AJ41=""),AK41+AJ41+AL41&gt;B41,AK41+AJ41+AL41&lt;B41),1,0)</f>
        <v/>
      </c>
    </row>
    <row r="42" ht="15" customFormat="1" customHeight="1" s="110">
      <c r="A42" s="3651" t="inlineStr">
        <is>
          <t>Endocrinología pediátrica</t>
        </is>
      </c>
      <c r="B42" s="10629">
        <f>SUM(C42:S42)</f>
        <v/>
      </c>
      <c r="C42" s="1333" t="n"/>
      <c r="D42" s="4688" t="n"/>
      <c r="E42" s="4688" t="n"/>
      <c r="F42" s="4688" t="n"/>
      <c r="G42" s="4688" t="n"/>
      <c r="H42" s="4688" t="n"/>
      <c r="I42" s="4688" t="n"/>
      <c r="J42" s="4688" t="n"/>
      <c r="K42" s="4688" t="n"/>
      <c r="L42" s="4688" t="n"/>
      <c r="M42" s="4688" t="n"/>
      <c r="N42" s="4688" t="n"/>
      <c r="O42" s="4688" t="n"/>
      <c r="P42" s="4688" t="n"/>
      <c r="Q42" s="4688" t="n"/>
      <c r="R42" s="4688" t="n"/>
      <c r="S42" s="4697" t="n"/>
      <c r="T42" s="4763" t="n"/>
      <c r="U42" s="775" t="n"/>
      <c r="V42" s="4763" t="n"/>
      <c r="W42" s="775" t="n"/>
      <c r="X42" s="4763" t="n"/>
      <c r="Y42" s="775" t="n"/>
      <c r="Z42" s="3651">
        <f>SUM(AA42+AB42+AC42+AD42)</f>
        <v/>
      </c>
      <c r="AA42" s="4763" t="n"/>
      <c r="AB42" s="814" t="n"/>
      <c r="AC42" s="814" t="n"/>
      <c r="AD42" s="775" t="n"/>
      <c r="AE42" s="3651">
        <f>SUM(AF42+AG42+AH42+AI42)</f>
        <v/>
      </c>
      <c r="AF42" s="4763" t="n"/>
      <c r="AG42" s="814" t="n"/>
      <c r="AH42" s="814" t="n"/>
      <c r="AI42" s="815" t="n"/>
      <c r="AJ42" s="4700" t="n"/>
      <c r="AK42" s="4702" t="n"/>
      <c r="AL42" s="4701" t="n"/>
      <c r="AM42" s="4114" t="n"/>
      <c r="AN42" s="4114" t="n"/>
      <c r="AO42" s="4838" t="n"/>
      <c r="AP42" s="4113" t="n"/>
      <c r="AQ42" s="4114" t="n"/>
      <c r="AR42" s="4838" t="n"/>
      <c r="AS42" s="4113" t="n"/>
      <c r="AT42" s="110">
        <f>CA42&amp;CB42&amp;CC42&amp;CD42&amp;CE42&amp;CF42&amp;CG42</f>
        <v/>
      </c>
      <c r="CA42" s="111">
        <f>IF((T42+U42)&lt;&gt;B42,"* El número de "&amp;C$32&amp;" según Sexo debe ser igual al Total.","")</f>
        <v/>
      </c>
      <c r="CB42" s="111">
        <f>IF((AE42+Z42)&gt;B42," * El Total de "&amp;Z$32&amp;" no debe ser mayor que el Total","")</f>
        <v/>
      </c>
      <c r="CC42" s="111">
        <f>IF(AND(B42&gt;0,AO42="")," * No olvide digitar la variable Pueblos Originarios. Digite Cero si no tiene.",IF(AO42&gt;B42," * La variable Pueblos Originarios no puede ser mayor al Total.",""))</f>
        <v/>
      </c>
      <c r="CD42" s="111">
        <f>IF(AND(B42&gt;0,AP42="")," * No olvide digitar la variable Migrantes. Digite cero si no tiene.",IF(AP42&gt;B42," * La variable Migrantes no puede ser mayor al Total.",""))</f>
        <v/>
      </c>
      <c r="CE42" s="111">
        <f>IF(AND($B42&gt;0,AQ42="")," * No olvide digitar la variable Teleconsulta de especialidad resueltas por Médicos Generales. Digite cero si no tiene.",IF(AQ42&gt;$B42," * La variable Teleconsulta de especialidad resueltas por Médicos Generales no puede ser mayor al Total.",""))</f>
        <v/>
      </c>
      <c r="CF42" s="111">
        <f>IF(AND($B42&gt;0,AR42="")," * No olvide digitar la variable "&amp;AR39&amp;". Digite cero si no tiene.",IF(AR42&gt;$B42," * La variable "&amp;AR39&amp;" no puede ser mayor al Total.",""))</f>
        <v/>
      </c>
      <c r="CG42" s="111">
        <f>IF(AND($B42&gt;0,AS42="")," * No olvide digitar la variable "&amp;AS$32&amp;". Digite cero si no tiene.",IF(AS42&gt;$B42," * La variable "&amp;AS$32&amp;" no puede ser mayor al Total.",""))</f>
        <v/>
      </c>
      <c r="CH42" s="111">
        <f>IF(AND(B42&gt;0,AJ42="",AK42="",AL42=""),"*No olvide digitar datos en "&amp;AJ$32,
IF(AJ42+AK42+AL42&gt;B42,"*El Total de "&amp;AJ$32&amp;" no puede ser mayor que el Total Ambos Sexos.",
IF(AJ42+AK42+AL42&lt;B42,"*El Total de "&amp;AJ$32&amp;" no debe ser menor que el Total Ambos Sexos.","")))</f>
        <v/>
      </c>
      <c r="CK42" s="112">
        <f>IF((T42+U42)&lt;&gt;B42,1,0)</f>
        <v/>
      </c>
      <c r="CL42" s="112">
        <f>IF((AE42+Z42)&gt;B42,1,0)</f>
        <v/>
      </c>
      <c r="CM42" s="112">
        <f>IF(AND(B42&gt;0,AO42=""),1,IF(AO42&gt;B42,1,0))</f>
        <v/>
      </c>
      <c r="CN42" s="112">
        <f>IF(AND(B42&gt;0,AP42=""),1,IF(AP42&gt;B42,1,0))</f>
        <v/>
      </c>
      <c r="CO42" s="112">
        <f>IF(AND($B42&gt;0,AQ42=""),1,IF(AQ42&gt;$B42,1,0))</f>
        <v/>
      </c>
      <c r="CP42" s="112">
        <f>IF(AND($B42&gt;0,AR42=""),1,IF(AR42&gt;$B42,1,0))</f>
        <v/>
      </c>
      <c r="CQ42" s="112">
        <f>IF(AND($B42&gt;0,AS42=""),1,IF(AS42&gt;$B42,1,0))</f>
        <v/>
      </c>
      <c r="CR42" s="112">
        <f>IF(OR(AND(B42&gt;0,AJ42="",AJ42=""),AK42+AJ42+AL42&gt;B42,AK42+AJ42+AL42&lt;B42),1,0)</f>
        <v/>
      </c>
    </row>
    <row r="43" ht="15" customFormat="1" customHeight="1" s="110">
      <c r="A43" s="3651" t="inlineStr">
        <is>
          <t>Endocrinología adulto</t>
        </is>
      </c>
      <c r="B43" s="10629">
        <f>SUM(C43:S43)</f>
        <v/>
      </c>
      <c r="C43" s="1333" t="n"/>
      <c r="D43" s="4688" t="n"/>
      <c r="E43" s="4688" t="n"/>
      <c r="F43" s="4688" t="n"/>
      <c r="G43" s="4688" t="n"/>
      <c r="H43" s="4688" t="n"/>
      <c r="I43" s="4688" t="n"/>
      <c r="J43" s="4688" t="n"/>
      <c r="K43" s="4688" t="n"/>
      <c r="L43" s="4688" t="n"/>
      <c r="M43" s="4688" t="n"/>
      <c r="N43" s="4688" t="n"/>
      <c r="O43" s="4688" t="n"/>
      <c r="P43" s="4688" t="n"/>
      <c r="Q43" s="4688" t="n"/>
      <c r="R43" s="4688" t="n"/>
      <c r="S43" s="4697" t="n"/>
      <c r="T43" s="4763" t="n"/>
      <c r="U43" s="775" t="n"/>
      <c r="V43" s="4763" t="n"/>
      <c r="W43" s="775" t="n"/>
      <c r="X43" s="4763" t="n"/>
      <c r="Y43" s="775" t="n"/>
      <c r="Z43" s="3651">
        <f>SUM(AA43+AB43+AC43+AD43)</f>
        <v/>
      </c>
      <c r="AA43" s="4763" t="n"/>
      <c r="AB43" s="814" t="n"/>
      <c r="AC43" s="814" t="n"/>
      <c r="AD43" s="775" t="n"/>
      <c r="AE43" s="3651">
        <f>SUM(AF43+AG43+AH43+AI43)</f>
        <v/>
      </c>
      <c r="AF43" s="4763" t="n"/>
      <c r="AG43" s="814" t="n"/>
      <c r="AH43" s="814" t="n"/>
      <c r="AI43" s="815" t="n"/>
      <c r="AJ43" s="4700" t="n"/>
      <c r="AK43" s="4702" t="n"/>
      <c r="AL43" s="4701" t="n"/>
      <c r="AM43" s="4114" t="n"/>
      <c r="AN43" s="4114" t="n"/>
      <c r="AO43" s="4838" t="n"/>
      <c r="AP43" s="4113" t="n"/>
      <c r="AQ43" s="4114" t="n"/>
      <c r="AR43" s="4838" t="n"/>
      <c r="AS43" s="4113" t="n"/>
      <c r="AT43" s="110">
        <f>CA43&amp;CB43&amp;CC43&amp;CD43&amp;CE43&amp;CF43&amp;CG43</f>
        <v/>
      </c>
      <c r="CA43" s="111">
        <f>IF((T43+U43)&lt;&gt;B43,"* El número de "&amp;C$32&amp;" según Sexo debe ser igual al Total.","")</f>
        <v/>
      </c>
      <c r="CB43" s="111">
        <f>IF((AE43+Z43)&gt;B43," * El Total de "&amp;Z$32&amp;" no debe ser mayor que el Total","")</f>
        <v/>
      </c>
      <c r="CC43" s="111">
        <f>IF(AND(B43&gt;0,AO43="")," * No olvide digitar la variable Pueblos Originarios. Digite Cero si no tiene.",IF(AO43&gt;B43," * La variable Pueblos Originarios no puede ser mayor al Total.",""))</f>
        <v/>
      </c>
      <c r="CD43" s="111">
        <f>IF(AND(B43&gt;0,AP43="")," * No olvide digitar la variable Migrantes. Digite cero si no tiene.",IF(AP43&gt;B43," * La variable Migrantes no puede ser mayor al Total.",""))</f>
        <v/>
      </c>
      <c r="CE43" s="111">
        <f>IF(AND($B43&gt;0,AQ43="")," * No olvide digitar la variable Teleconsulta de especialidad resueltas por Médicos Generales. Digite cero si no tiene.",IF(AQ43&gt;$B43," * La variable Teleconsulta de especialidad resueltas por Médicos Generales no puede ser mayor al Total.",""))</f>
        <v/>
      </c>
      <c r="CF43" s="111">
        <f>IF(AND($B43&gt;0,AR43="")," * No olvide digitar la variable "&amp;AR40&amp;". Digite cero si no tiene.",IF(AR43&gt;$B43," * La variable "&amp;AR40&amp;" no puede ser mayor al Total.",""))</f>
        <v/>
      </c>
      <c r="CG43" s="111">
        <f>IF(AND($B43&gt;0,AS43="")," * No olvide digitar la variable "&amp;AS$32&amp;". Digite cero si no tiene.",IF(AS43&gt;$B43," * La variable "&amp;AS$32&amp;" no puede ser mayor al Total.",""))</f>
        <v/>
      </c>
      <c r="CH43" s="111">
        <f>IF(AND(B43&gt;0,AJ43="",AK43="",AL43=""),"*No olvide digitar datos en "&amp;AJ$32,
IF(AJ43+AK43+AL43&gt;B43,"*El Total de "&amp;AJ$32&amp;" no puede ser mayor que el Total Ambos Sexos.",
IF(AJ43+AK43+AL43&lt;B43,"*El Total de "&amp;AJ$32&amp;" no debe ser menor que el Total Ambos Sexos.","")))</f>
        <v/>
      </c>
      <c r="CK43" s="112">
        <f>IF((T43+U43)&lt;&gt;B43,1,0)</f>
        <v/>
      </c>
      <c r="CL43" s="112">
        <f>IF((AE43+Z43)&gt;B43,1,0)</f>
        <v/>
      </c>
      <c r="CM43" s="112">
        <f>IF(AND(B43&gt;0,AO43=""),1,IF(AO43&gt;B43,1,0))</f>
        <v/>
      </c>
      <c r="CN43" s="112">
        <f>IF(AND(B43&gt;0,AP43=""),1,IF(AP43&gt;B43,1,0))</f>
        <v/>
      </c>
      <c r="CO43" s="112">
        <f>IF(AND($B43&gt;0,AQ43=""),1,IF(AQ43&gt;$B43,1,0))</f>
        <v/>
      </c>
      <c r="CP43" s="112">
        <f>IF(AND($B43&gt;0,AR43=""),1,IF(AR43&gt;$B43,1,0))</f>
        <v/>
      </c>
      <c r="CQ43" s="112">
        <f>IF(AND($B43&gt;0,AS43=""),1,IF(AS43&gt;$B43,1,0))</f>
        <v/>
      </c>
      <c r="CR43" s="112">
        <f>IF(OR(AND(B43&gt;0,AJ43="",AJ43=""),AK43+AJ43+AL43&gt;B43,AK43+AJ43+AL43&lt;B43),1,0)</f>
        <v/>
      </c>
    </row>
    <row r="44" ht="15" customFormat="1" customHeight="1" s="110">
      <c r="A44" s="3651" t="inlineStr">
        <is>
          <t>Gastroenterología pediátrica</t>
        </is>
      </c>
      <c r="B44" s="10629">
        <f>SUM(C44:S44)</f>
        <v/>
      </c>
      <c r="C44" s="1333" t="n"/>
      <c r="D44" s="4688" t="n"/>
      <c r="E44" s="4688" t="n"/>
      <c r="F44" s="4688" t="n"/>
      <c r="G44" s="4688" t="n"/>
      <c r="H44" s="4688" t="n"/>
      <c r="I44" s="4688" t="n"/>
      <c r="J44" s="4688" t="n"/>
      <c r="K44" s="4688" t="n"/>
      <c r="L44" s="4688" t="n"/>
      <c r="M44" s="4688" t="n"/>
      <c r="N44" s="4688" t="n"/>
      <c r="O44" s="4688" t="n"/>
      <c r="P44" s="4688" t="n"/>
      <c r="Q44" s="4688" t="n"/>
      <c r="R44" s="4688" t="n"/>
      <c r="S44" s="4697" t="n"/>
      <c r="T44" s="4763" t="n"/>
      <c r="U44" s="775" t="n"/>
      <c r="V44" s="4763" t="n"/>
      <c r="W44" s="775" t="n"/>
      <c r="X44" s="4763" t="n"/>
      <c r="Y44" s="775" t="n"/>
      <c r="Z44" s="3651">
        <f>SUM(AA44+AB44+AC44+AD44)</f>
        <v/>
      </c>
      <c r="AA44" s="4763" t="n"/>
      <c r="AB44" s="814" t="n"/>
      <c r="AC44" s="814" t="n"/>
      <c r="AD44" s="775" t="n"/>
      <c r="AE44" s="3651">
        <f>SUM(AF44+AG44+AH44+AI44)</f>
        <v/>
      </c>
      <c r="AF44" s="4763" t="n"/>
      <c r="AG44" s="814" t="n"/>
      <c r="AH44" s="814" t="n"/>
      <c r="AI44" s="815" t="n"/>
      <c r="AJ44" s="4700" t="n"/>
      <c r="AK44" s="4702" t="n"/>
      <c r="AL44" s="4701" t="n"/>
      <c r="AM44" s="4114" t="n"/>
      <c r="AN44" s="4114" t="n"/>
      <c r="AO44" s="4838" t="n"/>
      <c r="AP44" s="4113" t="n"/>
      <c r="AQ44" s="4114" t="n"/>
      <c r="AR44" s="4838" t="n"/>
      <c r="AS44" s="4113" t="n"/>
      <c r="AT44" s="110">
        <f>CA44&amp;CB44&amp;CC44&amp;CD44&amp;CE44&amp;CF44&amp;CG44</f>
        <v/>
      </c>
      <c r="CA44" s="111">
        <f>IF((T44+U44)&lt;&gt;B44,"* El número de "&amp;C$32&amp;" según Sexo debe ser igual al Total.","")</f>
        <v/>
      </c>
      <c r="CB44" s="111">
        <f>IF((AE44+Z44)&gt;B44," * El Total de "&amp;Z$32&amp;" no debe ser mayor que el Total","")</f>
        <v/>
      </c>
      <c r="CC44" s="111">
        <f>IF(AND(B44&gt;0,AO44="")," * No olvide digitar la variable Pueblos Originarios. Digite Cero si no tiene.",IF(AO44&gt;B44," * La variable Pueblos Originarios no puede ser mayor al Total.",""))</f>
        <v/>
      </c>
      <c r="CD44" s="111">
        <f>IF(AND(B44&gt;0,AP44="")," * No olvide digitar la variable Migrantes. Digite cero si no tiene.",IF(AP44&gt;B44," * La variable Migrantes no puede ser mayor al Total.",""))</f>
        <v/>
      </c>
      <c r="CE44" s="111">
        <f>IF(AND($B44&gt;0,AQ44="")," * No olvide digitar la variable Teleconsulta de especialidad resueltas por Médicos Generales. Digite cero si no tiene.",IF(AQ44&gt;$B44," * La variable Teleconsulta de especialidad resueltas por Médicos Generales no puede ser mayor al Total.",""))</f>
        <v/>
      </c>
      <c r="CF44" s="111">
        <f>IF(AND($B44&gt;0,AR44="")," * No olvide digitar la variable "&amp;AR41&amp;". Digite cero si no tiene.",IF(AR44&gt;$B44," * La variable "&amp;AR41&amp;" no puede ser mayor al Total.",""))</f>
        <v/>
      </c>
      <c r="CG44" s="111">
        <f>IF(AND($B44&gt;0,AS44="")," * No olvide digitar la variable "&amp;AS$32&amp;". Digite cero si no tiene.",IF(AS44&gt;$B44," * La variable "&amp;AS$32&amp;" no puede ser mayor al Total.",""))</f>
        <v/>
      </c>
      <c r="CH44" s="111">
        <f>IF(AND(B44&gt;0,AJ44="",AK44="",AL44=""),"*No olvide digitar datos en "&amp;AJ$32,
IF(AJ44+AK44+AL44&gt;B44,"*El Total de "&amp;AJ$32&amp;" no puede ser mayor que el Total Ambos Sexos.",
IF(AJ44+AK44+AL44&lt;B44,"*El Total de "&amp;AJ$32&amp;" no debe ser menor que el Total Ambos Sexos.","")))</f>
        <v/>
      </c>
      <c r="CK44" s="112">
        <f>IF((T44+U44)&lt;&gt;B44,1,0)</f>
        <v/>
      </c>
      <c r="CL44" s="112">
        <f>IF((AE44+Z44)&gt;B44,1,0)</f>
        <v/>
      </c>
      <c r="CM44" s="112">
        <f>IF(AND(B44&gt;0,AO44=""),1,IF(AO44&gt;B44,1,0))</f>
        <v/>
      </c>
      <c r="CN44" s="112">
        <f>IF(AND(B44&gt;0,AP44=""),1,IF(AP44&gt;B44,1,0))</f>
        <v/>
      </c>
      <c r="CO44" s="112">
        <f>IF(AND($B44&gt;0,AQ44=""),1,IF(AQ44&gt;$B44,1,0))</f>
        <v/>
      </c>
      <c r="CP44" s="112">
        <f>IF(AND($B44&gt;0,AR44=""),1,IF(AR44&gt;$B44,1,0))</f>
        <v/>
      </c>
      <c r="CQ44" s="112">
        <f>IF(AND($B44&gt;0,AS44=""),1,IF(AS44&gt;$B44,1,0))</f>
        <v/>
      </c>
      <c r="CR44" s="112">
        <f>IF(OR(AND(B44&gt;0,AJ44="",AJ44=""),AK44+AJ44+AL44&gt;B44,AK44+AJ44+AL44&lt;B44),1,0)</f>
        <v/>
      </c>
    </row>
    <row r="45" ht="15" customFormat="1" customHeight="1" s="110">
      <c r="A45" s="3651" t="inlineStr">
        <is>
          <t>Gastroenterología adulto</t>
        </is>
      </c>
      <c r="B45" s="10629">
        <f>SUM(C45:S45)</f>
        <v/>
      </c>
      <c r="C45" s="1333" t="n"/>
      <c r="D45" s="4688" t="n"/>
      <c r="E45" s="4688" t="n"/>
      <c r="F45" s="4688" t="n"/>
      <c r="G45" s="4688" t="n"/>
      <c r="H45" s="4688" t="n"/>
      <c r="I45" s="4688" t="n"/>
      <c r="J45" s="4688" t="n"/>
      <c r="K45" s="4688" t="n"/>
      <c r="L45" s="4688" t="n"/>
      <c r="M45" s="4688" t="n"/>
      <c r="N45" s="4688" t="n"/>
      <c r="O45" s="4688" t="n"/>
      <c r="P45" s="4688" t="n"/>
      <c r="Q45" s="4688" t="n"/>
      <c r="R45" s="4688" t="n"/>
      <c r="S45" s="4697" t="n"/>
      <c r="T45" s="4763" t="n"/>
      <c r="U45" s="775" t="n"/>
      <c r="V45" s="4763" t="n"/>
      <c r="W45" s="775" t="n"/>
      <c r="X45" s="4763" t="n"/>
      <c r="Y45" s="775" t="n"/>
      <c r="Z45" s="3651">
        <f>SUM(AA45+AB45+AC45+AD45)</f>
        <v/>
      </c>
      <c r="AA45" s="4763" t="n"/>
      <c r="AB45" s="814" t="n"/>
      <c r="AC45" s="814" t="n"/>
      <c r="AD45" s="775" t="n"/>
      <c r="AE45" s="3651">
        <f>SUM(AF45+AG45+AH45+AI45)</f>
        <v/>
      </c>
      <c r="AF45" s="4763" t="n"/>
      <c r="AG45" s="814" t="n"/>
      <c r="AH45" s="814" t="n"/>
      <c r="AI45" s="815" t="n"/>
      <c r="AJ45" s="4700" t="n"/>
      <c r="AK45" s="4702" t="n"/>
      <c r="AL45" s="4701" t="n"/>
      <c r="AM45" s="4114" t="n"/>
      <c r="AN45" s="4114" t="n"/>
      <c r="AO45" s="4838" t="n"/>
      <c r="AP45" s="4113" t="n"/>
      <c r="AQ45" s="4114" t="n"/>
      <c r="AR45" s="4838" t="n"/>
      <c r="AS45" s="4113" t="n"/>
      <c r="AT45" s="110">
        <f>CA45&amp;CB45&amp;CC45&amp;CD45&amp;CE45&amp;CF45&amp;CG45</f>
        <v/>
      </c>
      <c r="CA45" s="111">
        <f>IF((T45+U45)&lt;&gt;B45,"* El número de "&amp;C$32&amp;" según Sexo debe ser igual al Total.","")</f>
        <v/>
      </c>
      <c r="CB45" s="111">
        <f>IF((AE45+Z45)&gt;B45," * El Total de "&amp;Z$32&amp;" no debe ser mayor que el Total","")</f>
        <v/>
      </c>
      <c r="CC45" s="111">
        <f>IF(AND(B45&gt;0,AO45="")," * No olvide digitar la variable Pueblos Originarios. Digite Cero si no tiene.",IF(AO45&gt;B45," * La variable Pueblos Originarios no puede ser mayor al Total.",""))</f>
        <v/>
      </c>
      <c r="CD45" s="111">
        <f>IF(AND(B45&gt;0,AP45="")," * No olvide digitar la variable Migrantes. Digite cero si no tiene.",IF(AP45&gt;B45," * La variable Migrantes no puede ser mayor al Total.",""))</f>
        <v/>
      </c>
      <c r="CE45" s="111">
        <f>IF(AND($B45&gt;0,AQ45="")," * No olvide digitar la variable Teleconsulta de especialidad resueltas por Médicos Generales. Digite cero si no tiene.",IF(AQ45&gt;$B45," * La variable Teleconsulta de especialidad resueltas por Médicos Generales no puede ser mayor al Total.",""))</f>
        <v/>
      </c>
      <c r="CF45" s="111">
        <f>IF(AND($B45&gt;0,AR45="")," * No olvide digitar la variable "&amp;AR42&amp;". Digite cero si no tiene.",IF(AR45&gt;$B45," * La variable "&amp;AR42&amp;" no puede ser mayor al Total.",""))</f>
        <v/>
      </c>
      <c r="CG45" s="111">
        <f>IF(AND($B45&gt;0,AS45="")," * No olvide digitar la variable "&amp;AS$32&amp;". Digite cero si no tiene.",IF(AS45&gt;$B45," * La variable "&amp;AS$32&amp;" no puede ser mayor al Total.",""))</f>
        <v/>
      </c>
      <c r="CH45" s="111">
        <f>IF(AND(B45&gt;0,AJ45="",AK45="",AL45=""),"*No olvide digitar datos en "&amp;AJ$32,
IF(AJ45+AK45+AL45&gt;B45,"*El Total de "&amp;AJ$32&amp;" no puede ser mayor que el Total Ambos Sexos.",
IF(AJ45+AK45+AL45&lt;B45,"*El Total de "&amp;AJ$32&amp;" no debe ser menor que el Total Ambos Sexos.","")))</f>
        <v/>
      </c>
      <c r="CK45" s="112">
        <f>IF((T45+U45)&lt;&gt;B45,1,0)</f>
        <v/>
      </c>
      <c r="CL45" s="112">
        <f>IF((AE45+Z45)&gt;B45,1,0)</f>
        <v/>
      </c>
      <c r="CM45" s="112">
        <f>IF(AND(B45&gt;0,AO45=""),1,IF(AO45&gt;B45,1,0))</f>
        <v/>
      </c>
      <c r="CN45" s="112">
        <f>IF(AND(B45&gt;0,AP45=""),1,IF(AP45&gt;B45,1,0))</f>
        <v/>
      </c>
      <c r="CO45" s="112">
        <f>IF(AND($B45&gt;0,AQ45=""),1,IF(AQ45&gt;$B45,1,0))</f>
        <v/>
      </c>
      <c r="CP45" s="112">
        <f>IF(AND($B45&gt;0,AR45=""),1,IF(AR45&gt;$B45,1,0))</f>
        <v/>
      </c>
      <c r="CQ45" s="112">
        <f>IF(AND($B45&gt;0,AS45=""),1,IF(AS45&gt;$B45,1,0))</f>
        <v/>
      </c>
      <c r="CR45" s="112">
        <f>IF(OR(AND(B45&gt;0,AJ45="",AJ45=""),AK45+AJ45+AL45&gt;B45,AK45+AJ45+AL45&lt;B45),1,0)</f>
        <v/>
      </c>
    </row>
    <row r="46" ht="15" customFormat="1" customHeight="1" s="110">
      <c r="A46" s="3651" t="inlineStr">
        <is>
          <t>Genética clínica</t>
        </is>
      </c>
      <c r="B46" s="10629">
        <f>SUM(C46:S46)</f>
        <v/>
      </c>
      <c r="C46" s="1333" t="n"/>
      <c r="D46" s="4688" t="n"/>
      <c r="E46" s="4688" t="n"/>
      <c r="F46" s="4688" t="n"/>
      <c r="G46" s="4688" t="n"/>
      <c r="H46" s="4688" t="n"/>
      <c r="I46" s="4688" t="n"/>
      <c r="J46" s="4688" t="n"/>
      <c r="K46" s="4688" t="n"/>
      <c r="L46" s="4688" t="n"/>
      <c r="M46" s="4688" t="n"/>
      <c r="N46" s="4688" t="n"/>
      <c r="O46" s="4688" t="n"/>
      <c r="P46" s="4688" t="n"/>
      <c r="Q46" s="4688" t="n"/>
      <c r="R46" s="4688" t="n"/>
      <c r="S46" s="4697" t="n"/>
      <c r="T46" s="4763" t="n"/>
      <c r="U46" s="775" t="n"/>
      <c r="V46" s="4763" t="n"/>
      <c r="W46" s="775" t="n"/>
      <c r="X46" s="4763" t="n"/>
      <c r="Y46" s="775" t="n"/>
      <c r="Z46" s="3651">
        <f>SUM(AA46+AB46+AC46+AD46)</f>
        <v/>
      </c>
      <c r="AA46" s="4763" t="n"/>
      <c r="AB46" s="814" t="n"/>
      <c r="AC46" s="814" t="n"/>
      <c r="AD46" s="775" t="n"/>
      <c r="AE46" s="3651">
        <f>SUM(AF46+AG46+AH46+AI46)</f>
        <v/>
      </c>
      <c r="AF46" s="4763" t="n"/>
      <c r="AG46" s="814" t="n"/>
      <c r="AH46" s="814" t="n"/>
      <c r="AI46" s="815" t="n"/>
      <c r="AJ46" s="4700" t="n"/>
      <c r="AK46" s="4702" t="n"/>
      <c r="AL46" s="4701" t="n"/>
      <c r="AM46" s="4114" t="n"/>
      <c r="AN46" s="4114" t="n"/>
      <c r="AO46" s="4838" t="n"/>
      <c r="AP46" s="4113" t="n"/>
      <c r="AQ46" s="4114" t="n"/>
      <c r="AR46" s="4838" t="n"/>
      <c r="AS46" s="4113" t="n"/>
      <c r="AT46" s="110">
        <f>CA46&amp;CB46&amp;CC46&amp;CD46&amp;CE46&amp;CF46&amp;CG46</f>
        <v/>
      </c>
      <c r="CA46" s="111">
        <f>IF((T46+U46)&lt;&gt;B46,"* El número de "&amp;C$32&amp;" según Sexo debe ser igual al Total.","")</f>
        <v/>
      </c>
      <c r="CB46" s="111">
        <f>IF((AE46+Z46)&gt;B46," * El Total de "&amp;Z$32&amp;" no debe ser mayor que el Total","")</f>
        <v/>
      </c>
      <c r="CC46" s="111">
        <f>IF(AND(B46&gt;0,AO46="")," * No olvide digitar la variable Pueblos Originarios. Digite Cero si no tiene.",IF(AO46&gt;B46," * La variable Pueblos Originarios no puede ser mayor al Total.",""))</f>
        <v/>
      </c>
      <c r="CD46" s="111">
        <f>IF(AND(B46&gt;0,AP46="")," * No olvide digitar la variable Migrantes. Digite cero si no tiene.",IF(AP46&gt;B46," * La variable Migrantes no puede ser mayor al Total.",""))</f>
        <v/>
      </c>
      <c r="CE46" s="111">
        <f>IF(AND($B46&gt;0,AQ46="")," * No olvide digitar la variable Teleconsulta de especialidad resueltas por Médicos Generales. Digite cero si no tiene.",IF(AQ46&gt;$B46," * La variable Teleconsulta de especialidad resueltas por Médicos Generales no puede ser mayor al Total.",""))</f>
        <v/>
      </c>
      <c r="CF46" s="111">
        <f>IF(AND($B46&gt;0,AR46="")," * No olvide digitar la variable "&amp;AR43&amp;". Digite cero si no tiene.",IF(AR46&gt;$B46," * La variable "&amp;AR43&amp;" no puede ser mayor al Total.",""))</f>
        <v/>
      </c>
      <c r="CG46" s="111">
        <f>IF(AND($B46&gt;0,AS46="")," * No olvide digitar la variable "&amp;AS$32&amp;". Digite cero si no tiene.",IF(AS46&gt;$B46," * La variable "&amp;AS$32&amp;" no puede ser mayor al Total.",""))</f>
        <v/>
      </c>
      <c r="CH46" s="111">
        <f>IF(AND(B46&gt;0,AJ46="",AK46="",AL46=""),"*No olvide digitar datos en "&amp;AJ$32,
IF(AJ46+AK46+AL46&gt;B46,"*El Total de "&amp;AJ$32&amp;" no puede ser mayor que el Total Ambos Sexos.",
IF(AJ46+AK46+AL46&lt;B46,"*El Total de "&amp;AJ$32&amp;" no debe ser menor que el Total Ambos Sexos.","")))</f>
        <v/>
      </c>
      <c r="CK46" s="112">
        <f>IF((T46+U46)&lt;&gt;B46,1,0)</f>
        <v/>
      </c>
      <c r="CL46" s="112">
        <f>IF((AE46+Z46)&gt;B46,1,0)</f>
        <v/>
      </c>
      <c r="CM46" s="112">
        <f>IF(AND(B46&gt;0,AO46=""),1,IF(AO46&gt;B46,1,0))</f>
        <v/>
      </c>
      <c r="CN46" s="112">
        <f>IF(AND(B46&gt;0,AP46=""),1,IF(AP46&gt;B46,1,0))</f>
        <v/>
      </c>
      <c r="CO46" s="112">
        <f>IF(AND($B46&gt;0,AQ46=""),1,IF(AQ46&gt;$B46,1,0))</f>
        <v/>
      </c>
      <c r="CP46" s="112">
        <f>IF(AND($B46&gt;0,AR46=""),1,IF(AR46&gt;$B46,1,0))</f>
        <v/>
      </c>
      <c r="CQ46" s="112">
        <f>IF(AND($B46&gt;0,AS46=""),1,IF(AS46&gt;$B46,1,0))</f>
        <v/>
      </c>
      <c r="CR46" s="112">
        <f>IF(OR(AND(B46&gt;0,AJ46="",AJ46=""),AK46+AJ46+AL46&gt;B46,AK46+AJ46+AL46&lt;B46),1,0)</f>
        <v/>
      </c>
    </row>
    <row r="47" ht="15" customFormat="1" customHeight="1" s="110">
      <c r="A47" s="3785" t="inlineStr">
        <is>
          <t>Hematología</t>
        </is>
      </c>
      <c r="B47" s="10629">
        <f>SUM(C47:S47)</f>
        <v/>
      </c>
      <c r="C47" s="1333" t="n"/>
      <c r="D47" s="4688" t="n"/>
      <c r="E47" s="4688" t="n"/>
      <c r="F47" s="4688" t="n"/>
      <c r="G47" s="4688" t="n"/>
      <c r="H47" s="4688" t="n"/>
      <c r="I47" s="4688" t="n"/>
      <c r="J47" s="4688" t="n"/>
      <c r="K47" s="4688" t="n"/>
      <c r="L47" s="4688" t="n"/>
      <c r="M47" s="4688" t="n"/>
      <c r="N47" s="4688" t="n"/>
      <c r="O47" s="4688" t="n"/>
      <c r="P47" s="4688" t="n"/>
      <c r="Q47" s="4688" t="n"/>
      <c r="R47" s="4688" t="n"/>
      <c r="S47" s="4697" t="n"/>
      <c r="T47" s="4763" t="n"/>
      <c r="U47" s="775" t="n"/>
      <c r="V47" s="4763" t="n"/>
      <c r="W47" s="775" t="n"/>
      <c r="X47" s="4763" t="n"/>
      <c r="Y47" s="775" t="n"/>
      <c r="Z47" s="3651">
        <f>SUM(AA47+AB47+AC47+AD47)</f>
        <v/>
      </c>
      <c r="AA47" s="4763" t="n"/>
      <c r="AB47" s="814" t="n"/>
      <c r="AC47" s="814" t="n"/>
      <c r="AD47" s="775" t="n"/>
      <c r="AE47" s="3651">
        <f>SUM(AF47+AG47+AH47+AI47)</f>
        <v/>
      </c>
      <c r="AF47" s="4763" t="n"/>
      <c r="AG47" s="814" t="n"/>
      <c r="AH47" s="814" t="n"/>
      <c r="AI47" s="815" t="n"/>
      <c r="AJ47" s="4700" t="n"/>
      <c r="AK47" s="4702" t="n"/>
      <c r="AL47" s="4701" t="n"/>
      <c r="AM47" s="4114" t="n"/>
      <c r="AN47" s="4114" t="n"/>
      <c r="AO47" s="4838" t="n"/>
      <c r="AP47" s="4113" t="n"/>
      <c r="AQ47" s="4114" t="n"/>
      <c r="AR47" s="4838" t="n"/>
      <c r="AS47" s="4113" t="n"/>
      <c r="AT47" s="110">
        <f>CA47&amp;CB47&amp;CC47&amp;CD47&amp;CE47&amp;CF47&amp;CG47</f>
        <v/>
      </c>
      <c r="CA47" s="111">
        <f>IF((T47+U47)&lt;&gt;B47,"* El número de "&amp;C$32&amp;" según Sexo debe ser igual al Total.","")</f>
        <v/>
      </c>
      <c r="CB47" s="111">
        <f>IF((AE47+Z47)&gt;B47," * El Total de "&amp;Z$32&amp;" no debe ser mayor que el Total","")</f>
        <v/>
      </c>
      <c r="CC47" s="111">
        <f>IF(AND(B47&gt;0,AO47="")," * No olvide digitar la variable Pueblos Originarios. Digite Cero si no tiene.",IF(AO47&gt;B47," * La variable Pueblos Originarios no puede ser mayor al Total.",""))</f>
        <v/>
      </c>
      <c r="CD47" s="111">
        <f>IF(AND(B47&gt;0,AP47="")," * No olvide digitar la variable Migrantes. Digite cero si no tiene.",IF(AP47&gt;B47," * La variable Migrantes no puede ser mayor al Total.",""))</f>
        <v/>
      </c>
      <c r="CE47" s="111">
        <f>IF(AND($B47&gt;0,AQ47="")," * No olvide digitar la variable Teleconsulta de especialidad resueltas por Médicos Generales. Digite cero si no tiene.",IF(AQ47&gt;$B47," * La variable Teleconsulta de especialidad resueltas por Médicos Generales no puede ser mayor al Total.",""))</f>
        <v/>
      </c>
      <c r="CF47" s="111">
        <f>IF(AND($B47&gt;0,AR47="")," * No olvide digitar la variable "&amp;AR44&amp;". Digite cero si no tiene.",IF(AR47&gt;$B47," * La variable "&amp;AR44&amp;" no puede ser mayor al Total.",""))</f>
        <v/>
      </c>
      <c r="CG47" s="111">
        <f>IF(AND($B47&gt;0,AS47="")," * No olvide digitar la variable "&amp;AS$32&amp;". Digite cero si no tiene.",IF(AS47&gt;$B47," * La variable "&amp;AS$32&amp;" no puede ser mayor al Total.",""))</f>
        <v/>
      </c>
      <c r="CH47" s="111">
        <f>IF(AND(B47&gt;0,AJ47="",AK47="",AL47=""),"*No olvide digitar datos en "&amp;AJ$32,
IF(AJ47+AK47+AL47&gt;B47,"*El Total de "&amp;AJ$32&amp;" no puede ser mayor que el Total Ambos Sexos.",
IF(AJ47+AK47+AL47&lt;B47,"*El Total de "&amp;AJ$32&amp;" no debe ser menor que el Total Ambos Sexos.","")))</f>
        <v/>
      </c>
      <c r="CK47" s="112">
        <f>IF((T47+U47)&lt;&gt;B47,1,0)</f>
        <v/>
      </c>
      <c r="CL47" s="112">
        <f>IF((AE47+Z47)&gt;B47,1,0)</f>
        <v/>
      </c>
      <c r="CM47" s="112">
        <f>IF(AND(B47&gt;0,AO47=""),1,IF(AO47&gt;B47,1,0))</f>
        <v/>
      </c>
      <c r="CN47" s="112">
        <f>IF(AND(B47&gt;0,AP47=""),1,IF(AP47&gt;B47,1,0))</f>
        <v/>
      </c>
      <c r="CO47" s="112">
        <f>IF(AND($B47&gt;0,AQ47=""),1,IF(AQ47&gt;$B47,1,0))</f>
        <v/>
      </c>
      <c r="CP47" s="112">
        <f>IF(AND($B47&gt;0,AR47=""),1,IF(AR47&gt;$B47,1,0))</f>
        <v/>
      </c>
      <c r="CQ47" s="112">
        <f>IF(AND($B47&gt;0,AS47=""),1,IF(AS47&gt;$B47,1,0))</f>
        <v/>
      </c>
      <c r="CR47" s="112">
        <f>IF(OR(AND(B47&gt;0,AJ47="",AJ47=""),AK47+AJ47+AL47&gt;B47,AK47+AJ47+AL47&lt;B47),1,0)</f>
        <v/>
      </c>
    </row>
    <row r="48" ht="15" customFormat="1" customHeight="1" s="110">
      <c r="A48" s="684" t="inlineStr">
        <is>
          <t>Medicina del adolescente</t>
        </is>
      </c>
      <c r="B48" s="10629">
        <f>SUM(C48:S48)</f>
        <v/>
      </c>
      <c r="C48" s="1333" t="n"/>
      <c r="D48" s="4688" t="n"/>
      <c r="E48" s="4688" t="n"/>
      <c r="F48" s="4688" t="n"/>
      <c r="G48" s="4688" t="n"/>
      <c r="H48" s="4688" t="n"/>
      <c r="I48" s="4688" t="n"/>
      <c r="J48" s="4688" t="n"/>
      <c r="K48" s="4688" t="n"/>
      <c r="L48" s="4688" t="n"/>
      <c r="M48" s="4688" t="n"/>
      <c r="N48" s="4688" t="n"/>
      <c r="O48" s="4688" t="n"/>
      <c r="P48" s="4688" t="n"/>
      <c r="Q48" s="4688" t="n"/>
      <c r="R48" s="4688" t="n"/>
      <c r="S48" s="4697" t="n"/>
      <c r="T48" s="4763" t="n"/>
      <c r="U48" s="775" t="n"/>
      <c r="V48" s="4763" t="n"/>
      <c r="W48" s="775" t="n"/>
      <c r="X48" s="4763" t="n"/>
      <c r="Y48" s="775" t="n"/>
      <c r="Z48" s="3651">
        <f>SUM(AA48+AB48+AC48+AD48)</f>
        <v/>
      </c>
      <c r="AA48" s="4763" t="n"/>
      <c r="AB48" s="814" t="n"/>
      <c r="AC48" s="814" t="n"/>
      <c r="AD48" s="775" t="n"/>
      <c r="AE48" s="3651">
        <f>SUM(AF48+AG48+AH48+AI48)</f>
        <v/>
      </c>
      <c r="AF48" s="4763" t="n"/>
      <c r="AG48" s="814" t="n"/>
      <c r="AH48" s="814" t="n"/>
      <c r="AI48" s="815" t="n"/>
      <c r="AJ48" s="4700" t="n"/>
      <c r="AK48" s="4702" t="n"/>
      <c r="AL48" s="4701" t="n"/>
      <c r="AM48" s="4114" t="n"/>
      <c r="AN48" s="4114" t="n"/>
      <c r="AO48" s="4838" t="n"/>
      <c r="AP48" s="4113" t="n"/>
      <c r="AQ48" s="4114" t="n"/>
      <c r="AR48" s="4838" t="n"/>
      <c r="AS48" s="4113" t="n"/>
      <c r="AT48" s="110">
        <f>CA48&amp;CB48&amp;CC48&amp;CD48&amp;CE48&amp;CF48&amp;CG48</f>
        <v/>
      </c>
      <c r="CA48" s="111">
        <f>IF((T48+U48)&lt;&gt;B48,"* El número de "&amp;C$32&amp;" según Sexo debe ser igual al Total.","")</f>
        <v/>
      </c>
      <c r="CB48" s="111">
        <f>IF((AE48+Z48)&gt;B48," * El Total de "&amp;Z$32&amp;" no debe ser mayor que el Total","")</f>
        <v/>
      </c>
      <c r="CC48" s="111">
        <f>IF(AND(B48&gt;0,AO48="")," * No olvide digitar la variable Pueblos Originarios. Digite Cero si no tiene.",IF(AO48&gt;B48," * La variable Pueblos Originarios no puede ser mayor al Total.",""))</f>
        <v/>
      </c>
      <c r="CD48" s="111">
        <f>IF(AND(B48&gt;0,AP48="")," * No olvide digitar la variable Migrantes. Digite cero si no tiene.",IF(AP48&gt;B48," * La variable Migrantes no puede ser mayor al Total.",""))</f>
        <v/>
      </c>
      <c r="CE48" s="111">
        <f>IF(AND($B48&gt;0,AQ48="")," * No olvide digitar la variable Teleconsulta de especialidad resueltas por Médicos Generales. Digite cero si no tiene.",IF(AQ48&gt;$B48," * La variable Teleconsulta de especialidad resueltas por Médicos Generales no puede ser mayor al Total.",""))</f>
        <v/>
      </c>
      <c r="CF48" s="111">
        <f>IF(AND($B48&gt;0,AR48="")," * No olvide digitar la variable "&amp;AR45&amp;". Digite cero si no tiene.",IF(AR48&gt;$B48," * La variable "&amp;AR45&amp;" no puede ser mayor al Total.",""))</f>
        <v/>
      </c>
      <c r="CG48" s="111">
        <f>IF(AND($B48&gt;0,AS48="")," * No olvide digitar la variable "&amp;AS$32&amp;". Digite cero si no tiene.",IF(AS48&gt;$B48," * La variable "&amp;AS$32&amp;" no puede ser mayor al Total.",""))</f>
        <v/>
      </c>
      <c r="CH48" s="111">
        <f>IF(AND(B48&gt;0,AJ48="",AK48="",AL48=""),"*No olvide digitar datos en "&amp;AJ$32,
IF(AJ48+AK48+AL48&gt;B48,"*El Total de "&amp;AJ$32&amp;" no puede ser mayor que el Total Ambos Sexos.",
IF(AJ48+AK48+AL48&lt;B48,"*El Total de "&amp;AJ$32&amp;" no debe ser menor que el Total Ambos Sexos.","")))</f>
        <v/>
      </c>
      <c r="CK48" s="112">
        <f>IF((T48+U48)&lt;&gt;B48,1,0)</f>
        <v/>
      </c>
      <c r="CL48" s="112">
        <f>IF((AE48+Z48)&gt;B48,1,0)</f>
        <v/>
      </c>
      <c r="CM48" s="112">
        <f>IF(AND(B48&gt;0,AO48=""),1,IF(AO48&gt;B48,1,0))</f>
        <v/>
      </c>
      <c r="CN48" s="112">
        <f>IF(AND(B48&gt;0,AP48=""),1,IF(AP48&gt;B48,1,0))</f>
        <v/>
      </c>
      <c r="CO48" s="112">
        <f>IF(AND($B48&gt;0,AQ48=""),1,IF(AQ48&gt;$B48,1,0))</f>
        <v/>
      </c>
      <c r="CP48" s="112">
        <f>IF(AND($B48&gt;0,AR48=""),1,IF(AR48&gt;$B48,1,0))</f>
        <v/>
      </c>
      <c r="CQ48" s="112">
        <f>IF(AND($B48&gt;0,AS48=""),1,IF(AS48&gt;$B48,1,0))</f>
        <v/>
      </c>
      <c r="CR48" s="112">
        <f>IF(OR(AND(B48&gt;0,AJ48="",AJ48=""),AK48+AJ48+AL48&gt;B48,AK48+AJ48+AL48&lt;B48),1,0)</f>
        <v/>
      </c>
    </row>
    <row r="49" ht="15" customFormat="1" customHeight="1" s="110">
      <c r="A49" s="3651" t="inlineStr">
        <is>
          <t>Nefrología pediátrica</t>
        </is>
      </c>
      <c r="B49" s="10629">
        <f>SUM(C49:S49)</f>
        <v/>
      </c>
      <c r="C49" s="1333" t="n"/>
      <c r="D49" s="4688" t="n"/>
      <c r="E49" s="4688" t="n"/>
      <c r="F49" s="4688" t="n"/>
      <c r="G49" s="4688" t="n"/>
      <c r="H49" s="4688" t="n"/>
      <c r="I49" s="4688" t="n"/>
      <c r="J49" s="4688" t="n"/>
      <c r="K49" s="4688" t="n"/>
      <c r="L49" s="4688" t="n"/>
      <c r="M49" s="4688" t="n"/>
      <c r="N49" s="4688" t="n"/>
      <c r="O49" s="4688" t="n"/>
      <c r="P49" s="4688" t="n"/>
      <c r="Q49" s="4688" t="n"/>
      <c r="R49" s="4688" t="n"/>
      <c r="S49" s="4697" t="n"/>
      <c r="T49" s="4763" t="n"/>
      <c r="U49" s="775" t="n"/>
      <c r="V49" s="4763" t="n"/>
      <c r="W49" s="775" t="n"/>
      <c r="X49" s="4763" t="n"/>
      <c r="Y49" s="775" t="n"/>
      <c r="Z49" s="3651">
        <f>SUM(AA49+AB49+AC49+AD49)</f>
        <v/>
      </c>
      <c r="AA49" s="4763" t="n"/>
      <c r="AB49" s="814" t="n"/>
      <c r="AC49" s="814" t="n"/>
      <c r="AD49" s="775" t="n"/>
      <c r="AE49" s="3651">
        <f>SUM(AF49+AG49+AH49+AI49)</f>
        <v/>
      </c>
      <c r="AF49" s="4763" t="n"/>
      <c r="AG49" s="814" t="n"/>
      <c r="AH49" s="814" t="n"/>
      <c r="AI49" s="815" t="n"/>
      <c r="AJ49" s="4700" t="n"/>
      <c r="AK49" s="4702" t="n"/>
      <c r="AL49" s="4701" t="n"/>
      <c r="AM49" s="4114" t="n"/>
      <c r="AN49" s="4114" t="n"/>
      <c r="AO49" s="4838" t="n"/>
      <c r="AP49" s="4113" t="n"/>
      <c r="AQ49" s="4114" t="n"/>
      <c r="AR49" s="4838" t="n"/>
      <c r="AS49" s="4113" t="n"/>
      <c r="AT49" s="110">
        <f>CA49&amp;CB49&amp;CC49&amp;CD49&amp;CE49&amp;CF49&amp;CG49</f>
        <v/>
      </c>
      <c r="CA49" s="111">
        <f>IF((T49+U49)&lt;&gt;B49,"* El número de "&amp;C$32&amp;" según Sexo debe ser igual al Total.","")</f>
        <v/>
      </c>
      <c r="CB49" s="111">
        <f>IF((AE49+Z49)&gt;B49," * El Total de "&amp;Z$32&amp;" no debe ser mayor que el Total","")</f>
        <v/>
      </c>
      <c r="CC49" s="111">
        <f>IF(AND(B49&gt;0,AO49="")," * No olvide digitar la variable Pueblos Originarios. Digite Cero si no tiene.",IF(AO49&gt;B49," * La variable Pueblos Originarios no puede ser mayor al Total.",""))</f>
        <v/>
      </c>
      <c r="CD49" s="111">
        <f>IF(AND(B49&gt;0,AP49="")," * No olvide digitar la variable Migrantes. Digite cero si no tiene.",IF(AP49&gt;B49," * La variable Migrantes no puede ser mayor al Total.",""))</f>
        <v/>
      </c>
      <c r="CE49" s="111">
        <f>IF(AND($B49&gt;0,AQ49="")," * No olvide digitar la variable Teleconsulta de especialidad resueltas por Médicos Generales. Digite cero si no tiene.",IF(AQ49&gt;$B49," * La variable Teleconsulta de especialidad resueltas por Médicos Generales no puede ser mayor al Total.",""))</f>
        <v/>
      </c>
      <c r="CF49" s="111">
        <f>IF(AND($B49&gt;0,AR49="")," * No olvide digitar la variable "&amp;AR46&amp;". Digite cero si no tiene.",IF(AR49&gt;$B49," * La variable "&amp;AR46&amp;" no puede ser mayor al Total.",""))</f>
        <v/>
      </c>
      <c r="CG49" s="111">
        <f>IF(AND($B49&gt;0,AS49="")," * No olvide digitar la variable "&amp;AS$32&amp;". Digite cero si no tiene.",IF(AS49&gt;$B49," * La variable "&amp;AS$32&amp;" no puede ser mayor al Total.",""))</f>
        <v/>
      </c>
      <c r="CH49" s="111">
        <f>IF(AND(B49&gt;0,AJ49="",AK49="",AL49=""),"*No olvide digitar datos en "&amp;AJ$32,
IF(AJ49+AK49+AL49&gt;B49,"*El Total de "&amp;AJ$32&amp;" no puede ser mayor que el Total Ambos Sexos.",
IF(AJ49+AK49+AL49&lt;B49,"*El Total de "&amp;AJ$32&amp;" no debe ser menor que el Total Ambos Sexos.","")))</f>
        <v/>
      </c>
      <c r="CK49" s="112">
        <f>IF((T49+U49)&lt;&gt;B49,1,0)</f>
        <v/>
      </c>
      <c r="CL49" s="112">
        <f>IF((AE49+Z49)&gt;B49,1,0)</f>
        <v/>
      </c>
      <c r="CM49" s="112">
        <f>IF(AND(B49&gt;0,AO49=""),1,IF(AO49&gt;B49,1,0))</f>
        <v/>
      </c>
      <c r="CN49" s="112">
        <f>IF(AND(B49&gt;0,AP49=""),1,IF(AP49&gt;B49,1,0))</f>
        <v/>
      </c>
      <c r="CO49" s="112">
        <f>IF(AND($B49&gt;0,AQ49=""),1,IF(AQ49&gt;$B49,1,0))</f>
        <v/>
      </c>
      <c r="CP49" s="112">
        <f>IF(AND($B49&gt;0,AR49=""),1,IF(AR49&gt;$B49,1,0))</f>
        <v/>
      </c>
      <c r="CQ49" s="112">
        <f>IF(AND($B49&gt;0,AS49=""),1,IF(AS49&gt;$B49,1,0))</f>
        <v/>
      </c>
      <c r="CR49" s="112">
        <f>IF(OR(AND(B49&gt;0,AJ49="",AJ49=""),AK49+AJ49+AL49&gt;B49,AK49+AJ49+AL49&lt;B49),1,0)</f>
        <v/>
      </c>
    </row>
    <row r="50" ht="15" customFormat="1" customHeight="1" s="110">
      <c r="A50" s="3651" t="inlineStr">
        <is>
          <t>Nefrología adulto</t>
        </is>
      </c>
      <c r="B50" s="10629">
        <f>SUM(C50:S50)</f>
        <v/>
      </c>
      <c r="C50" s="1333" t="n"/>
      <c r="D50" s="4688" t="n"/>
      <c r="E50" s="4688" t="n"/>
      <c r="F50" s="4688" t="n"/>
      <c r="G50" s="4688" t="n"/>
      <c r="H50" s="4688" t="n"/>
      <c r="I50" s="4688" t="n"/>
      <c r="J50" s="4688" t="n"/>
      <c r="K50" s="4688" t="n"/>
      <c r="L50" s="4688" t="n"/>
      <c r="M50" s="4688" t="n"/>
      <c r="N50" s="4688" t="n"/>
      <c r="O50" s="4688" t="n"/>
      <c r="P50" s="4688" t="n"/>
      <c r="Q50" s="4688" t="n"/>
      <c r="R50" s="4688" t="n"/>
      <c r="S50" s="4697" t="n"/>
      <c r="T50" s="4763" t="n"/>
      <c r="U50" s="775" t="n"/>
      <c r="V50" s="4763" t="n"/>
      <c r="W50" s="775" t="n"/>
      <c r="X50" s="4763" t="n"/>
      <c r="Y50" s="775" t="n"/>
      <c r="Z50" s="3651">
        <f>SUM(AA50+AB50+AC50+AD50)</f>
        <v/>
      </c>
      <c r="AA50" s="4763" t="n"/>
      <c r="AB50" s="814" t="n"/>
      <c r="AC50" s="814" t="n"/>
      <c r="AD50" s="775" t="n"/>
      <c r="AE50" s="3651">
        <f>SUM(AF50+AG50+AH50+AI50)</f>
        <v/>
      </c>
      <c r="AF50" s="4763" t="n"/>
      <c r="AG50" s="814" t="n"/>
      <c r="AH50" s="814" t="n"/>
      <c r="AI50" s="815" t="n"/>
      <c r="AJ50" s="4700" t="n"/>
      <c r="AK50" s="4702" t="n"/>
      <c r="AL50" s="4701" t="n"/>
      <c r="AM50" s="4114" t="n"/>
      <c r="AN50" s="4114" t="n"/>
      <c r="AO50" s="4838" t="n"/>
      <c r="AP50" s="4113" t="n"/>
      <c r="AQ50" s="4114" t="n"/>
      <c r="AR50" s="4838" t="n"/>
      <c r="AS50" s="4113" t="n"/>
      <c r="AT50" s="110">
        <f>CA50&amp;CB50&amp;CC50&amp;CD50&amp;CE50&amp;CF50&amp;CG50</f>
        <v/>
      </c>
      <c r="CA50" s="111">
        <f>IF((T50+U50)&lt;&gt;B50,"* El número de "&amp;C$32&amp;" según Sexo debe ser igual al Total.","")</f>
        <v/>
      </c>
      <c r="CB50" s="111">
        <f>IF((AE50+Z50)&gt;B50," * El Total de "&amp;Z$32&amp;" no debe ser mayor que el Total","")</f>
        <v/>
      </c>
      <c r="CC50" s="111">
        <f>IF(AND(B50&gt;0,AO50="")," * No olvide digitar la variable Pueblos Originarios. Digite Cero si no tiene.",IF(AO50&gt;B50," * La variable Pueblos Originarios no puede ser mayor al Total.",""))</f>
        <v/>
      </c>
      <c r="CD50" s="111">
        <f>IF(AND(B50&gt;0,AP50="")," * No olvide digitar la variable Migrantes. Digite cero si no tiene.",IF(AP50&gt;B50," * La variable Migrantes no puede ser mayor al Total.",""))</f>
        <v/>
      </c>
      <c r="CE50" s="111">
        <f>IF(AND($B50&gt;0,AQ50="")," * No olvide digitar la variable Teleconsulta de especialidad resueltas por Médicos Generales. Digite cero si no tiene.",IF(AQ50&gt;$B50," * La variable Teleconsulta de especialidad resueltas por Médicos Generales no puede ser mayor al Total.",""))</f>
        <v/>
      </c>
      <c r="CF50" s="111">
        <f>IF(AND($B50&gt;0,AR50="")," * No olvide digitar la variable "&amp;AR47&amp;". Digite cero si no tiene.",IF(AR50&gt;$B50," * La variable "&amp;AR47&amp;" no puede ser mayor al Total.",""))</f>
        <v/>
      </c>
      <c r="CG50" s="111">
        <f>IF(AND($B50&gt;0,AS50="")," * No olvide digitar la variable "&amp;AS$32&amp;". Digite cero si no tiene.",IF(AS50&gt;$B50," * La variable "&amp;AS$32&amp;" no puede ser mayor al Total.",""))</f>
        <v/>
      </c>
      <c r="CH50" s="111">
        <f>IF(AND(B50&gt;0,AJ50="",AK50="",AL50=""),"*No olvide digitar datos en "&amp;AJ$32,
IF(AJ50+AK50+AL50&gt;B50,"*El Total de "&amp;AJ$32&amp;" no puede ser mayor que el Total Ambos Sexos.",
IF(AJ50+AK50+AL50&lt;B50,"*El Total de "&amp;AJ$32&amp;" no debe ser menor que el Total Ambos Sexos.","")))</f>
        <v/>
      </c>
      <c r="CK50" s="112">
        <f>IF((T50+U50)&lt;&gt;B50,1,0)</f>
        <v/>
      </c>
      <c r="CL50" s="112">
        <f>IF((AE50+Z50)&gt;B50,1,0)</f>
        <v/>
      </c>
      <c r="CM50" s="112">
        <f>IF(AND(B50&gt;0,AO50=""),1,IF(AO50&gt;B50,1,0))</f>
        <v/>
      </c>
      <c r="CN50" s="112">
        <f>IF(AND(B50&gt;0,AP50=""),1,IF(AP50&gt;B50,1,0))</f>
        <v/>
      </c>
      <c r="CO50" s="112">
        <f>IF(AND($B50&gt;0,AQ50=""),1,IF(AQ50&gt;$B50,1,0))</f>
        <v/>
      </c>
      <c r="CP50" s="112">
        <f>IF(AND($B50&gt;0,AR50=""),1,IF(AR50&gt;$B50,1,0))</f>
        <v/>
      </c>
      <c r="CQ50" s="112">
        <f>IF(AND($B50&gt;0,AS50=""),1,IF(AS50&gt;$B50,1,0))</f>
        <v/>
      </c>
      <c r="CR50" s="112">
        <f>IF(OR(AND(B50&gt;0,AJ50="",AJ50=""),AK50+AJ50+AL50&gt;B50,AK50+AJ50+AL50&lt;B50),1,0)</f>
        <v/>
      </c>
    </row>
    <row r="51" ht="15" customFormat="1" customHeight="1" s="110">
      <c r="A51" s="3785" t="inlineStr">
        <is>
          <t>Nutrición clínica</t>
        </is>
      </c>
      <c r="B51" s="10629">
        <f>SUM(C51:S51)</f>
        <v/>
      </c>
      <c r="C51" s="1333" t="n"/>
      <c r="D51" s="4688" t="n"/>
      <c r="E51" s="4688" t="n"/>
      <c r="F51" s="4688" t="n"/>
      <c r="G51" s="4688" t="n"/>
      <c r="H51" s="4688" t="n"/>
      <c r="I51" s="4688" t="n"/>
      <c r="J51" s="4688" t="n"/>
      <c r="K51" s="4688" t="n"/>
      <c r="L51" s="4688" t="n"/>
      <c r="M51" s="4688" t="n"/>
      <c r="N51" s="4688" t="n"/>
      <c r="O51" s="4688" t="n"/>
      <c r="P51" s="4688" t="n"/>
      <c r="Q51" s="4688" t="n"/>
      <c r="R51" s="4688" t="n"/>
      <c r="S51" s="4697" t="n"/>
      <c r="T51" s="4763" t="n"/>
      <c r="U51" s="775" t="n"/>
      <c r="V51" s="4763" t="n"/>
      <c r="W51" s="775" t="n"/>
      <c r="X51" s="4763" t="n"/>
      <c r="Y51" s="775" t="n"/>
      <c r="Z51" s="3651">
        <f>SUM(AA51+AB51+AC51+AD51)</f>
        <v/>
      </c>
      <c r="AA51" s="4763" t="n"/>
      <c r="AB51" s="814" t="n"/>
      <c r="AC51" s="814" t="n"/>
      <c r="AD51" s="775" t="n"/>
      <c r="AE51" s="3651">
        <f>SUM(AF51+AG51+AH51+AI51)</f>
        <v/>
      </c>
      <c r="AF51" s="4763" t="n"/>
      <c r="AG51" s="814" t="n"/>
      <c r="AH51" s="814" t="n"/>
      <c r="AI51" s="815" t="n"/>
      <c r="AJ51" s="4700" t="n"/>
      <c r="AK51" s="4702" t="n"/>
      <c r="AL51" s="4701" t="n"/>
      <c r="AM51" s="4114" t="n"/>
      <c r="AN51" s="4114" t="n"/>
      <c r="AO51" s="4838" t="n"/>
      <c r="AP51" s="4113" t="n"/>
      <c r="AQ51" s="4114" t="n"/>
      <c r="AR51" s="4838" t="n"/>
      <c r="AS51" s="4113" t="n"/>
      <c r="AT51" s="110">
        <f>CA51&amp;CB51&amp;CC51&amp;CD51&amp;CE51&amp;CF51&amp;CG51</f>
        <v/>
      </c>
      <c r="CA51" s="111">
        <f>IF((T51+U51)&lt;&gt;B51,"* El número de "&amp;C$32&amp;" según Sexo debe ser igual al Total.","")</f>
        <v/>
      </c>
      <c r="CB51" s="111">
        <f>IF((AE51+Z51)&gt;B51," * El Total de "&amp;Z$32&amp;" no debe ser mayor que el Total","")</f>
        <v/>
      </c>
      <c r="CC51" s="111">
        <f>IF(AND(B51&gt;0,AO51="")," * No olvide digitar la variable Pueblos Originarios. Digite Cero si no tiene.",IF(AO51&gt;B51," * La variable Pueblos Originarios no puede ser mayor al Total.",""))</f>
        <v/>
      </c>
      <c r="CD51" s="111">
        <f>IF(AND(B51&gt;0,AP51="")," * No olvide digitar la variable Migrantes. Digite cero si no tiene.",IF(AP51&gt;B51," * La variable Migrantes no puede ser mayor al Total.",""))</f>
        <v/>
      </c>
      <c r="CE51" s="111">
        <f>IF(AND($B51&gt;0,AQ51="")," * No olvide digitar la variable Teleconsulta de especialidad resueltas por Médicos Generales. Digite cero si no tiene.",IF(AQ51&gt;$B51," * La variable Teleconsulta de especialidad resueltas por Médicos Generales no puede ser mayor al Total.",""))</f>
        <v/>
      </c>
      <c r="CF51" s="111">
        <f>IF(AND($B51&gt;0,AR51="")," * No olvide digitar la variable "&amp;AR48&amp;". Digite cero si no tiene.",IF(AR51&gt;$B51," * La variable "&amp;AR48&amp;" no puede ser mayor al Total.",""))</f>
        <v/>
      </c>
      <c r="CG51" s="111">
        <f>IF(AND($B51&gt;0,AS51="")," * No olvide digitar la variable "&amp;AS$32&amp;". Digite cero si no tiene.",IF(AS51&gt;$B51," * La variable "&amp;AS$32&amp;" no puede ser mayor al Total.",""))</f>
        <v/>
      </c>
      <c r="CH51" s="111">
        <f>IF(AND(B51&gt;0,AJ51="",AK51="",AL51=""),"*No olvide digitar datos en "&amp;AJ$32,
IF(AJ51+AK51+AL51&gt;B51,"*El Total de "&amp;AJ$32&amp;" no puede ser mayor que el Total Ambos Sexos.",
IF(AJ51+AK51+AL51&lt;B51,"*El Total de "&amp;AJ$32&amp;" no debe ser menor que el Total Ambos Sexos.","")))</f>
        <v/>
      </c>
      <c r="CK51" s="112">
        <f>IF((T51+U51)&lt;&gt;B51,1,0)</f>
        <v/>
      </c>
      <c r="CL51" s="112">
        <f>IF((AE51+Z51)&gt;B51,1,0)</f>
        <v/>
      </c>
      <c r="CM51" s="112">
        <f>IF(AND(B51&gt;0,AO51=""),1,IF(AO51&gt;B51,1,0))</f>
        <v/>
      </c>
      <c r="CN51" s="112">
        <f>IF(AND(B51&gt;0,AP51=""),1,IF(AP51&gt;B51,1,0))</f>
        <v/>
      </c>
      <c r="CO51" s="112">
        <f>IF(AND($B51&gt;0,AQ51=""),1,IF(AQ51&gt;$B51,1,0))</f>
        <v/>
      </c>
      <c r="CP51" s="112">
        <f>IF(AND($B51&gt;0,AR51=""),1,IF(AR51&gt;$B51,1,0))</f>
        <v/>
      </c>
      <c r="CQ51" s="112">
        <f>IF(AND($B51&gt;0,AS51=""),1,IF(AS51&gt;$B51,1,0))</f>
        <v/>
      </c>
      <c r="CR51" s="112">
        <f>IF(OR(AND(B51&gt;0,AJ51="",AJ51=""),AK51+AJ51+AL51&gt;B51,AK51+AJ51+AL51&lt;B51),1,0)</f>
        <v/>
      </c>
    </row>
    <row r="52" ht="15" customFormat="1" customHeight="1" s="110">
      <c r="A52" s="288" t="inlineStr">
        <is>
          <t>Medicina Materno fetal</t>
        </is>
      </c>
      <c r="B52" s="10629">
        <f>SUM(C52:S52)</f>
        <v/>
      </c>
      <c r="C52" s="1333" t="n"/>
      <c r="D52" s="4688" t="n"/>
      <c r="E52" s="4688" t="n"/>
      <c r="F52" s="4688" t="n"/>
      <c r="G52" s="4688" t="n"/>
      <c r="H52" s="4688" t="n"/>
      <c r="I52" s="4688" t="n"/>
      <c r="J52" s="4688" t="n"/>
      <c r="K52" s="4688" t="n"/>
      <c r="L52" s="4688" t="n"/>
      <c r="M52" s="4688" t="n"/>
      <c r="N52" s="4688" t="n"/>
      <c r="O52" s="4688" t="n"/>
      <c r="P52" s="4688" t="n"/>
      <c r="Q52" s="4688" t="n"/>
      <c r="R52" s="4688" t="n"/>
      <c r="S52" s="4697" t="n"/>
      <c r="T52" s="4763" t="n"/>
      <c r="U52" s="775" t="n"/>
      <c r="V52" s="4763" t="n"/>
      <c r="W52" s="775" t="n"/>
      <c r="X52" s="4763" t="n"/>
      <c r="Y52" s="775" t="n"/>
      <c r="Z52" s="3651">
        <f>SUM(AA52+AB52+AC52+AD52)</f>
        <v/>
      </c>
      <c r="AA52" s="4763" t="n"/>
      <c r="AB52" s="814" t="n"/>
      <c r="AC52" s="814" t="n"/>
      <c r="AD52" s="775" t="n"/>
      <c r="AE52" s="3651">
        <f>SUM(AF52+AG52+AH52+AI52)</f>
        <v/>
      </c>
      <c r="AF52" s="4763" t="n"/>
      <c r="AG52" s="814" t="n"/>
      <c r="AH52" s="814" t="n"/>
      <c r="AI52" s="815" t="n"/>
      <c r="AJ52" s="4700" t="n"/>
      <c r="AK52" s="4702" t="n"/>
      <c r="AL52" s="4701" t="n"/>
      <c r="AM52" s="4114" t="n"/>
      <c r="AN52" s="4114" t="n"/>
      <c r="AO52" s="4838" t="n"/>
      <c r="AP52" s="4113" t="n"/>
      <c r="AQ52" s="4114" t="n"/>
      <c r="AR52" s="4838" t="n"/>
      <c r="AS52" s="4113" t="n"/>
      <c r="AT52" s="110">
        <f>CA52&amp;CB52&amp;CC52&amp;CD52&amp;CE52&amp;CF52&amp;CG52</f>
        <v/>
      </c>
      <c r="CA52" s="111">
        <f>IF((T52+U52)&lt;&gt;B52,"* El número de "&amp;C$32&amp;" según Sexo debe ser igual al Total.","")</f>
        <v/>
      </c>
      <c r="CB52" s="111">
        <f>IF((AE52+Z52)&gt;B52," * El Total de "&amp;Z$32&amp;" no debe ser mayor que el Total","")</f>
        <v/>
      </c>
      <c r="CC52" s="111">
        <f>IF(AND(B52&gt;0,AO52="")," * No olvide digitar la variable Pueblos Originarios. Digite Cero si no tiene.",IF(AO52&gt;B52," * La variable Pueblos Originarios no puede ser mayor al Total.",""))</f>
        <v/>
      </c>
      <c r="CD52" s="111">
        <f>IF(AND(B52&gt;0,AP52="")," * No olvide digitar la variable Migrantes. Digite cero si no tiene.",IF(AP52&gt;B52," * La variable Migrantes no puede ser mayor al Total.",""))</f>
        <v/>
      </c>
      <c r="CE52" s="111">
        <f>IF(AND($B52&gt;0,AQ52="")," * No olvide digitar la variable Teleconsulta de especialidad resueltas por Médicos Generales. Digite cero si no tiene.",IF(AQ52&gt;$B52," * La variable Teleconsulta de especialidad resueltas por Médicos Generales no puede ser mayor al Total.",""))</f>
        <v/>
      </c>
      <c r="CF52" s="111">
        <f>IF(AND($B52&gt;0,AR52="")," * No olvide digitar la variable "&amp;AR49&amp;". Digite cero si no tiene.",IF(AR52&gt;$B52," * La variable "&amp;AR49&amp;" no puede ser mayor al Total.",""))</f>
        <v/>
      </c>
      <c r="CG52" s="111">
        <f>IF(AND($B52&gt;0,AS52="")," * No olvide digitar la variable "&amp;AS$32&amp;". Digite cero si no tiene.",IF(AS52&gt;$B52," * La variable "&amp;AS$32&amp;" no puede ser mayor al Total.",""))</f>
        <v/>
      </c>
      <c r="CH52" s="111">
        <f>IF(AND(B52&gt;0,AJ52="",AK52="",AL52=""),"*No olvide digitar datos en "&amp;AJ$32,
IF(AJ52+AK52+AL52&gt;B52,"*El Total de "&amp;AJ$32&amp;" no puede ser mayor que el Total Ambos Sexos.",
IF(AJ52+AK52+AL52&lt;B52,"*El Total de "&amp;AJ$32&amp;" no debe ser menor que el Total Ambos Sexos.","")))</f>
        <v/>
      </c>
      <c r="CK52" s="112">
        <f>IF((T52+U52)&lt;&gt;B52,1,0)</f>
        <v/>
      </c>
      <c r="CL52" s="112">
        <f>IF((AE52+Z52)&gt;B52,1,0)</f>
        <v/>
      </c>
      <c r="CM52" s="112">
        <f>IF(AND(B52&gt;0,AO52=""),1,IF(AO52&gt;B52,1,0))</f>
        <v/>
      </c>
      <c r="CN52" s="112">
        <f>IF(AND(B52&gt;0,AP52=""),1,IF(AP52&gt;B52,1,0))</f>
        <v/>
      </c>
      <c r="CO52" s="112">
        <f>IF(AND($B52&gt;0,AQ52=""),1,IF(AQ52&gt;$B52,1,0))</f>
        <v/>
      </c>
      <c r="CP52" s="112">
        <f>IF(AND($B52&gt;0,AR52=""),1,IF(AR52&gt;$B52,1,0))</f>
        <v/>
      </c>
      <c r="CQ52" s="112">
        <f>IF(AND($B52&gt;0,AS52=""),1,IF(AS52&gt;$B52,1,0))</f>
        <v/>
      </c>
      <c r="CR52" s="112">
        <f>IF(OR(AND(B52&gt;0,AJ52="",AJ52=""),AK52+AJ52+AL52&gt;B52,AK52+AJ52+AL52&lt;B52),1,0)</f>
        <v/>
      </c>
    </row>
    <row r="53" ht="15" customFormat="1" customHeight="1" s="110">
      <c r="A53" s="3785" t="inlineStr">
        <is>
          <t>Reumatología</t>
        </is>
      </c>
      <c r="B53" s="10629">
        <f>SUM(C53:S53)</f>
        <v/>
      </c>
      <c r="C53" s="1333" t="n"/>
      <c r="D53" s="4688" t="n"/>
      <c r="E53" s="4688" t="n"/>
      <c r="F53" s="4688" t="n"/>
      <c r="G53" s="4688" t="n"/>
      <c r="H53" s="4688" t="n"/>
      <c r="I53" s="4688" t="n"/>
      <c r="J53" s="4688" t="n"/>
      <c r="K53" s="4688" t="n"/>
      <c r="L53" s="4688" t="n"/>
      <c r="M53" s="4688" t="n"/>
      <c r="N53" s="4688" t="n"/>
      <c r="O53" s="4688" t="n"/>
      <c r="P53" s="4688" t="n"/>
      <c r="Q53" s="4688" t="n"/>
      <c r="R53" s="4688" t="n"/>
      <c r="S53" s="4697" t="n"/>
      <c r="T53" s="4763" t="n"/>
      <c r="U53" s="775" t="n"/>
      <c r="V53" s="4763" t="n"/>
      <c r="W53" s="775" t="n"/>
      <c r="X53" s="4763" t="n"/>
      <c r="Y53" s="775" t="n"/>
      <c r="Z53" s="3651">
        <f>SUM(AA53+AB53+AC53+AD53)</f>
        <v/>
      </c>
      <c r="AA53" s="4763" t="n"/>
      <c r="AB53" s="814" t="n"/>
      <c r="AC53" s="814" t="n"/>
      <c r="AD53" s="775" t="n"/>
      <c r="AE53" s="3651">
        <f>SUM(AF53+AG53+AH53+AI53)</f>
        <v/>
      </c>
      <c r="AF53" s="4763" t="n"/>
      <c r="AG53" s="814" t="n"/>
      <c r="AH53" s="814" t="n"/>
      <c r="AI53" s="815" t="n"/>
      <c r="AJ53" s="4700" t="n"/>
      <c r="AK53" s="4702" t="n"/>
      <c r="AL53" s="4701" t="n"/>
      <c r="AM53" s="4114" t="n"/>
      <c r="AN53" s="4114" t="n"/>
      <c r="AO53" s="4838" t="n"/>
      <c r="AP53" s="4113" t="n"/>
      <c r="AQ53" s="4114" t="n"/>
      <c r="AR53" s="4838" t="n"/>
      <c r="AS53" s="4113" t="n"/>
      <c r="AT53" s="110">
        <f>CA53&amp;CB53&amp;CC53&amp;CD53&amp;CE53&amp;CF53&amp;CG53</f>
        <v/>
      </c>
      <c r="CA53" s="111">
        <f>IF((T53+U53)&lt;&gt;B53,"* El número de "&amp;C$32&amp;" según Sexo debe ser igual al Total.","")</f>
        <v/>
      </c>
      <c r="CB53" s="111">
        <f>IF((AE53+Z53)&gt;B53," * El Total de "&amp;Z$32&amp;" no debe ser mayor que el Total","")</f>
        <v/>
      </c>
      <c r="CC53" s="111">
        <f>IF(AND(B53&gt;0,AO53="")," * No olvide digitar la variable Pueblos Originarios. Digite Cero si no tiene.",IF(AO53&gt;B53," * La variable Pueblos Originarios no puede ser mayor al Total.",""))</f>
        <v/>
      </c>
      <c r="CD53" s="111">
        <f>IF(AND(B53&gt;0,AP53="")," * No olvide digitar la variable Migrantes. Digite cero si no tiene.",IF(AP53&gt;B53," * La variable Migrantes no puede ser mayor al Total.",""))</f>
        <v/>
      </c>
      <c r="CE53" s="111">
        <f>IF(AND($B53&gt;0,AQ53="")," * No olvide digitar la variable Teleconsulta de especialidad resueltas por Médicos Generales. Digite cero si no tiene.",IF(AQ53&gt;$B53," * La variable Teleconsulta de especialidad resueltas por Médicos Generales no puede ser mayor al Total.",""))</f>
        <v/>
      </c>
      <c r="CF53" s="111">
        <f>IF(AND($B53&gt;0,AR53="")," * No olvide digitar la variable "&amp;AR50&amp;". Digite cero si no tiene.",IF(AR53&gt;$B53," * La variable "&amp;AR50&amp;" no puede ser mayor al Total.",""))</f>
        <v/>
      </c>
      <c r="CG53" s="111">
        <f>IF(AND($B53&gt;0,AS53="")," * No olvide digitar la variable "&amp;AS$32&amp;". Digite cero si no tiene.",IF(AS53&gt;$B53," * La variable "&amp;AS$32&amp;" no puede ser mayor al Total.",""))</f>
        <v/>
      </c>
      <c r="CH53" s="111">
        <f>IF(AND(B53&gt;0,AJ53="",AK53="",AL53=""),"*No olvide digitar datos en "&amp;AJ$32,
IF(AJ53+AK53+AL53&gt;B53,"*El Total de "&amp;AJ$32&amp;" no puede ser mayor que el Total Ambos Sexos.",
IF(AJ53+AK53+AL53&lt;B53,"*El Total de "&amp;AJ$32&amp;" no debe ser menor que el Total Ambos Sexos.","")))</f>
        <v/>
      </c>
      <c r="CK53" s="112">
        <f>IF((T53+U53)&lt;&gt;B53,1,0)</f>
        <v/>
      </c>
      <c r="CL53" s="112">
        <f>IF((AE53+Z53)&gt;B53,1,0)</f>
        <v/>
      </c>
      <c r="CM53" s="112">
        <f>IF(AND(B53&gt;0,AO53=""),1,IF(AO53&gt;B53,1,0))</f>
        <v/>
      </c>
      <c r="CN53" s="112">
        <f>IF(AND(B53&gt;0,AP53=""),1,IF(AP53&gt;B53,1,0))</f>
        <v/>
      </c>
      <c r="CO53" s="112">
        <f>IF(AND($B53&gt;0,AQ53=""),1,IF(AQ53&gt;$B53,1,0))</f>
        <v/>
      </c>
      <c r="CP53" s="112">
        <f>IF(AND($B53&gt;0,AR53=""),1,IF(AR53&gt;$B53,1,0))</f>
        <v/>
      </c>
      <c r="CQ53" s="112">
        <f>IF(AND($B53&gt;0,AS53=""),1,IF(AS53&gt;$B53,1,0))</f>
        <v/>
      </c>
      <c r="CR53" s="112">
        <f>IF(OR(AND(B53&gt;0,AJ53="",AJ53=""),AK53+AJ53+AL53&gt;B53,AK53+AJ53+AL53&lt;B53),1,0)</f>
        <v/>
      </c>
    </row>
    <row r="54" ht="15" customFormat="1" customHeight="1" s="110">
      <c r="A54" s="3785" t="inlineStr">
        <is>
          <t>Medicina Paliativa y Manejo del Dolor</t>
        </is>
      </c>
      <c r="B54" s="10629">
        <f>SUM(C54:S54)</f>
        <v/>
      </c>
      <c r="C54" s="1333" t="n"/>
      <c r="D54" s="4688" t="n"/>
      <c r="E54" s="4688" t="n"/>
      <c r="F54" s="4688" t="n"/>
      <c r="G54" s="4688" t="n"/>
      <c r="H54" s="4688" t="n"/>
      <c r="I54" s="4688" t="n"/>
      <c r="J54" s="4688" t="n"/>
      <c r="K54" s="4688" t="n"/>
      <c r="L54" s="4688" t="n"/>
      <c r="M54" s="4688" t="n"/>
      <c r="N54" s="4688" t="n"/>
      <c r="O54" s="4688" t="n"/>
      <c r="P54" s="4688" t="n"/>
      <c r="Q54" s="4688" t="n"/>
      <c r="R54" s="4688" t="n"/>
      <c r="S54" s="4697" t="n"/>
      <c r="T54" s="4763" t="n"/>
      <c r="U54" s="775" t="n"/>
      <c r="V54" s="4763" t="n"/>
      <c r="W54" s="775" t="n"/>
      <c r="X54" s="4763" t="n"/>
      <c r="Y54" s="775" t="n"/>
      <c r="Z54" s="3651">
        <f>SUM(AA54+AB54+AC54+AD54)</f>
        <v/>
      </c>
      <c r="AA54" s="4763" t="n"/>
      <c r="AB54" s="814" t="n"/>
      <c r="AC54" s="814" t="n"/>
      <c r="AD54" s="775" t="n"/>
      <c r="AE54" s="3651">
        <f>SUM(AF54+AG54+AH54+AI54)</f>
        <v/>
      </c>
      <c r="AF54" s="4763" t="n"/>
      <c r="AG54" s="814" t="n"/>
      <c r="AH54" s="814" t="n"/>
      <c r="AI54" s="815" t="n"/>
      <c r="AJ54" s="4700" t="n"/>
      <c r="AK54" s="4702" t="n"/>
      <c r="AL54" s="4701" t="n"/>
      <c r="AM54" s="4114" t="n"/>
      <c r="AN54" s="4114" t="n"/>
      <c r="AO54" s="4838" t="n"/>
      <c r="AP54" s="4113" t="n"/>
      <c r="AQ54" s="4114" t="n"/>
      <c r="AR54" s="4838" t="n"/>
      <c r="AS54" s="4113" t="n"/>
      <c r="AT54" s="110">
        <f>CA54&amp;CB54&amp;CC54&amp;CD54&amp;CE54&amp;CF54&amp;CG54</f>
        <v/>
      </c>
      <c r="CA54" s="111">
        <f>IF((T54+U54)&lt;&gt;B54,"* El número de "&amp;C$32&amp;" según Sexo debe ser igual al Total.","")</f>
        <v/>
      </c>
      <c r="CB54" s="111">
        <f>IF((AE54+Z54)&gt;B54," * El Total de "&amp;Z$32&amp;" no debe ser mayor que el Total","")</f>
        <v/>
      </c>
      <c r="CC54" s="111">
        <f>IF(AND(B54&gt;0,AO54="")," * No olvide digitar la variable Pueblos Originarios. Digite Cero si no tiene.",IF(AO54&gt;B54," * La variable Pueblos Originarios no puede ser mayor al Total.",""))</f>
        <v/>
      </c>
      <c r="CD54" s="111">
        <f>IF(AND(B54&gt;0,AP54="")," * No olvide digitar la variable Migrantes. Digite cero si no tiene.",IF(AP54&gt;B54," * La variable Migrantes no puede ser mayor al Total.",""))</f>
        <v/>
      </c>
      <c r="CE54" s="111">
        <f>IF(AND($B54&gt;0,AQ54="")," * No olvide digitar la variable Teleconsulta de especialidad resueltas por Médicos Generales. Digite cero si no tiene.",IF(AQ54&gt;$B54," * La variable Teleconsulta de especialidad resueltas por Médicos Generales no puede ser mayor al Total.",""))</f>
        <v/>
      </c>
      <c r="CF54" s="111">
        <f>IF(AND($B54&gt;0,AR54="")," * No olvide digitar la variable "&amp;AR51&amp;". Digite cero si no tiene.",IF(AR54&gt;$B54," * La variable "&amp;AR51&amp;" no puede ser mayor al Total.",""))</f>
        <v/>
      </c>
      <c r="CG54" s="111">
        <f>IF(AND($B54&gt;0,AS54="")," * No olvide digitar la variable "&amp;AS$32&amp;". Digite cero si no tiene.",IF(AS54&gt;$B54," * La variable "&amp;AS$32&amp;" no puede ser mayor al Total.",""))</f>
        <v/>
      </c>
      <c r="CH54" s="111">
        <f>IF(AND(B54&gt;0,AJ54="",AK54="",AL54=""),"*No olvide digitar datos en "&amp;AJ$32,
IF(AJ54+AK54+AL54&gt;B54,"*El Total de "&amp;AJ$32&amp;" no puede ser mayor que el Total Ambos Sexos.",
IF(AJ54+AK54+AL54&lt;B54,"*El Total de "&amp;AJ$32&amp;" no debe ser menor que el Total Ambos Sexos.","")))</f>
        <v/>
      </c>
      <c r="CK54" s="112">
        <f>IF((T54+U54)&lt;&gt;B54,1,0)</f>
        <v/>
      </c>
      <c r="CL54" s="112">
        <f>IF((AE54+Z54)&gt;B54,1,0)</f>
        <v/>
      </c>
      <c r="CM54" s="112">
        <f>IF(AND(B54&gt;0,AO54=""),1,IF(AO54&gt;B54,1,0))</f>
        <v/>
      </c>
      <c r="CN54" s="112">
        <f>IF(AND(B54&gt;0,AP54=""),1,IF(AP54&gt;B54,1,0))</f>
        <v/>
      </c>
      <c r="CO54" s="112">
        <f>IF(AND($B54&gt;0,AQ54=""),1,IF(AQ54&gt;$B54,1,0))</f>
        <v/>
      </c>
      <c r="CP54" s="112">
        <f>IF(AND($B54&gt;0,AR54=""),1,IF(AR54&gt;$B54,1,0))</f>
        <v/>
      </c>
      <c r="CQ54" s="112">
        <f>IF(AND($B54&gt;0,AS54=""),1,IF(AS54&gt;$B54,1,0))</f>
        <v/>
      </c>
      <c r="CR54" s="112">
        <f>IF(OR(AND(B54&gt;0,AJ54="",AJ54=""),AK54+AJ54+AL54&gt;B54,AK54+AJ54+AL54&lt;B54),1,0)</f>
        <v/>
      </c>
    </row>
    <row r="55" ht="15" customFormat="1" customHeight="1" s="110">
      <c r="A55" s="3651" t="inlineStr">
        <is>
          <t>Dermatología</t>
        </is>
      </c>
      <c r="B55" s="10629">
        <f>SUM(C55:S55)</f>
        <v/>
      </c>
      <c r="C55" s="1333" t="n"/>
      <c r="D55" s="4688" t="n"/>
      <c r="E55" s="4688" t="n"/>
      <c r="F55" s="4688" t="n"/>
      <c r="G55" s="4688" t="n"/>
      <c r="H55" s="4688" t="n"/>
      <c r="I55" s="4688" t="n"/>
      <c r="J55" s="4688" t="n"/>
      <c r="K55" s="4688" t="n"/>
      <c r="L55" s="4688" t="n"/>
      <c r="M55" s="4688" t="n"/>
      <c r="N55" s="4688" t="n"/>
      <c r="O55" s="4688" t="n"/>
      <c r="P55" s="4688" t="n"/>
      <c r="Q55" s="4688" t="n"/>
      <c r="R55" s="4688" t="n"/>
      <c r="S55" s="4697" t="n"/>
      <c r="T55" s="4763" t="n"/>
      <c r="U55" s="775" t="n"/>
      <c r="V55" s="4763" t="n"/>
      <c r="W55" s="775" t="n"/>
      <c r="X55" s="4763" t="n"/>
      <c r="Y55" s="775" t="n"/>
      <c r="Z55" s="3651">
        <f>SUM(AA55+AB55+AC55+AD55)</f>
        <v/>
      </c>
      <c r="AA55" s="4763" t="n"/>
      <c r="AB55" s="814" t="n"/>
      <c r="AC55" s="814" t="n"/>
      <c r="AD55" s="775" t="n"/>
      <c r="AE55" s="3651">
        <f>SUM(AF55+AG55+AH55+AI55)</f>
        <v/>
      </c>
      <c r="AF55" s="4763" t="n"/>
      <c r="AG55" s="814" t="n"/>
      <c r="AH55" s="814" t="n"/>
      <c r="AI55" s="815" t="n"/>
      <c r="AJ55" s="4700" t="n"/>
      <c r="AK55" s="4702" t="n"/>
      <c r="AL55" s="4701" t="n"/>
      <c r="AM55" s="4114" t="n"/>
      <c r="AN55" s="4114" t="n"/>
      <c r="AO55" s="4838" t="n"/>
      <c r="AP55" s="4113" t="n"/>
      <c r="AQ55" s="4114" t="n"/>
      <c r="AR55" s="4838" t="n"/>
      <c r="AS55" s="4113" t="n"/>
      <c r="AT55" s="110">
        <f>CA55&amp;CB55&amp;CC55&amp;CD55&amp;CE55&amp;CF55&amp;CG55</f>
        <v/>
      </c>
      <c r="CA55" s="111">
        <f>IF((T55+U55)&lt;&gt;B55,"* El número de "&amp;C$32&amp;" según Sexo debe ser igual al Total.","")</f>
        <v/>
      </c>
      <c r="CB55" s="111">
        <f>IF((AE55+Z55)&gt;B55," * El Total de "&amp;Z$32&amp;" no debe ser mayor que el Total","")</f>
        <v/>
      </c>
      <c r="CC55" s="111">
        <f>IF(AND(B55&gt;0,AO55="")," * No olvide digitar la variable Pueblos Originarios. Digite Cero si no tiene.",IF(AO55&gt;B55," * La variable Pueblos Originarios no puede ser mayor al Total.",""))</f>
        <v/>
      </c>
      <c r="CD55" s="111">
        <f>IF(AND(B55&gt;0,AP55="")," * No olvide digitar la variable Migrantes. Digite cero si no tiene.",IF(AP55&gt;B55," * La variable Migrantes no puede ser mayor al Total.",""))</f>
        <v/>
      </c>
      <c r="CE55" s="111">
        <f>IF(AND($B55&gt;0,AQ55="")," * No olvide digitar la variable Teleconsulta de especialidad resueltas por Médicos Generales. Digite cero si no tiene.",IF(AQ55&gt;$B55," * La variable Teleconsulta de especialidad resueltas por Médicos Generales no puede ser mayor al Total.",""))</f>
        <v/>
      </c>
      <c r="CF55" s="111">
        <f>IF(AND($B55&gt;0,AR55="")," * No olvide digitar la variable "&amp;AR52&amp;". Digite cero si no tiene.",IF(AR55&gt;$B55," * La variable "&amp;AR52&amp;" no puede ser mayor al Total.",""))</f>
        <v/>
      </c>
      <c r="CG55" s="111">
        <f>IF(AND($B55&gt;0,AS55="")," * No olvide digitar la variable "&amp;AS$32&amp;". Digite cero si no tiene.",IF(AS55&gt;$B55," * La variable "&amp;AS$32&amp;" no puede ser mayor al Total.",""))</f>
        <v/>
      </c>
      <c r="CH55" s="111">
        <f>IF(AND(B55&gt;0,AJ55="",AK55="",AL55=""),"*No olvide digitar datos en "&amp;AJ$32,
IF(AJ55+AK55+AL55&gt;B55,"*El Total de "&amp;AJ$32&amp;" no puede ser mayor que el Total Ambos Sexos.",
IF(AJ55+AK55+AL55&lt;B55,"*El Total de "&amp;AJ$32&amp;" no debe ser menor que el Total Ambos Sexos.","")))</f>
        <v/>
      </c>
      <c r="CK55" s="112">
        <f>IF((T55+U55)&lt;&gt;B55,1,0)</f>
        <v/>
      </c>
      <c r="CL55" s="112">
        <f>IF((AE55+Z55)&gt;B55,1,0)</f>
        <v/>
      </c>
      <c r="CM55" s="112">
        <f>IF(AND(B55&gt;0,AO55=""),1,IF(AO55&gt;B55,1,0))</f>
        <v/>
      </c>
      <c r="CN55" s="112">
        <f>IF(AND(B55&gt;0,AP55=""),1,IF(AP55&gt;B55,1,0))</f>
        <v/>
      </c>
      <c r="CO55" s="112">
        <f>IF(AND($B55&gt;0,AQ55=""),1,IF(AQ55&gt;$B55,1,0))</f>
        <v/>
      </c>
      <c r="CP55" s="112">
        <f>IF(AND($B55&gt;0,AR55=""),1,IF(AR55&gt;$B55,1,0))</f>
        <v/>
      </c>
      <c r="CQ55" s="112">
        <f>IF(AND($B55&gt;0,AS55=""),1,IF(AS55&gt;$B55,1,0))</f>
        <v/>
      </c>
      <c r="CR55" s="112">
        <f>IF(OR(AND(B55&gt;0,AJ55="",AJ55=""),AK55+AJ55+AL55&gt;B55,AK55+AJ55+AL55&lt;B55),1,0)</f>
        <v/>
      </c>
    </row>
    <row r="56" ht="15" customFormat="1" customHeight="1" s="110">
      <c r="A56" s="3651" t="inlineStr">
        <is>
          <t>Infectología</t>
        </is>
      </c>
      <c r="B56" s="10629">
        <f>SUM(C56:S56)</f>
        <v/>
      </c>
      <c r="C56" s="1333" t="n"/>
      <c r="D56" s="4688" t="n"/>
      <c r="E56" s="4688" t="n"/>
      <c r="F56" s="4688" t="n"/>
      <c r="G56" s="4688" t="n"/>
      <c r="H56" s="4688" t="n"/>
      <c r="I56" s="4688" t="n"/>
      <c r="J56" s="4688" t="n"/>
      <c r="K56" s="4688" t="n"/>
      <c r="L56" s="4688" t="n"/>
      <c r="M56" s="4688" t="n"/>
      <c r="N56" s="4688" t="n"/>
      <c r="O56" s="4688" t="n"/>
      <c r="P56" s="4688" t="n"/>
      <c r="Q56" s="4688" t="n"/>
      <c r="R56" s="4688" t="n"/>
      <c r="S56" s="4697" t="n"/>
      <c r="T56" s="4763" t="n"/>
      <c r="U56" s="775" t="n"/>
      <c r="V56" s="4763" t="n"/>
      <c r="W56" s="775" t="n"/>
      <c r="X56" s="4763" t="n"/>
      <c r="Y56" s="775" t="n"/>
      <c r="Z56" s="3651">
        <f>SUM(AA56+AB56+AC56+AD56)</f>
        <v/>
      </c>
      <c r="AA56" s="4763" t="n"/>
      <c r="AB56" s="814" t="n"/>
      <c r="AC56" s="814" t="n"/>
      <c r="AD56" s="775" t="n"/>
      <c r="AE56" s="3651">
        <f>SUM(AF56+AG56+AH56+AI56)</f>
        <v/>
      </c>
      <c r="AF56" s="4763" t="n"/>
      <c r="AG56" s="814" t="n"/>
      <c r="AH56" s="814" t="n"/>
      <c r="AI56" s="815" t="n"/>
      <c r="AJ56" s="4700" t="n"/>
      <c r="AK56" s="4702" t="n"/>
      <c r="AL56" s="4701" t="n"/>
      <c r="AM56" s="4114" t="n"/>
      <c r="AN56" s="4114" t="n"/>
      <c r="AO56" s="4838" t="n"/>
      <c r="AP56" s="4113" t="n"/>
      <c r="AQ56" s="4114" t="n"/>
      <c r="AR56" s="4838" t="n"/>
      <c r="AS56" s="4113" t="n"/>
      <c r="AT56" s="110">
        <f>CA56&amp;CB56&amp;CC56&amp;CD56&amp;CE56&amp;CF56&amp;CG56</f>
        <v/>
      </c>
      <c r="CA56" s="111">
        <f>IF((T56+U56)&lt;&gt;B56,"* El número de "&amp;C$32&amp;" según Sexo debe ser igual al Total.","")</f>
        <v/>
      </c>
      <c r="CB56" s="111">
        <f>IF((AE56+Z56)&gt;B56," * El Total de "&amp;Z$32&amp;" no debe ser mayor que el Total","")</f>
        <v/>
      </c>
      <c r="CC56" s="111">
        <f>IF(AND(B56&gt;0,AO56="")," * No olvide digitar la variable Pueblos Originarios. Digite Cero si no tiene.",IF(AO56&gt;B56," * La variable Pueblos Originarios no puede ser mayor al Total.",""))</f>
        <v/>
      </c>
      <c r="CD56" s="111">
        <f>IF(AND(B56&gt;0,AP56="")," * No olvide digitar la variable Migrantes. Digite cero si no tiene.",IF(AP56&gt;B56," * La variable Migrantes no puede ser mayor al Total.",""))</f>
        <v/>
      </c>
      <c r="CE56" s="111">
        <f>IF(AND($B56&gt;0,AQ56="")," * No olvide digitar la variable Teleconsulta de especialidad resueltas por Médicos Generales. Digite cero si no tiene.",IF(AQ56&gt;$B56," * La variable Teleconsulta de especialidad resueltas por Médicos Generales no puede ser mayor al Total.",""))</f>
        <v/>
      </c>
      <c r="CF56" s="111">
        <f>IF(AND($B56&gt;0,AR56="")," * No olvide digitar la variable "&amp;AR53&amp;". Digite cero si no tiene.",IF(AR56&gt;$B56," * La variable "&amp;AR53&amp;" no puede ser mayor al Total.",""))</f>
        <v/>
      </c>
      <c r="CG56" s="111">
        <f>IF(AND($B56&gt;0,AS56="")," * No olvide digitar la variable "&amp;AS$32&amp;". Digite cero si no tiene.",IF(AS56&gt;$B56," * La variable "&amp;AS$32&amp;" no puede ser mayor al Total.",""))</f>
        <v/>
      </c>
      <c r="CH56" s="111">
        <f>IF(AND(B56&gt;0,AJ56="",AK56="",AL56=""),"*No olvide digitar datos en "&amp;AJ$32,
IF(AJ56+AK56+AL56&gt;B56,"*El Total de "&amp;AJ$32&amp;" no puede ser mayor que el Total Ambos Sexos.",
IF(AJ56+AK56+AL56&lt;B56,"*El Total de "&amp;AJ$32&amp;" no debe ser menor que el Total Ambos Sexos.","")))</f>
        <v/>
      </c>
      <c r="CK56" s="112">
        <f>IF((T56+U56)&lt;&gt;B56,1,0)</f>
        <v/>
      </c>
      <c r="CL56" s="112">
        <f>IF((AE56+Z56)&gt;B56,1,0)</f>
        <v/>
      </c>
      <c r="CM56" s="112">
        <f>IF(AND(B56&gt;0,AO56=""),1,IF(AO56&gt;B56,1,0))</f>
        <v/>
      </c>
      <c r="CN56" s="112">
        <f>IF(AND(B56&gt;0,AP56=""),1,IF(AP56&gt;B56,1,0))</f>
        <v/>
      </c>
      <c r="CO56" s="112">
        <f>IF(AND($B56&gt;0,AQ56=""),1,IF(AQ56&gt;$B56,1,0))</f>
        <v/>
      </c>
      <c r="CP56" s="112">
        <f>IF(AND($B56&gt;0,AR56=""),1,IF(AR56&gt;$B56,1,0))</f>
        <v/>
      </c>
      <c r="CQ56" s="112">
        <f>IF(AND($B56&gt;0,AS56=""),1,IF(AS56&gt;$B56,1,0))</f>
        <v/>
      </c>
      <c r="CR56" s="112">
        <f>IF(OR(AND(B56&gt;0,AJ56="",AJ56=""),AK56+AJ56+AL56&gt;B56,AK56+AJ56+AL56&lt;B56),1,0)</f>
        <v/>
      </c>
    </row>
    <row r="57" ht="15" customFormat="1" customHeight="1" s="110">
      <c r="A57" s="3651" t="inlineStr">
        <is>
          <t>Inmunología</t>
        </is>
      </c>
      <c r="B57" s="10629">
        <f>SUM(C57:S57)</f>
        <v/>
      </c>
      <c r="C57" s="1333" t="n"/>
      <c r="D57" s="4688" t="n"/>
      <c r="E57" s="4688" t="n"/>
      <c r="F57" s="4688" t="n"/>
      <c r="G57" s="4688" t="n"/>
      <c r="H57" s="4688" t="n"/>
      <c r="I57" s="4688" t="n"/>
      <c r="J57" s="4688" t="n"/>
      <c r="K57" s="4688" t="n"/>
      <c r="L57" s="4688" t="n"/>
      <c r="M57" s="4688" t="n"/>
      <c r="N57" s="4688" t="n"/>
      <c r="O57" s="4688" t="n"/>
      <c r="P57" s="4688" t="n"/>
      <c r="Q57" s="4688" t="n"/>
      <c r="R57" s="4688" t="n"/>
      <c r="S57" s="4697" t="n"/>
      <c r="T57" s="4763" t="n"/>
      <c r="U57" s="775" t="n"/>
      <c r="V57" s="4763" t="n"/>
      <c r="W57" s="775" t="n"/>
      <c r="X57" s="4763" t="n"/>
      <c r="Y57" s="775" t="n"/>
      <c r="Z57" s="3651">
        <f>SUM(AA57+AB57+AC57+AD57)</f>
        <v/>
      </c>
      <c r="AA57" s="4763" t="n"/>
      <c r="AB57" s="814" t="n"/>
      <c r="AC57" s="814" t="n"/>
      <c r="AD57" s="775" t="n"/>
      <c r="AE57" s="3651">
        <f>SUM(AF57+AG57+AH57+AI57)</f>
        <v/>
      </c>
      <c r="AF57" s="4763" t="n"/>
      <c r="AG57" s="814" t="n"/>
      <c r="AH57" s="814" t="n"/>
      <c r="AI57" s="815" t="n"/>
      <c r="AJ57" s="4700" t="n"/>
      <c r="AK57" s="4702" t="n"/>
      <c r="AL57" s="4701" t="n"/>
      <c r="AM57" s="4114" t="n"/>
      <c r="AN57" s="4114" t="n"/>
      <c r="AO57" s="4838" t="n"/>
      <c r="AP57" s="4113" t="n"/>
      <c r="AQ57" s="4114" t="n"/>
      <c r="AR57" s="4838" t="n"/>
      <c r="AS57" s="4113" t="n"/>
      <c r="AT57" s="110">
        <f>CA57&amp;CB57&amp;CC57&amp;CD57&amp;CE57&amp;CF57&amp;CG57</f>
        <v/>
      </c>
      <c r="CA57" s="111">
        <f>IF((T57+U57)&lt;&gt;B57,"* El número de "&amp;C$32&amp;" según Sexo debe ser igual al Total.","")</f>
        <v/>
      </c>
      <c r="CB57" s="111">
        <f>IF((AE57+Z57)&gt;B57," * El Total de "&amp;Z$32&amp;" no debe ser mayor que el Total","")</f>
        <v/>
      </c>
      <c r="CC57" s="111">
        <f>IF(AND(B57&gt;0,AO57="")," * No olvide digitar la variable Pueblos Originarios. Digite Cero si no tiene.",IF(AO57&gt;B57," * La variable Pueblos Originarios no puede ser mayor al Total.",""))</f>
        <v/>
      </c>
      <c r="CD57" s="111">
        <f>IF(AND(B57&gt;0,AP57="")," * No olvide digitar la variable Migrantes. Digite cero si no tiene.",IF(AP57&gt;B57," * La variable Migrantes no puede ser mayor al Total.",""))</f>
        <v/>
      </c>
      <c r="CE57" s="111">
        <f>IF(AND($B57&gt;0,AQ57="")," * No olvide digitar la variable Teleconsulta de especialidad resueltas por Médicos Generales. Digite cero si no tiene.",IF(AQ57&gt;$B57," * La variable Teleconsulta de especialidad resueltas por Médicos Generales no puede ser mayor al Total.",""))</f>
        <v/>
      </c>
      <c r="CF57" s="111">
        <f>IF(AND($B57&gt;0,AR57="")," * No olvide digitar la variable "&amp;AR54&amp;". Digite cero si no tiene.",IF(AR57&gt;$B57," * La variable "&amp;AR54&amp;" no puede ser mayor al Total.",""))</f>
        <v/>
      </c>
      <c r="CG57" s="111">
        <f>IF(AND($B57&gt;0,AS57="")," * No olvide digitar la variable "&amp;AS$32&amp;". Digite cero si no tiene.",IF(AS57&gt;$B57," * La variable "&amp;AS$32&amp;" no puede ser mayor al Total.",""))</f>
        <v/>
      </c>
      <c r="CH57" s="111">
        <f>IF(AND(B57&gt;0,AJ57="",AK57="",AL57=""),"*No olvide digitar datos en "&amp;AJ$32,
IF(AJ57+AK57+AL57&gt;B57,"*El Total de "&amp;AJ$32&amp;" no puede ser mayor que el Total Ambos Sexos.",
IF(AJ57+AK57+AL57&lt;B57,"*El Total de "&amp;AJ$32&amp;" no debe ser menor que el Total Ambos Sexos.","")))</f>
        <v/>
      </c>
      <c r="CK57" s="112">
        <f>IF((T57+U57)&lt;&gt;B57,1,0)</f>
        <v/>
      </c>
      <c r="CL57" s="112">
        <f>IF((AE57+Z57)&gt;B57,1,0)</f>
        <v/>
      </c>
      <c r="CM57" s="112">
        <f>IF(AND(B57&gt;0,AO57=""),1,IF(AO57&gt;B57,1,0))</f>
        <v/>
      </c>
      <c r="CN57" s="112">
        <f>IF(AND(B57&gt;0,AP57=""),1,IF(AP57&gt;B57,1,0))</f>
        <v/>
      </c>
      <c r="CO57" s="112">
        <f>IF(AND($B57&gt;0,AQ57=""),1,IF(AQ57&gt;$B57,1,0))</f>
        <v/>
      </c>
      <c r="CP57" s="112">
        <f>IF(AND($B57&gt;0,AR57=""),1,IF(AR57&gt;$B57,1,0))</f>
        <v/>
      </c>
      <c r="CQ57" s="112">
        <f>IF(AND($B57&gt;0,AS57=""),1,IF(AS57&gt;$B57,1,0))</f>
        <v/>
      </c>
      <c r="CR57" s="112">
        <f>IF(OR(AND(B57&gt;0,AJ57="",AJ57=""),AK57+AJ57+AL57&gt;B57,AK57+AJ57+AL57&lt;B57),1,0)</f>
        <v/>
      </c>
    </row>
    <row r="58" ht="15" customFormat="1" customHeight="1" s="110">
      <c r="A58" s="3651" t="inlineStr">
        <is>
          <t>Geriatría</t>
        </is>
      </c>
      <c r="B58" s="10629">
        <f>SUM(C58:S58)</f>
        <v/>
      </c>
      <c r="C58" s="4766" t="n"/>
      <c r="D58" s="4764" t="n"/>
      <c r="E58" s="4764" t="n"/>
      <c r="F58" s="4764" t="n"/>
      <c r="G58" s="4764" t="n"/>
      <c r="H58" s="4764" t="n"/>
      <c r="I58" s="4764" t="n"/>
      <c r="J58" s="4764" t="n"/>
      <c r="K58" s="4764" t="n"/>
      <c r="L58" s="4764" t="n"/>
      <c r="M58" s="4764" t="n"/>
      <c r="N58" s="4764" t="n"/>
      <c r="O58" s="4688" t="n"/>
      <c r="P58" s="4688" t="n"/>
      <c r="Q58" s="4688" t="n"/>
      <c r="R58" s="4688" t="n"/>
      <c r="S58" s="4697" t="n"/>
      <c r="T58" s="4763" t="n"/>
      <c r="U58" s="775" t="n"/>
      <c r="V58" s="4763" t="n"/>
      <c r="W58" s="775" t="n"/>
      <c r="X58" s="4763" t="n"/>
      <c r="Y58" s="775" t="n"/>
      <c r="Z58" s="3651">
        <f>SUM(AA58+AB58+AC58+AD58)</f>
        <v/>
      </c>
      <c r="AA58" s="4763" t="n"/>
      <c r="AB58" s="814" t="n"/>
      <c r="AC58" s="814" t="n"/>
      <c r="AD58" s="775" t="n"/>
      <c r="AE58" s="3651">
        <f>SUM(AF58+AG58+AH58+AI58)</f>
        <v/>
      </c>
      <c r="AF58" s="4763" t="n"/>
      <c r="AG58" s="814" t="n"/>
      <c r="AH58" s="814" t="n"/>
      <c r="AI58" s="815" t="n"/>
      <c r="AJ58" s="4700" t="n"/>
      <c r="AK58" s="4702" t="n"/>
      <c r="AL58" s="4701" t="n"/>
      <c r="AM58" s="4114" t="n"/>
      <c r="AN58" s="4114" t="n"/>
      <c r="AO58" s="4838" t="n"/>
      <c r="AP58" s="4113" t="n"/>
      <c r="AQ58" s="4114" t="n"/>
      <c r="AR58" s="4838" t="n"/>
      <c r="AS58" s="4113" t="n"/>
      <c r="AT58" s="110">
        <f>CA58&amp;CB58&amp;CC58&amp;CD58&amp;CE58&amp;CF58&amp;CG58</f>
        <v/>
      </c>
      <c r="CA58" s="111">
        <f>IF((T58+U58)&lt;&gt;B58,"* El número de "&amp;C$32&amp;" según Sexo debe ser igual al Total.","")</f>
        <v/>
      </c>
      <c r="CB58" s="111">
        <f>IF((AE58+Z58)&gt;B58," * El Total de "&amp;Z$32&amp;" no debe ser mayor que el Total","")</f>
        <v/>
      </c>
      <c r="CC58" s="111">
        <f>IF(AND(B58&gt;0,AO58="")," * No olvide digitar la variable Pueblos Originarios. Digite Cero si no tiene.",IF(AO58&gt;B58," * La variable Pueblos Originarios no puede ser mayor al Total.",""))</f>
        <v/>
      </c>
      <c r="CD58" s="111">
        <f>IF(AND(B58&gt;0,AP58="")," * No olvide digitar la variable Migrantes. Digite cero si no tiene.",IF(AP58&gt;B58," * La variable Migrantes no puede ser mayor al Total.",""))</f>
        <v/>
      </c>
      <c r="CE58" s="111">
        <f>IF(AND($B58&gt;0,AQ58="")," * No olvide digitar la variable Teleconsulta de especialidad resueltas por Médicos Generales. Digite cero si no tiene.",IF(AQ58&gt;$B58," * La variable Teleconsulta de especialidad resueltas por Médicos Generales no puede ser mayor al Total.",""))</f>
        <v/>
      </c>
      <c r="CF58" s="111">
        <f>IF(AND($B58&gt;0,AR58="")," * No olvide digitar la variable "&amp;AR55&amp;". Digite cero si no tiene.",IF(AR58&gt;$B58," * La variable "&amp;AR55&amp;" no puede ser mayor al Total.",""))</f>
        <v/>
      </c>
      <c r="CG58" s="111">
        <f>IF(AND($B58&gt;0,AS58="")," * No olvide digitar la variable "&amp;AS$32&amp;". Digite cero si no tiene.",IF(AS58&gt;$B58," * La variable "&amp;AS$32&amp;" no puede ser mayor al Total.",""))</f>
        <v/>
      </c>
      <c r="CH58" s="111">
        <f>IF(AND(B58&gt;0,AJ58="",AK58="",AL58=""),"*No olvide digitar datos en "&amp;AJ$32,
IF(AJ58+AK58+AL58&gt;B58,"*El Total de "&amp;AJ$32&amp;" no puede ser mayor que el Total Ambos Sexos.",
IF(AJ58+AK58+AL58&lt;B58,"*El Total de "&amp;AJ$32&amp;" no debe ser menor que el Total Ambos Sexos.","")))</f>
        <v/>
      </c>
      <c r="CK58" s="112">
        <f>IF((T58+U58)&lt;&gt;B58,1,0)</f>
        <v/>
      </c>
      <c r="CL58" s="112">
        <f>IF((AE58+Z58)&gt;B58,1,0)</f>
        <v/>
      </c>
      <c r="CM58" s="112">
        <f>IF(AND(B58&gt;0,AO58=""),1,IF(AO58&gt;B58,1,0))</f>
        <v/>
      </c>
      <c r="CN58" s="112">
        <f>IF(AND(B58&gt;0,AP58=""),1,IF(AP58&gt;B58,1,0))</f>
        <v/>
      </c>
      <c r="CO58" s="112">
        <f>IF(AND($B58&gt;0,AQ58=""),1,IF(AQ58&gt;$B58,1,0))</f>
        <v/>
      </c>
      <c r="CP58" s="112">
        <f>IF(AND($B58&gt;0,AR58=""),1,IF(AR58&gt;$B58,1,0))</f>
        <v/>
      </c>
      <c r="CQ58" s="112">
        <f>IF(AND($B58&gt;0,AS58=""),1,IF(AS58&gt;$B58,1,0))</f>
        <v/>
      </c>
      <c r="CR58" s="112">
        <f>IF(OR(AND(B58&gt;0,AJ58="",AJ58=""),AK58+AJ58+AL58&gt;B58,AK58+AJ58+AL58&lt;B58),1,0)</f>
        <v/>
      </c>
    </row>
    <row r="59" ht="15" customFormat="1" customHeight="1" s="110">
      <c r="A59" s="3785" t="inlineStr">
        <is>
          <t>Medicina Física y Rehabilitación</t>
        </is>
      </c>
      <c r="B59" s="10629">
        <f>SUM(C59:S59)</f>
        <v/>
      </c>
      <c r="C59" s="1333" t="n"/>
      <c r="D59" s="4688" t="n"/>
      <c r="E59" s="4688" t="n"/>
      <c r="F59" s="4767" t="n"/>
      <c r="G59" s="4767" t="n"/>
      <c r="H59" s="4767" t="n"/>
      <c r="I59" s="4767" t="n"/>
      <c r="J59" s="4767" t="n"/>
      <c r="K59" s="4767" t="n"/>
      <c r="L59" s="4688" t="n"/>
      <c r="M59" s="4688" t="n"/>
      <c r="N59" s="4688" t="n"/>
      <c r="O59" s="4688" t="n"/>
      <c r="P59" s="4688" t="n"/>
      <c r="Q59" s="4688" t="n"/>
      <c r="R59" s="4688" t="n"/>
      <c r="S59" s="4697" t="n"/>
      <c r="T59" s="4763" t="n"/>
      <c r="U59" s="775" t="n"/>
      <c r="V59" s="4763" t="n"/>
      <c r="W59" s="775" t="n"/>
      <c r="X59" s="4763" t="n"/>
      <c r="Y59" s="775" t="n"/>
      <c r="Z59" s="3651">
        <f>SUM(AA59+AB59+AC59+AD59)</f>
        <v/>
      </c>
      <c r="AA59" s="4763" t="n"/>
      <c r="AB59" s="814" t="n"/>
      <c r="AC59" s="814" t="n"/>
      <c r="AD59" s="775" t="n"/>
      <c r="AE59" s="3651">
        <f>SUM(AF59+AG59+AH59+AI59)</f>
        <v/>
      </c>
      <c r="AF59" s="4763" t="n"/>
      <c r="AG59" s="814" t="n"/>
      <c r="AH59" s="814" t="n"/>
      <c r="AI59" s="815" t="n"/>
      <c r="AJ59" s="4700" t="n"/>
      <c r="AK59" s="4702" t="n"/>
      <c r="AL59" s="4701" t="n"/>
      <c r="AM59" s="4114" t="n"/>
      <c r="AN59" s="4114" t="n"/>
      <c r="AO59" s="4838" t="n"/>
      <c r="AP59" s="4113" t="n"/>
      <c r="AQ59" s="4114" t="n"/>
      <c r="AR59" s="4838" t="n"/>
      <c r="AS59" s="4113" t="n"/>
      <c r="AT59" s="110">
        <f>CA59&amp;CB59&amp;CC59&amp;CD59&amp;CE59&amp;CF59&amp;CG59</f>
        <v/>
      </c>
      <c r="CA59" s="111">
        <f>IF((T59+U59)&lt;&gt;B59,"* El número de "&amp;C$32&amp;" según Sexo debe ser igual al Total.","")</f>
        <v/>
      </c>
      <c r="CB59" s="111">
        <f>IF((AE59+Z59)&gt;B59," * El Total de "&amp;Z$32&amp;" no debe ser mayor que el Total","")</f>
        <v/>
      </c>
      <c r="CC59" s="111">
        <f>IF(AND(B59&gt;0,AO59="")," * No olvide digitar la variable Pueblos Originarios. Digite Cero si no tiene.",IF(AO59&gt;B59," * La variable Pueblos Originarios no puede ser mayor al Total.",""))</f>
        <v/>
      </c>
      <c r="CD59" s="111">
        <f>IF(AND(B59&gt;0,AP59="")," * No olvide digitar la variable Migrantes. Digite cero si no tiene.",IF(AP59&gt;B59," * La variable Migrantes no puede ser mayor al Total.",""))</f>
        <v/>
      </c>
      <c r="CE59" s="111">
        <f>IF(AND($B59&gt;0,AQ59="")," * No olvide digitar la variable Teleconsulta de especialidad resueltas por Médicos Generales. Digite cero si no tiene.",IF(AQ59&gt;$B59," * La variable Teleconsulta de especialidad resueltas por Médicos Generales no puede ser mayor al Total.",""))</f>
        <v/>
      </c>
      <c r="CF59" s="111">
        <f>IF(AND($B59&gt;0,AR59="")," * No olvide digitar la variable "&amp;AR56&amp;". Digite cero si no tiene.",IF(AR59&gt;$B59," * La variable "&amp;AR56&amp;" no puede ser mayor al Total.",""))</f>
        <v/>
      </c>
      <c r="CG59" s="111">
        <f>IF(AND($B59&gt;0,AS59="")," * No olvide digitar la variable "&amp;AS$32&amp;". Digite cero si no tiene.",IF(AS59&gt;$B59," * La variable "&amp;AS$32&amp;" no puede ser mayor al Total.",""))</f>
        <v/>
      </c>
      <c r="CH59" s="111">
        <f>IF(AND(B59&gt;0,AJ59="",AK59="",AL59=""),"*No olvide digitar datos en "&amp;AJ$32,
IF(AJ59+AK59+AL59&gt;B59,"*El Total de "&amp;AJ$32&amp;" no puede ser mayor que el Total Ambos Sexos.",
IF(AJ59+AK59+AL59&lt;B59,"*El Total de "&amp;AJ$32&amp;" no debe ser menor que el Total Ambos Sexos.","")))</f>
        <v/>
      </c>
      <c r="CK59" s="112">
        <f>IF((T59+U59)&lt;&gt;B59,1,0)</f>
        <v/>
      </c>
      <c r="CL59" s="112">
        <f>IF((AE59+Z59)&gt;B59,1,0)</f>
        <v/>
      </c>
      <c r="CM59" s="112">
        <f>IF(AND(B59&gt;0,AO59=""),1,IF(AO59&gt;B59,1,0))</f>
        <v/>
      </c>
      <c r="CN59" s="112">
        <f>IF(AND(B59&gt;0,AP59=""),1,IF(AP59&gt;B59,1,0))</f>
        <v/>
      </c>
      <c r="CO59" s="112">
        <f>IF(AND($B59&gt;0,AQ59=""),1,IF(AQ59&gt;$B59,1,0))</f>
        <v/>
      </c>
      <c r="CP59" s="112">
        <f>IF(AND($B59&gt;0,AR59=""),1,IF(AR59&gt;$B59,1,0))</f>
        <v/>
      </c>
      <c r="CQ59" s="112">
        <f>IF(AND($B59&gt;0,AS59=""),1,IF(AS59&gt;$B59,1,0))</f>
        <v/>
      </c>
      <c r="CR59" s="112">
        <f>IF(OR(AND(B59&gt;0,AJ59="",AJ59=""),AK59+AJ59+AL59&gt;B59,AK59+AJ59+AL59&lt;B59),1,0)</f>
        <v/>
      </c>
    </row>
    <row r="60" ht="15" customFormat="1" customHeight="1" s="110">
      <c r="A60" s="288" t="inlineStr">
        <is>
          <t>Medicina Reproductiva e Infertilidad</t>
        </is>
      </c>
      <c r="B60" s="10629">
        <f>SUM(C60:S60)</f>
        <v/>
      </c>
      <c r="C60" s="4768" t="n"/>
      <c r="D60" s="4767" t="n"/>
      <c r="E60" s="4767" t="n"/>
      <c r="F60" s="4767" t="n"/>
      <c r="G60" s="4688" t="n"/>
      <c r="H60" s="4688" t="n"/>
      <c r="I60" s="4688" t="n"/>
      <c r="J60" s="4688" t="n"/>
      <c r="K60" s="4688" t="n"/>
      <c r="L60" s="4688" t="n"/>
      <c r="M60" s="4688" t="n"/>
      <c r="N60" s="4688" t="n"/>
      <c r="O60" s="4688" t="n"/>
      <c r="P60" s="4688" t="n"/>
      <c r="Q60" s="4688" t="n"/>
      <c r="R60" s="4688" t="n"/>
      <c r="S60" s="4697" t="n"/>
      <c r="T60" s="4763" t="n"/>
      <c r="U60" s="775" t="n"/>
      <c r="V60" s="4763" t="n"/>
      <c r="W60" s="775" t="n"/>
      <c r="X60" s="4763" t="n"/>
      <c r="Y60" s="775" t="n"/>
      <c r="Z60" s="3651">
        <f>SUM(AA60+AB60+AC60+AD60)</f>
        <v/>
      </c>
      <c r="AA60" s="4763" t="n"/>
      <c r="AB60" s="814" t="n"/>
      <c r="AC60" s="814" t="n"/>
      <c r="AD60" s="775" t="n"/>
      <c r="AE60" s="3651">
        <f>SUM(AF60+AG60+AH60+AI60)</f>
        <v/>
      </c>
      <c r="AF60" s="4763" t="n"/>
      <c r="AG60" s="814" t="n"/>
      <c r="AH60" s="814" t="n"/>
      <c r="AI60" s="815" t="n"/>
      <c r="AJ60" s="4700" t="n"/>
      <c r="AK60" s="4702" t="n"/>
      <c r="AL60" s="4701" t="n"/>
      <c r="AM60" s="4114" t="n"/>
      <c r="AN60" s="4114" t="n"/>
      <c r="AO60" s="4838" t="n"/>
      <c r="AP60" s="4113" t="n"/>
      <c r="AQ60" s="4114" t="n"/>
      <c r="AR60" s="4838" t="n"/>
      <c r="AS60" s="4113" t="n"/>
      <c r="AT60" s="110">
        <f>CA60&amp;CB60&amp;CC60&amp;CD60&amp;CE60&amp;CF60&amp;CG60</f>
        <v/>
      </c>
      <c r="CA60" s="111">
        <f>IF((T60+U60)&lt;&gt;B60,"* El número de "&amp;C$32&amp;" según Sexo debe ser igual al Total.","")</f>
        <v/>
      </c>
      <c r="CB60" s="111">
        <f>IF((AE60+Z60)&gt;B60," * El Total de "&amp;Z$32&amp;" no debe ser mayor que el Total","")</f>
        <v/>
      </c>
      <c r="CC60" s="111">
        <f>IF(AND(B60&gt;0,AO60="")," * No olvide digitar la variable Pueblos Originarios. Digite Cero si no tiene.",IF(AO60&gt;B60," * La variable Pueblos Originarios no puede ser mayor al Total.",""))</f>
        <v/>
      </c>
      <c r="CD60" s="111">
        <f>IF(AND(B60&gt;0,AP60="")," * No olvide digitar la variable Migrantes. Digite cero si no tiene.",IF(AP60&gt;B60," * La variable Migrantes no puede ser mayor al Total.",""))</f>
        <v/>
      </c>
      <c r="CE60" s="111">
        <f>IF(AND($B60&gt;0,AQ60="")," * No olvide digitar la variable Teleconsulta de especialidad resueltas por Médicos Generales. Digite cero si no tiene.",IF(AQ60&gt;$B60," * La variable Teleconsulta de especialidad resueltas por Médicos Generales no puede ser mayor al Total.",""))</f>
        <v/>
      </c>
      <c r="CF60" s="111">
        <f>IF(AND($B60&gt;0,AR60="")," * No olvide digitar la variable "&amp;AR57&amp;". Digite cero si no tiene.",IF(AR60&gt;$B60," * La variable "&amp;AR57&amp;" no puede ser mayor al Total.",""))</f>
        <v/>
      </c>
      <c r="CG60" s="111">
        <f>IF(AND($B60&gt;0,AS60="")," * No olvide digitar la variable "&amp;AS$32&amp;". Digite cero si no tiene.",IF(AS60&gt;$B60," * La variable "&amp;AS$32&amp;" no puede ser mayor al Total.",""))</f>
        <v/>
      </c>
      <c r="CH60" s="111">
        <f>IF(AND(B60&gt;0,AJ60="",AK60="",AL60=""),"*No olvide digitar datos en "&amp;AJ$32,
IF(AJ60+AK60+AL60&gt;B60,"*El Total de "&amp;AJ$32&amp;" no puede ser mayor que el Total Ambos Sexos.",
IF(AJ60+AK60+AL60&lt;B60,"*El Total de "&amp;AJ$32&amp;" no debe ser menor que el Total Ambos Sexos.","")))</f>
        <v/>
      </c>
      <c r="CK60" s="112">
        <f>IF((T60+U60)&lt;&gt;B60,1,0)</f>
        <v/>
      </c>
      <c r="CL60" s="112">
        <f>IF((AE60+Z60)&gt;B60,1,0)</f>
        <v/>
      </c>
      <c r="CM60" s="112">
        <f>IF(AND(B60&gt;0,AO60=""),1,IF(AO60&gt;B60,1,0))</f>
        <v/>
      </c>
      <c r="CN60" s="112">
        <f>IF(AND(B60&gt;0,AP60=""),1,IF(AP60&gt;B60,1,0))</f>
        <v/>
      </c>
      <c r="CO60" s="112">
        <f>IF(AND($B60&gt;0,AQ60=""),1,IF(AQ60&gt;$B60,1,0))</f>
        <v/>
      </c>
      <c r="CP60" s="112">
        <f>IF(AND($B60&gt;0,AR60=""),1,IF(AR60&gt;$B60,1,0))</f>
        <v/>
      </c>
      <c r="CQ60" s="112">
        <f>IF(AND($B60&gt;0,AS60=""),1,IF(AS60&gt;$B60,1,0))</f>
        <v/>
      </c>
      <c r="CR60" s="112">
        <f>IF(OR(AND(B60&gt;0,AJ60="",AJ60=""),AK60+AJ60+AL60&gt;B60,AK60+AJ60+AL60&lt;B60),1,0)</f>
        <v/>
      </c>
    </row>
    <row r="61" ht="15" customFormat="1" customHeight="1" s="110">
      <c r="A61" s="3651" t="inlineStr">
        <is>
          <t>Neurología pediátrica</t>
        </is>
      </c>
      <c r="B61" s="10629">
        <f>SUM(C61:S61)</f>
        <v/>
      </c>
      <c r="C61" s="4768" t="n"/>
      <c r="D61" s="4767" t="n"/>
      <c r="E61" s="4767" t="n"/>
      <c r="F61" s="4767" t="n"/>
      <c r="G61" s="4767" t="n"/>
      <c r="H61" s="4767" t="n"/>
      <c r="I61" s="4767" t="n"/>
      <c r="J61" s="4767" t="n"/>
      <c r="K61" s="4767" t="n"/>
      <c r="L61" s="4688" t="n"/>
      <c r="M61" s="4688" t="n"/>
      <c r="N61" s="4688" t="n"/>
      <c r="O61" s="4688" t="n"/>
      <c r="P61" s="4688" t="n"/>
      <c r="Q61" s="4688" t="n"/>
      <c r="R61" s="4688" t="n"/>
      <c r="S61" s="4697" t="n"/>
      <c r="T61" s="4763" t="n"/>
      <c r="U61" s="775" t="n"/>
      <c r="V61" s="4763" t="n"/>
      <c r="W61" s="775" t="n"/>
      <c r="X61" s="4763" t="n"/>
      <c r="Y61" s="775" t="n"/>
      <c r="Z61" s="3651">
        <f>SUM(AA61+AB61+AC61+AD61)</f>
        <v/>
      </c>
      <c r="AA61" s="4763" t="n"/>
      <c r="AB61" s="814" t="n"/>
      <c r="AC61" s="814" t="n"/>
      <c r="AD61" s="775" t="n"/>
      <c r="AE61" s="3651">
        <f>SUM(AF61+AG61+AH61+AI61)</f>
        <v/>
      </c>
      <c r="AF61" s="4763" t="n"/>
      <c r="AG61" s="814" t="n"/>
      <c r="AH61" s="814" t="n"/>
      <c r="AI61" s="815" t="n"/>
      <c r="AJ61" s="4700" t="n"/>
      <c r="AK61" s="4702" t="n"/>
      <c r="AL61" s="4701" t="n"/>
      <c r="AM61" s="4114" t="n"/>
      <c r="AN61" s="4114" t="n"/>
      <c r="AO61" s="4838" t="n"/>
      <c r="AP61" s="4113" t="n"/>
      <c r="AQ61" s="4114" t="n"/>
      <c r="AR61" s="4838" t="n"/>
      <c r="AS61" s="4113" t="n"/>
      <c r="AT61" s="110">
        <f>CA61&amp;CB61&amp;CC61&amp;CD61&amp;CE61&amp;CF61&amp;CG61</f>
        <v/>
      </c>
      <c r="CA61" s="111">
        <f>IF((T61+U61)&lt;&gt;B61,"* El número de "&amp;C$32&amp;" según Sexo debe ser igual al Total.","")</f>
        <v/>
      </c>
      <c r="CB61" s="111">
        <f>IF((AE61+Z61)&gt;B61," * El Total de "&amp;Z$32&amp;" no debe ser mayor que el Total","")</f>
        <v/>
      </c>
      <c r="CC61" s="111">
        <f>IF(AND(B61&gt;0,AO61="")," * No olvide digitar la variable Pueblos Originarios. Digite Cero si no tiene.",IF(AO61&gt;B61," * La variable Pueblos Originarios no puede ser mayor al Total.",""))</f>
        <v/>
      </c>
      <c r="CD61" s="111">
        <f>IF(AND(B61&gt;0,AP61="")," * No olvide digitar la variable Migrantes. Digite cero si no tiene.",IF(AP61&gt;B61," * La variable Migrantes no puede ser mayor al Total.",""))</f>
        <v/>
      </c>
      <c r="CE61" s="111">
        <f>IF(AND($B61&gt;0,AQ61="")," * No olvide digitar la variable Teleconsulta de especialidad resueltas por Médicos Generales. Digite cero si no tiene.",IF(AQ61&gt;$B61," * La variable Teleconsulta de especialidad resueltas por Médicos Generales no puede ser mayor al Total.",""))</f>
        <v/>
      </c>
      <c r="CF61" s="111">
        <f>IF(AND($B61&gt;0,AR61="")," * No olvide digitar la variable "&amp;AR58&amp;". Digite cero si no tiene.",IF(AR61&gt;$B61," * La variable "&amp;AR58&amp;" no puede ser mayor al Total.",""))</f>
        <v/>
      </c>
      <c r="CG61" s="111">
        <f>IF(AND($B61&gt;0,AS61="")," * No olvide digitar la variable "&amp;AS$32&amp;". Digite cero si no tiene.",IF(AS61&gt;$B61," * La variable "&amp;AS$32&amp;" no puede ser mayor al Total.",""))</f>
        <v/>
      </c>
      <c r="CH61" s="111">
        <f>IF(AND(B61&gt;0,AJ61="",AK61="",AL61=""),"*No olvide digitar datos en "&amp;AJ$32,
IF(AJ61+AK61+AL61&gt;B61,"*El Total de "&amp;AJ$32&amp;" no puede ser mayor que el Total Ambos Sexos.",
IF(AJ61+AK61+AL61&lt;B61,"*El Total de "&amp;AJ$32&amp;" no debe ser menor que el Total Ambos Sexos.","")))</f>
        <v/>
      </c>
      <c r="CK61" s="112">
        <f>IF((T61+U61)&lt;&gt;B61,1,0)</f>
        <v/>
      </c>
      <c r="CL61" s="112">
        <f>IF((AE61+Z61)&gt;B61,1,0)</f>
        <v/>
      </c>
      <c r="CM61" s="112">
        <f>IF(AND(B61&gt;0,AO61=""),1,IF(AO61&gt;B61,1,0))</f>
        <v/>
      </c>
      <c r="CN61" s="112">
        <f>IF(AND(B61&gt;0,AP61=""),1,IF(AP61&gt;B61,1,0))</f>
        <v/>
      </c>
      <c r="CO61" s="112">
        <f>IF(AND($B61&gt;0,AQ61=""),1,IF(AQ61&gt;$B61,1,0))</f>
        <v/>
      </c>
      <c r="CP61" s="112">
        <f>IF(AND($B61&gt;0,AR61=""),1,IF(AR61&gt;$B61,1,0))</f>
        <v/>
      </c>
      <c r="CQ61" s="112">
        <f>IF(AND($B61&gt;0,AS61=""),1,IF(AS61&gt;$B61,1,0))</f>
        <v/>
      </c>
      <c r="CR61" s="112">
        <f>IF(OR(AND(B61&gt;0,AJ61="",AJ61=""),AK61+AJ61+AL61&gt;B61,AK61+AJ61+AL61&lt;B61),1,0)</f>
        <v/>
      </c>
    </row>
    <row r="62" ht="15" customFormat="1" customHeight="1" s="110">
      <c r="A62" s="3651" t="inlineStr">
        <is>
          <t>Neurología adulto</t>
        </is>
      </c>
      <c r="B62" s="10629">
        <f>SUM(C62:S62)</f>
        <v/>
      </c>
      <c r="C62" s="4768" t="n"/>
      <c r="D62" s="4767" t="n"/>
      <c r="E62" s="4767" t="n"/>
      <c r="F62" s="4688" t="n"/>
      <c r="G62" s="4688" t="n"/>
      <c r="H62" s="4688" t="n"/>
      <c r="I62" s="4688" t="n"/>
      <c r="J62" s="4688" t="n"/>
      <c r="K62" s="4688" t="n"/>
      <c r="L62" s="4688" t="n"/>
      <c r="M62" s="4688" t="n"/>
      <c r="N62" s="4688" t="n"/>
      <c r="O62" s="4688" t="n"/>
      <c r="P62" s="4688" t="n"/>
      <c r="Q62" s="4688" t="n"/>
      <c r="R62" s="4688" t="n"/>
      <c r="S62" s="4697" t="n"/>
      <c r="T62" s="4763" t="n"/>
      <c r="U62" s="775" t="n"/>
      <c r="V62" s="4763" t="n"/>
      <c r="W62" s="775" t="n"/>
      <c r="X62" s="4763" t="n"/>
      <c r="Y62" s="775" t="n"/>
      <c r="Z62" s="3651">
        <f>SUM(AA62+AB62+AC62+AD62)</f>
        <v/>
      </c>
      <c r="AA62" s="4763" t="n"/>
      <c r="AB62" s="814" t="n"/>
      <c r="AC62" s="814" t="n"/>
      <c r="AD62" s="775" t="n"/>
      <c r="AE62" s="3651">
        <f>SUM(AF62+AG62+AH62+AI62)</f>
        <v/>
      </c>
      <c r="AF62" s="4763" t="n"/>
      <c r="AG62" s="814" t="n"/>
      <c r="AH62" s="814" t="n"/>
      <c r="AI62" s="815" t="n"/>
      <c r="AJ62" s="4700" t="n"/>
      <c r="AK62" s="4702" t="n"/>
      <c r="AL62" s="4701" t="n"/>
      <c r="AM62" s="4114" t="n"/>
      <c r="AN62" s="4114" t="n"/>
      <c r="AO62" s="4838" t="n"/>
      <c r="AP62" s="4113" t="n"/>
      <c r="AQ62" s="4114" t="n"/>
      <c r="AR62" s="4838" t="n"/>
      <c r="AS62" s="4113" t="n"/>
      <c r="AT62" s="110">
        <f>CA62&amp;CB62&amp;CC62&amp;CD62&amp;CE62&amp;CF62&amp;CG62</f>
        <v/>
      </c>
      <c r="CA62" s="111">
        <f>IF((T62+U62)&lt;&gt;B62,"* El número de "&amp;C$32&amp;" según Sexo debe ser igual al Total.","")</f>
        <v/>
      </c>
      <c r="CB62" s="111">
        <f>IF((AE62+Z62)&gt;B62," * El Total de "&amp;Z$32&amp;" no debe ser mayor que el Total","")</f>
        <v/>
      </c>
      <c r="CC62" s="111">
        <f>IF(AND(B62&gt;0,AO62="")," * No olvide digitar la variable Pueblos Originarios. Digite Cero si no tiene.",IF(AO62&gt;B62," * La variable Pueblos Originarios no puede ser mayor al Total.",""))</f>
        <v/>
      </c>
      <c r="CD62" s="111">
        <f>IF(AND(B62&gt;0,AP62="")," * No olvide digitar la variable Migrantes. Digite cero si no tiene.",IF(AP62&gt;B62," * La variable Migrantes no puede ser mayor al Total.",""))</f>
        <v/>
      </c>
      <c r="CE62" s="111">
        <f>IF(AND($B62&gt;0,AQ62="")," * No olvide digitar la variable Teleconsulta de especialidad resueltas por Médicos Generales. Digite cero si no tiene.",IF(AQ62&gt;$B62," * La variable Teleconsulta de especialidad resueltas por Médicos Generales no puede ser mayor al Total.",""))</f>
        <v/>
      </c>
      <c r="CF62" s="111">
        <f>IF(AND($B62&gt;0,AR62="")," * No olvide digitar la variable "&amp;AR59&amp;". Digite cero si no tiene.",IF(AR62&gt;$B62," * La variable "&amp;AR59&amp;" no puede ser mayor al Total.",""))</f>
        <v/>
      </c>
      <c r="CG62" s="111">
        <f>IF(AND($B62&gt;0,AS62="")," * No olvide digitar la variable "&amp;AS$32&amp;". Digite cero si no tiene.",IF(AS62&gt;$B62," * La variable "&amp;AS$32&amp;" no puede ser mayor al Total.",""))</f>
        <v/>
      </c>
      <c r="CH62" s="111">
        <f>IF(AND(B62&gt;0,AJ62="",AK62="",AL62=""),"*No olvide digitar datos en "&amp;AJ$32,
IF(AJ62+AK62+AL62&gt;B62,"*El Total de "&amp;AJ$32&amp;" no puede ser mayor que el Total Ambos Sexos.",
IF(AJ62+AK62+AL62&lt;B62,"*El Total de "&amp;AJ$32&amp;" no debe ser menor que el Total Ambos Sexos.","")))</f>
        <v/>
      </c>
      <c r="CK62" s="112">
        <f>IF((T62+U62)&lt;&gt;B62,1,0)</f>
        <v/>
      </c>
      <c r="CL62" s="112">
        <f>IF((AE62+Z62)&gt;B62,1,0)</f>
        <v/>
      </c>
      <c r="CM62" s="112">
        <f>IF(AND(B62&gt;0,AO62=""),1,IF(AO62&gt;B62,1,0))</f>
        <v/>
      </c>
      <c r="CN62" s="112">
        <f>IF(AND(B62&gt;0,AP62=""),1,IF(AP62&gt;B62,1,0))</f>
        <v/>
      </c>
      <c r="CO62" s="112">
        <f>IF(AND($B62&gt;0,AQ62=""),1,IF(AQ62&gt;$B62,1,0))</f>
        <v/>
      </c>
      <c r="CP62" s="112">
        <f>IF(AND($B62&gt;0,AR62=""),1,IF(AR62&gt;$B62,1,0))</f>
        <v/>
      </c>
      <c r="CQ62" s="112">
        <f>IF(AND($B62&gt;0,AS62=""),1,IF(AS62&gt;$B62,1,0))</f>
        <v/>
      </c>
      <c r="CR62" s="112">
        <f>IF(OR(AND(B62&gt;0,AJ62="",AJ62=""),AK62+AJ62+AL62&gt;B62,AK62+AJ62+AL62&lt;B62),1,0)</f>
        <v/>
      </c>
    </row>
    <row r="63" ht="15" customFormat="1" customHeight="1" s="110">
      <c r="A63" s="3651" t="inlineStr">
        <is>
          <t>Oncología médica</t>
        </is>
      </c>
      <c r="B63" s="10629">
        <f>SUM(C63:S63)</f>
        <v/>
      </c>
      <c r="C63" s="4768" t="n"/>
      <c r="D63" s="4767" t="n"/>
      <c r="E63" s="4767" t="n"/>
      <c r="F63" s="4688" t="n"/>
      <c r="G63" s="4688" t="n"/>
      <c r="H63" s="4688" t="n"/>
      <c r="I63" s="4688" t="n"/>
      <c r="J63" s="4688" t="n"/>
      <c r="K63" s="4688" t="n"/>
      <c r="L63" s="4688" t="n"/>
      <c r="M63" s="4688" t="n"/>
      <c r="N63" s="4688" t="n"/>
      <c r="O63" s="4688" t="n"/>
      <c r="P63" s="4688" t="n"/>
      <c r="Q63" s="4688" t="n"/>
      <c r="R63" s="4688" t="n"/>
      <c r="S63" s="4697" t="n"/>
      <c r="T63" s="4763" t="n"/>
      <c r="U63" s="775" t="n"/>
      <c r="V63" s="4763" t="n"/>
      <c r="W63" s="775" t="n"/>
      <c r="X63" s="4763" t="n"/>
      <c r="Y63" s="775" t="n"/>
      <c r="Z63" s="3651">
        <f>SUM(AA63+AB63+AC63+AD63)</f>
        <v/>
      </c>
      <c r="AA63" s="4763" t="n"/>
      <c r="AB63" s="814" t="n"/>
      <c r="AC63" s="814" t="n"/>
      <c r="AD63" s="775" t="n"/>
      <c r="AE63" s="3651">
        <f>SUM(AF63+AG63+AH63+AI63)</f>
        <v/>
      </c>
      <c r="AF63" s="4763" t="n"/>
      <c r="AG63" s="814" t="n"/>
      <c r="AH63" s="814" t="n"/>
      <c r="AI63" s="815" t="n"/>
      <c r="AJ63" s="4700" t="n"/>
      <c r="AK63" s="4702" t="n"/>
      <c r="AL63" s="4701" t="n"/>
      <c r="AM63" s="4114" t="n"/>
      <c r="AN63" s="4114" t="n"/>
      <c r="AO63" s="4838" t="n"/>
      <c r="AP63" s="4113" t="n"/>
      <c r="AQ63" s="4114" t="n"/>
      <c r="AR63" s="4838" t="n"/>
      <c r="AS63" s="4113" t="n"/>
      <c r="AT63" s="110">
        <f>CA63&amp;CB63&amp;CC63&amp;CD63&amp;CE63&amp;CF63&amp;CG63</f>
        <v/>
      </c>
      <c r="CA63" s="111">
        <f>IF((T63+U63)&lt;&gt;B63,"* El número de "&amp;C$32&amp;" según Sexo debe ser igual al Total.","")</f>
        <v/>
      </c>
      <c r="CB63" s="111">
        <f>IF((AE63+Z63)&gt;B63," * El Total de "&amp;Z$32&amp;" no debe ser mayor que el Total","")</f>
        <v/>
      </c>
      <c r="CC63" s="111">
        <f>IF(AND(B63&gt;0,AO63="")," * No olvide digitar la variable Pueblos Originarios. Digite Cero si no tiene.",IF(AO63&gt;B63," * La variable Pueblos Originarios no puede ser mayor al Total.",""))</f>
        <v/>
      </c>
      <c r="CD63" s="111">
        <f>IF(AND(B63&gt;0,AP63="")," * No olvide digitar la variable Migrantes. Digite cero si no tiene.",IF(AP63&gt;B63," * La variable Migrantes no puede ser mayor al Total.",""))</f>
        <v/>
      </c>
      <c r="CE63" s="111">
        <f>IF(AND($B63&gt;0,AQ63="")," * No olvide digitar la variable Teleconsulta de especialidad resueltas por Médicos Generales. Digite cero si no tiene.",IF(AQ63&gt;$B63," * La variable Teleconsulta de especialidad resueltas por Médicos Generales no puede ser mayor al Total.",""))</f>
        <v/>
      </c>
      <c r="CF63" s="111">
        <f>IF(AND($B63&gt;0,AR63="")," * No olvide digitar la variable "&amp;AR60&amp;". Digite cero si no tiene.",IF(AR63&gt;$B63," * La variable "&amp;AR60&amp;" no puede ser mayor al Total.",""))</f>
        <v/>
      </c>
      <c r="CG63" s="111">
        <f>IF(AND($B63&gt;0,AS63="")," * No olvide digitar la variable "&amp;AS$32&amp;". Digite cero si no tiene.",IF(AS63&gt;$B63," * La variable "&amp;AS$32&amp;" no puede ser mayor al Total.",""))</f>
        <v/>
      </c>
      <c r="CH63" s="111">
        <f>IF(AND(B63&gt;0,AJ63="",AK63="",AL63=""),"*No olvide digitar datos en "&amp;AJ$32,
IF(AJ63+AK63+AL63&gt;B63,"*El Total de "&amp;AJ$32&amp;" no puede ser mayor que el Total Ambos Sexos.",
IF(AJ63+AK63+AL63&lt;B63,"*El Total de "&amp;AJ$32&amp;" no debe ser menor que el Total Ambos Sexos.","")))</f>
        <v/>
      </c>
      <c r="CK63" s="112">
        <f>IF((T63+U63)&lt;&gt;B63,1,0)</f>
        <v/>
      </c>
      <c r="CL63" s="112">
        <f>IF((AE63+Z63)&gt;B63,1,0)</f>
        <v/>
      </c>
      <c r="CM63" s="112">
        <f>IF(AND(B63&gt;0,AO63=""),1,IF(AO63&gt;B63,1,0))</f>
        <v/>
      </c>
      <c r="CN63" s="112">
        <f>IF(AND(B63&gt;0,AP63=""),1,IF(AP63&gt;B63,1,0))</f>
        <v/>
      </c>
      <c r="CO63" s="112">
        <f>IF(AND($B63&gt;0,AQ63=""),1,IF(AQ63&gt;$B63,1,0))</f>
        <v/>
      </c>
      <c r="CP63" s="112">
        <f>IF(AND($B63&gt;0,AR63=""),1,IF(AR63&gt;$B63,1,0))</f>
        <v/>
      </c>
      <c r="CQ63" s="112">
        <f>IF(AND($B63&gt;0,AS63=""),1,IF(AS63&gt;$B63,1,0))</f>
        <v/>
      </c>
      <c r="CR63" s="112">
        <f>IF(OR(AND(B63&gt;0,AJ63="",AJ63=""),AK63+AJ63+AL63&gt;B63,AK63+AJ63+AL63&lt;B63),1,0)</f>
        <v/>
      </c>
    </row>
    <row r="64" ht="15" customFormat="1" customHeight="1" s="110">
      <c r="A64" s="3651" t="inlineStr">
        <is>
          <t>Psiquiatría pediátrica y de la adolescencia</t>
        </is>
      </c>
      <c r="B64" s="10629">
        <f>SUM(C64:S64)</f>
        <v/>
      </c>
      <c r="C64" s="4768" t="n"/>
      <c r="D64" s="4767" t="n"/>
      <c r="E64" s="4767" t="n"/>
      <c r="F64" s="4688" t="n"/>
      <c r="G64" s="4688" t="n"/>
      <c r="H64" s="4688" t="n"/>
      <c r="I64" s="4688" t="n"/>
      <c r="J64" s="4688" t="n"/>
      <c r="K64" s="4688" t="n"/>
      <c r="L64" s="4688" t="n"/>
      <c r="M64" s="4688" t="n"/>
      <c r="N64" s="4688" t="n"/>
      <c r="O64" s="4688" t="n"/>
      <c r="P64" s="4688" t="n"/>
      <c r="Q64" s="4688" t="n"/>
      <c r="R64" s="4688" t="n"/>
      <c r="S64" s="4697" t="n"/>
      <c r="T64" s="4763" t="n"/>
      <c r="U64" s="775" t="n"/>
      <c r="V64" s="4763" t="n"/>
      <c r="W64" s="775" t="n"/>
      <c r="X64" s="4763" t="n"/>
      <c r="Y64" s="775" t="n"/>
      <c r="Z64" s="3651">
        <f>SUM(AA64+AB64+AC64+AD64)</f>
        <v/>
      </c>
      <c r="AA64" s="4763" t="n"/>
      <c r="AB64" s="814" t="n"/>
      <c r="AC64" s="814" t="n"/>
      <c r="AD64" s="775" t="n"/>
      <c r="AE64" s="3651">
        <f>SUM(AF64+AG64+AH64+AI64)</f>
        <v/>
      </c>
      <c r="AF64" s="4763" t="n"/>
      <c r="AG64" s="814" t="n"/>
      <c r="AH64" s="814" t="n"/>
      <c r="AI64" s="815" t="n"/>
      <c r="AJ64" s="4700" t="n"/>
      <c r="AK64" s="4702" t="n"/>
      <c r="AL64" s="4701" t="n"/>
      <c r="AM64" s="4114" t="n"/>
      <c r="AN64" s="4114" t="n"/>
      <c r="AO64" s="4838" t="n"/>
      <c r="AP64" s="4113" t="n"/>
      <c r="AQ64" s="4114" t="n"/>
      <c r="AR64" s="4838" t="n"/>
      <c r="AS64" s="4113" t="n"/>
      <c r="AT64" s="110">
        <f>CA64&amp;CB64&amp;CC64&amp;CD64&amp;CE64&amp;CF64&amp;CG64</f>
        <v/>
      </c>
      <c r="CA64" s="111">
        <f>IF((T64+U64)&lt;&gt;B64,"* El número de "&amp;C$32&amp;" según Sexo debe ser igual al Total.","")</f>
        <v/>
      </c>
      <c r="CB64" s="111">
        <f>IF((AE64+Z64)&gt;B64," * El Total de "&amp;Z$32&amp;" no debe ser mayor que el Total","")</f>
        <v/>
      </c>
      <c r="CC64" s="111">
        <f>IF(AND(B64&gt;0,AO64="")," * No olvide digitar la variable Pueblos Originarios. Digite Cero si no tiene.",IF(AO64&gt;B64," * La variable Pueblos Originarios no puede ser mayor al Total.",""))</f>
        <v/>
      </c>
      <c r="CD64" s="111">
        <f>IF(AND(B64&gt;0,AP64="")," * No olvide digitar la variable Migrantes. Digite cero si no tiene.",IF(AP64&gt;B64," * La variable Migrantes no puede ser mayor al Total.",""))</f>
        <v/>
      </c>
      <c r="CE64" s="111">
        <f>IF(AND($B64&gt;0,AQ64="")," * No olvide digitar la variable Teleconsulta de especialidad resueltas por Médicos Generales. Digite cero si no tiene.",IF(AQ64&gt;$B64," * La variable Teleconsulta de especialidad resueltas por Médicos Generales no puede ser mayor al Total.",""))</f>
        <v/>
      </c>
      <c r="CF64" s="111">
        <f>IF(AND($B64&gt;0,AR64="")," * No olvide digitar la variable "&amp;AR61&amp;". Digite cero si no tiene.",IF(AR64&gt;$B64," * La variable "&amp;AR61&amp;" no puede ser mayor al Total.",""))</f>
        <v/>
      </c>
      <c r="CG64" s="111">
        <f>IF(AND($B64&gt;0,AS64="")," * No olvide digitar la variable "&amp;AS$32&amp;". Digite cero si no tiene.",IF(AS64&gt;$B64," * La variable "&amp;AS$32&amp;" no puede ser mayor al Total.",""))</f>
        <v/>
      </c>
      <c r="CH64" s="111">
        <f>IF(AND(B64&gt;0,AJ64="",AK64="",AL64=""),"*No olvide digitar datos en "&amp;AJ$32,
IF(AJ64+AK64+AL64&gt;B64,"*El Total de "&amp;AJ$32&amp;" no puede ser mayor que el Total Ambos Sexos.",
IF(AJ64+AK64+AL64&lt;B64,"*El Total de "&amp;AJ$32&amp;" no debe ser menor que el Total Ambos Sexos.","")))</f>
        <v/>
      </c>
      <c r="CK64" s="112">
        <f>IF((T64+U64)&lt;&gt;B64,1,0)</f>
        <v/>
      </c>
      <c r="CL64" s="112">
        <f>IF((AE64+Z64)&gt;B64,1,0)</f>
        <v/>
      </c>
      <c r="CM64" s="112">
        <f>IF(AND(B64&gt;0,AO64=""),1,IF(AO64&gt;B64,1,0))</f>
        <v/>
      </c>
      <c r="CN64" s="112">
        <f>IF(AND(B64&gt;0,AP64=""),1,IF(AP64&gt;B64,1,0))</f>
        <v/>
      </c>
      <c r="CO64" s="112">
        <f>IF(AND($B64&gt;0,AQ64=""),1,IF(AQ64&gt;$B64,1,0))</f>
        <v/>
      </c>
      <c r="CP64" s="112">
        <f>IF(AND($B64&gt;0,AR64=""),1,IF(AR64&gt;$B64,1,0))</f>
        <v/>
      </c>
      <c r="CQ64" s="112">
        <f>IF(AND($B64&gt;0,AS64=""),1,IF(AS64&gt;$B64,1,0))</f>
        <v/>
      </c>
      <c r="CR64" s="112">
        <f>IF(OR(AND(B64&gt;0,AJ64="",AJ64=""),AK64+AJ64+AL64&gt;B64,AK64+AJ64+AL64&lt;B64),1,0)</f>
        <v/>
      </c>
    </row>
    <row r="65" ht="15" customFormat="1" customHeight="1" s="110">
      <c r="A65" s="3651" t="inlineStr">
        <is>
          <t>Psiquiatría adulto</t>
        </is>
      </c>
      <c r="B65" s="10629">
        <f>SUM(C65:S65)</f>
        <v/>
      </c>
      <c r="C65" s="1333" t="n"/>
      <c r="D65" s="4688" t="n"/>
      <c r="E65" s="4688" t="n"/>
      <c r="F65" s="4688" t="n"/>
      <c r="G65" s="4688" t="n"/>
      <c r="H65" s="4688" t="n"/>
      <c r="I65" s="4688" t="n"/>
      <c r="J65" s="4688" t="n"/>
      <c r="K65" s="4688" t="n"/>
      <c r="L65" s="4688" t="n"/>
      <c r="M65" s="4688" t="n"/>
      <c r="N65" s="4688" t="n"/>
      <c r="O65" s="4688" t="n"/>
      <c r="P65" s="4688" t="n"/>
      <c r="Q65" s="4688" t="n"/>
      <c r="R65" s="4688" t="n"/>
      <c r="S65" s="4697" t="n"/>
      <c r="T65" s="4763" t="n"/>
      <c r="U65" s="775" t="n"/>
      <c r="V65" s="4763" t="n"/>
      <c r="W65" s="775" t="n"/>
      <c r="X65" s="4763" t="n"/>
      <c r="Y65" s="775" t="n"/>
      <c r="Z65" s="3651">
        <f>SUM(AA65+AB65+AC65+AD65)</f>
        <v/>
      </c>
      <c r="AA65" s="4763" t="n"/>
      <c r="AB65" s="814" t="n"/>
      <c r="AC65" s="814" t="n"/>
      <c r="AD65" s="775" t="n"/>
      <c r="AE65" s="3651">
        <f>SUM(AF65+AG65+AH65+AI65)</f>
        <v/>
      </c>
      <c r="AF65" s="4763" t="n"/>
      <c r="AG65" s="814" t="n"/>
      <c r="AH65" s="814" t="n"/>
      <c r="AI65" s="815" t="n"/>
      <c r="AJ65" s="4700" t="n"/>
      <c r="AK65" s="4702" t="n"/>
      <c r="AL65" s="4701" t="n"/>
      <c r="AM65" s="4114" t="n"/>
      <c r="AN65" s="4114" t="n"/>
      <c r="AO65" s="4838" t="n"/>
      <c r="AP65" s="4113" t="n"/>
      <c r="AQ65" s="4114" t="n"/>
      <c r="AR65" s="4838" t="n"/>
      <c r="AS65" s="4113" t="n"/>
      <c r="AT65" s="110">
        <f>CA65&amp;CB65&amp;CC65&amp;CD65&amp;CE65&amp;CF65&amp;CG65</f>
        <v/>
      </c>
      <c r="CA65" s="111">
        <f>IF((T65+U65)&lt;&gt;B65,"* El número de "&amp;C$32&amp;" según Sexo debe ser igual al Total.","")</f>
        <v/>
      </c>
      <c r="CB65" s="111">
        <f>IF((AE65+Z65)&gt;B65," * El Total de "&amp;Z$32&amp;" no debe ser mayor que el Total","")</f>
        <v/>
      </c>
      <c r="CC65" s="111">
        <f>IF(AND(B65&gt;0,AO65="")," * No olvide digitar la variable Pueblos Originarios. Digite Cero si no tiene.",IF(AO65&gt;B65," * La variable Pueblos Originarios no puede ser mayor al Total.",""))</f>
        <v/>
      </c>
      <c r="CD65" s="111">
        <f>IF(AND(B65&gt;0,AP65="")," * No olvide digitar la variable Migrantes. Digite cero si no tiene.",IF(AP65&gt;B65," * La variable Migrantes no puede ser mayor al Total.",""))</f>
        <v/>
      </c>
      <c r="CE65" s="111">
        <f>IF(AND($B65&gt;0,AQ65="")," * No olvide digitar la variable Teleconsulta de especialidad resueltas por Médicos Generales. Digite cero si no tiene.",IF(AQ65&gt;$B65," * La variable Teleconsulta de especialidad resueltas por Médicos Generales no puede ser mayor al Total.",""))</f>
        <v/>
      </c>
      <c r="CF65" s="111">
        <f>IF(AND($B65&gt;0,AR65="")," * No olvide digitar la variable "&amp;AR62&amp;". Digite cero si no tiene.",IF(AR65&gt;$B65," * La variable "&amp;AR62&amp;" no puede ser mayor al Total.",""))</f>
        <v/>
      </c>
      <c r="CG65" s="111">
        <f>IF(AND($B65&gt;0,AS65="")," * No olvide digitar la variable "&amp;AS$32&amp;". Digite cero si no tiene.",IF(AS65&gt;$B65," * La variable "&amp;AS$32&amp;" no puede ser mayor al Total.",""))</f>
        <v/>
      </c>
      <c r="CH65" s="111">
        <f>IF(AND(B65&gt;0,AJ65="",AK65="",AL65=""),"*No olvide digitar datos en "&amp;AJ$32,
IF(AJ65+AK65+AL65&gt;B65,"*El Total de "&amp;AJ$32&amp;" no puede ser mayor que el Total Ambos Sexos.",
IF(AJ65+AK65+AL65&lt;B65,"*El Total de "&amp;AJ$32&amp;" no debe ser menor que el Total Ambos Sexos.","")))</f>
        <v/>
      </c>
      <c r="CK65" s="112">
        <f>IF((T65+U65)&lt;&gt;B65,1,0)</f>
        <v/>
      </c>
      <c r="CL65" s="112">
        <f>IF((AE65+Z65)&gt;B65,1,0)</f>
        <v/>
      </c>
      <c r="CM65" s="112">
        <f>IF(AND(B65&gt;0,AO65=""),1,IF(AO65&gt;B65,1,0))</f>
        <v/>
      </c>
      <c r="CN65" s="112">
        <f>IF(AND(B65&gt;0,AP65=""),1,IF(AP65&gt;B65,1,0))</f>
        <v/>
      </c>
      <c r="CO65" s="112">
        <f>IF(AND($B65&gt;0,AQ65=""),1,IF(AQ65&gt;$B65,1,0))</f>
        <v/>
      </c>
      <c r="CP65" s="112">
        <f>IF(AND($B65&gt;0,AR65=""),1,IF(AR65&gt;$B65,1,0))</f>
        <v/>
      </c>
      <c r="CQ65" s="112">
        <f>IF(AND($B65&gt;0,AS65=""),1,IF(AS65&gt;$B65,1,0))</f>
        <v/>
      </c>
      <c r="CR65" s="112">
        <f>IF(OR(AND(B65&gt;0,AJ65="",AJ65=""),AK65+AJ65+AL65&gt;B65,AK65+AJ65+AL65&lt;B65),1,0)</f>
        <v/>
      </c>
    </row>
    <row r="66" ht="15" customFormat="1" customHeight="1" s="110">
      <c r="A66" s="3651" t="inlineStr">
        <is>
          <t>Cirugía pediátrica</t>
        </is>
      </c>
      <c r="B66" s="10629">
        <f>SUM(C66:S66)</f>
        <v/>
      </c>
      <c r="C66" s="1333" t="n"/>
      <c r="D66" s="4688" t="n"/>
      <c r="E66" s="4688" t="n"/>
      <c r="F66" s="4688" t="n"/>
      <c r="G66" s="4688" t="n"/>
      <c r="H66" s="4688" t="n"/>
      <c r="I66" s="4688" t="n"/>
      <c r="J66" s="4688" t="n"/>
      <c r="K66" s="4688" t="n"/>
      <c r="L66" s="4688" t="n"/>
      <c r="M66" s="4688" t="n"/>
      <c r="N66" s="4688" t="n"/>
      <c r="O66" s="4688" t="n"/>
      <c r="P66" s="4688" t="n"/>
      <c r="Q66" s="4688" t="n"/>
      <c r="R66" s="4688" t="n"/>
      <c r="S66" s="4697" t="n"/>
      <c r="T66" s="4763" t="n"/>
      <c r="U66" s="775" t="n"/>
      <c r="V66" s="4763" t="n"/>
      <c r="W66" s="775" t="n"/>
      <c r="X66" s="4763" t="n"/>
      <c r="Y66" s="775" t="n"/>
      <c r="Z66" s="3651">
        <f>SUM(AA66+AB66+AC66+AD66)</f>
        <v/>
      </c>
      <c r="AA66" s="4763" t="n"/>
      <c r="AB66" s="814" t="n"/>
      <c r="AC66" s="814" t="n"/>
      <c r="AD66" s="775" t="n"/>
      <c r="AE66" s="3651">
        <f>SUM(AF66+AG66+AH66+AI66)</f>
        <v/>
      </c>
      <c r="AF66" s="4763" t="n"/>
      <c r="AG66" s="814" t="n"/>
      <c r="AH66" s="814" t="n"/>
      <c r="AI66" s="815" t="n"/>
      <c r="AJ66" s="4700" t="n"/>
      <c r="AK66" s="4702" t="n"/>
      <c r="AL66" s="4701" t="n"/>
      <c r="AM66" s="4114" t="n"/>
      <c r="AN66" s="4114" t="n"/>
      <c r="AO66" s="4838" t="n"/>
      <c r="AP66" s="4113" t="n"/>
      <c r="AQ66" s="4114" t="n"/>
      <c r="AR66" s="4838" t="n"/>
      <c r="AS66" s="4113" t="n"/>
      <c r="AT66" s="110">
        <f>CA66&amp;CB66&amp;CC66&amp;CD66&amp;CE66&amp;CF66&amp;CG66</f>
        <v/>
      </c>
      <c r="CA66" s="111">
        <f>IF((T66+U66)&lt;&gt;B66,"* El número de "&amp;C$32&amp;" según Sexo debe ser igual al Total.","")</f>
        <v/>
      </c>
      <c r="CB66" s="111">
        <f>IF((AE66+Z66)&gt;B66," * El Total de "&amp;Z$32&amp;" no debe ser mayor que el Total","")</f>
        <v/>
      </c>
      <c r="CC66" s="111">
        <f>IF(AND(B66&gt;0,AO66="")," * No olvide digitar la variable Pueblos Originarios. Digite Cero si no tiene.",IF(AO66&gt;B66," * La variable Pueblos Originarios no puede ser mayor al Total.",""))</f>
        <v/>
      </c>
      <c r="CD66" s="111">
        <f>IF(AND(B66&gt;0,AP66="")," * No olvide digitar la variable Migrantes. Digite cero si no tiene.",IF(AP66&gt;B66," * La variable Migrantes no puede ser mayor al Total.",""))</f>
        <v/>
      </c>
      <c r="CE66" s="111">
        <f>IF(AND($B66&gt;0,AQ66="")," * No olvide digitar la variable Teleconsulta de especialidad resueltas por Médicos Generales. Digite cero si no tiene.",IF(AQ66&gt;$B66," * La variable Teleconsulta de especialidad resueltas por Médicos Generales no puede ser mayor al Total.",""))</f>
        <v/>
      </c>
      <c r="CF66" s="111">
        <f>IF(AND($B66&gt;0,AR66="")," * No olvide digitar la variable "&amp;AR63&amp;". Digite cero si no tiene.",IF(AR66&gt;$B66," * La variable "&amp;AR63&amp;" no puede ser mayor al Total.",""))</f>
        <v/>
      </c>
      <c r="CG66" s="111">
        <f>IF(AND($B66&gt;0,AS66="")," * No olvide digitar la variable "&amp;AS$32&amp;". Digite cero si no tiene.",IF(AS66&gt;$B66," * La variable "&amp;AS$32&amp;" no puede ser mayor al Total.",""))</f>
        <v/>
      </c>
      <c r="CH66" s="111">
        <f>IF(AND(B66&gt;0,AJ66="",AK66="",AL66=""),"*No olvide digitar datos en "&amp;AJ$32,
IF(AJ66+AK66+AL66&gt;B66,"*El Total de "&amp;AJ$32&amp;" no puede ser mayor que el Total Ambos Sexos.",
IF(AJ66+AK66+AL66&lt;B66,"*El Total de "&amp;AJ$32&amp;" no debe ser menor que el Total Ambos Sexos.","")))</f>
        <v/>
      </c>
      <c r="CK66" s="112">
        <f>IF((T66+U66)&lt;&gt;B66,1,0)</f>
        <v/>
      </c>
      <c r="CL66" s="112">
        <f>IF((AE66+Z66)&gt;B66,1,0)</f>
        <v/>
      </c>
      <c r="CM66" s="112">
        <f>IF(AND(B66&gt;0,AO66=""),1,IF(AO66&gt;B66,1,0))</f>
        <v/>
      </c>
      <c r="CN66" s="112">
        <f>IF(AND(B66&gt;0,AP66=""),1,IF(AP66&gt;B66,1,0))</f>
        <v/>
      </c>
      <c r="CO66" s="112">
        <f>IF(AND($B66&gt;0,AQ66=""),1,IF(AQ66&gt;$B66,1,0))</f>
        <v/>
      </c>
      <c r="CP66" s="112">
        <f>IF(AND($B66&gt;0,AR66=""),1,IF(AR66&gt;$B66,1,0))</f>
        <v/>
      </c>
      <c r="CQ66" s="112">
        <f>IF(AND($B66&gt;0,AS66=""),1,IF(AS66&gt;$B66,1,0))</f>
        <v/>
      </c>
      <c r="CR66" s="112">
        <f>IF(OR(AND(B66&gt;0,AJ66="",AJ66=""),AK66+AJ66+AL66&gt;B66,AK66+AJ66+AL66&lt;B66),1,0)</f>
        <v/>
      </c>
    </row>
    <row r="67" ht="15" customFormat="1" customHeight="1" s="110">
      <c r="A67" s="3785" t="inlineStr">
        <is>
          <t>Cirugía General</t>
        </is>
      </c>
      <c r="B67" s="10629">
        <f>SUM(C67:S67)</f>
        <v/>
      </c>
      <c r="C67" s="1333" t="n"/>
      <c r="D67" s="4688" t="n"/>
      <c r="E67" s="4688" t="n"/>
      <c r="F67" s="4688" t="n"/>
      <c r="G67" s="4688" t="n"/>
      <c r="H67" s="4688" t="n"/>
      <c r="I67" s="4688" t="n"/>
      <c r="J67" s="4688" t="n"/>
      <c r="K67" s="4688" t="n"/>
      <c r="L67" s="4688" t="n"/>
      <c r="M67" s="4688" t="n"/>
      <c r="N67" s="4688" t="n"/>
      <c r="O67" s="4688" t="n"/>
      <c r="P67" s="4688" t="n"/>
      <c r="Q67" s="4688" t="n"/>
      <c r="R67" s="4688" t="n"/>
      <c r="S67" s="4697" t="n"/>
      <c r="T67" s="4763" t="n"/>
      <c r="U67" s="775" t="n"/>
      <c r="V67" s="4763" t="n"/>
      <c r="W67" s="775" t="n"/>
      <c r="X67" s="4763" t="n"/>
      <c r="Y67" s="775" t="n"/>
      <c r="Z67" s="3651">
        <f>SUM(AA67+AB67+AC67+AD67)</f>
        <v/>
      </c>
      <c r="AA67" s="4763" t="n"/>
      <c r="AB67" s="814" t="n"/>
      <c r="AC67" s="814" t="n"/>
      <c r="AD67" s="775" t="n"/>
      <c r="AE67" s="3651">
        <f>SUM(AF67+AG67+AH67+AI67)</f>
        <v/>
      </c>
      <c r="AF67" s="4763" t="n"/>
      <c r="AG67" s="814" t="n"/>
      <c r="AH67" s="814" t="n"/>
      <c r="AI67" s="815" t="n"/>
      <c r="AJ67" s="4700" t="n"/>
      <c r="AK67" s="4702" t="n"/>
      <c r="AL67" s="4701" t="n"/>
      <c r="AM67" s="4114" t="n"/>
      <c r="AN67" s="4114" t="n"/>
      <c r="AO67" s="4838" t="n"/>
      <c r="AP67" s="4113" t="n"/>
      <c r="AQ67" s="4114" t="n"/>
      <c r="AR67" s="4838" t="n"/>
      <c r="AS67" s="4113" t="n"/>
      <c r="AT67" s="110">
        <f>CA67&amp;CB67&amp;CC67&amp;CD67&amp;CE67&amp;CF67&amp;CG67</f>
        <v/>
      </c>
      <c r="CA67" s="111">
        <f>IF((T67+U67)&lt;&gt;B67,"* El número de "&amp;C$32&amp;" según Sexo debe ser igual al Total.","")</f>
        <v/>
      </c>
      <c r="CB67" s="111">
        <f>IF((AE67+Z67)&gt;B67," * El Total de "&amp;Z$32&amp;" no debe ser mayor que el Total","")</f>
        <v/>
      </c>
      <c r="CC67" s="111">
        <f>IF(AND(B67&gt;0,AO67="")," * No olvide digitar la variable Pueblos Originarios. Digite Cero si no tiene.",IF(AO67&gt;B67," * La variable Pueblos Originarios no puede ser mayor al Total.",""))</f>
        <v/>
      </c>
      <c r="CD67" s="111">
        <f>IF(AND(B67&gt;0,AP67="")," * No olvide digitar la variable Migrantes. Digite cero si no tiene.",IF(AP67&gt;B67," * La variable Migrantes no puede ser mayor al Total.",""))</f>
        <v/>
      </c>
      <c r="CE67" s="111">
        <f>IF(AND($B67&gt;0,AQ67="")," * No olvide digitar la variable Teleconsulta de especialidad resueltas por Médicos Generales. Digite cero si no tiene.",IF(AQ67&gt;$B67," * La variable Teleconsulta de especialidad resueltas por Médicos Generales no puede ser mayor al Total.",""))</f>
        <v/>
      </c>
      <c r="CF67" s="111">
        <f>IF(AND($B67&gt;0,AR67="")," * No olvide digitar la variable "&amp;AR64&amp;". Digite cero si no tiene.",IF(AR67&gt;$B67," * La variable "&amp;AR64&amp;" no puede ser mayor al Total.",""))</f>
        <v/>
      </c>
      <c r="CG67" s="111">
        <f>IF(AND($B67&gt;0,AS67="")," * No olvide digitar la variable "&amp;AS$32&amp;". Digite cero si no tiene.",IF(AS67&gt;$B67," * La variable "&amp;AS$32&amp;" no puede ser mayor al Total.",""))</f>
        <v/>
      </c>
      <c r="CH67" s="111">
        <f>IF(AND(B67&gt;0,AJ67="",AK67="",AL67=""),"*No olvide digitar datos en "&amp;AJ$32,
IF(AJ67+AK67+AL67&gt;B67,"*El Total de "&amp;AJ$32&amp;" no puede ser mayor que el Total Ambos Sexos.",
IF(AJ67+AK67+AL67&lt;B67,"*El Total de "&amp;AJ$32&amp;" no debe ser menor que el Total Ambos Sexos.","")))</f>
        <v/>
      </c>
      <c r="CK67" s="112">
        <f>IF((T67+U67)&lt;&gt;B67,1,0)</f>
        <v/>
      </c>
      <c r="CL67" s="112">
        <f>IF((AE67+Z67)&gt;B67,1,0)</f>
        <v/>
      </c>
      <c r="CM67" s="112">
        <f>IF(AND(B67&gt;0,AO67=""),1,IF(AO67&gt;B67,1,0))</f>
        <v/>
      </c>
      <c r="CN67" s="112">
        <f>IF(AND(B67&gt;0,AP67=""),1,IF(AP67&gt;B67,1,0))</f>
        <v/>
      </c>
      <c r="CO67" s="112">
        <f>IF(AND($B67&gt;0,AQ67=""),1,IF(AQ67&gt;$B67,1,0))</f>
        <v/>
      </c>
      <c r="CP67" s="112">
        <f>IF(AND($B67&gt;0,AR67=""),1,IF(AR67&gt;$B67,1,0))</f>
        <v/>
      </c>
      <c r="CQ67" s="112">
        <f>IF(AND($B67&gt;0,AS67=""),1,IF(AS67&gt;$B67,1,0))</f>
        <v/>
      </c>
      <c r="CR67" s="112">
        <f>IF(OR(AND(B67&gt;0,AJ67="",AJ67=""),AK67+AJ67+AL67&gt;B67,AK67+AJ67+AL67&lt;B67),1,0)</f>
        <v/>
      </c>
    </row>
    <row r="68" ht="15" customFormat="1" customHeight="1" s="110">
      <c r="A68" s="116" t="inlineStr">
        <is>
          <t>Cirugía digestiva</t>
        </is>
      </c>
      <c r="B68" s="10629">
        <f>SUM(C68:S68)</f>
        <v/>
      </c>
      <c r="C68" s="4768" t="n"/>
      <c r="D68" s="4767" t="n"/>
      <c r="E68" s="4767" t="n"/>
      <c r="F68" s="4767" t="n"/>
      <c r="G68" s="4688" t="n"/>
      <c r="H68" s="4688" t="n"/>
      <c r="I68" s="4688" t="n"/>
      <c r="J68" s="4688" t="n"/>
      <c r="K68" s="4688" t="n"/>
      <c r="L68" s="4688" t="n"/>
      <c r="M68" s="4688" t="n"/>
      <c r="N68" s="4688" t="n"/>
      <c r="O68" s="4688" t="n"/>
      <c r="P68" s="4688" t="n"/>
      <c r="Q68" s="4688" t="n"/>
      <c r="R68" s="4688" t="n"/>
      <c r="S68" s="4697" t="n"/>
      <c r="T68" s="4763" t="n"/>
      <c r="U68" s="775" t="n"/>
      <c r="V68" s="4763" t="n"/>
      <c r="W68" s="775" t="n"/>
      <c r="X68" s="4763" t="n"/>
      <c r="Y68" s="775" t="n"/>
      <c r="Z68" s="3651">
        <f>SUM(AA68+AB68+AC68+AD68)</f>
        <v/>
      </c>
      <c r="AA68" s="4763" t="n"/>
      <c r="AB68" s="814" t="n"/>
      <c r="AC68" s="814" t="n"/>
      <c r="AD68" s="775" t="n"/>
      <c r="AE68" s="3651">
        <f>SUM(AF68+AG68+AH68+AI68)</f>
        <v/>
      </c>
      <c r="AF68" s="4763" t="n"/>
      <c r="AG68" s="814" t="n"/>
      <c r="AH68" s="814" t="n"/>
      <c r="AI68" s="815" t="n"/>
      <c r="AJ68" s="4700" t="n"/>
      <c r="AK68" s="4702" t="n"/>
      <c r="AL68" s="4701" t="n"/>
      <c r="AM68" s="4114" t="n"/>
      <c r="AN68" s="4114" t="n"/>
      <c r="AO68" s="4838" t="n"/>
      <c r="AP68" s="4113" t="n"/>
      <c r="AQ68" s="4114" t="n"/>
      <c r="AR68" s="4838" t="n"/>
      <c r="AS68" s="4113" t="n"/>
      <c r="AT68" s="110">
        <f>CA68&amp;CB68&amp;CC68&amp;CD68&amp;CE68&amp;CF68&amp;CG68</f>
        <v/>
      </c>
      <c r="CA68" s="111">
        <f>IF((T68+U68)&lt;&gt;B68,"* El número de "&amp;C$32&amp;" según Sexo debe ser igual al Total.","")</f>
        <v/>
      </c>
      <c r="CB68" s="111">
        <f>IF((AE68+Z68)&gt;B68," * El Total de "&amp;Z$32&amp;" no debe ser mayor que el Total","")</f>
        <v/>
      </c>
      <c r="CC68" s="111">
        <f>IF(AND(B68&gt;0,AO68="")," * No olvide digitar la variable Pueblos Originarios. Digite Cero si no tiene.",IF(AO68&gt;B68," * La variable Pueblos Originarios no puede ser mayor al Total.",""))</f>
        <v/>
      </c>
      <c r="CD68" s="111">
        <f>IF(AND(B68&gt;0,AP68="")," * No olvide digitar la variable Migrantes. Digite cero si no tiene.",IF(AP68&gt;B68," * La variable Migrantes no puede ser mayor al Total.",""))</f>
        <v/>
      </c>
      <c r="CE68" s="111">
        <f>IF(AND($B68&gt;0,AQ68="")," * No olvide digitar la variable Teleconsulta de especialidad resueltas por Médicos Generales. Digite cero si no tiene.",IF(AQ68&gt;$B68," * La variable Teleconsulta de especialidad resueltas por Médicos Generales no puede ser mayor al Total.",""))</f>
        <v/>
      </c>
      <c r="CF68" s="111">
        <f>IF(AND($B68&gt;0,AR68="")," * No olvide digitar la variable "&amp;AR65&amp;". Digite cero si no tiene.",IF(AR68&gt;$B68," * La variable "&amp;AR65&amp;" no puede ser mayor al Total.",""))</f>
        <v/>
      </c>
      <c r="CG68" s="111">
        <f>IF(AND($B68&gt;0,AS68="")," * No olvide digitar la variable "&amp;AS$32&amp;". Digite cero si no tiene.",IF(AS68&gt;$B68," * La variable "&amp;AS$32&amp;" no puede ser mayor al Total.",""))</f>
        <v/>
      </c>
      <c r="CH68" s="111">
        <f>IF(AND(B68&gt;0,AJ68="",AK68="",AL68=""),"*No olvide digitar datos en "&amp;AJ$32,
IF(AJ68+AK68+AL68&gt;B68,"*El Total de "&amp;AJ$32&amp;" no puede ser mayor que el Total Ambos Sexos.",
IF(AJ68+AK68+AL68&lt;B68,"*El Total de "&amp;AJ$32&amp;" no debe ser menor que el Total Ambos Sexos.","")))</f>
        <v/>
      </c>
      <c r="CK68" s="112">
        <f>IF((T68+U68)&lt;&gt;B68,1,0)</f>
        <v/>
      </c>
      <c r="CL68" s="112">
        <f>IF((AE68+Z68)&gt;B68,1,0)</f>
        <v/>
      </c>
      <c r="CM68" s="112">
        <f>IF(AND(B68&gt;0,AO68=""),1,IF(AO68&gt;B68,1,0))</f>
        <v/>
      </c>
      <c r="CN68" s="112">
        <f>IF(AND(B68&gt;0,AP68=""),1,IF(AP68&gt;B68,1,0))</f>
        <v/>
      </c>
      <c r="CO68" s="112">
        <f>IF(AND($B68&gt;0,AQ68=""),1,IF(AQ68&gt;$B68,1,0))</f>
        <v/>
      </c>
      <c r="CP68" s="112">
        <f>IF(AND($B68&gt;0,AR68=""),1,IF(AR68&gt;$B68,1,0))</f>
        <v/>
      </c>
      <c r="CQ68" s="112">
        <f>IF(AND($B68&gt;0,AS68=""),1,IF(AS68&gt;$B68,1,0))</f>
        <v/>
      </c>
      <c r="CR68" s="112">
        <f>IF(OR(AND(B68&gt;0,AJ68="",AJ68=""),AK68+AJ68+AL68&gt;B68,AK68+AJ68+AL68&lt;B68),1,0)</f>
        <v/>
      </c>
    </row>
    <row r="69" ht="15" customFormat="1" customHeight="1" s="110">
      <c r="A69" s="3663" t="inlineStr">
        <is>
          <t>Cirugía de cabeza, cuello y maxilofacial</t>
        </is>
      </c>
      <c r="B69" s="10629">
        <f>SUM(C69:S69)</f>
        <v/>
      </c>
      <c r="C69" s="4768" t="n"/>
      <c r="D69" s="4767" t="n"/>
      <c r="E69" s="4767" t="n"/>
      <c r="F69" s="4767" t="n"/>
      <c r="G69" s="4688" t="n"/>
      <c r="H69" s="4688" t="n"/>
      <c r="I69" s="4688" t="n"/>
      <c r="J69" s="4688" t="n"/>
      <c r="K69" s="4688" t="n"/>
      <c r="L69" s="4688" t="n"/>
      <c r="M69" s="4688" t="n"/>
      <c r="N69" s="4688" t="n"/>
      <c r="O69" s="4688" t="n"/>
      <c r="P69" s="4688" t="n"/>
      <c r="Q69" s="4688" t="n"/>
      <c r="R69" s="4688" t="n"/>
      <c r="S69" s="4697" t="n"/>
      <c r="T69" s="4763" t="n"/>
      <c r="U69" s="775" t="n"/>
      <c r="V69" s="4763" t="n"/>
      <c r="W69" s="775" t="n"/>
      <c r="X69" s="4763" t="n"/>
      <c r="Y69" s="775" t="n"/>
      <c r="Z69" s="3651">
        <f>SUM(AA69+AB69+AC69+AD69)</f>
        <v/>
      </c>
      <c r="AA69" s="4763" t="n"/>
      <c r="AB69" s="814" t="n"/>
      <c r="AC69" s="814" t="n"/>
      <c r="AD69" s="775" t="n"/>
      <c r="AE69" s="3651">
        <f>SUM(AF69+AG69+AH69+AI69)</f>
        <v/>
      </c>
      <c r="AF69" s="4763" t="n"/>
      <c r="AG69" s="814" t="n"/>
      <c r="AH69" s="814" t="n"/>
      <c r="AI69" s="815" t="n"/>
      <c r="AJ69" s="4700" t="n"/>
      <c r="AK69" s="4702" t="n"/>
      <c r="AL69" s="4701" t="n"/>
      <c r="AM69" s="4114" t="n"/>
      <c r="AN69" s="4114" t="n"/>
      <c r="AO69" s="4838" t="n"/>
      <c r="AP69" s="4113" t="n"/>
      <c r="AQ69" s="4114" t="n"/>
      <c r="AR69" s="4838" t="n"/>
      <c r="AS69" s="4113" t="n"/>
      <c r="AT69" s="110">
        <f>CA69&amp;CB69&amp;CC69&amp;CD69&amp;CE69&amp;CF69&amp;CG69</f>
        <v/>
      </c>
      <c r="CA69" s="111">
        <f>IF((T69+U69)&lt;&gt;B69,"* El número de "&amp;C$32&amp;" según Sexo debe ser igual al Total.","")</f>
        <v/>
      </c>
      <c r="CB69" s="111">
        <f>IF((AE69+Z69)&gt;B69," * El Total de "&amp;Z$32&amp;" no debe ser mayor que el Total","")</f>
        <v/>
      </c>
      <c r="CC69" s="111">
        <f>IF(AND(B69&gt;0,AO69="")," * No olvide digitar la variable Pueblos Originarios. Digite Cero si no tiene.",IF(AO69&gt;B69," * La variable Pueblos Originarios no puede ser mayor al Total.",""))</f>
        <v/>
      </c>
      <c r="CD69" s="111">
        <f>IF(AND(B69&gt;0,AP69="")," * No olvide digitar la variable Migrantes. Digite cero si no tiene.",IF(AP69&gt;B69," * La variable Migrantes no puede ser mayor al Total.",""))</f>
        <v/>
      </c>
      <c r="CE69" s="111">
        <f>IF(AND($B69&gt;0,AQ69="")," * No olvide digitar la variable Teleconsulta de especialidad resueltas por Médicos Generales. Digite cero si no tiene.",IF(AQ69&gt;$B69," * La variable Teleconsulta de especialidad resueltas por Médicos Generales no puede ser mayor al Total.",""))</f>
        <v/>
      </c>
      <c r="CF69" s="111">
        <f>IF(AND($B69&gt;0,AR69="")," * No olvide digitar la variable "&amp;AR66&amp;". Digite cero si no tiene.",IF(AR69&gt;$B69," * La variable "&amp;AR66&amp;" no puede ser mayor al Total.",""))</f>
        <v/>
      </c>
      <c r="CG69" s="111">
        <f>IF(AND($B69&gt;0,AS69="")," * No olvide digitar la variable "&amp;AS$32&amp;". Digite cero si no tiene.",IF(AS69&gt;$B69," * La variable "&amp;AS$32&amp;" no puede ser mayor al Total.",""))</f>
        <v/>
      </c>
      <c r="CH69" s="111">
        <f>IF(AND(B69&gt;0,AJ69="",AK69="",AL69=""),"*No olvide digitar datos en "&amp;AJ$32,
IF(AJ69+AK69+AL69&gt;B69,"*El Total de "&amp;AJ$32&amp;" no puede ser mayor que el Total Ambos Sexos.",
IF(AJ69+AK69+AL69&lt;B69,"*El Total de "&amp;AJ$32&amp;" no debe ser menor que el Total Ambos Sexos.","")))</f>
        <v/>
      </c>
      <c r="CK69" s="112">
        <f>IF((T69+U69)&lt;&gt;B69,1,0)</f>
        <v/>
      </c>
      <c r="CL69" s="112">
        <f>IF((AE69+Z69)&gt;B69,1,0)</f>
        <v/>
      </c>
      <c r="CM69" s="112">
        <f>IF(AND(B69&gt;0,AO69=""),1,IF(AO69&gt;B69,1,0))</f>
        <v/>
      </c>
      <c r="CN69" s="112">
        <f>IF(AND(B69&gt;0,AP69=""),1,IF(AP69&gt;B69,1,0))</f>
        <v/>
      </c>
      <c r="CO69" s="112">
        <f>IF(AND($B69&gt;0,AQ69=""),1,IF(AQ69&gt;$B69,1,0))</f>
        <v/>
      </c>
      <c r="CP69" s="112">
        <f>IF(AND($B69&gt;0,AR69=""),1,IF(AR69&gt;$B69,1,0))</f>
        <v/>
      </c>
      <c r="CQ69" s="112">
        <f>IF(AND($B69&gt;0,AS69=""),1,IF(AS69&gt;$B69,1,0))</f>
        <v/>
      </c>
      <c r="CR69" s="112">
        <f>IF(OR(AND(B69&gt;0,AJ69="",AJ69=""),AK69+AJ69+AL69&gt;B69,AK69+AJ69+AL69&lt;B69),1,0)</f>
        <v/>
      </c>
    </row>
    <row r="70" ht="15" customFormat="1" customHeight="1" s="110">
      <c r="A70" s="3785" t="inlineStr">
        <is>
          <t xml:space="preserve">Cirugía Plástica y Reparadora </t>
        </is>
      </c>
      <c r="B70" s="10629">
        <f>SUM(C70:S70)</f>
        <v/>
      </c>
      <c r="C70" s="4768" t="n"/>
      <c r="D70" s="4767" t="n"/>
      <c r="E70" s="4767" t="n"/>
      <c r="F70" s="4767" t="n"/>
      <c r="G70" s="4767" t="n"/>
      <c r="H70" s="4767" t="n"/>
      <c r="I70" s="4767" t="n"/>
      <c r="J70" s="4767" t="n"/>
      <c r="K70" s="4767" t="n"/>
      <c r="L70" s="4688" t="n"/>
      <c r="M70" s="4688" t="n"/>
      <c r="N70" s="4688" t="n"/>
      <c r="O70" s="4688" t="n"/>
      <c r="P70" s="4688" t="n"/>
      <c r="Q70" s="4688" t="n"/>
      <c r="R70" s="4688" t="n"/>
      <c r="S70" s="4697" t="n"/>
      <c r="T70" s="4763" t="n"/>
      <c r="U70" s="775" t="n"/>
      <c r="V70" s="4763" t="n"/>
      <c r="W70" s="775" t="n"/>
      <c r="X70" s="4763" t="n"/>
      <c r="Y70" s="775" t="n"/>
      <c r="Z70" s="3651">
        <f>SUM(AA70+AB70+AC70+AD70)</f>
        <v/>
      </c>
      <c r="AA70" s="4763" t="n"/>
      <c r="AB70" s="814" t="n"/>
      <c r="AC70" s="814" t="n"/>
      <c r="AD70" s="775" t="n"/>
      <c r="AE70" s="3651">
        <f>SUM(AF70+AG70+AH70+AI70)</f>
        <v/>
      </c>
      <c r="AF70" s="4763" t="n"/>
      <c r="AG70" s="814" t="n"/>
      <c r="AH70" s="814" t="n"/>
      <c r="AI70" s="815" t="n"/>
      <c r="AJ70" s="4700" t="n"/>
      <c r="AK70" s="4702" t="n"/>
      <c r="AL70" s="4701" t="n"/>
      <c r="AM70" s="4114" t="n"/>
      <c r="AN70" s="4114" t="n"/>
      <c r="AO70" s="4838" t="n"/>
      <c r="AP70" s="4113" t="n"/>
      <c r="AQ70" s="4114" t="n"/>
      <c r="AR70" s="4838" t="n"/>
      <c r="AS70" s="4113" t="n"/>
      <c r="AT70" s="110">
        <f>CA70&amp;CB70&amp;CC70&amp;CD70&amp;CE70&amp;CF70&amp;CG70</f>
        <v/>
      </c>
      <c r="CA70" s="111">
        <f>IF((T70+U70)&lt;&gt;B70,"* El número de "&amp;C$32&amp;" según Sexo debe ser igual al Total.","")</f>
        <v/>
      </c>
      <c r="CB70" s="111">
        <f>IF((AE70+Z70)&gt;B70," * El Total de "&amp;Z$32&amp;" no debe ser mayor que el Total","")</f>
        <v/>
      </c>
      <c r="CC70" s="111">
        <f>IF(AND(B70&gt;0,AO70="")," * No olvide digitar la variable Pueblos Originarios. Digite Cero si no tiene.",IF(AO70&gt;B70," * La variable Pueblos Originarios no puede ser mayor al Total.",""))</f>
        <v/>
      </c>
      <c r="CD70" s="111">
        <f>IF(AND(B70&gt;0,AP70="")," * No olvide digitar la variable Migrantes. Digite cero si no tiene.",IF(AP70&gt;B70," * La variable Migrantes no puede ser mayor al Total.",""))</f>
        <v/>
      </c>
      <c r="CE70" s="111">
        <f>IF(AND($B70&gt;0,AQ70="")," * No olvide digitar la variable Teleconsulta de especialidad resueltas por Médicos Generales. Digite cero si no tiene.",IF(AQ70&gt;$B70," * La variable Teleconsulta de especialidad resueltas por Médicos Generales no puede ser mayor al Total.",""))</f>
        <v/>
      </c>
      <c r="CF70" s="111">
        <f>IF(AND($B70&gt;0,AR70="")," * No olvide digitar la variable "&amp;AR67&amp;". Digite cero si no tiene.",IF(AR70&gt;$B70," * La variable "&amp;AR67&amp;" no puede ser mayor al Total.",""))</f>
        <v/>
      </c>
      <c r="CG70" s="111">
        <f>IF(AND($B70&gt;0,AS70="")," * No olvide digitar la variable "&amp;AS$32&amp;". Digite cero si no tiene.",IF(AS70&gt;$B70," * La variable "&amp;AS$32&amp;" no puede ser mayor al Total.",""))</f>
        <v/>
      </c>
      <c r="CH70" s="111">
        <f>IF(AND(B70&gt;0,AJ70="",AK70="",AL70=""),"*No olvide digitar datos en "&amp;AJ$32,
IF(AJ70+AK70+AL70&gt;B70,"*El Total de "&amp;AJ$32&amp;" no puede ser mayor que el Total Ambos Sexos.",
IF(AJ70+AK70+AL70&lt;B70,"*El Total de "&amp;AJ$32&amp;" no debe ser menor que el Total Ambos Sexos.","")))</f>
        <v/>
      </c>
      <c r="CK70" s="112">
        <f>IF((T70+U70)&lt;&gt;B70,1,0)</f>
        <v/>
      </c>
      <c r="CL70" s="112">
        <f>IF((AE70+Z70)&gt;B70,1,0)</f>
        <v/>
      </c>
      <c r="CM70" s="112">
        <f>IF(AND(B70&gt;0,AO70=""),1,IF(AO70&gt;B70,1,0))</f>
        <v/>
      </c>
      <c r="CN70" s="112">
        <f>IF(AND(B70&gt;0,AP70=""),1,IF(AP70&gt;B70,1,0))</f>
        <v/>
      </c>
      <c r="CO70" s="112">
        <f>IF(AND($B70&gt;0,AQ70=""),1,IF(AQ70&gt;$B70,1,0))</f>
        <v/>
      </c>
      <c r="CP70" s="112">
        <f>IF(AND($B70&gt;0,AR70=""),1,IF(AR70&gt;$B70,1,0))</f>
        <v/>
      </c>
      <c r="CQ70" s="112">
        <f>IF(AND($B70&gt;0,AS70=""),1,IF(AS70&gt;$B70,1,0))</f>
        <v/>
      </c>
      <c r="CR70" s="112">
        <f>IF(OR(AND(B70&gt;0,AJ70="",AJ70=""),AK70+AJ70+AL70&gt;B70,AK70+AJ70+AL70&lt;B70),1,0)</f>
        <v/>
      </c>
    </row>
    <row r="71" ht="15" customFormat="1" customHeight="1" s="110">
      <c r="A71" s="3785" t="inlineStr">
        <is>
          <t>Medicina del Deporte</t>
        </is>
      </c>
      <c r="B71" s="10629">
        <f>SUM(C71:S71)</f>
        <v/>
      </c>
      <c r="C71" s="4768" t="n"/>
      <c r="D71" s="4767" t="n"/>
      <c r="E71" s="4767" t="n"/>
      <c r="F71" s="4767" t="n"/>
      <c r="G71" s="4688" t="n"/>
      <c r="H71" s="4688" t="n"/>
      <c r="I71" s="4688" t="n"/>
      <c r="J71" s="4688" t="n"/>
      <c r="K71" s="4688" t="n"/>
      <c r="L71" s="4688" t="n"/>
      <c r="M71" s="4688" t="n"/>
      <c r="N71" s="4688" t="n"/>
      <c r="O71" s="4688" t="n"/>
      <c r="P71" s="4688" t="n"/>
      <c r="Q71" s="4688" t="n"/>
      <c r="R71" s="4688" t="n"/>
      <c r="S71" s="4697" t="n"/>
      <c r="T71" s="4763" t="n"/>
      <c r="U71" s="775" t="n"/>
      <c r="V71" s="4763" t="n"/>
      <c r="W71" s="775" t="n"/>
      <c r="X71" s="4763" t="n"/>
      <c r="Y71" s="775" t="n"/>
      <c r="Z71" s="3651">
        <f>SUM(AA71+AB71+AC71+AD71)</f>
        <v/>
      </c>
      <c r="AA71" s="4763" t="n"/>
      <c r="AB71" s="814" t="n"/>
      <c r="AC71" s="814" t="n"/>
      <c r="AD71" s="775" t="n"/>
      <c r="AE71" s="3651">
        <f>SUM(AF71+AG71+AH71+AI71)</f>
        <v/>
      </c>
      <c r="AF71" s="4763" t="n"/>
      <c r="AG71" s="814" t="n"/>
      <c r="AH71" s="814" t="n"/>
      <c r="AI71" s="815" t="n"/>
      <c r="AJ71" s="4700" t="n"/>
      <c r="AK71" s="4702" t="n"/>
      <c r="AL71" s="4701" t="n"/>
      <c r="AM71" s="4114" t="n"/>
      <c r="AN71" s="4114" t="n"/>
      <c r="AO71" s="4838" t="n"/>
      <c r="AP71" s="4113" t="n"/>
      <c r="AQ71" s="4114" t="n"/>
      <c r="AR71" s="4838" t="n"/>
      <c r="AS71" s="4113" t="n"/>
      <c r="AT71" s="110">
        <f>CA71&amp;CB71&amp;CC71&amp;CD71&amp;CE71&amp;CF71&amp;CG71</f>
        <v/>
      </c>
      <c r="CA71" s="111">
        <f>IF((T71+U71)&lt;&gt;B71,"* El número de "&amp;C$32&amp;" según Sexo debe ser igual al Total.","")</f>
        <v/>
      </c>
      <c r="CB71" s="111">
        <f>IF((AE71+Z71)&gt;B71," * El Total de "&amp;Z$32&amp;" no debe ser mayor que el Total","")</f>
        <v/>
      </c>
      <c r="CC71" s="111">
        <f>IF(AND(B71&gt;0,AO71="")," * No olvide digitar la variable Pueblos Originarios. Digite Cero si no tiene.",IF(AO71&gt;B71," * La variable Pueblos Originarios no puede ser mayor al Total.",""))</f>
        <v/>
      </c>
      <c r="CD71" s="111">
        <f>IF(AND(B71&gt;0,AP71="")," * No olvide digitar la variable Migrantes. Digite cero si no tiene.",IF(AP71&gt;B71," * La variable Migrantes no puede ser mayor al Total.",""))</f>
        <v/>
      </c>
      <c r="CE71" s="111">
        <f>IF(AND($B71&gt;0,AQ71="")," * No olvide digitar la variable Teleconsulta de especialidad resueltas por Médicos Generales. Digite cero si no tiene.",IF(AQ71&gt;$B71," * La variable Teleconsulta de especialidad resueltas por Médicos Generales no puede ser mayor al Total.",""))</f>
        <v/>
      </c>
      <c r="CF71" s="111">
        <f>IF(AND($B71&gt;0,AR71="")," * No olvide digitar la variable "&amp;AR68&amp;". Digite cero si no tiene.",IF(AR71&gt;$B71," * La variable "&amp;AR68&amp;" no puede ser mayor al Total.",""))</f>
        <v/>
      </c>
      <c r="CG71" s="111">
        <f>IF(AND($B71&gt;0,AS71="")," * No olvide digitar la variable "&amp;AS$32&amp;". Digite cero si no tiene.",IF(AS71&gt;$B71," * La variable "&amp;AS$32&amp;" no puede ser mayor al Total.",""))</f>
        <v/>
      </c>
      <c r="CH71" s="111">
        <f>IF(AND(B71&gt;0,AJ71="",AK71="",AL71=""),"*No olvide digitar datos en "&amp;AJ$32,
IF(AJ71+AK71+AL71&gt;B71,"*El Total de "&amp;AJ$32&amp;" no puede ser mayor que el Total Ambos Sexos.",
IF(AJ71+AK71+AL71&lt;B71,"*El Total de "&amp;AJ$32&amp;" no debe ser menor que el Total Ambos Sexos.","")))</f>
        <v/>
      </c>
      <c r="CK71" s="112">
        <f>IF((T71+U71)&lt;&gt;B71,1,0)</f>
        <v/>
      </c>
      <c r="CL71" s="112">
        <f>IF((AE71+Z71)&gt;B71,1,0)</f>
        <v/>
      </c>
      <c r="CM71" s="112">
        <f>IF(AND(B71&gt;0,AO71=""),1,IF(AO71&gt;B71,1,0))</f>
        <v/>
      </c>
      <c r="CN71" s="112">
        <f>IF(AND(B71&gt;0,AP71=""),1,IF(AP71&gt;B71,1,0))</f>
        <v/>
      </c>
      <c r="CO71" s="112">
        <f>IF(AND($B71&gt;0,AQ71=""),1,IF(AQ71&gt;$B71,1,0))</f>
        <v/>
      </c>
      <c r="CP71" s="112">
        <f>IF(AND($B71&gt;0,AR71=""),1,IF(AR71&gt;$B71,1,0))</f>
        <v/>
      </c>
      <c r="CQ71" s="112">
        <f>IF(AND($B71&gt;0,AS71=""),1,IF(AS71&gt;$B71,1,0))</f>
        <v/>
      </c>
      <c r="CR71" s="112">
        <f>IF(OR(AND(B71&gt;0,AJ71="",AJ71=""),AK71+AJ71+AL71&gt;B71,AK71+AJ71+AL71&lt;B71),1,0)</f>
        <v/>
      </c>
    </row>
    <row r="72" ht="15" customFormat="1" customHeight="1" s="110">
      <c r="A72" s="3651" t="inlineStr">
        <is>
          <t>Coloproctología</t>
        </is>
      </c>
      <c r="B72" s="10629">
        <f>SUM(C72:S72)</f>
        <v/>
      </c>
      <c r="C72" s="1333" t="n"/>
      <c r="D72" s="4688" t="n"/>
      <c r="E72" s="4688" t="n"/>
      <c r="F72" s="4688" t="n"/>
      <c r="G72" s="4688" t="n"/>
      <c r="H72" s="4688" t="n"/>
      <c r="I72" s="4688" t="n"/>
      <c r="J72" s="4688" t="n"/>
      <c r="K72" s="4688" t="n"/>
      <c r="L72" s="4688" t="n"/>
      <c r="M72" s="4688" t="n"/>
      <c r="N72" s="4688" t="n"/>
      <c r="O72" s="4688" t="n"/>
      <c r="P72" s="4688" t="n"/>
      <c r="Q72" s="4688" t="n"/>
      <c r="R72" s="4688" t="n"/>
      <c r="S72" s="4697" t="n"/>
      <c r="T72" s="4763" t="n"/>
      <c r="U72" s="775" t="n"/>
      <c r="V72" s="4763" t="n"/>
      <c r="W72" s="775" t="n"/>
      <c r="X72" s="4763" t="n"/>
      <c r="Y72" s="775" t="n"/>
      <c r="Z72" s="3651">
        <f>SUM(AA72+AB72+AC72+AD72)</f>
        <v/>
      </c>
      <c r="AA72" s="4763" t="n"/>
      <c r="AB72" s="814" t="n"/>
      <c r="AC72" s="814" t="n"/>
      <c r="AD72" s="775" t="n"/>
      <c r="AE72" s="3651">
        <f>SUM(AF72+AG72+AH72+AI72)</f>
        <v/>
      </c>
      <c r="AF72" s="4763" t="n"/>
      <c r="AG72" s="814" t="n"/>
      <c r="AH72" s="814" t="n"/>
      <c r="AI72" s="815" t="n"/>
      <c r="AJ72" s="4700" t="n"/>
      <c r="AK72" s="4702" t="n"/>
      <c r="AL72" s="4701" t="n"/>
      <c r="AM72" s="4114" t="n"/>
      <c r="AN72" s="4114" t="n"/>
      <c r="AO72" s="4838" t="n"/>
      <c r="AP72" s="4113" t="n"/>
      <c r="AQ72" s="4114" t="n"/>
      <c r="AR72" s="4838" t="n"/>
      <c r="AS72" s="4113" t="n"/>
      <c r="AT72" s="110">
        <f>CA72&amp;CB72&amp;CC72&amp;CD72&amp;CE72&amp;CF72&amp;CG72</f>
        <v/>
      </c>
      <c r="CA72" s="111">
        <f>IF((T72+U72)&lt;&gt;B72,"* El número de "&amp;C$32&amp;" según Sexo debe ser igual al Total.","")</f>
        <v/>
      </c>
      <c r="CB72" s="111">
        <f>IF((AE72+Z72)&gt;B72," * El Total de "&amp;Z$32&amp;" no debe ser mayor que el Total","")</f>
        <v/>
      </c>
      <c r="CC72" s="111">
        <f>IF(AND(B72&gt;0,AO72="")," * No olvide digitar la variable Pueblos Originarios. Digite Cero si no tiene.",IF(AO72&gt;B72," * La variable Pueblos Originarios no puede ser mayor al Total.",""))</f>
        <v/>
      </c>
      <c r="CD72" s="111">
        <f>IF(AND(B72&gt;0,AP72="")," * No olvide digitar la variable Migrantes. Digite cero si no tiene.",IF(AP72&gt;B72," * La variable Migrantes no puede ser mayor al Total.",""))</f>
        <v/>
      </c>
      <c r="CE72" s="111">
        <f>IF(AND($B72&gt;0,AQ72="")," * No olvide digitar la variable Teleconsulta de especialidad resueltas por Médicos Generales. Digite cero si no tiene.",IF(AQ72&gt;$B72," * La variable Teleconsulta de especialidad resueltas por Médicos Generales no puede ser mayor al Total.",""))</f>
        <v/>
      </c>
      <c r="CF72" s="111">
        <f>IF(AND($B72&gt;0,AR72="")," * No olvide digitar la variable "&amp;AR69&amp;". Digite cero si no tiene.",IF(AR72&gt;$B72," * La variable "&amp;AR69&amp;" no puede ser mayor al Total.",""))</f>
        <v/>
      </c>
      <c r="CG72" s="111">
        <f>IF(AND($B72&gt;0,AS72="")," * No olvide digitar la variable "&amp;AS$32&amp;". Digite cero si no tiene.",IF(AS72&gt;$B72," * La variable "&amp;AS$32&amp;" no puede ser mayor al Total.",""))</f>
        <v/>
      </c>
      <c r="CH72" s="111">
        <f>IF(AND(B72&gt;0,AJ72="",AK72="",AL72=""),"*No olvide digitar datos en "&amp;AJ$32,
IF(AJ72+AK72+AL72&gt;B72,"*El Total de "&amp;AJ$32&amp;" no puede ser mayor que el Total Ambos Sexos.",
IF(AJ72+AK72+AL72&lt;B72,"*El Total de "&amp;AJ$32&amp;" no debe ser menor que el Total Ambos Sexos.","")))</f>
        <v/>
      </c>
      <c r="CK72" s="112">
        <f>IF((T72+U72)&lt;&gt;B72,1,0)</f>
        <v/>
      </c>
      <c r="CL72" s="112">
        <f>IF((AE72+Z72)&gt;B72,1,0)</f>
        <v/>
      </c>
      <c r="CM72" s="112">
        <f>IF(AND(B72&gt;0,AO72=""),1,IF(AO72&gt;B72,1,0))</f>
        <v/>
      </c>
      <c r="CN72" s="112">
        <f>IF(AND(B72&gt;0,AP72=""),1,IF(AP72&gt;B72,1,0))</f>
        <v/>
      </c>
      <c r="CO72" s="112">
        <f>IF(AND($B72&gt;0,AQ72=""),1,IF(AQ72&gt;$B72,1,0))</f>
        <v/>
      </c>
      <c r="CP72" s="112">
        <f>IF(AND($B72&gt;0,AR72=""),1,IF(AR72&gt;$B72,1,0))</f>
        <v/>
      </c>
      <c r="CQ72" s="112">
        <f>IF(AND($B72&gt;0,AS72=""),1,IF(AS72&gt;$B72,1,0))</f>
        <v/>
      </c>
      <c r="CR72" s="112">
        <f>IF(OR(AND(B72&gt;0,AJ72="",AJ72=""),AK72+AJ72+AL72&gt;B72,AK72+AJ72+AL72&lt;B72),1,0)</f>
        <v/>
      </c>
    </row>
    <row r="73" ht="15" customFormat="1" customHeight="1" s="110">
      <c r="A73" s="3651" t="inlineStr">
        <is>
          <t>Cirugía tórax</t>
        </is>
      </c>
      <c r="B73" s="10629">
        <f>SUM(C73:S73)</f>
        <v/>
      </c>
      <c r="C73" s="1333" t="n"/>
      <c r="D73" s="4688" t="n"/>
      <c r="E73" s="4688" t="n"/>
      <c r="F73" s="4688" t="n"/>
      <c r="G73" s="4688" t="n"/>
      <c r="H73" s="4688" t="n"/>
      <c r="I73" s="4688" t="n"/>
      <c r="J73" s="4688" t="n"/>
      <c r="K73" s="4688" t="n"/>
      <c r="L73" s="4688" t="n"/>
      <c r="M73" s="4688" t="n"/>
      <c r="N73" s="4688" t="n"/>
      <c r="O73" s="4688" t="n"/>
      <c r="P73" s="4688" t="n"/>
      <c r="Q73" s="4688" t="n"/>
      <c r="R73" s="4688" t="n"/>
      <c r="S73" s="4697" t="n"/>
      <c r="T73" s="4763" t="n"/>
      <c r="U73" s="775" t="n"/>
      <c r="V73" s="4763" t="n"/>
      <c r="W73" s="775" t="n"/>
      <c r="X73" s="4763" t="n"/>
      <c r="Y73" s="775" t="n"/>
      <c r="Z73" s="3651">
        <f>SUM(AA73+AB73+AC73+AD73)</f>
        <v/>
      </c>
      <c r="AA73" s="4763" t="n"/>
      <c r="AB73" s="814" t="n"/>
      <c r="AC73" s="814" t="n"/>
      <c r="AD73" s="775" t="n"/>
      <c r="AE73" s="3651">
        <f>SUM(AF73+AG73+AH73+AI73)</f>
        <v/>
      </c>
      <c r="AF73" s="4763" t="n"/>
      <c r="AG73" s="814" t="n"/>
      <c r="AH73" s="814" t="n"/>
      <c r="AI73" s="815" t="n"/>
      <c r="AJ73" s="4700" t="n"/>
      <c r="AK73" s="4702" t="n"/>
      <c r="AL73" s="4701" t="n"/>
      <c r="AM73" s="4114" t="n"/>
      <c r="AN73" s="4114" t="n"/>
      <c r="AO73" s="4838" t="n"/>
      <c r="AP73" s="4113" t="n"/>
      <c r="AQ73" s="4114" t="n"/>
      <c r="AR73" s="4838" t="n"/>
      <c r="AS73" s="4113" t="n"/>
      <c r="AT73" s="110">
        <f>CA73&amp;CB73&amp;CC73&amp;CD73&amp;CE73&amp;CF73&amp;CG73</f>
        <v/>
      </c>
      <c r="CA73" s="111">
        <f>IF((T73+U73)&lt;&gt;B73,"* El número de "&amp;C$32&amp;" según Sexo debe ser igual al Total.","")</f>
        <v/>
      </c>
      <c r="CB73" s="111">
        <f>IF((AE73+Z73)&gt;B73," * El Total de "&amp;Z$32&amp;" no debe ser mayor que el Total","")</f>
        <v/>
      </c>
      <c r="CC73" s="111">
        <f>IF(AND(B73&gt;0,AO73="")," * No olvide digitar la variable Pueblos Originarios. Digite Cero si no tiene.",IF(AO73&gt;B73," * La variable Pueblos Originarios no puede ser mayor al Total.",""))</f>
        <v/>
      </c>
      <c r="CD73" s="111">
        <f>IF(AND(B73&gt;0,AP73="")," * No olvide digitar la variable Migrantes. Digite cero si no tiene.",IF(AP73&gt;B73," * La variable Migrantes no puede ser mayor al Total.",""))</f>
        <v/>
      </c>
      <c r="CE73" s="111">
        <f>IF(AND($B73&gt;0,AQ73="")," * No olvide digitar la variable Teleconsulta de especialidad resueltas por Médicos Generales. Digite cero si no tiene.",IF(AQ73&gt;$B73," * La variable Teleconsulta de especialidad resueltas por Médicos Generales no puede ser mayor al Total.",""))</f>
        <v/>
      </c>
      <c r="CF73" s="111">
        <f>IF(AND($B73&gt;0,AR73="")," * No olvide digitar la variable "&amp;AR70&amp;". Digite cero si no tiene.",IF(AR73&gt;$B73," * La variable "&amp;AR70&amp;" no puede ser mayor al Total.",""))</f>
        <v/>
      </c>
      <c r="CG73" s="111">
        <f>IF(AND($B73&gt;0,AS73="")," * No olvide digitar la variable "&amp;AS$32&amp;". Digite cero si no tiene.",IF(AS73&gt;$B73," * La variable "&amp;AS$32&amp;" no puede ser mayor al Total.",""))</f>
        <v/>
      </c>
      <c r="CH73" s="111">
        <f>IF(AND(B73&gt;0,AJ73="",AK73="",AL73=""),"*No olvide digitar datos en "&amp;AJ$32,
IF(AJ73+AK73+AL73&gt;B73,"*El Total de "&amp;AJ$32&amp;" no puede ser mayor que el Total Ambos Sexos.",
IF(AJ73+AK73+AL73&lt;B73,"*El Total de "&amp;AJ$32&amp;" no debe ser menor que el Total Ambos Sexos.","")))</f>
        <v/>
      </c>
      <c r="CK73" s="112">
        <f>IF((T73+U73)&lt;&gt;B73,1,0)</f>
        <v/>
      </c>
      <c r="CL73" s="112">
        <f>IF((AE73+Z73)&gt;B73,1,0)</f>
        <v/>
      </c>
      <c r="CM73" s="112">
        <f>IF(AND(B73&gt;0,AO73=""),1,IF(AO73&gt;B73,1,0))</f>
        <v/>
      </c>
      <c r="CN73" s="112">
        <f>IF(AND(B73&gt;0,AP73=""),1,IF(AP73&gt;B73,1,0))</f>
        <v/>
      </c>
      <c r="CO73" s="112">
        <f>IF(AND($B73&gt;0,AQ73=""),1,IF(AQ73&gt;$B73,1,0))</f>
        <v/>
      </c>
      <c r="CP73" s="112">
        <f>IF(AND($B73&gt;0,AR73=""),1,IF(AR73&gt;$B73,1,0))</f>
        <v/>
      </c>
      <c r="CQ73" s="112">
        <f>IF(AND($B73&gt;0,AS73=""),1,IF(AS73&gt;$B73,1,0))</f>
        <v/>
      </c>
      <c r="CR73" s="112">
        <f>IF(OR(AND(B73&gt;0,AJ73="",AJ73=""),AK73+AJ73+AL73&gt;B73,AK73+AJ73+AL73&lt;B73),1,0)</f>
        <v/>
      </c>
    </row>
    <row r="74" ht="15" customFormat="1" customHeight="1" s="110">
      <c r="A74" s="3651" t="inlineStr">
        <is>
          <t>Cirugía vascular periférica</t>
        </is>
      </c>
      <c r="B74" s="10629">
        <f>SUM(C74:S74)</f>
        <v/>
      </c>
      <c r="C74" s="1333" t="n"/>
      <c r="D74" s="4688" t="n"/>
      <c r="E74" s="4688" t="n"/>
      <c r="F74" s="4688" t="n"/>
      <c r="G74" s="4688" t="n"/>
      <c r="H74" s="4688" t="n"/>
      <c r="I74" s="4688" t="n"/>
      <c r="J74" s="4688" t="n"/>
      <c r="K74" s="4688" t="n"/>
      <c r="L74" s="4688" t="n"/>
      <c r="M74" s="4688" t="n"/>
      <c r="N74" s="4688" t="n"/>
      <c r="O74" s="4688" t="n"/>
      <c r="P74" s="4688" t="n"/>
      <c r="Q74" s="4688" t="n"/>
      <c r="R74" s="4688" t="n"/>
      <c r="S74" s="4697" t="n"/>
      <c r="T74" s="4763" t="n"/>
      <c r="U74" s="775" t="n"/>
      <c r="V74" s="4763" t="n"/>
      <c r="W74" s="775" t="n"/>
      <c r="X74" s="4763" t="n"/>
      <c r="Y74" s="775" t="n"/>
      <c r="Z74" s="3651">
        <f>SUM(AA74+AB74+AC74+AD74)</f>
        <v/>
      </c>
      <c r="AA74" s="4763" t="n"/>
      <c r="AB74" s="814" t="n"/>
      <c r="AC74" s="814" t="n"/>
      <c r="AD74" s="775" t="n"/>
      <c r="AE74" s="3651">
        <f>SUM(AF74+AG74+AH74+AI74)</f>
        <v/>
      </c>
      <c r="AF74" s="4763" t="n"/>
      <c r="AG74" s="814" t="n"/>
      <c r="AH74" s="814" t="n"/>
      <c r="AI74" s="815" t="n"/>
      <c r="AJ74" s="4700" t="n"/>
      <c r="AK74" s="4702" t="n"/>
      <c r="AL74" s="4701" t="n"/>
      <c r="AM74" s="4114" t="n"/>
      <c r="AN74" s="4114" t="n"/>
      <c r="AO74" s="4838" t="n"/>
      <c r="AP74" s="4113" t="n"/>
      <c r="AQ74" s="4114" t="n"/>
      <c r="AR74" s="4838" t="n"/>
      <c r="AS74" s="4113" t="n"/>
      <c r="AT74" s="110">
        <f>CA74&amp;CB74&amp;CC74&amp;CD74&amp;CE74&amp;CF74&amp;CG74</f>
        <v/>
      </c>
      <c r="CA74" s="111">
        <f>IF((T74+U74)&lt;&gt;B74,"* El número de "&amp;C$32&amp;" según Sexo debe ser igual al Total.","")</f>
        <v/>
      </c>
      <c r="CB74" s="111">
        <f>IF((AE74+Z74)&gt;B74," * El Total de "&amp;Z$32&amp;" no debe ser mayor que el Total","")</f>
        <v/>
      </c>
      <c r="CC74" s="111">
        <f>IF(AND(B74&gt;0,AO74="")," * No olvide digitar la variable Pueblos Originarios. Digite Cero si no tiene.",IF(AO74&gt;B74," * La variable Pueblos Originarios no puede ser mayor al Total.",""))</f>
        <v/>
      </c>
      <c r="CD74" s="111">
        <f>IF(AND(B74&gt;0,AP74="")," * No olvide digitar la variable Migrantes. Digite cero si no tiene.",IF(AP74&gt;B74," * La variable Migrantes no puede ser mayor al Total.",""))</f>
        <v/>
      </c>
      <c r="CE74" s="111">
        <f>IF(AND($B74&gt;0,AQ74="")," * No olvide digitar la variable Teleconsulta de especialidad resueltas por Médicos Generales. Digite cero si no tiene.",IF(AQ74&gt;$B74," * La variable Teleconsulta de especialidad resueltas por Médicos Generales no puede ser mayor al Total.",""))</f>
        <v/>
      </c>
      <c r="CF74" s="111">
        <f>IF(AND($B74&gt;0,AR74="")," * No olvide digitar la variable "&amp;AR71&amp;". Digite cero si no tiene.",IF(AR74&gt;$B74," * La variable "&amp;AR71&amp;" no puede ser mayor al Total.",""))</f>
        <v/>
      </c>
      <c r="CG74" s="111">
        <f>IF(AND($B74&gt;0,AS74="")," * No olvide digitar la variable "&amp;AS$32&amp;". Digite cero si no tiene.",IF(AS74&gt;$B74," * La variable "&amp;AS$32&amp;" no puede ser mayor al Total.",""))</f>
        <v/>
      </c>
      <c r="CH74" s="111">
        <f>IF(AND(B74&gt;0,AJ74="",AK74="",AL74=""),"*No olvide digitar datos en "&amp;AJ$32,
IF(AJ74+AK74+AL74&gt;B74,"*El Total de "&amp;AJ$32&amp;" no puede ser mayor que el Total Ambos Sexos.",
IF(AJ74+AK74+AL74&lt;B74,"*El Total de "&amp;AJ$32&amp;" no debe ser menor que el Total Ambos Sexos.","")))</f>
        <v/>
      </c>
      <c r="CK74" s="112">
        <f>IF((T74+U74)&lt;&gt;B74,1,0)</f>
        <v/>
      </c>
      <c r="CL74" s="112">
        <f>IF((AE74+Z74)&gt;B74,1,0)</f>
        <v/>
      </c>
      <c r="CM74" s="112">
        <f>IF(AND(B74&gt;0,AO74=""),1,IF(AO74&gt;B74,1,0))</f>
        <v/>
      </c>
      <c r="CN74" s="112">
        <f>IF(AND(B74&gt;0,AP74=""),1,IF(AP74&gt;B74,1,0))</f>
        <v/>
      </c>
      <c r="CO74" s="112">
        <f>IF(AND($B74&gt;0,AQ74=""),1,IF(AQ74&gt;$B74,1,0))</f>
        <v/>
      </c>
      <c r="CP74" s="112">
        <f>IF(AND($B74&gt;0,AR74=""),1,IF(AR74&gt;$B74,1,0))</f>
        <v/>
      </c>
      <c r="CQ74" s="112">
        <f>IF(AND($B74&gt;0,AS74=""),1,IF(AS74&gt;$B74,1,0))</f>
        <v/>
      </c>
      <c r="CR74" s="112">
        <f>IF(OR(AND(B74&gt;0,AJ74="",AJ74=""),AK74+AJ74+AL74&gt;B74,AK74+AJ74+AL74&lt;B74),1,0)</f>
        <v/>
      </c>
    </row>
    <row r="75" ht="15" customFormat="1" customHeight="1" s="110">
      <c r="A75" s="3651" t="inlineStr">
        <is>
          <t>Neurocirugía</t>
        </is>
      </c>
      <c r="B75" s="10629">
        <f>SUM(C75:S75)</f>
        <v/>
      </c>
      <c r="C75" s="1333" t="n"/>
      <c r="D75" s="4688" t="n"/>
      <c r="E75" s="4688" t="n"/>
      <c r="F75" s="4688" t="n"/>
      <c r="G75" s="4688" t="n"/>
      <c r="H75" s="4688" t="n"/>
      <c r="I75" s="4688" t="n"/>
      <c r="J75" s="4688" t="n"/>
      <c r="K75" s="4688" t="n"/>
      <c r="L75" s="4688" t="n"/>
      <c r="M75" s="4688" t="n"/>
      <c r="N75" s="4688" t="n"/>
      <c r="O75" s="4688" t="n"/>
      <c r="P75" s="4688" t="n"/>
      <c r="Q75" s="4688" t="n"/>
      <c r="R75" s="4688" t="n"/>
      <c r="S75" s="4697" t="n"/>
      <c r="T75" s="1333" t="n"/>
      <c r="U75" s="4697" t="n"/>
      <c r="V75" s="1333" t="n"/>
      <c r="W75" s="4697" t="n"/>
      <c r="X75" s="1333" t="n"/>
      <c r="Y75" s="4697" t="n"/>
      <c r="Z75" s="3651">
        <f>SUM(AA75+AB75+AC75+AD75)</f>
        <v/>
      </c>
      <c r="AA75" s="1333" t="n"/>
      <c r="AB75" s="4688" t="n"/>
      <c r="AC75" s="4688" t="n"/>
      <c r="AD75" s="4697" t="n"/>
      <c r="AE75" s="3651">
        <f>SUM(AF75+AG75+AH75+AI75)</f>
        <v/>
      </c>
      <c r="AF75" s="1333" t="n"/>
      <c r="AG75" s="4688" t="n"/>
      <c r="AH75" s="4688" t="n"/>
      <c r="AI75" s="4769" t="n"/>
      <c r="AJ75" s="4700" t="n"/>
      <c r="AK75" s="4702" t="n"/>
      <c r="AL75" s="4701" t="n"/>
      <c r="AM75" s="4114" t="n"/>
      <c r="AN75" s="4114" t="n"/>
      <c r="AO75" s="4838" t="n"/>
      <c r="AP75" s="4113" t="n"/>
      <c r="AQ75" s="4114" t="n"/>
      <c r="AR75" s="4838" t="n"/>
      <c r="AS75" s="4113" t="n"/>
      <c r="AT75" s="110">
        <f>CA75&amp;CB75&amp;CC75&amp;CD75&amp;CE75&amp;CF75&amp;CG75</f>
        <v/>
      </c>
      <c r="CA75" s="111">
        <f>IF((T75+U75)&lt;&gt;B75,"* El número de "&amp;C$32&amp;" según Sexo debe ser igual al Total.","")</f>
        <v/>
      </c>
      <c r="CB75" s="111">
        <f>IF((AE75+Z75)&gt;B75," * El Total de "&amp;Z$32&amp;" no debe ser mayor que el Total","")</f>
        <v/>
      </c>
      <c r="CC75" s="111">
        <f>IF(AND(B75&gt;0,AO75="")," * No olvide digitar la variable Pueblos Originarios. Digite Cero si no tiene.",IF(AO75&gt;B75," * La variable Pueblos Originarios no puede ser mayor al Total.",""))</f>
        <v/>
      </c>
      <c r="CD75" s="111">
        <f>IF(AND(B75&gt;0,AP75="")," * No olvide digitar la variable Migrantes. Digite cero si no tiene.",IF(AP75&gt;B75," * La variable Migrantes no puede ser mayor al Total.",""))</f>
        <v/>
      </c>
      <c r="CE75" s="111">
        <f>IF(AND($B75&gt;0,AQ75="")," * No olvide digitar la variable Teleconsulta de especialidad resueltas por Médicos Generales. Digite cero si no tiene.",IF(AQ75&gt;$B75," * La variable Teleconsulta de especialidad resueltas por Médicos Generales no puede ser mayor al Total.",""))</f>
        <v/>
      </c>
      <c r="CF75" s="111">
        <f>IF(AND($B75&gt;0,AR75="")," * No olvide digitar la variable "&amp;AR72&amp;". Digite cero si no tiene.",IF(AR75&gt;$B75," * La variable "&amp;AR72&amp;" no puede ser mayor al Total.",""))</f>
        <v/>
      </c>
      <c r="CG75" s="111">
        <f>IF(AND($B75&gt;0,AS75="")," * No olvide digitar la variable "&amp;AS$32&amp;". Digite cero si no tiene.",IF(AS75&gt;$B75," * La variable "&amp;AS$32&amp;" no puede ser mayor al Total.",""))</f>
        <v/>
      </c>
      <c r="CH75" s="111">
        <f>IF(AND(B75&gt;0,AJ75="",AK75="",AL75=""),"*No olvide digitar datos en "&amp;AJ$32,
IF(AJ75+AK75+AL75&gt;B75,"*El Total de "&amp;AJ$32&amp;" no puede ser mayor que el Total Ambos Sexos.",
IF(AJ75+AK75+AL75&lt;B75,"*El Total de "&amp;AJ$32&amp;" no debe ser menor que el Total Ambos Sexos.","")))</f>
        <v/>
      </c>
      <c r="CK75" s="112">
        <f>IF((T75+U75)&lt;&gt;B75,1,0)</f>
        <v/>
      </c>
      <c r="CL75" s="112">
        <f>IF((AE75+Z75)&gt;B75,1,0)</f>
        <v/>
      </c>
      <c r="CM75" s="112">
        <f>IF(AND(B75&gt;0,AO75=""),1,IF(AO75&gt;B75,1,0))</f>
        <v/>
      </c>
      <c r="CN75" s="112">
        <f>IF(AND(B75&gt;0,AP75=""),1,IF(AP75&gt;B75,1,0))</f>
        <v/>
      </c>
      <c r="CO75" s="112">
        <f>IF(AND($B75&gt;0,AQ75=""),1,IF(AQ75&gt;$B75,1,0))</f>
        <v/>
      </c>
      <c r="CP75" s="112">
        <f>IF(AND($B75&gt;0,AR75=""),1,IF(AR75&gt;$B75,1,0))</f>
        <v/>
      </c>
      <c r="CQ75" s="112">
        <f>IF(AND($B75&gt;0,AS75=""),1,IF(AS75&gt;$B75,1,0))</f>
        <v/>
      </c>
      <c r="CR75" s="112">
        <f>IF(OR(AND(B75&gt;0,AJ75="",AJ75=""),AK75+AJ75+AL75&gt;B75,AK75+AJ75+AL75&lt;B75),1,0)</f>
        <v/>
      </c>
    </row>
    <row r="76" ht="15" customFormat="1" customHeight="1" s="110">
      <c r="A76" s="3651" t="inlineStr">
        <is>
          <t>Cirugía cardiovascular</t>
        </is>
      </c>
      <c r="B76" s="10629">
        <f>SUM(C76:S76)</f>
        <v/>
      </c>
      <c r="C76" s="1333" t="n"/>
      <c r="D76" s="4688" t="n"/>
      <c r="E76" s="4688" t="n"/>
      <c r="F76" s="4688" t="n"/>
      <c r="G76" s="4688" t="n"/>
      <c r="H76" s="4688" t="n"/>
      <c r="I76" s="4688" t="n"/>
      <c r="J76" s="4688" t="n"/>
      <c r="K76" s="4688" t="n"/>
      <c r="L76" s="4688" t="n"/>
      <c r="M76" s="4688" t="n"/>
      <c r="N76" s="4688" t="n"/>
      <c r="O76" s="4688" t="n"/>
      <c r="P76" s="4688" t="n"/>
      <c r="Q76" s="4688" t="n"/>
      <c r="R76" s="4688" t="n"/>
      <c r="S76" s="4697" t="n"/>
      <c r="T76" s="1333" t="n"/>
      <c r="U76" s="4697" t="n"/>
      <c r="V76" s="1333" t="n"/>
      <c r="W76" s="4697" t="n"/>
      <c r="X76" s="1333" t="n"/>
      <c r="Y76" s="4697" t="n"/>
      <c r="Z76" s="3651">
        <f>SUM(AA76+AB76+AC76+AD76)</f>
        <v/>
      </c>
      <c r="AA76" s="1333" t="n"/>
      <c r="AB76" s="4688" t="n"/>
      <c r="AC76" s="4688" t="n"/>
      <c r="AD76" s="4697" t="n"/>
      <c r="AE76" s="3651">
        <f>SUM(AF76+AG76+AH76+AI76)</f>
        <v/>
      </c>
      <c r="AF76" s="1333" t="n"/>
      <c r="AG76" s="4688" t="n"/>
      <c r="AH76" s="4688" t="n"/>
      <c r="AI76" s="4769" t="n"/>
      <c r="AJ76" s="4700" t="n"/>
      <c r="AK76" s="4702" t="n"/>
      <c r="AL76" s="4701" t="n"/>
      <c r="AM76" s="4114" t="n"/>
      <c r="AN76" s="4114" t="n"/>
      <c r="AO76" s="4838" t="n"/>
      <c r="AP76" s="4113" t="n"/>
      <c r="AQ76" s="4114" t="n"/>
      <c r="AR76" s="4838" t="n"/>
      <c r="AS76" s="4113" t="n"/>
      <c r="AT76" s="110">
        <f>CA76&amp;CB76&amp;CC76&amp;CD76&amp;CE76&amp;CF76&amp;CG76</f>
        <v/>
      </c>
      <c r="CA76" s="111">
        <f>IF((T76+U76)&lt;&gt;B76,"* El número de "&amp;C$32&amp;" según Sexo debe ser igual al Total.","")</f>
        <v/>
      </c>
      <c r="CB76" s="111">
        <f>IF((AE76+Z76)&gt;B76," * El Total de "&amp;Z$32&amp;" no debe ser mayor que el Total","")</f>
        <v/>
      </c>
      <c r="CC76" s="111">
        <f>IF(AND(B76&gt;0,AO76="")," * No olvide digitar la variable Pueblos Originarios. Digite Cero si no tiene.",IF(AO76&gt;B76," * La variable Pueblos Originarios no puede ser mayor al Total.",""))</f>
        <v/>
      </c>
      <c r="CD76" s="111">
        <f>IF(AND(B76&gt;0,AP76="")," * No olvide digitar la variable Migrantes. Digite cero si no tiene.",IF(AP76&gt;B76," * La variable Migrantes no puede ser mayor al Total.",""))</f>
        <v/>
      </c>
      <c r="CE76" s="111">
        <f>IF(AND($B76&gt;0,AQ76="")," * No olvide digitar la variable Teleconsulta de especialidad resueltas por Médicos Generales. Digite cero si no tiene.",IF(AQ76&gt;$B76," * La variable Teleconsulta de especialidad resueltas por Médicos Generales no puede ser mayor al Total.",""))</f>
        <v/>
      </c>
      <c r="CF76" s="111">
        <f>IF(AND($B76&gt;0,AR76="")," * No olvide digitar la variable "&amp;AR73&amp;". Digite cero si no tiene.",IF(AR76&gt;$B76," * La variable "&amp;AR73&amp;" no puede ser mayor al Total.",""))</f>
        <v/>
      </c>
      <c r="CG76" s="111">
        <f>IF(AND($B76&gt;0,AS76="")," * No olvide digitar la variable "&amp;AS$32&amp;". Digite cero si no tiene.",IF(AS76&gt;$B76," * La variable "&amp;AS$32&amp;" no puede ser mayor al Total.",""))</f>
        <v/>
      </c>
      <c r="CH76" s="111">
        <f>IF(AND(B76&gt;0,AJ76="",AK76="",AL76=""),"*No olvide digitar datos en "&amp;AJ$32,
IF(AJ76+AK76+AL76&gt;B76,"*El Total de "&amp;AJ$32&amp;" no puede ser mayor que el Total Ambos Sexos.",
IF(AJ76+AK76+AL76&lt;B76,"*El Total de "&amp;AJ$32&amp;" no debe ser menor que el Total Ambos Sexos.","")))</f>
        <v/>
      </c>
      <c r="CK76" s="112">
        <f>IF((T76+U76)&lt;&gt;B76,1,0)</f>
        <v/>
      </c>
      <c r="CL76" s="112">
        <f>IF((AE76+Z76)&gt;B76,1,0)</f>
        <v/>
      </c>
      <c r="CM76" s="112">
        <f>IF(AND(B76&gt;0,AO76=""),1,IF(AO76&gt;B76,1,0))</f>
        <v/>
      </c>
      <c r="CN76" s="112">
        <f>IF(AND(B76&gt;0,AP76=""),1,IF(AP76&gt;B76,1,0))</f>
        <v/>
      </c>
      <c r="CO76" s="112">
        <f>IF(AND($B76&gt;0,AQ76=""),1,IF(AQ76&gt;$B76,1,0))</f>
        <v/>
      </c>
      <c r="CP76" s="112">
        <f>IF(AND($B76&gt;0,AR76=""),1,IF(AR76&gt;$B76,1,0))</f>
        <v/>
      </c>
      <c r="CQ76" s="112">
        <f>IF(AND($B76&gt;0,AS76=""),1,IF(AS76&gt;$B76,1,0))</f>
        <v/>
      </c>
      <c r="CR76" s="112">
        <f>IF(OR(AND(B76&gt;0,AJ76="",AJ76=""),AK76+AJ76+AL76&gt;B76,AK76+AJ76+AL76&lt;B76),1,0)</f>
        <v/>
      </c>
    </row>
    <row r="77" ht="15" customFormat="1" customHeight="1" s="110">
      <c r="A77" s="3759" t="inlineStr">
        <is>
          <t>Anestesiología</t>
        </is>
      </c>
      <c r="B77" s="10629">
        <f>SUM(C77:S77)</f>
        <v/>
      </c>
      <c r="C77" s="1333" t="n"/>
      <c r="D77" s="4688" t="n"/>
      <c r="E77" s="4688" t="n"/>
      <c r="F77" s="4688" t="n"/>
      <c r="G77" s="4688" t="n"/>
      <c r="H77" s="4688" t="n"/>
      <c r="I77" s="4688" t="n"/>
      <c r="J77" s="4688" t="n"/>
      <c r="K77" s="4688" t="n"/>
      <c r="L77" s="4688" t="n"/>
      <c r="M77" s="4688" t="n"/>
      <c r="N77" s="4688" t="n"/>
      <c r="O77" s="4688" t="n"/>
      <c r="P77" s="4688" t="n"/>
      <c r="Q77" s="4688" t="n"/>
      <c r="R77" s="4688" t="n"/>
      <c r="S77" s="4697" t="n"/>
      <c r="T77" s="1333" t="n"/>
      <c r="U77" s="4697" t="n"/>
      <c r="V77" s="1333" t="n"/>
      <c r="W77" s="4697" t="n"/>
      <c r="X77" s="1333" t="n"/>
      <c r="Y77" s="4697" t="n"/>
      <c r="Z77" s="3651">
        <f>SUM(AA77+AB77+AC77+AD77)</f>
        <v/>
      </c>
      <c r="AA77" s="1333" t="n"/>
      <c r="AB77" s="4688" t="n"/>
      <c r="AC77" s="4688" t="n"/>
      <c r="AD77" s="4697" t="n"/>
      <c r="AE77" s="3651">
        <f>SUM(AF77+AG77+AH77+AI77)</f>
        <v/>
      </c>
      <c r="AF77" s="1333" t="n"/>
      <c r="AG77" s="4688" t="n"/>
      <c r="AH77" s="4688" t="n"/>
      <c r="AI77" s="4769" t="n"/>
      <c r="AJ77" s="4700" t="n"/>
      <c r="AK77" s="4702" t="n"/>
      <c r="AL77" s="4701" t="n"/>
      <c r="AM77" s="4114" t="n"/>
      <c r="AN77" s="4114" t="n"/>
      <c r="AO77" s="4838" t="n"/>
      <c r="AP77" s="4113" t="n"/>
      <c r="AQ77" s="4114" t="n"/>
      <c r="AR77" s="4838" t="n"/>
      <c r="AS77" s="4113" t="n"/>
      <c r="AT77" s="110">
        <f>CA77&amp;CB77&amp;CC77&amp;CD77&amp;CE77&amp;CF77&amp;CG77</f>
        <v/>
      </c>
      <c r="CA77" s="111">
        <f>IF((T77+U77)&lt;&gt;B77,"* El número de "&amp;C$32&amp;" según Sexo debe ser igual al Total.","")</f>
        <v/>
      </c>
      <c r="CB77" s="111">
        <f>IF((AE77+Z77)&gt;B77," * El Total de "&amp;Z$32&amp;" no debe ser mayor que el Total","")</f>
        <v/>
      </c>
      <c r="CC77" s="111">
        <f>IF(AND(B77&gt;0,AO77="")," * No olvide digitar la variable Pueblos Originarios. Digite Cero si no tiene.",IF(AO77&gt;B77," * La variable Pueblos Originarios no puede ser mayor al Total.",""))</f>
        <v/>
      </c>
      <c r="CD77" s="111">
        <f>IF(AND(B77&gt;0,AP77="")," * No olvide digitar la variable Migrantes. Digite cero si no tiene.",IF(AP77&gt;B77," * La variable Migrantes no puede ser mayor al Total.",""))</f>
        <v/>
      </c>
      <c r="CE77" s="111">
        <f>IF(AND($B77&gt;0,AQ77="")," * No olvide digitar la variable Teleconsulta de especialidad resueltas por Médicos Generales. Digite cero si no tiene.",IF(AQ77&gt;$B77," * La variable Teleconsulta de especialidad resueltas por Médicos Generales no puede ser mayor al Total.",""))</f>
        <v/>
      </c>
      <c r="CF77" s="111">
        <f>IF(AND($B77&gt;0,AR77="")," * No olvide digitar la variable "&amp;AR74&amp;". Digite cero si no tiene.",IF(AR77&gt;$B77," * La variable "&amp;AR74&amp;" no puede ser mayor al Total.",""))</f>
        <v/>
      </c>
      <c r="CG77" s="111">
        <f>IF(AND($B77&gt;0,AS77="")," * No olvide digitar la variable "&amp;AS$32&amp;". Digite cero si no tiene.",IF(AS77&gt;$B77," * La variable "&amp;AS$32&amp;" no puede ser mayor al Total.",""))</f>
        <v/>
      </c>
      <c r="CH77" s="111">
        <f>IF(AND(B77&gt;0,AJ77="",AK77="",AL77=""),"*No olvide digitar datos en "&amp;AJ$32,
IF(AJ77+AK77+AL77&gt;B77,"*El Total de "&amp;AJ$32&amp;" no puede ser mayor que el Total Ambos Sexos.",
IF(AJ77+AK77+AL77&lt;B77,"*El Total de "&amp;AJ$32&amp;" no debe ser menor que el Total Ambos Sexos.","")))</f>
        <v/>
      </c>
      <c r="CK77" s="112">
        <f>IF((T77+U77)&lt;&gt;B77,1,0)</f>
        <v/>
      </c>
      <c r="CL77" s="112">
        <f>IF((AE77+Z77)&gt;B77,1,0)</f>
        <v/>
      </c>
      <c r="CM77" s="112">
        <f>IF(AND(B77&gt;0,AO77=""),1,IF(AO77&gt;B77,1,0))</f>
        <v/>
      </c>
      <c r="CN77" s="112">
        <f>IF(AND(B77&gt;0,AP77=""),1,IF(AP77&gt;B77,1,0))</f>
        <v/>
      </c>
      <c r="CO77" s="112">
        <f>IF(AND($B77&gt;0,AQ77=""),1,IF(AQ77&gt;$B77,1,0))</f>
        <v/>
      </c>
      <c r="CP77" s="112">
        <f>IF(AND($B77&gt;0,AR77=""),1,IF(AR77&gt;$B77,1,0))</f>
        <v/>
      </c>
      <c r="CQ77" s="112">
        <f>IF(AND($B77&gt;0,AS77=""),1,IF(AS77&gt;$B77,1,0))</f>
        <v/>
      </c>
      <c r="CR77" s="112">
        <f>IF(OR(AND(B77&gt;0,AJ77="",AJ77=""),AK77+AJ77+AL77&gt;B77,AK77+AJ77+AL77&lt;B77),1,0)</f>
        <v/>
      </c>
    </row>
    <row r="78" ht="15" customFormat="1" customHeight="1" s="110">
      <c r="A78" s="4518" t="inlineStr">
        <is>
          <t>Obstetricia y Ginecología</t>
        </is>
      </c>
      <c r="B78" s="10629">
        <f>SUM(C78:S78)</f>
        <v/>
      </c>
      <c r="C78" s="1333" t="n"/>
      <c r="D78" s="4688" t="n"/>
      <c r="E78" s="4688" t="n"/>
      <c r="F78" s="4688" t="n"/>
      <c r="G78" s="4688" t="n"/>
      <c r="H78" s="4688" t="n"/>
      <c r="I78" s="4688" t="n"/>
      <c r="J78" s="4688" t="n"/>
      <c r="K78" s="4688" t="n"/>
      <c r="L78" s="4688" t="n"/>
      <c r="M78" s="4688" t="n"/>
      <c r="N78" s="4688" t="n"/>
      <c r="O78" s="4688" t="n"/>
      <c r="P78" s="4688" t="n"/>
      <c r="Q78" s="4688" t="n"/>
      <c r="R78" s="4688" t="n"/>
      <c r="S78" s="4697" t="n"/>
      <c r="T78" s="1333" t="n"/>
      <c r="U78" s="4697" t="n"/>
      <c r="V78" s="1333" t="n"/>
      <c r="W78" s="4697" t="n"/>
      <c r="X78" s="1333" t="n"/>
      <c r="Y78" s="4697" t="n"/>
      <c r="Z78" s="3651">
        <f>SUM(AA78+AB78+AC78+AD78)</f>
        <v/>
      </c>
      <c r="AA78" s="1333" t="n"/>
      <c r="AB78" s="4688" t="n"/>
      <c r="AC78" s="4688" t="n"/>
      <c r="AD78" s="4697" t="n"/>
      <c r="AE78" s="3651">
        <f>SUM(AF78+AG78+AH78+AI78)</f>
        <v/>
      </c>
      <c r="AF78" s="1333" t="n"/>
      <c r="AG78" s="4688" t="n"/>
      <c r="AH78" s="4688" t="n"/>
      <c r="AI78" s="4769" t="n"/>
      <c r="AJ78" s="4700" t="n"/>
      <c r="AK78" s="4702" t="n"/>
      <c r="AL78" s="4701" t="n"/>
      <c r="AM78" s="4114" t="n"/>
      <c r="AN78" s="4114" t="n"/>
      <c r="AO78" s="4838" t="n"/>
      <c r="AP78" s="4113" t="n"/>
      <c r="AQ78" s="4114" t="n"/>
      <c r="AR78" s="4838" t="n"/>
      <c r="AS78" s="4113" t="n"/>
      <c r="AT78" s="110">
        <f>CA78&amp;CB78&amp;CC78&amp;CD78&amp;CE78&amp;CF78&amp;CG78</f>
        <v/>
      </c>
      <c r="CA78" s="111">
        <f>IF((T78+U78)&lt;&gt;B78,"* El número de "&amp;C$32&amp;" según Sexo debe ser igual al Total.","")</f>
        <v/>
      </c>
      <c r="CB78" s="111">
        <f>IF((AE78+Z78)&gt;B78," * El Total de "&amp;Z$32&amp;" no debe ser mayor que el Total","")</f>
        <v/>
      </c>
      <c r="CC78" s="111">
        <f>IF(AND(B78&gt;0,AO78="")," * No olvide digitar la variable Pueblos Originarios. Digite Cero si no tiene.",IF(AO78&gt;B78," * La variable Pueblos Originarios no puede ser mayor al Total.",""))</f>
        <v/>
      </c>
      <c r="CD78" s="111">
        <f>IF(AND(B78&gt;0,AP78="")," * No olvide digitar la variable Migrantes. Digite cero si no tiene.",IF(AP78&gt;B78," * La variable Migrantes no puede ser mayor al Total.",""))</f>
        <v/>
      </c>
      <c r="CE78" s="111">
        <f>IF(AND($B78&gt;0,AQ78="")," * No olvide digitar la variable Teleconsulta de especialidad resueltas por Médicos Generales. Digite cero si no tiene.",IF(AQ78&gt;$B78," * La variable Teleconsulta de especialidad resueltas por Médicos Generales no puede ser mayor al Total.",""))</f>
        <v/>
      </c>
      <c r="CF78" s="111">
        <f>IF(AND($B78&gt;0,AR78="")," * No olvide digitar la variable "&amp;AR75&amp;". Digite cero si no tiene.",IF(AR78&gt;$B78," * La variable "&amp;AR75&amp;" no puede ser mayor al Total.",""))</f>
        <v/>
      </c>
      <c r="CG78" s="111">
        <f>IF(AND($B78&gt;0,AS78="")," * No olvide digitar la variable "&amp;AS$32&amp;". Digite cero si no tiene.",IF(AS78&gt;$B78," * La variable "&amp;AS$32&amp;" no puede ser mayor al Total.",""))</f>
        <v/>
      </c>
      <c r="CH78" s="111">
        <f>IF(AND(B78&gt;0,AJ78="",AK78="",AL78=""),"*No olvide digitar datos en "&amp;AJ$32,
IF(AJ78+AK78+AL78&gt;B78,"*El Total de "&amp;AJ$32&amp;" no puede ser mayor que el Total Ambos Sexos.",
IF(AJ78+AK78+AL78&lt;B78,"*El Total de "&amp;AJ$32&amp;" no debe ser menor que el Total Ambos Sexos.","")))</f>
        <v/>
      </c>
      <c r="CK78" s="112">
        <f>IF((T78+U78)&lt;&gt;B78,1,0)</f>
        <v/>
      </c>
      <c r="CL78" s="112">
        <f>IF((AE78+Z78)&gt;B78,1,0)</f>
        <v/>
      </c>
      <c r="CM78" s="112">
        <f>IF(AND(B78&gt;0,AO78=""),1,IF(AO78&gt;B78,1,0))</f>
        <v/>
      </c>
      <c r="CN78" s="112">
        <f>IF(AND(B78&gt;0,AP78=""),1,IF(AP78&gt;B78,1,0))</f>
        <v/>
      </c>
      <c r="CO78" s="112">
        <f>IF(AND($B78&gt;0,AQ78=""),1,IF(AQ78&gt;$B78,1,0))</f>
        <v/>
      </c>
      <c r="CP78" s="112">
        <f>IF(AND($B78&gt;0,AR78=""),1,IF(AR78&gt;$B78,1,0))</f>
        <v/>
      </c>
      <c r="CQ78" s="112">
        <f>IF(AND($B78&gt;0,AS78=""),1,IF(AS78&gt;$B78,1,0))</f>
        <v/>
      </c>
      <c r="CR78" s="112">
        <f>IF(OR(AND(B78&gt;0,AJ78="",AJ78=""),AK78+AJ78+AL78&gt;B78,AK78+AJ78+AL78&lt;B78),1,0)</f>
        <v/>
      </c>
    </row>
    <row r="79" ht="15" customFormat="1" customHeight="1" s="110">
      <c r="A79" s="4518" t="inlineStr">
        <is>
          <t xml:space="preserve">Ginecología oncológica </t>
        </is>
      </c>
      <c r="B79" s="10629">
        <f>SUM(C79:S79)</f>
        <v/>
      </c>
      <c r="C79" s="1333" t="n"/>
      <c r="D79" s="4688" t="n"/>
      <c r="E79" s="4688" t="n"/>
      <c r="F79" s="4688" t="n"/>
      <c r="G79" s="4688" t="n"/>
      <c r="H79" s="4688" t="n"/>
      <c r="I79" s="4688" t="n"/>
      <c r="J79" s="4688" t="n"/>
      <c r="K79" s="4688" t="n"/>
      <c r="L79" s="4688" t="n"/>
      <c r="M79" s="4688" t="n"/>
      <c r="N79" s="4688" t="n"/>
      <c r="O79" s="4688" t="n"/>
      <c r="P79" s="4688" t="n"/>
      <c r="Q79" s="4688" t="n"/>
      <c r="R79" s="4688" t="n"/>
      <c r="S79" s="4697" t="n"/>
      <c r="T79" s="1333" t="n"/>
      <c r="U79" s="4697" t="n"/>
      <c r="V79" s="1333" t="n"/>
      <c r="W79" s="4697" t="n"/>
      <c r="X79" s="1333" t="n"/>
      <c r="Y79" s="4697" t="n"/>
      <c r="Z79" s="3651">
        <f>SUM(AA79+AB79+AC79+AD79)</f>
        <v/>
      </c>
      <c r="AA79" s="1333" t="n"/>
      <c r="AB79" s="4688" t="n"/>
      <c r="AC79" s="4688" t="n"/>
      <c r="AD79" s="4697" t="n"/>
      <c r="AE79" s="3651">
        <f>SUM(AF79+AG79+AH79+AI79)</f>
        <v/>
      </c>
      <c r="AF79" s="1333" t="n"/>
      <c r="AG79" s="4688" t="n"/>
      <c r="AH79" s="4688" t="n"/>
      <c r="AI79" s="4769" t="n"/>
      <c r="AJ79" s="4700" t="n"/>
      <c r="AK79" s="4702" t="n"/>
      <c r="AL79" s="4701" t="n"/>
      <c r="AM79" s="4114" t="n"/>
      <c r="AN79" s="4114" t="n"/>
      <c r="AO79" s="4838" t="n"/>
      <c r="AP79" s="4113" t="n"/>
      <c r="AQ79" s="4114" t="n"/>
      <c r="AR79" s="4838" t="n"/>
      <c r="AS79" s="4113" t="n"/>
      <c r="AT79" s="110">
        <f>CA79&amp;CB79&amp;CC79&amp;CD79&amp;CE79&amp;CF79&amp;CG79</f>
        <v/>
      </c>
      <c r="CA79" s="111">
        <f>IF((T79+U79)&lt;&gt;B79,"* El número de "&amp;C$32&amp;" según Sexo debe ser igual al Total.","")</f>
        <v/>
      </c>
      <c r="CB79" s="111">
        <f>IF((AE79+Z79)&gt;B79," * El Total de "&amp;Z$32&amp;" no debe ser mayor que el Total","")</f>
        <v/>
      </c>
      <c r="CC79" s="111">
        <f>IF(AND(B79&gt;0,AO79="")," * No olvide digitar la variable Pueblos Originarios. Digite Cero si no tiene.",IF(AO79&gt;B79," * La variable Pueblos Originarios no puede ser mayor al Total.",""))</f>
        <v/>
      </c>
      <c r="CD79" s="111">
        <f>IF(AND(B79&gt;0,AP79="")," * No olvide digitar la variable Migrantes. Digite cero si no tiene.",IF(AP79&gt;B79," * La variable Migrantes no puede ser mayor al Total.",""))</f>
        <v/>
      </c>
      <c r="CE79" s="111">
        <f>IF(AND($B79&gt;0,AQ79="")," * No olvide digitar la variable Teleconsulta de especialidad resueltas por Médicos Generales. Digite cero si no tiene.",IF(AQ79&gt;$B79," * La variable Teleconsulta de especialidad resueltas por Médicos Generales no puede ser mayor al Total.",""))</f>
        <v/>
      </c>
      <c r="CF79" s="111">
        <f>IF(AND($B79&gt;0,AR79="")," * No olvide digitar la variable "&amp;AR76&amp;". Digite cero si no tiene.",IF(AR79&gt;$B79," * La variable "&amp;AR76&amp;" no puede ser mayor al Total.",""))</f>
        <v/>
      </c>
      <c r="CG79" s="111">
        <f>IF(AND($B79&gt;0,AS79="")," * No olvide digitar la variable "&amp;AS$32&amp;". Digite cero si no tiene.",IF(AS79&gt;$B79," * La variable "&amp;AS$32&amp;" no puede ser mayor al Total.",""))</f>
        <v/>
      </c>
      <c r="CH79" s="111">
        <f>IF(AND(B79&gt;0,AJ79="",AK79="",AL79=""),"*No olvide digitar datos en "&amp;AJ$32,
IF(AJ79+AK79+AL79&gt;B79,"*El Total de "&amp;AJ$32&amp;" no puede ser mayor que el Total Ambos Sexos.",
IF(AJ79+AK79+AL79&lt;B79,"*El Total de "&amp;AJ$32&amp;" no debe ser menor que el Total Ambos Sexos.","")))</f>
        <v/>
      </c>
      <c r="CK79" s="112">
        <f>IF((T79+U79)&lt;&gt;B79,1,0)</f>
        <v/>
      </c>
      <c r="CL79" s="112">
        <f>IF((AE79+Z79)&gt;B79,1,0)</f>
        <v/>
      </c>
      <c r="CM79" s="112">
        <f>IF(AND(B79&gt;0,AO79=""),1,IF(AO79&gt;B79,1,0))</f>
        <v/>
      </c>
      <c r="CN79" s="112">
        <f>IF(AND(B79&gt;0,AP79=""),1,IF(AP79&gt;B79,1,0))</f>
        <v/>
      </c>
      <c r="CO79" s="112">
        <f>IF(AND($B79&gt;0,AQ79=""),1,IF(AQ79&gt;$B79,1,0))</f>
        <v/>
      </c>
      <c r="CP79" s="112">
        <f>IF(AND($B79&gt;0,AR79=""),1,IF(AR79&gt;$B79,1,0))</f>
        <v/>
      </c>
      <c r="CQ79" s="112">
        <f>IF(AND($B79&gt;0,AS79=""),1,IF(AS79&gt;$B79,1,0))</f>
        <v/>
      </c>
      <c r="CR79" s="112">
        <f>IF(OR(AND(B79&gt;0,AJ79="",AJ79=""),AK79+AJ79+AL79&gt;B79,AK79+AJ79+AL79&lt;B79),1,0)</f>
        <v/>
      </c>
    </row>
    <row r="80" ht="15" customFormat="1" customHeight="1" s="110">
      <c r="A80" s="4518" t="inlineStr">
        <is>
          <t>Neuroradiologia</t>
        </is>
      </c>
      <c r="B80" s="10629">
        <f>SUM(C80:S80)</f>
        <v/>
      </c>
      <c r="C80" s="1333" t="n"/>
      <c r="D80" s="4688" t="n"/>
      <c r="E80" s="4688" t="n"/>
      <c r="F80" s="4688" t="n"/>
      <c r="G80" s="4688" t="n"/>
      <c r="H80" s="4688" t="n"/>
      <c r="I80" s="4688" t="n"/>
      <c r="J80" s="4688" t="n"/>
      <c r="K80" s="4688" t="n"/>
      <c r="L80" s="4688" t="n"/>
      <c r="M80" s="4688" t="n"/>
      <c r="N80" s="4688" t="n"/>
      <c r="O80" s="4688" t="n"/>
      <c r="P80" s="4688" t="n"/>
      <c r="Q80" s="4688" t="n"/>
      <c r="R80" s="4688" t="n"/>
      <c r="S80" s="4697" t="n"/>
      <c r="T80" s="1333" t="n"/>
      <c r="U80" s="4697" t="n"/>
      <c r="V80" s="1333" t="n"/>
      <c r="W80" s="4697" t="n"/>
      <c r="X80" s="1333" t="n"/>
      <c r="Y80" s="4697" t="n"/>
      <c r="Z80" s="3651">
        <f>SUM(AA80+AB80+AC80+AD80)</f>
        <v/>
      </c>
      <c r="AA80" s="1333" t="n"/>
      <c r="AB80" s="4688" t="n"/>
      <c r="AC80" s="4688" t="n"/>
      <c r="AD80" s="4697" t="n"/>
      <c r="AE80" s="3651">
        <f>SUM(AF80+AG80+AH80+AI80)</f>
        <v/>
      </c>
      <c r="AF80" s="1333" t="n"/>
      <c r="AG80" s="4688" t="n"/>
      <c r="AH80" s="4688" t="n"/>
      <c r="AI80" s="4769" t="n"/>
      <c r="AJ80" s="4700" t="n"/>
      <c r="AK80" s="4702" t="n"/>
      <c r="AL80" s="4701" t="n"/>
      <c r="AM80" s="4114" t="n"/>
      <c r="AN80" s="4114" t="n"/>
      <c r="AO80" s="4838" t="n"/>
      <c r="AP80" s="4113" t="n"/>
      <c r="AQ80" s="4114" t="n"/>
      <c r="AR80" s="4838" t="n"/>
      <c r="AS80" s="4113" t="n"/>
      <c r="AT80" s="110">
        <f>CA80&amp;CB80&amp;CC80&amp;CD80&amp;CE80&amp;CF80&amp;CG80</f>
        <v/>
      </c>
      <c r="CA80" s="111">
        <f>IF((T80+U80)&lt;&gt;B80,"* El número de "&amp;C$32&amp;" según Sexo debe ser igual al Total.","")</f>
        <v/>
      </c>
      <c r="CB80" s="111">
        <f>IF((AE80+Z80)&gt;B80," * El Total de "&amp;Z$32&amp;" no debe ser mayor que el Total","")</f>
        <v/>
      </c>
      <c r="CC80" s="111">
        <f>IF(AND(B80&gt;0,AO80="")," * No olvide digitar la variable Pueblos Originarios. Digite Cero si no tiene.",IF(AO80&gt;B80," * La variable Pueblos Originarios no puede ser mayor al Total.",""))</f>
        <v/>
      </c>
      <c r="CD80" s="111">
        <f>IF(AND(B80&gt;0,AP80="")," * No olvide digitar la variable Migrantes. Digite cero si no tiene.",IF(AP80&gt;B80," * La variable Migrantes no puede ser mayor al Total.",""))</f>
        <v/>
      </c>
      <c r="CE80" s="111">
        <f>IF(AND($B80&gt;0,AQ80="")," * No olvide digitar la variable Teleconsulta de especialidad resueltas por Médicos Generales. Digite cero si no tiene.",IF(AQ80&gt;$B80," * La variable Teleconsulta de especialidad resueltas por Médicos Generales no puede ser mayor al Total.",""))</f>
        <v/>
      </c>
      <c r="CF80" s="111">
        <f>IF(AND($B80&gt;0,AR80="")," * No olvide digitar la variable "&amp;AR77&amp;". Digite cero si no tiene.",IF(AR80&gt;$B80," * La variable "&amp;AR77&amp;" no puede ser mayor al Total.",""))</f>
        <v/>
      </c>
      <c r="CG80" s="111">
        <f>IF(AND($B80&gt;0,AS80="")," * No olvide digitar la variable "&amp;AS$32&amp;". Digite cero si no tiene.",IF(AS80&gt;$B80," * La variable "&amp;AS$32&amp;" no puede ser mayor al Total.",""))</f>
        <v/>
      </c>
      <c r="CH80" s="111">
        <f>IF(AND(B80&gt;0,AJ80="",AK80="",AL80=""),"*No olvide digitar datos en "&amp;AJ$32,
IF(AJ80+AK80+AL80&gt;B80,"*El Total de "&amp;AJ$32&amp;" no puede ser mayor que el Total Ambos Sexos.",
IF(AJ80+AK80+AL80&lt;B80,"*El Total de "&amp;AJ$32&amp;" no debe ser menor que el Total Ambos Sexos.","")))</f>
        <v/>
      </c>
      <c r="CK80" s="112">
        <f>IF((T80+U80)&lt;&gt;B80,1,0)</f>
        <v/>
      </c>
      <c r="CL80" s="112">
        <f>IF((AE80+Z80)&gt;B80,1,0)</f>
        <v/>
      </c>
      <c r="CM80" s="112">
        <f>IF(AND(B80&gt;0,AO80=""),1,IF(AO80&gt;B80,1,0))</f>
        <v/>
      </c>
      <c r="CN80" s="112">
        <f>IF(AND(B80&gt;0,AP80=""),1,IF(AP80&gt;B80,1,0))</f>
        <v/>
      </c>
      <c r="CO80" s="112">
        <f>IF(AND($B80&gt;0,AQ80=""),1,IF(AQ80&gt;$B80,1,0))</f>
        <v/>
      </c>
      <c r="CP80" s="112">
        <f>IF(AND($B80&gt;0,AR80=""),1,IF(AR80&gt;$B80,1,0))</f>
        <v/>
      </c>
      <c r="CQ80" s="112">
        <f>IF(AND($B80&gt;0,AS80=""),1,IF(AS80&gt;$B80,1,0))</f>
        <v/>
      </c>
      <c r="CR80" s="112">
        <f>IF(OR(AND(B80&gt;0,AJ80="",AJ80=""),AK80+AJ80+AL80&gt;B80,AK80+AJ80+AL80&lt;B80),1,0)</f>
        <v/>
      </c>
    </row>
    <row r="81" ht="15" customFormat="1" customHeight="1" s="110">
      <c r="A81" s="3651" t="inlineStr">
        <is>
          <t>Oftalmología</t>
        </is>
      </c>
      <c r="B81" s="10629">
        <f>SUM(C81:S81)</f>
        <v/>
      </c>
      <c r="C81" s="1333" t="n"/>
      <c r="D81" s="4688" t="n"/>
      <c r="E81" s="4688" t="n"/>
      <c r="F81" s="4688" t="n"/>
      <c r="G81" s="4688" t="n"/>
      <c r="H81" s="4688" t="n"/>
      <c r="I81" s="4688" t="n"/>
      <c r="J81" s="4688" t="n"/>
      <c r="K81" s="4688" t="n"/>
      <c r="L81" s="4688" t="n"/>
      <c r="M81" s="4688" t="n"/>
      <c r="N81" s="4688" t="n"/>
      <c r="O81" s="4688" t="n"/>
      <c r="P81" s="4688" t="n"/>
      <c r="Q81" s="4688" t="n"/>
      <c r="R81" s="4688" t="n"/>
      <c r="S81" s="4697" t="n"/>
      <c r="T81" s="1333" t="n"/>
      <c r="U81" s="4697" t="n"/>
      <c r="V81" s="1333" t="n"/>
      <c r="W81" s="4697" t="n"/>
      <c r="X81" s="1333" t="n"/>
      <c r="Y81" s="4697" t="n"/>
      <c r="Z81" s="3651">
        <f>SUM(AA81+AB81+AC81+AD81)</f>
        <v/>
      </c>
      <c r="AA81" s="1333" t="n"/>
      <c r="AB81" s="4688" t="n"/>
      <c r="AC81" s="4688" t="n"/>
      <c r="AD81" s="4697" t="n"/>
      <c r="AE81" s="3651">
        <f>SUM(AF81+AG81+AH81+AI81)</f>
        <v/>
      </c>
      <c r="AF81" s="1333" t="n"/>
      <c r="AG81" s="4688" t="n"/>
      <c r="AH81" s="4688" t="n"/>
      <c r="AI81" s="4769" t="n"/>
      <c r="AJ81" s="4700" t="n"/>
      <c r="AK81" s="4702" t="n"/>
      <c r="AL81" s="4701" t="n"/>
      <c r="AM81" s="4114" t="n"/>
      <c r="AN81" s="4114" t="n"/>
      <c r="AO81" s="4838" t="n"/>
      <c r="AP81" s="4113" t="n"/>
      <c r="AQ81" s="4114" t="n"/>
      <c r="AR81" s="4838" t="n"/>
      <c r="AS81" s="4113" t="n"/>
      <c r="AT81" s="110">
        <f>CA81&amp;CB81&amp;CC81&amp;CD81&amp;CE81&amp;CF81&amp;CG81</f>
        <v/>
      </c>
      <c r="CA81" s="111">
        <f>IF((T81+U81)&lt;&gt;B81,"* El número de "&amp;C$32&amp;" según Sexo debe ser igual al Total.","")</f>
        <v/>
      </c>
      <c r="CB81" s="111">
        <f>IF((AE81+Z81)&gt;B81," * El Total de "&amp;Z$32&amp;" no debe ser mayor que el Total","")</f>
        <v/>
      </c>
      <c r="CC81" s="111">
        <f>IF(AND(B81&gt;0,AO81="")," * No olvide digitar la variable Pueblos Originarios. Digite Cero si no tiene.",IF(AO81&gt;B81," * La variable Pueblos Originarios no puede ser mayor al Total.",""))</f>
        <v/>
      </c>
      <c r="CD81" s="111">
        <f>IF(AND(B81&gt;0,AP81="")," * No olvide digitar la variable Migrantes. Digite cero si no tiene.",IF(AP81&gt;B81," * La variable Migrantes no puede ser mayor al Total.",""))</f>
        <v/>
      </c>
      <c r="CE81" s="111">
        <f>IF(AND($B81&gt;0,AQ81="")," * No olvide digitar la variable Teleconsulta de especialidad resueltas por Médicos Generales. Digite cero si no tiene.",IF(AQ81&gt;$B81," * La variable Teleconsulta de especialidad resueltas por Médicos Generales no puede ser mayor al Total.",""))</f>
        <v/>
      </c>
      <c r="CF81" s="111">
        <f>IF(AND($B81&gt;0,AR81="")," * No olvide digitar la variable "&amp;AR78&amp;". Digite cero si no tiene.",IF(AR81&gt;$B81," * La variable "&amp;AR78&amp;" no puede ser mayor al Total.",""))</f>
        <v/>
      </c>
      <c r="CG81" s="111">
        <f>IF(AND($B81&gt;0,AS81="")," * No olvide digitar la variable "&amp;AS$32&amp;". Digite cero si no tiene.",IF(AS81&gt;$B81," * La variable "&amp;AS$32&amp;" no puede ser mayor al Total.",""))</f>
        <v/>
      </c>
      <c r="CH81" s="111">
        <f>IF(AND(B81&gt;0,AJ81="",AK81="",AL81=""),"*No olvide digitar datos en "&amp;AJ$32,
IF(AJ81+AK81+AL81&gt;B81,"*El Total de "&amp;AJ$32&amp;" no puede ser mayor que el Total Ambos Sexos.",
IF(AJ81+AK81+AL81&lt;B81,"*El Total de "&amp;AJ$32&amp;" no debe ser menor que el Total Ambos Sexos.","")))</f>
        <v/>
      </c>
      <c r="CK81" s="112">
        <f>IF((T81+U81)&lt;&gt;B81,1,0)</f>
        <v/>
      </c>
      <c r="CL81" s="112">
        <f>IF((AE81+Z81)&gt;B81,1,0)</f>
        <v/>
      </c>
      <c r="CM81" s="112">
        <f>IF(AND(B81&gt;0,AO81=""),1,IF(AO81&gt;B81,1,0))</f>
        <v/>
      </c>
      <c r="CN81" s="112">
        <f>IF(AND(B81&gt;0,AP81=""),1,IF(AP81&gt;B81,1,0))</f>
        <v/>
      </c>
      <c r="CO81" s="112">
        <f>IF(AND($B81&gt;0,AQ81=""),1,IF(AQ81&gt;$B81,1,0))</f>
        <v/>
      </c>
      <c r="CP81" s="112">
        <f>IF(AND($B81&gt;0,AR81=""),1,IF(AR81&gt;$B81,1,0))</f>
        <v/>
      </c>
      <c r="CQ81" s="112">
        <f>IF(AND($B81&gt;0,AS81=""),1,IF(AS81&gt;$B81,1,0))</f>
        <v/>
      </c>
      <c r="CR81" s="112">
        <f>IF(OR(AND(B81&gt;0,AJ81="",AJ81=""),AK81+AJ81+AL81&gt;B81,AK81+AJ81+AL81&lt;B81),1,0)</f>
        <v/>
      </c>
    </row>
    <row r="82" ht="15" customFormat="1" customHeight="1" s="110">
      <c r="A82" s="3651" t="inlineStr">
        <is>
          <t>Otorrinolaringología</t>
        </is>
      </c>
      <c r="B82" s="10629">
        <f>SUM(C82:S82)</f>
        <v/>
      </c>
      <c r="C82" s="1333" t="n"/>
      <c r="D82" s="4688" t="n"/>
      <c r="E82" s="4688" t="n"/>
      <c r="F82" s="4688" t="n"/>
      <c r="G82" s="4688" t="n"/>
      <c r="H82" s="4688" t="n"/>
      <c r="I82" s="4688" t="n"/>
      <c r="J82" s="4688" t="n"/>
      <c r="K82" s="4688" t="n"/>
      <c r="L82" s="4688" t="n"/>
      <c r="M82" s="4688" t="n"/>
      <c r="N82" s="4688" t="n"/>
      <c r="O82" s="4688" t="n"/>
      <c r="P82" s="4688" t="n"/>
      <c r="Q82" s="4688" t="n"/>
      <c r="R82" s="4688" t="n"/>
      <c r="S82" s="4697" t="n"/>
      <c r="T82" s="1333" t="n"/>
      <c r="U82" s="4697" t="n"/>
      <c r="V82" s="1333" t="n"/>
      <c r="W82" s="4697" t="n"/>
      <c r="X82" s="1333" t="n"/>
      <c r="Y82" s="4697" t="n"/>
      <c r="Z82" s="3651">
        <f>SUM(AA82+AB82+AC82+AD82)</f>
        <v/>
      </c>
      <c r="AA82" s="1333" t="n"/>
      <c r="AB82" s="4688" t="n"/>
      <c r="AC82" s="4688" t="n"/>
      <c r="AD82" s="4697" t="n"/>
      <c r="AE82" s="3651">
        <f>SUM(AF82+AG82+AH82+AI82)</f>
        <v/>
      </c>
      <c r="AF82" s="1333" t="n"/>
      <c r="AG82" s="4688" t="n"/>
      <c r="AH82" s="4688" t="n"/>
      <c r="AI82" s="4769" t="n"/>
      <c r="AJ82" s="4700" t="n"/>
      <c r="AK82" s="4702" t="n"/>
      <c r="AL82" s="4701" t="n"/>
      <c r="AM82" s="4114" t="n"/>
      <c r="AN82" s="4114" t="n"/>
      <c r="AO82" s="4838" t="n"/>
      <c r="AP82" s="4113" t="n"/>
      <c r="AQ82" s="4114" t="n"/>
      <c r="AR82" s="4838" t="n"/>
      <c r="AS82" s="4113" t="n"/>
      <c r="AT82" s="110">
        <f>CA82&amp;CB82&amp;CC82&amp;CD82&amp;CE82&amp;CF82&amp;CG82</f>
        <v/>
      </c>
      <c r="CA82" s="111">
        <f>IF((T82+U82)&lt;&gt;B82,"* El número de "&amp;C$32&amp;" según Sexo debe ser igual al Total.","")</f>
        <v/>
      </c>
      <c r="CB82" s="111">
        <f>IF((AE82+Z82)&gt;B82," * El Total de "&amp;Z$32&amp;" no debe ser mayor que el Total","")</f>
        <v/>
      </c>
      <c r="CC82" s="111">
        <f>IF(AND(B82&gt;0,AO82="")," * No olvide digitar la variable Pueblos Originarios. Digite Cero si no tiene.",IF(AO82&gt;B82," * La variable Pueblos Originarios no puede ser mayor al Total.",""))</f>
        <v/>
      </c>
      <c r="CD82" s="111">
        <f>IF(AND(B82&gt;0,AP82="")," * No olvide digitar la variable Migrantes. Digite cero si no tiene.",IF(AP82&gt;B82," * La variable Migrantes no puede ser mayor al Total.",""))</f>
        <v/>
      </c>
      <c r="CE82" s="111">
        <f>IF(AND($B82&gt;0,AQ82="")," * No olvide digitar la variable Teleconsulta de especialidad resueltas por Médicos Generales. Digite cero si no tiene.",IF(AQ82&gt;$B82," * La variable Teleconsulta de especialidad resueltas por Médicos Generales no puede ser mayor al Total.",""))</f>
        <v/>
      </c>
      <c r="CF82" s="111">
        <f>IF(AND($B82&gt;0,AR82="")," * No olvide digitar la variable "&amp;AR79&amp;". Digite cero si no tiene.",IF(AR82&gt;$B82," * La variable "&amp;AR79&amp;" no puede ser mayor al Total.",""))</f>
        <v/>
      </c>
      <c r="CG82" s="111">
        <f>IF(AND($B82&gt;0,AS82="")," * No olvide digitar la variable "&amp;AS$32&amp;". Digite cero si no tiene.",IF(AS82&gt;$B82," * La variable "&amp;AS$32&amp;" no puede ser mayor al Total.",""))</f>
        <v/>
      </c>
      <c r="CH82" s="111">
        <f>IF(AND(B82&gt;0,AJ82="",AK82="",AL82=""),"*No olvide digitar datos en "&amp;AJ$32,
IF(AJ82+AK82+AL82&gt;B82,"*El Total de "&amp;AJ$32&amp;" no puede ser mayor que el Total Ambos Sexos.",
IF(AJ82+AK82+AL82&lt;B82,"*El Total de "&amp;AJ$32&amp;" no debe ser menor que el Total Ambos Sexos.","")))</f>
        <v/>
      </c>
      <c r="CK82" s="112">
        <f>IF((T82+U82)&lt;&gt;B82,1,0)</f>
        <v/>
      </c>
      <c r="CL82" s="112">
        <f>IF((AE82+Z82)&gt;B82,1,0)</f>
        <v/>
      </c>
      <c r="CM82" s="112">
        <f>IF(AND(B82&gt;0,AO82=""),1,IF(AO82&gt;B82,1,0))</f>
        <v/>
      </c>
      <c r="CN82" s="112">
        <f>IF(AND(B82&gt;0,AP82=""),1,IF(AP82&gt;B82,1,0))</f>
        <v/>
      </c>
      <c r="CO82" s="112">
        <f>IF(AND($B82&gt;0,AQ82=""),1,IF(AQ82&gt;$B82,1,0))</f>
        <v/>
      </c>
      <c r="CP82" s="112">
        <f>IF(AND($B82&gt;0,AR82=""),1,IF(AR82&gt;$B82,1,0))</f>
        <v/>
      </c>
      <c r="CQ82" s="112">
        <f>IF(AND($B82&gt;0,AS82=""),1,IF(AS82&gt;$B82,1,0))</f>
        <v/>
      </c>
      <c r="CR82" s="112">
        <f>IF(OR(AND(B82&gt;0,AJ82="",AJ82=""),AK82+AJ82+AL82&gt;B82,AK82+AJ82+AL82&lt;B82),1,0)</f>
        <v/>
      </c>
    </row>
    <row r="83" ht="15" customFormat="1" customHeight="1" s="110">
      <c r="A83" s="3785" t="inlineStr">
        <is>
          <t>Traumatología y Ortopedia</t>
        </is>
      </c>
      <c r="B83" s="10629">
        <f>SUM(C83:S83)</f>
        <v/>
      </c>
      <c r="C83" s="1333" t="n"/>
      <c r="D83" s="4688" t="n"/>
      <c r="E83" s="4688" t="n"/>
      <c r="F83" s="4688" t="n"/>
      <c r="G83" s="4688" t="n"/>
      <c r="H83" s="4688" t="n"/>
      <c r="I83" s="4688" t="n"/>
      <c r="J83" s="4688" t="n"/>
      <c r="K83" s="4688" t="n"/>
      <c r="L83" s="4688" t="n"/>
      <c r="M83" s="4688" t="n"/>
      <c r="N83" s="4688" t="n"/>
      <c r="O83" s="4688" t="n"/>
      <c r="P83" s="4688" t="n"/>
      <c r="Q83" s="4688" t="n"/>
      <c r="R83" s="4688" t="n"/>
      <c r="S83" s="4697" t="n"/>
      <c r="T83" s="1333" t="n"/>
      <c r="U83" s="4697" t="n"/>
      <c r="V83" s="1333" t="n"/>
      <c r="W83" s="4697" t="n"/>
      <c r="X83" s="1333" t="n"/>
      <c r="Y83" s="4697" t="n"/>
      <c r="Z83" s="3651">
        <f>SUM(AA83+AB83+AC83+AD83)</f>
        <v/>
      </c>
      <c r="AA83" s="1333" t="n"/>
      <c r="AB83" s="4688" t="n"/>
      <c r="AC83" s="4688" t="n"/>
      <c r="AD83" s="4697" t="n"/>
      <c r="AE83" s="3651">
        <f>SUM(AF83+AG83+AH83+AI83)</f>
        <v/>
      </c>
      <c r="AF83" s="1333" t="n"/>
      <c r="AG83" s="4688" t="n"/>
      <c r="AH83" s="4688" t="n"/>
      <c r="AI83" s="4769" t="n"/>
      <c r="AJ83" s="4700" t="n"/>
      <c r="AK83" s="4702" t="n"/>
      <c r="AL83" s="4701" t="n"/>
      <c r="AM83" s="4114" t="n"/>
      <c r="AN83" s="4114" t="n"/>
      <c r="AO83" s="4838" t="n"/>
      <c r="AP83" s="4113" t="n"/>
      <c r="AQ83" s="4114" t="n"/>
      <c r="AR83" s="4838" t="n"/>
      <c r="AS83" s="4113" t="n"/>
      <c r="AT83" s="110">
        <f>CA83&amp;CB83&amp;CC83&amp;CD83&amp;CE83&amp;CF83&amp;CG83</f>
        <v/>
      </c>
      <c r="CA83" s="111">
        <f>IF((T83+U83)&lt;&gt;B83,"* El número de "&amp;C$32&amp;" según Sexo debe ser igual al Total.","")</f>
        <v/>
      </c>
      <c r="CB83" s="111">
        <f>IF((AE83+Z83)&gt;B83," * El Total de "&amp;Z$32&amp;" no debe ser mayor que el Total","")</f>
        <v/>
      </c>
      <c r="CC83" s="111">
        <f>IF(AND(B83&gt;0,AO83="")," * No olvide digitar la variable Pueblos Originarios. Digite Cero si no tiene.",IF(AO83&gt;B83," * La variable Pueblos Originarios no puede ser mayor al Total.",""))</f>
        <v/>
      </c>
      <c r="CD83" s="111">
        <f>IF(AND(B83&gt;0,AP83="")," * No olvide digitar la variable Migrantes. Digite cero si no tiene.",IF(AP83&gt;B83," * La variable Migrantes no puede ser mayor al Total.",""))</f>
        <v/>
      </c>
      <c r="CE83" s="111">
        <f>IF(AND($B83&gt;0,AQ83="")," * No olvide digitar la variable Teleconsulta de especialidad resueltas por Médicos Generales. Digite cero si no tiene.",IF(AQ83&gt;$B83," * La variable Teleconsulta de especialidad resueltas por Médicos Generales no puede ser mayor al Total.",""))</f>
        <v/>
      </c>
      <c r="CF83" s="111">
        <f>IF(AND($B83&gt;0,AR83="")," * No olvide digitar la variable "&amp;AR80&amp;". Digite cero si no tiene.",IF(AR83&gt;$B83," * La variable "&amp;AR80&amp;" no puede ser mayor al Total.",""))</f>
        <v/>
      </c>
      <c r="CG83" s="111">
        <f>IF(AND($B83&gt;0,AS83="")," * No olvide digitar la variable "&amp;AS$32&amp;". Digite cero si no tiene.",IF(AS83&gt;$B83," * La variable "&amp;AS$32&amp;" no puede ser mayor al Total.",""))</f>
        <v/>
      </c>
      <c r="CH83" s="111">
        <f>IF(AND(B83&gt;0,AJ83="",AK83="",AL83=""),"*No olvide digitar datos en "&amp;AJ$32,
IF(AJ83+AK83+AL83&gt;B83,"*El Total de "&amp;AJ$32&amp;" no puede ser mayor que el Total Ambos Sexos.",
IF(AJ83+AK83+AL83&lt;B83,"*El Total de "&amp;AJ$32&amp;" no debe ser menor que el Total Ambos Sexos.","")))</f>
        <v/>
      </c>
      <c r="CK83" s="112">
        <f>IF((T83+U83)&lt;&gt;B83,1,0)</f>
        <v/>
      </c>
      <c r="CL83" s="112">
        <f>IF((AE83+Z83)&gt;B83,1,0)</f>
        <v/>
      </c>
      <c r="CM83" s="112">
        <f>IF(AND(B83&gt;0,AO83=""),1,IF(AO83&gt;B83,1,0))</f>
        <v/>
      </c>
      <c r="CN83" s="112">
        <f>IF(AND(B83&gt;0,AP83=""),1,IF(AP83&gt;B83,1,0))</f>
        <v/>
      </c>
      <c r="CO83" s="112">
        <f>IF(AND($B83&gt;0,AQ83=""),1,IF(AQ83&gt;$B83,1,0))</f>
        <v/>
      </c>
      <c r="CP83" s="112">
        <f>IF(AND($B83&gt;0,AR83=""),1,IF(AR83&gt;$B83,1,0))</f>
        <v/>
      </c>
      <c r="CQ83" s="112">
        <f>IF(AND($B83&gt;0,AS83=""),1,IF(AS83&gt;$B83,1,0))</f>
        <v/>
      </c>
      <c r="CR83" s="112">
        <f>IF(OR(AND(B83&gt;0,AJ83="",AJ83=""),AK83+AJ83+AL83&gt;B83,AK83+AJ83+AL83&lt;B83),1,0)</f>
        <v/>
      </c>
    </row>
    <row r="84" ht="15" customFormat="1" customHeight="1" s="110">
      <c r="A84" s="3785" t="inlineStr">
        <is>
          <t>Urología</t>
        </is>
      </c>
      <c r="B84" s="10629">
        <f>SUM(C84:S84)</f>
        <v/>
      </c>
      <c r="C84" s="1333" t="n"/>
      <c r="D84" s="4688" t="n"/>
      <c r="E84" s="4688" t="n"/>
      <c r="F84" s="4688" t="n"/>
      <c r="G84" s="4688" t="n"/>
      <c r="H84" s="4688" t="n"/>
      <c r="I84" s="4688" t="n"/>
      <c r="J84" s="4688" t="n"/>
      <c r="K84" s="4688" t="n"/>
      <c r="L84" s="4688" t="n"/>
      <c r="M84" s="4688" t="n"/>
      <c r="N84" s="4688" t="n"/>
      <c r="O84" s="4688" t="n"/>
      <c r="P84" s="4688" t="n"/>
      <c r="Q84" s="4688" t="n"/>
      <c r="R84" s="4688" t="n"/>
      <c r="S84" s="4697" t="n"/>
      <c r="T84" s="1333" t="n"/>
      <c r="U84" s="4697" t="n"/>
      <c r="V84" s="1333" t="n"/>
      <c r="W84" s="4697" t="n"/>
      <c r="X84" s="1333" t="n"/>
      <c r="Y84" s="4697" t="n"/>
      <c r="Z84" s="3651">
        <f>SUM(AA84+AB84+AC84+AD84)</f>
        <v/>
      </c>
      <c r="AA84" s="1333" t="n"/>
      <c r="AB84" s="4688" t="n"/>
      <c r="AC84" s="4688" t="n"/>
      <c r="AD84" s="4697" t="n"/>
      <c r="AE84" s="3651">
        <f>SUM(AF84+AG84+AH84+AI84)</f>
        <v/>
      </c>
      <c r="AF84" s="1333" t="n"/>
      <c r="AG84" s="4688" t="n"/>
      <c r="AH84" s="4688" t="n"/>
      <c r="AI84" s="4769" t="n"/>
      <c r="AJ84" s="4700" t="n"/>
      <c r="AK84" s="4702" t="n"/>
      <c r="AL84" s="4701" t="n"/>
      <c r="AM84" s="4114" t="n"/>
      <c r="AN84" s="4114" t="n"/>
      <c r="AO84" s="4838" t="n"/>
      <c r="AP84" s="4113" t="n"/>
      <c r="AQ84" s="4114" t="n"/>
      <c r="AR84" s="4838" t="n"/>
      <c r="AS84" s="4113" t="n"/>
      <c r="AT84" s="110">
        <f>CA84&amp;CB84&amp;CC84&amp;CD84&amp;CE84&amp;CF84&amp;CG84</f>
        <v/>
      </c>
      <c r="CA84" s="111">
        <f>IF((T84+U84)&lt;&gt;B84,"* El número de "&amp;C$32&amp;" según Sexo debe ser igual al Total.","")</f>
        <v/>
      </c>
      <c r="CB84" s="111">
        <f>IF((AE84+Z84)&gt;B84," * El Total de "&amp;Z$32&amp;" no debe ser mayor que el Total","")</f>
        <v/>
      </c>
      <c r="CC84" s="111">
        <f>IF(AND(B84&gt;0,AO84="")," * No olvide digitar la variable Pueblos Originarios. Digite Cero si no tiene.",IF(AO84&gt;B84," * La variable Pueblos Originarios no puede ser mayor al Total.",""))</f>
        <v/>
      </c>
      <c r="CD84" s="111">
        <f>IF(AND(B84&gt;0,AP84="")," * No olvide digitar la variable Migrantes. Digite cero si no tiene.",IF(AP84&gt;B84," * La variable Migrantes no puede ser mayor al Total.",""))</f>
        <v/>
      </c>
      <c r="CE84" s="111">
        <f>IF(AND($B84&gt;0,AQ84="")," * No olvide digitar la variable Teleconsulta de especialidad resueltas por Médicos Generales. Digite cero si no tiene.",IF(AQ84&gt;$B84," * La variable Teleconsulta de especialidad resueltas por Médicos Generales no puede ser mayor al Total.",""))</f>
        <v/>
      </c>
      <c r="CF84" s="111">
        <f>IF(AND($B84&gt;0,AR84="")," * No olvide digitar la variable "&amp;AR81&amp;". Digite cero si no tiene.",IF(AR84&gt;$B84," * La variable "&amp;AR81&amp;" no puede ser mayor al Total.",""))</f>
        <v/>
      </c>
      <c r="CG84" s="111">
        <f>IF(AND($B84&gt;0,AS84="")," * No olvide digitar la variable "&amp;AS$32&amp;". Digite cero si no tiene.",IF(AS84&gt;$B84," * La variable "&amp;AS$32&amp;" no puede ser mayor al Total.",""))</f>
        <v/>
      </c>
      <c r="CH84" s="111">
        <f>IF(AND(B84&gt;0,AJ84="",AK84="",AL84=""),"*No olvide digitar datos en "&amp;AJ$32,
IF(AJ84+AK84+AL84&gt;B84,"*El Total de "&amp;AJ$32&amp;" no puede ser mayor que el Total Ambos Sexos.",
IF(AJ84+AK84+AL84&lt;B84,"*El Total de "&amp;AJ$32&amp;" no debe ser menor que el Total Ambos Sexos.","")))</f>
        <v/>
      </c>
      <c r="CK84" s="112">
        <f>IF((T84+U84)&lt;&gt;B84,1,0)</f>
        <v/>
      </c>
      <c r="CL84" s="112">
        <f>IF((AE84+Z84)&gt;B84,1,0)</f>
        <v/>
      </c>
      <c r="CM84" s="112">
        <f>IF(AND(B84&gt;0,AO84=""),1,IF(AO84&gt;B84,1,0))</f>
        <v/>
      </c>
      <c r="CN84" s="112">
        <f>IF(AND(B84&gt;0,AP84=""),1,IF(AP84&gt;B84,1,0))</f>
        <v/>
      </c>
      <c r="CO84" s="112">
        <f>IF(AND($B84&gt;0,AQ84=""),1,IF(AQ84&gt;$B84,1,0))</f>
        <v/>
      </c>
      <c r="CP84" s="112">
        <f>IF(AND($B84&gt;0,AR84=""),1,IF(AR84&gt;$B84,1,0))</f>
        <v/>
      </c>
      <c r="CQ84" s="112">
        <f>IF(AND($B84&gt;0,AS84=""),1,IF(AS84&gt;$B84,1,0))</f>
        <v/>
      </c>
      <c r="CR84" s="112">
        <f>IF(OR(AND(B84&gt;0,AJ84="",AJ84=""),AK84+AJ84+AL84&gt;B84,AK84+AJ84+AL84&lt;B84),1,0)</f>
        <v/>
      </c>
    </row>
    <row r="85" ht="15" customFormat="1" customHeight="1" s="110">
      <c r="A85" s="3785" t="inlineStr">
        <is>
          <t>Medicina Familiar</t>
        </is>
      </c>
      <c r="B85" s="10629">
        <f>SUM(C85:S85)</f>
        <v/>
      </c>
      <c r="C85" s="1333" t="n"/>
      <c r="D85" s="4688" t="n"/>
      <c r="E85" s="4688" t="n"/>
      <c r="F85" s="4688" t="n"/>
      <c r="G85" s="4688" t="n"/>
      <c r="H85" s="4688" t="n"/>
      <c r="I85" s="4688" t="n"/>
      <c r="J85" s="4688" t="n"/>
      <c r="K85" s="4688" t="n"/>
      <c r="L85" s="4688" t="n"/>
      <c r="M85" s="4688" t="n"/>
      <c r="N85" s="4688" t="n"/>
      <c r="O85" s="4688" t="n"/>
      <c r="P85" s="4688" t="n"/>
      <c r="Q85" s="4688" t="n"/>
      <c r="R85" s="4688" t="n"/>
      <c r="S85" s="4697" t="n"/>
      <c r="T85" s="1333" t="n"/>
      <c r="U85" s="4697" t="n"/>
      <c r="V85" s="1333" t="n"/>
      <c r="W85" s="4697" t="n"/>
      <c r="X85" s="1333" t="n"/>
      <c r="Y85" s="4697" t="n"/>
      <c r="Z85" s="3651">
        <f>SUM(AA85+AB85+AC85+AD85)</f>
        <v/>
      </c>
      <c r="AA85" s="1333" t="n"/>
      <c r="AB85" s="4688" t="n"/>
      <c r="AC85" s="4688" t="n"/>
      <c r="AD85" s="4697" t="n"/>
      <c r="AE85" s="3651">
        <f>SUM(AF85+AG85+AH85+AI85)</f>
        <v/>
      </c>
      <c r="AF85" s="1333" t="n"/>
      <c r="AG85" s="4688" t="n"/>
      <c r="AH85" s="4688" t="n"/>
      <c r="AI85" s="4769" t="n"/>
      <c r="AJ85" s="4700" t="n"/>
      <c r="AK85" s="4702" t="n"/>
      <c r="AL85" s="4701" t="n"/>
      <c r="AM85" s="4114" t="n"/>
      <c r="AN85" s="4114" t="n"/>
      <c r="AO85" s="4838" t="n"/>
      <c r="AP85" s="4113" t="n"/>
      <c r="AQ85" s="4114" t="n"/>
      <c r="AR85" s="4838" t="n"/>
      <c r="AS85" s="4113" t="n"/>
      <c r="AT85" s="110">
        <f>CA85&amp;CB85&amp;CC85&amp;CD85&amp;CE85&amp;CF85&amp;CG85</f>
        <v/>
      </c>
      <c r="CA85" s="111">
        <f>IF((T85+U85)&lt;&gt;B85,"* El número de "&amp;C$32&amp;" según Sexo debe ser igual al Total.","")</f>
        <v/>
      </c>
      <c r="CB85" s="111">
        <f>IF((AE85+Z85)&gt;B85," * El Total de "&amp;Z$32&amp;" no debe ser mayor que el Total","")</f>
        <v/>
      </c>
      <c r="CC85" s="111">
        <f>IF(AND(B85&gt;0,AO85="")," * No olvide digitar la variable Pueblos Originarios. Digite Cero si no tiene.",IF(AO85&gt;B85," * La variable Pueblos Originarios no puede ser mayor al Total.",""))</f>
        <v/>
      </c>
      <c r="CD85" s="111">
        <f>IF(AND(B85&gt;0,AP85="")," * No olvide digitar la variable Migrantes. Digite cero si no tiene.",IF(AP85&gt;B85," * La variable Migrantes no puede ser mayor al Total.",""))</f>
        <v/>
      </c>
      <c r="CE85" s="111">
        <f>IF(AND($B85&gt;0,AQ85="")," * No olvide digitar la variable Teleconsulta de especialidad resueltas por Médicos Generales. Digite cero si no tiene.",IF(AQ85&gt;$B85," * La variable Teleconsulta de especialidad resueltas por Médicos Generales no puede ser mayor al Total.",""))</f>
        <v/>
      </c>
      <c r="CF85" s="111">
        <f>IF(AND($B85&gt;0,AR85="")," * No olvide digitar la variable "&amp;AR82&amp;". Digite cero si no tiene.",IF(AR85&gt;$B85," * La variable "&amp;AR82&amp;" no puede ser mayor al Total.",""))</f>
        <v/>
      </c>
      <c r="CG85" s="111">
        <f>IF(AND($B85&gt;0,AS85="")," * No olvide digitar la variable "&amp;AS$32&amp;". Digite cero si no tiene.",IF(AS85&gt;$B85," * La variable "&amp;AS$32&amp;" no puede ser mayor al Total.",""))</f>
        <v/>
      </c>
      <c r="CH85" s="111">
        <f>IF(AND(B85&gt;0,AJ85="",AK85="",AL85=""),"*No olvide digitar datos en "&amp;AJ$32,
IF(AJ85+AK85+AL85&gt;B85,"*El Total de "&amp;AJ$32&amp;" no puede ser mayor que el Total Ambos Sexos.",
IF(AJ85+AK85+AL85&lt;B85,"*El Total de "&amp;AJ$32&amp;" no debe ser menor que el Total Ambos Sexos.","")))</f>
        <v/>
      </c>
      <c r="CK85" s="112">
        <f>IF((T85+U85)&lt;&gt;B85,1,0)</f>
        <v/>
      </c>
      <c r="CL85" s="112">
        <f>IF((AE85+Z85)&gt;B85,1,0)</f>
        <v/>
      </c>
      <c r="CM85" s="112">
        <f>IF(AND(B85&gt;0,AO85=""),1,IF(AO85&gt;B85,1,0))</f>
        <v/>
      </c>
      <c r="CN85" s="112">
        <f>IF(AND(B85&gt;0,AP85=""),1,IF(AP85&gt;B85,1,0))</f>
        <v/>
      </c>
      <c r="CO85" s="112">
        <f>IF(AND($B85&gt;0,AQ85=""),1,IF(AQ85&gt;$B85,1,0))</f>
        <v/>
      </c>
      <c r="CP85" s="112">
        <f>IF(AND($B85&gt;0,AR85=""),1,IF(AR85&gt;$B85,1,0))</f>
        <v/>
      </c>
      <c r="CQ85" s="112">
        <f>IF(AND($B85&gt;0,AS85=""),1,IF(AS85&gt;$B85,1,0))</f>
        <v/>
      </c>
      <c r="CR85" s="112">
        <f>IF(OR(AND(B85&gt;0,AJ85="",AJ85=""),AK85+AJ85+AL85&gt;B85,AK85+AJ85+AL85&lt;B85),1,0)</f>
        <v/>
      </c>
    </row>
    <row r="86" ht="15" customFormat="1" customHeight="1" s="110">
      <c r="A86" s="3651" t="inlineStr">
        <is>
          <t>Diabetología</t>
        </is>
      </c>
      <c r="B86" s="10629">
        <f>SUM(C86:S86)</f>
        <v/>
      </c>
      <c r="C86" s="1333" t="n"/>
      <c r="D86" s="4688" t="n"/>
      <c r="E86" s="4688" t="n"/>
      <c r="F86" s="4688" t="n"/>
      <c r="G86" s="4688" t="n"/>
      <c r="H86" s="4688" t="n"/>
      <c r="I86" s="4688" t="n"/>
      <c r="J86" s="4688" t="n"/>
      <c r="K86" s="4688" t="n"/>
      <c r="L86" s="4688" t="n"/>
      <c r="M86" s="4688" t="n"/>
      <c r="N86" s="4688" t="n"/>
      <c r="O86" s="4688" t="n"/>
      <c r="P86" s="4688" t="n"/>
      <c r="Q86" s="4688" t="n"/>
      <c r="R86" s="4688" t="n"/>
      <c r="S86" s="4697" t="n"/>
      <c r="T86" s="1333" t="n"/>
      <c r="U86" s="4697" t="n"/>
      <c r="V86" s="1333" t="n"/>
      <c r="W86" s="4697" t="n"/>
      <c r="X86" s="1333" t="n"/>
      <c r="Y86" s="4697" t="n"/>
      <c r="Z86" s="3651">
        <f>SUM(AA86+AB86+AC86+AD86)</f>
        <v/>
      </c>
      <c r="AA86" s="1333" t="n"/>
      <c r="AB86" s="4688" t="n"/>
      <c r="AC86" s="4688" t="n"/>
      <c r="AD86" s="4697" t="n"/>
      <c r="AE86" s="3651">
        <f>SUM(AF86+AG86+AH86+AI86)</f>
        <v/>
      </c>
      <c r="AF86" s="1333" t="n"/>
      <c r="AG86" s="4688" t="n"/>
      <c r="AH86" s="4688" t="n"/>
      <c r="AI86" s="4769" t="n"/>
      <c r="AJ86" s="4700" t="n"/>
      <c r="AK86" s="4702" t="n"/>
      <c r="AL86" s="4701" t="n"/>
      <c r="AM86" s="4114" t="n"/>
      <c r="AN86" s="4114" t="n"/>
      <c r="AO86" s="4838" t="n"/>
      <c r="AP86" s="4113" t="n"/>
      <c r="AQ86" s="4114" t="n"/>
      <c r="AR86" s="4838" t="n"/>
      <c r="AS86" s="4113" t="n"/>
      <c r="AT86" s="110">
        <f>CA86&amp;CB86&amp;CC86&amp;CD86&amp;CE86&amp;CF86&amp;CG86</f>
        <v/>
      </c>
      <c r="CA86" s="111">
        <f>IF((T86+U86)&lt;&gt;B86,"* El número de "&amp;C$32&amp;" según Sexo debe ser igual al Total.","")</f>
        <v/>
      </c>
      <c r="CB86" s="111">
        <f>IF((AE86+Z86)&gt;B86," * El Total de "&amp;Z$32&amp;" no debe ser mayor que el Total","")</f>
        <v/>
      </c>
      <c r="CC86" s="111">
        <f>IF(AND(B86&gt;0,AO86="")," * No olvide digitar la variable Pueblos Originarios. Digite Cero si no tiene.",IF(AO86&gt;B86," * La variable Pueblos Originarios no puede ser mayor al Total.",""))</f>
        <v/>
      </c>
      <c r="CD86" s="111">
        <f>IF(AND(B86&gt;0,AP86="")," * No olvide digitar la variable Migrantes. Digite cero si no tiene.",IF(AP86&gt;B86," * La variable Migrantes no puede ser mayor al Total.",""))</f>
        <v/>
      </c>
      <c r="CE86" s="111">
        <f>IF(AND($B86&gt;0,AQ86="")," * No olvide digitar la variable Teleconsulta de especialidad resueltas por Médicos Generales. Digite cero si no tiene.",IF(AQ86&gt;$B86," * La variable Teleconsulta de especialidad resueltas por Médicos Generales no puede ser mayor al Total.",""))</f>
        <v/>
      </c>
      <c r="CF86" s="111">
        <f>IF(AND($B86&gt;0,AR86="")," * No olvide digitar la variable "&amp;AR83&amp;". Digite cero si no tiene.",IF(AR86&gt;$B86," * La variable "&amp;AR83&amp;" no puede ser mayor al Total.",""))</f>
        <v/>
      </c>
      <c r="CG86" s="111">
        <f>IF(AND($B86&gt;0,AS86="")," * No olvide digitar la variable "&amp;AS$32&amp;". Digite cero si no tiene.",IF(AS86&gt;$B86," * La variable "&amp;AS$32&amp;" no puede ser mayor al Total.",""))</f>
        <v/>
      </c>
      <c r="CH86" s="111">
        <f>IF(AND(B86&gt;0,AJ86="",AK86="",AL86=""),"*No olvide digitar datos en "&amp;AJ$32,
IF(AJ86+AK86+AL86&gt;B86,"*El Total de "&amp;AJ$32&amp;" no puede ser mayor que el Total Ambos Sexos.",
IF(AJ86+AK86+AL86&lt;B86,"*El Total de "&amp;AJ$32&amp;" no debe ser menor que el Total Ambos Sexos.","")))</f>
        <v/>
      </c>
      <c r="CK86" s="112">
        <f>IF((T86+U86)&lt;&gt;B86,1,0)</f>
        <v/>
      </c>
      <c r="CL86" s="112">
        <f>IF((AE86+Z86)&gt;B86,1,0)</f>
        <v/>
      </c>
      <c r="CM86" s="112">
        <f>IF(AND(B86&gt;0,AO86=""),1,IF(AO86&gt;B86,1,0))</f>
        <v/>
      </c>
      <c r="CN86" s="112">
        <f>IF(AND(B86&gt;0,AP86=""),1,IF(AP86&gt;B86,1,0))</f>
        <v/>
      </c>
      <c r="CO86" s="112">
        <f>IF(AND($B86&gt;0,AQ86=""),1,IF(AQ86&gt;$B86,1,0))</f>
        <v/>
      </c>
      <c r="CP86" s="112">
        <f>IF(AND($B86&gt;0,AR86=""),1,IF(AR86&gt;$B86,1,0))</f>
        <v/>
      </c>
      <c r="CQ86" s="112">
        <f>IF(AND($B86&gt;0,AS86=""),1,IF(AS86&gt;$B86,1,0))</f>
        <v/>
      </c>
      <c r="CR86" s="112">
        <f>IF(OR(AND(B86&gt;0,AJ86="",AJ86=""),AK86+AJ86+AL86&gt;B86,AK86+AJ86+AL86&lt;B86),1,0)</f>
        <v/>
      </c>
    </row>
    <row r="87" ht="15" customFormat="1" customHeight="1" s="110">
      <c r="A87" s="3651" t="inlineStr">
        <is>
          <t>Medicina nuclear</t>
        </is>
      </c>
      <c r="B87" s="10629">
        <f>SUM(C87:S87)</f>
        <v/>
      </c>
      <c r="C87" s="1333" t="n"/>
      <c r="D87" s="4688" t="n"/>
      <c r="E87" s="4688" t="n"/>
      <c r="F87" s="4688" t="n"/>
      <c r="G87" s="4688" t="n"/>
      <c r="H87" s="4688" t="n"/>
      <c r="I87" s="4688" t="n"/>
      <c r="J87" s="4688" t="n"/>
      <c r="K87" s="4688" t="n"/>
      <c r="L87" s="4688" t="n"/>
      <c r="M87" s="4688" t="n"/>
      <c r="N87" s="4688" t="n"/>
      <c r="O87" s="4688" t="n"/>
      <c r="P87" s="4688" t="n"/>
      <c r="Q87" s="4688" t="n"/>
      <c r="R87" s="4688" t="n"/>
      <c r="S87" s="4697" t="n"/>
      <c r="T87" s="1333" t="n"/>
      <c r="U87" s="4697" t="n"/>
      <c r="V87" s="1333" t="n"/>
      <c r="W87" s="4697" t="n"/>
      <c r="X87" s="1333" t="n"/>
      <c r="Y87" s="4697" t="n"/>
      <c r="Z87" s="3651">
        <f>SUM(AA87+AB87+AC87+AD87)</f>
        <v/>
      </c>
      <c r="AA87" s="1333" t="n"/>
      <c r="AB87" s="4688" t="n"/>
      <c r="AC87" s="4688" t="n"/>
      <c r="AD87" s="4697" t="n"/>
      <c r="AE87" s="3651">
        <f>SUM(AF87+AG87+AH87+AI87)</f>
        <v/>
      </c>
      <c r="AF87" s="1333" t="n"/>
      <c r="AG87" s="4688" t="n"/>
      <c r="AH87" s="4688" t="n"/>
      <c r="AI87" s="4769" t="n"/>
      <c r="AJ87" s="4700" t="n"/>
      <c r="AK87" s="4702" t="n"/>
      <c r="AL87" s="4701" t="n"/>
      <c r="AM87" s="4114" t="n"/>
      <c r="AN87" s="4114" t="n"/>
      <c r="AO87" s="4838" t="n"/>
      <c r="AP87" s="4113" t="n"/>
      <c r="AQ87" s="4114" t="n"/>
      <c r="AR87" s="4838" t="n"/>
      <c r="AS87" s="4113" t="n"/>
      <c r="AT87" s="110">
        <f>CA87&amp;CB87&amp;CC87&amp;CD87&amp;CE87&amp;CF87&amp;CG87</f>
        <v/>
      </c>
      <c r="CA87" s="111">
        <f>IF((T87+U87)&lt;&gt;B87,"* El número de "&amp;C$32&amp;" según Sexo debe ser igual al Total.","")</f>
        <v/>
      </c>
      <c r="CB87" s="111">
        <f>IF((AE87+Z87)&gt;B87," * El Total de "&amp;Z$32&amp;" no debe ser mayor que el Total","")</f>
        <v/>
      </c>
      <c r="CC87" s="111">
        <f>IF(AND(B87&gt;0,AO87="")," * No olvide digitar la variable Pueblos Originarios. Digite Cero si no tiene.",IF(AO87&gt;B87," * La variable Pueblos Originarios no puede ser mayor al Total.",""))</f>
        <v/>
      </c>
      <c r="CD87" s="111">
        <f>IF(AND(B87&gt;0,AP87="")," * No olvide digitar la variable Migrantes. Digite cero si no tiene.",IF(AP87&gt;B87," * La variable Migrantes no puede ser mayor al Total.",""))</f>
        <v/>
      </c>
      <c r="CE87" s="111">
        <f>IF(AND($B87&gt;0,AQ87="")," * No olvide digitar la variable Teleconsulta de especialidad resueltas por Médicos Generales. Digite cero si no tiene.",IF(AQ87&gt;$B87," * La variable Teleconsulta de especialidad resueltas por Médicos Generales no puede ser mayor al Total.",""))</f>
        <v/>
      </c>
      <c r="CF87" s="111">
        <f>IF(AND($B87&gt;0,AR87="")," * No olvide digitar la variable "&amp;AR84&amp;". Digite cero si no tiene.",IF(AR87&gt;$B87," * La variable "&amp;AR84&amp;" no puede ser mayor al Total.",""))</f>
        <v/>
      </c>
      <c r="CG87" s="111">
        <f>IF(AND($B87&gt;0,AS87="")," * No olvide digitar la variable "&amp;AS$32&amp;". Digite cero si no tiene.",IF(AS87&gt;$B87," * La variable "&amp;AS$32&amp;" no puede ser mayor al Total.",""))</f>
        <v/>
      </c>
      <c r="CH87" s="111">
        <f>IF(AND(B87&gt;0,AJ87="",AK87="",AL87=""),"*No olvide digitar datos en "&amp;AJ$32,
IF(AJ87+AK87+AL87&gt;B87,"*El Total de "&amp;AJ$32&amp;" no puede ser mayor que el Total Ambos Sexos.",
IF(AJ87+AK87+AL87&lt;B87,"*El Total de "&amp;AJ$32&amp;" no debe ser menor que el Total Ambos Sexos.","")))</f>
        <v/>
      </c>
      <c r="CK87" s="112">
        <f>IF((T87+U87)&lt;&gt;B87,1,0)</f>
        <v/>
      </c>
      <c r="CL87" s="112">
        <f>IF((AE87+Z87)&gt;B87,1,0)</f>
        <v/>
      </c>
      <c r="CM87" s="112">
        <f>IF(AND(B87&gt;0,AO87=""),1,IF(AO87&gt;B87,1,0))</f>
        <v/>
      </c>
      <c r="CN87" s="112">
        <f>IF(AND(B87&gt;0,AP87=""),1,IF(AP87&gt;B87,1,0))</f>
        <v/>
      </c>
      <c r="CO87" s="112">
        <f>IF(AND($B87&gt;0,AQ87=""),1,IF(AQ87&gt;$B87,1,0))</f>
        <v/>
      </c>
      <c r="CP87" s="112">
        <f>IF(AND($B87&gt;0,AR87=""),1,IF(AR87&gt;$B87,1,0))</f>
        <v/>
      </c>
      <c r="CQ87" s="112">
        <f>IF(AND($B87&gt;0,AS87=""),1,IF(AS87&gt;$B87,1,0))</f>
        <v/>
      </c>
      <c r="CR87" s="112">
        <f>IF(OR(AND(B87&gt;0,AJ87="",AJ87=""),AK87+AJ87+AL87&gt;B87,AK87+AJ87+AL87&lt;B87),1,0)</f>
        <v/>
      </c>
    </row>
    <row r="88" ht="15" customFormat="1" customHeight="1" s="110">
      <c r="A88" s="3759" t="inlineStr">
        <is>
          <t>Imagenología</t>
        </is>
      </c>
      <c r="B88" s="10629">
        <f>SUM(C88:S88)</f>
        <v/>
      </c>
      <c r="C88" s="1333" t="n"/>
      <c r="D88" s="4688" t="n"/>
      <c r="E88" s="4688" t="n"/>
      <c r="F88" s="4688" t="n"/>
      <c r="G88" s="4688" t="n"/>
      <c r="H88" s="4688" t="n"/>
      <c r="I88" s="4688" t="n"/>
      <c r="J88" s="4688" t="n"/>
      <c r="K88" s="4688" t="n"/>
      <c r="L88" s="4688" t="n"/>
      <c r="M88" s="4688" t="n"/>
      <c r="N88" s="4688" t="n"/>
      <c r="O88" s="4688" t="n"/>
      <c r="P88" s="4688" t="n"/>
      <c r="Q88" s="4688" t="n"/>
      <c r="R88" s="4688" t="n"/>
      <c r="S88" s="4697" t="n"/>
      <c r="T88" s="1333" t="n"/>
      <c r="U88" s="4697" t="n"/>
      <c r="V88" s="1333" t="n"/>
      <c r="W88" s="4697" t="n"/>
      <c r="X88" s="1333" t="n"/>
      <c r="Y88" s="4697" t="n"/>
      <c r="Z88" s="3651">
        <f>SUM(AA88+AB88+AC88+AD88)</f>
        <v/>
      </c>
      <c r="AA88" s="1333" t="n"/>
      <c r="AB88" s="4688" t="n"/>
      <c r="AC88" s="4688" t="n"/>
      <c r="AD88" s="4697" t="n"/>
      <c r="AE88" s="3651">
        <f>SUM(AF88+AG88+AH88+AI88)</f>
        <v/>
      </c>
      <c r="AF88" s="1333" t="n"/>
      <c r="AG88" s="4688" t="n"/>
      <c r="AH88" s="4688" t="n"/>
      <c r="AI88" s="4769" t="n"/>
      <c r="AJ88" s="4700" t="n"/>
      <c r="AK88" s="4702" t="n"/>
      <c r="AL88" s="4701" t="n"/>
      <c r="AM88" s="4114" t="n"/>
      <c r="AN88" s="4114" t="n"/>
      <c r="AO88" s="4838" t="n"/>
      <c r="AP88" s="4113" t="n"/>
      <c r="AQ88" s="4114" t="n"/>
      <c r="AR88" s="4838" t="n"/>
      <c r="AS88" s="4113" t="n"/>
      <c r="AT88" s="110">
        <f>CA88&amp;CB88&amp;CC88&amp;CD88&amp;CE88&amp;CF88&amp;CG88</f>
        <v/>
      </c>
      <c r="CA88" s="111">
        <f>IF((T88+U88)&lt;&gt;B88,"* El número de "&amp;C$32&amp;" según Sexo debe ser igual al Total.","")</f>
        <v/>
      </c>
      <c r="CB88" s="111">
        <f>IF((AE88+Z88)&gt;B88," * El Total de "&amp;Z$32&amp;" no debe ser mayor que el Total","")</f>
        <v/>
      </c>
      <c r="CC88" s="111">
        <f>IF(AND(B88&gt;0,AO88="")," * No olvide digitar la variable Pueblos Originarios. Digite Cero si no tiene.",IF(AO88&gt;B88," * La variable Pueblos Originarios no puede ser mayor al Total.",""))</f>
        <v/>
      </c>
      <c r="CD88" s="111">
        <f>IF(AND(B88&gt;0,AP88="")," * No olvide digitar la variable Migrantes. Digite cero si no tiene.",IF(AP88&gt;B88," * La variable Migrantes no puede ser mayor al Total.",""))</f>
        <v/>
      </c>
      <c r="CE88" s="111">
        <f>IF(AND($B88&gt;0,AQ88="")," * No olvide digitar la variable Teleconsulta de especialidad resueltas por Médicos Generales. Digite cero si no tiene.",IF(AQ88&gt;$B88," * La variable Teleconsulta de especialidad resueltas por Médicos Generales no puede ser mayor al Total.",""))</f>
        <v/>
      </c>
      <c r="CF88" s="111">
        <f>IF(AND($B88&gt;0,AR88="")," * No olvide digitar la variable "&amp;AR85&amp;". Digite cero si no tiene.",IF(AR88&gt;$B88," * La variable "&amp;AR85&amp;" no puede ser mayor al Total.",""))</f>
        <v/>
      </c>
      <c r="CG88" s="111">
        <f>IF(AND($B88&gt;0,AS88="")," * No olvide digitar la variable "&amp;AS$32&amp;". Digite cero si no tiene.",IF(AS88&gt;$B88," * La variable "&amp;AS$32&amp;" no puede ser mayor al Total.",""))</f>
        <v/>
      </c>
      <c r="CH88" s="111">
        <f>IF(AND(B88&gt;0,AJ88="",AK88="",AL88=""),"*No olvide digitar datos en "&amp;AJ$32,
IF(AJ88+AK88+AL88&gt;B88,"*El Total de "&amp;AJ$32&amp;" no puede ser mayor que el Total Ambos Sexos.",
IF(AJ88+AK88+AL88&lt;B88,"*El Total de "&amp;AJ$32&amp;" no debe ser menor que el Total Ambos Sexos.","")))</f>
        <v/>
      </c>
      <c r="CK88" s="112">
        <f>IF((T88+U88)&lt;&gt;B88,1,0)</f>
        <v/>
      </c>
      <c r="CL88" s="112">
        <f>IF((AE88+Z88)&gt;B88,1,0)</f>
        <v/>
      </c>
      <c r="CM88" s="112">
        <f>IF(AND(B88&gt;0,AO88=""),1,IF(AO88&gt;B88,1,0))</f>
        <v/>
      </c>
      <c r="CN88" s="112">
        <f>IF(AND(B88&gt;0,AP88=""),1,IF(AP88&gt;B88,1,0))</f>
        <v/>
      </c>
      <c r="CO88" s="112">
        <f>IF(AND($B88&gt;0,AQ88=""),1,IF(AQ88&gt;$B88,1,0))</f>
        <v/>
      </c>
      <c r="CP88" s="112">
        <f>IF(AND($B88&gt;0,AR88=""),1,IF(AR88&gt;$B88,1,0))</f>
        <v/>
      </c>
      <c r="CQ88" s="112">
        <f>IF(AND($B88&gt;0,AS88=""),1,IF(AS88&gt;$B88,1,0))</f>
        <v/>
      </c>
      <c r="CR88" s="112">
        <f>IF(OR(AND(B88&gt;0,AJ88="",AJ88=""),AK88+AJ88+AL88&gt;B88,AK88+AJ88+AL88&lt;B88),1,0)</f>
        <v/>
      </c>
    </row>
    <row r="89" ht="15" customFormat="1" customHeight="1" s="110">
      <c r="A89" s="674" t="inlineStr">
        <is>
          <t>Radioterapia oncológica</t>
        </is>
      </c>
      <c r="B89" s="10629">
        <f>SUM(C89:S89)</f>
        <v/>
      </c>
      <c r="C89" s="4095" t="n"/>
      <c r="D89" s="4096" t="n"/>
      <c r="E89" s="4096" t="n"/>
      <c r="F89" s="4096" t="n"/>
      <c r="G89" s="4096" t="n"/>
      <c r="H89" s="4096" t="n"/>
      <c r="I89" s="4096" t="n"/>
      <c r="J89" s="4096" t="n"/>
      <c r="K89" s="4096" t="n"/>
      <c r="L89" s="4096" t="n"/>
      <c r="M89" s="4096" t="n"/>
      <c r="N89" s="4096" t="n"/>
      <c r="O89" s="4096" t="n"/>
      <c r="P89" s="4096" t="n"/>
      <c r="Q89" s="4096" t="n"/>
      <c r="R89" s="4096" t="n"/>
      <c r="S89" s="4770" t="n"/>
      <c r="T89" s="1333" t="n"/>
      <c r="U89" s="4697" t="n"/>
      <c r="V89" s="1333" t="n"/>
      <c r="W89" s="4697" t="n"/>
      <c r="X89" s="1333" t="n"/>
      <c r="Y89" s="4697" t="n"/>
      <c r="Z89" s="3651">
        <f>SUM(AA89+AB89+AC89+AD89)</f>
        <v/>
      </c>
      <c r="AA89" s="1333" t="n"/>
      <c r="AB89" s="4688" t="n"/>
      <c r="AC89" s="4688" t="n"/>
      <c r="AD89" s="4697" t="n"/>
      <c r="AE89" s="3651">
        <f>SUM(AF89+AG89+AH89+AI89)</f>
        <v/>
      </c>
      <c r="AF89" s="1333" t="n"/>
      <c r="AG89" s="4688" t="n"/>
      <c r="AH89" s="4688" t="n"/>
      <c r="AI89" s="4769" t="n"/>
      <c r="AJ89" s="4700" t="n"/>
      <c r="AK89" s="4702" t="n"/>
      <c r="AL89" s="4701" t="n"/>
      <c r="AM89" s="4114" t="n"/>
      <c r="AN89" s="4114" t="n"/>
      <c r="AO89" s="4838" t="n"/>
      <c r="AP89" s="4113" t="n"/>
      <c r="AQ89" s="4114" t="n"/>
      <c r="AR89" s="4838" t="n"/>
      <c r="AS89" s="4113" t="n"/>
      <c r="AT89" s="110">
        <f>CA89&amp;CB89&amp;CC89&amp;CD89&amp;CE89&amp;CF89&amp;CG89</f>
        <v/>
      </c>
      <c r="CA89" s="111">
        <f>IF((T89+U89)&lt;&gt;B89,"* El número de "&amp;C$32&amp;" según Sexo debe ser igual al Total.","")</f>
        <v/>
      </c>
      <c r="CB89" s="111">
        <f>IF((AE89+Z89)&gt;B89," * El Total de "&amp;Z$32&amp;" no debe ser mayor que el Total","")</f>
        <v/>
      </c>
      <c r="CC89" s="111">
        <f>IF(AND(B89&gt;0,AO89="")," * No olvide digitar la variable Pueblos Originarios. Digite Cero si no tiene.",IF(AO89&gt;B89," * La variable Pueblos Originarios no puede ser mayor al Total.",""))</f>
        <v/>
      </c>
      <c r="CD89" s="111">
        <f>IF(AND(B89&gt;0,AP89="")," * No olvide digitar la variable Migrantes. Digite cero si no tiene.",IF(AP89&gt;B89," * La variable Migrantes no puede ser mayor al Total.",""))</f>
        <v/>
      </c>
      <c r="CE89" s="111">
        <f>IF(AND($B89&gt;0,AQ89="")," * No olvide digitar la variable Teleconsulta de especialidad resueltas por Médicos Generales. Digite cero si no tiene.",IF(AQ89&gt;$B89," * La variable Teleconsulta de especialidad resueltas por Médicos Generales no puede ser mayor al Total.",""))</f>
        <v/>
      </c>
      <c r="CF89" s="111">
        <f>IF(AND($B89&gt;0,AR89="")," * No olvide digitar la variable "&amp;AR86&amp;". Digite cero si no tiene.",IF(AR89&gt;$B89," * La variable "&amp;AR86&amp;" no puede ser mayor al Total.",""))</f>
        <v/>
      </c>
      <c r="CG89" s="111">
        <f>IF(AND($B89&gt;0,AS89="")," * No olvide digitar la variable "&amp;AS$32&amp;". Digite cero si no tiene.",IF(AS89&gt;$B89," * La variable "&amp;AS$32&amp;" no puede ser mayor al Total.",""))</f>
        <v/>
      </c>
      <c r="CH89" s="111">
        <f>IF(AND(B89&gt;0,AJ89="",AK89="",AL89=""),"*No olvide digitar datos en "&amp;AJ$32,
IF(AJ89+AK89+AL89&gt;B89,"*El Total de "&amp;AJ$32&amp;" no puede ser mayor que el Total Ambos Sexos.",
IF(AJ89+AK89+AL89&lt;B89,"*El Total de "&amp;AJ$32&amp;" no debe ser menor que el Total Ambos Sexos.","")))</f>
        <v/>
      </c>
      <c r="CK89" s="112">
        <f>IF((T89+U89)&lt;&gt;B89,1,0)</f>
        <v/>
      </c>
      <c r="CL89" s="112">
        <f>IF((AE89+Z89)&gt;B89,1,0)</f>
        <v/>
      </c>
      <c r="CM89" s="112">
        <f>IF(AND(B89&gt;0,AO89=""),1,IF(AO89&gt;B89,1,0))</f>
        <v/>
      </c>
      <c r="CN89" s="112">
        <f>IF(AND(B89&gt;0,AP89=""),1,IF(AP89&gt;B89,1,0))</f>
        <v/>
      </c>
      <c r="CO89" s="112">
        <f>IF(AND($B89&gt;0,AQ89=""),1,IF(AQ89&gt;$B89,1,0))</f>
        <v/>
      </c>
      <c r="CP89" s="112">
        <f>IF(AND($B89&gt;0,AR89=""),1,IF(AR89&gt;$B89,1,0))</f>
        <v/>
      </c>
      <c r="CQ89" s="112">
        <f>IF(AND($B89&gt;0,AS89=""),1,IF(AS89&gt;$B89,1,0))</f>
        <v/>
      </c>
      <c r="CR89" s="112">
        <f>IF(OR(AND(B89&gt;0,AJ89="",AJ89=""),AK89+AJ89+AL89&gt;B89,AK89+AJ89+AL89&lt;B89),1,0)</f>
        <v/>
      </c>
    </row>
    <row r="90" ht="15" customFormat="1" customHeight="1" s="110">
      <c r="A90" s="10660" t="inlineStr">
        <is>
          <t>TOTAL</t>
        </is>
      </c>
      <c r="B90" s="10661">
        <f>SUM(C90:S90)</f>
        <v/>
      </c>
      <c r="C90" s="10662">
        <f>SUM(C35:C89)</f>
        <v/>
      </c>
      <c r="D90" s="10663">
        <f>SUM(D35:D89)</f>
        <v/>
      </c>
      <c r="E90" s="10663">
        <f>SUM(E35:E89)</f>
        <v/>
      </c>
      <c r="F90" s="10663">
        <f>SUM(F35:F89)</f>
        <v/>
      </c>
      <c r="G90" s="10663">
        <f>SUM(G35:G89)</f>
        <v/>
      </c>
      <c r="H90" s="10664">
        <f>SUM(H35:H89)</f>
        <v/>
      </c>
      <c r="I90" s="10663">
        <f>SUM(I35:I89)</f>
        <v/>
      </c>
      <c r="J90" s="10663">
        <f>SUM(J35:J89)</f>
        <v/>
      </c>
      <c r="K90" s="10663">
        <f>SUM(K35:K89)</f>
        <v/>
      </c>
      <c r="L90" s="10663">
        <f>SUM(L35:L89)</f>
        <v/>
      </c>
      <c r="M90" s="10663">
        <f>SUM(M35:M89)</f>
        <v/>
      </c>
      <c r="N90" s="10663">
        <f>SUM(N35:N89)</f>
        <v/>
      </c>
      <c r="O90" s="10663">
        <f>SUM(O35:O89)</f>
        <v/>
      </c>
      <c r="P90" s="10663">
        <f>SUM(P35:P89)</f>
        <v/>
      </c>
      <c r="Q90" s="10663">
        <f>SUM(Q35:Q89)</f>
        <v/>
      </c>
      <c r="R90" s="10663">
        <f>SUM(R35:R89)</f>
        <v/>
      </c>
      <c r="S90" s="10665">
        <f>SUM(S35:S89)</f>
        <v/>
      </c>
      <c r="T90" s="10662">
        <f>SUM(T35:T89)</f>
        <v/>
      </c>
      <c r="U90" s="10665">
        <f>SUM(U35:U89)</f>
        <v/>
      </c>
      <c r="V90" s="10662">
        <f>SUM(V35:V89)</f>
        <v/>
      </c>
      <c r="W90" s="10665">
        <f>SUM(W35:W89)</f>
        <v/>
      </c>
      <c r="X90" s="10662">
        <f>SUM(X35:X89)</f>
        <v/>
      </c>
      <c r="Y90" s="10665">
        <f>SUM(Y35:Y89)</f>
        <v/>
      </c>
      <c r="Z90" s="10661">
        <f>SUM(Z35:Z89)</f>
        <v/>
      </c>
      <c r="AA90" s="10662">
        <f>SUM(AA35:AA89)</f>
        <v/>
      </c>
      <c r="AB90" s="10663">
        <f>SUM(AB35:AB89)</f>
        <v/>
      </c>
      <c r="AC90" s="10663">
        <f>SUM(AC35:AC89)</f>
        <v/>
      </c>
      <c r="AD90" s="10664">
        <f>SUM(AD35:AD89)</f>
        <v/>
      </c>
      <c r="AE90" s="10661">
        <f>SUM(AE35:AE89)</f>
        <v/>
      </c>
      <c r="AF90" s="10662">
        <f>SUM(AF35:AF89)</f>
        <v/>
      </c>
      <c r="AG90" s="10663">
        <f>SUM(AG35:AG89)</f>
        <v/>
      </c>
      <c r="AH90" s="10663">
        <f>SUM(AH35:AH89)</f>
        <v/>
      </c>
      <c r="AI90" s="10666">
        <f>SUM(AI35:AI89)</f>
        <v/>
      </c>
      <c r="AJ90" s="10667">
        <f>SUM(AJ35:AJ89)</f>
        <v/>
      </c>
      <c r="AK90" s="10668">
        <f>SUM(AK35:AK89)</f>
        <v/>
      </c>
      <c r="AL90" s="10669">
        <f>SUM(AL35:AL89)</f>
        <v/>
      </c>
      <c r="AM90" s="10665">
        <f>SUM(AM35:AM89)</f>
        <v/>
      </c>
      <c r="AN90" s="10665">
        <f>SUM(AN35:AN89)</f>
        <v/>
      </c>
      <c r="AO90" s="10670">
        <f>SUM(AO35:AO89)</f>
        <v/>
      </c>
      <c r="AP90" s="10671">
        <f>SUM(AP35:AP89)</f>
        <v/>
      </c>
      <c r="AQ90" s="10665">
        <f>SUM(AQ35:AQ89)</f>
        <v/>
      </c>
      <c r="AR90" s="10670">
        <f>SUM(AR35:AR89)</f>
        <v/>
      </c>
      <c r="AS90" s="10671">
        <f>SUM(AS35:AS89)</f>
        <v/>
      </c>
    </row>
    <row r="91" ht="17.1" customFormat="1" customHeight="1" s="109">
      <c r="A91" s="10672" t="inlineStr">
        <is>
          <t>SECCIÓN D.2: ATENCIONES REMOTAS CONSULTAS Y CONTROLES POR OTROS PROFESIONALES EN ESPECIALIDAD (NIVEL SECUNDARIO)</t>
        </is>
      </c>
      <c r="B91" s="9584" t="n"/>
      <c r="C91" s="9584" t="n"/>
      <c r="D91" s="9584" t="n"/>
      <c r="E91" s="9584" t="n"/>
      <c r="CC91" s="110" t="n"/>
      <c r="CD91" s="110" t="n"/>
      <c r="CE91" s="110" t="n"/>
      <c r="CF91" s="110" t="n"/>
      <c r="CG91" s="110" t="n"/>
      <c r="CH91" s="110" t="n"/>
      <c r="CI91" s="110" t="n"/>
      <c r="CJ91" s="110" t="n"/>
      <c r="CK91" s="110" t="n"/>
      <c r="CL91" s="110" t="n"/>
      <c r="CM91" s="110" t="n"/>
    </row>
    <row r="92" ht="15" customFormat="1" customHeight="1" s="110">
      <c r="A92" s="10004" t="inlineStr">
        <is>
          <t>PROFESIONAL</t>
        </is>
      </c>
      <c r="B92" s="9630" t="n"/>
      <c r="C92" s="10004" t="inlineStr">
        <is>
          <t xml:space="preserve">TOTAL </t>
        </is>
      </c>
      <c r="D92" s="9602" t="n"/>
      <c r="E92" s="9630" t="n"/>
      <c r="F92" s="9915" t="inlineStr">
        <is>
          <t>RANGO ETARIO Y SEXO</t>
        </is>
      </c>
      <c r="G92" s="9584" t="n"/>
      <c r="H92" s="9584" t="n"/>
      <c r="I92" s="9584" t="n"/>
      <c r="J92" s="9584" t="n"/>
      <c r="K92" s="9584" t="n"/>
      <c r="L92" s="9584" t="n"/>
      <c r="M92" s="9584" t="n"/>
      <c r="N92" s="9584" t="n"/>
      <c r="O92" s="9584" t="n"/>
      <c r="P92" s="9584" t="n"/>
      <c r="Q92" s="9584" t="n"/>
      <c r="R92" s="9584" t="n"/>
      <c r="S92" s="9584" t="n"/>
      <c r="T92" s="9584" t="n"/>
      <c r="U92" s="9584" t="n"/>
      <c r="V92" s="9584" t="n"/>
      <c r="W92" s="9584" t="n"/>
      <c r="X92" s="9584" t="n"/>
      <c r="Y92" s="9584" t="n"/>
      <c r="Z92" s="9584" t="n"/>
      <c r="AA92" s="9584" t="n"/>
      <c r="AB92" s="9584" t="n"/>
      <c r="AC92" s="9584" t="n"/>
      <c r="AD92" s="9584" t="n"/>
      <c r="AE92" s="9584" t="n"/>
      <c r="AF92" s="9584" t="n"/>
      <c r="AG92" s="9584" t="n"/>
      <c r="AH92" s="9584" t="n"/>
      <c r="AI92" s="9584" t="n"/>
      <c r="AJ92" s="9584" t="n"/>
      <c r="AK92" s="9584" t="n"/>
      <c r="AL92" s="9584" t="n"/>
      <c r="AM92" s="9595" t="n"/>
      <c r="AN92" s="3954" t="inlineStr">
        <is>
          <t>ATENCIONES REMOTAS SEGÚN MODALIDAD</t>
        </is>
      </c>
      <c r="AO92" s="9886" t="n"/>
      <c r="AP92" s="9916" t="inlineStr">
        <is>
          <t>Beneficiarios</t>
        </is>
      </c>
      <c r="AQ92" s="8400" t="inlineStr">
        <is>
          <t>Total Controles (incluidos en grupo de edad)</t>
        </is>
      </c>
      <c r="AR92" s="7829" t="inlineStr">
        <is>
          <t>Pueblos Originarios</t>
        </is>
      </c>
      <c r="AS92" s="8400" t="inlineStr">
        <is>
          <t>Migrantes</t>
        </is>
      </c>
      <c r="AT92" s="7829" t="inlineStr">
        <is>
          <t>Atención Remota consulta abreviada PNM: entrega de los resultados de exámenes o procedimiento (Confección de recetas o lectura de exámenes)</t>
        </is>
      </c>
      <c r="AU92" s="8400" t="inlineStr">
        <is>
          <t>Consultorías resueltas vía remota</t>
        </is>
      </c>
    </row>
    <row r="93" ht="15" customFormat="1" customHeight="1" s="110">
      <c r="A93" s="642" t="n"/>
      <c r="B93" s="9718" t="n"/>
      <c r="C93" s="9638" t="n"/>
      <c r="D93" s="9697" t="n"/>
      <c r="E93" s="9639" t="n"/>
      <c r="F93" s="8400" t="inlineStr">
        <is>
          <t>0 - 4 años</t>
        </is>
      </c>
      <c r="G93" s="9582" t="n"/>
      <c r="H93" s="8400" t="inlineStr">
        <is>
          <t>5 - 9 años</t>
        </is>
      </c>
      <c r="I93" s="9582" t="n"/>
      <c r="J93" s="8400" t="inlineStr">
        <is>
          <t>10 - 14 años</t>
        </is>
      </c>
      <c r="K93" s="9582" t="n"/>
      <c r="L93" s="8400" t="inlineStr">
        <is>
          <t>15 - 19 años</t>
        </is>
      </c>
      <c r="M93" s="9582" t="n"/>
      <c r="N93" s="8400" t="inlineStr">
        <is>
          <t>20 - 24 años</t>
        </is>
      </c>
      <c r="O93" s="9582" t="n"/>
      <c r="P93" s="9977" t="inlineStr">
        <is>
          <t>25 - 29 años</t>
        </is>
      </c>
      <c r="Q93" s="9582" t="n"/>
      <c r="R93" s="9977" t="inlineStr">
        <is>
          <t>30 - 34 años</t>
        </is>
      </c>
      <c r="S93" s="9582" t="n"/>
      <c r="T93" s="9977" t="inlineStr">
        <is>
          <t>35 - 39 años</t>
        </is>
      </c>
      <c r="U93" s="9582" t="n"/>
      <c r="V93" s="9977" t="inlineStr">
        <is>
          <t>40 - 44 años</t>
        </is>
      </c>
      <c r="W93" s="9582" t="n"/>
      <c r="X93" s="9977" t="inlineStr">
        <is>
          <t>45 - 49 años</t>
        </is>
      </c>
      <c r="Y93" s="9582" t="n"/>
      <c r="Z93" s="9977" t="inlineStr">
        <is>
          <t>50 - 54 años</t>
        </is>
      </c>
      <c r="AA93" s="9582" t="n"/>
      <c r="AB93" s="9977" t="inlineStr">
        <is>
          <t>55 - 59 años</t>
        </is>
      </c>
      <c r="AC93" s="9582" t="n"/>
      <c r="AD93" s="9977" t="inlineStr">
        <is>
          <t>60 - 64 años</t>
        </is>
      </c>
      <c r="AE93" s="9582" t="n"/>
      <c r="AF93" s="9977" t="inlineStr">
        <is>
          <t>65 - 69 años</t>
        </is>
      </c>
      <c r="AG93" s="9582" t="n"/>
      <c r="AH93" s="9977" t="inlineStr">
        <is>
          <t>70 - 74 años</t>
        </is>
      </c>
      <c r="AI93" s="9582" t="n"/>
      <c r="AJ93" s="9977" t="inlineStr">
        <is>
          <t>75 - 79 años</t>
        </is>
      </c>
      <c r="AK93" s="9582" t="n"/>
      <c r="AL93" s="9915" t="inlineStr">
        <is>
          <t>80 y más años</t>
        </is>
      </c>
      <c r="AM93" s="9595" t="n"/>
      <c r="AN93" s="9890" t="n"/>
      <c r="AO93" s="9865" t="n"/>
      <c r="AP93" s="9978" t="n"/>
      <c r="AQ93" s="9614" t="n"/>
      <c r="AS93" s="9614" t="n"/>
      <c r="AU93" s="9614" t="n"/>
    </row>
    <row r="94" ht="57" customFormat="1" customHeight="1" s="110">
      <c r="A94" s="9638" t="n"/>
      <c r="B94" s="9639" t="n"/>
      <c r="C94" s="4498" t="inlineStr">
        <is>
          <t>Ambos Sexos</t>
        </is>
      </c>
      <c r="D94" s="4496" t="inlineStr">
        <is>
          <t>Hombres</t>
        </is>
      </c>
      <c r="E94" s="9254" t="inlineStr">
        <is>
          <t>Mujeres</t>
        </is>
      </c>
      <c r="F94" s="4781" t="inlineStr">
        <is>
          <t>Hombres</t>
        </is>
      </c>
      <c r="G94" s="9288" t="inlineStr">
        <is>
          <t>Mujeres</t>
        </is>
      </c>
      <c r="H94" s="4781" t="inlineStr">
        <is>
          <t>Hombres</t>
        </is>
      </c>
      <c r="I94" s="9288" t="inlineStr">
        <is>
          <t>Mujeres</t>
        </is>
      </c>
      <c r="J94" s="4781" t="inlineStr">
        <is>
          <t>Hombres</t>
        </is>
      </c>
      <c r="K94" s="9288" t="inlineStr">
        <is>
          <t>Mujeres</t>
        </is>
      </c>
      <c r="L94" s="4781" t="inlineStr">
        <is>
          <t>Hombres</t>
        </is>
      </c>
      <c r="M94" s="9288" t="inlineStr">
        <is>
          <t>Mujeres</t>
        </is>
      </c>
      <c r="N94" s="4781" t="inlineStr">
        <is>
          <t>Hombres</t>
        </is>
      </c>
      <c r="O94" s="9288" t="inlineStr">
        <is>
          <t>Mujeres</t>
        </is>
      </c>
      <c r="P94" s="4781" t="inlineStr">
        <is>
          <t>Hombres</t>
        </is>
      </c>
      <c r="Q94" s="9288" t="inlineStr">
        <is>
          <t>Mujeres</t>
        </is>
      </c>
      <c r="R94" s="4781" t="inlineStr">
        <is>
          <t>Hombres</t>
        </is>
      </c>
      <c r="S94" s="9288" t="inlineStr">
        <is>
          <t>Mujeres</t>
        </is>
      </c>
      <c r="T94" s="4781" t="inlineStr">
        <is>
          <t>Hombres</t>
        </is>
      </c>
      <c r="U94" s="9288" t="inlineStr">
        <is>
          <t>Mujeres</t>
        </is>
      </c>
      <c r="V94" s="4781" t="inlineStr">
        <is>
          <t>Hombres</t>
        </is>
      </c>
      <c r="W94" s="9288" t="inlineStr">
        <is>
          <t>Mujeres</t>
        </is>
      </c>
      <c r="X94" s="4781" t="inlineStr">
        <is>
          <t>Hombres</t>
        </is>
      </c>
      <c r="Y94" s="9288" t="inlineStr">
        <is>
          <t>Mujeres</t>
        </is>
      </c>
      <c r="Z94" s="4781" t="inlineStr">
        <is>
          <t>Hombres</t>
        </is>
      </c>
      <c r="AA94" s="9288" t="inlineStr">
        <is>
          <t>Mujeres</t>
        </is>
      </c>
      <c r="AB94" s="4781" t="inlineStr">
        <is>
          <t>Hombres</t>
        </is>
      </c>
      <c r="AC94" s="9288" t="inlineStr">
        <is>
          <t>Mujeres</t>
        </is>
      </c>
      <c r="AD94" s="4781" t="inlineStr">
        <is>
          <t>Hombres</t>
        </is>
      </c>
      <c r="AE94" s="9288" t="inlineStr">
        <is>
          <t>Mujeres</t>
        </is>
      </c>
      <c r="AF94" s="4781" t="inlineStr">
        <is>
          <t>Hombres</t>
        </is>
      </c>
      <c r="AG94" s="9288" t="inlineStr">
        <is>
          <t>Mujeres</t>
        </is>
      </c>
      <c r="AH94" s="4781" t="inlineStr">
        <is>
          <t>Hombres</t>
        </is>
      </c>
      <c r="AI94" s="9288" t="inlineStr">
        <is>
          <t>Mujeres</t>
        </is>
      </c>
      <c r="AJ94" s="4781" t="inlineStr">
        <is>
          <t>Hombres</t>
        </is>
      </c>
      <c r="AK94" s="9288" t="inlineStr">
        <is>
          <t>Mujeres</t>
        </is>
      </c>
      <c r="AL94" s="4781" t="inlineStr">
        <is>
          <t>Hombres</t>
        </is>
      </c>
      <c r="AM94" s="9394" t="inlineStr">
        <is>
          <t>Mujeres</t>
        </is>
      </c>
      <c r="AN94" s="10673" t="inlineStr">
        <is>
          <t xml:space="preserve"> Contacto Telefónico Control</t>
        </is>
      </c>
      <c r="AO94" s="10674" t="inlineStr">
        <is>
          <t>Teleconsulta Nueva /Control</t>
        </is>
      </c>
      <c r="AP94" s="9890" t="n"/>
      <c r="AQ94" s="9610" t="n"/>
      <c r="AR94" s="9591" t="n"/>
      <c r="AS94" s="9610" t="n"/>
      <c r="AT94" s="9591" t="n"/>
      <c r="AU94" s="9610" t="n"/>
    </row>
    <row r="95" ht="15" customFormat="1" customHeight="1" s="110">
      <c r="A95" s="4784" t="inlineStr">
        <is>
          <t>Enfermera/o</t>
        </is>
      </c>
      <c r="B95" s="4785" t="n"/>
      <c r="C95" s="4622">
        <f>SUM(D95+E95)</f>
        <v/>
      </c>
      <c r="D95" s="4621">
        <f>SUM(F95+H95+J95+L95+N95+P95+R95+T95+V95+X95+Z95+AB95+AD95+AF95+AH95+AJ95+AL95)</f>
        <v/>
      </c>
      <c r="E95" s="4620">
        <f>SUM(G95+I95+K95+M95+O95+Q95+S95+U95+W95+Y95+AA95+AC95+AE95+AG95+AI95+AK95+AM95)</f>
        <v/>
      </c>
      <c r="F95" s="4786" t="n"/>
      <c r="G95" s="4787" t="n"/>
      <c r="H95" s="4786" t="n"/>
      <c r="I95" s="4787" t="n"/>
      <c r="J95" s="4786" t="n"/>
      <c r="K95" s="4787" t="n"/>
      <c r="L95" s="4786" t="n"/>
      <c r="M95" s="4787" t="n"/>
      <c r="N95" s="4786" t="n"/>
      <c r="O95" s="4787" t="n"/>
      <c r="P95" s="4786" t="n"/>
      <c r="Q95" s="4787" t="n"/>
      <c r="R95" s="4786" t="n"/>
      <c r="S95" s="4787" t="n"/>
      <c r="T95" s="4786" t="n"/>
      <c r="U95" s="4787" t="n"/>
      <c r="V95" s="4786" t="n"/>
      <c r="W95" s="4787" t="n"/>
      <c r="X95" s="4786" t="n"/>
      <c r="Y95" s="4787" t="n"/>
      <c r="Z95" s="4786" t="n"/>
      <c r="AA95" s="4787" t="n"/>
      <c r="AB95" s="4786" t="n"/>
      <c r="AC95" s="4787" t="n"/>
      <c r="AD95" s="4786" t="n"/>
      <c r="AE95" s="4787" t="n"/>
      <c r="AF95" s="4786" t="n"/>
      <c r="AG95" s="4787" t="n"/>
      <c r="AH95" s="4786" t="n"/>
      <c r="AI95" s="4787" t="n"/>
      <c r="AJ95" s="4786" t="n"/>
      <c r="AK95" s="4787" t="n"/>
      <c r="AL95" s="4786" t="n"/>
      <c r="AM95" s="4788" t="n"/>
      <c r="AN95" s="4789" t="n"/>
      <c r="AO95" s="4790" t="n"/>
      <c r="AP95" s="5503" t="n"/>
      <c r="AQ95" s="5508" t="n"/>
      <c r="AR95" s="5510" t="n"/>
      <c r="AS95" s="5508" t="n"/>
      <c r="AT95" s="5510" t="n"/>
      <c r="AU95" s="5508" t="n"/>
      <c r="AV95" s="110">
        <f>CA95&amp;CB95&amp;CC95&amp;CD95&amp;CE95&amp;CF95&amp;CG95</f>
        <v/>
      </c>
      <c r="CA95" s="111">
        <f>IF(AND(AP95="",C95&gt;0)," * No olvide digitar la columna Beneficiarios. Digite Cero si no tiene.",IF(AP95&gt;C95," * La variable Beneficiarios no puede ser mayor al Total Ambos Sexos.",""))</f>
        <v/>
      </c>
      <c r="CB95" s="111">
        <f>IF(AQ95&gt;C95," * El Total Controles no puede ser mayor que el Total Ambos Sexos.","")</f>
        <v/>
      </c>
      <c r="CC95" s="111">
        <f>IF(AND(C95&gt;0,AR95="")," * No olvide digitar la variable Pueblos originarios. Digite Cero si no tiene.",IF(AR95&gt;C95," * La variable Pueblos originarios no puede ser mayor al Total Ambos Sexos.",""))</f>
        <v/>
      </c>
      <c r="CD95" s="111">
        <f>IF(AND(C95&gt;0,AS95="")," * No olvide digitar la variable Migrantes. Digite Cero si no tiene.",IF(AS95&gt;C95," * La variable Migrantes no puede ser mayor al Total Ambos Sexos.",""))</f>
        <v/>
      </c>
      <c r="CE95" s="111">
        <f>IF(AT95&gt;C95," * El Total Atención Remota consulta abreviada PNM no puede ser mayor que el Total Ambos Sexos.","")</f>
        <v/>
      </c>
      <c r="CF95" s="111">
        <f>IF(AU95&gt;C95," * El Total Consultorías resueltas vía remota no puede ser mayor que el Total Ambos Sexos.","")</f>
        <v/>
      </c>
      <c r="CG95" s="111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 t="n"/>
      <c r="CK95" s="112">
        <f>IF(AND(AP95="",C95&gt;0),1,IF(AP95&gt;C95,1,0))</f>
        <v/>
      </c>
      <c r="CL95" s="112">
        <f>IF(AQ95&gt;C95,1,0)</f>
        <v/>
      </c>
      <c r="CM95" s="112">
        <f>IF(AND(C95&gt;0,AR95=""),1,IF(AR95&gt;C95,1,0))</f>
        <v/>
      </c>
      <c r="CN95" s="112">
        <f>IF(AND($C95&gt;0,AS95=""),1,IF(AS95&gt;$C95,1,0))</f>
        <v/>
      </c>
      <c r="CO95" s="112">
        <f>IF(AND($C95&gt;0,AT95=""),1,IF(AT95&gt;$C95,1,0))</f>
        <v/>
      </c>
      <c r="CP95" s="112">
        <f>IF(AND($C95&gt;0,AU95=""),1,IF(AU95&gt;$C95,1,0))</f>
        <v/>
      </c>
      <c r="CQ95" s="112">
        <f>IF(OR(AND(C95&gt;0,AN95="",AO95=""),AN95+AO95&gt;C95,AN95+AO95&lt;C95),1,0)</f>
        <v/>
      </c>
    </row>
    <row r="96" ht="15" customFormat="1" customHeight="1" s="110">
      <c r="A96" s="4792" t="inlineStr">
        <is>
          <t>Matrón/a</t>
        </is>
      </c>
      <c r="B96" s="4439" t="inlineStr">
        <is>
          <t>ARO</t>
        </is>
      </c>
      <c r="C96" s="2165">
        <f>SUM(D96:E96)</f>
        <v/>
      </c>
      <c r="D96" s="4793" t="n"/>
      <c r="E96" s="4620">
        <f>SUM(K96+M96+O96+Q96+S96+U96+W96+Y96+AA96+AC96+AE96+AG96+AI96+AK96+AM96)</f>
        <v/>
      </c>
      <c r="F96" s="4794" t="n"/>
      <c r="G96" s="4795" t="n"/>
      <c r="H96" s="4794" t="n"/>
      <c r="I96" s="4795" t="n"/>
      <c r="J96" s="4794" t="n"/>
      <c r="K96" s="4748" t="n"/>
      <c r="L96" s="4794" t="n"/>
      <c r="M96" s="4748" t="n"/>
      <c r="N96" s="4794" t="n"/>
      <c r="O96" s="4748" t="n"/>
      <c r="P96" s="4794" t="n"/>
      <c r="Q96" s="4748" t="n"/>
      <c r="R96" s="4794" t="n"/>
      <c r="S96" s="4748" t="n"/>
      <c r="T96" s="4794" t="n"/>
      <c r="U96" s="4748" t="n"/>
      <c r="V96" s="4794" t="n"/>
      <c r="W96" s="4748" t="n"/>
      <c r="X96" s="4794" t="n"/>
      <c r="Y96" s="4748" t="n"/>
      <c r="Z96" s="4794" t="n"/>
      <c r="AA96" s="4748" t="n"/>
      <c r="AB96" s="4794" t="n"/>
      <c r="AC96" s="4690" t="n"/>
      <c r="AD96" s="4794" t="n"/>
      <c r="AE96" s="4748" t="n"/>
      <c r="AF96" s="4794" t="n"/>
      <c r="AG96" s="4748" t="n"/>
      <c r="AH96" s="4794" t="n"/>
      <c r="AI96" s="4748" t="n"/>
      <c r="AJ96" s="4794" t="n"/>
      <c r="AK96" s="4748" t="n"/>
      <c r="AL96" s="4794" t="n"/>
      <c r="AM96" s="4111" t="n"/>
      <c r="AN96" s="4796" t="n"/>
      <c r="AO96" s="815" t="n"/>
      <c r="AP96" s="5504" t="n"/>
      <c r="AQ96" s="5492" t="n"/>
      <c r="AR96" s="118" t="n"/>
      <c r="AS96" s="5492" t="n"/>
      <c r="AT96" s="118" t="n"/>
      <c r="AU96" s="5492" t="n"/>
      <c r="AV96" s="110">
        <f>CA96&amp;CB96&amp;CC96&amp;CD96&amp;CE96&amp;CF96&amp;CG96</f>
        <v/>
      </c>
      <c r="CA96" s="111">
        <f>IF(AND(AP96="",C96&gt;0)," * No olvide digitar la columna Beneficiarios. Digite Cero si no tiene.",IF(AP96&gt;C96," * La variable Beneficiarios no puede ser mayor al Total Ambos Sexos.",""))</f>
        <v/>
      </c>
      <c r="CB96" s="111">
        <f>IF(AQ96&gt;C96," * El Total Controles no puede ser mayor que el Total Ambos Sexos.","")</f>
        <v/>
      </c>
      <c r="CC96" s="111">
        <f>IF(AND(C96&gt;0,AR96="")," * No olvide digitar la variable Pueblos originarios. Digite Cero si no tiene.",IF(AR96&gt;C96," * La variable Pueblos originarios no puede ser mayor al Total Ambos Sexos.",""))</f>
        <v/>
      </c>
      <c r="CD96" s="111">
        <f>IF(AND(C96&gt;0,AS96="")," * No olvide digitar la variable Migrantes. Digite Cero si no tiene.",IF(AS96&gt;C96," * La variable Migrantes no puede ser mayor al Total Ambos Sexos.",""))</f>
        <v/>
      </c>
      <c r="CE96" s="111">
        <f>IF(AT96&gt;C96," * El Total Atención Remota consulta abreviada PNM no puede ser mayor que el Total Ambos Sexos.","")</f>
        <v/>
      </c>
      <c r="CF96" s="111">
        <f>IF(AU96&gt;C96," * El Total Consultorías resueltas vía remota no puede ser mayor que el Total Ambos Sexos.","")</f>
        <v/>
      </c>
      <c r="CG96" s="111">
        <f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 t="n"/>
      <c r="CK96" s="112">
        <f>IF(AND(AP96="",C96&gt;0),1,IF(AP96&gt;C96,1,0))</f>
        <v/>
      </c>
      <c r="CL96" s="112">
        <f>IF(AQ96&gt;C96,1,0)</f>
        <v/>
      </c>
      <c r="CM96" s="112">
        <f>IF(AND(C96&gt;0,AR96=""),1,IF(AR96&gt;C96,1,0))</f>
        <v/>
      </c>
      <c r="CN96" s="112">
        <f>IF(AND(C96&gt;0,AS96=""),1,IF(AS96&gt;C96,1,0))</f>
        <v/>
      </c>
      <c r="CO96" s="112">
        <f>IF(AND($C96&gt;0,AT96=""),1,IF(AT96&gt;$C96,1,0))</f>
        <v/>
      </c>
      <c r="CP96" s="112">
        <f>IF(AND($C96&gt;0,AU96=""),1,IF(AU96&gt;$C96,1,0))</f>
        <v/>
      </c>
      <c r="CQ96" s="112">
        <f>IF(OR(AND(C96&gt;0,AN96="",AO96=""),AN96+AO96&gt;C96,AN96+AO96&lt;C96),1,0)</f>
        <v/>
      </c>
    </row>
    <row r="97" ht="15" customFormat="1" customHeight="1" s="110">
      <c r="A97" s="671" t="n"/>
      <c r="B97" s="3663" t="inlineStr">
        <is>
          <t>Ginecología y otros</t>
        </is>
      </c>
      <c r="C97" s="1131">
        <f>SUM(D97+E97)</f>
        <v/>
      </c>
      <c r="D97" s="3653">
        <f>SUM(F97+H97+J97+L97+N97+P97+R97+T97+V97+X97+Z97+AB97+AD97+AF97+AH97+AJ97+AL97)</f>
        <v/>
      </c>
      <c r="E97" s="3654">
        <f>SUM(G97+I97+K97+M97+O97+Q97+S97+U97+W97+Y97+AA97+AC97+AE97+AG97+AI97+AK97+AM97)</f>
        <v/>
      </c>
      <c r="F97" s="1333" t="n"/>
      <c r="G97" s="4114" t="n"/>
      <c r="H97" s="1333" t="n"/>
      <c r="I97" s="4114" t="n"/>
      <c r="J97" s="1333" t="n"/>
      <c r="K97" s="4114" t="n"/>
      <c r="L97" s="1333" t="n"/>
      <c r="M97" s="4114" t="n"/>
      <c r="N97" s="1333" t="n"/>
      <c r="O97" s="4114" t="n"/>
      <c r="P97" s="1333" t="n"/>
      <c r="Q97" s="4697" t="n"/>
      <c r="R97" s="1333" t="n"/>
      <c r="S97" s="4697" t="n"/>
      <c r="T97" s="1333" t="n"/>
      <c r="U97" s="4697" t="n"/>
      <c r="V97" s="1333" t="n"/>
      <c r="W97" s="4697" t="n"/>
      <c r="X97" s="1333" t="n"/>
      <c r="Y97" s="4697" t="n"/>
      <c r="Z97" s="1333" t="n"/>
      <c r="AA97" s="4697" t="n"/>
      <c r="AB97" s="1333" t="n"/>
      <c r="AC97" s="4697" t="n"/>
      <c r="AD97" s="1333" t="n"/>
      <c r="AE97" s="4697" t="n"/>
      <c r="AF97" s="1333" t="n"/>
      <c r="AG97" s="4697" t="n"/>
      <c r="AH97" s="1333" t="n"/>
      <c r="AI97" s="4697" t="n"/>
      <c r="AJ97" s="1333" t="n"/>
      <c r="AK97" s="4697" t="n"/>
      <c r="AL97" s="4799" t="n"/>
      <c r="AM97" s="4769" t="n"/>
      <c r="AN97" s="893" t="n"/>
      <c r="AO97" s="4769" t="n"/>
      <c r="AP97" s="5505" t="n"/>
      <c r="AQ97" s="4113" t="n"/>
      <c r="AR97" s="4838" t="n"/>
      <c r="AS97" s="4113" t="n"/>
      <c r="AT97" s="4838" t="n"/>
      <c r="AU97" s="4113" t="n"/>
      <c r="AV97" s="110">
        <f>CA97&amp;CB97&amp;CC97&amp;CD97&amp;CE97&amp;CF97&amp;CG97</f>
        <v/>
      </c>
      <c r="CA97" s="111">
        <f>IF(AND(AP97="",C97&gt;0)," * No olvide digitar la columna Beneficiarios. Digite Cero si no tiene.",IF(AP97&gt;C97," * La variable Beneficiarios no puede ser mayor al Total Ambos Sexos.",""))</f>
        <v/>
      </c>
      <c r="CB97" s="111">
        <f>IF(AQ97&gt;C97," * El Total Controles no puede ser mayor que el Total Ambos Sexos.","")</f>
        <v/>
      </c>
      <c r="CC97" s="111">
        <f>IF(AND(C97&gt;0,AR97="")," * No olvide digitar la variable Pueblos originarios. Digite Cero si no tiene.",IF(AR97&gt;C97," * La variable Pueblos originarios no puede ser mayor al Total Ambos Sexos.",""))</f>
        <v/>
      </c>
      <c r="CD97" s="111">
        <f>IF(AND(C97&gt;0,AS97="")," * No olvide digitar la variable Migrantes. Digite Cero si no tiene.",IF(AS97&gt;C97," * La variable Migrantes no puede ser mayor al Total Ambos Sexos.",""))</f>
        <v/>
      </c>
      <c r="CE97" s="111">
        <f>IF(AT97&gt;C97," * El Total Atención Remota consulta abreviada PNM no puede ser mayor que el Total Ambos Sexos.","")</f>
        <v/>
      </c>
      <c r="CF97" s="111">
        <f>IF(AU97&gt;C97," * El Total Consultorías resueltas vía remota no puede ser mayor que el Total Ambos Sexos.","")</f>
        <v/>
      </c>
      <c r="CG97" s="111">
        <f>IF(AND(C97&gt;0,AN97="",AO97=""),"*No olvide digitar datos en "&amp;AN$92,
IF(AN97+AO97&gt;C97,"*El Total de "&amp;AN$92&amp;" no puede ser mayor que el Total Ambos Sexos.",
IF(AN97+AO97&lt;C97,"*El Total de "&amp;AN$92&amp;" no debe ser menor que el Total Ambos Sexos.","")))</f>
        <v/>
      </c>
      <c r="CI97" s="113" t="n"/>
      <c r="CK97" s="112">
        <f>IF(AND(AP97="",C97&gt;0),1,IF(AP97&gt;C97,1,0))</f>
        <v/>
      </c>
      <c r="CL97" s="112">
        <f>IF(AQ97&gt;C97,1,0)</f>
        <v/>
      </c>
      <c r="CM97" s="112">
        <f>IF(AND(C97&gt;0,AR97=""),1,IF(AR97&gt;C97,1,0))</f>
        <v/>
      </c>
      <c r="CN97" s="112">
        <f>IF(AND(C97&gt;0,AS97=""),1,IF(AS97&gt;C97,1,0))</f>
        <v/>
      </c>
      <c r="CO97" s="112">
        <f>IF(AND($C97&gt;0,AT97=""),1,IF(AT97&gt;$C97,1,0))</f>
        <v/>
      </c>
      <c r="CP97" s="112">
        <f>IF(AND($C97&gt;0,AU97=""),1,IF(AU97&gt;$C97,1,0))</f>
        <v/>
      </c>
      <c r="CQ97" s="112">
        <f>IF(OR(AND(C97&gt;0,AN97="",AO97=""),AN97+AO97&gt;C97,AN97+AO97&lt;C97),1,0)</f>
        <v/>
      </c>
    </row>
    <row r="98" ht="15" customFormat="1" customHeight="1" s="110">
      <c r="A98" s="3336" t="n"/>
      <c r="B98" s="4191" t="inlineStr">
        <is>
          <t>Infertilidad</t>
        </is>
      </c>
      <c r="C98" s="2684">
        <f>SUM(D98+E98)</f>
        <v/>
      </c>
      <c r="D98" s="4800">
        <f>SUM(N98+P98+R98+T98+V98+X98+Z98+AB98)</f>
        <v/>
      </c>
      <c r="E98" s="4801">
        <f>SUM(O98+Q98+S98+U98+W98+Y98+AA98+AC98)</f>
        <v/>
      </c>
      <c r="F98" s="4802" t="n"/>
      <c r="G98" s="1404" t="n"/>
      <c r="H98" s="4802" t="n"/>
      <c r="I98" s="1404" t="n"/>
      <c r="J98" s="4802" t="n"/>
      <c r="K98" s="1404" t="n"/>
      <c r="L98" s="4802" t="n"/>
      <c r="M98" s="1404" t="n"/>
      <c r="N98" s="4095" t="n"/>
      <c r="O98" s="4770" t="n"/>
      <c r="P98" s="4095" t="n"/>
      <c r="Q98" s="4770" t="n"/>
      <c r="R98" s="4095" t="n"/>
      <c r="S98" s="4770" t="n"/>
      <c r="T98" s="4095" t="n"/>
      <c r="U98" s="4770" t="n"/>
      <c r="V98" s="4095" t="n"/>
      <c r="W98" s="4770" t="n"/>
      <c r="X98" s="4095" t="n"/>
      <c r="Y98" s="4770" t="n"/>
      <c r="Z98" s="4095" t="n"/>
      <c r="AA98" s="1336" t="n"/>
      <c r="AB98" s="4095" t="n"/>
      <c r="AC98" s="4770" t="n"/>
      <c r="AD98" s="4802" t="n"/>
      <c r="AE98" s="1404" t="n"/>
      <c r="AF98" s="4802" t="n"/>
      <c r="AG98" s="1404" t="n"/>
      <c r="AH98" s="4802" t="n"/>
      <c r="AI98" s="1404" t="n"/>
      <c r="AJ98" s="4802" t="n"/>
      <c r="AK98" s="1404" t="n"/>
      <c r="AL98" s="4802" t="n"/>
      <c r="AM98" s="4803" t="n"/>
      <c r="AN98" s="4120" t="n"/>
      <c r="AO98" s="4119" t="n"/>
      <c r="AP98" s="5506" t="n"/>
      <c r="AQ98" s="4117" t="n"/>
      <c r="AR98" s="5511" t="n"/>
      <c r="AS98" s="4117" t="n"/>
      <c r="AT98" s="5511" t="n"/>
      <c r="AU98" s="4117" t="n"/>
      <c r="AV98" s="110">
        <f>CA98&amp;CB98&amp;CC98&amp;CD98&amp;CE98&amp;CF98&amp;CG98</f>
        <v/>
      </c>
      <c r="CA98" s="111">
        <f>IF(AND(AP98="",C98&gt;0)," * No olvide digitar la columna Beneficiarios. Digite Cero si no tiene.",IF(AP98&gt;C98," * La variable Beneficiarios no puede ser mayor al Total Ambos Sexos.",""))</f>
        <v/>
      </c>
      <c r="CB98" s="111">
        <f>IF(AQ98&gt;C98," * El Total Controles no puede ser mayor que el Total Ambos Sexos.","")</f>
        <v/>
      </c>
      <c r="CC98" s="111">
        <f>IF(AND(C98&gt;0,AR98="")," * No olvide digitar la variable Pueblos originarios. Digite Cero si no tiene.",IF(AR98&gt;C98," * La variable Pueblos originarios no puede ser mayor al Total Ambos Sexos.",""))</f>
        <v/>
      </c>
      <c r="CD98" s="111">
        <f>IF(AND(C98&gt;0,AS98="")," * No olvide digitar la variable Migrantes. Digite Cero si no tiene.",IF(AS98&gt;C98," * La variable Migrantes no puede ser mayor al Total Ambos Sexos.",""))</f>
        <v/>
      </c>
      <c r="CE98" s="111">
        <f>IF(AT98&gt;C98," * El Total Atención Remota consulta abreviada PNM no puede ser mayor que el Total Ambos Sexos.","")</f>
        <v/>
      </c>
      <c r="CF98" s="111">
        <f>IF(AU98&gt;C98," * El Total Consultorías resueltas vía remota no puede ser mayor que el Total Ambos Sexos.","")</f>
        <v/>
      </c>
      <c r="CG98" s="111">
        <f>IF(AND(C98&gt;0,AN98="",AO98=""),"*No olvide digitar datos en "&amp;AN$92,
IF(AN98+AO98&gt;C98,"*El Total de "&amp;AN$92&amp;" no puede ser mayor que el Total Ambos Sexos.",
IF(AN98+AO98&lt;C98,"*El Total de "&amp;AN$92&amp;" no debe ser menor que el Total Ambos Sexos.","")))</f>
        <v/>
      </c>
      <c r="CI98" s="113" t="n"/>
      <c r="CK98" s="112">
        <f>IF(AND(AP98="",C98&gt;0),1,IF(AP98&gt;C98,1,0))</f>
        <v/>
      </c>
      <c r="CL98" s="112">
        <f>IF(AQ98&gt;C98,1,0)</f>
        <v/>
      </c>
      <c r="CM98" s="112">
        <f>IF(AND(C98&gt;0,AR98=""),1,IF(AR98&gt;C98,1,0))</f>
        <v/>
      </c>
      <c r="CN98" s="112">
        <f>IF(AND(C98&gt;0,AS98=""),1,IF(AS98&gt;C98,1,0))</f>
        <v/>
      </c>
      <c r="CO98" s="112">
        <f>IF(AND($C98&gt;0,AT98=""),1,IF(AT98&gt;$C98,1,0))</f>
        <v/>
      </c>
      <c r="CP98" s="112">
        <f>IF(AND($C98&gt;0,AU98=""),1,IF(AU98&gt;$C98,1,0))</f>
        <v/>
      </c>
      <c r="CQ98" s="112">
        <f>IF(OR(AND(C98&gt;0,AN98="",AO98=""),AN98+AO98&gt;C98,AN98+AO98&lt;C98),1,0)</f>
        <v/>
      </c>
    </row>
    <row r="99" ht="15" customFormat="1" customHeight="1" s="110">
      <c r="A99" s="3759" t="inlineStr">
        <is>
          <t>Nutricionista</t>
        </is>
      </c>
      <c r="B99" s="4804" t="n"/>
      <c r="C99" s="1924">
        <f>SUM(D99+E99)</f>
        <v/>
      </c>
      <c r="D99" s="1923">
        <f>SUM(F99+H99+J99+L99+N99+P99+R99+T99+V99+X99+Z99+AB99+AD99+AF99+AH99+AJ99+AL99)</f>
        <v/>
      </c>
      <c r="E99" s="3695">
        <f>SUM(G99+I99+K99+M99+O99+Q99+S99+U99+W99+Y99+AA99+AC99+AE99+AG99+AI99+AK99+AM99)</f>
        <v/>
      </c>
      <c r="F99" s="4763" t="n"/>
      <c r="G99" s="4798" t="n"/>
      <c r="H99" s="4763" t="n"/>
      <c r="I99" s="4798" t="n"/>
      <c r="J99" s="4763" t="n"/>
      <c r="K99" s="775" t="n"/>
      <c r="L99" s="4763" t="n"/>
      <c r="M99" s="775" t="n"/>
      <c r="N99" s="4763" t="n"/>
      <c r="O99" s="775" t="n"/>
      <c r="P99" s="4763" t="n"/>
      <c r="Q99" s="775" t="n"/>
      <c r="R99" s="4763" t="n"/>
      <c r="S99" s="775" t="n"/>
      <c r="T99" s="4763" t="n"/>
      <c r="U99" s="775" t="n"/>
      <c r="V99" s="4763" t="n"/>
      <c r="W99" s="775" t="n"/>
      <c r="X99" s="4763" t="n"/>
      <c r="Y99" s="775" t="n"/>
      <c r="Z99" s="4763" t="n"/>
      <c r="AA99" s="775" t="n"/>
      <c r="AB99" s="4763" t="n"/>
      <c r="AC99" s="775" t="n"/>
      <c r="AD99" s="4763" t="n"/>
      <c r="AE99" s="775" t="n"/>
      <c r="AF99" s="4763" t="n"/>
      <c r="AG99" s="775" t="n"/>
      <c r="AH99" s="4763" t="n"/>
      <c r="AI99" s="4798" t="n"/>
      <c r="AJ99" s="4763" t="n"/>
      <c r="AK99" s="4798" t="n"/>
      <c r="AL99" s="4805" t="n"/>
      <c r="AM99" s="815" t="n"/>
      <c r="AN99" s="4796" t="n"/>
      <c r="AO99" s="815" t="n"/>
      <c r="AP99" s="5504" t="n"/>
      <c r="AQ99" s="5492" t="n"/>
      <c r="AR99" s="118" t="n"/>
      <c r="AS99" s="5492" t="n"/>
      <c r="AT99" s="118" t="n"/>
      <c r="AU99" s="5492" t="n"/>
      <c r="AV99" s="110">
        <f>CA99&amp;CB99&amp;CC99&amp;CD99&amp;CE99&amp;CF99&amp;CG99</f>
        <v/>
      </c>
      <c r="CA99" s="111">
        <f>IF(AND(AP99="",C99&gt;0)," * No olvide digitar la columna Beneficiarios. Digite Cero si no tiene.",IF(AP99&gt;C99," * La variable Beneficiarios no puede ser mayor al Total Ambos Sexos.",""))</f>
        <v/>
      </c>
      <c r="CB99" s="111">
        <f>IF(AQ99&gt;C99," * El Total Controles no puede ser mayor que el Total Ambos Sexos.","")</f>
        <v/>
      </c>
      <c r="CC99" s="111">
        <f>IF(AND(C99&gt;0,AR99="")," * No olvide digitar la variable Pueblos originarios. Digite Cero si no tiene.",IF(AR99&gt;C99," * La variable Pueblos originarios no puede ser mayor al Total Ambos Sexos.",""))</f>
        <v/>
      </c>
      <c r="CD99" s="111">
        <f>IF(AND(C99&gt;0,AS99="")," * No olvide digitar la variable Migrantes. Digite Cero si no tiene.",IF(AS99&gt;C99," * La variable Migrantes no puede ser mayor al Total Ambos Sexos.",""))</f>
        <v/>
      </c>
      <c r="CE99" s="111">
        <f>IF(AT99&gt;C99," * El Total Atención Remota consulta abreviada PNM no puede ser mayor que el Total Ambos Sexos.","")</f>
        <v/>
      </c>
      <c r="CF99" s="111">
        <f>IF(AU99&gt;C99," * El Total Consultorías resueltas vía remota no puede ser mayor que el Total Ambos Sexos.","")</f>
        <v/>
      </c>
      <c r="CG99" s="111">
        <f>IF(AND(C99&gt;0,AN99="",AO99=""),"*No olvide digitar datos en "&amp;AN$92,
IF(AN99+AO99&gt;C99,"*El Total de "&amp;AN$92&amp;" no puede ser mayor que el Total Ambos Sexos.",
IF(AN99+AO99&lt;C99,"*El Total de "&amp;AN$92&amp;" no debe ser menor que el Total Ambos Sexos.","")))</f>
        <v/>
      </c>
      <c r="CI99" s="113" t="n"/>
      <c r="CK99" s="112">
        <f>IF(AND(AP99="",C99&gt;0),1,IF(AP99&gt;C99,1,0))</f>
        <v/>
      </c>
      <c r="CL99" s="112">
        <f>IF(AQ99&gt;C99,1,0)</f>
        <v/>
      </c>
      <c r="CM99" s="112">
        <f>IF(AND(C99&gt;0,AR99=""),1,IF(AR99&gt;C99,1,0))</f>
        <v/>
      </c>
      <c r="CN99" s="112">
        <f>IF(AND(C99&gt;0,AS99=""),1,IF(AS99&gt;C99,1,0))</f>
        <v/>
      </c>
      <c r="CO99" s="112">
        <f>IF(AND($C99&gt;0,AT99=""),1,IF(AT99&gt;$C99,1,0))</f>
        <v/>
      </c>
      <c r="CP99" s="112">
        <f>IF(AND($C99&gt;0,AU99=""),1,IF(AU99&gt;$C99,1,0))</f>
        <v/>
      </c>
      <c r="CQ99" s="112">
        <f>IF(OR(AND(C99&gt;0,AN99="",AO99=""),AN99+AO99&gt;C99,AN99+AO99&lt;C99),1,0)</f>
        <v/>
      </c>
    </row>
    <row r="100" ht="15" customFormat="1" customHeight="1" s="110">
      <c r="A100" s="3651" t="inlineStr">
        <is>
          <t>Psicólogo/a (Excluye SM)</t>
        </is>
      </c>
      <c r="B100" s="4806" t="n"/>
      <c r="C100" s="1123">
        <f>SUM(D100+E100)</f>
        <v/>
      </c>
      <c r="D100" s="3653">
        <f>SUM(F100+H100+J100+L100+N100+P100+R100+T100+V100+X100+Z100+AB100+AD100+AF100+AH100+AJ100+AL100)</f>
        <v/>
      </c>
      <c r="E100" s="3654">
        <f>SUM(G100+I100+K100+M100+O100+Q100+S100+U100+W100+Y100+AA100+AC100+AE100+AG100+AI100+AK100+AM100)</f>
        <v/>
      </c>
      <c r="F100" s="1333" t="n"/>
      <c r="G100" s="4114" t="n"/>
      <c r="H100" s="1333" t="n"/>
      <c r="I100" s="4114" t="n"/>
      <c r="J100" s="1333" t="n"/>
      <c r="K100" s="4697" t="n"/>
      <c r="L100" s="1333" t="n"/>
      <c r="M100" s="4697" t="n"/>
      <c r="N100" s="1333" t="n"/>
      <c r="O100" s="4697" t="n"/>
      <c r="P100" s="1333" t="n"/>
      <c r="Q100" s="4697" t="n"/>
      <c r="R100" s="1333" t="n"/>
      <c r="S100" s="4697" t="n"/>
      <c r="T100" s="1333" t="n"/>
      <c r="U100" s="4697" t="n"/>
      <c r="V100" s="1333" t="n"/>
      <c r="W100" s="4697" t="n"/>
      <c r="X100" s="1333" t="n"/>
      <c r="Y100" s="4697" t="n"/>
      <c r="Z100" s="1333" t="n"/>
      <c r="AA100" s="4697" t="n"/>
      <c r="AB100" s="1333" t="n"/>
      <c r="AC100" s="4114" t="n"/>
      <c r="AD100" s="1333" t="n"/>
      <c r="AE100" s="4114" t="n"/>
      <c r="AF100" s="1333" t="n"/>
      <c r="AG100" s="4114" t="n"/>
      <c r="AH100" s="1333" t="n"/>
      <c r="AI100" s="4114" t="n"/>
      <c r="AJ100" s="1333" t="n"/>
      <c r="AK100" s="4114" t="n"/>
      <c r="AL100" s="4799" t="n"/>
      <c r="AM100" s="4769" t="n"/>
      <c r="AN100" s="893" t="n"/>
      <c r="AO100" s="4769" t="n"/>
      <c r="AP100" s="5505" t="n"/>
      <c r="AQ100" s="4113" t="n"/>
      <c r="AR100" s="4838" t="n"/>
      <c r="AS100" s="4113" t="n"/>
      <c r="AT100" s="4838" t="n"/>
      <c r="AU100" s="4113" t="n"/>
      <c r="AV100" s="110">
        <f>CA100&amp;CB100&amp;CC100&amp;CD100&amp;CE100&amp;CF100&amp;CG100</f>
        <v/>
      </c>
      <c r="CA100" s="111">
        <f>IF(AND(AP100="",C100&gt;0)," * No olvide digitar la columna Beneficiarios. Digite Cero si no tiene.",IF(AP100&gt;C100," * La variable Beneficiarios no puede ser mayor al Total Ambos Sexos.",""))</f>
        <v/>
      </c>
      <c r="CB100" s="111">
        <f>IF(AQ100&gt;C100," * El Total Controles no puede ser mayor que el Total Ambos Sexos.","")</f>
        <v/>
      </c>
      <c r="CC100" s="111">
        <f>IF(AND(C100&gt;0,AR100="")," * No olvide digitar la variable Pueblos originarios. Digite Cero si no tiene.",IF(AR100&gt;C100," * La variable Pueblos originarios no puede ser mayor al Total Ambos Sexos.",""))</f>
        <v/>
      </c>
      <c r="CD100" s="111">
        <f>IF(AND(C100&gt;0,AS100="")," * No olvide digitar la variable Migrantes. Digite Cero si no tiene.",IF(AS100&gt;C100," * La variable Migrantes no puede ser mayor al Total Ambos Sexos.",""))</f>
        <v/>
      </c>
      <c r="CE100" s="111">
        <f>IF(AT100&gt;C100," * El Total Atención Remota consulta abreviada PNM no puede ser mayor que el Total Ambos Sexos.","")</f>
        <v/>
      </c>
      <c r="CF100" s="111">
        <f>IF(AU100&gt;C100," * El Total Consultorías resueltas vía remota no puede ser mayor que el Total Ambos Sexos.","")</f>
        <v/>
      </c>
      <c r="CG100" s="111">
        <f>IF(AND(C100&gt;0,AN100="",AO100=""),"*No olvide digitar datos en "&amp;AN$92,
IF(AN100+AO100&gt;C100,"*El Total de "&amp;AN$92&amp;" no puede ser mayor que el Total Ambos Sexos.",
IF(AN100+AO100&lt;C100,"*El Total de "&amp;AN$92&amp;" no debe ser menor que el Total Ambos Sexos.","")))</f>
        <v/>
      </c>
      <c r="CI100" s="113" t="n"/>
      <c r="CK100" s="112">
        <f>IF(AND(AP100="",C100&gt;0),1,IF(AP100&gt;C100,1,0))</f>
        <v/>
      </c>
      <c r="CL100" s="112">
        <f>IF(AQ100&gt;C100,1,0)</f>
        <v/>
      </c>
      <c r="CM100" s="112">
        <f>IF(AND(C100&gt;0,AR100=""),1,IF(AR100&gt;C100,1,0))</f>
        <v/>
      </c>
      <c r="CN100" s="112">
        <f>IF(AND(C100&gt;0,AS100=""),1,IF(AS100&gt;C100,1,0))</f>
        <v/>
      </c>
      <c r="CO100" s="112">
        <f>IF(AND($C100&gt;0,AT100=""),1,IF(AT100&gt;$C100,1,0))</f>
        <v/>
      </c>
      <c r="CP100" s="112">
        <f>IF(AND($C100&gt;0,AU100=""),1,IF(AU100&gt;$C100,1,0))</f>
        <v/>
      </c>
      <c r="CQ100" s="112">
        <f>IF(OR(AND(C100&gt;0,AN100="",AO100=""),AN100+AO100&gt;C100,AN100+AO100&lt;C100),1,0)</f>
        <v/>
      </c>
    </row>
    <row r="101" ht="15" customFormat="1" customHeight="1" s="110">
      <c r="A101" s="4807" t="inlineStr">
        <is>
          <t>Fonoaudiólogo/a</t>
        </is>
      </c>
      <c r="B101" s="4808" t="n"/>
      <c r="C101" s="4809">
        <f>SUM(D101+E101)</f>
        <v/>
      </c>
      <c r="D101" s="4810">
        <f>SUM(F101+H101+J101+L101+N101+P101+R101+T101+V101+X101+Z101+AB101+AD101+AF101+AH101+AJ101+AL101)</f>
        <v/>
      </c>
      <c r="E101" s="3654">
        <f>SUM(G101+I101+K101+M101+O101+Q101+S101+U101+W101+Y101+AA101+AC101+AE101+AG101+AI101+AK101+AM101)</f>
        <v/>
      </c>
      <c r="F101" s="1333" t="n"/>
      <c r="G101" s="4114" t="n"/>
      <c r="H101" s="1333" t="n"/>
      <c r="I101" s="4114" t="n"/>
      <c r="J101" s="1333" t="n"/>
      <c r="K101" s="4697" t="n"/>
      <c r="L101" s="1333" t="n"/>
      <c r="M101" s="4697" t="n"/>
      <c r="N101" s="1333" t="n"/>
      <c r="O101" s="4697" t="n"/>
      <c r="P101" s="1333" t="n"/>
      <c r="Q101" s="4697" t="n"/>
      <c r="R101" s="1333" t="n"/>
      <c r="S101" s="4697" t="n"/>
      <c r="T101" s="1333" t="n"/>
      <c r="U101" s="4697" t="n"/>
      <c r="V101" s="1333" t="n"/>
      <c r="W101" s="4697" t="n"/>
      <c r="X101" s="1333" t="n"/>
      <c r="Y101" s="4697" t="n"/>
      <c r="Z101" s="1333" t="n"/>
      <c r="AA101" s="4697" t="n"/>
      <c r="AB101" s="1333" t="n"/>
      <c r="AC101" s="4114" t="n"/>
      <c r="AD101" s="1333" t="n"/>
      <c r="AE101" s="4114" t="n"/>
      <c r="AF101" s="1333" t="n"/>
      <c r="AG101" s="4114" t="n"/>
      <c r="AH101" s="1333" t="n"/>
      <c r="AI101" s="4114" t="n"/>
      <c r="AJ101" s="1333" t="n"/>
      <c r="AK101" s="4114" t="n"/>
      <c r="AL101" s="4799" t="n"/>
      <c r="AM101" s="4769" t="n"/>
      <c r="AN101" s="893" t="n"/>
      <c r="AO101" s="4769" t="n"/>
      <c r="AP101" s="5505" t="n"/>
      <c r="AQ101" s="4113" t="n"/>
      <c r="AR101" s="4838" t="n"/>
      <c r="AS101" s="4113" t="n"/>
      <c r="AT101" s="4838" t="n"/>
      <c r="AU101" s="4113" t="n"/>
      <c r="AV101" s="110">
        <f>CA101&amp;CB101&amp;CC101&amp;CD101&amp;CE101&amp;CF101&amp;CG101</f>
        <v/>
      </c>
      <c r="CA101" s="111">
        <f>IF(AND(AP101="",C101&gt;0)," * No olvide digitar la columna Beneficiarios. Digite Cero si no tiene.",IF(AP101&gt;C101," * La variable Beneficiarios no puede ser mayor al Total Ambos Sexos.",""))</f>
        <v/>
      </c>
      <c r="CB101" s="111">
        <f>IF(AQ101&gt;C101," * El Total Controles no puede ser mayor que el Total Ambos Sexos.","")</f>
        <v/>
      </c>
      <c r="CC101" s="111">
        <f>IF(AND(C101&gt;0,AR101="")," * No olvide digitar la variable Pueblos originarios. Digite Cero si no tiene.",IF(AR101&gt;C101," * La variable Pueblos originarios no puede ser mayor al Total Ambos Sexos.",""))</f>
        <v/>
      </c>
      <c r="CD101" s="111">
        <f>IF(AND(C101&gt;0,AS101="")," * No olvide digitar la variable Migrantes. Digite Cero si no tiene.",IF(AS101&gt;C101," * La variable Migrantes no puede ser mayor al Total Ambos Sexos.",""))</f>
        <v/>
      </c>
      <c r="CE101" s="111">
        <f>IF(AT101&gt;C101," * El Total Atención Remota consulta abreviada PNM no puede ser mayor que el Total Ambos Sexos.","")</f>
        <v/>
      </c>
      <c r="CF101" s="111">
        <f>IF(AU101&gt;C101," * El Total Consultorías resueltas vía remota no puede ser mayor que el Total Ambos Sexos.","")</f>
        <v/>
      </c>
      <c r="CG101" s="111">
        <f>IF(AND(C101&gt;0,AN101="",AO101=""),"*No olvide digitar datos en "&amp;AN$92,
IF(AN101+AO101&gt;C101,"*El Total de "&amp;AN$92&amp;" no puede ser mayor que el Total Ambos Sexos.",
IF(AN101+AO101&lt;C101,"*El Total de "&amp;AN$92&amp;" no debe ser menor que el Total Ambos Sexos.","")))</f>
        <v/>
      </c>
      <c r="CI101" s="113" t="n"/>
      <c r="CK101" s="112">
        <f>IF(AND(AP101="",C101&gt;0),1,IF(AP101&gt;C101,1,0))</f>
        <v/>
      </c>
      <c r="CL101" s="112">
        <f>IF(AQ101&gt;C101,1,0)</f>
        <v/>
      </c>
      <c r="CM101" s="112">
        <f>IF(AND(C101&gt;0,AR101=""),1,IF(AR101&gt;C101,1,0))</f>
        <v/>
      </c>
      <c r="CN101" s="112">
        <f>IF(AND(C101&gt;0,AS101=""),1,IF(AS101&gt;C101,1,0))</f>
        <v/>
      </c>
      <c r="CO101" s="112">
        <f>IF(AND($C101&gt;0,AT101=""),1,IF(AT101&gt;$C101,1,0))</f>
        <v/>
      </c>
      <c r="CP101" s="112">
        <f>IF(AND($C101&gt;0,AU101=""),1,IF(AU101&gt;$C101,1,0))</f>
        <v/>
      </c>
      <c r="CQ101" s="112">
        <f>IF(OR(AND(C101&gt;0,AN101="",AO101=""),AN101+AO101&gt;C101,AN101+AO101&lt;C101),1,0)</f>
        <v/>
      </c>
    </row>
    <row r="102" ht="15" customFormat="1" customHeight="1" s="110">
      <c r="A102" s="3651" t="inlineStr">
        <is>
          <t>Tecnólogo/a médico/a</t>
        </is>
      </c>
      <c r="B102" s="4806" t="n"/>
      <c r="C102" s="1123">
        <f>SUM(D102+E102)</f>
        <v/>
      </c>
      <c r="D102" s="3653">
        <f>SUM(F102+H102+J102+L102+N102+P102+R102+T102+V102+X102+Z102+AB102+AD102+AF102+AH102+AJ102+AL102)</f>
        <v/>
      </c>
      <c r="E102" s="3654">
        <f>SUM(G102+I102+K102+M102+O102+Q102+S102+U102+W102+Y102+AA102+AC102+AE102+AG102+AI102+AK102+AM102)</f>
        <v/>
      </c>
      <c r="F102" s="1333" t="n"/>
      <c r="G102" s="4114" t="n"/>
      <c r="H102" s="1333" t="n"/>
      <c r="I102" s="4114" t="n"/>
      <c r="J102" s="1333" t="n"/>
      <c r="K102" s="4697" t="n"/>
      <c r="L102" s="1333" t="n"/>
      <c r="M102" s="4697" t="n"/>
      <c r="N102" s="1333" t="n"/>
      <c r="O102" s="4697" t="n"/>
      <c r="P102" s="1333" t="n"/>
      <c r="Q102" s="4697" t="n"/>
      <c r="R102" s="1333" t="n"/>
      <c r="S102" s="4697" t="n"/>
      <c r="T102" s="1333" t="n"/>
      <c r="U102" s="4697" t="n"/>
      <c r="V102" s="1333" t="n"/>
      <c r="W102" s="4697" t="n"/>
      <c r="X102" s="1333" t="n"/>
      <c r="Y102" s="4697" t="n"/>
      <c r="Z102" s="1333" t="n"/>
      <c r="AA102" s="4697" t="n"/>
      <c r="AB102" s="1333" t="n"/>
      <c r="AC102" s="4697" t="n"/>
      <c r="AD102" s="1333" t="n"/>
      <c r="AE102" s="4697" t="n"/>
      <c r="AF102" s="1333" t="n"/>
      <c r="AG102" s="4697" t="n"/>
      <c r="AH102" s="1333" t="n"/>
      <c r="AI102" s="4114" t="n"/>
      <c r="AJ102" s="1333" t="n"/>
      <c r="AK102" s="4114" t="n"/>
      <c r="AL102" s="4799" t="n"/>
      <c r="AM102" s="4769" t="n"/>
      <c r="AN102" s="893" t="n"/>
      <c r="AO102" s="4769" t="n"/>
      <c r="AP102" s="5505" t="n"/>
      <c r="AQ102" s="4113" t="n"/>
      <c r="AR102" s="4838" t="n"/>
      <c r="AS102" s="4113" t="n"/>
      <c r="AT102" s="4838" t="n"/>
      <c r="AU102" s="4113" t="n"/>
      <c r="AV102" s="110">
        <f>CA102&amp;CB102&amp;CC102&amp;CD102&amp;CE102&amp;CF102&amp;CG102</f>
        <v/>
      </c>
      <c r="CA102" s="111">
        <f>IF(AND(AP102="",C102&gt;0)," * No olvide digitar la columna Beneficiarios. Digite Cero si no tiene.",IF(AP102&gt;C102," * La variable Beneficiarios no puede ser mayor al Total Ambos Sexos.",""))</f>
        <v/>
      </c>
      <c r="CB102" s="111">
        <f>IF(AQ102&gt;C102," * El Total Controles no puede ser mayor que el Total Ambos Sexos.","")</f>
        <v/>
      </c>
      <c r="CC102" s="111">
        <f>IF(AND(C102&gt;0,AR102="")," * No olvide digitar la variable Pueblos originarios. Digite Cero si no tiene.",IF(AR102&gt;C102," * La variable Pueblos originarios no puede ser mayor al Total Ambos Sexos.",""))</f>
        <v/>
      </c>
      <c r="CD102" s="111">
        <f>IF(AND(C102&gt;0,AS102="")," * No olvide digitar la variable Migrantes. Digite Cero si no tiene.",IF(AS102&gt;C102," * La variable Migrantes no puede ser mayor al Total Ambos Sexos.",""))</f>
        <v/>
      </c>
      <c r="CE102" s="111">
        <f>IF(AT102&gt;C102," * El Total Atención Remota consulta abreviada PNM no puede ser mayor que el Total Ambos Sexos.","")</f>
        <v/>
      </c>
      <c r="CF102" s="111">
        <f>IF(AU102&gt;C102," * El Total Consultorías resueltas vía remota no puede ser mayor que el Total Ambos Sexos.","")</f>
        <v/>
      </c>
      <c r="CG102" s="111">
        <f>IF(AND(C102&gt;0,AN102="",AO102=""),"*No olvide digitar datos en "&amp;AN$92,
IF(AN102+AO102&gt;C102,"*El Total de "&amp;AN$92&amp;" no puede ser mayor que el Total Ambos Sexos.",
IF(AN102+AO102&lt;C102,"*El Total de "&amp;AN$92&amp;" no debe ser menor que el Total Ambos Sexos.","")))</f>
        <v/>
      </c>
      <c r="CI102" s="113" t="n"/>
      <c r="CK102" s="112">
        <f>IF(AND(AP102="",C102&gt;0),1,IF(AP102&gt;C102,1,0))</f>
        <v/>
      </c>
      <c r="CL102" s="112">
        <f>IF(AQ102&gt;C102,1,0)</f>
        <v/>
      </c>
      <c r="CM102" s="112">
        <f>IF(AND(C102&gt;0,AR102=""),1,IF(AR102&gt;C102,1,0))</f>
        <v/>
      </c>
      <c r="CN102" s="112">
        <f>IF(AND(C102&gt;0,AS102=""),1,IF(AS102&gt;C102,1,0))</f>
        <v/>
      </c>
      <c r="CO102" s="112">
        <f>IF(AND($C102&gt;0,AT102=""),1,IF(AT102&gt;$C102,1,0))</f>
        <v/>
      </c>
      <c r="CP102" s="112">
        <f>IF(AND($C102&gt;0,AU102=""),1,IF(AU102&gt;$C102,1,0))</f>
        <v/>
      </c>
      <c r="CQ102" s="112">
        <f>IF(OR(AND(C102&gt;0,AN102="",AO102=""),AN102+AO102&gt;C102,AN102+AO102&lt;C102),1,0)</f>
        <v/>
      </c>
    </row>
    <row r="103" ht="15" customFormat="1" customHeight="1" s="110">
      <c r="A103" s="4436" t="inlineStr">
        <is>
          <t>Trabajador/a social</t>
        </is>
      </c>
      <c r="B103" s="1405" t="n"/>
      <c r="C103" s="3724">
        <f>SUM(D103+E103)</f>
        <v/>
      </c>
      <c r="D103" s="3833">
        <f>SUM(F103+H103+J103+L103+N103+P103+R103+T103+V103+X103+Z103+AB103+AD103+AF103+AH103+AJ103+AL103)</f>
        <v/>
      </c>
      <c r="E103" s="1136">
        <f>SUM(G103+I103+K103+M103+O103+Q103+S103+U103+W103+Y103+AA103+AC103+AE103+AG103+AI103+AK103+AM103)</f>
        <v/>
      </c>
      <c r="F103" s="4095" t="n"/>
      <c r="G103" s="1336" t="n"/>
      <c r="H103" s="4095" t="n"/>
      <c r="I103" s="1336" t="n"/>
      <c r="J103" s="4095" t="n"/>
      <c r="K103" s="4770" t="n"/>
      <c r="L103" s="4095" t="n"/>
      <c r="M103" s="4770" t="n"/>
      <c r="N103" s="4095" t="n"/>
      <c r="O103" s="4770" t="n"/>
      <c r="P103" s="4095" t="n"/>
      <c r="Q103" s="4770" t="n"/>
      <c r="R103" s="4095" t="n"/>
      <c r="S103" s="4770" t="n"/>
      <c r="T103" s="4095" t="n"/>
      <c r="U103" s="4770" t="n"/>
      <c r="V103" s="4095" t="n"/>
      <c r="W103" s="4770" t="n"/>
      <c r="X103" s="4095" t="n"/>
      <c r="Y103" s="4770" t="n"/>
      <c r="Z103" s="4095" t="n"/>
      <c r="AA103" s="4770" t="n"/>
      <c r="AB103" s="4095" t="n"/>
      <c r="AC103" s="4770" t="n"/>
      <c r="AD103" s="4095" t="n"/>
      <c r="AE103" s="4770" t="n"/>
      <c r="AF103" s="4095" t="n"/>
      <c r="AG103" s="4770" t="n"/>
      <c r="AH103" s="4095" t="n"/>
      <c r="AI103" s="4770" t="n"/>
      <c r="AJ103" s="4095" t="n"/>
      <c r="AK103" s="4770" t="n"/>
      <c r="AL103" s="4811" t="n"/>
      <c r="AM103" s="4119" t="n"/>
      <c r="AN103" s="4120" t="n"/>
      <c r="AO103" s="4119" t="n"/>
      <c r="AP103" s="5506" t="n"/>
      <c r="AQ103" s="4117" t="n"/>
      <c r="AR103" s="5511" t="n"/>
      <c r="AS103" s="4117" t="n"/>
      <c r="AT103" s="5511" t="n"/>
      <c r="AU103" s="4117" t="n"/>
      <c r="AV103" s="110">
        <f>CA103&amp;CB103&amp;CC103&amp;CD103&amp;CE103&amp;CF103&amp;CG103</f>
        <v/>
      </c>
      <c r="CA103" s="111">
        <f>IF(AND(AP103="",C103&gt;0)," * No olvide digitar la columna Beneficiarios. Digite Cero si no tiene.",IF(AP103&gt;C103," * La variable Beneficiarios no puede ser mayor al Total Ambos Sexos.",""))</f>
        <v/>
      </c>
      <c r="CB103" s="111">
        <f>IF(AQ103&gt;C103," * El Total Controles no puede ser mayor que el Total Ambos Sexos.","")</f>
        <v/>
      </c>
      <c r="CC103" s="111">
        <f>IF(AND(C103&gt;0,AR103="")," * No olvide digitar la variable Pueblos originarios. Digite Cero si no tiene.",IF(AR103&gt;C103," * La variable Pueblos originarios no puede ser mayor al Total Ambos Sexos.",""))</f>
        <v/>
      </c>
      <c r="CD103" s="111">
        <f>IF(AND(C103&gt;0,AS103="")," * No olvide digitar la variable Migrantes. Digite Cero si no tiene.",IF(AS103&gt;C103," * La variable Migrantes no puede ser mayor al Total Ambos Sexos.",""))</f>
        <v/>
      </c>
      <c r="CE103" s="111">
        <f>IF(AT103&gt;C103," * El Total Atención Remota consulta abreviada PNM no puede ser mayor que el Total Ambos Sexos.","")</f>
        <v/>
      </c>
      <c r="CF103" s="111">
        <f>IF(AU103&gt;C103," * El Total Consultorías resueltas vía remota no puede ser mayor que el Total Ambos Sexos.","")</f>
        <v/>
      </c>
      <c r="CG103" s="111">
        <f>IF(AND(C103&gt;0,AN103="",AO103=""),"*No olvide digitar datos en "&amp;AN$92,
IF(AN103+AO103&gt;C103,"*El Total de "&amp;AN$92&amp;" no puede ser mayor que el Total Ambos Sexos.",
IF(AN103+AO103&lt;C103,"*El Total de "&amp;AN$92&amp;" no debe ser menor que el Total Ambos Sexos.","")))</f>
        <v/>
      </c>
      <c r="CI103" s="113" t="n"/>
      <c r="CK103" s="112">
        <f>IF(AND(AP103="",C103&gt;0),1,IF(AP103&gt;C103,1,0))</f>
        <v/>
      </c>
      <c r="CL103" s="112">
        <f>IF(AQ103&gt;C103,1,0)</f>
        <v/>
      </c>
      <c r="CM103" s="112">
        <f>IF(AND(C103&gt;0,AR103=""),1,IF(AR103&gt;C103,1,0))</f>
        <v/>
      </c>
      <c r="CN103" s="112">
        <f>IF(AND(C103&gt;0,AS103=""),1,IF(AS103&gt;C103,1,0))</f>
        <v/>
      </c>
      <c r="CO103" s="112">
        <f>IF(AND($C103&gt;0,AT103=""),1,IF(AT103&gt;$C103,1,0))</f>
        <v/>
      </c>
      <c r="CP103" s="112">
        <f>IF(AND($C103&gt;0,AU103=""),1,IF(AU103&gt;$C103,1,0))</f>
        <v/>
      </c>
      <c r="CQ103" s="112">
        <f>IF(OR(AND(C103&gt;0,AN103="",AO103=""),AN103+AO103&gt;C103,AN103+AO103&lt;C103),1,0)</f>
        <v/>
      </c>
    </row>
    <row r="104" ht="15" customHeight="1" s="8286">
      <c r="A104" s="8400" t="inlineStr">
        <is>
          <t>TOTAL</t>
        </is>
      </c>
      <c r="B104" s="9582" t="n"/>
      <c r="C104" s="2690">
        <f>SUM(C95:C103)</f>
        <v/>
      </c>
      <c r="D104" s="4812">
        <f>SUM(D95:D103)</f>
        <v/>
      </c>
      <c r="E104" s="4801">
        <f>SUM(E95:E103)</f>
        <v/>
      </c>
      <c r="F104" s="4813">
        <f>SUM(F95:F103)</f>
        <v/>
      </c>
      <c r="G104" s="4814">
        <f>SUM(G95:G103)</f>
        <v/>
      </c>
      <c r="H104" s="4813">
        <f>SUM(H95:H103)</f>
        <v/>
      </c>
      <c r="I104" s="4814">
        <f>SUM(I95:I103)</f>
        <v/>
      </c>
      <c r="J104" s="4815">
        <f>SUM(J95:J103)</f>
        <v/>
      </c>
      <c r="K104" s="4816">
        <f>SUM(K95:K103)</f>
        <v/>
      </c>
      <c r="L104" s="4815">
        <f>SUM(L95:L103)</f>
        <v/>
      </c>
      <c r="M104" s="4816">
        <f>SUM(M95:M103)</f>
        <v/>
      </c>
      <c r="N104" s="4815">
        <f>SUM(N95:N103)</f>
        <v/>
      </c>
      <c r="O104" s="4816">
        <f>SUM(O95:O103)</f>
        <v/>
      </c>
      <c r="P104" s="4815">
        <f>SUM(P95:P103)</f>
        <v/>
      </c>
      <c r="Q104" s="4816">
        <f>SUM(Q95:Q103)</f>
        <v/>
      </c>
      <c r="R104" s="4815">
        <f>SUM(R95:R103)</f>
        <v/>
      </c>
      <c r="S104" s="4816">
        <f>SUM(S95:S103)</f>
        <v/>
      </c>
      <c r="T104" s="4815">
        <f>SUM(T95:T103)</f>
        <v/>
      </c>
      <c r="U104" s="4816">
        <f>SUM(U95:U103)</f>
        <v/>
      </c>
      <c r="V104" s="4815">
        <f>SUM(V95:V103)</f>
        <v/>
      </c>
      <c r="W104" s="4816">
        <f>SUM(W95:W103)</f>
        <v/>
      </c>
      <c r="X104" s="4815">
        <f>SUM(X95:X103)</f>
        <v/>
      </c>
      <c r="Y104" s="4816">
        <f>SUM(Y95:Y103)</f>
        <v/>
      </c>
      <c r="Z104" s="4815">
        <f>SUM(Z95:Z103)</f>
        <v/>
      </c>
      <c r="AA104" s="4816">
        <f>SUM(AA95:AA103)</f>
        <v/>
      </c>
      <c r="AB104" s="4815">
        <f>SUM(AB95:AB103)</f>
        <v/>
      </c>
      <c r="AC104" s="4816">
        <f>SUM(AC95:AC103)</f>
        <v/>
      </c>
      <c r="AD104" s="4815">
        <f>SUM(AD95:AD103)</f>
        <v/>
      </c>
      <c r="AE104" s="4816">
        <f>SUM(AE95:AE103)</f>
        <v/>
      </c>
      <c r="AF104" s="4815">
        <f>SUM(AF95:AF103)</f>
        <v/>
      </c>
      <c r="AG104" s="4816">
        <f>SUM(AG95:AG103)</f>
        <v/>
      </c>
      <c r="AH104" s="4815">
        <f>SUM(AH95:AH103)</f>
        <v/>
      </c>
      <c r="AI104" s="4816">
        <f>SUM(AI95:AI103)</f>
        <v/>
      </c>
      <c r="AJ104" s="4815">
        <f>SUM(AJ95:AJ103)</f>
        <v/>
      </c>
      <c r="AK104" s="4816">
        <f>SUM(AK95:AK103)</f>
        <v/>
      </c>
      <c r="AL104" s="4817">
        <f>SUM(AL95:AL103)</f>
        <v/>
      </c>
      <c r="AM104" s="4818">
        <f>SUM(AM95:AM103)</f>
        <v/>
      </c>
      <c r="AN104" s="4819">
        <f>SUM(AN95:AN103)</f>
        <v/>
      </c>
      <c r="AO104" s="4820">
        <f>SUM(AO95:AO103)</f>
        <v/>
      </c>
      <c r="AP104" s="5507">
        <f>SUM(AP95:AP103)</f>
        <v/>
      </c>
      <c r="AQ104" s="5509">
        <f>SUM(AQ95:AQ103)</f>
        <v/>
      </c>
      <c r="AR104" s="5512">
        <f>SUM(AR95:AR103)</f>
        <v/>
      </c>
      <c r="AS104" s="5509">
        <f>SUM(AS95:AS103)</f>
        <v/>
      </c>
      <c r="AT104" s="5512">
        <f>SUM(AT95:AT103)</f>
        <v/>
      </c>
      <c r="AU104" s="5509">
        <f>SUM(AU95:AU103)</f>
        <v/>
      </c>
      <c r="CC104" s="110" t="n"/>
      <c r="CD104" s="110" t="n"/>
      <c r="CE104" s="110" t="n"/>
      <c r="CF104" s="110" t="n"/>
      <c r="CG104" s="110" t="n"/>
      <c r="CH104" s="110" t="n"/>
      <c r="CI104" s="110" t="n"/>
      <c r="CJ104" s="110" t="n"/>
      <c r="CK104" s="110" t="n"/>
      <c r="CL104" s="110" t="n"/>
      <c r="CM104" s="110" t="n"/>
    </row>
    <row r="105" ht="17.1" customFormat="1" customHeight="1" s="109">
      <c r="A105" s="9414" t="inlineStr">
        <is>
          <t xml:space="preserve">SECCIÓN E: ATENCIÓN ODONTOLÓGICA </t>
        </is>
      </c>
      <c r="CC105" s="110" t="n"/>
      <c r="CD105" s="110" t="n"/>
      <c r="CE105" s="110" t="n"/>
      <c r="CF105" s="110" t="n"/>
      <c r="CG105" s="110" t="n"/>
      <c r="CH105" s="110" t="n"/>
      <c r="CI105" s="110" t="n"/>
      <c r="CJ105" s="110" t="n"/>
      <c r="CK105" s="110" t="n"/>
      <c r="CL105" s="110" t="n"/>
      <c r="CM105" s="110" t="n"/>
    </row>
    <row r="106" ht="17.1" customFormat="1" customHeight="1" s="109">
      <c r="A106" s="10655" t="inlineStr">
        <is>
          <t>SECCIÓN E1: ATENCIÓN ODONTOLÓGICA NIVEL PRIMARIO</t>
        </is>
      </c>
      <c r="B106" s="9591" t="n"/>
      <c r="C106" s="9591" t="n"/>
      <c r="D106" s="9591" t="n"/>
      <c r="CC106" s="110" t="n"/>
      <c r="CD106" s="110" t="n"/>
      <c r="CE106" s="110" t="n"/>
      <c r="CF106" s="110" t="n"/>
      <c r="CG106" s="110" t="n"/>
      <c r="CH106" s="110" t="n"/>
      <c r="CI106" s="110" t="n"/>
      <c r="CJ106" s="110" t="n"/>
      <c r="CK106" s="110" t="n"/>
      <c r="CL106" s="110" t="n"/>
      <c r="CM106" s="110" t="n"/>
    </row>
    <row r="107" ht="15" customFormat="1" customHeight="1" s="110">
      <c r="A107" s="8400" t="inlineStr">
        <is>
          <t xml:space="preserve">ACTIVIDADES </t>
        </is>
      </c>
      <c r="B107" s="8400" t="inlineStr">
        <is>
          <t>TOTAL</t>
        </is>
      </c>
      <c r="C107" s="9584" t="n"/>
      <c r="D107" s="9582" t="n"/>
      <c r="E107" s="9976" t="inlineStr">
        <is>
          <t>RANGO ETARIO</t>
        </is>
      </c>
      <c r="F107" s="9584" t="n"/>
      <c r="G107" s="9584" t="n"/>
      <c r="H107" s="9584" t="n"/>
      <c r="I107" s="9584" t="n"/>
      <c r="J107" s="9584" t="n"/>
      <c r="K107" s="9584" t="n"/>
      <c r="L107" s="9584" t="n"/>
      <c r="M107" s="9584" t="n"/>
      <c r="N107" s="9584" t="n"/>
      <c r="O107" s="9584" t="n"/>
      <c r="P107" s="9595" t="n"/>
      <c r="Q107" s="10341" t="inlineStr">
        <is>
          <t>Embarazadas</t>
        </is>
      </c>
      <c r="R107" s="9920" t="inlineStr">
        <is>
          <t>60 años (incluído en grupos de 20-64 años)</t>
        </is>
      </c>
      <c r="S107" s="9920" t="inlineStr">
        <is>
          <t>Usuarios en situación de discapacidad</t>
        </is>
      </c>
      <c r="T107" s="10326" t="inlineStr">
        <is>
          <t>Niños, niñas, adolescentes y jóvenes SENAME</t>
        </is>
      </c>
      <c r="U107" s="10335" t="inlineStr">
        <is>
          <t>Niños, niñas, adolescentes y jóvenes Mejor Niñez</t>
        </is>
      </c>
      <c r="V107" s="9920" t="inlineStr">
        <is>
          <t>Pueblos Originarios</t>
        </is>
      </c>
      <c r="W107" s="9920" t="inlineStr">
        <is>
          <t>Migrantes</t>
        </is>
      </c>
    </row>
    <row r="108" ht="39" customFormat="1" customHeight="1" s="110">
      <c r="A108" s="9610" t="n"/>
      <c r="B108" s="9498" t="inlineStr">
        <is>
          <t>Total</t>
        </is>
      </c>
      <c r="C108" s="9263" t="inlineStr">
        <is>
          <t>Hombres</t>
        </is>
      </c>
      <c r="D108" s="4758" t="inlineStr">
        <is>
          <t>Mujeres</t>
        </is>
      </c>
      <c r="E108" s="9498" t="inlineStr">
        <is>
          <t>Menos de 1
año</t>
        </is>
      </c>
      <c r="F108" s="9499" t="inlineStr">
        <is>
          <t>1 
año</t>
        </is>
      </c>
      <c r="G108" s="9499" t="inlineStr">
        <is>
          <t>2 
años</t>
        </is>
      </c>
      <c r="H108" s="9499" t="inlineStr">
        <is>
          <t>3 
años</t>
        </is>
      </c>
      <c r="I108" s="9499" t="inlineStr">
        <is>
          <t>4 
años</t>
        </is>
      </c>
      <c r="J108" s="9499" t="inlineStr">
        <is>
          <t>5 
años</t>
        </is>
      </c>
      <c r="K108" s="9499" t="inlineStr">
        <is>
          <t>6 
años</t>
        </is>
      </c>
      <c r="L108" s="9499" t="inlineStr">
        <is>
          <t>12 
años</t>
        </is>
      </c>
      <c r="M108" s="9499" t="inlineStr">
        <is>
          <t>Resto 
&lt;15 años</t>
        </is>
      </c>
      <c r="N108" s="9499" t="inlineStr">
        <is>
          <t>15 - 19 
años</t>
        </is>
      </c>
      <c r="O108" s="9499" t="inlineStr">
        <is>
          <t>20 - 64 
años</t>
        </is>
      </c>
      <c r="P108" s="4821" t="inlineStr">
        <is>
          <t>65 y 
más años</t>
        </is>
      </c>
      <c r="Q108" s="10088" t="n"/>
      <c r="R108" s="9641" t="n"/>
      <c r="S108" s="9641" t="n"/>
      <c r="T108" s="9610" t="n"/>
      <c r="U108" s="9641" t="n"/>
      <c r="V108" s="9641" t="n"/>
      <c r="W108" s="9641" t="n"/>
    </row>
    <row r="109" ht="15" customFormat="1" customHeight="1" s="110">
      <c r="A109" s="3651" t="inlineStr">
        <is>
          <t>Seguimiento Clínico Remoto de Pacientes</t>
        </is>
      </c>
      <c r="B109" s="4822" t="n"/>
      <c r="C109" s="634" t="n"/>
      <c r="D109" s="776" t="n"/>
      <c r="E109" s="4823" t="n"/>
      <c r="F109" s="816" t="n"/>
      <c r="G109" s="816" t="n"/>
      <c r="H109" s="816" t="n"/>
      <c r="I109" s="816" t="n"/>
      <c r="J109" s="816" t="n"/>
      <c r="K109" s="816" t="n"/>
      <c r="L109" s="816" t="n"/>
      <c r="M109" s="816" t="n"/>
      <c r="N109" s="816" t="n"/>
      <c r="O109" s="816" t="n"/>
      <c r="P109" s="817" t="n"/>
      <c r="Q109" s="4824" t="n"/>
      <c r="R109" s="4825" t="n"/>
      <c r="S109" s="4825" t="n"/>
      <c r="T109" s="4825" t="n"/>
      <c r="U109" s="4825" t="n"/>
      <c r="V109" s="4825" t="n"/>
      <c r="W109" s="4825" t="n"/>
      <c r="X109" s="110">
        <f>BY109&amp;BZ109&amp;CA109&amp;CB109&amp;CC109&amp;CD109&amp;CE109&amp;CF109</f>
        <v/>
      </c>
    </row>
    <row r="110" ht="15" customFormat="1" customHeight="1" s="110">
      <c r="A110" s="3651" t="inlineStr">
        <is>
          <t>Educación, Promoción Remota en Salud Bucal</t>
        </is>
      </c>
      <c r="B110" s="4826" t="n"/>
      <c r="C110" s="634" t="n"/>
      <c r="D110" s="776" t="n"/>
      <c r="E110" s="4823" t="n"/>
      <c r="F110" s="816" t="n"/>
      <c r="G110" s="816" t="n"/>
      <c r="H110" s="816" t="n"/>
      <c r="I110" s="816" t="n"/>
      <c r="J110" s="816" t="n"/>
      <c r="K110" s="816" t="n"/>
      <c r="L110" s="816" t="n"/>
      <c r="M110" s="816" t="n"/>
      <c r="N110" s="816" t="n"/>
      <c r="O110" s="816" t="n"/>
      <c r="P110" s="817" t="n"/>
      <c r="Q110" s="4824" t="n"/>
      <c r="R110" s="4825" t="n"/>
      <c r="S110" s="4825" t="n"/>
      <c r="T110" s="4825" t="n"/>
      <c r="U110" s="4825" t="n"/>
      <c r="V110" s="4825" t="n"/>
      <c r="W110" s="4825" t="n"/>
      <c r="X110" s="110">
        <f>BY110&amp;BZ110&amp;CA110&amp;CB110&amp;CC110&amp;CD110&amp;CE110&amp;CF110</f>
        <v/>
      </c>
    </row>
    <row r="111" ht="15" customFormat="1" customHeight="1" s="110">
      <c r="A111" s="3651" t="inlineStr">
        <is>
          <t>Pauta CERO Remota</t>
        </is>
      </c>
      <c r="B111" s="4827" t="n"/>
      <c r="C111" s="634" t="n"/>
      <c r="D111" s="776" t="n"/>
      <c r="E111" s="4823" t="n"/>
      <c r="F111" s="816" t="n"/>
      <c r="G111" s="816" t="n"/>
      <c r="H111" s="816" t="n"/>
      <c r="I111" s="816" t="n"/>
      <c r="J111" s="816" t="n"/>
      <c r="K111" s="816" t="n"/>
      <c r="L111" s="816" t="n"/>
      <c r="M111" s="816" t="n"/>
      <c r="N111" s="816" t="n"/>
      <c r="O111" s="816" t="n"/>
      <c r="P111" s="817" t="n"/>
      <c r="Q111" s="4824" t="n"/>
      <c r="R111" s="4825" t="n"/>
      <c r="S111" s="4825" t="n"/>
      <c r="T111" s="4825" t="n"/>
      <c r="U111" s="4825" t="n"/>
      <c r="V111" s="4825" t="n"/>
      <c r="W111" s="4825" t="n"/>
      <c r="X111" s="110">
        <f>CA111&amp;CB111&amp;CC111&amp;CD111&amp;CE111&amp;CF111&amp;CG111&amp;CH111</f>
        <v/>
      </c>
    </row>
    <row r="112" ht="15" customFormat="1" customHeight="1" s="110">
      <c r="A112" s="9262" t="inlineStr">
        <is>
          <t>TOTAL</t>
        </is>
      </c>
      <c r="B112" s="4828" t="n"/>
      <c r="C112" s="4829" t="n"/>
      <c r="D112" s="4830" t="n"/>
      <c r="E112" s="4831" t="n"/>
      <c r="F112" s="4832" t="n"/>
      <c r="G112" s="4832" t="n"/>
      <c r="H112" s="4832" t="n"/>
      <c r="I112" s="4832" t="n"/>
      <c r="J112" s="4832" t="n"/>
      <c r="K112" s="4832" t="n"/>
      <c r="L112" s="4832" t="n"/>
      <c r="M112" s="4832" t="n"/>
      <c r="N112" s="4832" t="n"/>
      <c r="O112" s="4832" t="n"/>
      <c r="P112" s="4833" t="n"/>
      <c r="Q112" s="4834" t="n"/>
      <c r="R112" s="4835" t="n"/>
      <c r="S112" s="4835" t="n"/>
      <c r="T112" s="4835" t="n"/>
      <c r="U112" s="4835" t="n"/>
      <c r="V112" s="4835" t="n"/>
      <c r="W112" s="4835" t="n"/>
    </row>
    <row r="113" ht="17.1" customFormat="1" customHeight="1" s="109">
      <c r="A113" s="10675" t="inlineStr">
        <is>
          <t>SECCIÓN E2: ATENCIÓN ODONTOLÓGICA ESTABLECIMIENTOS HOSPITALARIOS DE BAJA, MEDIANA Y ALTA COMPLEJIDAD</t>
        </is>
      </c>
      <c r="B113" s="9602" t="n"/>
      <c r="C113" s="9602" t="n"/>
      <c r="D113" s="9602" t="n"/>
      <c r="CC113" s="110" t="n"/>
      <c r="CD113" s="110" t="n"/>
      <c r="CE113" s="110" t="n"/>
      <c r="CF113" s="110" t="n"/>
      <c r="CG113" s="110" t="n"/>
      <c r="CH113" s="110" t="n"/>
      <c r="CI113" s="110" t="n"/>
      <c r="CJ113" s="110" t="n"/>
      <c r="CK113" s="110" t="n"/>
      <c r="CL113" s="110" t="n"/>
      <c r="CM113" s="110" t="n"/>
    </row>
    <row r="114" ht="32.1" customHeight="1" s="8286">
      <c r="A114" s="8400" t="inlineStr">
        <is>
          <t xml:space="preserve">ACTIVIDADES </t>
        </is>
      </c>
      <c r="B114" s="8400" t="inlineStr">
        <is>
          <t>TOTAL</t>
        </is>
      </c>
      <c r="C114" s="9584" t="n"/>
      <c r="D114" s="9582" t="n"/>
      <c r="E114" s="9976" t="inlineStr">
        <is>
          <t>RANGO ETARIO</t>
        </is>
      </c>
      <c r="F114" s="9584" t="n"/>
      <c r="G114" s="9584" t="n"/>
      <c r="H114" s="9584" t="n"/>
      <c r="I114" s="9584" t="n"/>
      <c r="J114" s="9584" t="n"/>
      <c r="K114" s="9584" t="n"/>
      <c r="L114" s="9595" t="n"/>
      <c r="M114" s="10341" t="inlineStr">
        <is>
          <t>No Contesta</t>
        </is>
      </c>
      <c r="N114" s="9920" t="inlineStr">
        <is>
          <t>Embarazadas</t>
        </is>
      </c>
      <c r="O114" s="9920" t="inlineStr">
        <is>
          <t>Beneficiarios</t>
        </is>
      </c>
      <c r="P114" s="9920" t="inlineStr">
        <is>
          <t xml:space="preserve">Usuarios con Discapacidad </t>
        </is>
      </c>
      <c r="Q114" s="10676" t="inlineStr">
        <is>
          <t xml:space="preserve">SENAME/ Servicio Nacional de Reinserción social Juvenil </t>
        </is>
      </c>
      <c r="R114" s="10677" t="inlineStr">
        <is>
          <t>Servicio Nacional Protección Especializada a la Niñez y Adolescencia</t>
        </is>
      </c>
      <c r="S114" s="10044" t="inlineStr">
        <is>
          <t>Pueblos Originarios</t>
        </is>
      </c>
      <c r="T114" s="10084" t="inlineStr">
        <is>
          <t>Migrantes</t>
        </is>
      </c>
      <c r="CC114" s="110" t="n"/>
      <c r="CD114" s="110" t="n"/>
      <c r="CE114" s="110" t="n"/>
      <c r="CF114" s="110" t="n"/>
      <c r="CG114" s="110" t="n"/>
      <c r="CH114" s="110" t="n"/>
      <c r="CI114" s="110" t="n"/>
      <c r="CJ114" s="110" t="n"/>
      <c r="CK114" s="110" t="n"/>
      <c r="CL114" s="110" t="n"/>
      <c r="CM114" s="110" t="n"/>
    </row>
    <row r="115" ht="32.1" customHeight="1" s="8286">
      <c r="A115" s="9610" t="n"/>
      <c r="B115" s="4836" t="inlineStr">
        <is>
          <t>Total</t>
        </is>
      </c>
      <c r="C115" s="9289" t="inlineStr">
        <is>
          <t>Hombres</t>
        </is>
      </c>
      <c r="D115" s="4758" t="inlineStr">
        <is>
          <t>Mujeres</t>
        </is>
      </c>
      <c r="E115" s="9498" t="inlineStr">
        <is>
          <t>0-5 años</t>
        </is>
      </c>
      <c r="F115" s="9499" t="inlineStr">
        <is>
          <t>6 años</t>
        </is>
      </c>
      <c r="G115" s="9499" t="inlineStr">
        <is>
          <t>12 años</t>
        </is>
      </c>
      <c r="H115" s="9499" t="inlineStr">
        <is>
          <t>Resto &lt; 15 años</t>
        </is>
      </c>
      <c r="I115" s="9499" t="inlineStr">
        <is>
          <t>15-19 años</t>
        </is>
      </c>
      <c r="J115" s="9499" t="inlineStr">
        <is>
          <t>20-64 
 años (excluye 60 años)</t>
        </is>
      </c>
      <c r="K115" s="9499" t="inlineStr">
        <is>
          <t>60 años</t>
        </is>
      </c>
      <c r="L115" s="4821" t="inlineStr">
        <is>
          <t>65 y 
más años</t>
        </is>
      </c>
      <c r="M115" s="10088" t="n"/>
      <c r="N115" s="9641" t="n"/>
      <c r="O115" s="9641" t="n"/>
      <c r="P115" s="9641" t="n"/>
      <c r="Q115" s="10121" t="n"/>
      <c r="R115" s="10086" t="n"/>
      <c r="S115" s="10053" t="n"/>
      <c r="T115" s="10086" t="n"/>
      <c r="CC115" s="110" t="n"/>
      <c r="CD115" s="110" t="n"/>
      <c r="CE115" s="110" t="n"/>
      <c r="CF115" s="110" t="n"/>
      <c r="CG115" s="110" t="n"/>
      <c r="CH115" s="110" t="n"/>
      <c r="CI115" s="110" t="n"/>
      <c r="CJ115" s="110" t="n"/>
      <c r="CK115" s="110" t="n"/>
      <c r="CL115" s="110" t="n"/>
      <c r="CM115" s="110" t="n"/>
    </row>
    <row r="116" ht="15" customHeight="1" s="8286">
      <c r="A116" s="3651" t="inlineStr">
        <is>
          <t>Consulta nueva de especialidad odontológica (Teleconsulta)</t>
        </is>
      </c>
      <c r="B116" s="1406">
        <f>SUM(E116:L116)</f>
        <v/>
      </c>
      <c r="C116" s="118" t="n"/>
      <c r="D116" s="775" t="n"/>
      <c r="E116" s="4763" t="n"/>
      <c r="F116" s="814" t="n"/>
      <c r="G116" s="814" t="n"/>
      <c r="H116" s="814" t="n"/>
      <c r="I116" s="814" t="n"/>
      <c r="J116" s="814" t="n"/>
      <c r="K116" s="814" t="n"/>
      <c r="L116" s="815" t="n"/>
      <c r="M116" s="4837" t="n"/>
      <c r="N116" s="4798" t="n"/>
      <c r="O116" s="4798" t="n"/>
      <c r="P116" s="4798" t="n"/>
      <c r="Q116" s="4693" t="n"/>
      <c r="R116" s="4694" t="n"/>
      <c r="S116" s="4693" t="n"/>
      <c r="T116" s="4694" t="n"/>
      <c r="U116" s="227">
        <f>CA116&amp;CB116&amp;CC116&amp;CD116&amp;CE116&amp;CF116&amp;CG116&amp;CH116</f>
        <v/>
      </c>
      <c r="CA116" s="111">
        <f>IF((C116+D116)&lt;&gt;B116," * Las atenciones según Sexo (Hombres + Mujeres) deben ser igual al Total.","")</f>
        <v/>
      </c>
      <c r="CB116" s="111">
        <f>IF(AND(D116&gt;0,N116="")," * No olvide digitar la variable Embarazadas. Digite Cero si no tiene.",IF(N116&gt;D116," * La variable Embarazadas no puede ser mayor al Total.",""))</f>
        <v/>
      </c>
      <c r="CC116" s="111">
        <f>IF(AND(B116&gt;0,O116="")," * No olvide digitar la variable Beneficiarios. Digite Cero si no tiene.",IF(O116&gt;B116," * La variable Beneficiarios no puede ser mayor al Total.",""))</f>
        <v/>
      </c>
      <c r="CD116" s="111">
        <f>IF(AND(B116&gt;0,P116="")," * No olvide digitar la variable Usuarios con Discapacidad. Digite Cero si no tiene.",IF(P116&gt;B116," * La variable Usuarios con Discapacidad no puede ser mayor al Total.",""))</f>
        <v/>
      </c>
      <c r="CE116" s="111">
        <f>IF(AND(B116&gt;0,Q116="")," * No olvide digitar la variable "&amp;Q$114&amp;". Digite Cero si no tiene.",IF(Q116&gt;B116," * La variable "&amp;Q$114&amp;" no puede ser mayor al Total.",""))</f>
        <v/>
      </c>
      <c r="CF116" s="111">
        <f>IF(AND(B116&gt;0,R116="")," * No olvide digitar la variable "&amp;R$114&amp;". Digite Cero si no tiene.",IF(R116&gt;B116," * La variable "&amp;R$114&amp;" no puede ser mayor al Total.",""))</f>
        <v/>
      </c>
      <c r="CG116" s="111">
        <f>IF(AND(B116&gt;0,S116="")," * No olvide digitar la variable Pueblos Originarios. Digite Cero si no tiene.",IF(S116&gt;B116," * La variable Pueblos Originarios No puede ser mayor al Total.",""))</f>
        <v/>
      </c>
      <c r="CH116" s="111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/>
      </c>
      <c r="CL116" s="112">
        <f>IF(AND($D116&gt;0,N116=""),1,IF(N116&gt;$D116,1,0))</f>
        <v/>
      </c>
      <c r="CM116" s="112">
        <f>IF(AND($B116&gt;0,O116=""),1,IF(O116&gt;$B116,1,0))</f>
        <v/>
      </c>
      <c r="CN116" s="112">
        <f>IF(AND($B116&gt;0,P116=""),1,IF(P116&gt;$B116,1,0))</f>
        <v/>
      </c>
      <c r="CO116" s="112">
        <f>IF(AND($B116&gt;0,Q116=""),1,IF(Q116&gt;$B116,1,0))</f>
        <v/>
      </c>
      <c r="CP116" s="112">
        <f>IF(AND($B116&gt;0,R116=""),1,IF(R116&gt;$B116,1,0))</f>
        <v/>
      </c>
      <c r="CQ116" s="112">
        <f>IF(AND($B116&gt;0,S116=""),1,IF(S116&gt;$B116,1,0))</f>
        <v/>
      </c>
      <c r="CR116" s="112">
        <f>IF(AND($B116&gt;0,T116=""),1,IF(T116&gt;$B116,1,0))</f>
        <v/>
      </c>
    </row>
    <row r="117" ht="15" customHeight="1" s="8286">
      <c r="A117" s="3651" t="inlineStr">
        <is>
          <t>Control de especialidad odontológica (Teleconsulta)</t>
        </is>
      </c>
      <c r="B117" s="1406">
        <f>SUM(E117:L117)</f>
        <v/>
      </c>
      <c r="C117" s="4838" t="n"/>
      <c r="D117" s="4697" t="n"/>
      <c r="E117" s="1333" t="n"/>
      <c r="F117" s="4688" t="n"/>
      <c r="G117" s="4688" t="n"/>
      <c r="H117" s="4688" t="n"/>
      <c r="I117" s="4688" t="n"/>
      <c r="J117" s="4688" t="n"/>
      <c r="K117" s="4688" t="n"/>
      <c r="L117" s="4769" t="n"/>
      <c r="M117" s="4837" t="n"/>
      <c r="N117" s="4798" t="n"/>
      <c r="O117" s="4798" t="n"/>
      <c r="P117" s="4798" t="n"/>
      <c r="Q117" s="4693" t="n"/>
      <c r="R117" s="4694" t="n"/>
      <c r="S117" s="4693" t="n"/>
      <c r="T117" s="4694" t="n"/>
      <c r="U117" s="227">
        <f>CA117&amp;CB117&amp;CC117&amp;CD117&amp;CE117&amp;CF117&amp;CG117&amp;CH117</f>
        <v/>
      </c>
      <c r="CA117" s="111">
        <f>IF((C117+D117)&lt;&gt;B117,"  * Las atenciones según Sexo (Hombres/Mujeres) deben ser igual al Total de atenciones","")</f>
        <v/>
      </c>
      <c r="CB117" s="111">
        <f>IF(AND(D117&gt;0,N117="")," * No olvide digitar Embarazadas. Digite cero si no tiene.",IF(N117&gt;D117," * La variable Embarazadas no puede ser mayor al Total.",""))</f>
        <v/>
      </c>
      <c r="CC117" s="111">
        <f>IF(AND(B117&gt;0,O117="")," * No olvide digitar Beneficiarios.",IF(O117&gt;B117," * Beneficiarios No puede ser mayor al Total.",""))</f>
        <v/>
      </c>
      <c r="CD117" s="111">
        <f>IF(AND(B117&gt;0,P117="")," * No olvide digitar Usuarios con discapacidad. Digite cero si no tiene.",IF(P117&gt;B117," * Usuarios con discapacidad No puede ser mayor al Total.",""))</f>
        <v/>
      </c>
      <c r="CE117" s="111">
        <f>IF(AND(B117&gt;0,Q117="")," * No olvide digitar "&amp;Q$114&amp;". Digite cero si no tiene.",IF(Q117&gt;B117," * "&amp;Q$114&amp;" No puede ser mayor al Total.",""))</f>
        <v/>
      </c>
      <c r="CF117" s="111">
        <f>IF(AND(B117&gt;0,R117="")," * No olvide digitar "&amp;R$114&amp;". Digite cero si no tiene.",IF(R117&gt;B117," * "&amp;R$114&amp;" No puede ser mayor al Total.",""))</f>
        <v/>
      </c>
      <c r="CG117" s="111">
        <f>IF(AND(B117&gt;0,S117="")," * No olvide digitar Pueblos originarios. Digite cero si no tiene.",IF(S117&gt;B117," * Pueblos originarios No puede ser mayor al Total.",""))</f>
        <v/>
      </c>
      <c r="CH117" s="111">
        <f>IF(AND(B117&gt;0,T117="")," * No olvide digitar Migrantes. Digite cero si no tiene.",IF(T117&gt;B117," * Migrantes No puede ser mayor al Total.",""))</f>
        <v/>
      </c>
      <c r="CK117" s="112">
        <f>IF((C117+D117)&lt;&gt;$B117,1,0)</f>
        <v/>
      </c>
      <c r="CL117" s="112">
        <f>IF(AND($D117&gt;0,N117=""),1,IF(N117&gt;$D117,1,0))</f>
        <v/>
      </c>
      <c r="CM117" s="112">
        <f>IF(AND($B117&gt;0,O117=""),1,IF(O117&gt;$B117,1,0))</f>
        <v/>
      </c>
      <c r="CN117" s="112">
        <f>IF(AND($B117&gt;0,P117=""),1,IF(P117&gt;$B117,1,0))</f>
        <v/>
      </c>
      <c r="CO117" s="112">
        <f>IF(AND($B117&gt;0,Q117=""),1,IF(Q117&gt;$B117,1,0))</f>
        <v/>
      </c>
      <c r="CP117" s="112">
        <f>IF(AND($B117&gt;0,R117=""),1,IF(R117&gt;$B117,1,0))</f>
        <v/>
      </c>
      <c r="CQ117" s="112">
        <f>IF(AND($B117&gt;0,S117=""),1,IF(S117&gt;$B117,1,0))</f>
        <v/>
      </c>
      <c r="CR117" s="112">
        <f>IF(AND($B117&gt;0,T117=""),1,IF(T117&gt;$B117,1,0))</f>
        <v/>
      </c>
    </row>
    <row r="118" ht="15" customHeight="1" s="8286">
      <c r="A118" s="9240" t="inlineStr">
        <is>
          <t>TOTAL</t>
        </is>
      </c>
      <c r="B118" s="4839">
        <f>SUM(B116:B117)</f>
        <v/>
      </c>
      <c r="C118" s="4840">
        <f>SUM(C116:C117)</f>
        <v/>
      </c>
      <c r="D118" s="4625">
        <f>SUM(D116:D117)</f>
        <v/>
      </c>
      <c r="E118" s="4622">
        <f>SUM(E116:E117)</f>
        <v/>
      </c>
      <c r="F118" s="4841">
        <f>SUM(F116:F117)</f>
        <v/>
      </c>
      <c r="G118" s="4841">
        <f>SUM(G116:G117)</f>
        <v/>
      </c>
      <c r="H118" s="4841">
        <f>SUM(H116:H117)</f>
        <v/>
      </c>
      <c r="I118" s="4841">
        <f>SUM(I116:I117)</f>
        <v/>
      </c>
      <c r="J118" s="4841">
        <f>SUM(J116:J117)</f>
        <v/>
      </c>
      <c r="K118" s="4841">
        <f>SUM(K116:K117)</f>
        <v/>
      </c>
      <c r="L118" s="4842">
        <f>SUM(L116:L117)</f>
        <v/>
      </c>
      <c r="M118" s="4843">
        <f>SUM(M116:M117)</f>
        <v/>
      </c>
      <c r="N118" s="4623">
        <f>SUM(N116:N117)</f>
        <v/>
      </c>
      <c r="O118" s="4623">
        <f>SUM(O116:O117)</f>
        <v/>
      </c>
      <c r="P118" s="4623">
        <f>SUM(P116:P117)</f>
        <v/>
      </c>
      <c r="Q118" s="4844">
        <f>SUM(Q116:Q117)</f>
        <v/>
      </c>
      <c r="R118" s="4845">
        <f>SUM(R116:R117)</f>
        <v/>
      </c>
      <c r="S118" s="4844">
        <f>SUM(S116:S117)</f>
        <v/>
      </c>
      <c r="T118" s="4845">
        <f>SUM(T116:T117)</f>
        <v/>
      </c>
      <c r="CC118" s="110" t="n"/>
      <c r="CD118" s="110" t="n"/>
      <c r="CE118" s="110" t="n"/>
      <c r="CF118" s="110" t="n"/>
      <c r="CG118" s="110" t="n"/>
      <c r="CH118" s="110" t="n"/>
      <c r="CI118" s="110" t="n"/>
      <c r="CJ118" s="110" t="n"/>
      <c r="CK118" s="110" t="n"/>
      <c r="CL118" s="110" t="n"/>
      <c r="CM118" s="110" t="n"/>
    </row>
    <row r="119" ht="17.1" customFormat="1" customHeight="1" s="109">
      <c r="A119" s="9414" t="inlineStr">
        <is>
          <t xml:space="preserve">SECCION F: ACCIONES DE SALUD MENTAL REMOTAS </t>
        </is>
      </c>
      <c r="CC119" s="110" t="n"/>
      <c r="CD119" s="110" t="n"/>
      <c r="CE119" s="110" t="n"/>
      <c r="CF119" s="110" t="n"/>
      <c r="CG119" s="110" t="n"/>
      <c r="CH119" s="110" t="n"/>
      <c r="CI119" s="110" t="n"/>
      <c r="CJ119" s="110" t="n"/>
      <c r="CK119" s="110" t="n"/>
      <c r="CL119" s="110" t="n"/>
      <c r="CM119" s="110" t="n"/>
    </row>
    <row r="120" ht="17.1" customFormat="1" customHeight="1" s="109">
      <c r="A120" s="9414" t="inlineStr">
        <is>
          <t>SECCIÓN F1: ACCIONES REMOTAS DE SALUD MENTAL (APS Y ESPECIALIDAD)</t>
        </is>
      </c>
      <c r="CC120" s="110" t="n"/>
      <c r="CD120" s="110" t="n"/>
      <c r="CE120" s="110" t="n"/>
      <c r="CF120" s="110" t="n"/>
      <c r="CG120" s="110" t="n"/>
      <c r="CH120" s="110" t="n"/>
      <c r="CI120" s="110" t="n"/>
      <c r="CJ120" s="110" t="n"/>
      <c r="CK120" s="110" t="n"/>
      <c r="CL120" s="110" t="n"/>
      <c r="CM120" s="110" t="n"/>
    </row>
    <row r="121" ht="15" customFormat="1" customHeight="1" s="110">
      <c r="A121" s="9420" t="inlineStr">
        <is>
          <t>VIDEOLLAMADAS</t>
        </is>
      </c>
      <c r="B121" s="9420" t="inlineStr">
        <is>
          <t>TOTAL ACCIONES</t>
        </is>
      </c>
      <c r="C121" s="9915" t="inlineStr">
        <is>
          <t>RANGO ETARIO</t>
        </is>
      </c>
      <c r="D121" s="9584" t="n"/>
      <c r="E121" s="9584" t="n"/>
      <c r="F121" s="9584" t="n"/>
      <c r="G121" s="9584" t="n"/>
      <c r="H121" s="9584" t="n"/>
      <c r="I121" s="9584" t="n"/>
      <c r="J121" s="9584" t="n"/>
      <c r="K121" s="9584" t="n"/>
      <c r="L121" s="9584" t="n"/>
      <c r="M121" s="9584" t="n"/>
      <c r="N121" s="9584" t="n"/>
      <c r="O121" s="9584" t="n"/>
      <c r="P121" s="9584" t="n"/>
      <c r="Q121" s="9584" t="n"/>
      <c r="R121" s="9584" t="n"/>
      <c r="S121" s="9595" t="n"/>
      <c r="T121" s="10678" t="inlineStr">
        <is>
          <t>SEXO</t>
        </is>
      </c>
      <c r="U121" s="9632" t="n"/>
      <c r="V121" s="10679" t="inlineStr">
        <is>
          <t xml:space="preserve">SENAME/ Servicio Nacional de Reinserción social Juvenil </t>
        </is>
      </c>
      <c r="W121" s="10677" t="inlineStr">
        <is>
          <t>Servicio Nacional Protección Especializada a la Niñez y Adolescencia</t>
        </is>
      </c>
      <c r="X121" s="10115" t="inlineStr">
        <is>
          <t>Pueblos Originarios</t>
        </is>
      </c>
      <c r="Y121" s="10084" t="inlineStr">
        <is>
          <t>Migrantes</t>
        </is>
      </c>
      <c r="Z121" s="9920" t="inlineStr">
        <is>
          <t>Demencia</t>
        </is>
      </c>
      <c r="AA121" s="9931" t="inlineStr">
        <is>
          <t>Espacios Amigables/ Adolescentes</t>
        </is>
      </c>
    </row>
    <row r="122" ht="50.25" customFormat="1" customHeight="1" s="110">
      <c r="A122" s="10680" t="n"/>
      <c r="B122" s="10680" t="n"/>
      <c r="C122" s="9498" t="inlineStr">
        <is>
          <t>0 - 4 años</t>
        </is>
      </c>
      <c r="D122" s="9499" t="inlineStr">
        <is>
          <t>5 - 9 años</t>
        </is>
      </c>
      <c r="E122" s="4504" t="inlineStr">
        <is>
          <t xml:space="preserve"> 10 - 14 años</t>
        </is>
      </c>
      <c r="F122" s="9499" t="inlineStr">
        <is>
          <t>15 - 19 años</t>
        </is>
      </c>
      <c r="G122" s="4641" t="inlineStr">
        <is>
          <t>20 - 24 años</t>
        </is>
      </c>
      <c r="H122" s="4641" t="inlineStr">
        <is>
          <t>25 - 29 años</t>
        </is>
      </c>
      <c r="I122" s="4641" t="inlineStr">
        <is>
          <t>30 - 34 años</t>
        </is>
      </c>
      <c r="J122" s="4641" t="inlineStr">
        <is>
          <t>35 - 39 años</t>
        </is>
      </c>
      <c r="K122" s="4641" t="inlineStr">
        <is>
          <t>40 - 44 años</t>
        </is>
      </c>
      <c r="L122" s="4641" t="inlineStr">
        <is>
          <t>45 - 49 años</t>
        </is>
      </c>
      <c r="M122" s="4641" t="inlineStr">
        <is>
          <t>50 - 54 años</t>
        </is>
      </c>
      <c r="N122" s="4641" t="inlineStr">
        <is>
          <t>55 - 59 años</t>
        </is>
      </c>
      <c r="O122" s="4641" t="inlineStr">
        <is>
          <t>60 - 64 años</t>
        </is>
      </c>
      <c r="P122" s="4641" t="inlineStr">
        <is>
          <t>65 - 69 años</t>
        </is>
      </c>
      <c r="Q122" s="4641" t="inlineStr">
        <is>
          <t>70 - 74 años</t>
        </is>
      </c>
      <c r="R122" s="4641" t="inlineStr">
        <is>
          <t>75 - 79 años</t>
        </is>
      </c>
      <c r="S122" s="4846" t="inlineStr">
        <is>
          <t>80 y más años</t>
        </is>
      </c>
      <c r="T122" s="10673" t="inlineStr">
        <is>
          <t>Hombres</t>
        </is>
      </c>
      <c r="U122" s="10648" t="inlineStr">
        <is>
          <t>Mujeres</t>
        </is>
      </c>
      <c r="V122" s="10053" t="n"/>
      <c r="W122" s="10086" t="n"/>
      <c r="X122" s="10121" t="n"/>
      <c r="Y122" s="10086" t="n"/>
      <c r="Z122" s="9641" t="n"/>
      <c r="AA122" s="9705" t="n"/>
    </row>
    <row r="123" ht="15" customFormat="1" customHeight="1" s="110">
      <c r="A123" s="4847" t="inlineStr">
        <is>
          <t>Llamadas Telefónicas</t>
        </is>
      </c>
      <c r="B123" s="4848">
        <f>SUM(C123:S123)</f>
        <v/>
      </c>
      <c r="C123" s="4849" t="n"/>
      <c r="D123" s="4850" t="n">
        <v>13</v>
      </c>
      <c r="E123" s="4850" t="n"/>
      <c r="F123" s="4850" t="n">
        <v>4</v>
      </c>
      <c r="G123" s="4850" t="n">
        <v>7</v>
      </c>
      <c r="H123" s="4850" t="n">
        <v>1</v>
      </c>
      <c r="I123" s="4850" t="n"/>
      <c r="J123" s="4850" t="n"/>
      <c r="K123" s="4850" t="n">
        <v>3</v>
      </c>
      <c r="L123" s="4850" t="n">
        <v>5</v>
      </c>
      <c r="M123" s="4850" t="n">
        <v>10</v>
      </c>
      <c r="N123" s="4850" t="n">
        <v>4</v>
      </c>
      <c r="O123" s="4850" t="n">
        <v>7</v>
      </c>
      <c r="P123" s="4850" t="n">
        <v>5</v>
      </c>
      <c r="Q123" s="4850" t="n">
        <v>9</v>
      </c>
      <c r="R123" s="4850" t="n">
        <v>7</v>
      </c>
      <c r="S123" s="4851" t="n">
        <v>8</v>
      </c>
      <c r="T123" s="4852" t="n">
        <v>23</v>
      </c>
      <c r="U123" s="4853" t="n">
        <v>60</v>
      </c>
      <c r="V123" s="4854" t="n">
        <v>0</v>
      </c>
      <c r="W123" s="4855" t="n">
        <v>0</v>
      </c>
      <c r="X123" s="4856" t="n">
        <v>0</v>
      </c>
      <c r="Y123" s="4855" t="n">
        <v>0</v>
      </c>
      <c r="Z123" s="4857" t="n">
        <v>0</v>
      </c>
      <c r="AA123" s="4857" t="n">
        <v>0</v>
      </c>
      <c r="AB123" s="110">
        <f>CA123&amp;CB123&amp;CC123&amp;CD123&amp;CE123&amp;CF123&amp;CG123</f>
        <v/>
      </c>
      <c r="CA123" s="111">
        <f>IF((T123+U123)&lt;&gt;B123," * Las acciones según Sexo (Hombres + Mujeres) deben ser igual al "&amp;B$121&amp;"","")</f>
        <v/>
      </c>
      <c r="CB123" s="111">
        <f>IF(AND(B123&gt;0,V123="")," * No olvide digitar la variable "&amp;V$121&amp;". Digite Cero si no tiene.",IF(V123&gt;B123," * La variable "&amp;V$121&amp;" no puede ser mayor que el Total.",""))</f>
        <v/>
      </c>
      <c r="CC123" s="111">
        <f>IF(AND($B123&gt;0,W123="")," * No olvide digitar la variable "&amp;W$121&amp;". Digite Cero si no tiene.",IF(W123&gt;$B123," * La variables "&amp;W$121&amp;" no puede ser mayor que el Total.",""))</f>
        <v/>
      </c>
      <c r="CD123" s="111">
        <f>IF(AND($B123&gt;0,X123="")," * No olvide digitar la variable Pueblos Originarios. Digite Cero si no tiene.",IF(X123&gt;$B123," * La variable Pueblos originarios no puede ser mayor que el Total.",""))</f>
        <v/>
      </c>
      <c r="CE123" s="111">
        <f>IF(AND($B123&gt;0,Y123="")," * No olvide digitar la variable Migrantes. Digite Cero si no tiene.",IF(Y123&gt;$B123," * La variable Migrantes no puede ser mayor que el Total.",""))</f>
        <v/>
      </c>
      <c r="CF123" s="111">
        <f>IF(AND($B123&gt;0,Z123="")," * No olvide digitar la variable el campo  Demencia. Digite Cero si no tiene.",IF(Z123&gt;$B123," * La variable Demencia No puede ser mayor que el Total.",""))</f>
        <v/>
      </c>
      <c r="CG123" s="111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/>
      </c>
      <c r="CL123" s="112">
        <f>IF(AND(B123&gt;0,V123=""),1,IF(V123&gt;B123,1,0))</f>
        <v/>
      </c>
      <c r="CM123" s="112">
        <f>IF(AND(B123&gt;0,W123=""),1,IF(W123&gt;B123,1,0))</f>
        <v/>
      </c>
      <c r="CN123" s="112">
        <f>IF(AND(B123&gt;0,X123=""),1,IF(X123&gt;B123,1,0))</f>
        <v/>
      </c>
      <c r="CO123" s="112">
        <f>IF(AND(B123&gt;0,Y123=""),1,IF(Y123&gt;B123,1,0))</f>
        <v/>
      </c>
      <c r="CP123" s="112">
        <f>IF(AND(B123&gt;0,Z123=""),1,IF(Z123&gt;B123,1,0))</f>
        <v/>
      </c>
      <c r="CQ123" s="112">
        <f>IF(AND(B123&gt;0,AA123=""),1,IF(AA123&gt;B123,1,0))</f>
        <v/>
      </c>
    </row>
    <row r="124" ht="15" customFormat="1" customHeight="1" s="110">
      <c r="A124" s="3765" t="inlineStr">
        <is>
          <t>Videollamadas</t>
        </is>
      </c>
      <c r="B124" s="4858">
        <f>SUM(C124:S124)</f>
        <v/>
      </c>
      <c r="C124" s="4849" t="n"/>
      <c r="D124" s="4850" t="n"/>
      <c r="E124" s="4850" t="n"/>
      <c r="F124" s="4850" t="n"/>
      <c r="G124" s="4850" t="n"/>
      <c r="H124" s="4850" t="n"/>
      <c r="I124" s="4850" t="n"/>
      <c r="J124" s="4850" t="n"/>
      <c r="K124" s="4850" t="n"/>
      <c r="L124" s="4850" t="n"/>
      <c r="M124" s="4850" t="n"/>
      <c r="N124" s="4850" t="n"/>
      <c r="O124" s="4850" t="n"/>
      <c r="P124" s="4850" t="n"/>
      <c r="Q124" s="4850" t="n"/>
      <c r="R124" s="4850" t="n"/>
      <c r="S124" s="4851" t="n"/>
      <c r="T124" s="4859" t="n"/>
      <c r="U124" s="4860" t="n"/>
      <c r="V124" s="4854" t="n"/>
      <c r="W124" s="4855" t="n"/>
      <c r="X124" s="4856" t="n"/>
      <c r="Y124" s="4855" t="n"/>
      <c r="Z124" s="4857" t="n"/>
      <c r="AA124" s="4857" t="n"/>
      <c r="AB124" s="110">
        <f>CA124&amp;CB124&amp;CC124&amp;CD124&amp;CE124&amp;CF124&amp;CG124</f>
        <v/>
      </c>
      <c r="CA124" s="111">
        <f>IF((T124+U124)&lt;&gt;B124," * Las acciones según Sexo (Hombres + Mujeres) deben ser igual al "&amp;B$121&amp;"","")</f>
        <v/>
      </c>
      <c r="CB124" s="111">
        <f>IF(AND(B124&gt;0,V124="")," * No olvide digitar la variable "&amp;V$121&amp;". Digite Cero si no tiene.",IF(V124&gt;B124," * La variable "&amp;V$121&amp;" no puede ser mayor que el Total.",""))</f>
        <v/>
      </c>
      <c r="CC124" s="111">
        <f>IF(AND($B124&gt;0,W124="")," * No olvide digitar la variable "&amp;W$121&amp;". Digite Cero si no tiene.",IF(W124&gt;$B124," * La variables "&amp;W$121&amp;" no puede ser mayor que el Total.",""))</f>
        <v/>
      </c>
      <c r="CD124" s="111">
        <f>IF(AND($B124&gt;0,X124="")," * No olvide digitar la variable Pueblos Originarios. Digite Cero si no tiene.",IF(X124&gt;$B124," * La variable Pueblos originarios no puede ser mayor que el Total.",""))</f>
        <v/>
      </c>
      <c r="CE124" s="111">
        <f>IF(AND($B124&gt;0,Y124="")," * No olvide digitar la variable Migrantes. Digite Cero si no tiene.",IF(Y124&gt;$B124," * La variable Migrantes no puede ser mayor que el Total.",""))</f>
        <v/>
      </c>
      <c r="CF124" s="111">
        <f>IF(AND($B124&gt;0,Z124="")," * No olvide digitar la variable el campo  Demencia. Digite Cero si no tiene.",IF(Z124&gt;$B124," * La variable Demencia No puede ser mayor que el Total.",""))</f>
        <v/>
      </c>
      <c r="CG124" s="111">
        <f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>IF((T124+U124)&lt;&gt;B124,1,0)</f>
        <v/>
      </c>
      <c r="CL124" s="112">
        <f>IF(AND(B124&gt;0,V124=""),1,IF(V124&gt;B124,1,0))</f>
        <v/>
      </c>
      <c r="CM124" s="112">
        <f>IF(AND(B124&gt;0,W124=""),1,IF(W124&gt;B124,1,0))</f>
        <v/>
      </c>
      <c r="CN124" s="112">
        <f>IF(AND(B124&gt;0,X124=""),1,IF(X124&gt;B124,1,0))</f>
        <v/>
      </c>
      <c r="CO124" s="112">
        <f>IF(AND(B124&gt;0,Y124=""),1,IF(Y124&gt;B124,1,0))</f>
        <v/>
      </c>
      <c r="CP124" s="112">
        <f>IF(AND(B124&gt;0,Z124=""),1,IF(Z124&gt;B124,1,0))</f>
        <v/>
      </c>
      <c r="CQ124" s="112">
        <f>IF(AND(B124&gt;0,AA124=""),1,IF(AA124&gt;B124,1,0))</f>
        <v/>
      </c>
    </row>
    <row r="125" ht="15" customFormat="1" customHeight="1" s="110">
      <c r="A125" s="1232" t="inlineStr">
        <is>
          <t>Mensajería de Texto</t>
        </is>
      </c>
      <c r="B125" s="4861">
        <f>SUM(C125:S125)</f>
        <v/>
      </c>
      <c r="C125" s="4862" t="n"/>
      <c r="D125" s="162" t="n"/>
      <c r="E125" s="162" t="n"/>
      <c r="F125" s="162" t="n"/>
      <c r="G125" s="162" t="n"/>
      <c r="H125" s="162" t="n"/>
      <c r="I125" s="162" t="n"/>
      <c r="J125" s="162" t="n"/>
      <c r="K125" s="162" t="n"/>
      <c r="L125" s="162" t="n"/>
      <c r="M125" s="162" t="n"/>
      <c r="N125" s="162" t="n"/>
      <c r="O125" s="162" t="n"/>
      <c r="P125" s="162" t="n"/>
      <c r="Q125" s="162" t="n"/>
      <c r="R125" s="162" t="n"/>
      <c r="S125" s="4863" t="n"/>
      <c r="T125" s="163" t="n"/>
      <c r="U125" s="4864" t="n"/>
      <c r="V125" s="826" t="n"/>
      <c r="W125" s="4865" t="n"/>
      <c r="X125" s="4866" t="n"/>
      <c r="Y125" s="4865" t="n"/>
      <c r="Z125" s="4867" t="n"/>
      <c r="AA125" s="4867" t="n"/>
      <c r="AB125" s="110">
        <f>CA125&amp;CB125&amp;CC125&amp;CD125&amp;CE125&amp;CF125&amp;CG125</f>
        <v/>
      </c>
      <c r="CA125" s="111">
        <f>IF((T125+U125)&lt;&gt;B125," * Las acciones según Sexo (Hombres + Mujeres) deben ser igual al "&amp;B$121&amp;"","")</f>
        <v/>
      </c>
      <c r="CB125" s="111">
        <f>IF(AND(B125&gt;0,V125="")," * No olvide digitar la variable "&amp;V$121&amp;". Digite Cero si no tiene.",IF(V125&gt;B125," * La variable "&amp;V$121&amp;" no puede ser mayor que el Total.",""))</f>
        <v/>
      </c>
      <c r="CC125" s="111">
        <f>IF(AND($B125&gt;0,W125="")," * No olvide digitar la variable "&amp;W$121&amp;". Digite Cero si no tiene.",IF(W125&gt;$B125," * La variables "&amp;W$121&amp;" no puede ser mayor que el Total.",""))</f>
        <v/>
      </c>
      <c r="CD125" s="111">
        <f>IF(AND($B125&gt;0,X125="")," * No olvide digitar la variable Pueblos Originarios. Digite Cero si no tiene.",IF(X125&gt;$B125," * La variable Pueblos originarios no puede ser mayor que el Total.",""))</f>
        <v/>
      </c>
      <c r="CE125" s="111">
        <f>IF(AND($B125&gt;0,Y125="")," * No olvide digitar la variable Migrantes. Digite Cero si no tiene.",IF(Y125&gt;$B125," * La variable Migrantes no puede ser mayor que el Total.",""))</f>
        <v/>
      </c>
      <c r="CF125" s="111">
        <f>IF(AND($B125&gt;0,Z125="")," * No olvide digitar la variable el campo  Demencia. Digite Cero si no tiene.",IF(Z125&gt;$B125," * La variable Demencia No puede ser mayor que el Total.",""))</f>
        <v/>
      </c>
      <c r="CG125" s="111">
        <f>IF(AND($B125&gt;0,AA125="")," * No olvide digitar la variable Espacios Amigables/Adolescentes. Digite Cero si no tiene.",IF(AA125&gt;$B125," * La variable Espacios Amigables/Adolescente No puede ser mayor que el Total.",""))</f>
        <v/>
      </c>
      <c r="CK125" s="112">
        <f>IF((T125+U125)&lt;&gt;B125,1,0)</f>
        <v/>
      </c>
      <c r="CL125" s="112">
        <f>IF(AND(B125&gt;0,V125=""),1,IF(V125&gt;B125,1,0))</f>
        <v/>
      </c>
      <c r="CM125" s="112">
        <f>IF(AND(B125&gt;0,W125=""),1,IF(W125&gt;B125,1,0))</f>
        <v/>
      </c>
      <c r="CN125" s="112">
        <f>IF(AND(B125&gt;0,X125=""),1,IF(X125&gt;B125,1,0))</f>
        <v/>
      </c>
      <c r="CO125" s="112">
        <f>IF(AND(B125&gt;0,Y125=""),1,IF(Y125&gt;B125,1,0))</f>
        <v/>
      </c>
      <c r="CP125" s="112">
        <f>IF(AND(B125&gt;0,Z125=""),1,IF(Z125&gt;B125,1,0))</f>
        <v/>
      </c>
      <c r="CQ125" s="112">
        <f>IF(AND(B125&gt;0,AA125=""),1,IF(AA125&gt;B125,1,0))</f>
        <v/>
      </c>
    </row>
    <row r="126" ht="18" customFormat="1" customHeight="1" s="109">
      <c r="A126" s="9414" t="inlineStr">
        <is>
          <t>SECCIÓN F2: CONTROLES DE SALUD MENTAL REMOTOS (APS Y ESPECIALIDAD)</t>
        </is>
      </c>
      <c r="CC126" s="110" t="n"/>
      <c r="CD126" s="110" t="n"/>
      <c r="CE126" s="110" t="n"/>
      <c r="CF126" s="110" t="n"/>
      <c r="CG126" s="110" t="n"/>
      <c r="CH126" s="110" t="n"/>
      <c r="CI126" s="110" t="n"/>
      <c r="CJ126" s="110" t="n"/>
      <c r="CK126" s="110" t="n"/>
      <c r="CL126" s="110" t="n"/>
      <c r="CM126" s="110" t="n"/>
    </row>
    <row r="127" ht="15" customFormat="1" customHeight="1" s="110">
      <c r="A127" s="9977" t="inlineStr">
        <is>
          <t>ACTIVIDADES</t>
        </is>
      </c>
      <c r="B127" s="9977" t="inlineStr">
        <is>
          <t>PROFESIONAL</t>
        </is>
      </c>
      <c r="C127" s="9939" t="inlineStr">
        <is>
          <t>TOTAL</t>
        </is>
      </c>
      <c r="D127" s="9602" t="n"/>
      <c r="E127" s="9630" t="n"/>
      <c r="F127" s="9915" t="inlineStr">
        <is>
          <t>RANGO ETARIO Y SEXO</t>
        </is>
      </c>
      <c r="G127" s="9584" t="n"/>
      <c r="H127" s="9584" t="n"/>
      <c r="I127" s="9584" t="n"/>
      <c r="J127" s="9584" t="n"/>
      <c r="K127" s="9584" t="n"/>
      <c r="L127" s="9584" t="n"/>
      <c r="M127" s="9584" t="n"/>
      <c r="N127" s="9584" t="n"/>
      <c r="O127" s="9584" t="n"/>
      <c r="P127" s="9584" t="n"/>
      <c r="Q127" s="9584" t="n"/>
      <c r="R127" s="9584" t="n"/>
      <c r="S127" s="9584" t="n"/>
      <c r="T127" s="9584" t="n"/>
      <c r="U127" s="9584" t="n"/>
      <c r="V127" s="9584" t="n"/>
      <c r="W127" s="9584" t="n"/>
      <c r="X127" s="9584" t="n"/>
      <c r="Y127" s="9584" t="n"/>
      <c r="Z127" s="9584" t="n"/>
      <c r="AA127" s="9584" t="n"/>
      <c r="AB127" s="9584" t="n"/>
      <c r="AC127" s="9584" t="n"/>
      <c r="AD127" s="9584" t="n"/>
      <c r="AE127" s="9584" t="n"/>
      <c r="AF127" s="9584" t="n"/>
      <c r="AG127" s="9584" t="n"/>
      <c r="AH127" s="9584" t="n"/>
      <c r="AI127" s="9584" t="n"/>
      <c r="AJ127" s="9584" t="n"/>
      <c r="AK127" s="9584" t="n"/>
      <c r="AL127" s="9584" t="n"/>
      <c r="AM127" s="9595" t="n"/>
      <c r="AN127" s="9411" t="inlineStr">
        <is>
          <t>SENAME/ Servicio Nacional de Reinserción social Juvenil</t>
        </is>
      </c>
      <c r="AO127" s="10311" t="inlineStr">
        <is>
          <t>Servicio Nacional Protección Especializada a la Niñez y Adolescencia</t>
        </is>
      </c>
      <c r="AP127" s="10681" t="inlineStr">
        <is>
          <t>Pueblos Originarios</t>
        </is>
      </c>
      <c r="AQ127" s="10681" t="inlineStr">
        <is>
          <t>Migrantes</t>
        </is>
      </c>
      <c r="AR127" s="10681" t="inlineStr">
        <is>
          <t>Demencia</t>
        </is>
      </c>
      <c r="AS127" s="9931" t="inlineStr">
        <is>
          <t>Espacios Amigables/ Adolescentes</t>
        </is>
      </c>
    </row>
    <row r="128" ht="15" customFormat="1" customHeight="1" s="110">
      <c r="A128" s="9614" t="n"/>
      <c r="B128" s="9614" t="n"/>
      <c r="C128" s="9638" t="n"/>
      <c r="D128" s="9697" t="n"/>
      <c r="E128" s="9639" t="n"/>
      <c r="F128" s="8400" t="inlineStr">
        <is>
          <t>0 - 4 años</t>
        </is>
      </c>
      <c r="G128" s="9582" t="n"/>
      <c r="H128" s="8400" t="inlineStr">
        <is>
          <t>5 - 9 años</t>
        </is>
      </c>
      <c r="I128" s="9582" t="n"/>
      <c r="J128" s="8400" t="inlineStr">
        <is>
          <t>10 - 14 años</t>
        </is>
      </c>
      <c r="K128" s="9582" t="n"/>
      <c r="L128" s="10006" t="inlineStr">
        <is>
          <t>15 - 19 años</t>
        </is>
      </c>
      <c r="M128" s="9584" t="n"/>
      <c r="N128" s="8400" t="inlineStr">
        <is>
          <t>20 - 24 años</t>
        </is>
      </c>
      <c r="O128" s="9582" t="n"/>
      <c r="P128" s="9977" t="inlineStr">
        <is>
          <t>25 - 29 años</t>
        </is>
      </c>
      <c r="Q128" s="9582" t="n"/>
      <c r="R128" s="9977" t="inlineStr">
        <is>
          <t>30 - 34 años</t>
        </is>
      </c>
      <c r="S128" s="9582" t="n"/>
      <c r="T128" s="9977" t="inlineStr">
        <is>
          <t>35 - 39 años</t>
        </is>
      </c>
      <c r="U128" s="9582" t="n"/>
      <c r="V128" s="9977" t="inlineStr">
        <is>
          <t>40 - 44 años</t>
        </is>
      </c>
      <c r="W128" s="9582" t="n"/>
      <c r="X128" s="9977" t="inlineStr">
        <is>
          <t>45 - 49 años</t>
        </is>
      </c>
      <c r="Y128" s="9582" t="n"/>
      <c r="Z128" s="9977" t="inlineStr">
        <is>
          <t>50 - 54 años</t>
        </is>
      </c>
      <c r="AA128" s="9582" t="n"/>
      <c r="AB128" s="9977" t="inlineStr">
        <is>
          <t>55 - 59 años</t>
        </is>
      </c>
      <c r="AC128" s="9582" t="n"/>
      <c r="AD128" s="9977" t="inlineStr">
        <is>
          <t>60 - 64 años</t>
        </is>
      </c>
      <c r="AE128" s="9582" t="n"/>
      <c r="AF128" s="9977" t="inlineStr">
        <is>
          <t>65 - 69 años</t>
        </is>
      </c>
      <c r="AG128" s="9582" t="n"/>
      <c r="AH128" s="9977" t="inlineStr">
        <is>
          <t>70 - 74 años</t>
        </is>
      </c>
      <c r="AI128" s="9582" t="n"/>
      <c r="AJ128" s="9977" t="inlineStr">
        <is>
          <t>75 - 79 años</t>
        </is>
      </c>
      <c r="AK128" s="9582" t="n"/>
      <c r="AL128" s="9915" t="inlineStr">
        <is>
          <t>80 y más años</t>
        </is>
      </c>
      <c r="AM128" s="9595" t="n"/>
      <c r="AN128" s="9683" t="n"/>
      <c r="AO128" s="9625" t="n"/>
      <c r="AP128" s="10159" t="n"/>
      <c r="AQ128" s="10159" t="n"/>
      <c r="AR128" s="10159" t="n"/>
      <c r="AS128" s="9704" t="n"/>
    </row>
    <row r="129" ht="52.5" customFormat="1" customHeight="1" s="110">
      <c r="A129" s="9610" t="n"/>
      <c r="B129" s="9610" t="n"/>
      <c r="C129" s="4498" t="inlineStr">
        <is>
          <t>Ambos Sexos</t>
        </is>
      </c>
      <c r="D129" s="4504" t="inlineStr">
        <is>
          <t>Hombres</t>
        </is>
      </c>
      <c r="E129" s="9268" t="inlineStr">
        <is>
          <t>Mujeres</t>
        </is>
      </c>
      <c r="F129" s="9498" t="inlineStr">
        <is>
          <t>Hombres</t>
        </is>
      </c>
      <c r="G129" s="9268" t="inlineStr">
        <is>
          <t>Mujeres</t>
        </is>
      </c>
      <c r="H129" s="9498" t="inlineStr">
        <is>
          <t>Hombres</t>
        </is>
      </c>
      <c r="I129" s="9268" t="inlineStr">
        <is>
          <t>Mujeres</t>
        </is>
      </c>
      <c r="J129" s="9498" t="inlineStr">
        <is>
          <t>Hombres</t>
        </is>
      </c>
      <c r="K129" s="9268" t="inlineStr">
        <is>
          <t>Mujeres</t>
        </is>
      </c>
      <c r="L129" s="4504" t="inlineStr">
        <is>
          <t>Hombres</t>
        </is>
      </c>
      <c r="M129" s="9281" t="inlineStr">
        <is>
          <t>Mujeres</t>
        </is>
      </c>
      <c r="N129" s="9498" t="inlineStr">
        <is>
          <t>Hombres</t>
        </is>
      </c>
      <c r="O129" s="4758" t="inlineStr">
        <is>
          <t>Mujeres</t>
        </is>
      </c>
      <c r="P129" s="9498" t="inlineStr">
        <is>
          <t>Hombres</t>
        </is>
      </c>
      <c r="Q129" s="4758" t="inlineStr">
        <is>
          <t>Mujeres</t>
        </is>
      </c>
      <c r="R129" s="4504" t="inlineStr">
        <is>
          <t>Hombres</t>
        </is>
      </c>
      <c r="S129" s="4758" t="inlineStr">
        <is>
          <t>Mujeres</t>
        </is>
      </c>
      <c r="T129" s="4504" t="inlineStr">
        <is>
          <t>Hombres</t>
        </is>
      </c>
      <c r="U129" s="4758" t="inlineStr">
        <is>
          <t>Mujeres</t>
        </is>
      </c>
      <c r="V129" s="9498" t="inlineStr">
        <is>
          <t>Hombres</t>
        </is>
      </c>
      <c r="W129" s="4758" t="inlineStr">
        <is>
          <t>Mujeres</t>
        </is>
      </c>
      <c r="X129" s="4504" t="inlineStr">
        <is>
          <t>Hombres</t>
        </is>
      </c>
      <c r="Y129" s="4758" t="inlineStr">
        <is>
          <t>Mujeres</t>
        </is>
      </c>
      <c r="Z129" s="4504" t="inlineStr">
        <is>
          <t>Hombres</t>
        </is>
      </c>
      <c r="AA129" s="4758" t="inlineStr">
        <is>
          <t>Mujeres</t>
        </is>
      </c>
      <c r="AB129" s="4504" t="inlineStr">
        <is>
          <t>Hombres</t>
        </is>
      </c>
      <c r="AC129" s="4758" t="inlineStr">
        <is>
          <t>Mujeres</t>
        </is>
      </c>
      <c r="AD129" s="4504" t="inlineStr">
        <is>
          <t>Hombres</t>
        </is>
      </c>
      <c r="AE129" s="4758" t="inlineStr">
        <is>
          <t>Mujeres</t>
        </is>
      </c>
      <c r="AF129" s="4504" t="inlineStr">
        <is>
          <t>Hombres</t>
        </is>
      </c>
      <c r="AG129" s="4758" t="inlineStr">
        <is>
          <t>Mujeres</t>
        </is>
      </c>
      <c r="AH129" s="4504" t="inlineStr">
        <is>
          <t>Hombres</t>
        </is>
      </c>
      <c r="AI129" s="4758" t="inlineStr">
        <is>
          <t>Mujeres</t>
        </is>
      </c>
      <c r="AJ129" s="4504" t="inlineStr">
        <is>
          <t>Hombres</t>
        </is>
      </c>
      <c r="AK129" s="4758" t="inlineStr">
        <is>
          <t>Mujeres</t>
        </is>
      </c>
      <c r="AL129" s="4504" t="inlineStr">
        <is>
          <t>Hombres</t>
        </is>
      </c>
      <c r="AM129" s="4821" t="inlineStr">
        <is>
          <t>Mujeres</t>
        </is>
      </c>
      <c r="AN129" s="10682" t="n"/>
      <c r="AO129" s="9611" t="n"/>
      <c r="AP129" s="9605" t="n"/>
      <c r="AQ129" s="9605" t="n"/>
      <c r="AR129" s="9605" t="n"/>
      <c r="AS129" s="9705" t="n"/>
    </row>
    <row r="130" ht="15" customFormat="1" customHeight="1" s="110">
      <c r="A130" s="9933" t="inlineStr">
        <is>
          <t>Controles de salud mental por llamadas telefónicas</t>
        </is>
      </c>
      <c r="B130" s="4307" t="inlineStr">
        <is>
          <t>Médico/a</t>
        </is>
      </c>
      <c r="C130" s="4868">
        <f>SUM(D130:E130)</f>
        <v/>
      </c>
      <c r="D130" s="861">
        <f>SUM(F130+H130+J130+L130+N130+P130+R130+T130+V130+X130+Z130+AB130+AD130+AF130+AH130+AJ130+AL130)</f>
        <v/>
      </c>
      <c r="E130" s="4869">
        <f>SUM(G130+I130+K130+M130+O130+Q130+S130+U130+W130+Y130+AA130+AC130+AE130+AG130+AI130+AK130+AM130)</f>
        <v/>
      </c>
      <c r="F130" s="4870" t="n"/>
      <c r="G130" s="4871" t="n"/>
      <c r="H130" s="4870" t="n"/>
      <c r="I130" s="4871" t="n"/>
      <c r="J130" s="4870" t="n"/>
      <c r="K130" s="4871" t="n"/>
      <c r="L130" s="4872" t="n"/>
      <c r="M130" s="4873" t="n"/>
      <c r="N130" s="4870" t="n"/>
      <c r="O130" s="4874" t="n"/>
      <c r="P130" s="4870" t="n"/>
      <c r="Q130" s="4874" t="n"/>
      <c r="R130" s="4872" t="n"/>
      <c r="S130" s="4874" t="n"/>
      <c r="T130" s="4872" t="n"/>
      <c r="U130" s="4874" t="n"/>
      <c r="V130" s="4870" t="n"/>
      <c r="W130" s="4871" t="n"/>
      <c r="X130" s="4872" t="n"/>
      <c r="Y130" s="4871" t="n"/>
      <c r="Z130" s="4872" t="n"/>
      <c r="AA130" s="4874" t="n"/>
      <c r="AB130" s="4872" t="n"/>
      <c r="AC130" s="4874" t="n"/>
      <c r="AD130" s="4872" t="n"/>
      <c r="AE130" s="4874" t="n"/>
      <c r="AF130" s="4872" t="n"/>
      <c r="AG130" s="4874" t="n"/>
      <c r="AH130" s="4872" t="n"/>
      <c r="AI130" s="4874" t="n"/>
      <c r="AJ130" s="4872" t="n"/>
      <c r="AK130" s="4874" t="n"/>
      <c r="AL130" s="4872" t="n"/>
      <c r="AM130" s="4873" t="n"/>
      <c r="AN130" s="4875" t="n"/>
      <c r="AO130" s="4871" t="n"/>
      <c r="AP130" s="862" t="n"/>
      <c r="AQ130" s="862" t="n"/>
      <c r="AR130" s="862" t="n"/>
      <c r="AS130" s="4874" t="n"/>
      <c r="AT130" s="110">
        <f>CA130&amp;CC130&amp;CD130&amp;CE130&amp;CF130&amp;CG130</f>
        <v/>
      </c>
      <c r="CA130" s="111">
        <f>IF(AND($C130&gt;0,AN130="")," * No olvide digitar la variable "&amp;AN$127&amp;". Digite Cero si no tiene",IF(AN130&gt;$C130," * La variable "&amp;AN$127&amp;" no puede ser mayor al Total Ambos Sexos.",""))</f>
        <v/>
      </c>
      <c r="CB130" s="111">
        <f>IF(AND($C130&gt;0,AO130="")," * No olvide digitar la variable "&amp;AO$127&amp;". Digite Cero si no tiene",IF(AO130&gt;$C130," * La variable "&amp;AO$127&amp;" no puede ser mayor al Total Ambos Sexos.",""))</f>
        <v/>
      </c>
      <c r="CC130" s="111">
        <f>IF(AND($C130&gt;0,AP130="")," * No olvide digitar la variable Pueblos originarios. Digite cero si no tiene",IF(AP130&gt;$C130," * La variable Pueblos Originarios no puede ser mayor al Total Ambos Sexos.",""))</f>
        <v/>
      </c>
      <c r="CD130" s="111">
        <f>IF(AND($C130&gt;0,AQ130="")," * No olvide digitar la variable Migrantes. Digite cero si no tiene.",IF(AQ130&gt;$C130," * La variable Migrantes no puede ser mayor al Total Ambos Sexos.",""))</f>
        <v/>
      </c>
      <c r="CE130" s="111">
        <f>IF(AND($C130&gt;0,AR130="")," * No olvide digitar la variable Demencia. Digite cero si no tiene.",IF(AR130&gt;$C130," * La variable Demencia no puede ser mayor al Total Ambos Sexos.",""))</f>
        <v/>
      </c>
      <c r="CF130" s="111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 t="n"/>
      <c r="CJ130" s="113" t="n"/>
      <c r="CK130" s="113" t="n"/>
      <c r="CL130" s="112">
        <f>IF(AND(C130&gt;0,AN130=""),1,IF(AN130&gt;C130,1,0))</f>
        <v/>
      </c>
      <c r="CM130" s="112">
        <f>IF(AND(C130&gt;0,AO130=""),1,IF(AO130&gt;C130,1,0))</f>
        <v/>
      </c>
      <c r="CN130" s="112">
        <f>IF(AND(C130&gt;0,AP130=""),1,IF(AP130&gt;C130,1,0))</f>
        <v/>
      </c>
      <c r="CO130" s="112">
        <f>IF(AND(C130&gt;0,AQ130=""),1,IF(AQ130&gt;C130,1,0))</f>
        <v/>
      </c>
      <c r="CP130" s="112">
        <f>IF(AND(C130&gt;0,AR130=""),1,IF(AR130&gt;C130,1,0))</f>
        <v/>
      </c>
      <c r="CQ130" s="112">
        <f>IF(AND(C130&gt;0,AS130=""),1,IF(AS130&gt;C130,1,0))</f>
        <v/>
      </c>
    </row>
    <row r="131" ht="15" customFormat="1" customHeight="1" s="110">
      <c r="A131" s="9614" t="n"/>
      <c r="B131" s="3663" t="inlineStr">
        <is>
          <t>Psicólogo/a</t>
        </is>
      </c>
      <c r="C131" s="4876">
        <f>SUM(D131:E131)</f>
        <v/>
      </c>
      <c r="D131" s="4877">
        <f>SUM(F131+H131+J131+L131+N131+P131+R131+T131+V131+X131+Z131+AB131+AD131+AF131+AH131+AJ131+AL131)</f>
        <v/>
      </c>
      <c r="E131" s="4878">
        <f>SUM(G131+I131+K131+M131+O131+Q131+S131+U131+W131+Y131+AA131+AC131+AE131+AG131+AI131+AK131+AM131)</f>
        <v/>
      </c>
      <c r="F131" s="4849" t="n"/>
      <c r="G131" s="4857" t="n"/>
      <c r="H131" s="4849" t="n"/>
      <c r="I131" s="4857" t="n"/>
      <c r="J131" s="4849" t="n"/>
      <c r="K131" s="4857" t="n"/>
      <c r="L131" s="4879" t="n"/>
      <c r="M131" s="4880" t="n"/>
      <c r="N131" s="4849" t="n"/>
      <c r="O131" s="4881" t="n"/>
      <c r="P131" s="4849" t="n"/>
      <c r="Q131" s="4881" t="n"/>
      <c r="R131" s="4879" t="n"/>
      <c r="S131" s="4881" t="n"/>
      <c r="T131" s="4879" t="n"/>
      <c r="U131" s="4881" t="n"/>
      <c r="V131" s="4849" t="n"/>
      <c r="W131" s="4857" t="n"/>
      <c r="X131" s="4879" t="n"/>
      <c r="Y131" s="4857" t="n"/>
      <c r="Z131" s="4879" t="n"/>
      <c r="AA131" s="4881" t="n"/>
      <c r="AB131" s="4879" t="n"/>
      <c r="AC131" s="4881" t="n"/>
      <c r="AD131" s="4879" t="n"/>
      <c r="AE131" s="4881" t="n"/>
      <c r="AF131" s="4879" t="n"/>
      <c r="AG131" s="4881" t="n"/>
      <c r="AH131" s="4879" t="n"/>
      <c r="AI131" s="4881" t="n"/>
      <c r="AJ131" s="4879" t="n"/>
      <c r="AK131" s="4881" t="n"/>
      <c r="AL131" s="4879" t="n"/>
      <c r="AM131" s="4880" t="n"/>
      <c r="AN131" s="4859" t="n"/>
      <c r="AO131" s="4857" t="n"/>
      <c r="AP131" s="4850" t="n"/>
      <c r="AQ131" s="4850" t="n"/>
      <c r="AR131" s="4850" t="n"/>
      <c r="AS131" s="4881" t="n"/>
      <c r="AU131" s="110">
        <f>CA131&amp;CC131&amp;CD131&amp;CE131&amp;CF131</f>
        <v/>
      </c>
      <c r="CA131" s="111">
        <f>IF(AND($C131&gt;0,AN131="")," * No olvide digitar la variable "&amp;AN$127&amp;". Digite Cero si no tiene",IF(AN131&gt;$C131," * La variable "&amp;AN$127&amp;" no puede ser mayor al Total Ambos Sexos.",""))</f>
        <v/>
      </c>
      <c r="CB131" s="111">
        <f>IF(AND($C131&gt;0,AO131="")," * No olvide digitar la variable "&amp;AO$127&amp;". Digite Cero si no tiene",IF(AO131&gt;$C131," * La variable "&amp;AO$127&amp;" no puede ser mayor al Total Ambos Sexos.",""))</f>
        <v/>
      </c>
      <c r="CC131" s="111">
        <f>IF(AND($C131&gt;0,AP131="")," * No olvide digitar la variable Pueblos originarios. Digite cero si no tiene",IF(AP131&gt;$C131," * La variable Pueblos Originarios no puede ser mayor al Total Ambos Sexos.",""))</f>
        <v/>
      </c>
      <c r="CD131" s="111">
        <f>IF(AND($C131&gt;0,AQ131="")," * No olvide digitar la variable Migrantes. Digite cero si no tiene.",IF(AQ131&gt;$C131," * La variable Migrantes no puede ser mayor al Total Ambos Sexos.",""))</f>
        <v/>
      </c>
      <c r="CE131" s="111">
        <f>IF(AND($C131&gt;0,AR131="")," * No olvide digitar la variable Demencia. Digite cero si no tiene.",IF(AR131&gt;$C131," * La variable Demencia no puede ser mayor al Total Ambos Sexos.",""))</f>
        <v/>
      </c>
      <c r="CF131" s="111">
        <f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 t="n"/>
      <c r="CJ131" s="113" t="n"/>
      <c r="CK131" s="113" t="n"/>
      <c r="CL131" s="112">
        <f>IF(AND(C131&gt;0,AN131=""),1,IF(AN131&gt;C131,1,0))</f>
        <v/>
      </c>
      <c r="CM131" s="112">
        <f>IF(AND(C131&gt;0,AO131=""),1,IF(AO131&gt;C131,1,0))</f>
        <v/>
      </c>
      <c r="CN131" s="112">
        <f>IF(AND(C131&gt;0,AP131=""),1,IF(AP131&gt;C131,1,0))</f>
        <v/>
      </c>
      <c r="CO131" s="112">
        <f>IF(AND(C131&gt;0,AQ131=""),1,IF(AQ131&gt;C131,1,0))</f>
        <v/>
      </c>
      <c r="CP131" s="112">
        <f>IF(AND(C131&gt;0,AR131=""),1,IF(AR131&gt;C131,1,0))</f>
        <v/>
      </c>
      <c r="CQ131" s="112">
        <f>IF(AND(C131&gt;0,AS131=""),1,IF(AS131&gt;C131,1,0))</f>
        <v/>
      </c>
    </row>
    <row r="132" ht="15" customFormat="1" customHeight="1" s="110">
      <c r="A132" s="9614" t="n"/>
      <c r="B132" s="3663" t="inlineStr">
        <is>
          <t>Enfermera/o</t>
        </is>
      </c>
      <c r="C132" s="4876">
        <f>SUM(D132:E132)</f>
        <v/>
      </c>
      <c r="D132" s="4877">
        <f>SUM(F132+H132+J132+L132+N132+P132+R132+T132+V132+X132+Z132+AB132+AD132+AF132+AH132+AJ132+AL132)</f>
        <v/>
      </c>
      <c r="E132" s="4878">
        <f>SUM(G132+I132+K132+M132+O132+Q132+S132+U132+W132+Y132+AA132+AC132+AE132+AG132+AI132+AK132+AM132)</f>
        <v/>
      </c>
      <c r="F132" s="4849" t="n"/>
      <c r="G132" s="4857" t="n"/>
      <c r="H132" s="4849" t="n"/>
      <c r="I132" s="4857" t="n"/>
      <c r="J132" s="4849" t="n"/>
      <c r="K132" s="4857" t="n"/>
      <c r="L132" s="4879" t="n"/>
      <c r="M132" s="4880" t="n"/>
      <c r="N132" s="4849" t="n"/>
      <c r="O132" s="4881" t="n"/>
      <c r="P132" s="4849" t="n"/>
      <c r="Q132" s="4881" t="n"/>
      <c r="R132" s="4879" t="n"/>
      <c r="S132" s="4881" t="n"/>
      <c r="T132" s="4879" t="n"/>
      <c r="U132" s="4881" t="n"/>
      <c r="V132" s="4849" t="n"/>
      <c r="W132" s="4857" t="n"/>
      <c r="X132" s="4879" t="n"/>
      <c r="Y132" s="4857" t="n"/>
      <c r="Z132" s="4879" t="n"/>
      <c r="AA132" s="4881" t="n"/>
      <c r="AB132" s="4879" t="n"/>
      <c r="AC132" s="4881" t="n"/>
      <c r="AD132" s="4879" t="n"/>
      <c r="AE132" s="4881" t="n"/>
      <c r="AF132" s="4879" t="n"/>
      <c r="AG132" s="4881" t="n"/>
      <c r="AH132" s="4879" t="n"/>
      <c r="AI132" s="4881" t="n"/>
      <c r="AJ132" s="4879" t="n"/>
      <c r="AK132" s="4881" t="n"/>
      <c r="AL132" s="4879" t="n"/>
      <c r="AM132" s="4880" t="n"/>
      <c r="AN132" s="4859" t="n"/>
      <c r="AO132" s="4857" t="n"/>
      <c r="AP132" s="4850" t="n"/>
      <c r="AQ132" s="4850" t="n"/>
      <c r="AR132" s="4850" t="n"/>
      <c r="AS132" s="4881" t="n"/>
      <c r="AU132" s="110">
        <f>CA132&amp;CC132&amp;CD132&amp;CE132&amp;CF132</f>
        <v/>
      </c>
      <c r="CA132" s="111">
        <f>IF(AND($C132&gt;0,AN132="")," * No olvide digitar la variable "&amp;AN$127&amp;". Digite Cero si no tiene",IF(AN132&gt;$C132," * La variable "&amp;AN$127&amp;" no puede ser mayor al Total Ambos Sexos.",""))</f>
        <v/>
      </c>
      <c r="CB132" s="111">
        <f>IF(AND($C132&gt;0,AO132="")," * No olvide digitar la variable "&amp;AO$127&amp;". Digite Cero si no tiene",IF(AO132&gt;$C132," * La variable "&amp;AO$127&amp;" no puede ser mayor al Total Ambos Sexos.",""))</f>
        <v/>
      </c>
      <c r="CC132" s="111">
        <f>IF(AND($C132&gt;0,AP132="")," * No olvide digitar la variable Pueblos originarios. Digite cero si no tiene",IF(AP132&gt;$C132," * La variable Pueblos Originarios no puede ser mayor al Total Ambos Sexos.",""))</f>
        <v/>
      </c>
      <c r="CD132" s="111">
        <f>IF(AND($C132&gt;0,AQ132="")," * No olvide digitar la variable Migrantes. Digite cero si no tiene.",IF(AQ132&gt;$C132," * La variable Migrantes no puede ser mayor al Total Ambos Sexos.",""))</f>
        <v/>
      </c>
      <c r="CE132" s="111">
        <f>IF(AND($C132&gt;0,AR132="")," * No olvide digitar la variable Demencia. Digite cero si no tiene.",IF(AR132&gt;$C132," * La variable Demencia no puede ser mayor al Total Ambos Sexos.",""))</f>
        <v/>
      </c>
      <c r="CF132" s="111">
        <f>IF(AND($C132&gt;0,AS132="")," * No olvide digitar la variable Espacios Amigables/Adolescentes. Digite cero si no tiene.",IF(AS132&gt;$C132," * La variable Espacios Amigables/adolescentes no puede ser mayor al Total Ambos Sexos.",""))</f>
        <v/>
      </c>
      <c r="CG132" s="111" t="n"/>
      <c r="CJ132" s="113" t="n"/>
      <c r="CK132" s="113" t="n"/>
      <c r="CL132" s="112">
        <f>IF(AND(C132&gt;0,AN132=""),1,IF(AN132&gt;C132,1,0))</f>
        <v/>
      </c>
      <c r="CM132" s="112">
        <f>IF(AND(C132&gt;0,AO132=""),1,IF(AO132&gt;C132,1,0))</f>
        <v/>
      </c>
      <c r="CN132" s="112">
        <f>IF(AND(C132&gt;0,AP132=""),1,IF(AP132&gt;C132,1,0))</f>
        <v/>
      </c>
      <c r="CO132" s="112">
        <f>IF(AND(C132&gt;0,AQ132=""),1,IF(AQ132&gt;C132,1,0))</f>
        <v/>
      </c>
      <c r="CP132" s="112">
        <f>IF(AND(C132&gt;0,AR132=""),1,IF(AR132&gt;C132,1,0))</f>
        <v/>
      </c>
      <c r="CQ132" s="112">
        <f>IF(AND(C132&gt;0,AS132=""),1,IF(AS132&gt;C132,1,0))</f>
        <v/>
      </c>
    </row>
    <row r="133" ht="15" customFormat="1" customHeight="1" s="110">
      <c r="A133" s="9614" t="n"/>
      <c r="B133" s="3663" t="inlineStr">
        <is>
          <t>Matrona/on</t>
        </is>
      </c>
      <c r="C133" s="4876">
        <f>SUM(D133:E133)</f>
        <v/>
      </c>
      <c r="D133" s="4877">
        <f>SUM(F133+H133+J133+L133+N133+P133+R133+T133+V133+X133+Z133+AB133+AD133+AF133+AH133+AJ133+AL133)</f>
        <v/>
      </c>
      <c r="E133" s="4878">
        <f>SUM(G133+I133+K133+M133+O133+Q133+S133+U133+W133+Y133+AA133+AC133+AE133+AG133+AI133+AK133+AM133)</f>
        <v/>
      </c>
      <c r="F133" s="4849" t="n"/>
      <c r="G133" s="4857" t="n"/>
      <c r="H133" s="4849" t="n"/>
      <c r="I133" s="4857" t="n"/>
      <c r="J133" s="4849" t="n"/>
      <c r="K133" s="4857" t="n"/>
      <c r="L133" s="4879" t="n"/>
      <c r="M133" s="4880" t="n"/>
      <c r="N133" s="4849" t="n"/>
      <c r="O133" s="4881" t="n"/>
      <c r="P133" s="4849" t="n"/>
      <c r="Q133" s="4881" t="n"/>
      <c r="R133" s="4879" t="n"/>
      <c r="S133" s="4881" t="n"/>
      <c r="T133" s="4879" t="n"/>
      <c r="U133" s="4881" t="n"/>
      <c r="V133" s="4849" t="n"/>
      <c r="W133" s="4857" t="n"/>
      <c r="X133" s="4879" t="n"/>
      <c r="Y133" s="4857" t="n"/>
      <c r="Z133" s="4879" t="n"/>
      <c r="AA133" s="4881" t="n"/>
      <c r="AB133" s="4879" t="n"/>
      <c r="AC133" s="4881" t="n"/>
      <c r="AD133" s="4879" t="n"/>
      <c r="AE133" s="4881" t="n"/>
      <c r="AF133" s="4879" t="n"/>
      <c r="AG133" s="4881" t="n"/>
      <c r="AH133" s="4879" t="n"/>
      <c r="AI133" s="4881" t="n"/>
      <c r="AJ133" s="4879" t="n"/>
      <c r="AK133" s="4881" t="n"/>
      <c r="AL133" s="4879" t="n"/>
      <c r="AM133" s="4880" t="n"/>
      <c r="AN133" s="4859" t="n"/>
      <c r="AO133" s="4857" t="n"/>
      <c r="AP133" s="4850" t="n"/>
      <c r="AQ133" s="4850" t="n"/>
      <c r="AR133" s="4850" t="n"/>
      <c r="AS133" s="4881" t="n"/>
      <c r="AU133" s="110">
        <f>CA133&amp;CC133&amp;CD133&amp;CE133&amp;CF133</f>
        <v/>
      </c>
      <c r="CA133" s="111">
        <f>IF(AND($C133&gt;0,AN133="")," * No olvide digitar la variable "&amp;AN$127&amp;". Digite Cero si no tiene",IF(AN133&gt;$C133," * La variable "&amp;AN$127&amp;" no puede ser mayor al Total Ambos Sexos.",""))</f>
        <v/>
      </c>
      <c r="CB133" s="111">
        <f>IF(AND($C133&gt;0,AO133="")," * No olvide digitar la variable "&amp;AO$127&amp;". Digite Cero si no tiene",IF(AO133&gt;$C133," * La variable "&amp;AO$127&amp;" no puede ser mayor al Total Ambos Sexos.",""))</f>
        <v/>
      </c>
      <c r="CC133" s="111">
        <f>IF(AND($C133&gt;0,AP133="")," * No olvide digitar la variable Pueblos originarios. Digite cero si no tiene",IF(AP133&gt;$C133," * La variable Pueblos Originarios no puede ser mayor al Total Ambos Sexos.",""))</f>
        <v/>
      </c>
      <c r="CD133" s="111">
        <f>IF(AND($C133&gt;0,AQ133="")," * No olvide digitar la variable Migrantes. Digite cero si no tiene.",IF(AQ133&gt;$C133," * La variable Migrantes no puede ser mayor al Total Ambos Sexos.",""))</f>
        <v/>
      </c>
      <c r="CE133" s="111">
        <f>IF(AND($C133&gt;0,AR133="")," * No olvide digitar la variable Demencia. Digite cero si no tiene.",IF(AR133&gt;$C133," * La variable Demencia no puede ser mayor al Total Ambos Sexos.",""))</f>
        <v/>
      </c>
      <c r="CF133" s="111">
        <f>IF(AND($C133&gt;0,AS133="")," * No olvide digitar la variable Espacios Amigables/Adolescentes. Digite cero si no tiene.",IF(AS133&gt;$C133," * La variable Espacios Amigables/adolescentes no puede ser mayor al Total Ambos Sexos.",""))</f>
        <v/>
      </c>
      <c r="CG133" s="111" t="n"/>
      <c r="CJ133" s="113" t="n"/>
      <c r="CK133" s="113" t="n"/>
      <c r="CL133" s="112">
        <f>IF(AND(C133&gt;0,AN133=""),1,IF(AN133&gt;C133,1,0))</f>
        <v/>
      </c>
      <c r="CM133" s="112">
        <f>IF(AND(C133&gt;0,AO133=""),1,IF(AO133&gt;C133,1,0))</f>
        <v/>
      </c>
      <c r="CN133" s="112">
        <f>IF(AND(C133&gt;0,AP133=""),1,IF(AP133&gt;C133,1,0))</f>
        <v/>
      </c>
      <c r="CO133" s="112">
        <f>IF(AND(C133&gt;0,AQ133=""),1,IF(AQ133&gt;C133,1,0))</f>
        <v/>
      </c>
      <c r="CP133" s="112">
        <f>IF(AND(C133&gt;0,AR133=""),1,IF(AR133&gt;C133,1,0))</f>
        <v/>
      </c>
      <c r="CQ133" s="112">
        <f>IF(AND(C133&gt;0,AS133=""),1,IF(AS133&gt;C133,1,0))</f>
        <v/>
      </c>
    </row>
    <row r="134" ht="15" customFormat="1" customHeight="1" s="110">
      <c r="A134" s="9614" t="n"/>
      <c r="B134" s="3663" t="inlineStr">
        <is>
          <t>Trabajador/a Social</t>
        </is>
      </c>
      <c r="C134" s="4876">
        <f>SUM(D134:E134)</f>
        <v/>
      </c>
      <c r="D134" s="4877">
        <f>SUM(F134+H134+J134+L134+N134+P134+R134+T134+V134+X134+Z134+AB134+AD134+AF134+AH134+AJ134+AL134)</f>
        <v/>
      </c>
      <c r="E134" s="4878">
        <f>SUM(G134+I134+K134+M134+O134+Q134+S134+U134+W134+Y134+AA134+AC134+AE134+AG134+AI134+AK134+AM134)</f>
        <v/>
      </c>
      <c r="F134" s="4849" t="n"/>
      <c r="G134" s="4857" t="n"/>
      <c r="H134" s="4849" t="n"/>
      <c r="I134" s="4857" t="n"/>
      <c r="J134" s="4849" t="n"/>
      <c r="K134" s="4857" t="n"/>
      <c r="L134" s="4879" t="n"/>
      <c r="M134" s="4880" t="n"/>
      <c r="N134" s="4849" t="n"/>
      <c r="O134" s="4881" t="n"/>
      <c r="P134" s="4849" t="n"/>
      <c r="Q134" s="4881" t="n"/>
      <c r="R134" s="4879" t="n"/>
      <c r="S134" s="4881" t="n"/>
      <c r="T134" s="4879" t="n"/>
      <c r="U134" s="4881" t="n"/>
      <c r="V134" s="4849" t="n"/>
      <c r="W134" s="4857" t="n"/>
      <c r="X134" s="4879" t="n"/>
      <c r="Y134" s="4857" t="n"/>
      <c r="Z134" s="4879" t="n"/>
      <c r="AA134" s="4881" t="n"/>
      <c r="AB134" s="4879" t="n"/>
      <c r="AC134" s="4881" t="n"/>
      <c r="AD134" s="4879" t="n"/>
      <c r="AE134" s="4881" t="n"/>
      <c r="AF134" s="4879" t="n"/>
      <c r="AG134" s="4881" t="n"/>
      <c r="AH134" s="4879" t="n"/>
      <c r="AI134" s="4881" t="n"/>
      <c r="AJ134" s="4879" t="n"/>
      <c r="AK134" s="4881" t="n"/>
      <c r="AL134" s="4879" t="n"/>
      <c r="AM134" s="4880" t="n"/>
      <c r="AN134" s="4859" t="n"/>
      <c r="AO134" s="4857" t="n"/>
      <c r="AP134" s="4850" t="n"/>
      <c r="AQ134" s="4850" t="n"/>
      <c r="AR134" s="4850" t="n"/>
      <c r="AS134" s="4881" t="n"/>
      <c r="AU134" s="110">
        <f>CA134&amp;CC134&amp;CD134&amp;CE134&amp;CF134</f>
        <v/>
      </c>
      <c r="CA134" s="111">
        <f>IF(AND($C134&gt;0,AN134="")," * No olvide digitar la variable "&amp;AN$127&amp;". Digite Cero si no tiene",IF(AN134&gt;$C134," * La variable "&amp;AN$127&amp;" no puede ser mayor al Total Ambos Sexos.",""))</f>
        <v/>
      </c>
      <c r="CB134" s="111">
        <f>IF(AND($C134&gt;0,AO134="")," * No olvide digitar la variable "&amp;AO$127&amp;". Digite Cero si no tiene",IF(AO134&gt;$C134," * La variable "&amp;AO$127&amp;" no puede ser mayor al Total Ambos Sexos.",""))</f>
        <v/>
      </c>
      <c r="CC134" s="111">
        <f>IF(AND($C134&gt;0,AP134="")," * No olvide digitar la variable Pueblos originarios. Digite cero si no tiene",IF(AP134&gt;$C134," * La variable Pueblos Originarios no puede ser mayor al Total Ambos Sexos.",""))</f>
        <v/>
      </c>
      <c r="CD134" s="111">
        <f>IF(AND($C134&gt;0,AQ134="")," * No olvide digitar la variable Migrantes. Digite cero si no tiene.",IF(AQ134&gt;$C134," * La variable Migrantes no puede ser mayor al Total Ambos Sexos.",""))</f>
        <v/>
      </c>
      <c r="CE134" s="111">
        <f>IF(AND($C134&gt;0,AR134="")," * No olvide digitar la variable Demencia. Digite cero si no tiene.",IF(AR134&gt;$C134," * La variable Demencia no puede ser mayor al Total Ambos Sexos.",""))</f>
        <v/>
      </c>
      <c r="CF134" s="111">
        <f>IF(AND($C134&gt;0,AS134="")," * No olvide digitar la variable Espacios Amigables/Adolescentes. Digite cero si no tiene.",IF(AS134&gt;$C134," * La variable Espacios Amigables/adolescentes no puede ser mayor al Total Ambos Sexos.",""))</f>
        <v/>
      </c>
      <c r="CG134" s="111" t="n"/>
      <c r="CJ134" s="113" t="n"/>
      <c r="CK134" s="113" t="n"/>
      <c r="CL134" s="112">
        <f>IF(AND(C134&gt;0,AN134=""),1,IF(AN134&gt;C134,1,0))</f>
        <v/>
      </c>
      <c r="CM134" s="112">
        <f>IF(AND(C134&gt;0,AO134=""),1,IF(AO134&gt;C134,1,0))</f>
        <v/>
      </c>
      <c r="CN134" s="112">
        <f>IF(AND(C134&gt;0,AP134=""),1,IF(AP134&gt;C134,1,0))</f>
        <v/>
      </c>
      <c r="CO134" s="112">
        <f>IF(AND(C134&gt;0,AQ134=""),1,IF(AQ134&gt;C134,1,0))</f>
        <v/>
      </c>
      <c r="CP134" s="112">
        <f>IF(AND(C134&gt;0,AR134=""),1,IF(AR134&gt;C134,1,0))</f>
        <v/>
      </c>
      <c r="CQ134" s="112">
        <f>IF(AND(C134&gt;0,AS134=""),1,IF(AS134&gt;C134,1,0))</f>
        <v/>
      </c>
    </row>
    <row r="135" ht="15" customFormat="1" customHeight="1" s="110">
      <c r="A135" s="9614" t="n"/>
      <c r="B135" s="3663" t="inlineStr">
        <is>
          <t>Otros Profesionales</t>
        </is>
      </c>
      <c r="C135" s="4876">
        <f>SUM(D135:E135)</f>
        <v/>
      </c>
      <c r="D135" s="4877">
        <f>SUM(F135+H135+J135+L135+N135+P135+R135+T135+V135+X135+Z135+AB135+AD135+AF135+AH135+AJ135+AL135)</f>
        <v/>
      </c>
      <c r="E135" s="4878">
        <f>SUM(G135+I135+K135+M135+O135+Q135+S135+U135+W135+Y135+AA135+AC135+AE135+AG135+AI135+AK135+AM135)</f>
        <v/>
      </c>
      <c r="F135" s="4849" t="n"/>
      <c r="G135" s="4857" t="n"/>
      <c r="H135" s="4849" t="n"/>
      <c r="I135" s="4857" t="n"/>
      <c r="J135" s="4849" t="n"/>
      <c r="K135" s="4857" t="n"/>
      <c r="L135" s="4879" t="n"/>
      <c r="M135" s="4880" t="n"/>
      <c r="N135" s="4849" t="n"/>
      <c r="O135" s="4881" t="n"/>
      <c r="P135" s="4849" t="n"/>
      <c r="Q135" s="4881" t="n"/>
      <c r="R135" s="4879" t="n"/>
      <c r="S135" s="4881" t="n"/>
      <c r="T135" s="4879" t="n"/>
      <c r="U135" s="4881" t="n"/>
      <c r="V135" s="4849" t="n"/>
      <c r="W135" s="4857" t="n"/>
      <c r="X135" s="4879" t="n"/>
      <c r="Y135" s="4857" t="n"/>
      <c r="Z135" s="4879" t="n"/>
      <c r="AA135" s="4881" t="n"/>
      <c r="AB135" s="4879" t="n"/>
      <c r="AC135" s="4881" t="n"/>
      <c r="AD135" s="4879" t="n"/>
      <c r="AE135" s="4881" t="n"/>
      <c r="AF135" s="4879" t="n"/>
      <c r="AG135" s="4881" t="n"/>
      <c r="AH135" s="4879" t="n"/>
      <c r="AI135" s="4881" t="n"/>
      <c r="AJ135" s="4879" t="n"/>
      <c r="AK135" s="4881" t="n"/>
      <c r="AL135" s="4879" t="n"/>
      <c r="AM135" s="4880" t="n"/>
      <c r="AN135" s="4859" t="n"/>
      <c r="AO135" s="4857" t="n"/>
      <c r="AP135" s="4850" t="n"/>
      <c r="AQ135" s="4850" t="n"/>
      <c r="AR135" s="4850" t="n"/>
      <c r="AS135" s="4881" t="n"/>
      <c r="AU135" s="110">
        <f>CA135&amp;CC135&amp;CD135&amp;CE135&amp;CF135</f>
        <v/>
      </c>
      <c r="CA135" s="111">
        <f>IF(AND($C135&gt;0,AN135="")," * No olvide digitar la variable "&amp;AN$127&amp;". Digite Cero si no tiene",IF(AN135&gt;$C135," * La variable "&amp;AN$127&amp;" no puede ser mayor al Total Ambos Sexos.",""))</f>
        <v/>
      </c>
      <c r="CB135" s="111">
        <f>IF(AND($C135&gt;0,AO135="")," * No olvide digitar la variable "&amp;AO$127&amp;". Digite Cero si no tiene",IF(AO135&gt;$C135," * La variable "&amp;AO$127&amp;" no puede ser mayor al Total Ambos Sexos.",""))</f>
        <v/>
      </c>
      <c r="CC135" s="111">
        <f>IF(AND($C135&gt;0,AP135="")," * No olvide digitar la variable Pueblos originarios. Digite cero si no tiene",IF(AP135&gt;$C135," * La variable Pueblos Originarios no puede ser mayor al Total Ambos Sexos.",""))</f>
        <v/>
      </c>
      <c r="CD135" s="111">
        <f>IF(AND($C135&gt;0,AQ135="")," * No olvide digitar la variable Migrantes. Digite cero si no tiene.",IF(AQ135&gt;$C135," * La variable Migrantes no puede ser mayor al Total Ambos Sexos.",""))</f>
        <v/>
      </c>
      <c r="CE135" s="111">
        <f>IF(AND($C135&gt;0,AR135="")," * No olvide digitar la variable Demencia. Digite cero si no tiene.",IF(AR135&gt;$C135," * La variable Demencia no puede ser mayor al Total Ambos Sexos.",""))</f>
        <v/>
      </c>
      <c r="CF135" s="111">
        <f>IF(AND($C135&gt;0,AS135="")," * No olvide digitar la variable Espacios Amigables/Adolescentes. Digite cero si no tiene.",IF(AS135&gt;$C135," * La variable Espacios Amigables/adolescentes no puede ser mayor al Total Ambos Sexos.",""))</f>
        <v/>
      </c>
      <c r="CG135" s="111" t="n"/>
      <c r="CJ135" s="113" t="n"/>
      <c r="CK135" s="113" t="n"/>
      <c r="CL135" s="112">
        <f>IF(AND(C135&gt;0,AN135=""),1,IF(AN135&gt;C135,1,0))</f>
        <v/>
      </c>
      <c r="CM135" s="112">
        <f>IF(AND(C135&gt;0,AO135=""),1,IF(AO135&gt;C135,1,0))</f>
        <v/>
      </c>
      <c r="CN135" s="112">
        <f>IF(AND(C135&gt;0,AP135=""),1,IF(AP135&gt;C135,1,0))</f>
        <v/>
      </c>
      <c r="CO135" s="112">
        <f>IF(AND(C135&gt;0,AQ135=""),1,IF(AQ135&gt;C135,1,0))</f>
        <v/>
      </c>
      <c r="CP135" s="112">
        <f>IF(AND(C135&gt;0,AR135=""),1,IF(AR135&gt;C135,1,0))</f>
        <v/>
      </c>
      <c r="CQ135" s="112">
        <f>IF(AND(C135&gt;0,AS135=""),1,IF(AS135&gt;C135,1,0))</f>
        <v/>
      </c>
    </row>
    <row r="136" ht="15" customFormat="1" customHeight="1" s="110">
      <c r="A136" s="9614" t="n"/>
      <c r="B136" s="3663" t="inlineStr">
        <is>
          <t>Terapeuta Ocupacional</t>
        </is>
      </c>
      <c r="C136" s="4876">
        <f>SUM(D136:E136)</f>
        <v/>
      </c>
      <c r="D136" s="4877">
        <f>SUM(F136+H136+J136+L136+N136+P136+R136+T136+V136+X136+Z136+AB136+AD136+AF136+AH136+AJ136+AL136)</f>
        <v/>
      </c>
      <c r="E136" s="4878">
        <f>SUM(G136+I136+K136+M136+O136+Q136+S136+U136+W136+Y136+AA136+AC136+AE136+AG136+AI136+AK136+AM136)</f>
        <v/>
      </c>
      <c r="F136" s="4849" t="n"/>
      <c r="G136" s="4857" t="n"/>
      <c r="H136" s="4849" t="n"/>
      <c r="I136" s="4857" t="n"/>
      <c r="J136" s="4849" t="n"/>
      <c r="K136" s="4857" t="n"/>
      <c r="L136" s="4879" t="n"/>
      <c r="M136" s="4880" t="n"/>
      <c r="N136" s="4849" t="n"/>
      <c r="O136" s="4881" t="n"/>
      <c r="P136" s="4849" t="n"/>
      <c r="Q136" s="4881" t="n"/>
      <c r="R136" s="4879" t="n"/>
      <c r="S136" s="4881" t="n"/>
      <c r="T136" s="4879" t="n"/>
      <c r="U136" s="4881" t="n"/>
      <c r="V136" s="4849" t="n"/>
      <c r="W136" s="4857" t="n"/>
      <c r="X136" s="4879" t="n"/>
      <c r="Y136" s="4857" t="n"/>
      <c r="Z136" s="4879" t="n"/>
      <c r="AA136" s="4881" t="n"/>
      <c r="AB136" s="4879" t="n"/>
      <c r="AC136" s="4881" t="n"/>
      <c r="AD136" s="4879" t="n"/>
      <c r="AE136" s="4881" t="n"/>
      <c r="AF136" s="4879" t="n"/>
      <c r="AG136" s="4881" t="n"/>
      <c r="AH136" s="4879" t="n"/>
      <c r="AI136" s="4881" t="n"/>
      <c r="AJ136" s="4879" t="n"/>
      <c r="AK136" s="4881" t="n"/>
      <c r="AL136" s="4879" t="n"/>
      <c r="AM136" s="4880" t="n"/>
      <c r="AN136" s="4859" t="n"/>
      <c r="AO136" s="4857" t="n"/>
      <c r="AP136" s="4850" t="n"/>
      <c r="AQ136" s="4850" t="n"/>
      <c r="AR136" s="4850" t="n"/>
      <c r="AS136" s="4881" t="n"/>
      <c r="AU136" s="110">
        <f>CA136&amp;CC136&amp;CD136&amp;CE136&amp;CF136</f>
        <v/>
      </c>
      <c r="CA136" s="111">
        <f>IF(AND($C136&gt;0,AN136="")," * No olvide digitar la variable "&amp;AN$127&amp;". Digite Cero si no tiene",IF(AN136&gt;$C136," * La variable "&amp;AN$127&amp;" no puede ser mayor al Total Ambos Sexos.",""))</f>
        <v/>
      </c>
      <c r="CB136" s="111">
        <f>IF(AND($C136&gt;0,AO136="")," * No olvide digitar la variable "&amp;AO$127&amp;". Digite Cero si no tiene",IF(AO136&gt;$C136," * La variable "&amp;AO$127&amp;" no puede ser mayor al Total Ambos Sexos.",""))</f>
        <v/>
      </c>
      <c r="CC136" s="111">
        <f>IF(AND($C136&gt;0,AP136="")," * No olvide digitar la variable Pueblos originarios. Digite cero si no tiene",IF(AP136&gt;$C136," * La variable Pueblos Originarios no puede ser mayor al Total Ambos Sexos.",""))</f>
        <v/>
      </c>
      <c r="CD136" s="111">
        <f>IF(AND($C136&gt;0,AQ136="")," * No olvide digitar la variable Migrantes. Digite cero si no tiene.",IF(AQ136&gt;$C136," * La variable Migrantes no puede ser mayor al Total Ambos Sexos.",""))</f>
        <v/>
      </c>
      <c r="CE136" s="111">
        <f>IF(AND($C136&gt;0,AR136="")," * No olvide digitar la variable Demencia. Digite cero si no tiene.",IF(AR136&gt;$C136," * La variable Demencia no puede ser mayor al Total Ambos Sexos.",""))</f>
        <v/>
      </c>
      <c r="CF136" s="111">
        <f>IF(AND($C136&gt;0,AS136="")," * No olvide digitar la variable Espacios Amigables/Adolescentes. Digite cero si no tiene.",IF(AS136&gt;$C136," * La variable Espacios Amigables/adolescentes no puede ser mayor al Total Ambos Sexos.",""))</f>
        <v/>
      </c>
      <c r="CG136" s="111" t="n"/>
      <c r="CJ136" s="113" t="n"/>
      <c r="CK136" s="113" t="n"/>
      <c r="CL136" s="112">
        <f>IF(AND(C136&gt;0,AN136=""),1,IF(AN136&gt;C136,1,0))</f>
        <v/>
      </c>
      <c r="CM136" s="112">
        <f>IF(AND(C136&gt;0,AO136=""),1,IF(AO136&gt;C136,1,0))</f>
        <v/>
      </c>
      <c r="CN136" s="112">
        <f>IF(AND(C136&gt;0,AP136=""),1,IF(AP136&gt;C136,1,0))</f>
        <v/>
      </c>
      <c r="CO136" s="112">
        <f>IF(AND(C136&gt;0,AQ136=""),1,IF(AQ136&gt;C136,1,0))</f>
        <v/>
      </c>
      <c r="CP136" s="112">
        <f>IF(AND(C136&gt;0,AR136=""),1,IF(AR136&gt;C136,1,0))</f>
        <v/>
      </c>
      <c r="CQ136" s="112">
        <f>IF(AND(C136&gt;0,AS136=""),1,IF(AS136&gt;C136,1,0))</f>
        <v/>
      </c>
    </row>
    <row r="137" ht="21" customFormat="1" customHeight="1" s="110">
      <c r="A137" s="9614" t="n"/>
      <c r="B137" s="3663" t="inlineStr">
        <is>
          <t>Técnico en Enfermería y en Salud Mental</t>
        </is>
      </c>
      <c r="C137" s="4876">
        <f>SUM(D137:E137)</f>
        <v/>
      </c>
      <c r="D137" s="4877">
        <f>SUM(F137+H137+J137+L137+N137+P137+R137+T137+V137+X137+Z137+AB137+AD137+AF137+AH137+AJ137+AL137)</f>
        <v/>
      </c>
      <c r="E137" s="4878">
        <f>SUM(G137+I137+K137+M137+O137+Q137+S137+U137+W137+Y137+AA137+AC137+AE137+AG137+AI137+AK137+AM137)</f>
        <v/>
      </c>
      <c r="F137" s="4849" t="n"/>
      <c r="G137" s="4857" t="n"/>
      <c r="H137" s="4849" t="n"/>
      <c r="I137" s="4857" t="n"/>
      <c r="J137" s="4849" t="n"/>
      <c r="K137" s="4857" t="n"/>
      <c r="L137" s="4879" t="n"/>
      <c r="M137" s="4880" t="n"/>
      <c r="N137" s="4849" t="n"/>
      <c r="O137" s="4881" t="n"/>
      <c r="P137" s="4849" t="n"/>
      <c r="Q137" s="4881" t="n"/>
      <c r="R137" s="4879" t="n"/>
      <c r="S137" s="4881" t="n"/>
      <c r="T137" s="4879" t="n"/>
      <c r="U137" s="4881" t="n"/>
      <c r="V137" s="4849" t="n"/>
      <c r="W137" s="4857" t="n"/>
      <c r="X137" s="4879" t="n"/>
      <c r="Y137" s="4857" t="n"/>
      <c r="Z137" s="4879" t="n"/>
      <c r="AA137" s="4881" t="n"/>
      <c r="AB137" s="4879" t="n"/>
      <c r="AC137" s="4881" t="n"/>
      <c r="AD137" s="4879" t="n"/>
      <c r="AE137" s="4881" t="n"/>
      <c r="AF137" s="4879" t="n"/>
      <c r="AG137" s="4881" t="n"/>
      <c r="AH137" s="4879" t="n"/>
      <c r="AI137" s="4881" t="n"/>
      <c r="AJ137" s="4879" t="n"/>
      <c r="AK137" s="4881" t="n"/>
      <c r="AL137" s="4879" t="n"/>
      <c r="AM137" s="4880" t="n"/>
      <c r="AN137" s="4859" t="n"/>
      <c r="AO137" s="4857" t="n"/>
      <c r="AP137" s="4850" t="n"/>
      <c r="AQ137" s="4850" t="n"/>
      <c r="AR137" s="4850" t="n"/>
      <c r="AS137" s="4881" t="n"/>
      <c r="AU137" s="110">
        <f>CA137&amp;CC137&amp;CD137&amp;CE137&amp;CF137</f>
        <v/>
      </c>
      <c r="CA137" s="111">
        <f>IF(AND($C137&gt;0,AN137="")," * No olvide digitar la variable "&amp;AN$127&amp;". Digite Cero si no tiene",IF(AN137&gt;$C137," * La variable "&amp;AN$127&amp;" no puede ser mayor al Total Ambos Sexos.",""))</f>
        <v/>
      </c>
      <c r="CB137" s="111">
        <f>IF(AND($C137&gt;0,AO137="")," * No olvide digitar la variable "&amp;AO$127&amp;". Digite Cero si no tiene",IF(AO137&gt;$C137," * La variable "&amp;AO$127&amp;" no puede ser mayor al Total Ambos Sexos.",""))</f>
        <v/>
      </c>
      <c r="CC137" s="111">
        <f>IF(AND($C137&gt;0,AP137="")," * No olvide digitar la variable Pueblos originarios. Digite cero si no tiene",IF(AP137&gt;$C137," * La variable Pueblos Originarios no puede ser mayor al Total Ambos Sexos.",""))</f>
        <v/>
      </c>
      <c r="CD137" s="111">
        <f>IF(AND($C137&gt;0,AQ137="")," * No olvide digitar la variable Migrantes. Digite cero si no tiene.",IF(AQ137&gt;$C137," * La variable Migrantes no puede ser mayor al Total Ambos Sexos.",""))</f>
        <v/>
      </c>
      <c r="CE137" s="111">
        <f>IF(AND($C137&gt;0,AR137="")," * No olvide digitar la variable Demencia. Digite cero si no tiene.",IF(AR137&gt;$C137," * La variable Demencia no puede ser mayor al Total Ambos Sexos.",""))</f>
        <v/>
      </c>
      <c r="CF137" s="111">
        <f>IF(AND($C137&gt;0,AS137="")," * No olvide digitar la variable Espacios Amigables/Adolescentes. Digite cero si no tiene.",IF(AS137&gt;$C137," * La variable Espacios Amigables/adolescentes no puede ser mayor al Total Ambos Sexos.",""))</f>
        <v/>
      </c>
      <c r="CG137" s="111" t="n"/>
      <c r="CJ137" s="113" t="n"/>
      <c r="CK137" s="113" t="n"/>
      <c r="CL137" s="112">
        <f>IF(AND(C137&gt;0,AN137=""),1,IF(AN137&gt;C137,1,0))</f>
        <v/>
      </c>
      <c r="CM137" s="112">
        <f>IF(AND(C137&gt;0,AO137=""),1,IF(AO137&gt;C137,1,0))</f>
        <v/>
      </c>
      <c r="CN137" s="112">
        <f>IF(AND(C137&gt;0,AP137=""),1,IF(AP137&gt;C137,1,0))</f>
        <v/>
      </c>
      <c r="CO137" s="112">
        <f>IF(AND(C137&gt;0,AQ137=""),1,IF(AQ137&gt;C137,1,0))</f>
        <v/>
      </c>
      <c r="CP137" s="112">
        <f>IF(AND(C137&gt;0,AR137=""),1,IF(AR137&gt;C137,1,0))</f>
        <v/>
      </c>
      <c r="CQ137" s="112">
        <f>IF(AND(C137&gt;0,AS137=""),1,IF(AS137&gt;C137,1,0))</f>
        <v/>
      </c>
    </row>
    <row r="138" ht="15" customFormat="1" customHeight="1" s="110">
      <c r="A138" s="9614" t="n"/>
      <c r="B138" s="3663" t="inlineStr">
        <is>
          <t>Gestor Comunitario</t>
        </is>
      </c>
      <c r="C138" s="4876">
        <f>SUM(D138:E138)</f>
        <v/>
      </c>
      <c r="D138" s="4877">
        <f>SUM(F138+H138+J138+L138+N138+P138+R138+T138+V138+X138+Z138+AB138+AD138+AF138+AH138+AJ138+AL138)</f>
        <v/>
      </c>
      <c r="E138" s="4878">
        <f>SUM(G138+I138+K138+M138+O138+Q138+S138+U138+W138+Y138+AA138+AC138+AE138+AG138+AI138+AK138+AM138)</f>
        <v/>
      </c>
      <c r="F138" s="4849" t="n"/>
      <c r="G138" s="4857" t="n"/>
      <c r="H138" s="4849" t="n"/>
      <c r="I138" s="4857" t="n"/>
      <c r="J138" s="4849" t="n"/>
      <c r="K138" s="4857" t="n"/>
      <c r="L138" s="4879" t="n"/>
      <c r="M138" s="4880" t="n"/>
      <c r="N138" s="4849" t="n"/>
      <c r="O138" s="4881" t="n"/>
      <c r="P138" s="4849" t="n"/>
      <c r="Q138" s="4881" t="n"/>
      <c r="R138" s="4879" t="n"/>
      <c r="S138" s="4881" t="n"/>
      <c r="T138" s="4879" t="n"/>
      <c r="U138" s="4881" t="n"/>
      <c r="V138" s="4849" t="n"/>
      <c r="W138" s="4857" t="n"/>
      <c r="X138" s="4879" t="n"/>
      <c r="Y138" s="4857" t="n"/>
      <c r="Z138" s="4879" t="n"/>
      <c r="AA138" s="4881" t="n"/>
      <c r="AB138" s="4879" t="n"/>
      <c r="AC138" s="4881" t="n"/>
      <c r="AD138" s="4879" t="n"/>
      <c r="AE138" s="4881" t="n"/>
      <c r="AF138" s="4879" t="n"/>
      <c r="AG138" s="4881" t="n"/>
      <c r="AH138" s="4879" t="n"/>
      <c r="AI138" s="4881" t="n"/>
      <c r="AJ138" s="4879" t="n"/>
      <c r="AK138" s="4881" t="n"/>
      <c r="AL138" s="4879" t="n"/>
      <c r="AM138" s="4880" t="n"/>
      <c r="AN138" s="4859" t="n"/>
      <c r="AO138" s="4857" t="n"/>
      <c r="AP138" s="4850" t="n"/>
      <c r="AQ138" s="4850" t="n"/>
      <c r="AR138" s="4850" t="n"/>
      <c r="AS138" s="4881" t="n"/>
      <c r="AU138" s="110">
        <f>CA138&amp;CC138&amp;CD138&amp;CE138&amp;CF138</f>
        <v/>
      </c>
      <c r="CA138" s="111">
        <f>IF(AND($C138&gt;0,AN138="")," * No olvide digitar la variable "&amp;AN$127&amp;". Digite Cero si no tiene",IF(AN138&gt;$C138," * La variable "&amp;AN$127&amp;" no puede ser mayor al Total Ambos Sexos.",""))</f>
        <v/>
      </c>
      <c r="CB138" s="111">
        <f>IF(AND($C138&gt;0,AO138="")," * No olvide digitar la variable "&amp;AO$127&amp;". Digite Cero si no tiene",IF(AO138&gt;$C138," * La variable "&amp;AO$127&amp;" no puede ser mayor al Total Ambos Sexos.",""))</f>
        <v/>
      </c>
      <c r="CC138" s="111">
        <f>IF(AND($C138&gt;0,AP138="")," * No olvide digitar la variable Pueblos originarios. Digite cero si no tiene",IF(AP138&gt;$C138," * La variable Pueblos Originarios no puede ser mayor al Total Ambos Sexos.",""))</f>
        <v/>
      </c>
      <c r="CD138" s="111">
        <f>IF(AND($C138&gt;0,AQ138="")," * No olvide digitar la variable Migrantes. Digite cero si no tiene.",IF(AQ138&gt;$C138," * La variable Migrantes no puede ser mayor al Total Ambos Sexos.",""))</f>
        <v/>
      </c>
      <c r="CE138" s="111">
        <f>IF(AND($C138&gt;0,AR138="")," * No olvide digitar la variable Demencia. Digite cero si no tiene.",IF(AR138&gt;$C138," * La variable Demencia no puede ser mayor al Total Ambos Sexos.",""))</f>
        <v/>
      </c>
      <c r="CF138" s="111">
        <f>IF(AND($C138&gt;0,AS138="")," * No olvide digitar la variable Espacios Amigables/Adolescentes. Digite cero si no tiene.",IF(AS138&gt;$C138," * La variable Espacios Amigables/adolescentes no puede ser mayor al Total Ambos Sexos.",""))</f>
        <v/>
      </c>
      <c r="CG138" s="111" t="n"/>
      <c r="CJ138" s="113" t="n"/>
      <c r="CK138" s="113" t="n"/>
      <c r="CL138" s="112">
        <f>IF(AND(C138&gt;0,AN138=""),1,IF(AN138&gt;C138,1,0))</f>
        <v/>
      </c>
      <c r="CM138" s="112">
        <f>IF(AND(C138&gt;0,AO138=""),1,IF(AO138&gt;C138,1,0))</f>
        <v/>
      </c>
      <c r="CN138" s="112">
        <f>IF(AND(C138&gt;0,AP138=""),1,IF(AP138&gt;C138,1,0))</f>
        <v/>
      </c>
      <c r="CO138" s="112">
        <f>IF(AND(C138&gt;0,AQ138=""),1,IF(AQ138&gt;C138,1,0))</f>
        <v/>
      </c>
      <c r="CP138" s="112">
        <f>IF(AND(C138&gt;0,AR138=""),1,IF(AR138&gt;C138,1,0))</f>
        <v/>
      </c>
      <c r="CQ138" s="112">
        <f>IF(AND(C138&gt;0,AS138=""),1,IF(AS138&gt;C138,1,0))</f>
        <v/>
      </c>
    </row>
    <row r="139" ht="21" customFormat="1" customHeight="1" s="110">
      <c r="A139" s="9614" t="n"/>
      <c r="B139" s="3709" t="inlineStr">
        <is>
          <t>Técnico Rehabilitación Alcohol y Drogas</t>
        </is>
      </c>
      <c r="C139" s="4882">
        <f>SUM(D139:E139)</f>
        <v/>
      </c>
      <c r="D139" s="4883">
        <f>SUM(F139+H139+J139+L139+N139+P139+R139+T139+V139+X139+Z139+AB139+AD139+AF139+AH139+AJ139+AL139)</f>
        <v/>
      </c>
      <c r="E139" s="1407">
        <f>SUM(G139+I139+K139+M139+O139+Q139+S139+U139+W139+Y139+AA139+AC139+AE139+AG139+AI139+AK139+AM139)</f>
        <v/>
      </c>
      <c r="F139" s="4884" t="n"/>
      <c r="G139" s="1408" t="n"/>
      <c r="H139" s="4884" t="n"/>
      <c r="I139" s="1408" t="n"/>
      <c r="J139" s="4884" t="n"/>
      <c r="K139" s="1408" t="n"/>
      <c r="L139" s="4885" t="n"/>
      <c r="M139" s="4886" t="n"/>
      <c r="N139" s="4884" t="n"/>
      <c r="O139" s="4887" t="n"/>
      <c r="P139" s="4884" t="n"/>
      <c r="Q139" s="4887" t="n"/>
      <c r="R139" s="4885" t="n"/>
      <c r="S139" s="4887" t="n"/>
      <c r="T139" s="4885" t="n"/>
      <c r="U139" s="4887" t="n"/>
      <c r="V139" s="4884" t="n"/>
      <c r="W139" s="1408" t="n"/>
      <c r="X139" s="4885" t="n"/>
      <c r="Y139" s="1408" t="n"/>
      <c r="Z139" s="4885" t="n"/>
      <c r="AA139" s="4887" t="n"/>
      <c r="AB139" s="4885" t="n"/>
      <c r="AC139" s="4887" t="n"/>
      <c r="AD139" s="4885" t="n"/>
      <c r="AE139" s="4887" t="n"/>
      <c r="AF139" s="4885" t="n"/>
      <c r="AG139" s="4887" t="n"/>
      <c r="AH139" s="4885" t="n"/>
      <c r="AI139" s="4887" t="n"/>
      <c r="AJ139" s="4885" t="n"/>
      <c r="AK139" s="4887" t="n"/>
      <c r="AL139" s="4885" t="n"/>
      <c r="AM139" s="4886" t="n"/>
      <c r="AN139" s="4888" t="n"/>
      <c r="AO139" s="1408" t="n"/>
      <c r="AP139" s="4889" t="n"/>
      <c r="AQ139" s="4889" t="n"/>
      <c r="AR139" s="4889" t="n"/>
      <c r="AS139" s="4887" t="n"/>
      <c r="AU139" s="110">
        <f>CA139&amp;CC139&amp;CD139&amp;CE139&amp;CF139</f>
        <v/>
      </c>
      <c r="CA139" s="111">
        <f>IF(AND($C139&gt;0,AN139="")," * No olvide digitar la variable "&amp;AN$127&amp;". Digite Cero si no tiene",IF(AN139&gt;$C139," * La variable "&amp;AN$127&amp;" no puede ser mayor al Total Ambos Sexos.",""))</f>
        <v/>
      </c>
      <c r="CB139" s="111">
        <f>IF(AND($C139&gt;0,AO139="")," * No olvide digitar la variable "&amp;AO$127&amp;". Digite Cero si no tiene",IF(AO139&gt;$C139," * La variable "&amp;AO$127&amp;" no puede ser mayor al Total Ambos Sexos.",""))</f>
        <v/>
      </c>
      <c r="CC139" s="111">
        <f>IF(AND($C139&gt;0,AP139="")," * No olvide digitar la variable Pueblos originarios. Digite cero si no tiene",IF(AP139&gt;$C139," * La variable Pueblos Originarios no puede ser mayor al Total Ambos Sexos.",""))</f>
        <v/>
      </c>
      <c r="CD139" s="111">
        <f>IF(AND($C139&gt;0,AQ139="")," * No olvide digitar la variable Migrantes. Digite cero si no tiene.",IF(AQ139&gt;$C139," * La variable Migrantes no puede ser mayor al Total Ambos Sexos.",""))</f>
        <v/>
      </c>
      <c r="CE139" s="111">
        <f>IF(AND($C139&gt;0,AR139="")," * No olvide digitar la variable Demencia. Digite cero si no tiene.",IF(AR139&gt;$C139," * La variable Demencia no puede ser mayor al Total Ambos Sexos.",""))</f>
        <v/>
      </c>
      <c r="CF139" s="111">
        <f>IF(AND($C139&gt;0,AS139="")," * No olvide digitar la variable Espacios Amigables/Adolescentes. Digite cero si no tiene.",IF(AS139&gt;$C139," * La variable Espacios Amigables/adolescentes no puede ser mayor al Total Ambos Sexos.",""))</f>
        <v/>
      </c>
      <c r="CG139" s="111" t="n"/>
      <c r="CJ139" s="113" t="n"/>
      <c r="CK139" s="113" t="n"/>
      <c r="CL139" s="112">
        <f>IF(AND(C139&gt;0,AN139=""),1,IF(AN139&gt;C139,1,0))</f>
        <v/>
      </c>
      <c r="CM139" s="112">
        <f>IF(AND(C139&gt;0,AO139=""),1,IF(AO139&gt;C139,1,0))</f>
        <v/>
      </c>
      <c r="CN139" s="112">
        <f>IF(AND(C139&gt;0,AP139=""),1,IF(AP139&gt;C139,1,0))</f>
        <v/>
      </c>
      <c r="CO139" s="112">
        <f>IF(AND(C139&gt;0,AQ139=""),1,IF(AQ139&gt;C139,1,0))</f>
        <v/>
      </c>
      <c r="CP139" s="112">
        <f>IF(AND(C139&gt;0,AR139=""),1,IF(AR139&gt;C139,1,0))</f>
        <v/>
      </c>
      <c r="CQ139" s="112">
        <f>IF(AND(C139&gt;0,AS139=""),1,IF(AS139&gt;C139,1,0))</f>
        <v/>
      </c>
    </row>
    <row r="140" ht="15" customFormat="1" customHeight="1" s="110">
      <c r="A140" s="9610" t="n"/>
      <c r="B140" s="8313" t="inlineStr">
        <is>
          <t>TOTAL</t>
        </is>
      </c>
      <c r="C140" s="4890">
        <f>SUM(D140:E140)</f>
        <v/>
      </c>
      <c r="D140" s="164">
        <f>SUM(D130:D139)</f>
        <v/>
      </c>
      <c r="E140" s="4891">
        <f>SUM(E130:E139)</f>
        <v/>
      </c>
      <c r="F140" s="2690">
        <f>SUM(F130:F139)</f>
        <v/>
      </c>
      <c r="G140" s="4892">
        <f>SUM(G130:G139)</f>
        <v/>
      </c>
      <c r="H140" s="2690">
        <f>SUM(H130:H139)</f>
        <v/>
      </c>
      <c r="I140" s="4892">
        <f>SUM(I130:I139)</f>
        <v/>
      </c>
      <c r="J140" s="2690">
        <f>SUM(J130:J139)</f>
        <v/>
      </c>
      <c r="K140" s="4892">
        <f>SUM(K130:K139)</f>
        <v/>
      </c>
      <c r="L140" s="4812">
        <f>SUM(L130:L139)</f>
        <v/>
      </c>
      <c r="M140" s="165">
        <f>SUM(M130:M139)</f>
        <v/>
      </c>
      <c r="N140" s="2690">
        <f>SUM(N130:N139)</f>
        <v/>
      </c>
      <c r="O140" s="166">
        <f>SUM(O130:O139)</f>
        <v/>
      </c>
      <c r="P140" s="2690">
        <f>SUM(P130:P139)</f>
        <v/>
      </c>
      <c r="Q140" s="166">
        <f>SUM(Q130:Q139)</f>
        <v/>
      </c>
      <c r="R140" s="4893">
        <f>SUM(R130:R139)</f>
        <v/>
      </c>
      <c r="S140" s="166">
        <f>SUM(S130:S139)</f>
        <v/>
      </c>
      <c r="T140" s="2690">
        <f>SUM(T130:T139)</f>
        <v/>
      </c>
      <c r="U140" s="4892">
        <f>SUM(U130:U139)</f>
        <v/>
      </c>
      <c r="V140" s="167">
        <f>SUM(V130:V139)</f>
        <v/>
      </c>
      <c r="W140" s="166">
        <f>SUM(W130:W139)</f>
        <v/>
      </c>
      <c r="X140" s="4812">
        <f>SUM(X130:X139)</f>
        <v/>
      </c>
      <c r="Y140" s="4892">
        <f>SUM(Y130:Y139)</f>
        <v/>
      </c>
      <c r="Z140" s="167">
        <f>SUM(Z130:Z139)</f>
        <v/>
      </c>
      <c r="AA140" s="4892">
        <f>SUM(AA130:AA139)</f>
        <v/>
      </c>
      <c r="AB140" s="167">
        <f>SUM(AB130:AB139)</f>
        <v/>
      </c>
      <c r="AC140" s="4892">
        <f>SUM(AC130:AC139)</f>
        <v/>
      </c>
      <c r="AD140" s="167">
        <f>SUM(AD130:AD139)</f>
        <v/>
      </c>
      <c r="AE140" s="4892">
        <f>SUM(AE130:AE139)</f>
        <v/>
      </c>
      <c r="AF140" s="167">
        <f>SUM(AF130:AF139)</f>
        <v/>
      </c>
      <c r="AG140" s="4892">
        <f>SUM(AG130:AG139)</f>
        <v/>
      </c>
      <c r="AH140" s="167">
        <f>SUM(AH130:AH139)</f>
        <v/>
      </c>
      <c r="AI140" s="4892">
        <f>SUM(AI130:AI139)</f>
        <v/>
      </c>
      <c r="AJ140" s="167">
        <f>SUM(AJ130:AJ139)</f>
        <v/>
      </c>
      <c r="AK140" s="4892">
        <f>SUM(AK130:AK139)</f>
        <v/>
      </c>
      <c r="AL140" s="167">
        <f>SUM(AL130:AL139)</f>
        <v/>
      </c>
      <c r="AM140" s="4893">
        <f>SUM(AM130:AM139)</f>
        <v/>
      </c>
      <c r="AN140" s="168">
        <f>SUM(AN130:AN139)</f>
        <v/>
      </c>
      <c r="AO140" s="4892">
        <f>SUM(AO130:AO139)</f>
        <v/>
      </c>
      <c r="AP140" s="167">
        <f>SUM(AP130:AP139)</f>
        <v/>
      </c>
      <c r="AQ140" s="167">
        <f>SUM(AQ130:AQ139)</f>
        <v/>
      </c>
      <c r="AR140" s="167">
        <f>SUM(AR130:AR139)</f>
        <v/>
      </c>
      <c r="AS140" s="166">
        <f>SUM(AS130:AS139)</f>
        <v/>
      </c>
      <c r="CA140" s="110">
        <f>IF(AND($C140&gt;0,AN140="")," * No olvide digitar la variable "&amp;AN$127&amp;". Digite Cero si no tiene",IF(AN140&gt;$C140," * La variable "&amp;AN$127&amp;" no puede ser mayor al Total.",""))</f>
        <v/>
      </c>
    </row>
    <row r="141" ht="15" customFormat="1" customHeight="1" s="110">
      <c r="A141" s="9989" t="inlineStr">
        <is>
          <t xml:space="preserve">Controles de salud mental por videollamadas </t>
        </is>
      </c>
      <c r="B141" s="2002" t="inlineStr">
        <is>
          <t>Médico/a</t>
        </is>
      </c>
      <c r="C141" s="4894">
        <f>SUM(D141:E141)</f>
        <v/>
      </c>
      <c r="D141" s="818">
        <f>SUM(F141+H141+J141+L141+N141+P141+R141+T141+V141+X141+Z141+AB141+AD141+AF141+AH141+AJ141+AL141)</f>
        <v/>
      </c>
      <c r="E141" s="4895">
        <f>SUM(G141+I141+K141+M141+O141+Q141+S141+U141+W141+Y141+AA141+AC141+AE141+AG141+AI141+AK141+AM141)</f>
        <v/>
      </c>
      <c r="F141" s="4896" t="n"/>
      <c r="G141" s="4897" t="n"/>
      <c r="H141" s="4896" t="n"/>
      <c r="I141" s="4897" t="n"/>
      <c r="J141" s="4896" t="n"/>
      <c r="K141" s="4897" t="n"/>
      <c r="L141" s="4898" t="n"/>
      <c r="M141" s="4899" t="n"/>
      <c r="N141" s="4896" t="n"/>
      <c r="O141" s="777" t="n"/>
      <c r="P141" s="4896" t="n"/>
      <c r="Q141" s="777" t="n"/>
      <c r="R141" s="4898" t="n"/>
      <c r="S141" s="777" t="n"/>
      <c r="T141" s="4898" t="n"/>
      <c r="U141" s="777" t="n"/>
      <c r="V141" s="4896" t="n"/>
      <c r="W141" s="4897" t="n"/>
      <c r="X141" s="4898" t="n"/>
      <c r="Y141" s="4897" t="n"/>
      <c r="Z141" s="4898" t="n"/>
      <c r="AA141" s="777" t="n"/>
      <c r="AB141" s="4898" t="n"/>
      <c r="AC141" s="777" t="n"/>
      <c r="AD141" s="4898" t="n"/>
      <c r="AE141" s="777" t="n"/>
      <c r="AF141" s="4898" t="n"/>
      <c r="AG141" s="777" t="n"/>
      <c r="AH141" s="4898" t="n"/>
      <c r="AI141" s="777" t="n"/>
      <c r="AJ141" s="4898" t="n"/>
      <c r="AK141" s="777" t="n"/>
      <c r="AL141" s="4898" t="n"/>
      <c r="AM141" s="4899" t="n"/>
      <c r="AN141" s="4852" t="n"/>
      <c r="AO141" s="4897" t="n"/>
      <c r="AP141" s="819" t="n"/>
      <c r="AQ141" s="819" t="n"/>
      <c r="AR141" s="819" t="n"/>
      <c r="AS141" s="777" t="n"/>
      <c r="AU141" s="110">
        <f>CA141&amp;CC141&amp;CD141&amp;CE141&amp;CF141</f>
        <v/>
      </c>
      <c r="CA141" s="111">
        <f>IF(AND($C141&gt;0,AN141="")," * No olvide digitar la variable "&amp;AN$127&amp;". Digite Cero si no tiene",IF(AN141&gt;$C141," * La variable "&amp;AN$127&amp;" no puede ser mayor al Total Ambos Sexos.",""))</f>
        <v/>
      </c>
      <c r="CB141" s="111">
        <f>IF(AND($C141&gt;0,AO141="")," * No olvide digitar la variable "&amp;AO$127&amp;". Digite Cero si no tiene",IF(AO141&gt;$C141," * La variable "&amp;AO$127&amp;" no puede ser mayor al Total Ambos Sexos.",""))</f>
        <v/>
      </c>
      <c r="CC141" s="111">
        <f>IF(AND($C141&gt;0,AP141="")," * No olvide digitar la variable Pueblos originarios. Digite cero si no tiene",IF(AP141&gt;$C141," * La variable Pueblos Originarios no puede ser mayor al Total Ambos Sexos.",""))</f>
        <v/>
      </c>
      <c r="CD141" s="111">
        <f>IF(AND($C141&gt;0,AQ141="")," * No olvide digitar la variable Migrantes. Digite cero si no tiene.",IF(AQ141&gt;$C141," * La variable Migrantes no puede ser mayor al Total Ambos Sexos.",""))</f>
        <v/>
      </c>
      <c r="CE141" s="111">
        <f>IF(AND($C141&gt;0,AR141="")," * No olvide digitar la variable Demencia. Digite cero si no tiene.",IF(AR141&gt;$C141," * La variable Demencia no puede ser mayor al Total Ambos Sexos.",""))</f>
        <v/>
      </c>
      <c r="CF141" s="111">
        <f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 t="n"/>
      <c r="CJ141" s="113" t="n"/>
      <c r="CK141" s="113" t="n"/>
      <c r="CL141" s="112">
        <f>IF(AND(C141&gt;0,AN141=""),1,IF(AN141&gt;C141,1,0))</f>
        <v/>
      </c>
      <c r="CM141" s="112">
        <f>IF(AND(C141&gt;0,AO141=""),1,IF(AO141&gt;C141,1,0))</f>
        <v/>
      </c>
      <c r="CN141" s="112">
        <f>IF(AND(C141&gt;0,AP141=""),1,IF(AP141&gt;C141,1,0))</f>
        <v/>
      </c>
      <c r="CO141" s="112">
        <f>IF(AND(C141&gt;0,AQ141=""),1,IF(AQ141&gt;C141,1,0))</f>
        <v/>
      </c>
      <c r="CP141" s="112">
        <f>IF(AND(C141&gt;0,AR141=""),1,IF(AR141&gt;C141,1,0))</f>
        <v/>
      </c>
      <c r="CQ141" s="112">
        <f>IF(AND(C141&gt;0,AS141=""),1,IF(AS141&gt;C141,1,0))</f>
        <v/>
      </c>
    </row>
    <row r="142" ht="15" customFormat="1" customHeight="1" s="110">
      <c r="A142" s="9614" t="n"/>
      <c r="B142" s="3663" t="inlineStr">
        <is>
          <t>Psicólogo/a</t>
        </is>
      </c>
      <c r="C142" s="4876">
        <f>SUM(D142:E142)</f>
        <v/>
      </c>
      <c r="D142" s="4877">
        <f>SUM(F142+H142+J142+L142+N142+P142+R142+T142+V142+X142+Z142+AB142+AD142+AF142+AH142+AJ142+AL142)</f>
        <v/>
      </c>
      <c r="E142" s="4878">
        <f>SUM(G142+I142+K142+M142+O142+Q142+S142+U142+W142+Y142+AA142+AC142+AE142+AG142+AI142+AK142+AM142)</f>
        <v/>
      </c>
      <c r="F142" s="4849" t="n"/>
      <c r="G142" s="4857" t="n"/>
      <c r="H142" s="4849" t="n"/>
      <c r="I142" s="4857" t="n"/>
      <c r="J142" s="4849" t="n"/>
      <c r="K142" s="4857" t="n"/>
      <c r="L142" s="4879" t="n"/>
      <c r="M142" s="4880" t="n"/>
      <c r="N142" s="4849" t="n"/>
      <c r="O142" s="4881" t="n"/>
      <c r="P142" s="4849" t="n"/>
      <c r="Q142" s="4881" t="n"/>
      <c r="R142" s="4879" t="n"/>
      <c r="S142" s="4881" t="n"/>
      <c r="T142" s="4879" t="n"/>
      <c r="U142" s="4881" t="n"/>
      <c r="V142" s="4849" t="n"/>
      <c r="W142" s="4857" t="n"/>
      <c r="X142" s="4879" t="n"/>
      <c r="Y142" s="4857" t="n"/>
      <c r="Z142" s="4879" t="n"/>
      <c r="AA142" s="4881" t="n"/>
      <c r="AB142" s="4879" t="n"/>
      <c r="AC142" s="4881" t="n"/>
      <c r="AD142" s="4879" t="n"/>
      <c r="AE142" s="4881" t="n"/>
      <c r="AF142" s="4879" t="n"/>
      <c r="AG142" s="4881" t="n"/>
      <c r="AH142" s="4879" t="n"/>
      <c r="AI142" s="4881" t="n"/>
      <c r="AJ142" s="4879" t="n"/>
      <c r="AK142" s="4881" t="n"/>
      <c r="AL142" s="4879" t="n"/>
      <c r="AM142" s="4880" t="n"/>
      <c r="AN142" s="4859" t="n"/>
      <c r="AO142" s="4857" t="n"/>
      <c r="AP142" s="4850" t="n"/>
      <c r="AQ142" s="4850" t="n"/>
      <c r="AR142" s="4850" t="n"/>
      <c r="AS142" s="4881" t="n"/>
      <c r="AU142" s="110">
        <f>CA142&amp;CC142&amp;CD142&amp;CE142&amp;CF142</f>
        <v/>
      </c>
      <c r="CA142" s="111">
        <f>IF(AND($C142&gt;0,AN142="")," * No olvide digitar la variable "&amp;AN$127&amp;". Digite Cero si no tiene",IF(AN142&gt;$C142," * La variable "&amp;AN$127&amp;" no puede ser mayor al Total Ambos Sexos.",""))</f>
        <v/>
      </c>
      <c r="CB142" s="111">
        <f>IF(AND($C142&gt;0,AO142="")," * No olvide digitar la variable "&amp;AO$127&amp;". Digite Cero si no tiene",IF(AO142&gt;$C142," * La variable "&amp;AO$127&amp;" no puede ser mayor al Total Ambos Sexos.",""))</f>
        <v/>
      </c>
      <c r="CC142" s="111">
        <f>IF(AND($C142&gt;0,AP142="")," * No olvide digitar la variable Pueblos originarios. Digite cero si no tiene",IF(AP142&gt;$C142," * La variable Pueblos Originarios no puede ser mayor al Total Ambos Sexos.",""))</f>
        <v/>
      </c>
      <c r="CD142" s="111">
        <f>IF(AND($C142&gt;0,AQ142="")," * No olvide digitar la variable Migrantes. Digite cero si no tiene.",IF(AQ142&gt;$C142," * La variable Migrantes no puede ser mayor al Total Ambos Sexos.",""))</f>
        <v/>
      </c>
      <c r="CE142" s="111">
        <f>IF(AND($C142&gt;0,AR142="")," * No olvide digitar la variable Demencia. Digite cero si no tiene.",IF(AR142&gt;$C142," * La variable Demencia no puede ser mayor al Total Ambos Sexos.",""))</f>
        <v/>
      </c>
      <c r="CF142" s="111">
        <f>IF(AND($C142&gt;0,AS142="")," * No olvide digitar la variable Espacios Amigables/Adolescentes. Digite cero si no tiene.",IF(AS142&gt;$C142," * La variable Espacios Amigables/adolescentes no puede ser mayor al Total Ambos Sexos.",""))</f>
        <v/>
      </c>
      <c r="CG142" s="111" t="n"/>
      <c r="CJ142" s="113" t="n"/>
      <c r="CK142" s="113" t="n"/>
      <c r="CL142" s="112">
        <f>IF(AND(C142&gt;0,AN142=""),1,IF(AN142&gt;C142,1,0))</f>
        <v/>
      </c>
      <c r="CM142" s="112">
        <f>IF(AND(C142&gt;0,AO142=""),1,IF(AO142&gt;C142,1,0))</f>
        <v/>
      </c>
      <c r="CN142" s="112">
        <f>IF(AND(C142&gt;0,AP142=""),1,IF(AP142&gt;C142,1,0))</f>
        <v/>
      </c>
      <c r="CO142" s="112">
        <f>IF(AND(C142&gt;0,AQ142=""),1,IF(AQ142&gt;C142,1,0))</f>
        <v/>
      </c>
      <c r="CP142" s="112">
        <f>IF(AND(C142&gt;0,AR142=""),1,IF(AR142&gt;C142,1,0))</f>
        <v/>
      </c>
      <c r="CQ142" s="112">
        <f>IF(AND(C142&gt;0,AS142=""),1,IF(AS142&gt;C142,1,0))</f>
        <v/>
      </c>
    </row>
    <row r="143" ht="15" customFormat="1" customHeight="1" s="110">
      <c r="A143" s="9614" t="n"/>
      <c r="B143" s="3663" t="inlineStr">
        <is>
          <t>Enfermera/o</t>
        </is>
      </c>
      <c r="C143" s="4876">
        <f>SUM(D143:E143)</f>
        <v/>
      </c>
      <c r="D143" s="4877">
        <f>SUM(F143+H143+J143+L143+N143+P143+R143+T143+V143+X143+Z143+AB143+AD143+AF143+AH143+AJ143+AL143)</f>
        <v/>
      </c>
      <c r="E143" s="4878">
        <f>SUM(G143+I143+K143+M143+O143+Q143+S143+U143+W143+Y143+AA143+AC143+AE143+AG143+AI143+AK143+AM143)</f>
        <v/>
      </c>
      <c r="F143" s="4849" t="n"/>
      <c r="G143" s="4857" t="n"/>
      <c r="H143" s="4849" t="n"/>
      <c r="I143" s="4857" t="n"/>
      <c r="J143" s="4849" t="n"/>
      <c r="K143" s="4857" t="n"/>
      <c r="L143" s="4879" t="n"/>
      <c r="M143" s="4880" t="n"/>
      <c r="N143" s="4849" t="n"/>
      <c r="O143" s="4881" t="n"/>
      <c r="P143" s="4849" t="n"/>
      <c r="Q143" s="4881" t="n"/>
      <c r="R143" s="4879" t="n"/>
      <c r="S143" s="4881" t="n"/>
      <c r="T143" s="4879" t="n"/>
      <c r="U143" s="4881" t="n"/>
      <c r="V143" s="4849" t="n"/>
      <c r="W143" s="4857" t="n"/>
      <c r="X143" s="4879" t="n"/>
      <c r="Y143" s="4857" t="n"/>
      <c r="Z143" s="4879" t="n"/>
      <c r="AA143" s="4881" t="n"/>
      <c r="AB143" s="4879" t="n"/>
      <c r="AC143" s="4881" t="n"/>
      <c r="AD143" s="4879" t="n"/>
      <c r="AE143" s="4881" t="n"/>
      <c r="AF143" s="4879" t="n"/>
      <c r="AG143" s="4881" t="n"/>
      <c r="AH143" s="4879" t="n"/>
      <c r="AI143" s="4881" t="n"/>
      <c r="AJ143" s="4879" t="n"/>
      <c r="AK143" s="4881" t="n"/>
      <c r="AL143" s="4879" t="n"/>
      <c r="AM143" s="4880" t="n"/>
      <c r="AN143" s="4859" t="n"/>
      <c r="AO143" s="4857" t="n"/>
      <c r="AP143" s="4850" t="n"/>
      <c r="AQ143" s="4850" t="n"/>
      <c r="AR143" s="4850" t="n"/>
      <c r="AS143" s="4881" t="n"/>
      <c r="AU143" s="110">
        <f>CA143&amp;CC143&amp;CD143&amp;CE143&amp;CF143</f>
        <v/>
      </c>
      <c r="CA143" s="111">
        <f>IF(AND($C143&gt;0,AN143="")," * No olvide digitar la variable "&amp;AN$127&amp;". Digite Cero si no tiene",IF(AN143&gt;$C143," * La variable "&amp;AN$127&amp;" no puede ser mayor al Total Ambos Sexos.",""))</f>
        <v/>
      </c>
      <c r="CB143" s="111">
        <f>IF(AND($C143&gt;0,AO143="")," * No olvide digitar la variable "&amp;AO$127&amp;". Digite Cero si no tiene",IF(AO143&gt;$C143," * La variable "&amp;AO$127&amp;" no puede ser mayor al Total Ambos Sexos.",""))</f>
        <v/>
      </c>
      <c r="CC143" s="111">
        <f>IF(AND($C143&gt;0,AP143="")," * No olvide digitar la variable Pueblos originarios. Digite cero si no tiene",IF(AP143&gt;$C143," * La variable Pueblos Originarios no puede ser mayor al Total Ambos Sexos.",""))</f>
        <v/>
      </c>
      <c r="CD143" s="111">
        <f>IF(AND($C143&gt;0,AQ143="")," * No olvide digitar la variable Migrantes. Digite cero si no tiene.",IF(AQ143&gt;$C143," * La variable Migrantes no puede ser mayor al Total Ambos Sexos.",""))</f>
        <v/>
      </c>
      <c r="CE143" s="111">
        <f>IF(AND($C143&gt;0,AR143="")," * No olvide digitar la variable Demencia. Digite cero si no tiene.",IF(AR143&gt;$C143," * La variable Demencia no puede ser mayor al Total Ambos Sexos.",""))</f>
        <v/>
      </c>
      <c r="CF143" s="111">
        <f>IF(AND($C143&gt;0,AS143="")," * No olvide digitar la variable Espacios Amigables/Adolescentes. Digite cero si no tiene.",IF(AS143&gt;$C143," * La variable Espacios Amigables/adolescentes no puede ser mayor al Total Ambos Sexos.",""))</f>
        <v/>
      </c>
      <c r="CG143" s="111" t="n"/>
      <c r="CJ143" s="113" t="n"/>
      <c r="CK143" s="113" t="n"/>
      <c r="CL143" s="112">
        <f>IF(AND(C143&gt;0,AN143=""),1,IF(AN143&gt;C143,1,0))</f>
        <v/>
      </c>
      <c r="CM143" s="112">
        <f>IF(AND(C143&gt;0,AO143=""),1,IF(AO143&gt;C143,1,0))</f>
        <v/>
      </c>
      <c r="CN143" s="112">
        <f>IF(AND(C143&gt;0,AP143=""),1,IF(AP143&gt;C143,1,0))</f>
        <v/>
      </c>
      <c r="CO143" s="112">
        <f>IF(AND(C143&gt;0,AQ143=""),1,IF(AQ143&gt;C143,1,0))</f>
        <v/>
      </c>
      <c r="CP143" s="112">
        <f>IF(AND(C143&gt;0,AR143=""),1,IF(AR143&gt;C143,1,0))</f>
        <v/>
      </c>
      <c r="CQ143" s="112">
        <f>IF(AND(C143&gt;0,AS143=""),1,IF(AS143&gt;C143,1,0))</f>
        <v/>
      </c>
    </row>
    <row r="144" ht="15" customFormat="1" customHeight="1" s="110">
      <c r="A144" s="9614" t="n"/>
      <c r="B144" s="3663" t="inlineStr">
        <is>
          <t>Matrona/on</t>
        </is>
      </c>
      <c r="C144" s="4876">
        <f>SUM(D144:E144)</f>
        <v/>
      </c>
      <c r="D144" s="4877">
        <f>SUM(F144+H144+J144+L144+N144+P144+R144+T144+V144+X144+Z144+AB144+AD144+AF144+AH144+AJ144+AL144)</f>
        <v/>
      </c>
      <c r="E144" s="4878">
        <f>SUM(G144+I144+K144+M144+O144+Q144+S144+U144+W144+Y144+AA144+AC144+AE144+AG144+AI144+AK144+AM144)</f>
        <v/>
      </c>
      <c r="F144" s="4849" t="n"/>
      <c r="G144" s="4857" t="n"/>
      <c r="H144" s="4849" t="n"/>
      <c r="I144" s="4857" t="n"/>
      <c r="J144" s="4849" t="n"/>
      <c r="K144" s="4857" t="n"/>
      <c r="L144" s="4879" t="n"/>
      <c r="M144" s="4880" t="n"/>
      <c r="N144" s="4849" t="n"/>
      <c r="O144" s="4881" t="n"/>
      <c r="P144" s="4849" t="n"/>
      <c r="Q144" s="4881" t="n"/>
      <c r="R144" s="4879" t="n"/>
      <c r="S144" s="4881" t="n"/>
      <c r="T144" s="4879" t="n"/>
      <c r="U144" s="4881" t="n"/>
      <c r="V144" s="4849" t="n"/>
      <c r="W144" s="4857" t="n"/>
      <c r="X144" s="4879" t="n"/>
      <c r="Y144" s="4857" t="n"/>
      <c r="Z144" s="4879" t="n"/>
      <c r="AA144" s="4881" t="n"/>
      <c r="AB144" s="4879" t="n"/>
      <c r="AC144" s="4881" t="n"/>
      <c r="AD144" s="4879" t="n"/>
      <c r="AE144" s="4881" t="n"/>
      <c r="AF144" s="4879" t="n"/>
      <c r="AG144" s="4881" t="n"/>
      <c r="AH144" s="4879" t="n"/>
      <c r="AI144" s="4881" t="n"/>
      <c r="AJ144" s="4879" t="n"/>
      <c r="AK144" s="4881" t="n"/>
      <c r="AL144" s="4879" t="n"/>
      <c r="AM144" s="4880" t="n"/>
      <c r="AN144" s="4859" t="n"/>
      <c r="AO144" s="4857" t="n"/>
      <c r="AP144" s="4850" t="n"/>
      <c r="AQ144" s="4850" t="n"/>
      <c r="AR144" s="4850" t="n"/>
      <c r="AS144" s="4881" t="n"/>
      <c r="AU144" s="110">
        <f>CA144&amp;CC144&amp;CD144&amp;CE144&amp;CF144</f>
        <v/>
      </c>
      <c r="CA144" s="111">
        <f>IF(AND($C144&gt;0,AN144="")," * No olvide digitar la variable "&amp;AN$127&amp;". Digite Cero si no tiene",IF(AN144&gt;$C144," * La variable "&amp;AN$127&amp;" no puede ser mayor al Total Ambos Sexos.",""))</f>
        <v/>
      </c>
      <c r="CB144" s="111">
        <f>IF(AND($C144&gt;0,AO144="")," * No olvide digitar la variable "&amp;AO$127&amp;". Digite Cero si no tiene",IF(AO144&gt;$C144," * La variable "&amp;AO$127&amp;" no puede ser mayor al Total Ambos Sexos.",""))</f>
        <v/>
      </c>
      <c r="CC144" s="111">
        <f>IF(AND($C144&gt;0,AP144="")," * No olvide digitar la variable Pueblos originarios. Digite cero si no tiene",IF(AP144&gt;$C144," * La variable Pueblos Originarios no puede ser mayor al Total Ambos Sexos.",""))</f>
        <v/>
      </c>
      <c r="CD144" s="111">
        <f>IF(AND($C144&gt;0,AQ144="")," * No olvide digitar la variable Migrantes. Digite cero si no tiene.",IF(AQ144&gt;$C144," * La variable Migrantes no puede ser mayor al Total Ambos Sexos.",""))</f>
        <v/>
      </c>
      <c r="CE144" s="111">
        <f>IF(AND($C144&gt;0,AR144="")," * No olvide digitar la variable Demencia. Digite cero si no tiene.",IF(AR144&gt;$C144," * La variable Demencia no puede ser mayor al Total Ambos Sexos.",""))</f>
        <v/>
      </c>
      <c r="CF144" s="111">
        <f>IF(AND($C144&gt;0,AS144="")," * No olvide digitar la variable Espacios Amigables/Adolescentes. Digite cero si no tiene.",IF(AS144&gt;$C144," * La variable Espacios Amigables/adolescentes no puede ser mayor al Total Ambos Sexos.",""))</f>
        <v/>
      </c>
      <c r="CG144" s="111" t="n"/>
      <c r="CJ144" s="113" t="n"/>
      <c r="CK144" s="113" t="n"/>
      <c r="CL144" s="112">
        <f>IF(AND(C144&gt;0,AN144=""),1,IF(AN144&gt;C144,1,0))</f>
        <v/>
      </c>
      <c r="CM144" s="112">
        <f>IF(AND(C144&gt;0,AO144=""),1,IF(AO144&gt;C144,1,0))</f>
        <v/>
      </c>
      <c r="CN144" s="112">
        <f>IF(AND(C144&gt;0,AP144=""),1,IF(AP144&gt;C144,1,0))</f>
        <v/>
      </c>
      <c r="CO144" s="112">
        <f>IF(AND(C144&gt;0,AQ144=""),1,IF(AQ144&gt;C144,1,0))</f>
        <v/>
      </c>
      <c r="CP144" s="112">
        <f>IF(AND(C144&gt;0,AR144=""),1,IF(AR144&gt;C144,1,0))</f>
        <v/>
      </c>
      <c r="CQ144" s="112">
        <f>IF(AND(C144&gt;0,AS144=""),1,IF(AS144&gt;C144,1,0))</f>
        <v/>
      </c>
    </row>
    <row r="145" ht="15" customFormat="1" customHeight="1" s="110">
      <c r="A145" s="9614" t="n"/>
      <c r="B145" s="3663" t="inlineStr">
        <is>
          <t>Trabajador/a Social</t>
        </is>
      </c>
      <c r="C145" s="4876">
        <f>SUM(D145:E145)</f>
        <v/>
      </c>
      <c r="D145" s="4877">
        <f>SUM(F145+H145+J145+L145+N145+P145+R145+T145+V145+X145+Z145+AB145+AD145+AF145+AH145+AJ145+AL145)</f>
        <v/>
      </c>
      <c r="E145" s="4878">
        <f>SUM(G145+I145+K145+M145+O145+Q145+S145+U145+W145+Y145+AA145+AC145+AE145+AG145+AI145+AK145+AM145)</f>
        <v/>
      </c>
      <c r="F145" s="4849" t="n"/>
      <c r="G145" s="4857" t="n"/>
      <c r="H145" s="4849" t="n"/>
      <c r="I145" s="4857" t="n"/>
      <c r="J145" s="4849" t="n"/>
      <c r="K145" s="4857" t="n"/>
      <c r="L145" s="4879" t="n"/>
      <c r="M145" s="4880" t="n"/>
      <c r="N145" s="4849" t="n"/>
      <c r="O145" s="4881" t="n"/>
      <c r="P145" s="4849" t="n"/>
      <c r="Q145" s="4881" t="n"/>
      <c r="R145" s="4879" t="n"/>
      <c r="S145" s="4881" t="n"/>
      <c r="T145" s="4879" t="n"/>
      <c r="U145" s="4881" t="n"/>
      <c r="V145" s="4849" t="n"/>
      <c r="W145" s="4857" t="n"/>
      <c r="X145" s="4879" t="n"/>
      <c r="Y145" s="4857" t="n"/>
      <c r="Z145" s="4879" t="n"/>
      <c r="AA145" s="4881" t="n"/>
      <c r="AB145" s="4879" t="n"/>
      <c r="AC145" s="4881" t="n"/>
      <c r="AD145" s="4879" t="n"/>
      <c r="AE145" s="4881" t="n"/>
      <c r="AF145" s="4879" t="n"/>
      <c r="AG145" s="4881" t="n"/>
      <c r="AH145" s="4879" t="n"/>
      <c r="AI145" s="4881" t="n"/>
      <c r="AJ145" s="4879" t="n"/>
      <c r="AK145" s="4881" t="n"/>
      <c r="AL145" s="4879" t="n"/>
      <c r="AM145" s="4880" t="n"/>
      <c r="AN145" s="4859" t="n"/>
      <c r="AO145" s="4857" t="n"/>
      <c r="AP145" s="4850" t="n"/>
      <c r="AQ145" s="4850" t="n"/>
      <c r="AR145" s="4850" t="n"/>
      <c r="AS145" s="4881" t="n"/>
      <c r="AU145" s="110">
        <f>CA145&amp;CC145&amp;CD145&amp;CE145&amp;CF145</f>
        <v/>
      </c>
      <c r="CA145" s="111">
        <f>IF(AND($C145&gt;0,AN145="")," * No olvide digitar la variable "&amp;AN$127&amp;". Digite Cero si no tiene",IF(AN145&gt;$C145," * La variable "&amp;AN$127&amp;" no puede ser mayor al Total Ambos Sexos.",""))</f>
        <v/>
      </c>
      <c r="CB145" s="111">
        <f>IF(AND($C145&gt;0,AO145="")," * No olvide digitar la variable "&amp;AO$127&amp;". Digite Cero si no tiene",IF(AO145&gt;$C145," * La variable "&amp;AO$127&amp;" no puede ser mayor al Total Ambos Sexos.",""))</f>
        <v/>
      </c>
      <c r="CC145" s="111">
        <f>IF(AND($C145&gt;0,AP145="")," * No olvide digitar la variable Pueblos originarios. Digite cero si no tiene",IF(AP145&gt;$C145," * La variable Pueblos Originarios no puede ser mayor al Total Ambos Sexos.",""))</f>
        <v/>
      </c>
      <c r="CD145" s="111">
        <f>IF(AND($C145&gt;0,AQ145="")," * No olvide digitar la variable Migrantes. Digite cero si no tiene.",IF(AQ145&gt;$C145," * La variable Migrantes no puede ser mayor al Total Ambos Sexos.",""))</f>
        <v/>
      </c>
      <c r="CE145" s="111">
        <f>IF(AND($C145&gt;0,AR145="")," * No olvide digitar la variable Demencia. Digite cero si no tiene.",IF(AR145&gt;$C145," * La variable Demencia no puede ser mayor al Total Ambos Sexos.",""))</f>
        <v/>
      </c>
      <c r="CF145" s="111">
        <f>IF(AND($C145&gt;0,AS145="")," * No olvide digitar la variable Espacios Amigables/Adolescentes. Digite cero si no tiene.",IF(AS145&gt;$C145," * La variable Espacios Amigables/adolescentes no puede ser mayor al Total Ambos Sexos.",""))</f>
        <v/>
      </c>
      <c r="CG145" s="111" t="n"/>
      <c r="CJ145" s="113" t="n"/>
      <c r="CK145" s="113" t="n"/>
      <c r="CL145" s="112">
        <f>IF(AND(C145&gt;0,AN145=""),1,IF(AN145&gt;C145,1,0))</f>
        <v/>
      </c>
      <c r="CM145" s="112">
        <f>IF(AND(C145&gt;0,AO145=""),1,IF(AO145&gt;C145,1,0))</f>
        <v/>
      </c>
      <c r="CN145" s="112">
        <f>IF(AND(C145&gt;0,AP145=""),1,IF(AP145&gt;C145,1,0))</f>
        <v/>
      </c>
      <c r="CO145" s="112">
        <f>IF(AND(C145&gt;0,AQ145=""),1,IF(AQ145&gt;C145,1,0))</f>
        <v/>
      </c>
      <c r="CP145" s="112">
        <f>IF(AND(C145&gt;0,AR145=""),1,IF(AR145&gt;C145,1,0))</f>
        <v/>
      </c>
      <c r="CQ145" s="112">
        <f>IF(AND(C145&gt;0,AS145=""),1,IF(AS145&gt;C145,1,0))</f>
        <v/>
      </c>
    </row>
    <row r="146" ht="15" customFormat="1" customHeight="1" s="110">
      <c r="A146" s="9614" t="n"/>
      <c r="B146" s="3663" t="inlineStr">
        <is>
          <t>Otros Profesionales</t>
        </is>
      </c>
      <c r="C146" s="4876">
        <f>SUM(D146:E146)</f>
        <v/>
      </c>
      <c r="D146" s="4877">
        <f>SUM(F146+H146+J146+L146+N146+P146+R146+T146+V146+X146+Z146+AB146+AD146+AF146+AH146+AJ146+AL146)</f>
        <v/>
      </c>
      <c r="E146" s="4878">
        <f>SUM(G146+I146+K146+M146+O146+Q146+S146+U146+W146+Y146+AA146+AC146+AE146+AG146+AI146+AK146+AM146)</f>
        <v/>
      </c>
      <c r="F146" s="4849" t="n"/>
      <c r="G146" s="4857" t="n"/>
      <c r="H146" s="4849" t="n"/>
      <c r="I146" s="4857" t="n"/>
      <c r="J146" s="4849" t="n"/>
      <c r="K146" s="4857" t="n"/>
      <c r="L146" s="4879" t="n"/>
      <c r="M146" s="4880" t="n"/>
      <c r="N146" s="4849" t="n"/>
      <c r="O146" s="4881" t="n"/>
      <c r="P146" s="4849" t="n"/>
      <c r="Q146" s="4881" t="n"/>
      <c r="R146" s="4879" t="n"/>
      <c r="S146" s="4881" t="n"/>
      <c r="T146" s="4879" t="n"/>
      <c r="U146" s="4881" t="n"/>
      <c r="V146" s="4849" t="n"/>
      <c r="W146" s="4857" t="n"/>
      <c r="X146" s="4879" t="n"/>
      <c r="Y146" s="4857" t="n"/>
      <c r="Z146" s="4879" t="n"/>
      <c r="AA146" s="4881" t="n"/>
      <c r="AB146" s="4879" t="n"/>
      <c r="AC146" s="4881" t="n"/>
      <c r="AD146" s="4879" t="n"/>
      <c r="AE146" s="4881" t="n"/>
      <c r="AF146" s="4879" t="n"/>
      <c r="AG146" s="4881" t="n"/>
      <c r="AH146" s="4879" t="n"/>
      <c r="AI146" s="4881" t="n"/>
      <c r="AJ146" s="4879" t="n"/>
      <c r="AK146" s="4881" t="n"/>
      <c r="AL146" s="4879" t="n"/>
      <c r="AM146" s="4880" t="n"/>
      <c r="AN146" s="4859" t="n"/>
      <c r="AO146" s="4857" t="n"/>
      <c r="AP146" s="4850" t="n"/>
      <c r="AQ146" s="4850" t="n"/>
      <c r="AR146" s="4850" t="n"/>
      <c r="AS146" s="4881" t="n"/>
      <c r="AU146" s="110">
        <f>CA146&amp;CC146&amp;CD146&amp;CE146&amp;CF146</f>
        <v/>
      </c>
      <c r="CA146" s="111">
        <f>IF(AND($C146&gt;0,AN146="")," * No olvide digitar la variable "&amp;AN$127&amp;". Digite Cero si no tiene",IF(AN146&gt;$C146," * La variable "&amp;AN$127&amp;" no puede ser mayor al Total Ambos Sexos.",""))</f>
        <v/>
      </c>
      <c r="CB146" s="111">
        <f>IF(AND($C146&gt;0,AO146="")," * No olvide digitar la variable "&amp;AO$127&amp;". Digite Cero si no tiene",IF(AO146&gt;$C146," * La variable "&amp;AO$127&amp;" no puede ser mayor al Total Ambos Sexos.",""))</f>
        <v/>
      </c>
      <c r="CC146" s="111">
        <f>IF(AND($C146&gt;0,AP146="")," * No olvide digitar la variable Pueblos originarios. Digite cero si no tiene",IF(AP146&gt;$C146," * La variable Pueblos Originarios no puede ser mayor al Total Ambos Sexos.",""))</f>
        <v/>
      </c>
      <c r="CD146" s="111">
        <f>IF(AND($C146&gt;0,AQ146="")," * No olvide digitar la variable Migrantes. Digite cero si no tiene.",IF(AQ146&gt;$C146," * La variable Migrantes no puede ser mayor al Total Ambos Sexos.",""))</f>
        <v/>
      </c>
      <c r="CE146" s="111">
        <f>IF(AND($C146&gt;0,AR146="")," * No olvide digitar la variable Demencia. Digite cero si no tiene.",IF(AR146&gt;$C146," * La variable Demencia no puede ser mayor al Total Ambos Sexos.",""))</f>
        <v/>
      </c>
      <c r="CF146" s="111">
        <f>IF(AND($C146&gt;0,AS146="")," * No olvide digitar la variable Espacios Amigables/Adolescentes. Digite cero si no tiene.",IF(AS146&gt;$C146," * La variable Espacios Amigables/adolescentes no puede ser mayor al Total Ambos Sexos.",""))</f>
        <v/>
      </c>
      <c r="CG146" s="111" t="n"/>
      <c r="CJ146" s="113" t="n"/>
      <c r="CK146" s="113" t="n"/>
      <c r="CL146" s="112">
        <f>IF(AND(C146&gt;0,AN146=""),1,IF(AN146&gt;C146,1,0))</f>
        <v/>
      </c>
      <c r="CM146" s="112">
        <f>IF(AND(C146&gt;0,AO146=""),1,IF(AO146&gt;C146,1,0))</f>
        <v/>
      </c>
      <c r="CN146" s="112">
        <f>IF(AND(C146&gt;0,AP146=""),1,IF(AP146&gt;C146,1,0))</f>
        <v/>
      </c>
      <c r="CO146" s="112">
        <f>IF(AND(C146&gt;0,AQ146=""),1,IF(AQ146&gt;C146,1,0))</f>
        <v/>
      </c>
      <c r="CP146" s="112">
        <f>IF(AND(C146&gt;0,AR146=""),1,IF(AR146&gt;C146,1,0))</f>
        <v/>
      </c>
      <c r="CQ146" s="112">
        <f>IF(AND(C146&gt;0,AS146=""),1,IF(AS146&gt;C146,1,0))</f>
        <v/>
      </c>
    </row>
    <row r="147" ht="15" customFormat="1" customHeight="1" s="110">
      <c r="A147" s="9614" t="n"/>
      <c r="B147" s="3663" t="inlineStr">
        <is>
          <t>Terapeuta Ocupacional</t>
        </is>
      </c>
      <c r="C147" s="4876">
        <f>SUM(D147:E147)</f>
        <v/>
      </c>
      <c r="D147" s="4877">
        <f>SUM(F147+H147+J147+L147+N147+P147+R147+T147+V147+X147+Z147+AB147+AD147+AF147+AH147+AJ147+AL147)</f>
        <v/>
      </c>
      <c r="E147" s="4878">
        <f>SUM(G147+I147+K147+M147+O147+Q147+S147+U147+W147+Y147+AA147+AC147+AE147+AG147+AI147+AK147+AM147)</f>
        <v/>
      </c>
      <c r="F147" s="4849" t="n"/>
      <c r="G147" s="4857" t="n"/>
      <c r="H147" s="4849" t="n"/>
      <c r="I147" s="4857" t="n"/>
      <c r="J147" s="4849" t="n"/>
      <c r="K147" s="4857" t="n"/>
      <c r="L147" s="4879" t="n"/>
      <c r="M147" s="4880" t="n"/>
      <c r="N147" s="4849" t="n"/>
      <c r="O147" s="4881" t="n"/>
      <c r="P147" s="4849" t="n"/>
      <c r="Q147" s="4881" t="n"/>
      <c r="R147" s="4879" t="n"/>
      <c r="S147" s="4881" t="n"/>
      <c r="T147" s="4879" t="n"/>
      <c r="U147" s="4881" t="n"/>
      <c r="V147" s="4849" t="n"/>
      <c r="W147" s="4857" t="n"/>
      <c r="X147" s="4879" t="n"/>
      <c r="Y147" s="4857" t="n"/>
      <c r="Z147" s="4879" t="n"/>
      <c r="AA147" s="4881" t="n"/>
      <c r="AB147" s="4879" t="n"/>
      <c r="AC147" s="4881" t="n"/>
      <c r="AD147" s="4879" t="n"/>
      <c r="AE147" s="4881" t="n"/>
      <c r="AF147" s="4879" t="n"/>
      <c r="AG147" s="4881" t="n"/>
      <c r="AH147" s="4879" t="n"/>
      <c r="AI147" s="4881" t="n"/>
      <c r="AJ147" s="4879" t="n"/>
      <c r="AK147" s="4881" t="n"/>
      <c r="AL147" s="4879" t="n"/>
      <c r="AM147" s="4880" t="n"/>
      <c r="AN147" s="4859" t="n"/>
      <c r="AO147" s="4857" t="n"/>
      <c r="AP147" s="4850" t="n"/>
      <c r="AQ147" s="4850" t="n"/>
      <c r="AR147" s="4850" t="n"/>
      <c r="AS147" s="4881" t="n"/>
      <c r="AU147" s="110">
        <f>CA147&amp;CC147&amp;CD147&amp;CE147&amp;CF147</f>
        <v/>
      </c>
      <c r="CA147" s="111">
        <f>IF(AND($C147&gt;0,AN147="")," * No olvide digitar la variable "&amp;AN$127&amp;". Digite Cero si no tiene",IF(AN147&gt;$C147," * La variable "&amp;AN$127&amp;" no puede ser mayor al Total Ambos Sexos.",""))</f>
        <v/>
      </c>
      <c r="CB147" s="111">
        <f>IF(AND($C147&gt;0,AO147="")," * No olvide digitar la variable "&amp;AO$127&amp;". Digite Cero si no tiene",IF(AO147&gt;$C147," * La variable "&amp;AO$127&amp;" no puede ser mayor al Total Ambos Sexos.",""))</f>
        <v/>
      </c>
      <c r="CC147" s="111">
        <f>IF(AND($C147&gt;0,AP147="")," * No olvide digitar la variable Pueblos originarios. Digite cero si no tiene",IF(AP147&gt;$C147," * La variable Pueblos Originarios no puede ser mayor al Total Ambos Sexos.",""))</f>
        <v/>
      </c>
      <c r="CD147" s="111">
        <f>IF(AND($C147&gt;0,AQ147="")," * No olvide digitar la variable Migrantes. Digite cero si no tiene.",IF(AQ147&gt;$C147," * La variable Migrantes no puede ser mayor al Total Ambos Sexos.",""))</f>
        <v/>
      </c>
      <c r="CE147" s="111">
        <f>IF(AND($C147&gt;0,AR147="")," * No olvide digitar la variable Demencia. Digite cero si no tiene.",IF(AR147&gt;$C147," * La variable Demencia no puede ser mayor al Total Ambos Sexos.",""))</f>
        <v/>
      </c>
      <c r="CF147" s="111">
        <f>IF(AND($C147&gt;0,AS147="")," * No olvide digitar la variable Espacios Amigables/Adolescentes. Digite cero si no tiene.",IF(AS147&gt;$C147," * La variable Espacios Amigables/adolescentes no puede ser mayor al Total Ambos Sexos.",""))</f>
        <v/>
      </c>
      <c r="CG147" s="111" t="n"/>
      <c r="CJ147" s="113" t="n"/>
      <c r="CK147" s="113" t="n"/>
      <c r="CL147" s="112">
        <f>IF(AND(C147&gt;0,AN147=""),1,IF(AN147&gt;C147,1,0))</f>
        <v/>
      </c>
      <c r="CM147" s="112">
        <f>IF(AND(C147&gt;0,AO147=""),1,IF(AO147&gt;C147,1,0))</f>
        <v/>
      </c>
      <c r="CN147" s="112">
        <f>IF(AND(C147&gt;0,AP147=""),1,IF(AP147&gt;C147,1,0))</f>
        <v/>
      </c>
      <c r="CO147" s="112">
        <f>IF(AND(C147&gt;0,AQ147=""),1,IF(AQ147&gt;C147,1,0))</f>
        <v/>
      </c>
      <c r="CP147" s="112">
        <f>IF(AND(C147&gt;0,AR147=""),1,IF(AR147&gt;C147,1,0))</f>
        <v/>
      </c>
      <c r="CQ147" s="112">
        <f>IF(AND(C147&gt;0,AS147=""),1,IF(AS147&gt;C147,1,0))</f>
        <v/>
      </c>
    </row>
    <row r="148" ht="21" customFormat="1" customHeight="1" s="110">
      <c r="A148" s="9614" t="n"/>
      <c r="B148" s="3663" t="inlineStr">
        <is>
          <t>Técnico en Enfermería y en Salud Mental</t>
        </is>
      </c>
      <c r="C148" s="4876">
        <f>SUM(D148:E148)</f>
        <v/>
      </c>
      <c r="D148" s="4877">
        <f>SUM(F148+H148+J148+L148+N148+P148+R148+T148+V148+X148+Z148+AB148+AD148+AF148+AH148+AJ148+AL148)</f>
        <v/>
      </c>
      <c r="E148" s="4878">
        <f>SUM(G148+I148+K148+M148+O148+Q148+S148+U148+W148+Y148+AA148+AC148+AE148+AG148+AI148+AK148+AM148)</f>
        <v/>
      </c>
      <c r="F148" s="4849" t="n"/>
      <c r="G148" s="4857" t="n"/>
      <c r="H148" s="4849" t="n"/>
      <c r="I148" s="4857" t="n"/>
      <c r="J148" s="4849" t="n"/>
      <c r="K148" s="4857" t="n"/>
      <c r="L148" s="4879" t="n"/>
      <c r="M148" s="4880" t="n"/>
      <c r="N148" s="4849" t="n"/>
      <c r="O148" s="4881" t="n"/>
      <c r="P148" s="4849" t="n"/>
      <c r="Q148" s="4881" t="n"/>
      <c r="R148" s="4879" t="n"/>
      <c r="S148" s="4881" t="n"/>
      <c r="T148" s="4879" t="n"/>
      <c r="U148" s="4881" t="n"/>
      <c r="V148" s="4849" t="n"/>
      <c r="W148" s="4857" t="n"/>
      <c r="X148" s="4879" t="n"/>
      <c r="Y148" s="4857" t="n"/>
      <c r="Z148" s="4879" t="n"/>
      <c r="AA148" s="4881" t="n"/>
      <c r="AB148" s="4879" t="n"/>
      <c r="AC148" s="4881" t="n"/>
      <c r="AD148" s="4879" t="n"/>
      <c r="AE148" s="4881" t="n"/>
      <c r="AF148" s="4879" t="n"/>
      <c r="AG148" s="4881" t="n"/>
      <c r="AH148" s="4879" t="n"/>
      <c r="AI148" s="4881" t="n"/>
      <c r="AJ148" s="4879" t="n"/>
      <c r="AK148" s="4881" t="n"/>
      <c r="AL148" s="4879" t="n"/>
      <c r="AM148" s="4880" t="n"/>
      <c r="AN148" s="4859" t="n"/>
      <c r="AO148" s="4857" t="n"/>
      <c r="AP148" s="4850" t="n"/>
      <c r="AQ148" s="4850" t="n"/>
      <c r="AR148" s="4850" t="n"/>
      <c r="AS148" s="4881" t="n"/>
      <c r="AU148" s="110">
        <f>CA148&amp;CC148&amp;CD148&amp;CE148&amp;CF148</f>
        <v/>
      </c>
      <c r="CA148" s="111">
        <f>IF(AND($C148&gt;0,AN148="")," * No olvide digitar la variable "&amp;AN$127&amp;". Digite Cero si no tiene",IF(AN148&gt;$C148," * La variable "&amp;AN$127&amp;" no puede ser mayor al Total Ambos Sexos.",""))</f>
        <v/>
      </c>
      <c r="CB148" s="111">
        <f>IF(AND($C148&gt;0,AO148="")," * No olvide digitar la variable "&amp;AO$127&amp;". Digite Cero si no tiene",IF(AO148&gt;$C148," * La variable "&amp;AO$127&amp;" no puede ser mayor al Total Ambos Sexos.",""))</f>
        <v/>
      </c>
      <c r="CC148" s="111">
        <f>IF(AND($C148&gt;0,AP148="")," * No olvide digitar la variable Pueblos originarios. Digite cero si no tiene",IF(AP148&gt;$C148," * La variable Pueblos Originarios no puede ser mayor al Total Ambos Sexos.",""))</f>
        <v/>
      </c>
      <c r="CD148" s="111">
        <f>IF(AND($C148&gt;0,AQ148="")," * No olvide digitar la variable Migrantes. Digite cero si no tiene.",IF(AQ148&gt;$C148," * La variable Migrantes no puede ser mayor al Total Ambos Sexos.",""))</f>
        <v/>
      </c>
      <c r="CE148" s="111">
        <f>IF(AND($C148&gt;0,AR148="")," * No olvide digitar la variable Demencia. Digite cero si no tiene.",IF(AR148&gt;$C148," * La variable Demencia no puede ser mayor al Total Ambos Sexos.",""))</f>
        <v/>
      </c>
      <c r="CF148" s="111">
        <f>IF(AND($C148&gt;0,AS148="")," * No olvide digitar la variable Espacios Amigables/Adolescentes. Digite cero si no tiene.",IF(AS148&gt;$C148," * La variable Espacios Amigables/adolescentes no puede ser mayor al Total Ambos Sexos.",""))</f>
        <v/>
      </c>
      <c r="CG148" s="111" t="n"/>
      <c r="CJ148" s="113" t="n"/>
      <c r="CK148" s="113" t="n"/>
      <c r="CL148" s="112">
        <f>IF(AND(C148&gt;0,AN148=""),1,IF(AN148&gt;C148,1,0))</f>
        <v/>
      </c>
      <c r="CM148" s="112">
        <f>IF(AND(C148&gt;0,AO148=""),1,IF(AO148&gt;C148,1,0))</f>
        <v/>
      </c>
      <c r="CN148" s="112">
        <f>IF(AND(C148&gt;0,AP148=""),1,IF(AP148&gt;C148,1,0))</f>
        <v/>
      </c>
      <c r="CO148" s="112">
        <f>IF(AND(C148&gt;0,AQ148=""),1,IF(AQ148&gt;C148,1,0))</f>
        <v/>
      </c>
      <c r="CP148" s="112">
        <f>IF(AND(C148&gt;0,AR148=""),1,IF(AR148&gt;C148,1,0))</f>
        <v/>
      </c>
      <c r="CQ148" s="112">
        <f>IF(AND(C148&gt;0,AS148=""),1,IF(AS148&gt;C148,1,0))</f>
        <v/>
      </c>
    </row>
    <row r="149" ht="15" customFormat="1" customHeight="1" s="110">
      <c r="A149" s="9614" t="n"/>
      <c r="B149" s="3663" t="inlineStr">
        <is>
          <t>Gestor Comunitario</t>
        </is>
      </c>
      <c r="C149" s="4876">
        <f>SUM(D149:E149)</f>
        <v/>
      </c>
      <c r="D149" s="4877">
        <f>SUM(F149+H149+J149+L149+N149+P149+R149+T149+V149+X149+Z149+AB149+AD149+AF149+AH149+AJ149+AL149)</f>
        <v/>
      </c>
      <c r="E149" s="4878">
        <f>SUM(G149+I149+K149+M149+O149+Q149+S149+U149+W149+Y149+AA149+AC149+AE149+AG149+AI149+AK149+AM149)</f>
        <v/>
      </c>
      <c r="F149" s="4849" t="n"/>
      <c r="G149" s="4857" t="n"/>
      <c r="H149" s="4849" t="n"/>
      <c r="I149" s="4857" t="n"/>
      <c r="J149" s="4849" t="n"/>
      <c r="K149" s="4857" t="n"/>
      <c r="L149" s="4879" t="n"/>
      <c r="M149" s="4880" t="n"/>
      <c r="N149" s="4849" t="n"/>
      <c r="O149" s="4881" t="n"/>
      <c r="P149" s="4849" t="n"/>
      <c r="Q149" s="4881" t="n"/>
      <c r="R149" s="4879" t="n"/>
      <c r="S149" s="4881" t="n"/>
      <c r="T149" s="4879" t="n"/>
      <c r="U149" s="4881" t="n"/>
      <c r="V149" s="4849" t="n"/>
      <c r="W149" s="4857" t="n"/>
      <c r="X149" s="4879" t="n"/>
      <c r="Y149" s="4857" t="n"/>
      <c r="Z149" s="4879" t="n"/>
      <c r="AA149" s="4881" t="n"/>
      <c r="AB149" s="4879" t="n"/>
      <c r="AC149" s="4881" t="n"/>
      <c r="AD149" s="4879" t="n"/>
      <c r="AE149" s="4881" t="n"/>
      <c r="AF149" s="4879" t="n"/>
      <c r="AG149" s="4881" t="n"/>
      <c r="AH149" s="4879" t="n"/>
      <c r="AI149" s="4881" t="n"/>
      <c r="AJ149" s="4879" t="n"/>
      <c r="AK149" s="4881" t="n"/>
      <c r="AL149" s="4879" t="n"/>
      <c r="AM149" s="4880" t="n"/>
      <c r="AN149" s="4859" t="n"/>
      <c r="AO149" s="4857" t="n"/>
      <c r="AP149" s="4850" t="n"/>
      <c r="AQ149" s="4850" t="n"/>
      <c r="AR149" s="4850" t="n"/>
      <c r="AS149" s="4881" t="n"/>
      <c r="AU149" s="110">
        <f>CA149&amp;CC149&amp;CD149&amp;CE149&amp;CF149</f>
        <v/>
      </c>
      <c r="CA149" s="111">
        <f>IF(AND($C149&gt;0,AN149="")," * No olvide digitar la variable "&amp;AN$127&amp;". Digite Cero si no tiene",IF(AN149&gt;$C149," * La variable "&amp;AN$127&amp;" no puede ser mayor al Total Ambos Sexos.",""))</f>
        <v/>
      </c>
      <c r="CB149" s="111">
        <f>IF(AND($C149&gt;0,AO149="")," * No olvide digitar la variable "&amp;AO$127&amp;". Digite Cero si no tiene",IF(AO149&gt;$C149," * La variable "&amp;AO$127&amp;" no puede ser mayor al Total Ambos Sexos.",""))</f>
        <v/>
      </c>
      <c r="CC149" s="111">
        <f>IF(AND($C149&gt;0,AP149="")," * No olvide digitar la variable Pueblos originarios. Digite cero si no tiene",IF(AP149&gt;$C149," * La variable Pueblos Originarios no puede ser mayor al Total Ambos Sexos.",""))</f>
        <v/>
      </c>
      <c r="CD149" s="111">
        <f>IF(AND($C149&gt;0,AQ149="")," * No olvide digitar la variable Migrantes. Digite cero si no tiene.",IF(AQ149&gt;$C149," * La variable Migrantes no puede ser mayor al Total Ambos Sexos.",""))</f>
        <v/>
      </c>
      <c r="CE149" s="111">
        <f>IF(AND($C149&gt;0,AR149="")," * No olvide digitar la variable Demencia. Digite cero si no tiene.",IF(AR149&gt;$C149," * La variable Demencia no puede ser mayor al Total Ambos Sexos.",""))</f>
        <v/>
      </c>
      <c r="CF149" s="111">
        <f>IF(AND($C149&gt;0,AS149="")," * No olvide digitar la variable Espacios Amigables/Adolescentes. Digite cero si no tiene.",IF(AS149&gt;$C149," * La variable Espacios Amigables/adolescentes no puede ser mayor al Total Ambos Sexos.",""))</f>
        <v/>
      </c>
      <c r="CG149" s="111" t="n"/>
      <c r="CJ149" s="113" t="n"/>
      <c r="CK149" s="113" t="n"/>
      <c r="CL149" s="112">
        <f>IF(AND(C149&gt;0,AN149=""),1,IF(AN149&gt;C149,1,0))</f>
        <v/>
      </c>
      <c r="CM149" s="112">
        <f>IF(AND(C149&gt;0,AO149=""),1,IF(AO149&gt;C149,1,0))</f>
        <v/>
      </c>
      <c r="CN149" s="112">
        <f>IF(AND(C149&gt;0,AP149=""),1,IF(AP149&gt;C149,1,0))</f>
        <v/>
      </c>
      <c r="CO149" s="112">
        <f>IF(AND(C149&gt;0,AQ149=""),1,IF(AQ149&gt;C149,1,0))</f>
        <v/>
      </c>
      <c r="CP149" s="112">
        <f>IF(AND(C149&gt;0,AR149=""),1,IF(AR149&gt;C149,1,0))</f>
        <v/>
      </c>
      <c r="CQ149" s="112">
        <f>IF(AND(C149&gt;0,AS149=""),1,IF(AS149&gt;C149,1,0))</f>
        <v/>
      </c>
    </row>
    <row r="150" ht="21" customFormat="1" customHeight="1" s="110">
      <c r="A150" s="9614" t="n"/>
      <c r="B150" s="3835" t="inlineStr">
        <is>
          <t>Técnico Rehabilitación Alcohol y Drogas</t>
        </is>
      </c>
      <c r="C150" s="4882">
        <f>SUM(D150:E150)</f>
        <v/>
      </c>
      <c r="D150" s="4883">
        <f>SUM(F150+H150+J150+L150+N150+P150+R150+T150+V150+X150+Z150+AB150+AD150+AF150+AH150+AJ150+AL150)</f>
        <v/>
      </c>
      <c r="E150" s="1407">
        <f>SUM(G150+I150+K150+M150+O150+Q150+S150+U150+W150+Y150+AA150+AC150+AE150+AG150+AI150+AK150+AM150)</f>
        <v/>
      </c>
      <c r="F150" s="4884" t="n"/>
      <c r="G150" s="1408" t="n"/>
      <c r="H150" s="4884" t="n"/>
      <c r="I150" s="1408" t="n"/>
      <c r="J150" s="4884" t="n"/>
      <c r="K150" s="1408" t="n"/>
      <c r="L150" s="4885" t="n"/>
      <c r="M150" s="4886" t="n"/>
      <c r="N150" s="4884" t="n"/>
      <c r="O150" s="4887" t="n"/>
      <c r="P150" s="4884" t="n"/>
      <c r="Q150" s="4887" t="n"/>
      <c r="R150" s="4885" t="n"/>
      <c r="S150" s="4887" t="n"/>
      <c r="T150" s="4885" t="n"/>
      <c r="U150" s="4887" t="n"/>
      <c r="V150" s="4884" t="n"/>
      <c r="W150" s="1408" t="n"/>
      <c r="X150" s="4885" t="n"/>
      <c r="Y150" s="1408" t="n"/>
      <c r="Z150" s="4885" t="n"/>
      <c r="AA150" s="4887" t="n"/>
      <c r="AB150" s="4885" t="n"/>
      <c r="AC150" s="4887" t="n"/>
      <c r="AD150" s="4885" t="n"/>
      <c r="AE150" s="4887" t="n"/>
      <c r="AF150" s="4885" t="n"/>
      <c r="AG150" s="4887" t="n"/>
      <c r="AH150" s="4885" t="n"/>
      <c r="AI150" s="4887" t="n"/>
      <c r="AJ150" s="4885" t="n"/>
      <c r="AK150" s="4887" t="n"/>
      <c r="AL150" s="4885" t="n"/>
      <c r="AM150" s="4886" t="n"/>
      <c r="AN150" s="4888" t="n"/>
      <c r="AO150" s="1408" t="n"/>
      <c r="AP150" s="4889" t="n"/>
      <c r="AQ150" s="4889" t="n"/>
      <c r="AR150" s="4889" t="n"/>
      <c r="AS150" s="4887" t="n"/>
      <c r="AU150" s="110">
        <f>CA150&amp;CC150&amp;CD150&amp;CE150&amp;CF150</f>
        <v/>
      </c>
      <c r="CA150" s="111">
        <f>IF(AND($C150&gt;0,AN150="")," * No olvide digitar la variable "&amp;AN$127&amp;". Digite Cero si no tiene",IF(AN150&gt;$C150," * La variable "&amp;AN$127&amp;" no puede ser mayor al Total Ambos Sexos.",""))</f>
        <v/>
      </c>
      <c r="CB150" s="111">
        <f>IF(AND($C150&gt;0,AO150="")," * No olvide digitar la variable "&amp;AO$127&amp;". Digite Cero si no tiene",IF(AO150&gt;$C150," * La variable "&amp;AO$127&amp;" no puede ser mayor al Total Ambos Sexos.",""))</f>
        <v/>
      </c>
      <c r="CC150" s="111">
        <f>IF(AND($C150&gt;0,AP150="")," * No olvide digitar la variable Pueblos originarios. Digite cero si no tiene",IF(AP150&gt;$C150," * La variable Pueblos Originarios no puede ser mayor al Total Ambos Sexos.",""))</f>
        <v/>
      </c>
      <c r="CD150" s="111">
        <f>IF(AND($C150&gt;0,AQ150="")," * No olvide digitar la variable Migrantes. Digite cero si no tiene.",IF(AQ150&gt;$C150," * La variable Migrantes no puede ser mayor al Total Ambos Sexos.",""))</f>
        <v/>
      </c>
      <c r="CE150" s="111">
        <f>IF(AND($C150&gt;0,AR150="")," * No olvide digitar la variable Demencia. Digite cero si no tiene.",IF(AR150&gt;$C150," * La variable Demencia no puede ser mayor al Total Ambos Sexos.",""))</f>
        <v/>
      </c>
      <c r="CF150" s="111">
        <f>IF(AND($C150&gt;0,AS150="")," * No olvide digitar la variable Espacios Amigables/Adolescentes. Digite cero si no tiene.",IF(AS150&gt;$C150," * La variable Espacios Amigables/adolescentes no puede ser mayor al Total Ambos Sexos.",""))</f>
        <v/>
      </c>
      <c r="CG150" s="111" t="n"/>
      <c r="CJ150" s="113" t="n"/>
      <c r="CK150" s="113" t="n"/>
      <c r="CL150" s="112">
        <f>IF(AND(C150&gt;0,AN150=""),1,IF(AN150&gt;C150,1,0))</f>
        <v/>
      </c>
      <c r="CM150" s="112">
        <f>IF(AND(C150&gt;0,AO150=""),1,IF(AO150&gt;C150,1,0))</f>
        <v/>
      </c>
      <c r="CN150" s="112">
        <f>IF(AND(C150&gt;0,AP150=""),1,IF(AP150&gt;C150,1,0))</f>
        <v/>
      </c>
      <c r="CO150" s="112">
        <f>IF(AND(C150&gt;0,AQ150=""),1,IF(AQ150&gt;C150,1,0))</f>
        <v/>
      </c>
      <c r="CP150" s="112">
        <f>IF(AND(C150&gt;0,AR150=""),1,IF(AR150&gt;C150,1,0))</f>
        <v/>
      </c>
      <c r="CQ150" s="112">
        <f>IF(AND(C150&gt;0,AS150=""),1,IF(AS150&gt;C150,1,0))</f>
        <v/>
      </c>
    </row>
    <row r="151" ht="15" customFormat="1" customHeight="1" s="110">
      <c r="A151" s="9610" t="n"/>
      <c r="B151" s="8313" t="inlineStr">
        <is>
          <t>TOTAL</t>
        </is>
      </c>
      <c r="C151" s="4890">
        <f>SUM(D151:E151)</f>
        <v/>
      </c>
      <c r="D151" s="164">
        <f>SUM(D141:D150)</f>
        <v/>
      </c>
      <c r="E151" s="4891">
        <f>SUM(E141:E150)</f>
        <v/>
      </c>
      <c r="F151" s="2690">
        <f>SUM(F141:F150)</f>
        <v/>
      </c>
      <c r="G151" s="4892">
        <f>SUM(G141:G150)</f>
        <v/>
      </c>
      <c r="H151" s="2690">
        <f>SUM(H141:H150)</f>
        <v/>
      </c>
      <c r="I151" s="4892">
        <f>SUM(I141:I150)</f>
        <v/>
      </c>
      <c r="J151" s="2690">
        <f>SUM(J141:J150)</f>
        <v/>
      </c>
      <c r="K151" s="4892">
        <f>SUM(K141:K150)</f>
        <v/>
      </c>
      <c r="L151" s="4812">
        <f>SUM(L141:L150)</f>
        <v/>
      </c>
      <c r="M151" s="165">
        <f>SUM(M141:M150)</f>
        <v/>
      </c>
      <c r="N151" s="2690">
        <f>SUM(N141:N150)</f>
        <v/>
      </c>
      <c r="O151" s="166">
        <f>SUM(O141:O150)</f>
        <v/>
      </c>
      <c r="P151" s="2690">
        <f>SUM(P141:P150)</f>
        <v/>
      </c>
      <c r="Q151" s="166">
        <f>SUM(Q141:Q150)</f>
        <v/>
      </c>
      <c r="R151" s="4893">
        <f>SUM(R141:R150)</f>
        <v/>
      </c>
      <c r="S151" s="166">
        <f>SUM(S141:S150)</f>
        <v/>
      </c>
      <c r="T151" s="2690">
        <f>SUM(T141:T150)</f>
        <v/>
      </c>
      <c r="U151" s="4892">
        <f>SUM(U141:U150)</f>
        <v/>
      </c>
      <c r="V151" s="167">
        <f>SUM(V141:V150)</f>
        <v/>
      </c>
      <c r="W151" s="166">
        <f>SUM(W141:W150)</f>
        <v/>
      </c>
      <c r="X151" s="4812">
        <f>SUM(X141:X150)</f>
        <v/>
      </c>
      <c r="Y151" s="4892">
        <f>SUM(Y141:Y150)</f>
        <v/>
      </c>
      <c r="Z151" s="167">
        <f>SUM(Z141:Z150)</f>
        <v/>
      </c>
      <c r="AA151" s="4892">
        <f>SUM(AA141:AA150)</f>
        <v/>
      </c>
      <c r="AB151" s="167">
        <f>SUM(AB141:AB150)</f>
        <v/>
      </c>
      <c r="AC151" s="4892">
        <f>SUM(AC141:AC150)</f>
        <v/>
      </c>
      <c r="AD151" s="167">
        <f>SUM(AD141:AD150)</f>
        <v/>
      </c>
      <c r="AE151" s="4892">
        <f>SUM(AE141:AE150)</f>
        <v/>
      </c>
      <c r="AF151" s="167">
        <f>SUM(AF141:AF150)</f>
        <v/>
      </c>
      <c r="AG151" s="4892">
        <f>SUM(AG141:AG150)</f>
        <v/>
      </c>
      <c r="AH151" s="167">
        <f>SUM(AH141:AH150)</f>
        <v/>
      </c>
      <c r="AI151" s="4892">
        <f>SUM(AI141:AI150)</f>
        <v/>
      </c>
      <c r="AJ151" s="167">
        <f>SUM(AJ141:AJ150)</f>
        <v/>
      </c>
      <c r="AK151" s="4892">
        <f>SUM(AK141:AK150)</f>
        <v/>
      </c>
      <c r="AL151" s="167">
        <f>SUM(AL141:AL150)</f>
        <v/>
      </c>
      <c r="AM151" s="4893">
        <f>SUM(AM141:AM150)</f>
        <v/>
      </c>
      <c r="AN151" s="168">
        <f>SUM(AN141:AN150)</f>
        <v/>
      </c>
      <c r="AO151" s="4892">
        <f>SUM(AO141:AO150)</f>
        <v/>
      </c>
      <c r="AP151" s="167">
        <f>SUM(AP141:AP150)</f>
        <v/>
      </c>
      <c r="AQ151" s="167">
        <f>SUM(AQ141:AQ150)</f>
        <v/>
      </c>
      <c r="AR151" s="167">
        <f>SUM(AR141:AR150)</f>
        <v/>
      </c>
      <c r="AS151" s="166">
        <f>SUM(AS141:AS150)</f>
        <v/>
      </c>
    </row>
    <row r="152" ht="17.1" customFormat="1" customHeight="1" s="109">
      <c r="A152" s="95" t="inlineStr">
        <is>
          <t xml:space="preserve">SECCION G: ACCIONES DE SEGUIMIENTO REMOTO EN EL PROGRAMA DE SALUD CARDIOVASCULAR EN APS </t>
        </is>
      </c>
    </row>
    <row r="153" ht="15" customHeight="1" s="8286">
      <c r="A153" s="9977" t="inlineStr">
        <is>
          <t>TIPO DE CONTROL</t>
        </is>
      </c>
      <c r="B153" s="9977" t="inlineStr">
        <is>
          <t>PROFESIONAL</t>
        </is>
      </c>
      <c r="C153" s="9939" t="inlineStr">
        <is>
          <t>TOTAL</t>
        </is>
      </c>
      <c r="D153" s="9602" t="n"/>
      <c r="E153" s="9630" t="n"/>
      <c r="F153" s="9976" t="inlineStr">
        <is>
          <t>RANGO ETARIO Y SEXO</t>
        </is>
      </c>
      <c r="G153" s="9584" t="n"/>
      <c r="H153" s="9584" t="n"/>
      <c r="I153" s="9584" t="n"/>
      <c r="J153" s="9584" t="n"/>
      <c r="K153" s="9584" t="n"/>
      <c r="L153" s="9584" t="n"/>
      <c r="M153" s="9584" t="n"/>
      <c r="N153" s="9584" t="n"/>
      <c r="O153" s="9584" t="n"/>
      <c r="P153" s="9584" t="n"/>
      <c r="Q153" s="9584" t="n"/>
      <c r="R153" s="9584" t="n"/>
      <c r="S153" s="9584" t="n"/>
      <c r="T153" s="9584" t="n"/>
      <c r="U153" s="9584" t="n"/>
      <c r="V153" s="9584" t="n"/>
      <c r="W153" s="9584" t="n"/>
      <c r="X153" s="9584" t="n"/>
      <c r="Y153" s="9584" t="n"/>
      <c r="Z153" s="9584" t="n"/>
      <c r="AA153" s="9584" t="n"/>
      <c r="AB153" s="9584" t="n"/>
      <c r="AC153" s="9584" t="n"/>
      <c r="AD153" s="9584" t="n"/>
      <c r="AE153" s="9584" t="n"/>
      <c r="AF153" s="9584" t="n"/>
      <c r="AG153" s="9595" t="n"/>
      <c r="AH153" s="9980" t="inlineStr">
        <is>
          <t>Pueblos Originarios</t>
        </is>
      </c>
      <c r="AI153" s="9920" t="inlineStr">
        <is>
          <t>Migrantes</t>
        </is>
      </c>
    </row>
    <row r="154" ht="15" customHeight="1" s="8286">
      <c r="A154" s="9614" t="n"/>
      <c r="B154" s="9614" t="n"/>
      <c r="C154" s="9638" t="n"/>
      <c r="D154" s="9697" t="n"/>
      <c r="E154" s="9639" t="n"/>
      <c r="F154" s="8400" t="inlineStr">
        <is>
          <t>15 - 19 años</t>
        </is>
      </c>
      <c r="G154" s="9582" t="n"/>
      <c r="H154" s="8400" t="inlineStr">
        <is>
          <t>20 - 24 años</t>
        </is>
      </c>
      <c r="I154" s="9582" t="n"/>
      <c r="J154" s="9977" t="inlineStr">
        <is>
          <t>25 - 29 años</t>
        </is>
      </c>
      <c r="K154" s="9582" t="n"/>
      <c r="L154" s="9977" t="inlineStr">
        <is>
          <t>30 - 34 años</t>
        </is>
      </c>
      <c r="M154" s="9582" t="n"/>
      <c r="N154" s="9977" t="inlineStr">
        <is>
          <t>35 - 39 años</t>
        </is>
      </c>
      <c r="O154" s="9582" t="n"/>
      <c r="P154" s="9977" t="inlineStr">
        <is>
          <t>40 - 44 años</t>
        </is>
      </c>
      <c r="Q154" s="9582" t="n"/>
      <c r="R154" s="9977" t="inlineStr">
        <is>
          <t>45 - 49 años</t>
        </is>
      </c>
      <c r="S154" s="9582" t="n"/>
      <c r="T154" s="9977" t="inlineStr">
        <is>
          <t>50 - 54 años</t>
        </is>
      </c>
      <c r="U154" s="9582" t="n"/>
      <c r="V154" s="9977" t="inlineStr">
        <is>
          <t>55 - 59 años</t>
        </is>
      </c>
      <c r="W154" s="9582" t="n"/>
      <c r="X154" s="9977" t="inlineStr">
        <is>
          <t>60 - 64 años</t>
        </is>
      </c>
      <c r="Y154" s="9582" t="n"/>
      <c r="Z154" s="9977" t="inlineStr">
        <is>
          <t>65 - 69 años</t>
        </is>
      </c>
      <c r="AA154" s="9582" t="n"/>
      <c r="AB154" s="9977" t="inlineStr">
        <is>
          <t>70 - 74 años</t>
        </is>
      </c>
      <c r="AC154" s="9582" t="n"/>
      <c r="AD154" s="9977" t="inlineStr">
        <is>
          <t>75 - 79 años</t>
        </is>
      </c>
      <c r="AE154" s="9582" t="n"/>
      <c r="AF154" s="9915" t="inlineStr">
        <is>
          <t>80 y más años</t>
        </is>
      </c>
      <c r="AG154" s="9595" t="n"/>
      <c r="AH154" s="9683" t="n"/>
      <c r="AI154" s="9625" t="n"/>
    </row>
    <row r="155" ht="15" customHeight="1" s="8286">
      <c r="A155" s="9610" t="n"/>
      <c r="B155" s="9610" t="n"/>
      <c r="C155" s="4498" t="inlineStr">
        <is>
          <t>Ambos Sexos</t>
        </is>
      </c>
      <c r="D155" s="4504" t="inlineStr">
        <is>
          <t>Hombres</t>
        </is>
      </c>
      <c r="E155" s="9268" t="inlineStr">
        <is>
          <t>Mujeres</t>
        </is>
      </c>
      <c r="F155" s="9498" t="inlineStr">
        <is>
          <t>Hombres</t>
        </is>
      </c>
      <c r="G155" s="9268" t="inlineStr">
        <is>
          <t>Mujeres</t>
        </is>
      </c>
      <c r="H155" s="9498" t="inlineStr">
        <is>
          <t>Hombres</t>
        </is>
      </c>
      <c r="I155" s="9268" t="inlineStr">
        <is>
          <t>Mujeres</t>
        </is>
      </c>
      <c r="J155" s="9498" t="inlineStr">
        <is>
          <t>Hombres</t>
        </is>
      </c>
      <c r="K155" s="9268" t="inlineStr">
        <is>
          <t>Mujeres</t>
        </is>
      </c>
      <c r="L155" s="9498" t="inlineStr">
        <is>
          <t>Hombres</t>
        </is>
      </c>
      <c r="M155" s="9268" t="inlineStr">
        <is>
          <t>Mujeres</t>
        </is>
      </c>
      <c r="N155" s="9498" t="inlineStr">
        <is>
          <t>Hombres</t>
        </is>
      </c>
      <c r="O155" s="9268" t="inlineStr">
        <is>
          <t>Mujeres</t>
        </is>
      </c>
      <c r="P155" s="9498" t="inlineStr">
        <is>
          <t>Hombres</t>
        </is>
      </c>
      <c r="Q155" s="9268" t="inlineStr">
        <is>
          <t>Mujeres</t>
        </is>
      </c>
      <c r="R155" s="9498" t="inlineStr">
        <is>
          <t>Hombres</t>
        </is>
      </c>
      <c r="S155" s="9268" t="inlineStr">
        <is>
          <t>Mujeres</t>
        </is>
      </c>
      <c r="T155" s="9498" t="inlineStr">
        <is>
          <t>Hombres</t>
        </is>
      </c>
      <c r="U155" s="9268" t="inlineStr">
        <is>
          <t>Mujeres</t>
        </is>
      </c>
      <c r="V155" s="9498" t="inlineStr">
        <is>
          <t>Hombres</t>
        </is>
      </c>
      <c r="W155" s="9268" t="inlineStr">
        <is>
          <t>Mujeres</t>
        </is>
      </c>
      <c r="X155" s="9498" t="inlineStr">
        <is>
          <t>Hombres</t>
        </is>
      </c>
      <c r="Y155" s="9268" t="inlineStr">
        <is>
          <t>Mujeres</t>
        </is>
      </c>
      <c r="Z155" s="9498" t="inlineStr">
        <is>
          <t>Hombres</t>
        </is>
      </c>
      <c r="AA155" s="9268" t="inlineStr">
        <is>
          <t>Mujeres</t>
        </is>
      </c>
      <c r="AB155" s="9498" t="inlineStr">
        <is>
          <t>Hombres</t>
        </is>
      </c>
      <c r="AC155" s="9268" t="inlineStr">
        <is>
          <t>Mujeres</t>
        </is>
      </c>
      <c r="AD155" s="9498" t="inlineStr">
        <is>
          <t>Hombres</t>
        </is>
      </c>
      <c r="AE155" s="9268" t="inlineStr">
        <is>
          <t>Mujeres</t>
        </is>
      </c>
      <c r="AF155" s="9498" t="inlineStr">
        <is>
          <t>Hombres</t>
        </is>
      </c>
      <c r="AG155" s="9265" t="inlineStr">
        <is>
          <t>Mujeres</t>
        </is>
      </c>
      <c r="AH155" s="9604" t="n"/>
      <c r="AI155" s="9641" t="n"/>
    </row>
    <row r="156" ht="15" customHeight="1" s="8286">
      <c r="A156" s="9933" t="inlineStr">
        <is>
          <t>Llamadas telefónicas o Videollamadas</t>
        </is>
      </c>
      <c r="B156" s="4439" t="inlineStr">
        <is>
          <t>Médico/a</t>
        </is>
      </c>
      <c r="C156" s="4900">
        <f>SUM(D156:E156)</f>
        <v/>
      </c>
      <c r="D156" s="861">
        <f>SUM(F156+H156+J156+L156+N156+P156+R156+T156+V156+X156+Z156+AB156+AD156+AF156)</f>
        <v/>
      </c>
      <c r="E156" s="4869">
        <f>SUM(G156+I156+K156+M156+O156+Q156+S156+U156+W156+Y156+AA156+AC156+AE156+AG156)</f>
        <v/>
      </c>
      <c r="F156" s="4746" t="n"/>
      <c r="G156" s="4690" t="n"/>
      <c r="H156" s="4746" t="n"/>
      <c r="I156" s="4690" t="n"/>
      <c r="J156" s="4746" t="n"/>
      <c r="K156" s="4690" t="n"/>
      <c r="L156" s="4746" t="n"/>
      <c r="M156" s="4690" t="n"/>
      <c r="N156" s="4746" t="n"/>
      <c r="O156" s="4690" t="n"/>
      <c r="P156" s="4746" t="n"/>
      <c r="Q156" s="4690" t="n"/>
      <c r="R156" s="4746" t="n"/>
      <c r="S156" s="4690" t="n"/>
      <c r="T156" s="4746" t="n"/>
      <c r="U156" s="4690" t="n"/>
      <c r="V156" s="4746" t="n"/>
      <c r="W156" s="4690" t="n"/>
      <c r="X156" s="4746" t="n"/>
      <c r="Y156" s="4690" t="n"/>
      <c r="Z156" s="4746" t="n"/>
      <c r="AA156" s="4690" t="n"/>
      <c r="AB156" s="4746" t="n"/>
      <c r="AC156" s="4690" t="n"/>
      <c r="AD156" s="4746" t="n"/>
      <c r="AE156" s="4690" t="n"/>
      <c r="AF156" s="4746" t="n"/>
      <c r="AG156" s="4111" t="n"/>
      <c r="AH156" s="4112" t="n"/>
      <c r="AI156" s="4748" t="n"/>
      <c r="AJ156" s="227">
        <f>CA156&amp;CB156&amp;CE156&amp;CF156</f>
        <v/>
      </c>
      <c r="CA156" s="111">
        <f>IF(AND(C156&gt;0,AH156="")," * No olvide digitar La variable Pueblos originarios. Digite Cero si no tiene.",IF(AH156&gt;C156," * La variable Pueblos originarios no puede ser mayor al Total Ambos Sexos.",""))</f>
        <v/>
      </c>
      <c r="CB156" s="111">
        <f>IF(AND(C156&gt;0,AI156="")," * No olvide digitar La variable Migrantes, Digite Cero si no tiene.",IF(AI156&gt;C156," * La variable Migrantes no puede ser mayor al Total Ambos Sexos.",""))</f>
        <v/>
      </c>
      <c r="CE156" s="113" t="n"/>
      <c r="CF156" s="113" t="n"/>
      <c r="CG156" s="113" t="n"/>
      <c r="CH156" s="113" t="n"/>
      <c r="CI156" s="113" t="n"/>
      <c r="CJ156" s="110" t="n"/>
      <c r="CK156" s="110" t="n"/>
      <c r="CL156" s="112">
        <f>IF(AND(C156&gt;0,AH156=""),1,IF(AH156&gt;C156,1,0))</f>
        <v/>
      </c>
      <c r="CM156" s="112">
        <f>IF(AND(C156&gt;0,AI156=""),1,IF(AI156&gt;C156,1,0))</f>
        <v/>
      </c>
    </row>
    <row r="157" ht="15" customHeight="1" s="8286">
      <c r="A157" s="9614" t="n"/>
      <c r="B157" s="8053" t="inlineStr">
        <is>
          <t>Enfermera/o</t>
        </is>
      </c>
      <c r="C157" s="4901">
        <f>SUM(D157:E157)</f>
        <v/>
      </c>
      <c r="D157" s="4877">
        <f>SUM(F157+H157+J157+L157+N157+P157+R157+T157+V157+X157+Z157+AB157+AD157+AF157)</f>
        <v/>
      </c>
      <c r="E157" s="4878">
        <f>SUM(G157+I157+K157+M157+O157+Q157+S157+U157+W157+Y157+AA157+AC157+AE157+AG157)</f>
        <v/>
      </c>
      <c r="F157" s="1333" t="n"/>
      <c r="G157" s="4697" t="n"/>
      <c r="H157" s="1333" t="n"/>
      <c r="I157" s="4697" t="n"/>
      <c r="J157" s="1333" t="n"/>
      <c r="K157" s="4697" t="n"/>
      <c r="L157" s="1333" t="n"/>
      <c r="M157" s="4697" t="n"/>
      <c r="N157" s="1333" t="n"/>
      <c r="O157" s="4697" t="n"/>
      <c r="P157" s="1333" t="n"/>
      <c r="Q157" s="4697" t="n"/>
      <c r="R157" s="1333" t="n"/>
      <c r="S157" s="4697" t="n"/>
      <c r="T157" s="1333" t="n"/>
      <c r="U157" s="4697" t="n"/>
      <c r="V157" s="1333" t="n"/>
      <c r="W157" s="4697" t="n"/>
      <c r="X157" s="1333" t="n"/>
      <c r="Y157" s="4697" t="n"/>
      <c r="Z157" s="1333" t="n"/>
      <c r="AA157" s="4697" t="n"/>
      <c r="AB157" s="1333" t="n"/>
      <c r="AC157" s="4697" t="n"/>
      <c r="AD157" s="1333" t="n"/>
      <c r="AE157" s="4697" t="n"/>
      <c r="AF157" s="1333" t="n"/>
      <c r="AG157" s="4769" t="n"/>
      <c r="AH157" s="893" t="n"/>
      <c r="AI157" s="4114" t="n"/>
      <c r="AJ157" s="227">
        <f>CA157&amp;CB157&amp;CE157&amp;CF157</f>
        <v/>
      </c>
      <c r="CA157" s="111">
        <f>IF(AND(C157&gt;0,AH157="")," * No olvide digitar La variable Pueblos originarios. Digite Cero si no tiene.",IF(AH157&gt;C157," * La variable Pueblos originarios no puede ser mayor al Total Ambos Sexos.",""))</f>
        <v/>
      </c>
      <c r="CB157" s="111">
        <f>IF(AND(C157&gt;0,AI157="")," * No olvide digitar La variable Migrantes, Digite Cero si no tiene.",IF(AI157&gt;C157," * La variable Migrantes no puede ser mayor al Total Ambos Sexos.",""))</f>
        <v/>
      </c>
      <c r="CE157" s="113" t="n"/>
      <c r="CF157" s="113" t="n"/>
      <c r="CG157" s="113" t="n"/>
      <c r="CH157" s="113" t="n"/>
      <c r="CI157" s="113" t="n"/>
      <c r="CJ157" s="110" t="n"/>
      <c r="CK157" s="110" t="n"/>
      <c r="CL157" s="112">
        <f>IF(AND(C157&gt;0,AH157=""),1,IF(AH157&gt;C157,1,0))</f>
        <v/>
      </c>
      <c r="CM157" s="112">
        <f>IF(AND(C157&gt;0,AI157=""),1,IF(AI157&gt;C157,1,0))</f>
        <v/>
      </c>
    </row>
    <row r="158" ht="15" customHeight="1" s="8286">
      <c r="A158" s="9614" t="n"/>
      <c r="B158" s="1337" t="inlineStr">
        <is>
          <t>Nutricionista</t>
        </is>
      </c>
      <c r="C158" s="4901">
        <f>SUM(D158:E158)</f>
        <v/>
      </c>
      <c r="D158" s="4877">
        <f>SUM(F158+H158+J158+L158+N158+P158+R158+T158+V158+X158+Z158+AB158+AD158+AF158)</f>
        <v/>
      </c>
      <c r="E158" s="4878">
        <f>SUM(G158+I158+K158+M158+O158+Q158+S158+U158+W158+Y158+AA158+AC158+AE158+AG158)</f>
        <v/>
      </c>
      <c r="F158" s="1333" t="n"/>
      <c r="G158" s="4697" t="n"/>
      <c r="H158" s="1333" t="n"/>
      <c r="I158" s="4697" t="n"/>
      <c r="J158" s="1333" t="n"/>
      <c r="K158" s="4697" t="n"/>
      <c r="L158" s="1333" t="n"/>
      <c r="M158" s="4697" t="n"/>
      <c r="N158" s="1333" t="n"/>
      <c r="O158" s="4697" t="n"/>
      <c r="P158" s="1333" t="n"/>
      <c r="Q158" s="4697" t="n"/>
      <c r="R158" s="1333" t="n"/>
      <c r="S158" s="4697" t="n"/>
      <c r="T158" s="1333" t="n"/>
      <c r="U158" s="4697" t="n"/>
      <c r="V158" s="1333" t="n"/>
      <c r="W158" s="4697" t="n"/>
      <c r="X158" s="1333" t="n"/>
      <c r="Y158" s="4697" t="n"/>
      <c r="Z158" s="1333" t="n"/>
      <c r="AA158" s="4697" t="n"/>
      <c r="AB158" s="1333" t="n"/>
      <c r="AC158" s="4697" t="n"/>
      <c r="AD158" s="1333" t="n"/>
      <c r="AE158" s="4697" t="n"/>
      <c r="AF158" s="1333" t="n"/>
      <c r="AG158" s="4769" t="n"/>
      <c r="AH158" s="893" t="n"/>
      <c r="AI158" s="4114" t="n"/>
      <c r="AJ158" s="227">
        <f>CA158&amp;CB158&amp;CE158&amp;CF158</f>
        <v/>
      </c>
      <c r="CA158" s="111">
        <f>IF(AND(C158&gt;0,AH158="")," * No olvide digitar La variable Pueblos originarios. Digite Cero si no tiene.",IF(AH158&gt;C158," * La variable Pueblos originarios no puede ser mayor al Total Ambos Sexos.",""))</f>
        <v/>
      </c>
      <c r="CB158" s="111">
        <f>IF(AND(C158&gt;0,AI158="")," * No olvide digitar La variable Migrantes, Digite Cero si no tiene.",IF(AI158&gt;C158," * La variable Migrantes no puede ser mayor al Total Ambos Sexos.",""))</f>
        <v/>
      </c>
      <c r="CE158" s="113" t="n"/>
      <c r="CF158" s="113" t="n"/>
      <c r="CG158" s="113" t="n"/>
      <c r="CH158" s="113" t="n"/>
      <c r="CI158" s="113" t="n"/>
      <c r="CJ158" s="110" t="n"/>
      <c r="CK158" s="110" t="n"/>
      <c r="CL158" s="112">
        <f>IF(AND(C158&gt;0,AH158=""),1,IF(AH158&gt;C158,1,0))</f>
        <v/>
      </c>
      <c r="CM158" s="112">
        <f>IF(AND(C158&gt;0,AI158=""),1,IF(AI158&gt;C158,1,0))</f>
        <v/>
      </c>
    </row>
    <row r="159" ht="15" customHeight="1" s="8286">
      <c r="A159" s="9610" t="n"/>
      <c r="B159" s="4191" t="inlineStr">
        <is>
          <t xml:space="preserve">Técnico en Enfermería </t>
        </is>
      </c>
      <c r="C159" s="4902">
        <f>SUM(D159:E159)</f>
        <v/>
      </c>
      <c r="D159" s="4883">
        <f>SUM(F159+H159+J159+L159+N159+P159+R159+T159+V159+X159+Z159+AB159+AD159+AF159)</f>
        <v/>
      </c>
      <c r="E159" s="1407">
        <f>SUM(G159+I159+K159+M159+O159+Q159+S159+U159+W159+Y159+AA159+AC159+AE159+AG159)</f>
        <v/>
      </c>
      <c r="F159" s="4095" t="n"/>
      <c r="G159" s="4770" t="n"/>
      <c r="H159" s="4095" t="n"/>
      <c r="I159" s="4770" t="n"/>
      <c r="J159" s="4095" t="n"/>
      <c r="K159" s="4770" t="n"/>
      <c r="L159" s="4095" t="n"/>
      <c r="M159" s="4770" t="n"/>
      <c r="N159" s="4095" t="n"/>
      <c r="O159" s="4770" t="n"/>
      <c r="P159" s="4095" t="n"/>
      <c r="Q159" s="4770" t="n"/>
      <c r="R159" s="4095" t="n"/>
      <c r="S159" s="4770" t="n"/>
      <c r="T159" s="4095" t="n"/>
      <c r="U159" s="4770" t="n"/>
      <c r="V159" s="4095" t="n"/>
      <c r="W159" s="4770" t="n"/>
      <c r="X159" s="4095" t="n"/>
      <c r="Y159" s="4770" t="n"/>
      <c r="Z159" s="4095" t="n"/>
      <c r="AA159" s="4770" t="n"/>
      <c r="AB159" s="4095" t="n"/>
      <c r="AC159" s="4770" t="n"/>
      <c r="AD159" s="4095" t="n"/>
      <c r="AE159" s="4770" t="n"/>
      <c r="AF159" s="4095" t="n"/>
      <c r="AG159" s="4119" t="n"/>
      <c r="AH159" s="4120" t="n"/>
      <c r="AI159" s="1336" t="n"/>
      <c r="AJ159" s="227">
        <f>CA159&amp;CB159&amp;CE159&amp;CF159</f>
        <v/>
      </c>
      <c r="CA159" s="111">
        <f>IF(AND(C159&gt;0,AH159="")," * No olvide digitar La variable Pueblos originarios. Digite Cero si no tiene.",IF(AH159&gt;C159," * La variable Pueblos originarios no puede ser mayor al Total Ambos Sexos.",""))</f>
        <v/>
      </c>
      <c r="CB159" s="111">
        <f>IF(AND(C159&gt;0,AI159="")," * No olvide digitar La variable Migrantes, Digite Cero si no tiene.",IF(AI159&gt;C159," * La variable Migrantes no puede ser mayor al Total Ambos Sexos.",""))</f>
        <v/>
      </c>
      <c r="CE159" s="113" t="n"/>
      <c r="CF159" s="113" t="n"/>
      <c r="CG159" s="113" t="n"/>
      <c r="CH159" s="113" t="n"/>
      <c r="CI159" s="113" t="n"/>
      <c r="CJ159" s="110" t="n"/>
      <c r="CK159" s="110" t="n"/>
      <c r="CL159" s="112">
        <f>IF(AND(C159&gt;0,AH159=""),1,IF(AH159&gt;C159,1,0))</f>
        <v/>
      </c>
      <c r="CM159" s="112">
        <f>IF(AND(C159&gt;0,AI159=""),1,IF(AI159&gt;C159,1,0))</f>
        <v/>
      </c>
    </row>
    <row r="160" ht="15" customHeight="1" s="8286">
      <c r="A160" s="9933" t="inlineStr">
        <is>
          <t>Mensajes de texto</t>
        </is>
      </c>
      <c r="B160" s="4439" t="inlineStr">
        <is>
          <t>Médico/a</t>
        </is>
      </c>
      <c r="C160" s="4900">
        <f>SUM(D160:E160)</f>
        <v/>
      </c>
      <c r="D160" s="861">
        <f>SUM(F160+H160+J160+L160+N160+P160+R160+T160+V160+X160+Z160+AB160+AD160+AF160)</f>
        <v/>
      </c>
      <c r="E160" s="4869">
        <f>SUM(G160+I160+K160+M160+O160+Q160+S160+U160+W160+Y160+AA160+AC160+AE160+AG160)</f>
        <v/>
      </c>
      <c r="F160" s="4746" t="n"/>
      <c r="G160" s="4690" t="n"/>
      <c r="H160" s="4746" t="n"/>
      <c r="I160" s="4690" t="n"/>
      <c r="J160" s="4746" t="n"/>
      <c r="K160" s="4690" t="n"/>
      <c r="L160" s="4746" t="n"/>
      <c r="M160" s="4690" t="n"/>
      <c r="N160" s="4746" t="n"/>
      <c r="O160" s="4690" t="n"/>
      <c r="P160" s="4746" t="n"/>
      <c r="Q160" s="4690" t="n"/>
      <c r="R160" s="4746" t="n"/>
      <c r="S160" s="4690" t="n"/>
      <c r="T160" s="4746" t="n"/>
      <c r="U160" s="4690" t="n"/>
      <c r="V160" s="4746" t="n"/>
      <c r="W160" s="4690" t="n"/>
      <c r="X160" s="4746" t="n"/>
      <c r="Y160" s="4690" t="n"/>
      <c r="Z160" s="4746" t="n"/>
      <c r="AA160" s="4690" t="n"/>
      <c r="AB160" s="4746" t="n"/>
      <c r="AC160" s="4690" t="n"/>
      <c r="AD160" s="4746" t="n"/>
      <c r="AE160" s="4690" t="n"/>
      <c r="AF160" s="4746" t="n"/>
      <c r="AG160" s="4111" t="n"/>
      <c r="AH160" s="4112" t="n"/>
      <c r="AI160" s="4748" t="n"/>
      <c r="AJ160" s="227">
        <f>CA160&amp;CB160&amp;CE160&amp;CF160</f>
        <v/>
      </c>
      <c r="CA160" s="111">
        <f>IF(AND(C160&gt;0,AH160="")," * No olvide digitar La variable Pueblos originarios. Digite Cero si no tiene.",IF(AH160&gt;C160," * La variable Pueblos originarios no puede ser mayor al Total Ambos Sexos.",""))</f>
        <v/>
      </c>
      <c r="CB160" s="111">
        <f>IF(AND(C160&gt;0,AI160="")," * No olvide digitar La variable Migrantes, Digite Cero si no tiene.",IF(AI160&gt;C160," * La variable Migrantes no puede ser mayor al Total Ambos Sexos.",""))</f>
        <v/>
      </c>
      <c r="CE160" s="113" t="n"/>
      <c r="CF160" s="113" t="n"/>
      <c r="CG160" s="113" t="n"/>
      <c r="CH160" s="113" t="n"/>
      <c r="CI160" s="113" t="n"/>
      <c r="CJ160" s="110" t="n"/>
      <c r="CK160" s="110" t="n"/>
      <c r="CL160" s="112">
        <f>IF(AND(C160&gt;0,AH160=""),1,IF(AH160&gt;C160,1,0))</f>
        <v/>
      </c>
      <c r="CM160" s="112">
        <f>IF(AND(C160&gt;0,AI160=""),1,IF(AI160&gt;C160,1,0))</f>
        <v/>
      </c>
    </row>
    <row r="161" ht="15" customHeight="1" s="8286">
      <c r="A161" s="9614" t="n"/>
      <c r="B161" s="8053" t="inlineStr">
        <is>
          <t>Enfermera/o</t>
        </is>
      </c>
      <c r="C161" s="4901">
        <f>SUM(D161:E161)</f>
        <v/>
      </c>
      <c r="D161" s="4877">
        <f>SUM(F161+H161+J161+L161+N161+P161+R161+T161+V161+X161+Z161+AB161+AD161+AF161)</f>
        <v/>
      </c>
      <c r="E161" s="4878">
        <f>SUM(G161+I161+K161+M161+O161+Q161+S161+U161+W161+Y161+AA161+AC161+AE161+AG161)</f>
        <v/>
      </c>
      <c r="F161" s="1333" t="n"/>
      <c r="G161" s="4697" t="n"/>
      <c r="H161" s="1333" t="n"/>
      <c r="I161" s="4697" t="n"/>
      <c r="J161" s="1333" t="n"/>
      <c r="K161" s="4697" t="n"/>
      <c r="L161" s="1333" t="n"/>
      <c r="M161" s="4697" t="n"/>
      <c r="N161" s="1333" t="n"/>
      <c r="O161" s="4697" t="n"/>
      <c r="P161" s="1333" t="n"/>
      <c r="Q161" s="4697" t="n"/>
      <c r="R161" s="1333" t="n"/>
      <c r="S161" s="4697" t="n"/>
      <c r="T161" s="1333" t="n"/>
      <c r="U161" s="4697" t="n"/>
      <c r="V161" s="1333" t="n"/>
      <c r="W161" s="4697" t="n"/>
      <c r="X161" s="1333" t="n"/>
      <c r="Y161" s="4697" t="n"/>
      <c r="Z161" s="1333" t="n"/>
      <c r="AA161" s="4697" t="n"/>
      <c r="AB161" s="1333" t="n"/>
      <c r="AC161" s="4697" t="n"/>
      <c r="AD161" s="1333" t="n"/>
      <c r="AE161" s="4697" t="n"/>
      <c r="AF161" s="1333" t="n"/>
      <c r="AG161" s="4769" t="n"/>
      <c r="AH161" s="893" t="n"/>
      <c r="AI161" s="4114" t="n"/>
      <c r="AJ161" s="227">
        <f>CA161&amp;CB161&amp;CE161&amp;CF161</f>
        <v/>
      </c>
      <c r="CA161" s="111">
        <f>IF(AND(C161&gt;0,AH161="")," * No olvide digitar La variable Pueblos originarios. Digite Cero si no tiene.",IF(AH161&gt;C161," * La variable Pueblos originarios no puede ser mayor al Total Ambos Sexos.",""))</f>
        <v/>
      </c>
      <c r="CB161" s="111">
        <f>IF(AND(C161&gt;0,AI161="")," * No olvide digitar La variable Migrantes, Digite Cero si no tiene.",IF(AI161&gt;C161," * La variable Migrantes no puede ser mayor al Total Ambos Sexos.",""))</f>
        <v/>
      </c>
      <c r="CE161" s="113" t="n"/>
      <c r="CF161" s="113" t="n"/>
      <c r="CG161" s="113" t="n"/>
      <c r="CH161" s="113" t="n"/>
      <c r="CI161" s="113" t="n"/>
      <c r="CJ161" s="110" t="n"/>
      <c r="CK161" s="110" t="n"/>
      <c r="CL161" s="112">
        <f>IF(AND(C161&gt;0,AH161=""),1,IF(AH161&gt;C161,1,0))</f>
        <v/>
      </c>
      <c r="CM161" s="112">
        <f>IF(AND(C161&gt;0,AI161=""),1,IF(AI161&gt;C161,1,0))</f>
        <v/>
      </c>
    </row>
    <row r="162" ht="15" customHeight="1" s="8286">
      <c r="A162" s="9614" t="n"/>
      <c r="B162" s="1337" t="inlineStr">
        <is>
          <t>Nutricionista</t>
        </is>
      </c>
      <c r="C162" s="4901">
        <f>SUM(D162:E162)</f>
        <v/>
      </c>
      <c r="D162" s="4877">
        <f>SUM(F162+H162+J162+L162+N162+P162+R162+T162+V162+X162+Z162+AB162+AD162+AF162)</f>
        <v/>
      </c>
      <c r="E162" s="4878">
        <f>SUM(G162+I162+K162+M162+O162+Q162+S162+U162+W162+Y162+AA162+AC162+AE162+AG162)</f>
        <v/>
      </c>
      <c r="F162" s="1333" t="n"/>
      <c r="G162" s="4697" t="n"/>
      <c r="H162" s="1333" t="n"/>
      <c r="I162" s="4697" t="n"/>
      <c r="J162" s="1333" t="n"/>
      <c r="K162" s="4697" t="n"/>
      <c r="L162" s="1333" t="n"/>
      <c r="M162" s="4697" t="n"/>
      <c r="N162" s="1333" t="n"/>
      <c r="O162" s="4697" t="n"/>
      <c r="P162" s="1333" t="n"/>
      <c r="Q162" s="4697" t="n"/>
      <c r="R162" s="1333" t="n"/>
      <c r="S162" s="4697" t="n"/>
      <c r="T162" s="1333" t="n"/>
      <c r="U162" s="4697" t="n"/>
      <c r="V162" s="1333" t="n"/>
      <c r="W162" s="4697" t="n"/>
      <c r="X162" s="1333" t="n"/>
      <c r="Y162" s="4697" t="n"/>
      <c r="Z162" s="1333" t="n"/>
      <c r="AA162" s="4697" t="n"/>
      <c r="AB162" s="1333" t="n"/>
      <c r="AC162" s="4697" t="n"/>
      <c r="AD162" s="1333" t="n"/>
      <c r="AE162" s="4697" t="n"/>
      <c r="AF162" s="1333" t="n"/>
      <c r="AG162" s="4769" t="n"/>
      <c r="AH162" s="893" t="n"/>
      <c r="AI162" s="4114" t="n"/>
      <c r="AJ162" s="227">
        <f>CA162&amp;CB162&amp;CE162&amp;CF162</f>
        <v/>
      </c>
      <c r="CA162" s="111">
        <f>IF(AND(C162&gt;0,AH162="")," * No olvide digitar La variable Pueblos originarios. Digite Cero si no tiene.",IF(AH162&gt;C162," * La variable Pueblos originarios no puede ser mayor al Total Ambos Sexos.",""))</f>
        <v/>
      </c>
      <c r="CB162" s="111">
        <f>IF(AND(C162&gt;0,AI162="")," * No olvide digitar La variable Migrantes, Digite Cero si no tiene.",IF(AI162&gt;C162," * La variable Migrantes no puede ser mayor al Total Ambos Sexos.",""))</f>
        <v/>
      </c>
      <c r="CE162" s="113" t="n"/>
      <c r="CF162" s="113" t="n"/>
      <c r="CG162" s="113" t="n"/>
      <c r="CH162" s="113" t="n"/>
      <c r="CI162" s="113" t="n"/>
      <c r="CJ162" s="110" t="n"/>
      <c r="CK162" s="110" t="n"/>
      <c r="CL162" s="112">
        <f>IF(AND(C162&gt;0,AH162=""),1,IF(AH162&gt;C162,1,0))</f>
        <v/>
      </c>
      <c r="CM162" s="112">
        <f>IF(AND(C162&gt;0,AI162=""),1,IF(AI162&gt;C162,1,0))</f>
        <v/>
      </c>
    </row>
    <row r="163" ht="15" customHeight="1" s="8286">
      <c r="A163" s="9610" t="n"/>
      <c r="B163" s="4191" t="inlineStr">
        <is>
          <t xml:space="preserve">Técnico en Enfermería </t>
        </is>
      </c>
      <c r="C163" s="4902">
        <f>SUM(D163:E163)</f>
        <v/>
      </c>
      <c r="D163" s="4883">
        <f>SUM(F163+H163+J163+L163+N163+P163+R163+T163+V163+X163+Z163+AB163+AD163+AF163)</f>
        <v/>
      </c>
      <c r="E163" s="1407">
        <f>SUM(G163+I163+K163+M163+O163+Q163+S163+U163+W163+Y163+AA163+AC163+AE163+AG163)</f>
        <v/>
      </c>
      <c r="F163" s="4095" t="n"/>
      <c r="G163" s="4770" t="n"/>
      <c r="H163" s="4095" t="n"/>
      <c r="I163" s="4770" t="n"/>
      <c r="J163" s="4095" t="n"/>
      <c r="K163" s="4770" t="n"/>
      <c r="L163" s="4095" t="n"/>
      <c r="M163" s="4770" t="n"/>
      <c r="N163" s="4095" t="n"/>
      <c r="O163" s="4770" t="n"/>
      <c r="P163" s="4095" t="n"/>
      <c r="Q163" s="4770" t="n"/>
      <c r="R163" s="4095" t="n"/>
      <c r="S163" s="4770" t="n"/>
      <c r="T163" s="4095" t="n"/>
      <c r="U163" s="4770" t="n"/>
      <c r="V163" s="4095" t="n"/>
      <c r="W163" s="4770" t="n"/>
      <c r="X163" s="4095" t="n"/>
      <c r="Y163" s="4770" t="n"/>
      <c r="Z163" s="4095" t="n"/>
      <c r="AA163" s="4770" t="n"/>
      <c r="AB163" s="4095" t="n"/>
      <c r="AC163" s="4770" t="n"/>
      <c r="AD163" s="4095" t="n"/>
      <c r="AE163" s="4770" t="n"/>
      <c r="AF163" s="4095" t="n"/>
      <c r="AG163" s="4119" t="n"/>
      <c r="AH163" s="4120" t="n"/>
      <c r="AI163" s="1336" t="n"/>
      <c r="AJ163" s="227">
        <f>CA163&amp;CB163&amp;CE163&amp;CF163</f>
        <v/>
      </c>
      <c r="CA163" s="111">
        <f>IF(AND(C163&gt;0,AH163="")," * No olvide digitar La variable Pueblos originarios. Digite Cero si no tiene.",IF(AH163&gt;C163," * La variable Pueblos originarios no puede ser mayor al Total Ambos Sexos.",""))</f>
        <v/>
      </c>
      <c r="CB163" s="111">
        <f>IF(AND(C163&gt;0,AI163="")," * No olvide digitar La variable Migrantes, Digite Cero si no tiene.",IF(AI163&gt;C163," * La variable Migrantes no puede ser mayor al Total Ambos Sexos.",""))</f>
        <v/>
      </c>
      <c r="CE163" s="113" t="n"/>
      <c r="CF163" s="113" t="n"/>
      <c r="CG163" s="113" t="n"/>
      <c r="CH163" s="113" t="n"/>
      <c r="CI163" s="113" t="n"/>
      <c r="CJ163" s="110" t="n"/>
      <c r="CK163" s="110" t="n"/>
      <c r="CL163" s="112">
        <f>IF(AND(C163&gt;0,AH163=""),1,IF(AH163&gt;C163,1,0))</f>
        <v/>
      </c>
      <c r="CM163" s="112">
        <f>IF(AND(C163&gt;0,AI163=""),1,IF(AI163&gt;C163,1,0))</f>
        <v/>
      </c>
    </row>
    <row r="164" ht="18" customFormat="1" customHeight="1" s="109">
      <c r="A164" s="95" t="inlineStr">
        <is>
          <t>SECCIÓN H: ACTIVIDADES DE ACOMPAÑAMIENTO REMOTO A PERSONAS MAYORES Y SUS FAMILIAS POR PARTE DEL PROGRAMA MÁS ADULTOS MAYORES AUTOVALENTES</t>
        </is>
      </c>
      <c r="CC164" s="110" t="n"/>
      <c r="CD164" s="110" t="n"/>
      <c r="CE164" s="110" t="n"/>
      <c r="CF164" s="110" t="n"/>
      <c r="CG164" s="110" t="n"/>
      <c r="CH164" s="110" t="n"/>
      <c r="CI164" s="110" t="n"/>
      <c r="CJ164" s="110" t="n"/>
      <c r="CK164" s="110" t="n"/>
      <c r="CL164" s="110" t="n"/>
      <c r="CM164" s="110" t="n"/>
    </row>
    <row r="165" ht="15" customFormat="1" customHeight="1" s="110">
      <c r="A165" s="9977" t="inlineStr">
        <is>
          <t>TIPO DE ACTIVIDAD</t>
        </is>
      </c>
      <c r="B165" s="9939" t="inlineStr">
        <is>
          <t>TOTAL</t>
        </is>
      </c>
      <c r="C165" s="9602" t="n"/>
      <c r="D165" s="9630" t="n"/>
      <c r="E165" s="10099" t="inlineStr">
        <is>
          <t>RANGO ETARIO Y SEXO</t>
        </is>
      </c>
      <c r="F165" s="9584" t="n"/>
      <c r="G165" s="9584" t="n"/>
      <c r="H165" s="9584" t="n"/>
      <c r="I165" s="9584" t="n"/>
      <c r="J165" s="9584" t="n"/>
      <c r="K165" s="9584" t="n"/>
      <c r="L165" s="9584" t="n"/>
      <c r="M165" s="9584" t="n"/>
      <c r="N165" s="9584" t="n"/>
      <c r="O165" s="9584" t="n"/>
      <c r="P165" s="9584" t="n"/>
      <c r="Q165" s="9584" t="n"/>
      <c r="R165" s="9584" t="n"/>
      <c r="S165" s="9584" t="n"/>
      <c r="T165" s="9584" t="n"/>
      <c r="U165" s="9584" t="n"/>
      <c r="V165" s="9584" t="n"/>
      <c r="W165" s="9584" t="n"/>
      <c r="X165" s="9584" t="n"/>
      <c r="Y165" s="9584" t="n"/>
      <c r="Z165" s="9584" t="n"/>
      <c r="AA165" s="9584" t="n"/>
      <c r="AB165" s="9584" t="n"/>
      <c r="AC165" s="9584" t="n"/>
      <c r="AD165" s="9584" t="n"/>
      <c r="AE165" s="9584" t="n"/>
      <c r="AF165" s="9873" t="n"/>
      <c r="AG165" s="9920" t="inlineStr">
        <is>
          <t>Grupal</t>
        </is>
      </c>
      <c r="AH165" s="10248" t="inlineStr">
        <is>
          <t>Pueblos Originarios</t>
        </is>
      </c>
      <c r="AI165" s="9920" t="inlineStr">
        <is>
          <t>Migrantes</t>
        </is>
      </c>
    </row>
    <row r="166" ht="15" customFormat="1" customHeight="1" s="110">
      <c r="A166" s="9614" t="n"/>
      <c r="B166" s="9638" t="n"/>
      <c r="C166" s="9697" t="n"/>
      <c r="D166" s="9639" t="n"/>
      <c r="E166" s="8400" t="inlineStr">
        <is>
          <t>15 - 19 años</t>
        </is>
      </c>
      <c r="F166" s="9582" t="n"/>
      <c r="G166" s="8400" t="inlineStr">
        <is>
          <t>20 - 24 años</t>
        </is>
      </c>
      <c r="H166" s="9582" t="n"/>
      <c r="I166" s="9977" t="inlineStr">
        <is>
          <t>25 - 29 años</t>
        </is>
      </c>
      <c r="J166" s="9582" t="n"/>
      <c r="K166" s="9977" t="inlineStr">
        <is>
          <t>30 - 34 años</t>
        </is>
      </c>
      <c r="L166" s="9582" t="n"/>
      <c r="M166" s="9977" t="inlineStr">
        <is>
          <t>35 - 39 años</t>
        </is>
      </c>
      <c r="N166" s="9582" t="n"/>
      <c r="O166" s="9977" t="inlineStr">
        <is>
          <t>40 - 44 años</t>
        </is>
      </c>
      <c r="P166" s="9582" t="n"/>
      <c r="Q166" s="9977" t="inlineStr">
        <is>
          <t>45 - 49 años</t>
        </is>
      </c>
      <c r="R166" s="9582" t="n"/>
      <c r="S166" s="9977" t="inlineStr">
        <is>
          <t>50 - 54 años</t>
        </is>
      </c>
      <c r="T166" s="9582" t="n"/>
      <c r="U166" s="9977" t="inlineStr">
        <is>
          <t>55 - 59 años</t>
        </is>
      </c>
      <c r="V166" s="9582" t="n"/>
      <c r="W166" s="9977" t="inlineStr">
        <is>
          <t>60 - 64 años</t>
        </is>
      </c>
      <c r="X166" s="9582" t="n"/>
      <c r="Y166" s="9977" t="inlineStr">
        <is>
          <t>65 - 69 años</t>
        </is>
      </c>
      <c r="Z166" s="9582" t="n"/>
      <c r="AA166" s="9977" t="inlineStr">
        <is>
          <t>70 - 74 años</t>
        </is>
      </c>
      <c r="AB166" s="9582" t="n"/>
      <c r="AC166" s="9977" t="inlineStr">
        <is>
          <t>75 - 79 años</t>
        </is>
      </c>
      <c r="AD166" s="9582" t="n"/>
      <c r="AE166" s="9192" t="inlineStr">
        <is>
          <t>80 y más años</t>
        </is>
      </c>
      <c r="AF166" s="9873" t="n"/>
      <c r="AG166" s="9625" t="n"/>
      <c r="AH166" s="9852" t="n"/>
      <c r="AI166" s="9625" t="n"/>
    </row>
    <row r="167" ht="15" customFormat="1" customHeight="1" s="110">
      <c r="A167" s="9610" t="n"/>
      <c r="B167" s="4498" t="inlineStr">
        <is>
          <t>Ambos Sexos</t>
        </is>
      </c>
      <c r="C167" s="9499" t="inlineStr">
        <is>
          <t>Hombres</t>
        </is>
      </c>
      <c r="D167" s="9268" t="inlineStr">
        <is>
          <t>Mujeres</t>
        </is>
      </c>
      <c r="E167" s="9498" t="inlineStr">
        <is>
          <t>Hombres</t>
        </is>
      </c>
      <c r="F167" s="9268" t="inlineStr">
        <is>
          <t>Mujeres</t>
        </is>
      </c>
      <c r="G167" s="9498" t="inlineStr">
        <is>
          <t>Hombres</t>
        </is>
      </c>
      <c r="H167" s="9268" t="inlineStr">
        <is>
          <t>Mujeres</t>
        </is>
      </c>
      <c r="I167" s="9498" t="inlineStr">
        <is>
          <t>Hombres</t>
        </is>
      </c>
      <c r="J167" s="9268" t="inlineStr">
        <is>
          <t>Mujeres</t>
        </is>
      </c>
      <c r="K167" s="9498" t="inlineStr">
        <is>
          <t>Hombres</t>
        </is>
      </c>
      <c r="L167" s="9268" t="inlineStr">
        <is>
          <t>Mujeres</t>
        </is>
      </c>
      <c r="M167" s="9498" t="inlineStr">
        <is>
          <t>Hombres</t>
        </is>
      </c>
      <c r="N167" s="9268" t="inlineStr">
        <is>
          <t>Mujeres</t>
        </is>
      </c>
      <c r="O167" s="9498" t="inlineStr">
        <is>
          <t>Hombres</t>
        </is>
      </c>
      <c r="P167" s="9268" t="inlineStr">
        <is>
          <t>Mujeres</t>
        </is>
      </c>
      <c r="Q167" s="9498" t="inlineStr">
        <is>
          <t>Hombres</t>
        </is>
      </c>
      <c r="R167" s="9268" t="inlineStr">
        <is>
          <t>Mujeres</t>
        </is>
      </c>
      <c r="S167" s="9498" t="inlineStr">
        <is>
          <t>Hombres</t>
        </is>
      </c>
      <c r="T167" s="9268" t="inlineStr">
        <is>
          <t>Mujeres</t>
        </is>
      </c>
      <c r="U167" s="9498" t="inlineStr">
        <is>
          <t>Hombres</t>
        </is>
      </c>
      <c r="V167" s="9268" t="inlineStr">
        <is>
          <t>Mujeres</t>
        </is>
      </c>
      <c r="W167" s="9498" t="inlineStr">
        <is>
          <t>Hombres</t>
        </is>
      </c>
      <c r="X167" s="9268" t="inlineStr">
        <is>
          <t>Mujeres</t>
        </is>
      </c>
      <c r="Y167" s="9498" t="inlineStr">
        <is>
          <t>Hombres</t>
        </is>
      </c>
      <c r="Z167" s="9268" t="inlineStr">
        <is>
          <t>Mujeres</t>
        </is>
      </c>
      <c r="AA167" s="9498" t="inlineStr">
        <is>
          <t>Hombres</t>
        </is>
      </c>
      <c r="AB167" s="9268" t="inlineStr">
        <is>
          <t>Mujeres</t>
        </is>
      </c>
      <c r="AC167" s="9498" t="inlineStr">
        <is>
          <t>Hombres</t>
        </is>
      </c>
      <c r="AD167" s="9268" t="inlineStr">
        <is>
          <t>Mujeres</t>
        </is>
      </c>
      <c r="AE167" s="9498" t="inlineStr">
        <is>
          <t>Hombres</t>
        </is>
      </c>
      <c r="AF167" s="9399" t="inlineStr">
        <is>
          <t>Mujeres</t>
        </is>
      </c>
      <c r="AG167" s="9641" t="n"/>
      <c r="AH167" s="9800" t="n"/>
      <c r="AI167" s="9641" t="n"/>
    </row>
    <row r="168" ht="15" customFormat="1" customHeight="1" s="110">
      <c r="A168" s="2377" t="inlineStr">
        <is>
          <t>Llamadas Telefónicas</t>
        </is>
      </c>
      <c r="B168" s="4868">
        <f>SUM(C168:D168)</f>
        <v/>
      </c>
      <c r="C168" s="861">
        <f>+E168+G168+I168+K168+M168+O168+Q168+S168+U168+W168+Y168+AA168+AC168+AE168</f>
        <v/>
      </c>
      <c r="D168" s="4869">
        <f>+F168+H168+J168+L168+N168+P168+R168+T168+V168+X168+Z168+AB168+AD168+AF168</f>
        <v/>
      </c>
      <c r="E168" s="4746" t="n"/>
      <c r="F168" s="4690" t="n"/>
      <c r="G168" s="4746" t="n"/>
      <c r="H168" s="4690" t="n"/>
      <c r="I168" s="4746" t="n"/>
      <c r="J168" s="4690" t="n"/>
      <c r="K168" s="4746" t="n"/>
      <c r="L168" s="4690" t="n"/>
      <c r="M168" s="4746" t="n"/>
      <c r="N168" s="4690" t="n"/>
      <c r="O168" s="4746" t="n"/>
      <c r="P168" s="4690" t="n"/>
      <c r="Q168" s="4746" t="n"/>
      <c r="R168" s="4690" t="n"/>
      <c r="S168" s="4746" t="n"/>
      <c r="T168" s="4690" t="n"/>
      <c r="U168" s="4746" t="n"/>
      <c r="V168" s="4690" t="n"/>
      <c r="W168" s="4746" t="n">
        <v>3</v>
      </c>
      <c r="X168" s="4690" t="n">
        <v>13</v>
      </c>
      <c r="Y168" s="4746" t="n">
        <v>7</v>
      </c>
      <c r="Z168" s="4690" t="n">
        <v>36</v>
      </c>
      <c r="AA168" s="4746" t="n">
        <v>3</v>
      </c>
      <c r="AB168" s="4690" t="n">
        <v>37</v>
      </c>
      <c r="AC168" s="4746" t="n">
        <v>3</v>
      </c>
      <c r="AD168" s="4690" t="n">
        <v>29</v>
      </c>
      <c r="AE168" s="4746" t="n">
        <v>6</v>
      </c>
      <c r="AF168" s="4903" t="n">
        <v>18</v>
      </c>
      <c r="AG168" s="4748" t="n"/>
      <c r="AH168" s="4746" t="n">
        <v>0</v>
      </c>
      <c r="AI168" s="4748" t="n">
        <v>0</v>
      </c>
      <c r="AJ168" s="110">
        <f>CA168&amp;CB168&amp;CE168&amp;CF168</f>
        <v/>
      </c>
      <c r="CA168" s="111">
        <f>IF(AND(B168&gt;0,AH168="")," * No olvide digitar La variable Pueblos Originarios. Digite Cero si no tiene.",IF(AH168&gt;B168," * La variable Pueblos Originarios no puede ser mayor al Total Ambos Sexos.",""))</f>
        <v/>
      </c>
      <c r="CB168" s="111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/>
      </c>
      <c r="CM168" s="112">
        <f>IF(AND(B168&gt;0,AI168=""),1,IF(AI168&gt;B168,1,0))</f>
        <v/>
      </c>
    </row>
    <row r="169" ht="15" customFormat="1" customHeight="1" s="110">
      <c r="A169" s="2377" t="inlineStr">
        <is>
          <t>Videollamadas</t>
        </is>
      </c>
      <c r="B169" s="4894">
        <f>SUM(C169:D169)</f>
        <v/>
      </c>
      <c r="C169" s="818">
        <f>+E169+G169+I169+K169+M169+O169+Q169+S169+U169+W169+Y169+AA169+AC169+AE169</f>
        <v/>
      </c>
      <c r="D169" s="4895">
        <f>+F169+H169+J169+L169+N169+P169+R169+T169+V169+X169+Z169+AB169+AD169+AF169</f>
        <v/>
      </c>
      <c r="E169" s="1333" t="n"/>
      <c r="F169" s="4697" t="n"/>
      <c r="G169" s="1333" t="n"/>
      <c r="H169" s="4697" t="n"/>
      <c r="I169" s="1333" t="n"/>
      <c r="J169" s="4697" t="n"/>
      <c r="K169" s="1333" t="n"/>
      <c r="L169" s="4697" t="n"/>
      <c r="M169" s="1333" t="n"/>
      <c r="N169" s="4697" t="n"/>
      <c r="O169" s="1333" t="n"/>
      <c r="P169" s="4697" t="n"/>
      <c r="Q169" s="1333" t="n"/>
      <c r="R169" s="4697" t="n"/>
      <c r="S169" s="1333" t="n"/>
      <c r="T169" s="4697" t="n"/>
      <c r="U169" s="1333" t="n"/>
      <c r="V169" s="4697" t="n"/>
      <c r="W169" s="1333" t="n">
        <v>1</v>
      </c>
      <c r="X169" s="4697" t="n">
        <v>3</v>
      </c>
      <c r="Y169" s="1333" t="n">
        <v>8</v>
      </c>
      <c r="Z169" s="4697" t="n">
        <v>7</v>
      </c>
      <c r="AA169" s="1333" t="n">
        <v>6</v>
      </c>
      <c r="AB169" s="4697" t="n">
        <v>6</v>
      </c>
      <c r="AC169" s="1333" t="n">
        <v>4</v>
      </c>
      <c r="AD169" s="4697" t="n">
        <v>2</v>
      </c>
      <c r="AE169" s="1333" t="n">
        <v>9</v>
      </c>
      <c r="AF169" s="1409" t="n">
        <v>7</v>
      </c>
      <c r="AG169" s="4114" t="n"/>
      <c r="AH169" s="1333" t="n"/>
      <c r="AI169" s="4114" t="n"/>
      <c r="AJ169" s="110">
        <f>CA169&amp;CB169&amp;CE169&amp;CF169</f>
        <v/>
      </c>
      <c r="CA169" s="111">
        <f>IF(AND(B169&gt;0,AH169="")," * No olvide digitar La variable Pueblos Originarios. Digite Cero si no tiene.",IF(AH169&gt;B169," * La variable Pueblos Originarios no puede ser mayor al Total Ambos Sexos.",""))</f>
        <v/>
      </c>
      <c r="CB169" s="111">
        <f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/>
      </c>
      <c r="CM169" s="112">
        <f>IF(AND(B169&gt;0,AI169=""),1,IF(AI169&gt;B169,1,0))</f>
        <v/>
      </c>
    </row>
    <row r="170" ht="15" customFormat="1" customHeight="1" s="110">
      <c r="A170" s="2377" t="inlineStr">
        <is>
          <t>Contacto individual por mensaje electrónico</t>
        </is>
      </c>
      <c r="B170" s="4894">
        <f>SUM(C170:D170)</f>
        <v/>
      </c>
      <c r="C170" s="818">
        <f>+E170+G170+I170+K170+M170+O170+Q170+S170+U170+W170+Y170+AA170+AC170+AE170</f>
        <v/>
      </c>
      <c r="D170" s="4895">
        <f>+F170+H170+J170+L170+N170+P170+R170+T170+V170+X170+Z170+AB170+AD170+AF170</f>
        <v/>
      </c>
      <c r="E170" s="4763" t="n"/>
      <c r="F170" s="775" t="n"/>
      <c r="G170" s="4763" t="n"/>
      <c r="H170" s="775" t="n"/>
      <c r="I170" s="4763" t="n"/>
      <c r="J170" s="775" t="n"/>
      <c r="K170" s="4763" t="n"/>
      <c r="L170" s="775" t="n"/>
      <c r="M170" s="4763" t="n"/>
      <c r="N170" s="775" t="n"/>
      <c r="O170" s="4763" t="n"/>
      <c r="P170" s="775" t="n"/>
      <c r="Q170" s="4763" t="n"/>
      <c r="R170" s="775" t="n"/>
      <c r="S170" s="4763" t="n"/>
      <c r="T170" s="775" t="n"/>
      <c r="U170" s="4763" t="n"/>
      <c r="V170" s="775" t="n"/>
      <c r="W170" s="4763" t="n">
        <v>1</v>
      </c>
      <c r="X170" s="775" t="n">
        <v>7</v>
      </c>
      <c r="Y170" s="4763" t="n">
        <v>4</v>
      </c>
      <c r="Z170" s="775" t="n">
        <v>37</v>
      </c>
      <c r="AA170" s="4763" t="n">
        <v>8</v>
      </c>
      <c r="AB170" s="775" t="n">
        <v>43</v>
      </c>
      <c r="AC170" s="4763" t="n">
        <v>4</v>
      </c>
      <c r="AD170" s="775" t="n">
        <v>21</v>
      </c>
      <c r="AE170" s="4763" t="n">
        <v>6</v>
      </c>
      <c r="AF170" s="827" t="n">
        <v>14</v>
      </c>
      <c r="AG170" s="4798" t="n"/>
      <c r="AH170" s="4763" t="n">
        <v>0</v>
      </c>
      <c r="AI170" s="4798" t="n">
        <v>0</v>
      </c>
      <c r="AJ170" s="110">
        <f>CA170&amp;CB170&amp;CE170&amp;CF170</f>
        <v/>
      </c>
      <c r="CA170" s="111">
        <f>IF(AND(B170&gt;0,AH170="")," * No olvide digitar La variable Pueblos Originarios. Digite Cero si no tiene.",IF(AH170&gt;B170," * La variable Pueblos Originarios no puede ser mayor al Total Ambos Sexos.",""))</f>
        <v/>
      </c>
      <c r="CB170" s="111">
        <f>IF(AND(B170&gt;0,AI170="")," * No olvide digitar La variable Migrantes. Digite Cero si no tiene.",IF(AI170&gt;B170," * La variable Migrantes no puede ser mayor al Total Ambos Sexos.",""))</f>
        <v/>
      </c>
      <c r="CL170" s="112">
        <f>IF(AND(B170&gt;0,AH170=""),1,IF(AH170&gt;B170,1,0))</f>
        <v/>
      </c>
      <c r="CM170" s="112">
        <f>IF(AND(B170&gt;0,AI170=""),1,IF(AI170&gt;B170,1,0))</f>
        <v/>
      </c>
    </row>
    <row r="171" ht="15" customFormat="1" customHeight="1" s="110">
      <c r="A171" s="8369" t="inlineStr">
        <is>
          <t>Contacto grupal por mensaje electrónico</t>
        </is>
      </c>
      <c r="B171" s="4904" t="n"/>
      <c r="C171" s="4905" t="n"/>
      <c r="D171" s="1410" t="n"/>
      <c r="E171" s="4906" t="n"/>
      <c r="F171" s="169" t="n"/>
      <c r="G171" s="4906" t="n"/>
      <c r="H171" s="169" t="n"/>
      <c r="I171" s="4906" t="n"/>
      <c r="J171" s="169" t="n"/>
      <c r="K171" s="4906" t="n"/>
      <c r="L171" s="169" t="n"/>
      <c r="M171" s="4906" t="n"/>
      <c r="N171" s="169" t="n"/>
      <c r="O171" s="4906" t="n"/>
      <c r="P171" s="169" t="n"/>
      <c r="Q171" s="4906" t="n"/>
      <c r="R171" s="169" t="n"/>
      <c r="S171" s="4906" t="n"/>
      <c r="T171" s="169" t="n"/>
      <c r="U171" s="4906" t="n"/>
      <c r="V171" s="169" t="n"/>
      <c r="W171" s="4906" t="n"/>
      <c r="X171" s="169" t="n"/>
      <c r="Y171" s="4906" t="n"/>
      <c r="Z171" s="169" t="n"/>
      <c r="AA171" s="4906" t="n"/>
      <c r="AB171" s="169" t="n"/>
      <c r="AC171" s="4906" t="n"/>
      <c r="AD171" s="169" t="n"/>
      <c r="AE171" s="4906" t="n"/>
      <c r="AF171" s="828" t="n"/>
      <c r="AG171" s="4755" t="n">
        <v>76</v>
      </c>
      <c r="AH171" s="4906" t="n"/>
      <c r="AI171" s="4907" t="n"/>
    </row>
    <row r="172" ht="17.1" customFormat="1" customHeight="1" s="110">
      <c r="A172" s="95" t="inlineStr">
        <is>
          <t>SECCIÓN I: SEGUIMIENTO DE SALUD INFANTIL REMOTO</t>
        </is>
      </c>
    </row>
    <row r="173" ht="15" customFormat="1" customHeight="1" s="110">
      <c r="A173" s="10326" t="inlineStr">
        <is>
          <t>PROFESIONALES</t>
        </is>
      </c>
      <c r="B173" s="10326" t="inlineStr">
        <is>
          <t>TOTAL ACCIONES</t>
        </is>
      </c>
      <c r="C173" s="10683" t="inlineStr">
        <is>
          <t>ACCIONES</t>
        </is>
      </c>
      <c r="D173" s="9584" t="n"/>
      <c r="E173" s="10326" t="inlineStr">
        <is>
          <t>TOTAL USUARIOS</t>
        </is>
      </c>
      <c r="F173" s="10339" t="inlineStr">
        <is>
          <t>RANGO ETARIO</t>
        </is>
      </c>
      <c r="G173" s="9584" t="n"/>
      <c r="H173" s="9584" t="n"/>
      <c r="I173" s="9584" t="n"/>
      <c r="J173" s="9584" t="n"/>
      <c r="K173" s="9584" t="n"/>
      <c r="L173" s="9584" t="n"/>
      <c r="M173" s="9584" t="n"/>
      <c r="N173" s="9584" t="n"/>
      <c r="O173" s="9584" t="n"/>
      <c r="P173" s="9584" t="n"/>
      <c r="Q173" s="9584" t="n"/>
      <c r="R173" s="9584" t="n"/>
      <c r="S173" s="9584" t="n"/>
      <c r="T173" s="9582" t="n"/>
    </row>
    <row r="174" ht="21" customFormat="1" customHeight="1" s="110">
      <c r="A174" s="9610" t="n"/>
      <c r="B174" s="9610" t="n"/>
      <c r="C174" s="4650" t="inlineStr">
        <is>
          <t>Llamadas Telefónicas</t>
        </is>
      </c>
      <c r="D174" s="9559" t="inlineStr">
        <is>
          <t>Video Llamadas</t>
        </is>
      </c>
      <c r="E174" s="9610" t="n"/>
      <c r="F174" s="4650" t="inlineStr">
        <is>
          <t>1 mes</t>
        </is>
      </c>
      <c r="G174" s="4669" t="inlineStr">
        <is>
          <t>2 meses</t>
        </is>
      </c>
      <c r="H174" s="4669" t="inlineStr">
        <is>
          <t>3 meses</t>
        </is>
      </c>
      <c r="I174" s="4669" t="inlineStr">
        <is>
          <t>4 meses</t>
        </is>
      </c>
      <c r="J174" s="4669" t="inlineStr">
        <is>
          <t>5 meses</t>
        </is>
      </c>
      <c r="K174" s="4669" t="inlineStr">
        <is>
          <t>6 meses</t>
        </is>
      </c>
      <c r="L174" s="4669" t="inlineStr">
        <is>
          <t>7 - 11 meses</t>
        </is>
      </c>
      <c r="M174" s="4669" t="inlineStr">
        <is>
          <t>12 - 17 meses</t>
        </is>
      </c>
      <c r="N174" s="4669" t="inlineStr">
        <is>
          <t>18 - 23 meses</t>
        </is>
      </c>
      <c r="O174" s="4669" t="inlineStr">
        <is>
          <t>24 - 35 meses</t>
        </is>
      </c>
      <c r="P174" s="4669" t="inlineStr">
        <is>
          <t>36 - 41 meses</t>
        </is>
      </c>
      <c r="Q174" s="4669" t="inlineStr">
        <is>
          <t>42 - 47 meses</t>
        </is>
      </c>
      <c r="R174" s="4669" t="inlineStr">
        <is>
          <t>48 - 59 meses</t>
        </is>
      </c>
      <c r="S174" s="4669" t="inlineStr">
        <is>
          <t>60 - 71 meses</t>
        </is>
      </c>
      <c r="T174" s="9559" t="inlineStr">
        <is>
          <t>6 - 9 años 11 meses</t>
        </is>
      </c>
    </row>
    <row r="175" ht="15" customFormat="1" customHeight="1" s="110">
      <c r="A175" s="2377" t="inlineStr">
        <is>
          <t>Enfermera/o</t>
        </is>
      </c>
      <c r="B175" s="4439">
        <f>SUM(C175:D175)</f>
        <v/>
      </c>
      <c r="C175" s="4763" t="n"/>
      <c r="D175" s="4797" t="n"/>
      <c r="E175" s="4439">
        <f>+F175+G175+H175+I175+K175+L175+M175+N175+O175+P175+Q175+R175+S175+T175</f>
        <v/>
      </c>
      <c r="F175" s="1333" t="n"/>
      <c r="G175" s="4688" t="n"/>
      <c r="H175" s="4688" t="n"/>
      <c r="I175" s="4688" t="n"/>
      <c r="J175" s="4910" t="n"/>
      <c r="K175" s="4688" t="n"/>
      <c r="L175" s="4688" t="n"/>
      <c r="M175" s="4688" t="n"/>
      <c r="N175" s="4688" t="n"/>
      <c r="O175" s="4688" t="n"/>
      <c r="P175" s="4688" t="n"/>
      <c r="Q175" s="4688" t="n"/>
      <c r="R175" s="4688" t="n"/>
      <c r="S175" s="4688" t="n"/>
      <c r="T175" s="4114" t="n"/>
    </row>
    <row r="176" ht="15" customFormat="1" customHeight="1" s="110">
      <c r="A176" s="2377" t="inlineStr">
        <is>
          <t>Médico/a</t>
        </is>
      </c>
      <c r="B176" s="1281">
        <f>SUM(C176:D176)</f>
        <v/>
      </c>
      <c r="C176" s="1333" t="n"/>
      <c r="D176" s="4115" t="n"/>
      <c r="E176" s="1337">
        <f>+F176+G176+H176+I176+K176+L176+M176+N176+O176+P176+Q176+R176+S176+T176</f>
        <v/>
      </c>
      <c r="F176" s="1333" t="n"/>
      <c r="G176" s="4688" t="n"/>
      <c r="H176" s="4688" t="n"/>
      <c r="I176" s="4688" t="n"/>
      <c r="J176" s="4911" t="n"/>
      <c r="K176" s="4688" t="n"/>
      <c r="L176" s="4688" t="n"/>
      <c r="M176" s="4688" t="n"/>
      <c r="N176" s="4688" t="n"/>
      <c r="O176" s="4688" t="n"/>
      <c r="P176" s="4688" t="n"/>
      <c r="Q176" s="4688" t="n"/>
      <c r="R176" s="4688" t="n"/>
      <c r="S176" s="4688" t="n"/>
      <c r="T176" s="4114" t="n"/>
    </row>
    <row r="177" ht="15" customFormat="1" customHeight="1" s="110">
      <c r="A177" s="2377" t="inlineStr">
        <is>
          <t>Nutricionista</t>
        </is>
      </c>
      <c r="B177" s="1281">
        <f>SUM(C177:D177)</f>
        <v/>
      </c>
      <c r="C177" s="1333" t="n"/>
      <c r="D177" s="4115" t="n"/>
      <c r="E177" s="1337">
        <f>SUM(F177:T177)</f>
        <v/>
      </c>
      <c r="F177" s="1333" t="n"/>
      <c r="G177" s="4688" t="n"/>
      <c r="H177" s="4688" t="n"/>
      <c r="I177" s="4688" t="n"/>
      <c r="J177" s="4688" t="n"/>
      <c r="K177" s="4688" t="n"/>
      <c r="L177" s="4688" t="n"/>
      <c r="M177" s="4688" t="n"/>
      <c r="N177" s="4688" t="n"/>
      <c r="O177" s="4688" t="n"/>
      <c r="P177" s="4688" t="n"/>
      <c r="Q177" s="4688" t="n"/>
      <c r="R177" s="4688" t="n"/>
      <c r="S177" s="4688" t="n"/>
      <c r="T177" s="4114" t="n"/>
    </row>
    <row r="178" ht="15" customFormat="1" customHeight="1" s="110">
      <c r="A178" s="8729" t="inlineStr">
        <is>
          <t>Otro/a</t>
        </is>
      </c>
      <c r="B178" s="3222">
        <f>SUM(C178:D178)</f>
        <v/>
      </c>
      <c r="C178" s="4095" t="n"/>
      <c r="D178" s="4118" t="n"/>
      <c r="E178" s="4912">
        <f>+F178+G178+H178+I178+K178+L178+M178+N178+O178+P178+Q178+R178+S178+T178</f>
        <v/>
      </c>
      <c r="F178" s="4095" t="n"/>
      <c r="G178" s="4096" t="n"/>
      <c r="H178" s="4096" t="n"/>
      <c r="I178" s="4096" t="n"/>
      <c r="J178" s="170" t="n"/>
      <c r="K178" s="4096" t="n"/>
      <c r="L178" s="4096" t="n"/>
      <c r="M178" s="4096" t="n"/>
      <c r="N178" s="4096" t="n"/>
      <c r="O178" s="4096" t="n"/>
      <c r="P178" s="4096" t="n"/>
      <c r="Q178" s="4096" t="n"/>
      <c r="R178" s="4096" t="n"/>
      <c r="S178" s="4096" t="n"/>
      <c r="T178" s="1336" t="n"/>
    </row>
    <row r="179" ht="17.1" customFormat="1" customHeight="1" s="109">
      <c r="A179" s="95" t="inlineStr">
        <is>
          <t>SECCIÓN J: ATENCIÓN REMOTA ADOLESCENTE</t>
        </is>
      </c>
    </row>
    <row r="180" ht="15" customFormat="1" customHeight="1" s="110">
      <c r="A180" s="9977" t="inlineStr">
        <is>
          <t xml:space="preserve"> CONTROL DE SALUD INTEGRAL</t>
        </is>
      </c>
      <c r="B180" s="10326" t="inlineStr">
        <is>
          <t>10 - 14 AÑOS</t>
        </is>
      </c>
      <c r="C180" s="9584" t="n"/>
      <c r="D180" s="9582" t="n"/>
      <c r="E180" s="10326" t="inlineStr">
        <is>
          <t>15 - 19 AÑOS</t>
        </is>
      </c>
      <c r="F180" s="9584" t="n"/>
      <c r="G180" s="9582" t="n"/>
    </row>
    <row r="181" ht="15" customFormat="1" customHeight="1" s="110">
      <c r="A181" s="9610" t="n"/>
      <c r="B181" s="9444" t="inlineStr">
        <is>
          <t>Ambos Sexos</t>
        </is>
      </c>
      <c r="C181" s="4650" t="inlineStr">
        <is>
          <t>Hombres</t>
        </is>
      </c>
      <c r="D181" s="9559" t="inlineStr">
        <is>
          <t>Mujeres</t>
        </is>
      </c>
      <c r="E181" s="9444" t="inlineStr">
        <is>
          <t>Ambos Sexos</t>
        </is>
      </c>
      <c r="F181" s="4650" t="inlineStr">
        <is>
          <t>Hombres</t>
        </is>
      </c>
      <c r="G181" s="9559" t="inlineStr">
        <is>
          <t>Mujeres</t>
        </is>
      </c>
    </row>
    <row r="182" ht="15" customFormat="1" customHeight="1" s="110">
      <c r="A182" s="2377" t="inlineStr">
        <is>
          <t>Epuipo de espacio Amigable</t>
        </is>
      </c>
      <c r="B182" s="4915">
        <f>SUM(C182:D182)</f>
        <v/>
      </c>
      <c r="C182" s="4916" t="n"/>
      <c r="D182" s="4917" t="n"/>
      <c r="E182" s="4915">
        <f>SUM(F182:G182)</f>
        <v/>
      </c>
      <c r="F182" s="4916" t="n"/>
      <c r="G182" s="4917" t="n"/>
    </row>
    <row r="183" ht="15" customFormat="1" customHeight="1" s="110">
      <c r="A183" s="8729" t="inlineStr">
        <is>
          <t>Otro Equipo de Salud</t>
        </is>
      </c>
      <c r="B183" s="4918">
        <f>SUM(C183:D183)</f>
        <v/>
      </c>
      <c r="C183" s="4919" t="n"/>
      <c r="D183" s="4920" t="n"/>
      <c r="E183" s="4918">
        <f>SUM(F183:G183)</f>
        <v/>
      </c>
      <c r="F183" s="4919" t="n"/>
      <c r="G183" s="4920" t="n"/>
    </row>
    <row r="184" ht="17.1" customFormat="1" customHeight="1" s="109">
      <c r="A184" s="120" t="inlineStr">
        <is>
          <t>SECCION K: ATENCIONES REMOTAS EN MODALIDADES DE APOYO AL DESARROLLO INFANTIL (MADIS) EN APS</t>
        </is>
      </c>
    </row>
    <row r="185">
      <c r="A185" s="10684" t="inlineStr">
        <is>
          <t>ACTIVIDAD</t>
        </is>
      </c>
      <c r="B185" s="10685" t="inlineStr">
        <is>
          <t>TOTAL ACCIONES</t>
        </is>
      </c>
      <c r="C185" s="10041" t="inlineStr">
        <is>
          <t>TIPO DE ACCION PARA GENERAR ATENCIONES</t>
        </is>
      </c>
      <c r="D185" s="9602" t="n"/>
      <c r="E185" s="9603" t="n"/>
      <c r="F185" s="10326" t="inlineStr">
        <is>
          <t>TOTAL USUARIOS</t>
        </is>
      </c>
      <c r="G185" s="10686" t="inlineStr">
        <is>
          <t>RANGO ETARIO</t>
        </is>
      </c>
      <c r="H185" s="9602" t="n"/>
      <c r="I185" s="9602" t="n"/>
      <c r="J185" s="9602" t="n"/>
      <c r="K185" s="9602" t="n"/>
      <c r="L185" s="9603" t="n"/>
    </row>
    <row r="186" ht="21" customHeight="1" s="8286">
      <c r="A186" s="9641" t="n"/>
      <c r="B186" s="10000" t="n"/>
      <c r="C186" s="4921" t="inlineStr">
        <is>
          <t>Telefónico</t>
        </is>
      </c>
      <c r="D186" s="4922" t="inlineStr">
        <is>
          <t>Videollamadas</t>
        </is>
      </c>
      <c r="E186" s="9397" t="inlineStr">
        <is>
          <t>Mensajería</t>
        </is>
      </c>
      <c r="F186" s="9610" t="n"/>
      <c r="G186" s="4924" t="inlineStr">
        <is>
          <t>Menos de 7 meses</t>
        </is>
      </c>
      <c r="H186" s="4925" t="inlineStr">
        <is>
          <t>7-11 meses</t>
        </is>
      </c>
      <c r="I186" s="4925" t="inlineStr">
        <is>
          <t>12- 17 meses</t>
        </is>
      </c>
      <c r="J186" s="4925" t="inlineStr">
        <is>
          <t>18-23 meses</t>
        </is>
      </c>
      <c r="K186" s="4925" t="inlineStr">
        <is>
          <t>24-47 meses</t>
        </is>
      </c>
      <c r="L186" s="4926" t="inlineStr">
        <is>
          <t>48-59 meses</t>
        </is>
      </c>
    </row>
    <row r="187">
      <c r="A187" s="2377" t="inlineStr">
        <is>
          <t>Intervenciones de seguimiento efectivas</t>
        </is>
      </c>
      <c r="B187" s="4189">
        <f>SUM(C187:D187)</f>
        <v/>
      </c>
      <c r="C187" s="4763" t="n"/>
      <c r="D187" s="814" t="n"/>
      <c r="E187" s="4927" t="n"/>
      <c r="F187" s="4439">
        <f>SUM(G187:L187)</f>
        <v/>
      </c>
      <c r="G187" s="4746" t="n"/>
      <c r="H187" s="854" t="n"/>
      <c r="I187" s="854" t="n"/>
      <c r="J187" s="854" t="n"/>
      <c r="K187" s="854" t="n"/>
      <c r="L187" s="4798" t="n"/>
    </row>
    <row r="188">
      <c r="A188" s="2377" t="inlineStr">
        <is>
          <t>Intervenciones de otro tipo</t>
        </is>
      </c>
      <c r="B188" s="1337">
        <f>SUM(C188:E188)</f>
        <v/>
      </c>
      <c r="C188" s="1333" t="n"/>
      <c r="D188" s="4688" t="n"/>
      <c r="E188" s="4797" t="n"/>
      <c r="F188" s="1337">
        <f>SUM(G188:L188)</f>
        <v/>
      </c>
      <c r="G188" s="1333" t="n"/>
      <c r="H188" s="4688" t="n"/>
      <c r="I188" s="4688" t="n"/>
      <c r="J188" s="4688" t="n"/>
      <c r="K188" s="4688" t="n"/>
      <c r="L188" s="4114" t="n"/>
    </row>
    <row r="189">
      <c r="A189" s="8729" t="inlineStr">
        <is>
          <t>Última sesión Término de Tratramiento</t>
        </is>
      </c>
      <c r="B189" s="4814">
        <f>SUM(C189:D189)</f>
        <v/>
      </c>
      <c r="C189" s="4095" t="n"/>
      <c r="D189" s="4096" t="n"/>
      <c r="E189" s="1411" t="n"/>
      <c r="F189" s="3222">
        <f>SUM(G189:L189)</f>
        <v/>
      </c>
      <c r="G189" s="4095" t="n"/>
      <c r="H189" s="4096" t="n"/>
      <c r="I189" s="4096" t="n"/>
      <c r="J189" s="4096" t="n"/>
      <c r="K189" s="4096" t="n"/>
      <c r="L189" s="1336" t="n"/>
    </row>
    <row r="190" ht="17.1" customFormat="1" customHeight="1" s="109">
      <c r="A190" s="9373" t="inlineStr">
        <is>
          <t>SECCIÓN L:  EDUCACIÓN GRUPAL REMOTA SEGÚN ÁREAS TEMÁTICAS Y EDAD</t>
        </is>
      </c>
      <c r="B190" s="9617" t="n"/>
      <c r="C190" s="9617" t="n"/>
    </row>
    <row r="191" ht="15" customHeight="1" s="8286">
      <c r="A191" s="10004" t="inlineStr">
        <is>
          <t>ÁREAS TEMÁTICAS DE PROMOCIÓN Y PREVENCIÓN</t>
        </is>
      </c>
      <c r="B191" s="9630" t="n"/>
      <c r="C191" s="8400" t="inlineStr">
        <is>
          <t>TOTAL
 ACCIONES</t>
        </is>
      </c>
      <c r="D191" s="8473" t="inlineStr">
        <is>
          <t>TIPO DE ACCIÓN PARA GENERAR ATENCIONES</t>
        </is>
      </c>
      <c r="E191" s="9584" t="n"/>
      <c r="F191" s="9584" t="n"/>
      <c r="G191" s="9584" t="n"/>
      <c r="H191" s="9584" t="n"/>
      <c r="I191" s="9584" t="n"/>
      <c r="J191" s="9582" t="n"/>
      <c r="K191" s="9975" t="inlineStr">
        <is>
          <t>MADRE, PADRE O CUIDADOR DE:</t>
        </is>
      </c>
      <c r="L191" s="9584" t="n"/>
      <c r="M191" s="9584" t="n"/>
      <c r="N191" s="9582" t="n"/>
    </row>
    <row r="192" ht="21" customHeight="1" s="8286">
      <c r="A192" s="9638" t="n"/>
      <c r="B192" s="9639" t="n"/>
      <c r="C192" s="9610" t="n"/>
      <c r="D192" s="4921" t="inlineStr">
        <is>
          <t>Telefónico</t>
        </is>
      </c>
      <c r="E192" s="4922" t="inlineStr">
        <is>
          <t>Videollamada grupal</t>
        </is>
      </c>
      <c r="F192" s="4922" t="inlineStr">
        <is>
          <t>Seminario-Radio</t>
        </is>
      </c>
      <c r="G192" s="9397" t="inlineStr">
        <is>
          <t>Plataforma Digital</t>
        </is>
      </c>
      <c r="H192" s="9396" t="inlineStr">
        <is>
          <t>TOTAL USUARIOS</t>
        </is>
      </c>
      <c r="I192" s="4921" t="inlineStr">
        <is>
          <t>Gestantes</t>
        </is>
      </c>
      <c r="J192" s="9397" t="inlineStr">
        <is>
          <t>Acompañante de gestante</t>
        </is>
      </c>
      <c r="K192" s="4921" t="inlineStr">
        <is>
          <t>Menores de 12 meses</t>
        </is>
      </c>
      <c r="L192" s="4922" t="inlineStr">
        <is>
          <t>Niños de 12 a 23 meses</t>
        </is>
      </c>
      <c r="M192" s="4922" t="inlineStr">
        <is>
          <t>Niños de 2 a 5 años</t>
        </is>
      </c>
      <c r="N192" s="9398" t="inlineStr">
        <is>
          <t>Niños de 5 a 9 años</t>
        </is>
      </c>
    </row>
    <row r="193" ht="15" customHeight="1" s="8286">
      <c r="A193" s="9933" t="inlineStr">
        <is>
          <t>Habilidades Parentales</t>
        </is>
      </c>
      <c r="B193" s="9232" t="inlineStr">
        <is>
          <t>Nadie es Perfecto Remoto A</t>
        </is>
      </c>
      <c r="C193" s="4439">
        <f>SUM(E193+G193)</f>
        <v/>
      </c>
      <c r="D193" s="4930" t="n"/>
      <c r="E193" s="4688" t="n"/>
      <c r="F193" s="4910" t="n"/>
      <c r="G193" s="4115" t="n"/>
      <c r="H193" s="4439">
        <f>+K193+L193+M193</f>
        <v/>
      </c>
      <c r="I193" s="4930" t="n"/>
      <c r="J193" s="4931" t="n"/>
      <c r="K193" s="4115" t="n"/>
      <c r="L193" s="4688" t="n"/>
      <c r="M193" s="4688" t="n"/>
      <c r="N193" s="4932" t="n"/>
    </row>
    <row r="194" ht="15" customHeight="1" s="8286">
      <c r="A194" s="9614" t="n"/>
      <c r="B194" s="8053" t="inlineStr">
        <is>
          <t>Nadie es Perfecto Remoto B</t>
        </is>
      </c>
      <c r="C194" s="1337">
        <f>SUM(D194+E194+G194)</f>
        <v/>
      </c>
      <c r="D194" s="1333" t="n"/>
      <c r="E194" s="4688" t="n"/>
      <c r="F194" s="820" t="n"/>
      <c r="G194" s="4115" t="n"/>
      <c r="H194" s="1337">
        <f>SUM(I194:M194)</f>
        <v/>
      </c>
      <c r="I194" s="4763" t="n"/>
      <c r="J194" s="4798" t="n"/>
      <c r="K194" s="4115" t="n"/>
      <c r="L194" s="4688" t="n"/>
      <c r="M194" s="4688" t="n"/>
      <c r="N194" s="4932" t="n"/>
    </row>
    <row r="195" ht="15" customHeight="1" s="8286">
      <c r="A195" s="9614" t="n"/>
      <c r="B195" s="8053" t="inlineStr">
        <is>
          <t>Nadie es Perfecto Seminario</t>
        </is>
      </c>
      <c r="C195" s="1337">
        <f>+F195+G195</f>
        <v/>
      </c>
      <c r="D195" s="4933" t="n"/>
      <c r="E195" s="820" t="n"/>
      <c r="F195" s="4688" t="n"/>
      <c r="G195" s="4115" t="n"/>
      <c r="H195" s="1337">
        <f>SUM(I195:M195)</f>
        <v/>
      </c>
      <c r="I195" s="1333" t="n"/>
      <c r="J195" s="4114" t="n"/>
      <c r="K195" s="4115" t="n"/>
      <c r="L195" s="4688" t="n"/>
      <c r="M195" s="4688" t="n"/>
      <c r="N195" s="4927" t="n"/>
    </row>
    <row r="196" ht="15" customHeight="1" s="8286">
      <c r="A196" s="9610" t="n"/>
      <c r="B196" s="9231" t="inlineStr">
        <is>
          <t>Nadie es perfecto PASMI</t>
        </is>
      </c>
      <c r="C196" s="3336">
        <f>SUM(D196:G196)</f>
        <v/>
      </c>
      <c r="D196" s="4095" t="n"/>
      <c r="E196" s="4096" t="n"/>
      <c r="F196" s="4096" t="n"/>
      <c r="G196" s="1336" t="n"/>
      <c r="H196" s="4912">
        <f>+N196</f>
        <v/>
      </c>
      <c r="I196" s="4934" t="n"/>
      <c r="J196" s="1411" t="n"/>
      <c r="K196" s="4935" t="n"/>
      <c r="L196" s="4936" t="n"/>
      <c r="M196" s="4936" t="n"/>
      <c r="N196" s="1336" t="n"/>
    </row>
    <row r="197" ht="17.1" customFormat="1" customHeight="1" s="109">
      <c r="A197" s="120" t="inlineStr">
        <is>
          <t xml:space="preserve">SECCIÓN M: ACTIVIDADES PROGRAMA ELIGE VIDA SANA POR LLAMADA TELEFÓNICA </t>
        </is>
      </c>
    </row>
    <row r="198" ht="15.75" customFormat="1" customHeight="1" s="110">
      <c r="A198" s="10687" t="inlineStr">
        <is>
          <t>ACTIVIDAD</t>
        </is>
      </c>
      <c r="B198" s="10687" t="inlineStr">
        <is>
          <t>Nº DE MENSAJES</t>
        </is>
      </c>
      <c r="C198" s="10612" t="inlineStr">
        <is>
          <t>Nº DE PARTICIPANTES</t>
        </is>
      </c>
      <c r="D198" s="10612" t="inlineStr">
        <is>
          <t>MADRE, PADRE O CUIDADOR DE:</t>
        </is>
      </c>
      <c r="E198" s="9582" t="n"/>
      <c r="F198" s="10688" t="inlineStr">
        <is>
          <t>RANGO ETAREO</t>
        </is>
      </c>
      <c r="G198" s="9584" t="n"/>
      <c r="H198" s="9584" t="n"/>
      <c r="I198" s="9584" t="n"/>
      <c r="J198" s="9584" t="n"/>
      <c r="K198" s="9584" t="n"/>
      <c r="L198" s="9584" t="n"/>
      <c r="M198" s="9584" t="n"/>
      <c r="N198" s="9584" t="n"/>
      <c r="O198" s="9584" t="n"/>
      <c r="P198" s="9584" t="n"/>
      <c r="Q198" s="9584" t="n"/>
      <c r="R198" s="9584" t="n"/>
      <c r="S198" s="9873" t="n"/>
      <c r="T198" s="10609" t="inlineStr">
        <is>
          <t>Gestantes</t>
        </is>
      </c>
      <c r="U198" s="10614" t="inlineStr">
        <is>
          <t>Post Parto</t>
        </is>
      </c>
    </row>
    <row r="199" ht="21" customFormat="1" customHeight="1" s="110">
      <c r="A199" s="9621" t="n"/>
      <c r="B199" s="9621" t="n"/>
      <c r="C199" s="9610" t="n"/>
      <c r="D199" s="4650" t="inlineStr">
        <is>
          <t>Menores de 12 meses</t>
        </is>
      </c>
      <c r="E199" s="9559" t="inlineStr">
        <is>
          <t>Niños/as 12 a 23 meses</t>
        </is>
      </c>
      <c r="F199" s="4938" t="inlineStr">
        <is>
          <t>Menos de 2 años</t>
        </is>
      </c>
      <c r="G199" s="4939" t="inlineStr">
        <is>
          <t>2 - 4 años</t>
        </is>
      </c>
      <c r="H199" s="4939" t="inlineStr">
        <is>
          <t>5 - 9 años</t>
        </is>
      </c>
      <c r="I199" s="4939" t="inlineStr">
        <is>
          <t>10 - 14 años</t>
        </is>
      </c>
      <c r="J199" s="4939" t="inlineStr">
        <is>
          <t>15 - 19 años</t>
        </is>
      </c>
      <c r="K199" s="4939" t="inlineStr">
        <is>
          <t>20-24 años</t>
        </is>
      </c>
      <c r="L199" s="4939" t="inlineStr">
        <is>
          <t>25 - 29 años</t>
        </is>
      </c>
      <c r="M199" s="4939" t="inlineStr">
        <is>
          <t>30 - 34 años</t>
        </is>
      </c>
      <c r="N199" s="4939" t="inlineStr">
        <is>
          <t>35 - 39 años</t>
        </is>
      </c>
      <c r="O199" s="4939" t="inlineStr">
        <is>
          <t>40 - 44 años</t>
        </is>
      </c>
      <c r="P199" s="4939" t="inlineStr">
        <is>
          <t>45 - 49 años</t>
        </is>
      </c>
      <c r="Q199" s="4939" t="inlineStr">
        <is>
          <t>50 - 54 años</t>
        </is>
      </c>
      <c r="R199" s="4939" t="inlineStr">
        <is>
          <t>55 - 59 años</t>
        </is>
      </c>
      <c r="S199" s="4940" t="inlineStr">
        <is>
          <t>60 - 64 años</t>
        </is>
      </c>
      <c r="T199" s="9688" t="n"/>
      <c r="U199" s="9641" t="n"/>
    </row>
    <row r="200" ht="15" customFormat="1" customHeight="1" s="110">
      <c r="A200" s="1332" t="inlineStr">
        <is>
          <t>Información de actividades físicas enviadas por teléfono</t>
        </is>
      </c>
      <c r="B200" s="1333" t="n"/>
      <c r="C200" s="4941">
        <f>SUM(D200:S200)</f>
        <v/>
      </c>
      <c r="D200" s="1333" t="n"/>
      <c r="E200" s="4115" t="n"/>
      <c r="F200" s="1333" t="n"/>
      <c r="G200" s="4688" t="n"/>
      <c r="H200" s="4688" t="n"/>
      <c r="I200" s="4688" t="n"/>
      <c r="J200" s="4688" t="n"/>
      <c r="K200" s="4688" t="n"/>
      <c r="L200" s="4688" t="n"/>
      <c r="M200" s="4688" t="n"/>
      <c r="N200" s="4688" t="n"/>
      <c r="O200" s="4688" t="n"/>
      <c r="P200" s="4688" t="n"/>
      <c r="Q200" s="4688" t="n"/>
      <c r="R200" s="4688" t="n"/>
      <c r="S200" s="1409" t="n"/>
      <c r="T200" s="4797" t="n"/>
      <c r="U200" s="4798" t="n"/>
      <c r="V200" s="110">
        <f>CA200&amp;CB200&amp;CC200&amp;CF200</f>
        <v/>
      </c>
      <c r="CA200" s="111">
        <f>IF(AND(T200="",C200&gt;0)," * No olvide digitar la variable Gestantes. Digite Cero si no tiene.","")</f>
        <v/>
      </c>
      <c r="CB200" s="111">
        <f>IF(AND(U200="",C200&gt;0)," * No olvide digitar la variable Post Parto. Digite Cero si no tiene.","")</f>
        <v/>
      </c>
      <c r="CF200" s="227" t="n"/>
      <c r="CG200" s="227" t="n"/>
      <c r="CH200" s="227" t="n"/>
      <c r="CI200" s="227" t="n"/>
      <c r="CJ200" s="227" t="n"/>
      <c r="CK200" s="112">
        <f>IF(AND(T200="",C200&gt;0),1,0)</f>
        <v/>
      </c>
      <c r="CL200" s="112">
        <f>IF(AND(U200="",C200&gt;0),1,0)</f>
        <v/>
      </c>
      <c r="CM200" s="112" t="n"/>
    </row>
    <row r="201" ht="15" customFormat="1" customHeight="1" s="110">
      <c r="A201" s="1332" t="inlineStr">
        <is>
          <t>Información de Nutrición enviada por teléfono</t>
        </is>
      </c>
      <c r="B201" s="1333" t="n"/>
      <c r="C201" s="4942">
        <f>SUM(D201:S201)</f>
        <v/>
      </c>
      <c r="D201" s="1333" t="n"/>
      <c r="E201" s="4115" t="n"/>
      <c r="F201" s="1333" t="n"/>
      <c r="G201" s="4688" t="n"/>
      <c r="H201" s="4688" t="n"/>
      <c r="I201" s="4688" t="n"/>
      <c r="J201" s="4688" t="n"/>
      <c r="K201" s="4688" t="n"/>
      <c r="L201" s="4688" t="n"/>
      <c r="M201" s="4688" t="n"/>
      <c r="N201" s="4688" t="n"/>
      <c r="O201" s="4688" t="n"/>
      <c r="P201" s="4688" t="n"/>
      <c r="Q201" s="4688" t="n"/>
      <c r="R201" s="4688" t="n"/>
      <c r="S201" s="1409" t="n"/>
      <c r="T201" s="4115" t="n"/>
      <c r="U201" s="4114" t="n"/>
      <c r="V201" s="110">
        <f>CA201&amp;CB201&amp;CC201&amp;CF201</f>
        <v/>
      </c>
      <c r="CA201" s="111">
        <f>IF(AND(T201="",C201&gt;0)," * No olvide digitar la variable Gestantes. Digite Cero si no tiene.","")</f>
        <v/>
      </c>
      <c r="CB201" s="111">
        <f>IF(AND(U201="",C201&gt;0)," * No olvide digitar la variable Post Parto. Digite Cero si no tiene.","")</f>
        <v/>
      </c>
      <c r="CF201" s="227" t="n"/>
      <c r="CG201" s="227" t="n"/>
      <c r="CH201" s="227" t="n"/>
      <c r="CI201" s="227" t="n"/>
      <c r="CJ201" s="227" t="n"/>
      <c r="CK201" s="112">
        <f>IF(AND(T201="",C201&gt;0),1,0)</f>
        <v/>
      </c>
      <c r="CL201" s="112">
        <f>IF(AND(U201="",C201&gt;0),1,0)</f>
        <v/>
      </c>
      <c r="CM201" s="112" t="n"/>
    </row>
    <row r="202" ht="15" customFormat="1" customHeight="1" s="110">
      <c r="A202" s="4104" t="inlineStr">
        <is>
          <t>Información por Psicólogos enviada por teléfono</t>
        </is>
      </c>
      <c r="B202" s="4117" t="n"/>
      <c r="C202" s="4943">
        <f>SUM(D202:S202)</f>
        <v/>
      </c>
      <c r="D202" s="4095" t="n"/>
      <c r="E202" s="4118" t="n"/>
      <c r="F202" s="4095" t="n"/>
      <c r="G202" s="4096" t="n"/>
      <c r="H202" s="4096" t="n"/>
      <c r="I202" s="4096" t="n"/>
      <c r="J202" s="4096" t="n"/>
      <c r="K202" s="4096" t="n"/>
      <c r="L202" s="4096" t="n"/>
      <c r="M202" s="4096" t="n"/>
      <c r="N202" s="4096" t="n"/>
      <c r="O202" s="4096" t="n"/>
      <c r="P202" s="4096" t="n"/>
      <c r="Q202" s="4096" t="n"/>
      <c r="R202" s="4096" t="n"/>
      <c r="S202" s="4944" t="n"/>
      <c r="T202" s="4118" t="n"/>
      <c r="U202" s="1336" t="n"/>
      <c r="V202" s="110">
        <f>CA202&amp;CB202&amp;CC202&amp;CF202</f>
        <v/>
      </c>
      <c r="CA202" s="111">
        <f>IF(AND(T202="",C202&gt;0)," * No olvide digitar la variable Gestantes. Digite Cero si no tiene.","")</f>
        <v/>
      </c>
      <c r="CB202" s="111">
        <f>IF(AND(U202="",C202&gt;0)," * No olvide digitar la variable Post Parto. Digite Cero si no tiene.","")</f>
        <v/>
      </c>
      <c r="CF202" s="227" t="n"/>
      <c r="CG202" s="227" t="n"/>
      <c r="CH202" s="227" t="n"/>
      <c r="CI202" s="227" t="n"/>
      <c r="CJ202" s="227" t="n"/>
      <c r="CK202" s="112">
        <f>IF(AND(T202="",C202&gt;0),1,0)</f>
        <v/>
      </c>
      <c r="CL202" s="112">
        <f>IF(AND(U202="",C202&gt;0),1,0)</f>
        <v/>
      </c>
      <c r="CM202" s="112" t="n"/>
    </row>
    <row r="203" ht="17.1" customFormat="1" customHeight="1" s="109">
      <c r="A203" s="9374" t="inlineStr">
        <is>
          <t>SECCIÓN N: ACTIVIDADES PROGRAMA ELIGE VIDA SANA POR REDES SOCIALES</t>
        </is>
      </c>
      <c r="B203" s="9617" t="n"/>
      <c r="C203" s="9617" t="n"/>
      <c r="D203" s="9617" t="n"/>
      <c r="E203" s="9617" t="n"/>
      <c r="F203" s="9617" t="n"/>
      <c r="G203" s="9617" t="n"/>
      <c r="H203" s="9617" t="n"/>
      <c r="I203" s="9617" t="n"/>
      <c r="J203" s="9617" t="n"/>
      <c r="CK203" s="110" t="n"/>
      <c r="CL203" s="110" t="n"/>
      <c r="CM203" s="110" t="n"/>
    </row>
    <row r="204" ht="15" customHeight="1" s="8286">
      <c r="A204" s="4568" t="inlineStr">
        <is>
          <t>TALLER</t>
        </is>
      </c>
      <c r="B204" s="4568" t="inlineStr">
        <is>
          <t>N° DE ARCHIVOS MULTIMEDIA</t>
        </is>
      </c>
      <c r="C204" s="10326" t="inlineStr">
        <is>
          <t>MADRE, PADRE O CUIDADOR DE:</t>
        </is>
      </c>
      <c r="D204" s="9582" t="n"/>
      <c r="E204" s="10689" t="inlineStr">
        <is>
          <t>RANGO ETAREO</t>
        </is>
      </c>
      <c r="F204" s="9617" t="n"/>
      <c r="G204" s="9617" t="n"/>
      <c r="H204" s="9617" t="n"/>
      <c r="I204" s="9617" t="n"/>
      <c r="J204" s="9597" t="n"/>
      <c r="K204" s="10690" t="inlineStr">
        <is>
          <t>Gestantes</t>
        </is>
      </c>
      <c r="L204" s="10677" t="inlineStr">
        <is>
          <t>Post Parto</t>
        </is>
      </c>
      <c r="CK204" s="110" t="n"/>
      <c r="CL204" s="110" t="n"/>
      <c r="CM204" s="110" t="n"/>
    </row>
    <row r="205" ht="21" customHeight="1" s="8286">
      <c r="A205" s="9621" t="n"/>
      <c r="B205" s="9621" t="n"/>
      <c r="C205" s="4650" t="inlineStr">
        <is>
          <t>Menores de 12 meses</t>
        </is>
      </c>
      <c r="D205" s="9559" t="inlineStr">
        <is>
          <t>Niños/as 12 a 23 meses</t>
        </is>
      </c>
      <c r="E205" s="4946" t="inlineStr">
        <is>
          <t>Menos de 2 años</t>
        </is>
      </c>
      <c r="F205" s="4669" t="inlineStr">
        <is>
          <t>2 - 4 años</t>
        </is>
      </c>
      <c r="G205" s="4669" t="inlineStr">
        <is>
          <t>5 - 9 años</t>
        </is>
      </c>
      <c r="H205" s="4669" t="inlineStr">
        <is>
          <t>10 - 14 años</t>
        </is>
      </c>
      <c r="I205" s="4669" t="inlineStr">
        <is>
          <t>15 - 19 años</t>
        </is>
      </c>
      <c r="J205" s="9363" t="inlineStr">
        <is>
          <t>20 - 64 años</t>
        </is>
      </c>
      <c r="K205" s="10649" t="n"/>
      <c r="L205" s="10086" t="n"/>
      <c r="CK205" s="110" t="n"/>
      <c r="CL205" s="110" t="n"/>
      <c r="CM205" s="110" t="n"/>
    </row>
    <row r="206">
      <c r="A206" s="1332" t="inlineStr">
        <is>
          <t>Videos de Actividad Física subido a las Redes Sociales</t>
        </is>
      </c>
      <c r="B206" s="4287">
        <f>SUM(C206:J206)</f>
        <v/>
      </c>
      <c r="C206" s="1333" t="n"/>
      <c r="D206" s="4697" t="n"/>
      <c r="E206" s="4115" t="n"/>
      <c r="F206" s="4688" t="n"/>
      <c r="G206" s="4688" t="n"/>
      <c r="H206" s="4688" t="n"/>
      <c r="I206" s="4688" t="n"/>
      <c r="J206" s="4947" t="n"/>
      <c r="K206" s="4948" t="n"/>
      <c r="L206" s="4694" t="n"/>
      <c r="M206" s="227">
        <f>CA206&amp;CB206</f>
        <v/>
      </c>
      <c r="CA206" s="111">
        <f>IF(AND(K206="",B206&gt;0)," * No olvide digitar la variable Gestantes. Digite Cero si no tiene.","")</f>
        <v/>
      </c>
      <c r="CB206" s="111">
        <f>IF(AND(L206="",B206&gt;0)," * No olvide digitar la variable Post Parto. Digite Cero si no tiene.","")</f>
        <v/>
      </c>
      <c r="CC206" s="110" t="n"/>
      <c r="CK206" s="112">
        <f>IF(AND(K206="",B206&gt;0),1,0)</f>
        <v/>
      </c>
      <c r="CL206" s="112">
        <f>IF(AND(L206="",B206&gt;0),1,0)</f>
        <v/>
      </c>
      <c r="CM206" s="110" t="n"/>
    </row>
    <row r="207">
      <c r="A207" s="4104" t="inlineStr">
        <is>
          <t>Videos de Vida Sana subido a las Redes Sociales</t>
        </is>
      </c>
      <c r="B207" s="3938">
        <f>SUM(C207:J207)</f>
        <v/>
      </c>
      <c r="C207" s="4095" t="n"/>
      <c r="D207" s="4770" t="n"/>
      <c r="E207" s="4118" t="n"/>
      <c r="F207" s="4096" t="n"/>
      <c r="G207" s="4096" t="n"/>
      <c r="H207" s="4096" t="n"/>
      <c r="I207" s="4096" t="n"/>
      <c r="J207" s="4949" t="n"/>
      <c r="K207" s="4950" t="n"/>
      <c r="L207" s="4951" t="n"/>
      <c r="M207" s="227">
        <f>CA207&amp;CB207</f>
        <v/>
      </c>
      <c r="CA207" s="111">
        <f>IF(AND(K207="",B207&gt;0)," * No olvide digitar la variable Gestantes. Digite Cero si no tiene.","")</f>
        <v/>
      </c>
      <c r="CB207" s="111">
        <f>IF(AND(L207="",B207&gt;0)," * No olvide digitar la variable Post Parto. Digite Cero si no tiene.","")</f>
        <v/>
      </c>
      <c r="CC207" s="110" t="n"/>
      <c r="CK207" s="112">
        <f>IF(AND(K207="",B207&gt;0),1,0)</f>
        <v/>
      </c>
      <c r="CL207" s="112">
        <f>IF(AND(L207="",B207&gt;0),1,0)</f>
        <v/>
      </c>
      <c r="CM207" s="110" t="n"/>
    </row>
    <row r="208" ht="17.1" customFormat="1" customHeight="1" s="109">
      <c r="A208" s="9374" t="inlineStr">
        <is>
          <t>SECCIÓN O: APOYO TELEFÓNICO DEL PROGRAMA DE ACOMPAÑAMIENTO PSICOSOCIAL EN APS</t>
        </is>
      </c>
      <c r="B208" s="9617" t="n"/>
      <c r="C208" s="9617" t="n"/>
      <c r="D208" s="9617" t="n"/>
      <c r="E208" s="9617" t="n"/>
      <c r="F208" s="9617" t="n"/>
      <c r="G208" s="9617" t="n"/>
    </row>
    <row r="209" ht="15" customHeight="1" s="8286">
      <c r="A209" s="5245" t="inlineStr">
        <is>
          <t>GRUPOS</t>
        </is>
      </c>
      <c r="B209" s="5245" t="inlineStr">
        <is>
          <t>TOTAL ACCIONES</t>
        </is>
      </c>
      <c r="C209" s="9977" t="inlineStr">
        <is>
          <t>RANGO ETAREO</t>
        </is>
      </c>
      <c r="D209" s="9584" t="n"/>
      <c r="E209" s="9584" t="n"/>
      <c r="F209" s="9584" t="n"/>
      <c r="G209" s="9582" t="n"/>
    </row>
    <row r="210" ht="15" customHeight="1" s="8286">
      <c r="A210" s="10000" t="n"/>
      <c r="B210" s="10000" t="n"/>
      <c r="C210" s="9498" t="inlineStr">
        <is>
          <t>0 - 4 años</t>
        </is>
      </c>
      <c r="D210" s="4504" t="inlineStr">
        <is>
          <t>5 - 9 años</t>
        </is>
      </c>
      <c r="E210" s="9499" t="inlineStr">
        <is>
          <t>10 - 14 años</t>
        </is>
      </c>
      <c r="F210" s="9499" t="inlineStr">
        <is>
          <t>15 - 19 años</t>
        </is>
      </c>
      <c r="G210" s="4758" t="inlineStr">
        <is>
          <t>20 - 24 años</t>
        </is>
      </c>
    </row>
    <row r="211" ht="15" customHeight="1" s="8286">
      <c r="A211" s="4952" t="inlineStr">
        <is>
          <t>Acciones telefónicas realizadas (llamadas o mensajería)</t>
        </is>
      </c>
      <c r="B211" s="4953">
        <f>SUM(C211:G211)</f>
        <v/>
      </c>
      <c r="C211" s="4954" t="n"/>
      <c r="D211" s="4955" t="n"/>
      <c r="E211" s="4955" t="n"/>
      <c r="F211" s="4956" t="n"/>
      <c r="G211" s="4957" t="n"/>
    </row>
    <row r="212" ht="18" customFormat="1" customHeight="1" s="109">
      <c r="A212" s="9373" t="inlineStr">
        <is>
          <t xml:space="preserve">SECCIÓN P: TELECONSULTA MEDICINA ABREVIADA </t>
        </is>
      </c>
      <c r="B212" s="9617" t="n"/>
      <c r="C212" s="9617" t="n"/>
      <c r="D212" s="9617" t="n"/>
    </row>
    <row r="213">
      <c r="A213" s="9977" t="inlineStr">
        <is>
          <t xml:space="preserve">TIPO DE CONSULTA </t>
        </is>
      </c>
      <c r="B213" s="9977" t="inlineStr">
        <is>
          <t>MODALIDAD</t>
        </is>
      </c>
      <c r="C213" s="9584" t="n"/>
      <c r="D213" s="9582" t="n"/>
    </row>
    <row r="214">
      <c r="A214" s="9614" t="n"/>
      <c r="B214" s="9262" t="inlineStr">
        <is>
          <t>Institucional</t>
        </is>
      </c>
      <c r="C214" s="8400" t="inlineStr">
        <is>
          <t>Compra de Servicio</t>
        </is>
      </c>
      <c r="D214" s="9582" t="n"/>
    </row>
    <row r="215">
      <c r="A215" s="9610" t="n"/>
      <c r="B215" s="9240" t="inlineStr">
        <is>
          <t>Establecimiento de la Red</t>
        </is>
      </c>
      <c r="C215" s="9498" t="inlineStr">
        <is>
          <t>Sistema</t>
        </is>
      </c>
      <c r="D215" s="9268" t="inlineStr">
        <is>
          <t>Extrasistema</t>
        </is>
      </c>
    </row>
    <row r="216" ht="15" customHeight="1" s="8286">
      <c r="A216" s="4958" t="inlineStr">
        <is>
          <t>Tratamiento anticoagulante oral</t>
        </is>
      </c>
      <c r="B216" s="4959" t="n"/>
      <c r="C216" s="4791" t="n"/>
      <c r="D216" s="4960" t="n"/>
    </row>
    <row r="236" hidden="1" ht="15" customHeight="1" s="8286">
      <c r="A236" s="10691">
        <f>SUM(B11:B15,B19:B23,B28:B29,B35:B89,C95:C103,B109:B111,B116:B117,B123:B125,C130:C139,C141:C150,C156:C163,B168:B170,B175:B178,E175:E178,B182:B183,E182:E183,B187:B189,F187:F189,C193:C196,H193:H196,B200:B202,C200:C202,B206:B207,B211,B216:D216)</f>
        <v/>
      </c>
      <c r="B236" s="122">
        <f>SUM(CI11:CR207)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QrtJw6+/QBQimmOZaER1Cg==" formatRows="1" sort="1" spinCount="100000" hashValue="VcGieRihow3QI9hOKI2UlWGzZOlqzkJZ1MjD9Rb4ejDUn0vtMYRreB/PQ1Gi7lNhJRvymFSk27SH8wuAp2Z6lw=="/>
  <mergeCells count="217">
    <mergeCell ref="M114:M115"/>
    <mergeCell ref="AG165:AG167"/>
    <mergeCell ref="K191:N191"/>
    <mergeCell ref="AS127:AS129"/>
    <mergeCell ref="C92:E93"/>
    <mergeCell ref="A204:A205"/>
    <mergeCell ref="B165:D166"/>
    <mergeCell ref="C173:D173"/>
    <mergeCell ref="K204:K205"/>
    <mergeCell ref="W121:W122"/>
    <mergeCell ref="F198:S198"/>
    <mergeCell ref="AO32:AO34"/>
    <mergeCell ref="C214:D214"/>
    <mergeCell ref="B213:D213"/>
    <mergeCell ref="S114:S115"/>
    <mergeCell ref="E114:L114"/>
    <mergeCell ref="E166:F166"/>
    <mergeCell ref="A6:S6"/>
    <mergeCell ref="H128:I128"/>
    <mergeCell ref="J128:K128"/>
    <mergeCell ref="AB93:AC93"/>
    <mergeCell ref="A212:D212"/>
    <mergeCell ref="T128:U128"/>
    <mergeCell ref="A126:B126"/>
    <mergeCell ref="V128:W128"/>
    <mergeCell ref="W107:W108"/>
    <mergeCell ref="AN92:AO93"/>
    <mergeCell ref="A208:G208"/>
    <mergeCell ref="I166:J166"/>
    <mergeCell ref="B185:B186"/>
    <mergeCell ref="A180:A181"/>
    <mergeCell ref="K166:L166"/>
    <mergeCell ref="A91:E91"/>
    <mergeCell ref="M166:N166"/>
    <mergeCell ref="AE166:AF166"/>
    <mergeCell ref="B209:B210"/>
    <mergeCell ref="Z128:AA128"/>
    <mergeCell ref="H154:I154"/>
    <mergeCell ref="AB128:AC128"/>
    <mergeCell ref="J154:K154"/>
    <mergeCell ref="B26:B27"/>
    <mergeCell ref="AL128:AM128"/>
    <mergeCell ref="A213:A215"/>
    <mergeCell ref="T154:U154"/>
    <mergeCell ref="C191:C192"/>
    <mergeCell ref="V154:W154"/>
    <mergeCell ref="E107:P107"/>
    <mergeCell ref="A17:D17"/>
    <mergeCell ref="A92:B94"/>
    <mergeCell ref="AJ32:AL33"/>
    <mergeCell ref="T33:U33"/>
    <mergeCell ref="B107:D107"/>
    <mergeCell ref="AH153:AH155"/>
    <mergeCell ref="H93:I93"/>
    <mergeCell ref="A32:A34"/>
    <mergeCell ref="C33:S33"/>
    <mergeCell ref="J93:K93"/>
    <mergeCell ref="Z154:AA154"/>
    <mergeCell ref="X121:X122"/>
    <mergeCell ref="U198:U199"/>
    <mergeCell ref="C32:U32"/>
    <mergeCell ref="T93:U93"/>
    <mergeCell ref="A193:A196"/>
    <mergeCell ref="V9:V10"/>
    <mergeCell ref="AO127:AO129"/>
    <mergeCell ref="C26:S26"/>
    <mergeCell ref="T198:T199"/>
    <mergeCell ref="V32:W33"/>
    <mergeCell ref="A26:A27"/>
    <mergeCell ref="D191:J191"/>
    <mergeCell ref="AS92:AS94"/>
    <mergeCell ref="L93:M93"/>
    <mergeCell ref="AU92:AU94"/>
    <mergeCell ref="C121:S121"/>
    <mergeCell ref="N93:O93"/>
    <mergeCell ref="D198:E198"/>
    <mergeCell ref="T9:U9"/>
    <mergeCell ref="Z93:AA93"/>
    <mergeCell ref="AM32:AM34"/>
    <mergeCell ref="O114:O115"/>
    <mergeCell ref="A141:A151"/>
    <mergeCell ref="V26:V27"/>
    <mergeCell ref="Q114:Q115"/>
    <mergeCell ref="C9:S9"/>
    <mergeCell ref="B198:B199"/>
    <mergeCell ref="Z33:AD33"/>
    <mergeCell ref="A160:A163"/>
    <mergeCell ref="A153:A155"/>
    <mergeCell ref="A31:L31"/>
    <mergeCell ref="AP92:AP94"/>
    <mergeCell ref="E165:AF165"/>
    <mergeCell ref="AQ32:AQ34"/>
    <mergeCell ref="A121:A122"/>
    <mergeCell ref="A156:A159"/>
    <mergeCell ref="A9:A10"/>
    <mergeCell ref="AT92:AT94"/>
    <mergeCell ref="AQ127:AQ129"/>
    <mergeCell ref="C209:G209"/>
    <mergeCell ref="AI153:AI155"/>
    <mergeCell ref="Q107:Q108"/>
    <mergeCell ref="AH128:AI128"/>
    <mergeCell ref="A107:A108"/>
    <mergeCell ref="C153:E154"/>
    <mergeCell ref="AJ128:AK128"/>
    <mergeCell ref="A173:A174"/>
    <mergeCell ref="E180:G180"/>
    <mergeCell ref="A25:L25"/>
    <mergeCell ref="Y9:Y10"/>
    <mergeCell ref="AR127:AR129"/>
    <mergeCell ref="F173:T173"/>
    <mergeCell ref="F128:G128"/>
    <mergeCell ref="B121:B122"/>
    <mergeCell ref="AI165:AI167"/>
    <mergeCell ref="A165:A167"/>
    <mergeCell ref="A119:B119"/>
    <mergeCell ref="P128:Q128"/>
    <mergeCell ref="V121:V122"/>
    <mergeCell ref="R128:S128"/>
    <mergeCell ref="S107:S108"/>
    <mergeCell ref="L204:L205"/>
    <mergeCell ref="AP32:AP34"/>
    <mergeCell ref="G166:H166"/>
    <mergeCell ref="R114:R115"/>
    <mergeCell ref="AR32:AR34"/>
    <mergeCell ref="F92:AM92"/>
    <mergeCell ref="T114:T115"/>
    <mergeCell ref="AA166:AB166"/>
    <mergeCell ref="AD93:AE93"/>
    <mergeCell ref="AC166:AD166"/>
    <mergeCell ref="T121:U121"/>
    <mergeCell ref="S166:T166"/>
    <mergeCell ref="U166:V166"/>
    <mergeCell ref="B153:B155"/>
    <mergeCell ref="Z121:Z122"/>
    <mergeCell ref="AE33:AI33"/>
    <mergeCell ref="X128:Y128"/>
    <mergeCell ref="V93:W93"/>
    <mergeCell ref="F154:G154"/>
    <mergeCell ref="V107:V108"/>
    <mergeCell ref="AF93:AG93"/>
    <mergeCell ref="A120:B120"/>
    <mergeCell ref="P154:Q154"/>
    <mergeCell ref="AH93:AI93"/>
    <mergeCell ref="A127:A129"/>
    <mergeCell ref="A190:C190"/>
    <mergeCell ref="A185:A186"/>
    <mergeCell ref="R154:S154"/>
    <mergeCell ref="B9:B10"/>
    <mergeCell ref="AB154:AC154"/>
    <mergeCell ref="A104:B104"/>
    <mergeCell ref="B114:D114"/>
    <mergeCell ref="A191:B192"/>
    <mergeCell ref="A209:A210"/>
    <mergeCell ref="X9:X10"/>
    <mergeCell ref="AL93:AM93"/>
    <mergeCell ref="A130:A140"/>
    <mergeCell ref="F93:G93"/>
    <mergeCell ref="B173:B174"/>
    <mergeCell ref="B204:B205"/>
    <mergeCell ref="AH165:AH167"/>
    <mergeCell ref="G185:L185"/>
    <mergeCell ref="C185:E185"/>
    <mergeCell ref="B180:D180"/>
    <mergeCell ref="A113:D113"/>
    <mergeCell ref="Y121:Y122"/>
    <mergeCell ref="AA121:AA122"/>
    <mergeCell ref="F153:AG153"/>
    <mergeCell ref="A203:J203"/>
    <mergeCell ref="AS32:AS34"/>
    <mergeCell ref="A106:D106"/>
    <mergeCell ref="AR92:AR94"/>
    <mergeCell ref="C204:D204"/>
    <mergeCell ref="B127:B129"/>
    <mergeCell ref="W26:W27"/>
    <mergeCell ref="F185:F186"/>
    <mergeCell ref="O166:P166"/>
    <mergeCell ref="A198:A199"/>
    <mergeCell ref="Q166:R166"/>
    <mergeCell ref="C198:C199"/>
    <mergeCell ref="A8:C8"/>
    <mergeCell ref="U107:U108"/>
    <mergeCell ref="AD128:AE128"/>
    <mergeCell ref="E173:E174"/>
    <mergeCell ref="AF128:AG128"/>
    <mergeCell ref="B32:B34"/>
    <mergeCell ref="X154:Y154"/>
    <mergeCell ref="Z32:AI32"/>
    <mergeCell ref="T26:U26"/>
    <mergeCell ref="AN127:AN129"/>
    <mergeCell ref="W9:W10"/>
    <mergeCell ref="AP127:AP129"/>
    <mergeCell ref="C127:E128"/>
    <mergeCell ref="L128:M128"/>
    <mergeCell ref="N128:O128"/>
    <mergeCell ref="AD154:AE154"/>
    <mergeCell ref="AF154:AG154"/>
    <mergeCell ref="X26:Y26"/>
    <mergeCell ref="F127:AM127"/>
    <mergeCell ref="X93:Y93"/>
    <mergeCell ref="A30:L30"/>
    <mergeCell ref="AN32:AN34"/>
    <mergeCell ref="N114:N115"/>
    <mergeCell ref="P114:P115"/>
    <mergeCell ref="W166:X166"/>
    <mergeCell ref="Z9:Z10"/>
    <mergeCell ref="E204:J204"/>
    <mergeCell ref="Y166:Z166"/>
    <mergeCell ref="X32:Y33"/>
    <mergeCell ref="P93:Q93"/>
    <mergeCell ref="R93:S93"/>
    <mergeCell ref="AJ93:AK93"/>
    <mergeCell ref="AQ92:AQ94"/>
    <mergeCell ref="R107:R108"/>
    <mergeCell ref="L154:M154"/>
    <mergeCell ref="T107:T108"/>
    <mergeCell ref="N154:O154"/>
    <mergeCell ref="A114:A115"/>
  </mergeCells>
  <dataValidations count="7">
    <dataValidation sqref="B200:B202 B216:D216 C11:Z15 C116:T117 C123:AA125 C175:D178 C182:D183 C187:E189 C206:L207 C211:G211 D193:G196 D200:U202 E168:AI171 F95:AU103 F130:AS139 F141:AS150 F156:AI163 F175:T178 F182:G183 G187:L189 I193:N196 AA35:AD89 AF35:AS89" showDropDown="0" showInputMessage="1" showErrorMessage="1" allowBlank="0" type="whole" operator="greaterThanOrEqual">
      <formula1>0</formula1>
    </dataValidation>
    <dataValidation sqref="C28:Y29 C35:Y89" showDropDown="0" showInputMessage="1" showErrorMessage="1" allowBlank="0" errorTitle="Error" error="Favor Ingrese sólo Números." type="whole" operator="greaterThanOrEqual">
      <formula1>0</formula1>
    </dataValidation>
    <dataValidation sqref="CA27:CB29 CC27 CC28:CD29 CE27:CJ29 CK27:CM27" showDropDown="0" showInputMessage="0" showErrorMessage="0" allowBlank="0" prompt="Valor no Permitido"/>
    <dataValidation sqref="C19:E23" showDropDown="0" showInputMessage="1" showErrorMessage="1" allowBlank="0" type="whole">
      <formula1>0</formula1>
      <formula2>9.99999999999999E+37</formula2>
    </dataValidation>
    <dataValidation sqref="D96" showDropDown="0" showInputMessage="1" showErrorMessage="1" allowBlank="0" type="whole">
      <formula1>0</formula1>
      <formula2>9.99999999999999E+33</formula2>
    </dataValidation>
    <dataValidation sqref="B171:D171" showDropDown="0" showInputMessage="1" showErrorMessage="1" allowBlank="0" type="whole">
      <formula1>0</formula1>
      <formula2>9.99999999999999E+41</formula2>
    </dataValidation>
    <dataValidation sqref="B109:W112" showDropDown="0" showInputMessage="1" showErrorMessage="1" allowBlank="0" type="whole" operator="equal">
      <formula1>0</formula1>
    </dataValidation>
  </dataValidations>
  <pageMargins left="0.7" right="0.7" top="0.75" bottom="0.75" header="0.3" footer="0.3"/>
  <pageSetup orientation="portrait" paperSize="9"/>
</worksheet>
</file>

<file path=xl/worksheets/sheet27.xml><?xml version="1.0" encoding="utf-8"?>
<worksheet xmlns="http://schemas.openxmlformats.org/spreadsheetml/2006/main">
  <sheetPr codeName="Hoja27">
    <outlinePr summaryBelow="1" summaryRight="1"/>
    <pageSetUpPr/>
  </sheetPr>
  <dimension ref="A1:CO101"/>
  <sheetViews>
    <sheetView showGridLines="0" zoomScaleNormal="100" workbookViewId="0">
      <selection activeCell="A1" sqref="A1"/>
    </sheetView>
  </sheetViews>
  <sheetFormatPr baseColWidth="10" defaultColWidth="14.42578125" defaultRowHeight="15"/>
  <cols>
    <col width="51.28515625" customWidth="1" style="8286" min="1" max="1"/>
    <col width="35.42578125" customWidth="1" style="8286" min="2" max="2"/>
    <col width="46.5703125" customWidth="1" style="8286" min="3" max="3"/>
    <col width="16.7109375" customWidth="1" style="8286" min="4" max="4"/>
    <col width="14.42578125" customWidth="1" style="8286" min="5" max="5"/>
    <col width="12.7109375" customWidth="1" style="8286" min="6" max="40"/>
    <col width="14" customWidth="1" style="8286" min="41" max="41"/>
    <col width="12.140625" customWidth="1" style="8286" min="42" max="44"/>
    <col width="12.42578125" customWidth="1" style="8286" min="45" max="45"/>
    <col width="10.7109375" customWidth="1" style="8286" min="46" max="46"/>
    <col width="14.5703125" customWidth="1" style="8286" min="47" max="47"/>
    <col width="10.7109375" customWidth="1" style="8286" min="48" max="48"/>
    <col width="14.140625" customWidth="1" style="8286" min="49" max="49"/>
    <col width="10.7109375" customWidth="1" style="8286" min="50" max="50"/>
    <col width="11.42578125" customWidth="1" style="8286" min="51" max="51"/>
    <col width="10.7109375" customWidth="1" style="8286" min="52" max="54"/>
    <col width="14.28515625" customWidth="1" style="8286" min="55" max="55"/>
    <col width="14.140625" customWidth="1" style="8286" min="56" max="57"/>
    <col width="14.42578125" customWidth="1" style="8286" min="77" max="78"/>
    <col hidden="1" width="20.28515625" customWidth="1" style="8286" min="79" max="79"/>
    <col hidden="1" width="14.42578125" customWidth="1" style="8286" min="80" max="93"/>
    <col width="14.42578125" customWidth="1" style="8286" min="94" max="95"/>
  </cols>
  <sheetData>
    <row r="1">
      <c r="A1" s="25" t="inlineStr">
        <is>
          <t>SERVICIO DE SALUD</t>
        </is>
      </c>
    </row>
    <row r="2">
      <c r="A2" s="25">
        <f>CONCATENATE("COMUNA: ",NOMBRE!B2, " (",NOMBRE!C2,NOMBRE!D2,NOMBRE!E2,NOMBRE!F2,NOMBRE!G2,")")</f>
        <v/>
      </c>
    </row>
    <row r="3">
      <c r="A3" s="25">
        <f>CONCATENATE("ESTABLECIMIENTO/ESTRATEGIA: ", NOMBRE!B3, " (",NOMBRE!C3,NOMBRE!D3,NOMBRE!E3,NOMBRE!F3,NOMBRE!G3,NOMBRE!H3,")")</f>
        <v/>
      </c>
    </row>
    <row r="4">
      <c r="A4" s="25">
        <f>CONCATENATE("MES: ",NOMBRE!B6, " (",NOMBRE!C6,NOMBRE!D6,")")</f>
        <v/>
      </c>
    </row>
    <row r="5">
      <c r="A5" s="54">
        <f>CONCATENATE("AÑO: ",NOMBRE!B7)</f>
        <v/>
      </c>
    </row>
    <row r="6" ht="18" customFormat="1" customHeight="1" s="130">
      <c r="A6" s="7256" t="inlineStr">
        <is>
          <t>REM - A33. CUIDADOS PALIATIVOS NIVEL APS Y HOSPITALARIO</t>
        </is>
      </c>
      <c r="AC6" s="210" t="n"/>
      <c r="AD6" s="210" t="n"/>
      <c r="AE6" s="210" t="n"/>
      <c r="AF6" s="210" t="n"/>
      <c r="AG6" s="210" t="n"/>
      <c r="AH6" s="210" t="n"/>
      <c r="AI6" s="210" t="n"/>
      <c r="AJ6" s="210" t="n"/>
      <c r="AK6" s="210" t="n"/>
      <c r="AL6" s="210" t="n"/>
      <c r="AM6" s="210" t="n"/>
      <c r="AN6" s="210" t="n"/>
      <c r="AO6" s="210" t="n"/>
      <c r="AP6" s="210" t="n"/>
      <c r="AQ6" s="210" t="n"/>
      <c r="AR6" s="210" t="n"/>
    </row>
    <row r="7">
      <c r="A7" s="263" t="n"/>
      <c r="E7" s="7256" t="n"/>
      <c r="F7" s="7256" t="n"/>
      <c r="G7" s="7256" t="n"/>
      <c r="H7" s="7256" t="n"/>
      <c r="I7" s="7256" t="n"/>
      <c r="J7" s="7256" t="n"/>
      <c r="K7" s="7256" t="n"/>
      <c r="L7" s="7256" t="n"/>
      <c r="M7" s="7256" t="n"/>
    </row>
    <row r="8" ht="17.1" customHeight="1" s="8286">
      <c r="A8" s="9463" t="inlineStr">
        <is>
          <t>SECCIÓN A:  INGRESOS POR DIAGNÓSTICO Y EGRESO POR CAUSALES</t>
        </is>
      </c>
      <c r="B8" s="9833" t="n"/>
      <c r="C8" s="9833" t="n"/>
      <c r="D8" s="7672" t="n"/>
      <c r="E8" s="7672" t="n"/>
      <c r="F8" s="7672" t="n"/>
      <c r="G8" s="8287" t="n"/>
      <c r="H8" s="8287" t="n"/>
      <c r="I8" s="8287" t="n"/>
      <c r="J8" s="8287" t="n"/>
      <c r="K8" s="8287" t="n"/>
      <c r="L8" s="8287" t="n"/>
      <c r="M8" s="8287" t="n"/>
      <c r="N8" s="8287" t="n"/>
      <c r="O8" s="8287" t="n"/>
      <c r="P8" s="8287" t="n"/>
      <c r="Q8" s="8287" t="n"/>
      <c r="R8" s="8287" t="n"/>
      <c r="S8" s="8287" t="n"/>
      <c r="T8" s="8287" t="n"/>
      <c r="U8" s="8287" t="n"/>
      <c r="V8" s="8287" t="n"/>
      <c r="W8" s="8287" t="n"/>
      <c r="X8" s="8287" t="n"/>
      <c r="Y8" s="8287" t="n"/>
      <c r="Z8" s="8287" t="n"/>
      <c r="AA8" s="8287" t="n"/>
      <c r="AB8" s="8287" t="n"/>
      <c r="AC8" s="8287" t="n"/>
      <c r="AD8" s="8287" t="n"/>
      <c r="AE8" s="8287" t="n"/>
      <c r="AF8" s="8287" t="n"/>
      <c r="AG8" s="8287" t="n"/>
      <c r="AH8" s="8287" t="n"/>
      <c r="AI8" s="8287" t="n"/>
      <c r="AJ8" s="8287" t="n"/>
      <c r="AK8" s="8287" t="n"/>
      <c r="AL8" s="8287" t="n"/>
      <c r="AM8" s="8287" t="n"/>
      <c r="AN8" s="8287" t="n"/>
      <c r="AO8" s="8287" t="n"/>
      <c r="AP8" s="8287" t="n"/>
      <c r="AQ8" s="8287" t="n"/>
      <c r="AR8" s="8287" t="n"/>
      <c r="AS8" s="8287" t="n"/>
      <c r="AT8" s="8287" t="n"/>
      <c r="AU8" s="131" t="n"/>
      <c r="AV8" s="131" t="n"/>
    </row>
    <row r="9" ht="15" customHeight="1" s="8286">
      <c r="A9" s="10692" t="inlineStr">
        <is>
          <t xml:space="preserve">INGRESO Y EGRESO SEGÚN DIAGNÓSTICO </t>
        </is>
      </c>
      <c r="B9" s="9724" t="n"/>
      <c r="C9" s="9827" t="n"/>
      <c r="D9" s="10129" t="inlineStr">
        <is>
          <t>TOTAL</t>
        </is>
      </c>
      <c r="E9" s="9724" t="n"/>
      <c r="F9" s="9827" t="n"/>
      <c r="G9" s="10693" t="inlineStr">
        <is>
          <t>RANGO ETARIO</t>
        </is>
      </c>
      <c r="H9" s="9617" t="n"/>
      <c r="I9" s="9617" t="n"/>
      <c r="J9" s="9617" t="n"/>
      <c r="K9" s="9617" t="n"/>
      <c r="L9" s="9617" t="n"/>
      <c r="M9" s="9617" t="n"/>
      <c r="N9" s="9617" t="n"/>
      <c r="O9" s="9617" t="n"/>
      <c r="P9" s="9617" t="n"/>
      <c r="Q9" s="9617" t="n"/>
      <c r="R9" s="9617" t="n"/>
      <c r="S9" s="9617" t="n"/>
      <c r="T9" s="9617" t="n"/>
      <c r="U9" s="9617" t="n"/>
      <c r="V9" s="9617" t="n"/>
      <c r="W9" s="9617" t="n"/>
      <c r="X9" s="9617" t="n"/>
      <c r="Y9" s="9617" t="n"/>
      <c r="Z9" s="9617" t="n"/>
      <c r="AA9" s="9617" t="n"/>
      <c r="AB9" s="9617" t="n"/>
      <c r="AC9" s="9617" t="n"/>
      <c r="AD9" s="9617" t="n"/>
      <c r="AE9" s="9617" t="n"/>
      <c r="AF9" s="9617" t="n"/>
      <c r="AG9" s="9617" t="n"/>
      <c r="AH9" s="9617" t="n"/>
      <c r="AI9" s="9617" t="n"/>
      <c r="AJ9" s="9617" t="n"/>
      <c r="AK9" s="9617" t="n"/>
      <c r="AL9" s="9617" t="n"/>
      <c r="AM9" s="9617" t="n"/>
      <c r="AN9" s="10694" t="n"/>
      <c r="AO9" s="7829" t="inlineStr">
        <is>
          <t>Pueblos originarios</t>
        </is>
      </c>
      <c r="AP9" s="8400" t="inlineStr">
        <is>
          <t>Migrantes</t>
        </is>
      </c>
      <c r="AQ9" s="7829" t="inlineStr">
        <is>
          <t xml:space="preserve">SENAME/ Servicio Nacional de Reinserción social Juvenil </t>
        </is>
      </c>
      <c r="AR9" s="9690" t="inlineStr">
        <is>
          <t>Servicio Nacional Protección Especializada a la Niñez y Adolescencia</t>
        </is>
      </c>
      <c r="CA9" s="7672" t="n"/>
      <c r="CB9" s="7672" t="n"/>
      <c r="CC9" s="7672" t="n"/>
      <c r="CD9" s="9462" t="n"/>
      <c r="CE9" s="9462" t="n"/>
      <c r="CJ9" s="7672" t="n"/>
      <c r="CK9" s="7672" t="n"/>
      <c r="CL9" s="9462" t="n"/>
      <c r="CM9" s="9462" t="n"/>
    </row>
    <row r="10" ht="15" customHeight="1" s="8286">
      <c r="A10" s="9727" t="n"/>
      <c r="C10" s="9668" t="n"/>
      <c r="D10" s="9832" t="n"/>
      <c r="E10" s="9833" t="n"/>
      <c r="F10" s="9672" t="n"/>
      <c r="G10" s="10695" t="inlineStr">
        <is>
          <t>0 a 4 años</t>
        </is>
      </c>
      <c r="H10" s="9648" t="n"/>
      <c r="I10" s="8400" t="inlineStr">
        <is>
          <t>5 a 9 años</t>
        </is>
      </c>
      <c r="J10" s="9582" t="n"/>
      <c r="K10" s="8400" t="inlineStr">
        <is>
          <t>10- 14 años</t>
        </is>
      </c>
      <c r="L10" s="9582" t="n"/>
      <c r="M10" s="8400" t="inlineStr">
        <is>
          <t>15 - 19 años</t>
        </is>
      </c>
      <c r="N10" s="9582" t="n"/>
      <c r="O10" s="8400" t="inlineStr">
        <is>
          <t>20 - 24 años</t>
        </is>
      </c>
      <c r="P10" s="9582" t="n"/>
      <c r="Q10" s="8400" t="inlineStr">
        <is>
          <t>25-29 años</t>
        </is>
      </c>
      <c r="R10" s="9582" t="n"/>
      <c r="S10" s="8400" t="inlineStr">
        <is>
          <t>30-34 años</t>
        </is>
      </c>
      <c r="T10" s="9582" t="n"/>
      <c r="U10" s="8400" t="inlineStr">
        <is>
          <t>35 - 39 años</t>
        </is>
      </c>
      <c r="V10" s="9582" t="n"/>
      <c r="W10" s="8400" t="inlineStr">
        <is>
          <t>40 - 44 años</t>
        </is>
      </c>
      <c r="X10" s="9582" t="n"/>
      <c r="Y10" s="8400" t="inlineStr">
        <is>
          <t>45- 49 años</t>
        </is>
      </c>
      <c r="Z10" s="9582" t="n"/>
      <c r="AA10" s="8400" t="inlineStr">
        <is>
          <t>50 - 54 años</t>
        </is>
      </c>
      <c r="AB10" s="9582" t="n"/>
      <c r="AC10" s="8400" t="inlineStr">
        <is>
          <t>55 - 59 años</t>
        </is>
      </c>
      <c r="AD10" s="9582" t="n"/>
      <c r="AE10" s="8400" t="inlineStr">
        <is>
          <t>60 - 64 años</t>
        </is>
      </c>
      <c r="AF10" s="9582" t="n"/>
      <c r="AG10" s="8400" t="inlineStr">
        <is>
          <t>65 - 69 años</t>
        </is>
      </c>
      <c r="AH10" s="9582" t="n"/>
      <c r="AI10" s="8400" t="inlineStr">
        <is>
          <t>70 - 74 años</t>
        </is>
      </c>
      <c r="AJ10" s="9582" t="n"/>
      <c r="AK10" s="8400" t="inlineStr">
        <is>
          <t>75 - 79 años</t>
        </is>
      </c>
      <c r="AL10" s="9582" t="n"/>
      <c r="AM10" s="9192" t="inlineStr">
        <is>
          <t>80 y mas</t>
        </is>
      </c>
      <c r="AN10" s="9873" t="n"/>
      <c r="AP10" s="9614" t="n"/>
      <c r="AR10" s="9588" t="n"/>
      <c r="CA10" s="7672" t="n"/>
      <c r="CB10" s="7672" t="n"/>
      <c r="CC10" s="7672" t="n"/>
      <c r="CD10" s="9462" t="n"/>
      <c r="CE10" s="9462" t="n"/>
      <c r="CJ10" s="7672" t="n"/>
    </row>
    <row r="11" ht="45.75" customHeight="1" s="8286">
      <c r="A11" s="9727" t="n"/>
      <c r="C11" s="9668" t="n"/>
      <c r="D11" s="62" t="inlineStr">
        <is>
          <t>Ambos Sexos</t>
        </is>
      </c>
      <c r="E11" s="530" t="inlineStr">
        <is>
          <t>Hombres</t>
        </is>
      </c>
      <c r="F11" s="8103" t="inlineStr">
        <is>
          <t>Mujeres</t>
        </is>
      </c>
      <c r="G11" s="4964" t="inlineStr">
        <is>
          <t>Hombres</t>
        </is>
      </c>
      <c r="H11" s="9459" t="inlineStr">
        <is>
          <t>Mujeres</t>
        </is>
      </c>
      <c r="I11" s="9498" t="inlineStr">
        <is>
          <t>Hombres</t>
        </is>
      </c>
      <c r="J11" s="9459" t="inlineStr">
        <is>
          <t>Mujeres</t>
        </is>
      </c>
      <c r="K11" s="9498" t="inlineStr">
        <is>
          <t>Hombres</t>
        </is>
      </c>
      <c r="L11" s="9459" t="inlineStr">
        <is>
          <t>Mujeres</t>
        </is>
      </c>
      <c r="M11" s="9498" t="inlineStr">
        <is>
          <t>Hombres</t>
        </is>
      </c>
      <c r="N11" s="9459" t="inlineStr">
        <is>
          <t>Mujeres</t>
        </is>
      </c>
      <c r="O11" s="9498" t="inlineStr">
        <is>
          <t>Hombres</t>
        </is>
      </c>
      <c r="P11" s="9459" t="inlineStr">
        <is>
          <t>Mujeres</t>
        </is>
      </c>
      <c r="Q11" s="9498" t="inlineStr">
        <is>
          <t>Hombres</t>
        </is>
      </c>
      <c r="R11" s="9459" t="inlineStr">
        <is>
          <t>Mujeres</t>
        </is>
      </c>
      <c r="S11" s="9498" t="inlineStr">
        <is>
          <t>Hombres</t>
        </is>
      </c>
      <c r="T11" s="9459" t="inlineStr">
        <is>
          <t>Mujeres</t>
        </is>
      </c>
      <c r="U11" s="9498" t="inlineStr">
        <is>
          <t>Hombres</t>
        </is>
      </c>
      <c r="V11" s="9459" t="inlineStr">
        <is>
          <t>Mujeres</t>
        </is>
      </c>
      <c r="W11" s="9498" t="inlineStr">
        <is>
          <t>Hombres</t>
        </is>
      </c>
      <c r="X11" s="9459" t="inlineStr">
        <is>
          <t>Mujeres</t>
        </is>
      </c>
      <c r="Y11" s="9498" t="inlineStr">
        <is>
          <t>Hombres</t>
        </is>
      </c>
      <c r="Z11" s="9459" t="inlineStr">
        <is>
          <t>Mujeres</t>
        </is>
      </c>
      <c r="AA11" s="9498" t="inlineStr">
        <is>
          <t>Hombres</t>
        </is>
      </c>
      <c r="AB11" s="9459" t="inlineStr">
        <is>
          <t>Mujeres</t>
        </is>
      </c>
      <c r="AC11" s="9498" t="inlineStr">
        <is>
          <t>Hombres</t>
        </is>
      </c>
      <c r="AD11" s="9459" t="inlineStr">
        <is>
          <t>Mujeres</t>
        </is>
      </c>
      <c r="AE11" s="9498" t="inlineStr">
        <is>
          <t>Hombres</t>
        </is>
      </c>
      <c r="AF11" s="9459" t="inlineStr">
        <is>
          <t>Mujeres</t>
        </is>
      </c>
      <c r="AG11" s="9498" t="inlineStr">
        <is>
          <t>Hombres</t>
        </is>
      </c>
      <c r="AH11" s="9459" t="inlineStr">
        <is>
          <t>Mujeres</t>
        </is>
      </c>
      <c r="AI11" s="9498" t="inlineStr">
        <is>
          <t>Hombres</t>
        </is>
      </c>
      <c r="AJ11" s="9459" t="inlineStr">
        <is>
          <t>Mujeres</t>
        </is>
      </c>
      <c r="AK11" s="9498" t="inlineStr">
        <is>
          <t>Hombres</t>
        </is>
      </c>
      <c r="AL11" s="9459" t="inlineStr">
        <is>
          <t>Mujeres</t>
        </is>
      </c>
      <c r="AM11" s="9498" t="inlineStr">
        <is>
          <t>Hombres</t>
        </is>
      </c>
      <c r="AN11" s="4965" t="inlineStr">
        <is>
          <t>Mujeres</t>
        </is>
      </c>
      <c r="AO11" s="9591" t="n"/>
      <c r="AP11" s="9610" t="n"/>
      <c r="AQ11" s="9591" t="n"/>
      <c r="AR11" s="9589" t="n"/>
      <c r="CA11" s="7672" t="n"/>
      <c r="CB11" s="7672" t="n"/>
      <c r="CC11" s="7672" t="n"/>
      <c r="CD11" s="9462" t="n"/>
      <c r="CE11" s="9462" t="n"/>
      <c r="CJ11" s="7672" t="n"/>
    </row>
    <row r="12" ht="15" customHeight="1" s="8286">
      <c r="A12" s="10696" t="inlineStr">
        <is>
          <t>Ingresos por Diagnóstico</t>
        </is>
      </c>
      <c r="B12" s="10697" t="inlineStr">
        <is>
          <t>Enfermedad oncológica</t>
        </is>
      </c>
      <c r="C12" s="4286" t="inlineStr">
        <is>
          <t>Enfermedades oncológicas no progresivas</t>
        </is>
      </c>
      <c r="D12" s="531">
        <f>SUM(E12:F12)</f>
        <v/>
      </c>
      <c r="E12" s="532">
        <f>+G12+I12+K12+M12+O12+Q12+S12+U12+W12++Y12+AA12+AC12+AE12+AG12+AI12+AK12+AM12</f>
        <v/>
      </c>
      <c r="F12" s="533">
        <f>+H12+J12+L12+N12+P12+R12+T12+V12+X12++Z12+AB12+AD12+AF12+AH12+AJ12+AL12+AN12</f>
        <v/>
      </c>
      <c r="G12" s="293" t="n"/>
      <c r="H12" s="534" t="n"/>
      <c r="I12" s="293" t="n"/>
      <c r="J12" s="534" t="n"/>
      <c r="K12" s="293" t="n"/>
      <c r="L12" s="534" t="n"/>
      <c r="M12" s="293" t="n"/>
      <c r="N12" s="534" t="n"/>
      <c r="O12" s="831" t="n"/>
      <c r="P12" s="534" t="n"/>
      <c r="Q12" s="535" t="n"/>
      <c r="R12" s="534" t="n"/>
      <c r="S12" s="535" t="n"/>
      <c r="T12" s="534" t="n"/>
      <c r="U12" s="535" t="n"/>
      <c r="V12" s="534" t="n"/>
      <c r="W12" s="293" t="n"/>
      <c r="X12" s="534" t="n"/>
      <c r="Y12" s="293" t="n"/>
      <c r="Z12" s="534" t="n"/>
      <c r="AA12" s="293" t="n"/>
      <c r="AB12" s="534" t="n"/>
      <c r="AC12" s="293" t="n"/>
      <c r="AD12" s="534" t="n"/>
      <c r="AE12" s="293" t="n"/>
      <c r="AF12" s="534" t="n"/>
      <c r="AG12" s="293" t="n"/>
      <c r="AH12" s="534" t="n"/>
      <c r="AI12" s="293" t="n"/>
      <c r="AJ12" s="534" t="n"/>
      <c r="AK12" s="293" t="n"/>
      <c r="AL12" s="534" t="n"/>
      <c r="AM12" s="293" t="n"/>
      <c r="AN12" s="536" t="n"/>
      <c r="AO12" s="5513" t="n"/>
      <c r="AP12" s="5516" t="n"/>
      <c r="AQ12" s="5513" t="n"/>
      <c r="AR12" s="5516" t="n"/>
      <c r="AS12">
        <f>CA12&amp;CB12&amp;CC12&amp;CD12&amp;CE12</f>
        <v/>
      </c>
      <c r="CA12" s="219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/>
      </c>
      <c r="CK12" s="261">
        <f>IF(AND($D12&lt;&gt;0,AP12=""),1,IF(AP12&gt;$D12,1,0))</f>
        <v/>
      </c>
      <c r="CL12" s="261">
        <f>IF(AND($D12&lt;&gt;0,AQ12=""),1,IF(AQ12&gt;$D12,1,0))</f>
        <v/>
      </c>
      <c r="CM12" s="261">
        <f>IF(AND($D12&lt;&gt;0,AR12=""),1,IF(AR12&gt;$D12,1,0))</f>
        <v/>
      </c>
    </row>
    <row r="13" ht="15" customHeight="1" s="8286">
      <c r="A13" s="9735" t="n"/>
      <c r="B13" s="9610" t="n"/>
      <c r="C13" s="3239" t="inlineStr">
        <is>
          <t>Enfermedades oncológicas progresivas</t>
        </is>
      </c>
      <c r="D13" s="538">
        <f>SUM(E13:F13)</f>
        <v/>
      </c>
      <c r="E13" s="539">
        <f>+G13+I13+K13+M13+O13+Q13+S13+U13+W13++Y13+AA13+AC13+AE13+AG13+AI13+AK13+AM13</f>
        <v/>
      </c>
      <c r="F13" s="540">
        <f>+H13+J13+L13+N13+P13+R13+T13+V13+X13++Z13+AB13+AD13+AF13+AH13+AJ13+AL13+AN13</f>
        <v/>
      </c>
      <c r="G13" s="541" t="n"/>
      <c r="H13" s="542" t="n"/>
      <c r="I13" s="541" t="n"/>
      <c r="J13" s="542" t="n"/>
      <c r="K13" s="541" t="n"/>
      <c r="L13" s="542" t="n"/>
      <c r="M13" s="541" t="n"/>
      <c r="N13" s="542" t="n"/>
      <c r="O13" s="543" t="n"/>
      <c r="P13" s="542" t="n"/>
      <c r="Q13" s="543" t="n"/>
      <c r="R13" s="542" t="n"/>
      <c r="S13" s="543" t="n"/>
      <c r="T13" s="542" t="n"/>
      <c r="U13" s="543" t="n"/>
      <c r="V13" s="542" t="n"/>
      <c r="W13" s="541" t="n"/>
      <c r="X13" s="542" t="n"/>
      <c r="Y13" s="541" t="n"/>
      <c r="Z13" s="542" t="n"/>
      <c r="AA13" s="541" t="n"/>
      <c r="AB13" s="542" t="n"/>
      <c r="AC13" s="541" t="n"/>
      <c r="AD13" s="542" t="n"/>
      <c r="AE13" s="541" t="n"/>
      <c r="AF13" s="542" t="n"/>
      <c r="AG13" s="541" t="n"/>
      <c r="AH13" s="542" t="n"/>
      <c r="AI13" s="541" t="n"/>
      <c r="AJ13" s="542" t="n"/>
      <c r="AK13" s="541" t="n"/>
      <c r="AL13" s="542" t="n"/>
      <c r="AM13" s="541" t="n"/>
      <c r="AN13" s="544" t="n"/>
      <c r="AO13" s="5514" t="n"/>
      <c r="AP13" s="5517" t="n"/>
      <c r="AQ13" s="5514" t="n"/>
      <c r="AR13" s="5517" t="n"/>
      <c r="AS13">
        <f>CA13&amp;CB13&amp;CC13&amp;CD13&amp;CE13</f>
        <v/>
      </c>
      <c r="CA13" s="219">
        <f>IF(AND($D13&lt;&gt;0,AO13="")," *No olvide ingresar la variable "&amp;AO$9&amp;""&amp;". Digite Cero si no tiene.  ",IF(AO13&gt;$D13," *La variable "&amp;AO$9&amp;""&amp;" no debe ser mayor al Total Ambos Sexos. ",""))</f>
        <v/>
      </c>
      <c r="CB13" s="219">
        <f>IF(AND($D13&lt;&gt;0,AP13="")," *No olvide ingresar la variable "&amp;AP$9&amp;""&amp;". Digite Cero si no tiene. ",IF(AP13&gt;$D13," *La variable "&amp;AP$9&amp;""&amp;" no debe ser mayor al Total Ambos Sexos. ",""))</f>
        <v/>
      </c>
      <c r="CC13" s="219">
        <f>IF(AND($D13&lt;&gt;0,AQ13="")," *No olvide ingresar la variable "&amp;AQ$9&amp;""&amp;". Digite Cero si no tiene. ",IF(AQ13&gt;$D13," *La variable "&amp;AQ$9&amp;""&amp;" no debe ser mayor al Total Ambos Sexos. ",""))</f>
        <v/>
      </c>
      <c r="CD13" s="219">
        <f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>IF(AND($D13&lt;&gt;0,AO13=""),1,IF(AO13&gt;$D13,1,0))</f>
        <v/>
      </c>
      <c r="CK13" s="261">
        <f>IF(AND($D13&lt;&gt;0,AP13=""),1,IF(AP13&gt;$D13,1,0))</f>
        <v/>
      </c>
      <c r="CL13" s="261">
        <f>IF(AND($D13&lt;&gt;0,AQ13=""),1,IF(AQ13&gt;$D13,1,0))</f>
        <v/>
      </c>
      <c r="CM13" s="261">
        <f>IF(AND($D13&lt;&gt;0,AR13=""),1,IF(AR13&gt;$D13,1,0))</f>
        <v/>
      </c>
    </row>
    <row r="14" ht="15" customHeight="1" s="8286">
      <c r="A14" s="9735" t="n"/>
      <c r="B14" s="10697" t="inlineStr">
        <is>
          <t>Enfermedad no oncológica</t>
        </is>
      </c>
      <c r="C14" s="4966" t="inlineStr">
        <is>
          <t>Infección causada por VIH</t>
        </is>
      </c>
      <c r="D14" s="546">
        <f>SUM(E14:F14)</f>
        <v/>
      </c>
      <c r="E14" s="546">
        <f>+G14+I14+K14+M14+O14+Q14+S14+U14+W14++Y14+AA14+AC14+AE14+AG14+AI14+AK14+AM14</f>
        <v/>
      </c>
      <c r="F14" s="547">
        <f>+H14+J14+L14+N14+P14+R14+T14+V14+X14++Z14+AB14+AD14+AF14+AH14+AJ14+AL14+AN14</f>
        <v/>
      </c>
      <c r="G14" s="316" t="n"/>
      <c r="H14" s="317" t="n"/>
      <c r="I14" s="316" t="n"/>
      <c r="J14" s="317" t="n"/>
      <c r="K14" s="316" t="n"/>
      <c r="L14" s="317" t="n"/>
      <c r="M14" s="316" t="n"/>
      <c r="N14" s="317" t="n"/>
      <c r="O14" s="548" t="n"/>
      <c r="P14" s="317" t="n"/>
      <c r="Q14" s="548" t="n"/>
      <c r="R14" s="317" t="n"/>
      <c r="S14" s="548" t="n"/>
      <c r="T14" s="317" t="n"/>
      <c r="U14" s="548" t="n"/>
      <c r="V14" s="317" t="n"/>
      <c r="W14" s="316" t="n"/>
      <c r="X14" s="317" t="n"/>
      <c r="Y14" s="316" t="n"/>
      <c r="Z14" s="317" t="n"/>
      <c r="AA14" s="316" t="n"/>
      <c r="AB14" s="317" t="n"/>
      <c r="AC14" s="316" t="n"/>
      <c r="AD14" s="317" t="n"/>
      <c r="AE14" s="316" t="n"/>
      <c r="AF14" s="317" t="n"/>
      <c r="AG14" s="316" t="n"/>
      <c r="AH14" s="317" t="n"/>
      <c r="AI14" s="316" t="n"/>
      <c r="AJ14" s="317" t="n"/>
      <c r="AK14" s="316" t="n"/>
      <c r="AL14" s="317" t="n"/>
      <c r="AM14" s="316" t="n"/>
      <c r="AN14" s="318" t="n"/>
      <c r="AO14" s="5515" t="n"/>
      <c r="AP14" s="5518" t="n"/>
      <c r="AQ14" s="5515" t="n"/>
      <c r="AR14" s="5518" t="n"/>
      <c r="AS14">
        <f>CA14&amp;CB14&amp;CC14&amp;CD14&amp;CE14</f>
        <v/>
      </c>
      <c r="CA14" s="219">
        <f>IF(AND($D14&lt;&gt;0,AO14="")," *No olvide ingresar la variable "&amp;AO$9&amp;""&amp;". Digite Cero si no tiene.  ",IF(AO14&gt;$D14," *La variable "&amp;AO$9&amp;""&amp;" no debe ser mayor al Total Ambos Sexos. ",""))</f>
        <v/>
      </c>
      <c r="CB14" s="219">
        <f>IF(AND($D14&lt;&gt;0,AP14="")," *No olvide ingresar la variable "&amp;AP$9&amp;""&amp;". Digite Cero si no tiene. ",IF(AP14&gt;$D14," *La variable "&amp;AP$9&amp;""&amp;" no debe ser mayor al Total Ambos Sexos. ",""))</f>
        <v/>
      </c>
      <c r="CC14" s="219">
        <f>IF(AND($D14&lt;&gt;0,AQ14="")," *No olvide ingresar la variable "&amp;AQ$9&amp;""&amp;". Digite Cero si no tiene. ",IF(AQ14&gt;$D14," *La variable "&amp;AQ$9&amp;""&amp;" no debe ser mayor al Total Ambos Sexos. ",""))</f>
        <v/>
      </c>
      <c r="CD14" s="219">
        <f>IF(AND($D14&lt;&gt;0,AR14="")," *No olvide ingresar la variable "&amp;AR$9&amp;""&amp;". Digite Cero si no tiene. ",IF(AR14&gt;$D14," *La variable "&amp;AR$9&amp;""&amp;" no debe ser mayor al Total Ambos Sexos. ",""))</f>
        <v/>
      </c>
      <c r="CJ14" s="261">
        <f>IF(AND($D14&lt;&gt;0,AO14=""),1,IF(AO14&gt;$D14,1,0))</f>
        <v/>
      </c>
      <c r="CK14" s="261">
        <f>IF(AND($D14&lt;&gt;0,AP14=""),1,IF(AP14&gt;$D14,1,0))</f>
        <v/>
      </c>
      <c r="CL14" s="261">
        <f>IF(AND($D14&lt;&gt;0,AQ14=""),1,IF(AQ14&gt;$D14,1,0))</f>
        <v/>
      </c>
      <c r="CM14" s="261">
        <f>IF(AND($D14&lt;&gt;0,AR14=""),1,IF(AR14&gt;$D14,1,0))</f>
        <v/>
      </c>
    </row>
    <row r="15" ht="15" customHeight="1" s="8286">
      <c r="A15" s="9735" t="n"/>
      <c r="B15" s="9614" t="n"/>
      <c r="C15" s="1282" t="inlineStr">
        <is>
          <t>Enfermedades de origen neurológico</t>
        </is>
      </c>
      <c r="D15" s="531">
        <f>SUM(E15:F15)</f>
        <v/>
      </c>
      <c r="E15" s="531">
        <f>+G15+I15+K15+M15+O15+Q15+S15+U15+W15++Y15+AA15+AC15+AE15+AG15+AI15+AK15+AM15</f>
        <v/>
      </c>
      <c r="F15" s="533">
        <f>+H15+J15+L15+N15+P15+R15+T15+V15+X15++Z15+AB15+AD15+AF15+AH15+AJ15+AL15+AN15</f>
        <v/>
      </c>
      <c r="G15" s="550" t="n"/>
      <c r="H15" s="534" t="n"/>
      <c r="I15" s="550" t="n"/>
      <c r="J15" s="534" t="n"/>
      <c r="K15" s="550" t="n"/>
      <c r="L15" s="534" t="n"/>
      <c r="M15" s="550" t="n"/>
      <c r="N15" s="534" t="n"/>
      <c r="O15" s="535" t="n"/>
      <c r="P15" s="534" t="n"/>
      <c r="Q15" s="535" t="n"/>
      <c r="R15" s="534" t="n"/>
      <c r="S15" s="535" t="n"/>
      <c r="T15" s="534" t="n"/>
      <c r="U15" s="535" t="n"/>
      <c r="V15" s="534" t="n"/>
      <c r="W15" s="550" t="n"/>
      <c r="X15" s="534" t="n"/>
      <c r="Y15" s="550" t="n"/>
      <c r="Z15" s="534" t="n"/>
      <c r="AA15" s="550" t="n"/>
      <c r="AB15" s="534" t="n"/>
      <c r="AC15" s="550" t="n">
        <v>1</v>
      </c>
      <c r="AD15" s="534" t="n"/>
      <c r="AE15" s="550" t="n"/>
      <c r="AF15" s="534" t="n"/>
      <c r="AG15" s="550" t="n"/>
      <c r="AH15" s="534" t="n"/>
      <c r="AI15" s="550" t="n"/>
      <c r="AJ15" s="534" t="n">
        <v>1</v>
      </c>
      <c r="AK15" s="550" t="n">
        <v>1</v>
      </c>
      <c r="AL15" s="534" t="n"/>
      <c r="AM15" s="550" t="n"/>
      <c r="AN15" s="536" t="n"/>
      <c r="AO15" s="5513" t="n"/>
      <c r="AP15" s="5516" t="n"/>
      <c r="AQ15" s="5513" t="n"/>
      <c r="AR15" s="5516" t="n"/>
      <c r="AS15">
        <f>CA15&amp;CB15&amp;CC15&amp;CD15&amp;CE15</f>
        <v/>
      </c>
      <c r="CA15" s="219">
        <f>IF(AND($D15&lt;&gt;0,AO15="")," *No olvide ingresar la variable "&amp;AO$9&amp;""&amp;". Digite Cero si no tiene.  ",IF(AO15&gt;$D15," *La variable "&amp;AO$9&amp;""&amp;" no debe ser mayor al Total Ambos Sexos. ",""))</f>
        <v/>
      </c>
      <c r="CB15" s="219">
        <f>IF(AND($D15&lt;&gt;0,AP15="")," *No olvide ingresar la variable "&amp;AP$9&amp;""&amp;". Digite Cero si no tiene. ",IF(AP15&gt;$D15," *La variable "&amp;AP$9&amp;""&amp;" no debe ser mayor al Total Ambos Sexos. ",""))</f>
        <v/>
      </c>
      <c r="CC15" s="219">
        <f>IF(AND($D15&lt;&gt;0,AQ15="")," *No olvide ingresar la variable "&amp;AQ$9&amp;""&amp;". Digite Cero si no tiene. ",IF(AQ15&gt;$D15," *La variable "&amp;AQ$9&amp;""&amp;" no debe ser mayor al Total Ambos Sexos. ",""))</f>
        <v/>
      </c>
      <c r="CD15" s="219">
        <f>IF(AND($D15&lt;&gt;0,AR15="")," *No olvide ingresar la variable "&amp;AR$9&amp;""&amp;". Digite Cero si no tiene. ",IF(AR15&gt;$D15," *La variable "&amp;AR$9&amp;""&amp;" no debe ser mayor al Total Ambos Sexos. ",""))</f>
        <v/>
      </c>
      <c r="CJ15" s="261">
        <f>IF(AND($D15&lt;&gt;0,AO15=""),1,IF(AO15&gt;$D15,1,0))</f>
        <v/>
      </c>
      <c r="CK15" s="261">
        <f>IF(AND($D15&lt;&gt;0,AP15=""),1,IF(AP15&gt;$D15,1,0))</f>
        <v/>
      </c>
      <c r="CL15" s="261">
        <f>IF(AND($D15&lt;&gt;0,AQ15=""),1,IF(AQ15&gt;$D15,1,0))</f>
        <v/>
      </c>
      <c r="CM15" s="261">
        <f>IF(AND($D15&lt;&gt;0,AR15=""),1,IF(AR15&gt;$D15,1,0))</f>
        <v/>
      </c>
    </row>
    <row r="16" ht="15" customHeight="1" s="8286">
      <c r="A16" s="9735" t="n"/>
      <c r="B16" s="9614" t="n"/>
      <c r="C16" s="1282" t="inlineStr">
        <is>
          <t>Enfermedades de origen cardiológico</t>
        </is>
      </c>
      <c r="D16" s="531">
        <f>SUM(E16:F16)</f>
        <v/>
      </c>
      <c r="E16" s="531">
        <f>+G16+I16+K16+M16+O16+Q16+S16+U16+W16++Y16+AA16+AC16+AE16+AG16+AI16+AK16+AM16</f>
        <v/>
      </c>
      <c r="F16" s="533">
        <f>+H16+J16+L16+N16+P16+R16+T16+V16+X16++Z16+AB16+AD16+AF16+AH16+AJ16+AL16+AN16</f>
        <v/>
      </c>
      <c r="G16" s="550" t="n"/>
      <c r="H16" s="534" t="n"/>
      <c r="I16" s="550" t="n"/>
      <c r="J16" s="534" t="n"/>
      <c r="K16" s="550" t="n"/>
      <c r="L16" s="534" t="n"/>
      <c r="M16" s="550" t="n"/>
      <c r="N16" s="534" t="n"/>
      <c r="O16" s="535" t="n"/>
      <c r="P16" s="534" t="n"/>
      <c r="Q16" s="535" t="n"/>
      <c r="R16" s="534" t="n"/>
      <c r="S16" s="535" t="n"/>
      <c r="T16" s="534" t="n"/>
      <c r="U16" s="535" t="n"/>
      <c r="V16" s="534" t="n"/>
      <c r="W16" s="550" t="n"/>
      <c r="X16" s="534" t="n"/>
      <c r="Y16" s="550" t="n"/>
      <c r="Z16" s="534" t="n"/>
      <c r="AA16" s="550" t="n"/>
      <c r="AB16" s="534" t="n"/>
      <c r="AC16" s="550" t="n"/>
      <c r="AD16" s="534" t="n"/>
      <c r="AE16" s="550" t="n"/>
      <c r="AF16" s="534" t="n"/>
      <c r="AG16" s="550" t="n"/>
      <c r="AH16" s="534" t="n"/>
      <c r="AI16" s="550" t="n"/>
      <c r="AJ16" s="534" t="n"/>
      <c r="AK16" s="550" t="n"/>
      <c r="AL16" s="534" t="n"/>
      <c r="AM16" s="550" t="n"/>
      <c r="AN16" s="536" t="n"/>
      <c r="AO16" s="5513" t="n"/>
      <c r="AP16" s="5516" t="n"/>
      <c r="AQ16" s="5513" t="n"/>
      <c r="AR16" s="5516" t="n"/>
      <c r="AS16">
        <f>CA16&amp;CB16&amp;CC16&amp;CD16&amp;CE16</f>
        <v/>
      </c>
      <c r="CA16" s="219">
        <f>IF(AND($D16&lt;&gt;0,AO16="")," *No olvide ingresar la variable "&amp;AO$9&amp;""&amp;". Digite Cero si no tiene.  ",IF(AO16&gt;$D16," *La variable "&amp;AO$9&amp;""&amp;" no debe ser mayor al Total Ambos Sexos. ",""))</f>
        <v/>
      </c>
      <c r="CB16" s="219">
        <f>IF(AND($D16&lt;&gt;0,AP16="")," *No olvide ingresar la variable "&amp;AP$9&amp;""&amp;". Digite Cero si no tiene. ",IF(AP16&gt;$D16," *La variable "&amp;AP$9&amp;""&amp;" no debe ser mayor al Total Ambos Sexos. ",""))</f>
        <v/>
      </c>
      <c r="CC16" s="219">
        <f>IF(AND($D16&lt;&gt;0,AQ16="")," *No olvide ingresar la variable "&amp;AQ$9&amp;""&amp;". Digite Cero si no tiene. ",IF(AQ16&gt;$D16," *La variable "&amp;AQ$9&amp;""&amp;" no debe ser mayor al Total Ambos Sexos. ",""))</f>
        <v/>
      </c>
      <c r="CD16" s="219">
        <f>IF(AND($D16&lt;&gt;0,AR16="")," *No olvide ingresar la variable "&amp;AR$9&amp;""&amp;". Digite Cero si no tiene. ",IF(AR16&gt;$D16," *La variable "&amp;AR$9&amp;""&amp;" no debe ser mayor al Total Ambos Sexos. ",""))</f>
        <v/>
      </c>
      <c r="CJ16" s="261">
        <f>IF(AND($D16&lt;&gt;0,AO16=""),1,IF(AO16&gt;$D16,1,0))</f>
        <v/>
      </c>
      <c r="CK16" s="261">
        <f>IF(AND($D16&lt;&gt;0,AP16=""),1,IF(AP16&gt;$D16,1,0))</f>
        <v/>
      </c>
      <c r="CL16" s="261">
        <f>IF(AND($D16&lt;&gt;0,AQ16=""),1,IF(AQ16&gt;$D16,1,0))</f>
        <v/>
      </c>
      <c r="CM16" s="261">
        <f>IF(AND($D16&lt;&gt;0,AR16=""),1,IF(AR16&gt;$D16,1,0))</f>
        <v/>
      </c>
    </row>
    <row r="17" ht="15" customHeight="1" s="8286">
      <c r="A17" s="9735" t="n"/>
      <c r="B17" s="9614" t="n"/>
      <c r="C17" s="1282" t="inlineStr">
        <is>
          <t>Enfermedades de origen pulmonar</t>
        </is>
      </c>
      <c r="D17" s="531">
        <f>SUM(E17:F17)</f>
        <v/>
      </c>
      <c r="E17" s="531">
        <f>+G17+I17+K17+M17+O17+Q17+S17+U17+W17++Y17+AA17+AC17+AE17+AG17+AI17+AK17+AM17</f>
        <v/>
      </c>
      <c r="F17" s="533">
        <f>+H17+J17+L17+N17+P17+R17+T17+V17+X17++Z17+AB17+AD17+AF17+AH17+AJ17+AL17+AN17</f>
        <v/>
      </c>
      <c r="G17" s="550" t="n"/>
      <c r="H17" s="534" t="n"/>
      <c r="I17" s="550" t="n"/>
      <c r="J17" s="534" t="n"/>
      <c r="K17" s="550" t="n"/>
      <c r="L17" s="534" t="n"/>
      <c r="M17" s="550" t="n"/>
      <c r="N17" s="534" t="n"/>
      <c r="O17" s="535" t="n"/>
      <c r="P17" s="534" t="n"/>
      <c r="Q17" s="535" t="n"/>
      <c r="R17" s="534" t="n"/>
      <c r="S17" s="535" t="n"/>
      <c r="T17" s="534" t="n"/>
      <c r="U17" s="535" t="n"/>
      <c r="V17" s="534" t="n"/>
      <c r="W17" s="550" t="n"/>
      <c r="X17" s="534" t="n"/>
      <c r="Y17" s="550" t="n"/>
      <c r="Z17" s="534" t="n"/>
      <c r="AA17" s="550" t="n"/>
      <c r="AB17" s="534" t="n"/>
      <c r="AC17" s="550" t="n"/>
      <c r="AD17" s="534" t="n"/>
      <c r="AE17" s="550" t="n"/>
      <c r="AF17" s="534" t="n"/>
      <c r="AG17" s="550" t="n"/>
      <c r="AH17" s="534" t="n"/>
      <c r="AI17" s="550" t="n"/>
      <c r="AJ17" s="534" t="n"/>
      <c r="AK17" s="550" t="n"/>
      <c r="AL17" s="534" t="n"/>
      <c r="AM17" s="550" t="n"/>
      <c r="AN17" s="536" t="n"/>
      <c r="AO17" s="5513" t="n"/>
      <c r="AP17" s="5516" t="n"/>
      <c r="AQ17" s="5513" t="n"/>
      <c r="AR17" s="5516" t="n"/>
      <c r="AS17">
        <f>CA17&amp;CB17&amp;CC17&amp;CD17&amp;CE17</f>
        <v/>
      </c>
      <c r="CA17" s="219">
        <f>IF(AND($D17&lt;&gt;0,AO17="")," *No olvide ingresar la variable "&amp;AO$9&amp;""&amp;". Digite Cero si no tiene.  ",IF(AO17&gt;$D17," *La variable "&amp;AO$9&amp;""&amp;" no debe ser mayor al Total Ambos Sexos. ",""))</f>
        <v/>
      </c>
      <c r="CB17" s="219">
        <f>IF(AND($D17&lt;&gt;0,AP17="")," *No olvide ingresar la variable "&amp;AP$9&amp;""&amp;". Digite Cero si no tiene. ",IF(AP17&gt;$D17," *La variable "&amp;AP$9&amp;""&amp;" no debe ser mayor al Total Ambos Sexos. ",""))</f>
        <v/>
      </c>
      <c r="CC17" s="219">
        <f>IF(AND($D17&lt;&gt;0,AQ17="")," *No olvide ingresar la variable "&amp;AQ$9&amp;""&amp;". Digite Cero si no tiene. ",IF(AQ17&gt;$D17," *La variable "&amp;AQ$9&amp;""&amp;" no debe ser mayor al Total Ambos Sexos. ",""))</f>
        <v/>
      </c>
      <c r="CD17" s="219">
        <f>IF(AND($D17&lt;&gt;0,AR17="")," *No olvide ingresar la variable "&amp;AR$9&amp;""&amp;". Digite Cero si no tiene. ",IF(AR17&gt;$D17," *La variable "&amp;AR$9&amp;""&amp;" no debe ser mayor al Total Ambos Sexos. ",""))</f>
        <v/>
      </c>
      <c r="CJ17" s="261">
        <f>IF(AND($D17&lt;&gt;0,AO17=""),1,IF(AO17&gt;$D17,1,0))</f>
        <v/>
      </c>
      <c r="CK17" s="261">
        <f>IF(AND($D17&lt;&gt;0,AP17=""),1,IF(AP17&gt;$D17,1,0))</f>
        <v/>
      </c>
      <c r="CL17" s="261">
        <f>IF(AND($D17&lt;&gt;0,AQ17=""),1,IF(AQ17&gt;$D17,1,0))</f>
        <v/>
      </c>
      <c r="CM17" s="261">
        <f>IF(AND($D17&lt;&gt;0,AR17=""),1,IF(AR17&gt;$D17,1,0))</f>
        <v/>
      </c>
    </row>
    <row r="18" ht="15" customHeight="1" s="8286">
      <c r="A18" s="9735" t="n"/>
      <c r="B18" s="9614" t="n"/>
      <c r="C18" s="1282" t="inlineStr">
        <is>
          <t>Enfermedades de origen hepático</t>
        </is>
      </c>
      <c r="D18" s="531">
        <f>SUM(E18:F18)</f>
        <v/>
      </c>
      <c r="E18" s="531">
        <f>+G18+I18+K18+M18+O18+Q18+S18+U18+W18++Y18+AA18+AC18+AE18+AG18+AI18+AK18+AM18</f>
        <v/>
      </c>
      <c r="F18" s="533">
        <f>+H18+J18+L18+N18+P18+R18+T18+V18+X18++Z18+AB18+AD18+AF18+AH18+AJ18+AL18+AN18</f>
        <v/>
      </c>
      <c r="G18" s="550" t="n"/>
      <c r="H18" s="534" t="n"/>
      <c r="I18" s="550" t="n"/>
      <c r="J18" s="534" t="n"/>
      <c r="K18" s="550" t="n"/>
      <c r="L18" s="534" t="n"/>
      <c r="M18" s="550" t="n"/>
      <c r="N18" s="534" t="n"/>
      <c r="O18" s="535" t="n"/>
      <c r="P18" s="534" t="n"/>
      <c r="Q18" s="535" t="n"/>
      <c r="R18" s="534" t="n"/>
      <c r="S18" s="535" t="n"/>
      <c r="T18" s="534" t="n"/>
      <c r="U18" s="535" t="n"/>
      <c r="V18" s="534" t="n"/>
      <c r="W18" s="550" t="n"/>
      <c r="X18" s="534" t="n"/>
      <c r="Y18" s="550" t="n"/>
      <c r="Z18" s="534" t="n"/>
      <c r="AA18" s="550" t="n"/>
      <c r="AB18" s="534" t="n"/>
      <c r="AC18" s="550" t="n"/>
      <c r="AD18" s="534" t="n"/>
      <c r="AE18" s="550" t="n"/>
      <c r="AF18" s="534" t="n"/>
      <c r="AG18" s="550" t="n"/>
      <c r="AH18" s="534" t="n"/>
      <c r="AI18" s="550" t="n"/>
      <c r="AJ18" s="534" t="n"/>
      <c r="AK18" s="550" t="n"/>
      <c r="AL18" s="534" t="n"/>
      <c r="AM18" s="550" t="n"/>
      <c r="AN18" s="536" t="n"/>
      <c r="AO18" s="5513" t="n"/>
      <c r="AP18" s="5516" t="n"/>
      <c r="AQ18" s="5513" t="n"/>
      <c r="AR18" s="5516" t="n"/>
      <c r="AS18">
        <f>CA18&amp;CB18&amp;CC18&amp;CD18&amp;CE18</f>
        <v/>
      </c>
      <c r="CA18" s="219">
        <f>IF(AND($D18&lt;&gt;0,AO18="")," *No olvide ingresar la variable "&amp;AO$9&amp;""&amp;". Digite Cero si no tiene.  ",IF(AO18&gt;$D18," *La variable "&amp;AO$9&amp;""&amp;" no debe ser mayor al Total Ambos Sexos. ",""))</f>
        <v/>
      </c>
      <c r="CB18" s="219">
        <f>IF(AND($D18&lt;&gt;0,AP18="")," *No olvide ingresar la variable "&amp;AP$9&amp;""&amp;". Digite Cero si no tiene. ",IF(AP18&gt;$D18," *La variable "&amp;AP$9&amp;""&amp;" no debe ser mayor al Total Ambos Sexos. ",""))</f>
        <v/>
      </c>
      <c r="CC18" s="219">
        <f>IF(AND($D18&lt;&gt;0,AQ18="")," *No olvide ingresar la variable "&amp;AQ$9&amp;""&amp;". Digite Cero si no tiene. ",IF(AQ18&gt;$D18," *La variable "&amp;AQ$9&amp;""&amp;" no debe ser mayor al Total Ambos Sexos. ",""))</f>
        <v/>
      </c>
      <c r="CD18" s="219">
        <f>IF(AND($D18&lt;&gt;0,AR18="")," *No olvide ingresar la variable "&amp;AR$9&amp;""&amp;". Digite Cero si no tiene. ",IF(AR18&gt;$D18," *La variable "&amp;AR$9&amp;""&amp;" no debe ser mayor al Total Ambos Sexos. ",""))</f>
        <v/>
      </c>
      <c r="CJ18" s="261">
        <f>IF(AND($D18&lt;&gt;0,AO18=""),1,IF(AO18&gt;$D18,1,0))</f>
        <v/>
      </c>
      <c r="CK18" s="261">
        <f>IF(AND($D18&lt;&gt;0,AP18=""),1,IF(AP18&gt;$D18,1,0))</f>
        <v/>
      </c>
      <c r="CL18" s="261">
        <f>IF(AND($D18&lt;&gt;0,AQ18=""),1,IF(AQ18&gt;$D18,1,0))</f>
        <v/>
      </c>
      <c r="CM18" s="261">
        <f>IF(AND($D18&lt;&gt;0,AR18=""),1,IF(AR18&gt;$D18,1,0))</f>
        <v/>
      </c>
    </row>
    <row r="19" ht="15" customHeight="1" s="8286">
      <c r="A19" s="9735" t="n"/>
      <c r="B19" s="9614" t="n"/>
      <c r="C19" s="1282" t="inlineStr">
        <is>
          <t>Enfermedades de origen renal</t>
        </is>
      </c>
      <c r="D19" s="531">
        <f>SUM(E19:F19)</f>
        <v/>
      </c>
      <c r="E19" s="531">
        <f>+G19+I19+K19+M19+O19+Q19+S19+U19+W19++Y19+AA19+AC19+AE19+AG19+AI19+AK19+AM19</f>
        <v/>
      </c>
      <c r="F19" s="533">
        <f>+H19+J19+L19+N19+P19+R19+T19+V19+X19++Z19+AB19+AD19+AF19+AH19+AJ19+AL19+AN19</f>
        <v/>
      </c>
      <c r="G19" s="550" t="n"/>
      <c r="H19" s="534" t="n"/>
      <c r="I19" s="550" t="n"/>
      <c r="J19" s="534" t="n"/>
      <c r="K19" s="550" t="n"/>
      <c r="L19" s="534" t="n"/>
      <c r="M19" s="550" t="n"/>
      <c r="N19" s="534" t="n"/>
      <c r="O19" s="535" t="n"/>
      <c r="P19" s="534" t="n"/>
      <c r="Q19" s="535" t="n"/>
      <c r="R19" s="534" t="n"/>
      <c r="S19" s="535" t="n"/>
      <c r="T19" s="534" t="n"/>
      <c r="U19" s="535" t="n"/>
      <c r="V19" s="534" t="n"/>
      <c r="W19" s="550" t="n"/>
      <c r="X19" s="534" t="n"/>
      <c r="Y19" s="550" t="n"/>
      <c r="Z19" s="534" t="n"/>
      <c r="AA19" s="550" t="n"/>
      <c r="AB19" s="534" t="n"/>
      <c r="AC19" s="550" t="n"/>
      <c r="AD19" s="534" t="n"/>
      <c r="AE19" s="550" t="n"/>
      <c r="AF19" s="534" t="n"/>
      <c r="AG19" s="550" t="n"/>
      <c r="AH19" s="534" t="n"/>
      <c r="AI19" s="550" t="n"/>
      <c r="AJ19" s="534" t="n"/>
      <c r="AK19" s="550" t="n"/>
      <c r="AL19" s="534" t="n"/>
      <c r="AM19" s="550" t="n"/>
      <c r="AN19" s="536" t="n"/>
      <c r="AO19" s="5513" t="n"/>
      <c r="AP19" s="5516" t="n"/>
      <c r="AQ19" s="5513" t="n"/>
      <c r="AR19" s="5516" t="n"/>
      <c r="AS19">
        <f>CA19&amp;CB19&amp;CC19&amp;CD19&amp;CE19</f>
        <v/>
      </c>
      <c r="CA19" s="219">
        <f>IF(AND($D19&lt;&gt;0,AO19="")," *No olvide ingresar la variable "&amp;AO$9&amp;""&amp;". Digite Cero si no tiene.  ",IF(AO19&gt;$D19," *La variable "&amp;AO$9&amp;""&amp;" no debe ser mayor al Total Ambos Sexos. ",""))</f>
        <v/>
      </c>
      <c r="CB19" s="219">
        <f>IF(AND($D19&lt;&gt;0,AP19="")," *No olvide ingresar la variable "&amp;AP$9&amp;""&amp;". Digite Cero si no tiene. ",IF(AP19&gt;$D19," *La variable "&amp;AP$9&amp;""&amp;" no debe ser mayor al Total Ambos Sexos. ",""))</f>
        <v/>
      </c>
      <c r="CC19" s="219">
        <f>IF(AND($D19&lt;&gt;0,AQ19="")," *No olvide ingresar la variable "&amp;AQ$9&amp;""&amp;". Digite Cero si no tiene. ",IF(AQ19&gt;$D19," *La variable "&amp;AQ$9&amp;""&amp;" no debe ser mayor al Total Ambos Sexos. ",""))</f>
        <v/>
      </c>
      <c r="CD19" s="219">
        <f>IF(AND($D19&lt;&gt;0,AR19="")," *No olvide ingresar la variable "&amp;AR$9&amp;""&amp;". Digite Cero si no tiene. ",IF(AR19&gt;$D19," *La variable "&amp;AR$9&amp;""&amp;" no debe ser mayor al Total Ambos Sexos. ",""))</f>
        <v/>
      </c>
      <c r="CJ19" s="261">
        <f>IF(AND($D19&lt;&gt;0,AO19=""),1,IF(AO19&gt;$D19,1,0))</f>
        <v/>
      </c>
      <c r="CK19" s="261">
        <f>IF(AND($D19&lt;&gt;0,AP19=""),1,IF(AP19&gt;$D19,1,0))</f>
        <v/>
      </c>
      <c r="CL19" s="261">
        <f>IF(AND($D19&lt;&gt;0,AQ19=""),1,IF(AQ19&gt;$D19,1,0))</f>
        <v/>
      </c>
      <c r="CM19" s="261">
        <f>IF(AND($D19&lt;&gt;0,AR19=""),1,IF(AR19&gt;$D19,1,0))</f>
        <v/>
      </c>
    </row>
    <row r="20" ht="24.75" customHeight="1" s="8286">
      <c r="A20" s="9735" t="n"/>
      <c r="B20" s="9614" t="n"/>
      <c r="C20" s="2623" t="inlineStr">
        <is>
          <t>Alteraciones del tejido conectivo o musculoesquelético severos</t>
        </is>
      </c>
      <c r="D20" s="531">
        <f>SUM(E20:F20)</f>
        <v/>
      </c>
      <c r="E20" s="531">
        <f>+G20+I20+K20+M20+O20+Q20+S20+U20+W20++Y20+AA20+AC20+AE20+AG20+AI20+AK20+AM20</f>
        <v/>
      </c>
      <c r="F20" s="533">
        <f>+H20+J20+L20+N20+P20+R20+T20+V20+X20++Z20+AB20+AD20+AF20+AH20+AJ20+AL20+AN20</f>
        <v/>
      </c>
      <c r="G20" s="550" t="n"/>
      <c r="H20" s="534" t="n"/>
      <c r="I20" s="550" t="n"/>
      <c r="J20" s="534" t="n"/>
      <c r="K20" s="550" t="n"/>
      <c r="L20" s="534" t="n"/>
      <c r="M20" s="550" t="n"/>
      <c r="N20" s="534" t="n"/>
      <c r="O20" s="535" t="n"/>
      <c r="P20" s="534" t="n"/>
      <c r="Q20" s="535" t="n"/>
      <c r="R20" s="534" t="n"/>
      <c r="S20" s="535" t="n"/>
      <c r="T20" s="534" t="n"/>
      <c r="U20" s="535" t="n"/>
      <c r="V20" s="534" t="n"/>
      <c r="W20" s="550" t="n"/>
      <c r="X20" s="534" t="n"/>
      <c r="Y20" s="550" t="n"/>
      <c r="Z20" s="534" t="n"/>
      <c r="AA20" s="550" t="n"/>
      <c r="AB20" s="534" t="n"/>
      <c r="AC20" s="550" t="n"/>
      <c r="AD20" s="534" t="n"/>
      <c r="AE20" s="550" t="n"/>
      <c r="AF20" s="534" t="n"/>
      <c r="AG20" s="550" t="n"/>
      <c r="AH20" s="534" t="n"/>
      <c r="AI20" s="550" t="n"/>
      <c r="AJ20" s="534" t="n"/>
      <c r="AK20" s="550" t="n"/>
      <c r="AL20" s="534" t="n"/>
      <c r="AM20" s="550" t="n"/>
      <c r="AN20" s="536" t="n"/>
      <c r="AO20" s="5513" t="n"/>
      <c r="AP20" s="5516" t="n"/>
      <c r="AQ20" s="5513" t="n"/>
      <c r="AR20" s="5516" t="n"/>
      <c r="AS20">
        <f>CA20&amp;CB20&amp;CC20&amp;CD20&amp;CE20</f>
        <v/>
      </c>
      <c r="CA20" s="219">
        <f>IF(AND($D20&lt;&gt;0,AO20="")," *No olvide ingresar la variable "&amp;AO$9&amp;""&amp;". Digite Cero si no tiene.  ",IF(AO20&gt;$D20," *La variable "&amp;AO$9&amp;""&amp;" no debe ser mayor al Total Ambos Sexos. ",""))</f>
        <v/>
      </c>
      <c r="CB20" s="219">
        <f>IF(AND($D20&lt;&gt;0,AP20="")," *No olvide ingresar la variable "&amp;AP$9&amp;""&amp;". Digite Cero si no tiene. ",IF(AP20&gt;$D20," *La variable "&amp;AP$9&amp;""&amp;" no debe ser mayor al Total Ambos Sexos. ",""))</f>
        <v/>
      </c>
      <c r="CC20" s="219">
        <f>IF(AND($D20&lt;&gt;0,AQ20="")," *No olvide ingresar la variable "&amp;AQ$9&amp;""&amp;". Digite Cero si no tiene. ",IF(AQ20&gt;$D20," *La variable "&amp;AQ$9&amp;""&amp;" no debe ser mayor al Total Ambos Sexos. ",""))</f>
        <v/>
      </c>
      <c r="CD20" s="219">
        <f>IF(AND($D20&lt;&gt;0,AR20="")," *No olvide ingresar la variable "&amp;AR$9&amp;""&amp;". Digite Cero si no tiene. ",IF(AR20&gt;$D20," *La variable "&amp;AR$9&amp;""&amp;" no debe ser mayor al Total Ambos Sexos. ",""))</f>
        <v/>
      </c>
      <c r="CJ20" s="261">
        <f>IF(AND($D20&lt;&gt;0,AO20=""),1,IF(AO20&gt;$D20,1,0))</f>
        <v/>
      </c>
      <c r="CK20" s="261">
        <f>IF(AND($D20&lt;&gt;0,AP20=""),1,IF(AP20&gt;$D20,1,0))</f>
        <v/>
      </c>
      <c r="CL20" s="261">
        <f>IF(AND($D20&lt;&gt;0,AQ20=""),1,IF(AQ20&gt;$D20,1,0))</f>
        <v/>
      </c>
      <c r="CM20" s="261">
        <f>IF(AND($D20&lt;&gt;0,AR20=""),1,IF(AR20&gt;$D20,1,0))</f>
        <v/>
      </c>
    </row>
    <row r="21" ht="23.25" customHeight="1" s="8286">
      <c r="A21" s="9735" t="n"/>
      <c r="B21" s="9614" t="n"/>
      <c r="C21" s="2623" t="inlineStr">
        <is>
          <t>Malformaciones congénitas, deformidades y anomalías cromosómicas</t>
        </is>
      </c>
      <c r="D21" s="531">
        <f>SUM(E21:F21)</f>
        <v/>
      </c>
      <c r="E21" s="531">
        <f>+G21+I21+K21+M21+O21+Q21+S21+U21+W21++Y21+AA21+AC21+AE21+AG21+AI21+AK21+AM21</f>
        <v/>
      </c>
      <c r="F21" s="533">
        <f>+H21+J21+L21+N21+P21+R21+T21+V21+X21++Z21+AB21+AD21+AF21+AH21+AJ21+AL21+AN21</f>
        <v/>
      </c>
      <c r="G21" s="550" t="n"/>
      <c r="H21" s="534" t="n"/>
      <c r="I21" s="550" t="n"/>
      <c r="J21" s="534" t="n"/>
      <c r="K21" s="550" t="n"/>
      <c r="L21" s="534" t="n"/>
      <c r="M21" s="550" t="n"/>
      <c r="N21" s="534" t="n"/>
      <c r="O21" s="535" t="n"/>
      <c r="P21" s="534" t="n"/>
      <c r="Q21" s="535" t="n"/>
      <c r="R21" s="534" t="n"/>
      <c r="S21" s="535" t="n"/>
      <c r="T21" s="534" t="n"/>
      <c r="U21" s="535" t="n"/>
      <c r="V21" s="534" t="n"/>
      <c r="W21" s="550" t="n"/>
      <c r="X21" s="534" t="n"/>
      <c r="Y21" s="550" t="n"/>
      <c r="Z21" s="534" t="n"/>
      <c r="AA21" s="550" t="n"/>
      <c r="AB21" s="534" t="n"/>
      <c r="AC21" s="550" t="n"/>
      <c r="AD21" s="534" t="n"/>
      <c r="AE21" s="550" t="n"/>
      <c r="AF21" s="534" t="n"/>
      <c r="AG21" s="550" t="n"/>
      <c r="AH21" s="534" t="n"/>
      <c r="AI21" s="550" t="n"/>
      <c r="AJ21" s="534" t="n"/>
      <c r="AK21" s="550" t="n"/>
      <c r="AL21" s="534" t="n"/>
      <c r="AM21" s="550" t="n"/>
      <c r="AN21" s="536" t="n"/>
      <c r="AO21" s="5513" t="n"/>
      <c r="AP21" s="5516" t="n"/>
      <c r="AQ21" s="5513" t="n"/>
      <c r="AR21" s="5516" t="n"/>
      <c r="AS21">
        <f>CA21&amp;CB21&amp;CC21&amp;CD21&amp;CE21</f>
        <v/>
      </c>
      <c r="CA21" s="219">
        <f>IF(AND($D21&lt;&gt;0,AO21="")," *No olvide ingresar la variable "&amp;AO$9&amp;""&amp;". Digite Cero si no tiene.  ",IF(AO21&gt;$D21," *La variable "&amp;AO$9&amp;""&amp;" no debe ser mayor al Total Ambos Sexos. ",""))</f>
        <v/>
      </c>
      <c r="CB21" s="219">
        <f>IF(AND($D21&lt;&gt;0,AP21="")," *No olvide ingresar la variable "&amp;AP$9&amp;""&amp;". Digite Cero si no tiene. ",IF(AP21&gt;$D21," *La variable "&amp;AP$9&amp;""&amp;" no debe ser mayor al Total Ambos Sexos. ",""))</f>
        <v/>
      </c>
      <c r="CC21" s="219">
        <f>IF(AND($D21&lt;&gt;0,AQ21="")," *No olvide ingresar la variable "&amp;AQ$9&amp;""&amp;". Digite Cero si no tiene. ",IF(AQ21&gt;$D21," *La variable "&amp;AQ$9&amp;""&amp;" no debe ser mayor al Total Ambos Sexos. ",""))</f>
        <v/>
      </c>
      <c r="CD21" s="219">
        <f>IF(AND($D21&lt;&gt;0,AR21="")," *No olvide ingresar la variable "&amp;AR$9&amp;""&amp;". Digite Cero si no tiene. ",IF(AR21&gt;$D21," *La variable "&amp;AR$9&amp;""&amp;" no debe ser mayor al Total Ambos Sexos. ",""))</f>
        <v/>
      </c>
      <c r="CJ21" s="261">
        <f>IF(AND($D21&lt;&gt;0,AO21=""),1,IF(AO21&gt;$D21,1,0))</f>
        <v/>
      </c>
      <c r="CK21" s="261">
        <f>IF(AND($D21&lt;&gt;0,AP21=""),1,IF(AP21&gt;$D21,1,0))</f>
        <v/>
      </c>
      <c r="CL21" s="261">
        <f>IF(AND($D21&lt;&gt;0,AQ21=""),1,IF(AQ21&gt;$D21,1,0))</f>
        <v/>
      </c>
      <c r="CM21" s="261">
        <f>IF(AND($D21&lt;&gt;0,AR21=""),1,IF(AR21&gt;$D21,1,0))</f>
        <v/>
      </c>
    </row>
    <row r="22" ht="15" customHeight="1" s="8286">
      <c r="A22" s="9735" t="n"/>
      <c r="B22" s="9614" t="n"/>
      <c r="C22" s="1282" t="inlineStr">
        <is>
          <t>Prematurez</t>
        </is>
      </c>
      <c r="D22" s="531">
        <f>SUM(E22:F22)</f>
        <v/>
      </c>
      <c r="E22" s="531">
        <f>+G22+I22+K22+M22+O22+Q22+S22+U22+W22++Y22+AA22+AC22+AE22+AG22+AI22+AK22+AM22</f>
        <v/>
      </c>
      <c r="F22" s="533">
        <f>+H22+J22+L22+N22+P22+R22+T22+V22+X22++Z22+AB22+AD22+AF22+AH22+AJ22+AL22+AN22</f>
        <v/>
      </c>
      <c r="G22" s="550" t="n"/>
      <c r="H22" s="534" t="n"/>
      <c r="I22" s="550" t="n"/>
      <c r="J22" s="534" t="n"/>
      <c r="K22" s="550" t="n"/>
      <c r="L22" s="534" t="n"/>
      <c r="M22" s="550" t="n"/>
      <c r="N22" s="534" t="n"/>
      <c r="O22" s="535" t="n"/>
      <c r="P22" s="534" t="n"/>
      <c r="Q22" s="535" t="n"/>
      <c r="R22" s="534" t="n"/>
      <c r="S22" s="535" t="n"/>
      <c r="T22" s="534" t="n"/>
      <c r="U22" s="535" t="n"/>
      <c r="V22" s="534" t="n"/>
      <c r="W22" s="550" t="n"/>
      <c r="X22" s="534" t="n"/>
      <c r="Y22" s="550" t="n"/>
      <c r="Z22" s="534" t="n"/>
      <c r="AA22" s="550" t="n"/>
      <c r="AB22" s="534" t="n"/>
      <c r="AC22" s="550" t="n"/>
      <c r="AD22" s="534" t="n"/>
      <c r="AE22" s="550" t="n"/>
      <c r="AF22" s="534" t="n"/>
      <c r="AG22" s="550" t="n"/>
      <c r="AH22" s="534" t="n"/>
      <c r="AI22" s="550" t="n"/>
      <c r="AJ22" s="534" t="n"/>
      <c r="AK22" s="550" t="n"/>
      <c r="AL22" s="534" t="n"/>
      <c r="AM22" s="550" t="n"/>
      <c r="AN22" s="536" t="n"/>
      <c r="AO22" s="5513" t="n"/>
      <c r="AP22" s="5516" t="n"/>
      <c r="AQ22" s="5513" t="n"/>
      <c r="AR22" s="5516" t="n"/>
      <c r="AS22">
        <f>CA22&amp;CB22&amp;CC22&amp;CD22&amp;CE22</f>
        <v/>
      </c>
      <c r="CA22" s="219">
        <f>IF(AND($D22&lt;&gt;0,AO22="")," *No olvide ingresar la variable "&amp;AO$9&amp;""&amp;". Digite Cero si no tiene.  ",IF(AO22&gt;$D22," *La variable "&amp;AO$9&amp;""&amp;" no debe ser mayor al Total Ambos Sexos. ",""))</f>
        <v/>
      </c>
      <c r="CB22" s="219">
        <f>IF(AND($D22&lt;&gt;0,AP22="")," *No olvide ingresar la variable "&amp;AP$9&amp;""&amp;". Digite Cero si no tiene. ",IF(AP22&gt;$D22," *La variable "&amp;AP$9&amp;""&amp;" no debe ser mayor al Total Ambos Sexos. ",""))</f>
        <v/>
      </c>
      <c r="CC22" s="219">
        <f>IF(AND($D22&lt;&gt;0,AQ22="")," *No olvide ingresar la variable "&amp;AQ$9&amp;""&amp;". Digite Cero si no tiene. ",IF(AQ22&gt;$D22," *La variable "&amp;AQ$9&amp;""&amp;" no debe ser mayor al Total Ambos Sexos. ",""))</f>
        <v/>
      </c>
      <c r="CD22" s="219">
        <f>IF(AND($D22&lt;&gt;0,AR22="")," *No olvide ingresar la variable "&amp;AR$9&amp;""&amp;". Digite Cero si no tiene. ",IF(AR22&gt;$D22," *La variable "&amp;AR$9&amp;""&amp;" no debe ser mayor al Total Ambos Sexos. ",""))</f>
        <v/>
      </c>
      <c r="CJ22" s="261">
        <f>IF(AND($D22&lt;&gt;0,AO22=""),1,IF(AO22&gt;$D22,1,0))</f>
        <v/>
      </c>
      <c r="CK22" s="261">
        <f>IF(AND($D22&lt;&gt;0,AP22=""),1,IF(AP22&gt;$D22,1,0))</f>
        <v/>
      </c>
      <c r="CL22" s="261">
        <f>IF(AND($D22&lt;&gt;0,AQ22=""),1,IF(AQ22&gt;$D22,1,0))</f>
        <v/>
      </c>
      <c r="CM22" s="261">
        <f>IF(AND($D22&lt;&gt;0,AR22=""),1,IF(AR22&gt;$D22,1,0))</f>
        <v/>
      </c>
    </row>
    <row r="23" ht="15" customHeight="1" s="8286">
      <c r="A23" s="10698" t="n"/>
      <c r="B23" s="9610" t="n"/>
      <c r="C23" s="690" t="inlineStr">
        <is>
          <t>Otras enfermedades</t>
        </is>
      </c>
      <c r="D23" s="538">
        <f>SUM(E23:F23)</f>
        <v/>
      </c>
      <c r="E23" s="539">
        <f>+G23+I23+K23+M23+O23+Q23+S23+U23+W23++Y23+AA23+AC23+AE23+AG23+AI23+AK23+AM23</f>
        <v/>
      </c>
      <c r="F23" s="540">
        <f>+H23+J23+L23+N23+P23+R23+T23+V23+X23++Z23+AB23+AD23+AF23+AH23+AJ23+AL23+AN23</f>
        <v/>
      </c>
      <c r="G23" s="541" t="n"/>
      <c r="H23" s="542" t="n"/>
      <c r="I23" s="541" t="n"/>
      <c r="J23" s="542" t="n"/>
      <c r="K23" s="541" t="n"/>
      <c r="L23" s="542" t="n"/>
      <c r="M23" s="541" t="n"/>
      <c r="N23" s="542" t="n"/>
      <c r="O23" s="543" t="n"/>
      <c r="P23" s="542" t="n"/>
      <c r="Q23" s="543" t="n"/>
      <c r="R23" s="542" t="n"/>
      <c r="S23" s="543" t="n"/>
      <c r="T23" s="542" t="n"/>
      <c r="U23" s="543" t="n"/>
      <c r="V23" s="542" t="n"/>
      <c r="W23" s="541" t="n"/>
      <c r="X23" s="542" t="n"/>
      <c r="Y23" s="541" t="n"/>
      <c r="Z23" s="542" t="n"/>
      <c r="AA23" s="541" t="n"/>
      <c r="AB23" s="542" t="n"/>
      <c r="AC23" s="541" t="n"/>
      <c r="AD23" s="542" t="n"/>
      <c r="AE23" s="541" t="n"/>
      <c r="AF23" s="542" t="n"/>
      <c r="AG23" s="541" t="n"/>
      <c r="AH23" s="542" t="n"/>
      <c r="AI23" s="541" t="n"/>
      <c r="AJ23" s="542" t="n"/>
      <c r="AK23" s="541" t="n"/>
      <c r="AL23" s="542" t="n"/>
      <c r="AM23" s="541" t="n"/>
      <c r="AN23" s="544" t="n"/>
      <c r="AO23" s="5514" t="n"/>
      <c r="AP23" s="5517" t="n"/>
      <c r="AQ23" s="5514" t="n"/>
      <c r="AR23" s="5517" t="n"/>
      <c r="AS23">
        <f>CA23&amp;CB23&amp;CC23&amp;CD23&amp;CE23</f>
        <v/>
      </c>
      <c r="CA23" s="219">
        <f>IF(AND($D23&lt;&gt;0,AO23="")," *No olvide ingresar la variable "&amp;AO$9&amp;""&amp;". Digite Cero si no tiene.  ",IF(AO23&gt;$D23," *La variable "&amp;AO$9&amp;""&amp;" no debe ser mayor al Total Ambos Sexos. ",""))</f>
        <v/>
      </c>
      <c r="CB23" s="219">
        <f>IF(AND($D23&lt;&gt;0,AP23="")," *No olvide ingresar la variable "&amp;AP$9&amp;""&amp;". Digite Cero si no tiene. ",IF(AP23&gt;$D23," *La variable "&amp;AP$9&amp;""&amp;" no debe ser mayor al Total Ambos Sexos. ",""))</f>
        <v/>
      </c>
      <c r="CC23" s="219">
        <f>IF(AND($D23&lt;&gt;0,AQ23="")," *No olvide ingresar la variable "&amp;AQ$9&amp;""&amp;". Digite Cero si no tiene. ",IF(AQ23&gt;$D23," *La variable "&amp;AQ$9&amp;""&amp;" no debe ser mayor al Total Ambos Sexos. ",""))</f>
        <v/>
      </c>
      <c r="CD23" s="219">
        <f>IF(AND($D23&lt;&gt;0,AR23="")," *No olvide ingresar la variable "&amp;AR$9&amp;""&amp;". Digite Cero si no tiene. ",IF(AR23&gt;$D23," *La variable "&amp;AR$9&amp;""&amp;" no debe ser mayor al Total Ambos Sexos. ",""))</f>
        <v/>
      </c>
      <c r="CJ23" s="261">
        <f>IF(AND($D23&lt;&gt;0,AO23=""),1,IF(AO23&gt;$D23,1,0))</f>
        <v/>
      </c>
      <c r="CK23" s="261">
        <f>IF(AND($D23&lt;&gt;0,AP23=""),1,IF(AP23&gt;$D23,1,0))</f>
        <v/>
      </c>
      <c r="CL23" s="261">
        <f>IF(AND($D23&lt;&gt;0,AQ23=""),1,IF(AQ23&gt;$D23,1,0))</f>
        <v/>
      </c>
      <c r="CM23" s="261">
        <f>IF(AND($D23&lt;&gt;0,AR23=""),1,IF(AR23&gt;$D23,1,0))</f>
        <v/>
      </c>
    </row>
    <row r="24" ht="15" customHeight="1" s="8286">
      <c r="A24" s="10339" t="inlineStr">
        <is>
          <t>Egresos</t>
        </is>
      </c>
      <c r="B24" s="10339" t="inlineStr">
        <is>
          <t>Enfermedad oncológica</t>
        </is>
      </c>
      <c r="C24" s="4286" t="inlineStr">
        <is>
          <t>Fallecimiento menor a 6 meses desde ingreso</t>
        </is>
      </c>
      <c r="D24" s="546">
        <f>SUM(E24:F24)</f>
        <v/>
      </c>
      <c r="E24" s="546">
        <f>+G24+I24+K24+M24+O24+Q24+S24+U24+W24++Y24+AA24+AC24+AE24+AG24+AI24+AK24+AM24</f>
        <v/>
      </c>
      <c r="F24" s="547">
        <f>+H24+J24+L24+N24+P24+R24+T24+V24+X24++Z24+AB24+AD24+AF24+AH24+AJ24+AL24+AN24</f>
        <v/>
      </c>
      <c r="G24" s="316" t="n"/>
      <c r="H24" s="317" t="n"/>
      <c r="I24" s="316" t="n"/>
      <c r="J24" s="317" t="n"/>
      <c r="K24" s="316" t="n"/>
      <c r="L24" s="317" t="n"/>
      <c r="M24" s="316" t="n"/>
      <c r="N24" s="317" t="n"/>
      <c r="O24" s="548" t="n"/>
      <c r="P24" s="317" t="n"/>
      <c r="Q24" s="548" t="n"/>
      <c r="R24" s="317" t="n"/>
      <c r="S24" s="548" t="n"/>
      <c r="T24" s="317" t="n"/>
      <c r="U24" s="548" t="n"/>
      <c r="V24" s="317" t="n"/>
      <c r="W24" s="316" t="n"/>
      <c r="X24" s="317" t="n"/>
      <c r="Y24" s="316" t="n"/>
      <c r="Z24" s="317" t="n"/>
      <c r="AA24" s="316" t="n"/>
      <c r="AB24" s="317" t="n"/>
      <c r="AC24" s="316" t="n"/>
      <c r="AD24" s="317" t="n"/>
      <c r="AE24" s="316" t="n"/>
      <c r="AF24" s="317" t="n"/>
      <c r="AG24" s="316" t="n"/>
      <c r="AH24" s="317" t="n"/>
      <c r="AI24" s="316" t="n"/>
      <c r="AJ24" s="317" t="n"/>
      <c r="AK24" s="316" t="n"/>
      <c r="AL24" s="317" t="n"/>
      <c r="AM24" s="316" t="n"/>
      <c r="AN24" s="318" t="n"/>
      <c r="AO24" s="5515" t="n"/>
      <c r="AP24" s="5518" t="n"/>
      <c r="AQ24" s="5515" t="n"/>
      <c r="AR24" s="5518" t="n"/>
      <c r="AS24">
        <f>CA24&amp;CB24&amp;CC24&amp;CD24&amp;CE24</f>
        <v/>
      </c>
      <c r="CA24" s="219">
        <f>IF(AND($D24&lt;&gt;0,AO24="")," *No olvide ingresar la variable "&amp;AO$9&amp;""&amp;". Digite Cero si no tiene.  ",IF(AO24&gt;$D24," *La variable "&amp;AO$9&amp;""&amp;" no debe ser mayor al Total Ambos Sexos. ",""))</f>
        <v/>
      </c>
      <c r="CB24" s="219">
        <f>IF(AND($D24&lt;&gt;0,AP24="")," *No olvide ingresar la variable "&amp;AP$9&amp;""&amp;". Digite Cero si no tiene. ",IF(AP24&gt;$D24," *La variable "&amp;AP$9&amp;""&amp;" no debe ser mayor al Total Ambos Sexos. ",""))</f>
        <v/>
      </c>
      <c r="CC24" s="219">
        <f>IF(AND($D24&lt;&gt;0,AQ24="")," *No olvide ingresar la variable "&amp;AQ$9&amp;""&amp;". Digite Cero si no tiene. ",IF(AQ24&gt;$D24," *La variable "&amp;AQ$9&amp;""&amp;" no debe ser mayor al Total Ambos Sexos. ",""))</f>
        <v/>
      </c>
      <c r="CD24" s="219">
        <f>IF(AND($D24&lt;&gt;0,AR24="")," *No olvide ingresar la variable "&amp;AR$9&amp;""&amp;". Digite Cero si no tiene. ",IF(AR24&gt;$D24," *La variable "&amp;AR$9&amp;""&amp;" no debe ser mayor al Total Ambos Sexos. ",""))</f>
        <v/>
      </c>
      <c r="CJ24" s="261">
        <f>IF(AND($D24&lt;&gt;0,AO24=""),1,IF(AO24&gt;$D24,1,0))</f>
        <v/>
      </c>
      <c r="CK24" s="261">
        <f>IF(AND($D24&lt;&gt;0,AP24=""),1,IF(AP24&gt;$D24,1,0))</f>
        <v/>
      </c>
      <c r="CL24" s="261">
        <f>IF(AND($D24&lt;&gt;0,AQ24=""),1,IF(AQ24&gt;$D24,1,0))</f>
        <v/>
      </c>
      <c r="CM24" s="261">
        <f>IF(AND($D24&lt;&gt;0,AR24=""),1,IF(AR24&gt;$D24,1,0))</f>
        <v/>
      </c>
    </row>
    <row r="25" ht="15" customHeight="1" s="8286">
      <c r="A25" s="9614" t="n"/>
      <c r="B25" s="9614" t="n"/>
      <c r="C25" s="4288" t="inlineStr">
        <is>
          <t>Fallecimiento más de 6 meses y menos de un año del ingreso</t>
        </is>
      </c>
      <c r="D25" s="531">
        <f>SUM(E25:F25)</f>
        <v/>
      </c>
      <c r="E25" s="531">
        <f>+G25+I25+K25+M25+O25+Q25+S25+U25+W25++Y25+AA25+AC25+AE25+AG25+AI25+AK25+AM25</f>
        <v/>
      </c>
      <c r="F25" s="533">
        <f>+H25+J25+L25+N25+P25+R25+T25+V25+X25++Z25+AB25+AD25+AF25+AH25+AJ25+AL25+AN25</f>
        <v/>
      </c>
      <c r="G25" s="550" t="n"/>
      <c r="H25" s="534" t="n"/>
      <c r="I25" s="550" t="n"/>
      <c r="J25" s="534" t="n"/>
      <c r="K25" s="550" t="n"/>
      <c r="L25" s="534" t="n"/>
      <c r="M25" s="550" t="n"/>
      <c r="N25" s="534" t="n"/>
      <c r="O25" s="535" t="n"/>
      <c r="P25" s="534" t="n"/>
      <c r="Q25" s="535" t="n"/>
      <c r="R25" s="534" t="n"/>
      <c r="S25" s="535" t="n"/>
      <c r="T25" s="534" t="n"/>
      <c r="U25" s="535" t="n"/>
      <c r="V25" s="534" t="n"/>
      <c r="W25" s="550" t="n"/>
      <c r="X25" s="534" t="n"/>
      <c r="Y25" s="550" t="n"/>
      <c r="Z25" s="534" t="n"/>
      <c r="AA25" s="550" t="n"/>
      <c r="AB25" s="534" t="n"/>
      <c r="AC25" s="550" t="n"/>
      <c r="AD25" s="534" t="n"/>
      <c r="AE25" s="550" t="n"/>
      <c r="AF25" s="534" t="n"/>
      <c r="AG25" s="550" t="n"/>
      <c r="AH25" s="534" t="n"/>
      <c r="AI25" s="550" t="n"/>
      <c r="AJ25" s="534" t="n"/>
      <c r="AK25" s="550" t="n"/>
      <c r="AL25" s="534" t="n"/>
      <c r="AM25" s="550" t="n"/>
      <c r="AN25" s="536" t="n"/>
      <c r="AO25" s="5513" t="n"/>
      <c r="AP25" s="5516" t="n"/>
      <c r="AQ25" s="5513" t="n"/>
      <c r="AR25" s="5516" t="n"/>
      <c r="AS25">
        <f>CA25&amp;CB25&amp;CC25&amp;CD25&amp;CE25</f>
        <v/>
      </c>
      <c r="CA25" s="219">
        <f>IF(AND($D25&lt;&gt;0,AO25="")," *No olvide ingresar la variable "&amp;AO$9&amp;""&amp;". Digite Cero si no tiene.  ",IF(AO25&gt;$D25," *La variable "&amp;AO$9&amp;""&amp;" no debe ser mayor al Total Ambos Sexos. ",""))</f>
        <v/>
      </c>
      <c r="CB25" s="219">
        <f>IF(AND($D25&lt;&gt;0,AP25="")," *No olvide ingresar la variable "&amp;AP$9&amp;""&amp;". Digite Cero si no tiene. ",IF(AP25&gt;$D25," *La variable "&amp;AP$9&amp;""&amp;" no debe ser mayor al Total Ambos Sexos. ",""))</f>
        <v/>
      </c>
      <c r="CC25" s="219">
        <f>IF(AND($D25&lt;&gt;0,AQ25="")," *No olvide ingresar la variable "&amp;AQ$9&amp;""&amp;". Digite Cero si no tiene. ",IF(AQ25&gt;$D25," *La variable "&amp;AQ$9&amp;""&amp;" no debe ser mayor al Total Ambos Sexos. ",""))</f>
        <v/>
      </c>
      <c r="CD25" s="219">
        <f>IF(AND($D25&lt;&gt;0,AR25="")," *No olvide ingresar la variable "&amp;AR$9&amp;""&amp;". Digite Cero si no tiene. ",IF(AR25&gt;$D25," *La variable "&amp;AR$9&amp;""&amp;" no debe ser mayor al Total Ambos Sexos. ",""))</f>
        <v/>
      </c>
      <c r="CJ25" s="261">
        <f>IF(AND($D25&lt;&gt;0,AO25=""),1,IF(AO25&gt;$D25,1,0))</f>
        <v/>
      </c>
      <c r="CK25" s="261">
        <f>IF(AND($D25&lt;&gt;0,AP25=""),1,IF(AP25&gt;$D25,1,0))</f>
        <v/>
      </c>
      <c r="CL25" s="261">
        <f>IF(AND($D25&lt;&gt;0,AQ25=""),1,IF(AQ25&gt;$D25,1,0))</f>
        <v/>
      </c>
      <c r="CM25" s="261">
        <f>IF(AND($D25&lt;&gt;0,AR25=""),1,IF(AR25&gt;$D25,1,0))</f>
        <v/>
      </c>
    </row>
    <row r="26" ht="15" customHeight="1" s="8286">
      <c r="A26" s="9614" t="n"/>
      <c r="B26" s="9614" t="n"/>
      <c r="C26" s="4288" t="inlineStr">
        <is>
          <t>Fallecimiento posterior a 12 meses del ingreso</t>
        </is>
      </c>
      <c r="D26" s="531">
        <f>SUM(E26:F26)</f>
        <v/>
      </c>
      <c r="E26" s="531">
        <f>+G26+I26+K26+M26+O26+Q26+S26+U26+W26++Y26+AA26+AC26+AE26+AG26+AI26+AK26+AM26</f>
        <v/>
      </c>
      <c r="F26" s="533">
        <f>+H26+J26+L26+N26+P26+R26+T26+V26+X26++Z26+AB26+AD26+AF26+AH26+AJ26+AL26+AN26</f>
        <v/>
      </c>
      <c r="G26" s="550" t="n"/>
      <c r="H26" s="534" t="n"/>
      <c r="I26" s="550" t="n"/>
      <c r="J26" s="534" t="n"/>
      <c r="K26" s="550" t="n"/>
      <c r="L26" s="534" t="n"/>
      <c r="M26" s="550" t="n"/>
      <c r="N26" s="534" t="n"/>
      <c r="O26" s="535" t="n"/>
      <c r="P26" s="534" t="n"/>
      <c r="Q26" s="535" t="n"/>
      <c r="R26" s="534" t="n"/>
      <c r="S26" s="535" t="n"/>
      <c r="T26" s="534" t="n"/>
      <c r="U26" s="535" t="n"/>
      <c r="V26" s="534" t="n"/>
      <c r="W26" s="550" t="n"/>
      <c r="X26" s="534" t="n"/>
      <c r="Y26" s="550" t="n"/>
      <c r="Z26" s="534" t="n"/>
      <c r="AA26" s="550" t="n"/>
      <c r="AB26" s="534" t="n"/>
      <c r="AC26" s="550" t="n"/>
      <c r="AD26" s="534" t="n"/>
      <c r="AE26" s="550" t="n"/>
      <c r="AF26" s="534" t="n"/>
      <c r="AG26" s="550" t="n"/>
      <c r="AH26" s="534" t="n"/>
      <c r="AI26" s="550" t="n"/>
      <c r="AJ26" s="534" t="n"/>
      <c r="AK26" s="550" t="n"/>
      <c r="AL26" s="534" t="n"/>
      <c r="AM26" s="550" t="n"/>
      <c r="AN26" s="536" t="n"/>
      <c r="AO26" s="5513" t="n"/>
      <c r="AP26" s="5516" t="n"/>
      <c r="AQ26" s="5513" t="n"/>
      <c r="AR26" s="5516" t="n"/>
      <c r="AS26">
        <f>CA26&amp;CB26&amp;CC26&amp;CD26&amp;CE26</f>
        <v/>
      </c>
      <c r="CA26" s="219">
        <f>IF(AND($D26&lt;&gt;0,AO26="")," *No olvide ingresar la variable "&amp;AO$9&amp;""&amp;". Digite Cero si no tiene.  ",IF(AO26&gt;$D26," *La variable "&amp;AO$9&amp;""&amp;" no debe ser mayor al Total Ambos Sexos. ",""))</f>
        <v/>
      </c>
      <c r="CB26" s="219">
        <f>IF(AND($D26&lt;&gt;0,AP26="")," *No olvide ingresar la variable "&amp;AP$9&amp;""&amp;". Digite Cero si no tiene. ",IF(AP26&gt;$D26," *La variable "&amp;AP$9&amp;""&amp;" no debe ser mayor al Total Ambos Sexos. ",""))</f>
        <v/>
      </c>
      <c r="CC26" s="219">
        <f>IF(AND($D26&lt;&gt;0,AQ26="")," *No olvide ingresar la variable "&amp;AQ$9&amp;""&amp;". Digite Cero si no tiene. ",IF(AQ26&gt;$D26," *La variable "&amp;AQ$9&amp;""&amp;" no debe ser mayor al Total Ambos Sexos. ",""))</f>
        <v/>
      </c>
      <c r="CD26" s="219">
        <f>IF(AND($D26&lt;&gt;0,AR26="")," *No olvide ingresar la variable "&amp;AR$9&amp;""&amp;". Digite Cero si no tiene. ",IF(AR26&gt;$D26," *La variable "&amp;AR$9&amp;""&amp;" no debe ser mayor al Total Ambos Sexos. ",""))</f>
        <v/>
      </c>
      <c r="CJ26" s="261">
        <f>IF(AND($D26&lt;&gt;0,AO26=""),1,IF(AO26&gt;$D26,1,0))</f>
        <v/>
      </c>
      <c r="CK26" s="261">
        <f>IF(AND($D26&lt;&gt;0,AP26=""),1,IF(AP26&gt;$D26,1,0))</f>
        <v/>
      </c>
      <c r="CL26" s="261">
        <f>IF(AND($D26&lt;&gt;0,AQ26=""),1,IF(AQ26&gt;$D26,1,0))</f>
        <v/>
      </c>
      <c r="CM26" s="261">
        <f>IF(AND($D26&lt;&gt;0,AR26=""),1,IF(AR26&gt;$D26,1,0))</f>
        <v/>
      </c>
    </row>
    <row r="27" ht="15" customHeight="1" s="8286">
      <c r="A27" s="9614" t="n"/>
      <c r="B27" s="9614" t="n"/>
      <c r="C27" s="4288" t="inlineStr">
        <is>
          <t>Término de Tratamiento</t>
        </is>
      </c>
      <c r="D27" s="531">
        <f>SUM(E27:F27)</f>
        <v/>
      </c>
      <c r="E27" s="531">
        <f>+G27+I27+K27+M27+O27+Q27+S27+U27+W27++Y27+AA27+AC27+AE27+AG27+AI27+AK27+AM27</f>
        <v/>
      </c>
      <c r="F27" s="533">
        <f>+H27+J27+L27+N27+P27+R27+T27+V27+X27++Z27+AB27+AD27+AF27+AH27+AJ27+AL27+AN27</f>
        <v/>
      </c>
      <c r="G27" s="550" t="n"/>
      <c r="H27" s="534" t="n"/>
      <c r="I27" s="550" t="n"/>
      <c r="J27" s="534" t="n"/>
      <c r="K27" s="550" t="n"/>
      <c r="L27" s="534" t="n"/>
      <c r="M27" s="550" t="n"/>
      <c r="N27" s="534" t="n"/>
      <c r="O27" s="535" t="n"/>
      <c r="P27" s="534" t="n"/>
      <c r="Q27" s="535" t="n"/>
      <c r="R27" s="534" t="n"/>
      <c r="S27" s="535" t="n"/>
      <c r="T27" s="534" t="n"/>
      <c r="U27" s="535" t="n"/>
      <c r="V27" s="534" t="n"/>
      <c r="W27" s="550" t="n"/>
      <c r="X27" s="534" t="n"/>
      <c r="Y27" s="550" t="n"/>
      <c r="Z27" s="534" t="n"/>
      <c r="AA27" s="550" t="n"/>
      <c r="AB27" s="534" t="n"/>
      <c r="AC27" s="550" t="n"/>
      <c r="AD27" s="534" t="n"/>
      <c r="AE27" s="550" t="n"/>
      <c r="AF27" s="534" t="n"/>
      <c r="AG27" s="550" t="n"/>
      <c r="AH27" s="534" t="n"/>
      <c r="AI27" s="550" t="n"/>
      <c r="AJ27" s="534" t="n"/>
      <c r="AK27" s="550" t="n"/>
      <c r="AL27" s="534" t="n"/>
      <c r="AM27" s="550" t="n"/>
      <c r="AN27" s="536" t="n"/>
      <c r="AO27" s="5513" t="n"/>
      <c r="AP27" s="5516" t="n"/>
      <c r="AQ27" s="5513" t="n"/>
      <c r="AR27" s="5516" t="n"/>
      <c r="AS27">
        <f>CA27&amp;CB27&amp;CC27&amp;CD27&amp;CE27</f>
        <v/>
      </c>
      <c r="CA27" s="219">
        <f>IF(AND($D27&lt;&gt;0,AO27="")," *No olvide ingresar la variable "&amp;AO$9&amp;""&amp;". Digite Cero si no tiene.  ",IF(AO27&gt;$D27," *La variable "&amp;AO$9&amp;""&amp;" no debe ser mayor al Total Ambos Sexos. ",""))</f>
        <v/>
      </c>
      <c r="CB27" s="219">
        <f>IF(AND($D27&lt;&gt;0,AP27="")," *No olvide ingresar la variable "&amp;AP$9&amp;""&amp;". Digite Cero si no tiene. ",IF(AP27&gt;$D27," *La variable "&amp;AP$9&amp;""&amp;" no debe ser mayor al Total Ambos Sexos. ",""))</f>
        <v/>
      </c>
      <c r="CC27" s="219">
        <f>IF(AND($D27&lt;&gt;0,AQ27="")," *No olvide ingresar la variable "&amp;AQ$9&amp;""&amp;". Digite Cero si no tiene. ",IF(AQ27&gt;$D27," *La variable "&amp;AQ$9&amp;""&amp;" no debe ser mayor al Total Ambos Sexos. ",""))</f>
        <v/>
      </c>
      <c r="CD27" s="219">
        <f>IF(AND($D27&lt;&gt;0,AR27="")," *No olvide ingresar la variable "&amp;AR$9&amp;""&amp;". Digite Cero si no tiene. ",IF(AR27&gt;$D27," *La variable "&amp;AR$9&amp;""&amp;" no debe ser mayor al Total Ambos Sexos. ",""))</f>
        <v/>
      </c>
      <c r="CJ27" s="261">
        <f>IF(AND($D27&lt;&gt;0,AO27=""),1,IF(AO27&gt;$D27,1,0))</f>
        <v/>
      </c>
      <c r="CK27" s="261">
        <f>IF(AND($D27&lt;&gt;0,AP27=""),1,IF(AP27&gt;$D27,1,0))</f>
        <v/>
      </c>
      <c r="CL27" s="261">
        <f>IF(AND($D27&lt;&gt;0,AQ27=""),1,IF(AQ27&gt;$D27,1,0))</f>
        <v/>
      </c>
      <c r="CM27" s="261">
        <f>IF(AND($D27&lt;&gt;0,AR27=""),1,IF(AR27&gt;$D27,1,0))</f>
        <v/>
      </c>
    </row>
    <row r="28" ht="15" customHeight="1" s="8286">
      <c r="A28" s="9614" t="n"/>
      <c r="B28" s="9614" t="n"/>
      <c r="C28" s="4288" t="inlineStr">
        <is>
          <t>No cumplimiento de criterios de ingreso</t>
        </is>
      </c>
      <c r="D28" s="531">
        <f>SUM(E28:F28)</f>
        <v/>
      </c>
      <c r="E28" s="531">
        <f>+G28+I28+K28+M28+O28+Q28+S28+U28+W28++Y28+AA28+AC28+AE28+AG28+AI28+AK28+AM28</f>
        <v/>
      </c>
      <c r="F28" s="533">
        <f>+H28+J28+L28+N28+P28+R28+T28+V28+X28++Z28+AB28+AD28+AF28+AH28+AJ28+AL28+AN28</f>
        <v/>
      </c>
      <c r="G28" s="550" t="n"/>
      <c r="H28" s="534" t="n"/>
      <c r="I28" s="550" t="n"/>
      <c r="J28" s="534" t="n"/>
      <c r="K28" s="550" t="n"/>
      <c r="L28" s="534" t="n"/>
      <c r="M28" s="550" t="n"/>
      <c r="N28" s="534" t="n"/>
      <c r="O28" s="535" t="n"/>
      <c r="P28" s="534" t="n"/>
      <c r="Q28" s="535" t="n"/>
      <c r="R28" s="534" t="n"/>
      <c r="S28" s="535" t="n"/>
      <c r="T28" s="534" t="n"/>
      <c r="U28" s="535" t="n"/>
      <c r="V28" s="534" t="n"/>
      <c r="W28" s="550" t="n"/>
      <c r="X28" s="534" t="n"/>
      <c r="Y28" s="550" t="n"/>
      <c r="Z28" s="534" t="n"/>
      <c r="AA28" s="550" t="n"/>
      <c r="AB28" s="534" t="n"/>
      <c r="AC28" s="550" t="n"/>
      <c r="AD28" s="534" t="n"/>
      <c r="AE28" s="550" t="n"/>
      <c r="AF28" s="534" t="n"/>
      <c r="AG28" s="550" t="n"/>
      <c r="AH28" s="534" t="n"/>
      <c r="AI28" s="550" t="n"/>
      <c r="AJ28" s="534" t="n"/>
      <c r="AK28" s="550" t="n"/>
      <c r="AL28" s="534" t="n"/>
      <c r="AM28" s="550" t="n"/>
      <c r="AN28" s="536" t="n"/>
      <c r="AO28" s="5513" t="n"/>
      <c r="AP28" s="5516" t="n"/>
      <c r="AQ28" s="5513" t="n"/>
      <c r="AR28" s="5516" t="n"/>
      <c r="AS28">
        <f>CA28&amp;CB28&amp;CC28&amp;CD28&amp;CE28</f>
        <v/>
      </c>
      <c r="CA28" s="219">
        <f>IF(AND($D28&lt;&gt;0,AO28="")," *No olvide ingresar la variable "&amp;AO$9&amp;""&amp;". Digite Cero si no tiene.  ",IF(AO28&gt;$D28," *La variable "&amp;AO$9&amp;""&amp;" no debe ser mayor al Total Ambos Sexos. ",""))</f>
        <v/>
      </c>
      <c r="CB28" s="219">
        <f>IF(AND($D28&lt;&gt;0,AP28="")," *No olvide ingresar la variable "&amp;AP$9&amp;""&amp;". Digite Cero si no tiene. ",IF(AP28&gt;$D28," *La variable "&amp;AP$9&amp;""&amp;" no debe ser mayor al Total Ambos Sexos. ",""))</f>
        <v/>
      </c>
      <c r="CC28" s="219">
        <f>IF(AND($D28&lt;&gt;0,AQ28="")," *No olvide ingresar la variable "&amp;AQ$9&amp;""&amp;". Digite Cero si no tiene. ",IF(AQ28&gt;$D28," *La variable "&amp;AQ$9&amp;""&amp;" no debe ser mayor al Total Ambos Sexos. ",""))</f>
        <v/>
      </c>
      <c r="CD28" s="219">
        <f>IF(AND($D28&lt;&gt;0,AR28="")," *No olvide ingresar la variable "&amp;AR$9&amp;""&amp;". Digite Cero si no tiene. ",IF(AR28&gt;$D28," *La variable "&amp;AR$9&amp;""&amp;" no debe ser mayor al Total Ambos Sexos. ",""))</f>
        <v/>
      </c>
      <c r="CJ28" s="261">
        <f>IF(AND($D28&lt;&gt;0,AO28=""),1,IF(AO28&gt;$D28,1,0))</f>
        <v/>
      </c>
      <c r="CK28" s="261">
        <f>IF(AND($D28&lt;&gt;0,AP28=""),1,IF(AP28&gt;$D28,1,0))</f>
        <v/>
      </c>
      <c r="CL28" s="261">
        <f>IF(AND($D28&lt;&gt;0,AQ28=""),1,IF(AQ28&gt;$D28,1,0))</f>
        <v/>
      </c>
      <c r="CM28" s="261">
        <f>IF(AND($D28&lt;&gt;0,AR28=""),1,IF(AR28&gt;$D28,1,0))</f>
        <v/>
      </c>
    </row>
    <row r="29" ht="15" customHeight="1" s="8286">
      <c r="A29" s="9614" t="n"/>
      <c r="B29" s="9610" t="n"/>
      <c r="C29" s="3239" t="inlineStr">
        <is>
          <t>Otra causal</t>
        </is>
      </c>
      <c r="D29" s="538">
        <f>SUM(E29:F29)</f>
        <v/>
      </c>
      <c r="E29" s="539">
        <f>+G29+I29+K29+M29+O29+Q29+S29+U29+W29++Y29+AA29+AC29+AE29+AG29+AI29+AK29+AM29</f>
        <v/>
      </c>
      <c r="F29" s="540">
        <f>+H29+J29+L29+N29+P29+R29+T29+V29+X29++Z29+AB29+AD29+AF29+AH29+AJ29+AL29+AN29</f>
        <v/>
      </c>
      <c r="G29" s="541" t="n"/>
      <c r="H29" s="542" t="n"/>
      <c r="I29" s="541" t="n"/>
      <c r="J29" s="542" t="n"/>
      <c r="K29" s="541" t="n"/>
      <c r="L29" s="542" t="n"/>
      <c r="M29" s="541" t="n"/>
      <c r="N29" s="542" t="n"/>
      <c r="O29" s="543" t="n"/>
      <c r="P29" s="542" t="n"/>
      <c r="Q29" s="543" t="n"/>
      <c r="R29" s="542" t="n"/>
      <c r="S29" s="543" t="n"/>
      <c r="T29" s="542" t="n"/>
      <c r="U29" s="543" t="n"/>
      <c r="V29" s="542" t="n"/>
      <c r="W29" s="541" t="n"/>
      <c r="X29" s="542" t="n"/>
      <c r="Y29" s="541" t="n"/>
      <c r="Z29" s="542" t="n"/>
      <c r="AA29" s="541" t="n"/>
      <c r="AB29" s="542" t="n"/>
      <c r="AC29" s="541" t="n"/>
      <c r="AD29" s="542" t="n"/>
      <c r="AE29" s="541" t="n"/>
      <c r="AF29" s="542" t="n"/>
      <c r="AG29" s="541" t="n"/>
      <c r="AH29" s="542" t="n"/>
      <c r="AI29" s="541" t="n"/>
      <c r="AJ29" s="542" t="n"/>
      <c r="AK29" s="541" t="n"/>
      <c r="AL29" s="542" t="n"/>
      <c r="AM29" s="541" t="n"/>
      <c r="AN29" s="544" t="n"/>
      <c r="AO29" s="5514" t="n"/>
      <c r="AP29" s="5517" t="n"/>
      <c r="AQ29" s="5514" t="n"/>
      <c r="AR29" s="5517" t="n"/>
      <c r="AS29">
        <f>CA29&amp;CB29&amp;CC29&amp;CD29&amp;CE29</f>
        <v/>
      </c>
      <c r="CA29" s="219">
        <f>IF(AND($D29&lt;&gt;0,AO29="")," *No olvide ingresar la variable "&amp;AO$9&amp;""&amp;". Digite Cero si no tiene.  ",IF(AO29&gt;$D29," *La variable "&amp;AO$9&amp;""&amp;" no debe ser mayor al Total Ambos Sexos. ",""))</f>
        <v/>
      </c>
      <c r="CB29" s="219">
        <f>IF(AND($D29&lt;&gt;0,AP29="")," *No olvide ingresar la variable "&amp;AP$9&amp;""&amp;". Digite Cero si no tiene. ",IF(AP29&gt;$D29," *La variable "&amp;AP$9&amp;""&amp;" no debe ser mayor al Total Ambos Sexos. ",""))</f>
        <v/>
      </c>
      <c r="CC29" s="219">
        <f>IF(AND($D29&lt;&gt;0,AQ29="")," *No olvide ingresar la variable "&amp;AQ$9&amp;""&amp;". Digite Cero si no tiene. ",IF(AQ29&gt;$D29," *La variable "&amp;AQ$9&amp;""&amp;" no debe ser mayor al Total Ambos Sexos. ",""))</f>
        <v/>
      </c>
      <c r="CD29" s="219">
        <f>IF(AND($D29&lt;&gt;0,AR29="")," *No olvide ingresar la variable "&amp;AR$9&amp;""&amp;". Digite Cero si no tiene. ",IF(AR29&gt;$D29," *La variable "&amp;AR$9&amp;""&amp;" no debe ser mayor al Total Ambos Sexos. ",""))</f>
        <v/>
      </c>
      <c r="CJ29" s="261">
        <f>IF(AND($D29&lt;&gt;0,AO29=""),1,IF(AO29&gt;$D29,1,0))</f>
        <v/>
      </c>
      <c r="CK29" s="261">
        <f>IF(AND($D29&lt;&gt;0,AP29=""),1,IF(AP29&gt;$D29,1,0))</f>
        <v/>
      </c>
      <c r="CL29" s="261">
        <f>IF(AND($D29&lt;&gt;0,AQ29=""),1,IF(AQ29&gt;$D29,1,0))</f>
        <v/>
      </c>
      <c r="CM29" s="261">
        <f>IF(AND($D29&lt;&gt;0,AR29=""),1,IF(AR29&gt;$D29,1,0))</f>
        <v/>
      </c>
    </row>
    <row r="30" ht="15" customHeight="1" s="8286">
      <c r="A30" s="9614" t="n"/>
      <c r="B30" s="10339" t="inlineStr">
        <is>
          <t>Enfermedad no oncológica</t>
        </is>
      </c>
      <c r="C30" s="4286" t="inlineStr">
        <is>
          <t>Fallecimiento menor a 6 meses desde ingreso</t>
        </is>
      </c>
      <c r="D30" s="546">
        <f>SUM(E30:F30)</f>
        <v/>
      </c>
      <c r="E30" s="546">
        <f>+G30+I30+K30+M30+O30+Q30+S30+U30+W30++Y30+AA30+AC30+AE30+AG30+AI30+AK30+AM30</f>
        <v/>
      </c>
      <c r="F30" s="547">
        <f>+H30+J30+L30+N30+P30+R30+T30+V30+X30++Z30+AB30+AD30+AF30+AH30+AJ30+AL30+AN30</f>
        <v/>
      </c>
      <c r="G30" s="316" t="n"/>
      <c r="H30" s="317" t="n"/>
      <c r="I30" s="316" t="n"/>
      <c r="J30" s="317" t="n"/>
      <c r="K30" s="316" t="n"/>
      <c r="L30" s="317" t="n"/>
      <c r="M30" s="316" t="n"/>
      <c r="N30" s="317" t="n"/>
      <c r="O30" s="548" t="n"/>
      <c r="P30" s="317" t="n"/>
      <c r="Q30" s="548" t="n"/>
      <c r="R30" s="317" t="n"/>
      <c r="S30" s="548" t="n"/>
      <c r="T30" s="317" t="n"/>
      <c r="U30" s="548" t="n"/>
      <c r="V30" s="317" t="n"/>
      <c r="W30" s="316" t="n"/>
      <c r="X30" s="317" t="n"/>
      <c r="Y30" s="316" t="n"/>
      <c r="Z30" s="317" t="n"/>
      <c r="AA30" s="316" t="n"/>
      <c r="AB30" s="317" t="n"/>
      <c r="AC30" s="316" t="n">
        <v>1</v>
      </c>
      <c r="AD30" s="317" t="n"/>
      <c r="AE30" s="316" t="n"/>
      <c r="AF30" s="317" t="n"/>
      <c r="AG30" s="316" t="n"/>
      <c r="AH30" s="317" t="n"/>
      <c r="AI30" s="316" t="n"/>
      <c r="AJ30" s="317" t="n">
        <v>1</v>
      </c>
      <c r="AK30" s="316" t="n">
        <v>2</v>
      </c>
      <c r="AL30" s="317" t="n">
        <v>1</v>
      </c>
      <c r="AM30" s="316" t="n"/>
      <c r="AN30" s="318" t="n"/>
      <c r="AO30" s="5515" t="n"/>
      <c r="AP30" s="5518" t="n"/>
      <c r="AQ30" s="5515" t="n"/>
      <c r="AR30" s="5518" t="n"/>
      <c r="AS30">
        <f>CA30&amp;CB30&amp;CC30&amp;CD30&amp;CE30</f>
        <v/>
      </c>
      <c r="CA30" s="219">
        <f>IF(AND($D30&lt;&gt;0,AO30="")," *No olvide ingresar la variable "&amp;AO$9&amp;""&amp;". Digite Cero si no tiene.  ",IF(AO30&gt;$D30," *La variable "&amp;AO$9&amp;""&amp;" no debe ser mayor al Total Ambos Sexos. ",""))</f>
        <v/>
      </c>
      <c r="CB30" s="219">
        <f>IF(AND($D30&lt;&gt;0,AP30="")," *No olvide ingresar la variable "&amp;AP$9&amp;""&amp;". Digite Cero si no tiene. ",IF(AP30&gt;$D30," *La variable "&amp;AP$9&amp;""&amp;" no debe ser mayor al Total Ambos Sexos. ",""))</f>
        <v/>
      </c>
      <c r="CC30" s="219">
        <f>IF(AND($D30&lt;&gt;0,AQ30="")," *No olvide ingresar la variable "&amp;AQ$9&amp;""&amp;". Digite Cero si no tiene. ",IF(AQ30&gt;$D30," *La variable "&amp;AQ$9&amp;""&amp;" no debe ser mayor al Total Ambos Sexos. ",""))</f>
        <v/>
      </c>
      <c r="CD30" s="219">
        <f>IF(AND($D30&lt;&gt;0,AR30="")," *No olvide ingresar la variable "&amp;AR$9&amp;""&amp;". Digite Cero si no tiene. ",IF(AR30&gt;$D30," *La variable "&amp;AR$9&amp;""&amp;" no debe ser mayor al Total Ambos Sexos. ",""))</f>
        <v/>
      </c>
      <c r="CJ30" s="261">
        <f>IF(AND($D30&lt;&gt;0,AO30=""),1,IF(AO30&gt;$D30,1,0))</f>
        <v/>
      </c>
      <c r="CK30" s="261">
        <f>IF(AND($D30&lt;&gt;0,AP30=""),1,IF(AP30&gt;$D30,1,0))</f>
        <v/>
      </c>
      <c r="CL30" s="261">
        <f>IF(AND($D30&lt;&gt;0,AQ30=""),1,IF(AQ30&gt;$D30,1,0))</f>
        <v/>
      </c>
      <c r="CM30" s="261">
        <f>IF(AND($D30&lt;&gt;0,AR30=""),1,IF(AR30&gt;$D30,1,0))</f>
        <v/>
      </c>
    </row>
    <row r="31" ht="21.75" customHeight="1" s="8286">
      <c r="A31" s="9614" t="n"/>
      <c r="B31" s="9614" t="n"/>
      <c r="C31" s="4288" t="inlineStr">
        <is>
          <t>Fallecimiento más de 6 meses y menos de un año del ingreso</t>
        </is>
      </c>
      <c r="D31" s="531">
        <f>SUM(E31:F31)</f>
        <v/>
      </c>
      <c r="E31" s="531">
        <f>+G31+I31+K31+M31+O31+Q31+S31+U31+W31++Y31+AA31+AC31+AE31+AG31+AI31+AK31+AM31</f>
        <v/>
      </c>
      <c r="F31" s="533">
        <f>+H31+J31+L31+N31+P31+R31+T31+V31+X31++Z31+AB31+AD31+AF31+AH31+AJ31+AL31+AN31</f>
        <v/>
      </c>
      <c r="G31" s="550" t="n"/>
      <c r="H31" s="534" t="n"/>
      <c r="I31" s="550" t="n"/>
      <c r="J31" s="534" t="n"/>
      <c r="K31" s="550" t="n"/>
      <c r="L31" s="534" t="n"/>
      <c r="M31" s="550" t="n"/>
      <c r="N31" s="534" t="n"/>
      <c r="O31" s="535" t="n"/>
      <c r="P31" s="534" t="n"/>
      <c r="Q31" s="535" t="n"/>
      <c r="R31" s="534" t="n"/>
      <c r="S31" s="535" t="n"/>
      <c r="T31" s="534" t="n"/>
      <c r="U31" s="535" t="n"/>
      <c r="V31" s="534" t="n"/>
      <c r="W31" s="550" t="n"/>
      <c r="X31" s="534" t="n"/>
      <c r="Y31" s="550" t="n"/>
      <c r="Z31" s="534" t="n"/>
      <c r="AA31" s="550" t="n"/>
      <c r="AB31" s="534" t="n"/>
      <c r="AC31" s="550" t="n"/>
      <c r="AD31" s="534" t="n"/>
      <c r="AE31" s="550" t="n"/>
      <c r="AF31" s="534" t="n"/>
      <c r="AG31" s="550" t="n"/>
      <c r="AH31" s="534" t="n"/>
      <c r="AI31" s="550" t="n"/>
      <c r="AJ31" s="534" t="n"/>
      <c r="AK31" s="550" t="n"/>
      <c r="AL31" s="534" t="n"/>
      <c r="AM31" s="550" t="n"/>
      <c r="AN31" s="536" t="n"/>
      <c r="AO31" s="5513" t="n"/>
      <c r="AP31" s="5516" t="n"/>
      <c r="AQ31" s="5513" t="n"/>
      <c r="AR31" s="5516" t="n"/>
      <c r="AS31">
        <f>CA31&amp;CB31&amp;CC31&amp;CD31&amp;CE31</f>
        <v/>
      </c>
      <c r="CA31" s="219">
        <f>IF(AND($D31&lt;&gt;0,AO31="")," *No olvide ingresar la variable "&amp;AO$9&amp;""&amp;". Digite Cero si no tiene.  ",IF(AO31&gt;$D31," *La variable "&amp;AO$9&amp;""&amp;" no debe ser mayor al Total Ambos Sexos. ",""))</f>
        <v/>
      </c>
      <c r="CB31" s="219">
        <f>IF(AND($D31&lt;&gt;0,AP31="")," *No olvide ingresar la variable "&amp;AP$9&amp;""&amp;". Digite Cero si no tiene. ",IF(AP31&gt;$D31," *La variable "&amp;AP$9&amp;""&amp;" no debe ser mayor al Total Ambos Sexos. ",""))</f>
        <v/>
      </c>
      <c r="CC31" s="219">
        <f>IF(AND($D31&lt;&gt;0,AQ31="")," *No olvide ingresar la variable "&amp;AQ$9&amp;""&amp;". Digite Cero si no tiene. ",IF(AQ31&gt;$D31," *La variable "&amp;AQ$9&amp;""&amp;" no debe ser mayor al Total Ambos Sexos. ",""))</f>
        <v/>
      </c>
      <c r="CD31" s="219">
        <f>IF(AND($D31&lt;&gt;0,AR31="")," *No olvide ingresar la variable "&amp;AR$9&amp;""&amp;". Digite Cero si no tiene. ",IF(AR31&gt;$D31," *La variable "&amp;AR$9&amp;""&amp;" no debe ser mayor al Total Ambos Sexos. ",""))</f>
        <v/>
      </c>
      <c r="CJ31" s="261">
        <f>IF(AND($D31&lt;&gt;0,AO31=""),1,IF(AO31&gt;$D31,1,0))</f>
        <v/>
      </c>
      <c r="CK31" s="261">
        <f>IF(AND($D31&lt;&gt;0,AP31=""),1,IF(AP31&gt;$D31,1,0))</f>
        <v/>
      </c>
      <c r="CL31" s="261">
        <f>IF(AND($D31&lt;&gt;0,AQ31=""),1,IF(AQ31&gt;$D31,1,0))</f>
        <v/>
      </c>
      <c r="CM31" s="261">
        <f>IF(AND($D31&lt;&gt;0,AR31=""),1,IF(AR31&gt;$D31,1,0))</f>
        <v/>
      </c>
    </row>
    <row r="32" ht="15" customHeight="1" s="8286">
      <c r="A32" s="9614" t="n"/>
      <c r="B32" s="9614" t="n"/>
      <c r="C32" s="4288" t="inlineStr">
        <is>
          <t>Fallecimiento posterior a 12 meses del ingreso</t>
        </is>
      </c>
      <c r="D32" s="531">
        <f>SUM(E32:F32)</f>
        <v/>
      </c>
      <c r="E32" s="531">
        <f>+G32+I32+K32+M32+O32+Q32+S32+U32+W32++Y32+AA32+AC32+AE32+AG32+AI32+AK32+AM32</f>
        <v/>
      </c>
      <c r="F32" s="533">
        <f>+H32+J32+L32+N32+P32+R32+T32+V32+X32++Z32+AB32+AD32+AF32+AH32+AJ32+AL32+AN32</f>
        <v/>
      </c>
      <c r="G32" s="550" t="n"/>
      <c r="H32" s="534" t="n"/>
      <c r="I32" s="550" t="n"/>
      <c r="J32" s="534" t="n"/>
      <c r="K32" s="550" t="n"/>
      <c r="L32" s="534" t="n"/>
      <c r="M32" s="550" t="n"/>
      <c r="N32" s="534" t="n"/>
      <c r="O32" s="535" t="n"/>
      <c r="P32" s="534" t="n"/>
      <c r="Q32" s="535" t="n"/>
      <c r="R32" s="534" t="n"/>
      <c r="S32" s="535" t="n"/>
      <c r="T32" s="534" t="n"/>
      <c r="U32" s="535" t="n"/>
      <c r="V32" s="534" t="n"/>
      <c r="W32" s="550" t="n"/>
      <c r="X32" s="534" t="n"/>
      <c r="Y32" s="550" t="n"/>
      <c r="Z32" s="534" t="n"/>
      <c r="AA32" s="550" t="n"/>
      <c r="AB32" s="534" t="n"/>
      <c r="AC32" s="550" t="n"/>
      <c r="AD32" s="534" t="n"/>
      <c r="AE32" s="550" t="n"/>
      <c r="AF32" s="534" t="n"/>
      <c r="AG32" s="550" t="n"/>
      <c r="AH32" s="534" t="n"/>
      <c r="AI32" s="550" t="n"/>
      <c r="AJ32" s="534" t="n"/>
      <c r="AK32" s="550" t="n"/>
      <c r="AL32" s="534" t="n"/>
      <c r="AM32" s="550" t="n"/>
      <c r="AN32" s="536" t="n">
        <v>1</v>
      </c>
      <c r="AO32" s="5513" t="n"/>
      <c r="AP32" s="5516" t="n"/>
      <c r="AQ32" s="5513" t="n"/>
      <c r="AR32" s="5516" t="n"/>
      <c r="AS32">
        <f>CA32&amp;CB32&amp;CC32&amp;CD32&amp;CE32</f>
        <v/>
      </c>
      <c r="CA32" s="219">
        <f>IF(AND($D32&lt;&gt;0,AO32="")," *No olvide ingresar la variable "&amp;AO$9&amp;""&amp;". Digite Cero si no tiene.  ",IF(AO32&gt;$D32," *La variable "&amp;AO$9&amp;""&amp;" no debe ser mayor al Total Ambos Sexos. ",""))</f>
        <v/>
      </c>
      <c r="CB32" s="219">
        <f>IF(AND($D32&lt;&gt;0,AP32="")," *No olvide ingresar la variable "&amp;AP$9&amp;""&amp;". Digite Cero si no tiene. ",IF(AP32&gt;$D32," *La variable "&amp;AP$9&amp;""&amp;" no debe ser mayor al Total Ambos Sexos. ",""))</f>
        <v/>
      </c>
      <c r="CC32" s="219">
        <f>IF(AND($D32&lt;&gt;0,AQ32="")," *No olvide ingresar la variable "&amp;AQ$9&amp;""&amp;". Digite Cero si no tiene. ",IF(AQ32&gt;$D32," *La variable "&amp;AQ$9&amp;""&amp;" no debe ser mayor al Total Ambos Sexos. ",""))</f>
        <v/>
      </c>
      <c r="CD32" s="219">
        <f>IF(AND($D32&lt;&gt;0,AR32="")," *No olvide ingresar la variable "&amp;AR$9&amp;""&amp;". Digite Cero si no tiene. ",IF(AR32&gt;$D32," *La variable "&amp;AR$9&amp;""&amp;" no debe ser mayor al Total Ambos Sexos. ",""))</f>
        <v/>
      </c>
      <c r="CJ32" s="261">
        <f>IF(AND($D32&lt;&gt;0,AO32=""),1,IF(AO32&gt;$D32,1,0))</f>
        <v/>
      </c>
      <c r="CK32" s="261">
        <f>IF(AND($D32&lt;&gt;0,AP32=""),1,IF(AP32&gt;$D32,1,0))</f>
        <v/>
      </c>
      <c r="CL32" s="261">
        <f>IF(AND($D32&lt;&gt;0,AQ32=""),1,IF(AQ32&gt;$D32,1,0))</f>
        <v/>
      </c>
      <c r="CM32" s="261">
        <f>IF(AND($D32&lt;&gt;0,AR32=""),1,IF(AR32&gt;$D32,1,0))</f>
        <v/>
      </c>
    </row>
    <row r="33" ht="15" customHeight="1" s="8286">
      <c r="A33" s="9614" t="n"/>
      <c r="B33" s="9614" t="n"/>
      <c r="C33" s="4288" t="inlineStr">
        <is>
          <t>No cumplimiento de criterios de ingreso</t>
        </is>
      </c>
      <c r="D33" s="531">
        <f>SUM(E33:F33)</f>
        <v/>
      </c>
      <c r="E33" s="531">
        <f>+G33+I33+K33+M33+O33+Q33+S33+U33+W33++Y33+AA33+AC33+AE33+AG33+AI33+AK33+AM33</f>
        <v/>
      </c>
      <c r="F33" s="533">
        <f>+H33+J33+L33+N33+P33+R33+T33+V33+X33++Z33+AB33+AD33+AF33+AH33+AJ33+AL33+AN33</f>
        <v/>
      </c>
      <c r="G33" s="550" t="n"/>
      <c r="H33" s="534" t="n"/>
      <c r="I33" s="550" t="n"/>
      <c r="J33" s="534" t="n"/>
      <c r="K33" s="550" t="n"/>
      <c r="L33" s="534" t="n"/>
      <c r="M33" s="550" t="n"/>
      <c r="N33" s="534" t="n"/>
      <c r="O33" s="535" t="n"/>
      <c r="P33" s="534" t="n"/>
      <c r="Q33" s="535" t="n"/>
      <c r="R33" s="534" t="n"/>
      <c r="S33" s="535" t="n"/>
      <c r="T33" s="534" t="n"/>
      <c r="U33" s="535" t="n"/>
      <c r="V33" s="534" t="n"/>
      <c r="W33" s="550" t="n"/>
      <c r="X33" s="534" t="n"/>
      <c r="Y33" s="550" t="n"/>
      <c r="Z33" s="534" t="n"/>
      <c r="AA33" s="550" t="n"/>
      <c r="AB33" s="534" t="n"/>
      <c r="AC33" s="550" t="n"/>
      <c r="AD33" s="534" t="n"/>
      <c r="AE33" s="550" t="n"/>
      <c r="AF33" s="534" t="n"/>
      <c r="AG33" s="550" t="n"/>
      <c r="AH33" s="534" t="n"/>
      <c r="AI33" s="550" t="n"/>
      <c r="AJ33" s="534" t="n"/>
      <c r="AK33" s="550" t="n"/>
      <c r="AL33" s="534" t="n"/>
      <c r="AM33" s="550" t="n"/>
      <c r="AN33" s="536" t="n"/>
      <c r="AO33" s="5513" t="n"/>
      <c r="AP33" s="5516" t="n"/>
      <c r="AQ33" s="5513" t="n"/>
      <c r="AR33" s="5516" t="n"/>
      <c r="AS33">
        <f>CA33&amp;CB33&amp;CC33&amp;CD33&amp;CE33</f>
        <v/>
      </c>
      <c r="CA33" s="219">
        <f>IF(AND($D33&lt;&gt;0,AO33="")," *No olvide ingresar la variable "&amp;AO$9&amp;""&amp;". Digite Cero si no tiene.  ",IF(AO33&gt;$D33," *La variable "&amp;AO$9&amp;""&amp;" no debe ser mayor al Total Ambos Sexos. ",""))</f>
        <v/>
      </c>
      <c r="CB33" s="219">
        <f>IF(AND($D33&lt;&gt;0,AP33="")," *No olvide ingresar la variable "&amp;AP$9&amp;""&amp;". Digite Cero si no tiene. ",IF(AP33&gt;$D33," *La variable "&amp;AP$9&amp;""&amp;" no debe ser mayor al Total Ambos Sexos. ",""))</f>
        <v/>
      </c>
      <c r="CC33" s="219">
        <f>IF(AND($D33&lt;&gt;0,AQ33="")," *No olvide ingresar la variable "&amp;AQ$9&amp;""&amp;". Digite Cero si no tiene. ",IF(AQ33&gt;$D33," *La variable "&amp;AQ$9&amp;""&amp;" no debe ser mayor al Total Ambos Sexos. ",""))</f>
        <v/>
      </c>
      <c r="CD33" s="219">
        <f>IF(AND($D33&lt;&gt;0,AR33="")," *No olvide ingresar la variable "&amp;AR$9&amp;""&amp;". Digite Cero si no tiene. ",IF(AR33&gt;$D33," *La variable "&amp;AR$9&amp;""&amp;" no debe ser mayor al Total Ambos Sexos. ",""))</f>
        <v/>
      </c>
      <c r="CJ33" s="261">
        <f>IF(AND($D33&lt;&gt;0,AO33=""),1,IF(AO33&gt;$D33,1,0))</f>
        <v/>
      </c>
      <c r="CK33" s="261">
        <f>IF(AND($D33&lt;&gt;0,AP33=""),1,IF(AP33&gt;$D33,1,0))</f>
        <v/>
      </c>
      <c r="CL33" s="261">
        <f>IF(AND($D33&lt;&gt;0,AQ33=""),1,IF(AQ33&gt;$D33,1,0))</f>
        <v/>
      </c>
      <c r="CM33" s="261">
        <f>IF(AND($D33&lt;&gt;0,AR33=""),1,IF(AR33&gt;$D33,1,0))</f>
        <v/>
      </c>
    </row>
    <row r="34" ht="15" customHeight="1" s="8286">
      <c r="A34" s="9610" t="n"/>
      <c r="B34" s="9610" t="n"/>
      <c r="C34" s="3239" t="inlineStr">
        <is>
          <t>Otra causal</t>
        </is>
      </c>
      <c r="D34" s="538">
        <f>SUM(E34:F34)</f>
        <v/>
      </c>
      <c r="E34" s="539">
        <f>+G34+I34+K34+M34+O34+Q34+S34+U34+W34++Y34+AA34+AC34+AE34+AG34+AI34+AK34+AM34</f>
        <v/>
      </c>
      <c r="F34" s="540">
        <f>+H34+J34+L34+N34+P34+R34+T34+V34+X34++Z34+AB34+AD34+AF34+AH34+AJ34+AL34+AN34</f>
        <v/>
      </c>
      <c r="G34" s="541" t="n"/>
      <c r="H34" s="542" t="n"/>
      <c r="I34" s="541" t="n"/>
      <c r="J34" s="542" t="n"/>
      <c r="K34" s="541" t="n"/>
      <c r="L34" s="542" t="n"/>
      <c r="M34" s="541" t="n"/>
      <c r="N34" s="542" t="n"/>
      <c r="O34" s="543" t="n"/>
      <c r="P34" s="542" t="n"/>
      <c r="Q34" s="543" t="n"/>
      <c r="R34" s="542" t="n"/>
      <c r="S34" s="543" t="n"/>
      <c r="T34" s="542" t="n"/>
      <c r="U34" s="543" t="n"/>
      <c r="V34" s="542" t="n"/>
      <c r="W34" s="541" t="n"/>
      <c r="X34" s="542" t="n"/>
      <c r="Y34" s="541" t="n"/>
      <c r="Z34" s="542" t="n"/>
      <c r="AA34" s="541" t="n"/>
      <c r="AB34" s="542" t="n"/>
      <c r="AC34" s="541" t="n"/>
      <c r="AD34" s="542" t="n"/>
      <c r="AE34" s="541" t="n"/>
      <c r="AF34" s="542" t="n"/>
      <c r="AG34" s="541" t="n"/>
      <c r="AH34" s="542" t="n"/>
      <c r="AI34" s="541" t="n"/>
      <c r="AJ34" s="542" t="n"/>
      <c r="AK34" s="541" t="n"/>
      <c r="AL34" s="542" t="n"/>
      <c r="AM34" s="541" t="n"/>
      <c r="AN34" s="544" t="n"/>
      <c r="AO34" s="5514" t="n"/>
      <c r="AP34" s="5517" t="n"/>
      <c r="AQ34" s="5514" t="n"/>
      <c r="AR34" s="5517" t="n"/>
      <c r="AS34">
        <f>CA34&amp;CB34&amp;CC34&amp;CD34&amp;CE34</f>
        <v/>
      </c>
      <c r="CA34" s="219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>
        <f>IF(AND($D34&lt;&gt;0,AQ34="")," *No olvide ingresar la variable "&amp;AQ$9&amp;""&amp;". Digite Cero si no tiene. ",IF(AQ34&gt;$D34," *La variable "&amp;AQ$9&amp;""&amp;" no debe ser mayor al Total Ambos Sexos. ",""))</f>
        <v/>
      </c>
      <c r="CD34" s="219">
        <f>IF(AND($D34&lt;&gt;0,AR34="")," *No olvide ingresar la variable "&amp;AR$9&amp;""&amp;". Digite Cero si no tiene. ",IF(AR34&gt;$D34," *La variable "&amp;AR$9&amp;""&amp;" no debe ser mayor al Total Ambos Sexos. ",""))</f>
        <v/>
      </c>
      <c r="CJ34" s="261">
        <f>IF(AND($D34&lt;&gt;0,AO34=""),1,IF(AO34&gt;$D34,1,0))</f>
        <v/>
      </c>
      <c r="CK34" s="261">
        <f>IF(AND($D34&lt;&gt;0,AP34=""),1,IF(AP34&gt;$D34,1,0))</f>
        <v/>
      </c>
      <c r="CL34" s="261">
        <f>IF(AND($D34&lt;&gt;0,AQ34=""),1,IF(AQ34&gt;$D34,1,0))</f>
        <v/>
      </c>
      <c r="CM34" s="261">
        <f>IF(AND($D34&lt;&gt;0,AR34=""),1,IF(AR34&gt;$D34,1,0))</f>
        <v/>
      </c>
    </row>
    <row r="35" ht="17.1" customHeight="1" s="8286">
      <c r="A35" s="249" t="inlineStr">
        <is>
          <t xml:space="preserve">SECCIÓN B:  TIPO DE ATENCIÓN Y ACTIVIDADES </t>
        </is>
      </c>
    </row>
    <row r="36" ht="15" customHeight="1" s="8286">
      <c r="A36" s="10164" t="inlineStr">
        <is>
          <t>TIPO DE ATENCIÓN</t>
        </is>
      </c>
      <c r="B36" s="9483" t="inlineStr">
        <is>
          <t>ACTIVIDADES</t>
        </is>
      </c>
      <c r="C36" s="10129" t="inlineStr">
        <is>
          <t>TOTAL</t>
        </is>
      </c>
      <c r="D36" s="9724" t="n"/>
      <c r="E36" s="9827" t="n"/>
      <c r="F36" s="10699" t="inlineStr">
        <is>
          <t>RANGO ETARIO Y SEXO</t>
        </is>
      </c>
      <c r="G36" s="9617" t="n"/>
      <c r="H36" s="9617" t="n"/>
      <c r="I36" s="9617" t="n"/>
      <c r="J36" s="9617" t="n"/>
      <c r="K36" s="9617" t="n"/>
      <c r="L36" s="9617" t="n"/>
      <c r="M36" s="9617" t="n"/>
      <c r="N36" s="9617" t="n"/>
      <c r="O36" s="9617" t="n"/>
      <c r="P36" s="9617" t="n"/>
      <c r="Q36" s="9617" t="n"/>
      <c r="R36" s="9617" t="n"/>
      <c r="S36" s="9617" t="n"/>
      <c r="T36" s="9617" t="n"/>
      <c r="U36" s="9617" t="n"/>
      <c r="V36" s="9617" t="n"/>
      <c r="W36" s="9617" t="n"/>
      <c r="X36" s="9617" t="n"/>
      <c r="Y36" s="9617" t="n"/>
      <c r="Z36" s="9617" t="n"/>
      <c r="AA36" s="9617" t="n"/>
      <c r="AB36" s="9617" t="n"/>
      <c r="AC36" s="9617" t="n"/>
      <c r="AD36" s="9617" t="n"/>
      <c r="AE36" s="9617" t="n"/>
      <c r="AF36" s="9617" t="n"/>
      <c r="AG36" s="9617" t="n"/>
      <c r="AH36" s="9617" t="n"/>
      <c r="AI36" s="10103" t="n"/>
      <c r="AJ36" s="10316" t="inlineStr">
        <is>
          <t>ATENCIONES POR PROFESIONAL O TECNICO</t>
        </is>
      </c>
      <c r="AK36" s="9602" t="n"/>
      <c r="AL36" s="9602" t="n"/>
      <c r="AM36" s="9602" t="n"/>
      <c r="AN36" s="9602" t="n"/>
      <c r="AO36" s="9602" t="n"/>
      <c r="AP36" s="9602" t="n"/>
      <c r="AQ36" s="9602" t="n"/>
      <c r="AR36" s="9602" t="n"/>
      <c r="AS36" s="9630" t="n"/>
      <c r="AT36" s="10700" t="inlineStr">
        <is>
          <t>Dependencia Severa en APS</t>
        </is>
      </c>
      <c r="AU36" s="9630" t="n"/>
      <c r="AV36" s="4568" t="inlineStr">
        <is>
          <t>Atenciones a personas oncológicas</t>
        </is>
      </c>
      <c r="AW36" s="9630" t="n"/>
    </row>
    <row r="37" ht="15" customHeight="1" s="8286">
      <c r="A37" s="9627" t="n"/>
      <c r="B37" s="9668" t="n"/>
      <c r="C37" s="9832" t="n"/>
      <c r="D37" s="9833" t="n"/>
      <c r="E37" s="9672" t="n"/>
      <c r="F37" s="10695" t="inlineStr">
        <is>
          <t>0 a 4 años</t>
        </is>
      </c>
      <c r="G37" s="9648" t="n"/>
      <c r="H37" s="8400" t="inlineStr">
        <is>
          <t>5 a 9 años</t>
        </is>
      </c>
      <c r="I37" s="9582" t="n"/>
      <c r="J37" s="8400" t="inlineStr">
        <is>
          <t>10 - 14 años</t>
        </is>
      </c>
      <c r="K37" s="9582" t="n"/>
      <c r="L37" s="8400" t="inlineStr">
        <is>
          <t>15 - 19  años</t>
        </is>
      </c>
      <c r="M37" s="9582" t="n"/>
      <c r="N37" s="8400" t="inlineStr">
        <is>
          <t>20 - 24  años</t>
        </is>
      </c>
      <c r="O37" s="9582" t="n"/>
      <c r="P37" s="8400" t="inlineStr">
        <is>
          <t>25-29 años</t>
        </is>
      </c>
      <c r="Q37" s="9582" t="n"/>
      <c r="R37" s="8400" t="inlineStr">
        <is>
          <t>30-34 años</t>
        </is>
      </c>
      <c r="S37" s="9582" t="n"/>
      <c r="T37" s="8400" t="inlineStr">
        <is>
          <t>35 - 39 años</t>
        </is>
      </c>
      <c r="U37" s="9582" t="n"/>
      <c r="V37" s="8400" t="inlineStr">
        <is>
          <t xml:space="preserve">40 - 44 años </t>
        </is>
      </c>
      <c r="W37" s="9582" t="n"/>
      <c r="X37" s="8400" t="inlineStr">
        <is>
          <t>45- 49 años</t>
        </is>
      </c>
      <c r="Y37" s="9582" t="n"/>
      <c r="Z37" s="8400" t="inlineStr">
        <is>
          <t>50 - 54 años</t>
        </is>
      </c>
      <c r="AA37" s="9582" t="n"/>
      <c r="AB37" s="8400" t="inlineStr">
        <is>
          <t>55 - 59 años</t>
        </is>
      </c>
      <c r="AC37" s="9582" t="n"/>
      <c r="AD37" s="8400" t="inlineStr">
        <is>
          <t>60 - 64 años</t>
        </is>
      </c>
      <c r="AE37" s="9582" t="n"/>
      <c r="AF37" s="8400" t="inlineStr">
        <is>
          <t>65 - 69 años</t>
        </is>
      </c>
      <c r="AG37" s="9582" t="n"/>
      <c r="AH37" s="10701" t="inlineStr">
        <is>
          <t xml:space="preserve">70  años y más </t>
        </is>
      </c>
      <c r="AI37" s="9961" t="n"/>
      <c r="AJ37" s="9697" t="n"/>
      <c r="AK37" s="9697" t="n"/>
      <c r="AL37" s="9697" t="n"/>
      <c r="AM37" s="9697" t="n"/>
      <c r="AN37" s="9697" t="n"/>
      <c r="AO37" s="9697" t="n"/>
      <c r="AP37" s="9697" t="n"/>
      <c r="AQ37" s="9697" t="n"/>
      <c r="AR37" s="9697" t="n"/>
      <c r="AS37" s="9639" t="n"/>
      <c r="AT37" s="9638" t="n"/>
      <c r="AU37" s="9639" t="n"/>
      <c r="AV37" s="9698" t="n"/>
      <c r="AW37" s="9776" t="n"/>
      <c r="CC37" s="9443" t="n"/>
    </row>
    <row r="38" ht="33.75" customHeight="1" s="8286">
      <c r="A38" s="9621" t="n"/>
      <c r="B38" s="9672" t="n"/>
      <c r="C38" s="62" t="inlineStr">
        <is>
          <t>Ambos Sexos</t>
        </is>
      </c>
      <c r="D38" s="530" t="inlineStr">
        <is>
          <t>Hombres</t>
        </is>
      </c>
      <c r="E38" s="8103" t="inlineStr">
        <is>
          <t>Mujeres</t>
        </is>
      </c>
      <c r="F38" s="4964" t="inlineStr">
        <is>
          <t>Hombres</t>
        </is>
      </c>
      <c r="G38" s="9459" t="inlineStr">
        <is>
          <t>Mujeres</t>
        </is>
      </c>
      <c r="H38" s="9498" t="inlineStr">
        <is>
          <t>Hombres</t>
        </is>
      </c>
      <c r="I38" s="9459" t="inlineStr">
        <is>
          <t>Mujeres</t>
        </is>
      </c>
      <c r="J38" s="9498" t="inlineStr">
        <is>
          <t>Hombres</t>
        </is>
      </c>
      <c r="K38" s="9459" t="inlineStr">
        <is>
          <t>Mujeres</t>
        </is>
      </c>
      <c r="L38" s="9498" t="inlineStr">
        <is>
          <t>Hombres</t>
        </is>
      </c>
      <c r="M38" s="9459" t="inlineStr">
        <is>
          <t>Mujeres</t>
        </is>
      </c>
      <c r="N38" s="9498" t="inlineStr">
        <is>
          <t>Hombres</t>
        </is>
      </c>
      <c r="O38" s="9459" t="inlineStr">
        <is>
          <t>Mujeres</t>
        </is>
      </c>
      <c r="P38" s="9498" t="inlineStr">
        <is>
          <t>Hombres</t>
        </is>
      </c>
      <c r="Q38" s="9459" t="inlineStr">
        <is>
          <t>Mujeres</t>
        </is>
      </c>
      <c r="R38" s="9498" t="inlineStr">
        <is>
          <t>Hombres</t>
        </is>
      </c>
      <c r="S38" s="9459" t="inlineStr">
        <is>
          <t>Mujeres</t>
        </is>
      </c>
      <c r="T38" s="9498" t="inlineStr">
        <is>
          <t>Hombres</t>
        </is>
      </c>
      <c r="U38" s="9459" t="inlineStr">
        <is>
          <t>Mujeres</t>
        </is>
      </c>
      <c r="V38" s="9498" t="inlineStr">
        <is>
          <t>Hombres</t>
        </is>
      </c>
      <c r="W38" s="9459" t="inlineStr">
        <is>
          <t>Mujeres</t>
        </is>
      </c>
      <c r="X38" s="9498" t="inlineStr">
        <is>
          <t>Hombres</t>
        </is>
      </c>
      <c r="Y38" s="9459" t="inlineStr">
        <is>
          <t>Mujeres</t>
        </is>
      </c>
      <c r="Z38" s="9498" t="inlineStr">
        <is>
          <t>Hombres</t>
        </is>
      </c>
      <c r="AA38" s="9459" t="inlineStr">
        <is>
          <t>Mujeres</t>
        </is>
      </c>
      <c r="AB38" s="9498" t="inlineStr">
        <is>
          <t>Hombres</t>
        </is>
      </c>
      <c r="AC38" s="9459" t="inlineStr">
        <is>
          <t>Mujeres</t>
        </is>
      </c>
      <c r="AD38" s="9498" t="inlineStr">
        <is>
          <t>Hombres</t>
        </is>
      </c>
      <c r="AE38" s="9459" t="inlineStr">
        <is>
          <t>Mujeres</t>
        </is>
      </c>
      <c r="AF38" s="9498" t="inlineStr">
        <is>
          <t>Hombres</t>
        </is>
      </c>
      <c r="AG38" s="9459" t="inlineStr">
        <is>
          <t>Mujeres</t>
        </is>
      </c>
      <c r="AH38" s="9498" t="inlineStr">
        <is>
          <t>Hombres</t>
        </is>
      </c>
      <c r="AI38" s="9459" t="inlineStr">
        <is>
          <t>Mujeres</t>
        </is>
      </c>
      <c r="AJ38" s="4967" t="inlineStr">
        <is>
          <t>Médico/a</t>
        </is>
      </c>
      <c r="AK38" s="4968" t="inlineStr">
        <is>
          <t>Enfermera/o</t>
        </is>
      </c>
      <c r="AL38" s="4968" t="inlineStr">
        <is>
          <t>Kinesiólogo/a</t>
        </is>
      </c>
      <c r="AM38" s="4969" t="inlineStr">
        <is>
          <t>Técnico en Enfermería</t>
        </is>
      </c>
      <c r="AN38" s="4968" t="inlineStr">
        <is>
          <t>Psicólogo/a</t>
        </is>
      </c>
      <c r="AO38" s="4968" t="inlineStr">
        <is>
          <t>Quimico Farmacéutico</t>
        </is>
      </c>
      <c r="AP38" s="4968" t="inlineStr">
        <is>
          <t>Nutricionista</t>
        </is>
      </c>
      <c r="AQ38" s="4968" t="inlineStr">
        <is>
          <t>Fonoaudiólogo/a</t>
        </is>
      </c>
      <c r="AR38" s="4969" t="inlineStr">
        <is>
          <t>Terapeuta Ocupacional</t>
        </is>
      </c>
      <c r="AS38" s="4969" t="inlineStr">
        <is>
          <t>Trabajador/a Social</t>
        </is>
      </c>
      <c r="AT38" s="4650" t="inlineStr">
        <is>
          <t>Hombres</t>
        </is>
      </c>
      <c r="AU38" s="9559" t="inlineStr">
        <is>
          <t>Mujeres</t>
        </is>
      </c>
      <c r="AV38" s="4650" t="inlineStr">
        <is>
          <t>0 -19 años</t>
        </is>
      </c>
      <c r="AW38" s="9559" t="inlineStr">
        <is>
          <t>20 años y más</t>
        </is>
      </c>
      <c r="BU38" s="9443" t="n"/>
      <c r="BW38" s="9443" t="n"/>
      <c r="BX38" s="918" t="n"/>
      <c r="BY38" s="918" t="n"/>
      <c r="BZ38" s="9443" t="n"/>
      <c r="CB38" s="918" t="n"/>
      <c r="CC38" s="918" t="n"/>
      <c r="CD38" s="918" t="n"/>
    </row>
    <row r="39" ht="15" customHeight="1" s="8286">
      <c r="A39" s="10164" t="inlineStr">
        <is>
          <t>Visita domiciliaria APS</t>
        </is>
      </c>
      <c r="B39" s="551" t="inlineStr">
        <is>
          <t>Visita Domiciliaria Integral ingreso</t>
        </is>
      </c>
      <c r="C39" s="552">
        <f>SUM(D39:E39)</f>
        <v/>
      </c>
      <c r="D39" s="532">
        <f>+F39+H39+J39+L39+N39+P39+R39+T39+V39+X39+Z39+AB39+AD39+AF39+AH39</f>
        <v/>
      </c>
      <c r="E39" s="533">
        <f>+G39+I39+K39+M39+O39+Q39+S39+U39+W39+Y39+AA39+AC39+AE39+AG39+AI39</f>
        <v/>
      </c>
      <c r="F39" s="293" t="n"/>
      <c r="G39" s="534" t="n"/>
      <c r="H39" s="293" t="n"/>
      <c r="I39" s="534" t="n"/>
      <c r="J39" s="293" t="n"/>
      <c r="K39" s="534" t="n"/>
      <c r="L39" s="293" t="n"/>
      <c r="M39" s="534" t="n"/>
      <c r="N39" s="293" t="n"/>
      <c r="O39" s="534" t="n"/>
      <c r="P39" s="293" t="n"/>
      <c r="Q39" s="534" t="n"/>
      <c r="R39" s="293" t="n"/>
      <c r="S39" s="534" t="n"/>
      <c r="T39" s="293" t="n"/>
      <c r="U39" s="534" t="n"/>
      <c r="V39" s="293" t="n"/>
      <c r="W39" s="534" t="n"/>
      <c r="X39" s="293" t="n"/>
      <c r="Y39" s="534" t="n"/>
      <c r="Z39" s="293" t="n"/>
      <c r="AA39" s="534" t="n"/>
      <c r="AB39" s="293" t="n">
        <v>2</v>
      </c>
      <c r="AC39" s="534" t="n"/>
      <c r="AD39" s="293" t="n"/>
      <c r="AE39" s="534" t="n"/>
      <c r="AF39" s="293" t="n"/>
      <c r="AG39" s="534" t="n"/>
      <c r="AH39" s="293" t="n">
        <v>2</v>
      </c>
      <c r="AI39" s="534" t="n">
        <v>2</v>
      </c>
      <c r="AJ39" s="537" t="n">
        <v>3</v>
      </c>
      <c r="AK39" s="537" t="n"/>
      <c r="AL39" s="537" t="n"/>
      <c r="AM39" s="537" t="n"/>
      <c r="AN39" s="537" t="n"/>
      <c r="AO39" s="537" t="n"/>
      <c r="AP39" s="537" t="n"/>
      <c r="AQ39" s="537" t="n"/>
      <c r="AR39" s="537" t="n"/>
      <c r="AS39" s="537" t="n"/>
      <c r="AT39" s="553" t="n">
        <v>0</v>
      </c>
      <c r="AU39" s="554" t="n">
        <v>0</v>
      </c>
      <c r="AV39" s="691" t="n">
        <v>0</v>
      </c>
      <c r="AW39" s="692" t="n">
        <v>0</v>
      </c>
      <c r="AX39">
        <f>CA39&amp;CB39&amp;CC39&amp;CD39&amp;CE39&amp;CF39</f>
        <v/>
      </c>
      <c r="CA39" s="260">
        <f t="array" ref="CA39">IF(AND($C39&lt;&gt;0,AJ39:AS39=""),"* No olvide ingresar la variable "&amp;AJ$36&amp;""&amp;". Digite CERO si no tiene. ","")</f>
        <v/>
      </c>
      <c r="CB39" s="219">
        <f>IF((AJ39+AK39+AL39+AM39+AN39+AO39+AP39+AQ39+AR39+AS39)&lt;$C39," * La suma del TOTAL Ambos Sexos no puede ser Mayor a la suma de las variables de "&amp;AJ$36&amp;""&amp;"","")</f>
        <v/>
      </c>
      <c r="CC39" s="219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>
        <f t="array" ref="CJ39">IF(AND($C39&lt;&gt;0,AJ39:AS39=""),1,0)</f>
        <v/>
      </c>
      <c r="CK39" s="378">
        <f>IF((AJ39+AK39+AL39+AM39+AN39+AO39+AP39+AQ39+AR39+AS39)&lt;$C39,1,0)</f>
        <v/>
      </c>
      <c r="CL39" s="378">
        <f>IF(AND($D39&lt;&gt;0,$AT39=""),1,IF(AT39&gt;D39,1,0))</f>
        <v/>
      </c>
      <c r="CM39" s="378">
        <f>IF(AND($E39&lt;&gt;0,$AU39=""),1,IF($AU39&gt;$E39,1,0))</f>
        <v/>
      </c>
      <c r="CN39" s="378">
        <f>IF(AND($F39+$G39+$H39+$I39+$J39+$K39+$L39+$M39&lt;&gt;0,$AV39=""),1,IF($AV39&gt;$F39+$G39+$H39+$I39+$J39+$K39+$L39+$M39,1,0))</f>
        <v/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/>
      </c>
    </row>
    <row r="40" ht="15" customHeight="1" s="8286">
      <c r="A40" s="9627" t="n"/>
      <c r="B40" s="555" t="inlineStr">
        <is>
          <t>Visita Domiciliaria Integral seguimiento</t>
        </is>
      </c>
      <c r="C40" s="552">
        <f>SUM(D40:E40)</f>
        <v/>
      </c>
      <c r="D40" s="531">
        <f>+F40+H40+J40+L40+N40+P40+R40+T40+V40+X40+Z40+AB40+AD40+AF40+AH40</f>
        <v/>
      </c>
      <c r="E40" s="533">
        <f>+G40+I40+K40+M40+O40+Q40+S40+U40+W40+Y40+AA40+AC40+AE40+AG40+AI40</f>
        <v/>
      </c>
      <c r="F40" s="550" t="n"/>
      <c r="G40" s="534" t="n"/>
      <c r="H40" s="550" t="n"/>
      <c r="I40" s="534" t="n"/>
      <c r="J40" s="550" t="n"/>
      <c r="K40" s="534" t="n"/>
      <c r="L40" s="550" t="n"/>
      <c r="M40" s="534" t="n"/>
      <c r="N40" s="550" t="n"/>
      <c r="O40" s="534" t="n"/>
      <c r="P40" s="550" t="n"/>
      <c r="Q40" s="534" t="n">
        <v>2</v>
      </c>
      <c r="R40" s="550" t="n"/>
      <c r="S40" s="534" t="n"/>
      <c r="T40" s="550" t="n"/>
      <c r="U40" s="534" t="n"/>
      <c r="V40" s="550" t="n"/>
      <c r="W40" s="534" t="n"/>
      <c r="X40" s="550" t="n"/>
      <c r="Y40" s="534" t="n">
        <v>1</v>
      </c>
      <c r="Z40" s="550" t="n">
        <v>2</v>
      </c>
      <c r="AA40" s="534" t="n"/>
      <c r="AB40" s="550" t="n">
        <v>2</v>
      </c>
      <c r="AC40" s="534" t="n"/>
      <c r="AD40" s="550" t="n">
        <v>2</v>
      </c>
      <c r="AE40" s="534" t="n"/>
      <c r="AF40" s="550" t="n">
        <v>2</v>
      </c>
      <c r="AG40" s="534" t="n">
        <v>4</v>
      </c>
      <c r="AH40" s="550" t="n">
        <v>13</v>
      </c>
      <c r="AI40" s="534" t="n">
        <v>18</v>
      </c>
      <c r="AJ40" s="537" t="n"/>
      <c r="AK40" s="537" t="n">
        <v>43</v>
      </c>
      <c r="AL40" s="537" t="n">
        <v>2</v>
      </c>
      <c r="AM40" s="537" t="n"/>
      <c r="AN40" s="537" t="n"/>
      <c r="AO40" s="537" t="n"/>
      <c r="AP40" s="537" t="n"/>
      <c r="AQ40" s="537" t="n"/>
      <c r="AR40" s="537" t="n"/>
      <c r="AS40" s="537" t="n"/>
      <c r="AT40" s="553" t="n">
        <v>7</v>
      </c>
      <c r="AU40" s="554" t="n">
        <v>12</v>
      </c>
      <c r="AV40" s="553" t="n">
        <v>0</v>
      </c>
      <c r="AW40" s="556" t="n">
        <v>0</v>
      </c>
      <c r="AX40">
        <f>CA40&amp;CB40&amp;CC40&amp;CD40&amp;CE40&amp;CF40</f>
        <v/>
      </c>
      <c r="BU40">
        <f>IF(CJ40=1," * La suma de Atenciones por profesional no debe ser mayor al Total.","")</f>
        <v/>
      </c>
      <c r="CA40" s="260">
        <f t="array" ref="CA40">IF(AND($C40&lt;&gt;0,AJ40:AS40=""),"* No olvide ingresar la variable "&amp;AJ$36&amp;""&amp;". Digite CERO si no tiene. ","")</f>
        <v/>
      </c>
      <c r="CB40" s="219">
        <f>IF((AJ40+AK40+AL40+AM40+AN40+AO40+AP40+AQ40+AR40+AS40)&lt;$C40," * La suma del TOTAL Ambos Sexos no puede ser Mayor a la suma de las variables de "&amp;AJ$36&amp;""&amp;"","")</f>
        <v/>
      </c>
      <c r="CC40" s="219">
        <f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>
        <f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>
        <f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>
        <f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>
        <f t="array" ref="CJ40">IF(AND($C40&lt;&gt;0,AJ40:AS40=""),1,0)</f>
        <v/>
      </c>
      <c r="CK40" s="378">
        <f>IF((AJ40+AK40+AL40+AM40+AN40+AO40+AP40+AQ40+AR40+AS40)&lt;$C40,1,0)</f>
        <v/>
      </c>
      <c r="CL40" s="378">
        <f>IF(AND($D40&lt;&gt;0,$AT40=""),1,IF(AT40&gt;D40,1,0))</f>
        <v/>
      </c>
      <c r="CM40" s="378">
        <f>IF(AND($E40&lt;&gt;0,$AU40=""),1,IF($AU40&gt;$E40,1,0))</f>
        <v/>
      </c>
      <c r="CN40" s="378">
        <f>IF(AND($F40+$G40+$H40+$I40+$J40+$K40+$L40+$M40&lt;&gt;0,$AV40=""),1,IF($AV40&gt;$F40+$G40+$H40+$I40+$J40+$K40+$L40+$M40,1,0))</f>
        <v/>
      </c>
      <c r="CO40" s="378">
        <f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/>
      </c>
    </row>
    <row r="41" ht="23.25" customHeight="1" s="8286">
      <c r="A41" s="9621" t="n"/>
      <c r="B41" s="557" t="inlineStr">
        <is>
          <t>Visita Domiciliaria Tratamiento/Procedimiento/Rehabilitación</t>
        </is>
      </c>
      <c r="C41" s="558">
        <f>SUM(D41:E41)</f>
        <v/>
      </c>
      <c r="D41" s="559">
        <f>+F41+H41+J41+L41+N41+P41+R41+T41+V41+X41+Z41+AB41+AD41+AF41+AH41</f>
        <v/>
      </c>
      <c r="E41" s="560">
        <f>+G41+I41+K41+M41+O41+Q41+S41+U41+W41+Y41+AA41+AC41+AE41+AG41+AI41</f>
        <v/>
      </c>
      <c r="F41" s="304" t="n"/>
      <c r="G41" s="561" t="n"/>
      <c r="H41" s="304" t="n"/>
      <c r="I41" s="561" t="n"/>
      <c r="J41" s="304" t="n"/>
      <c r="K41" s="561" t="n"/>
      <c r="L41" s="304" t="n"/>
      <c r="M41" s="561" t="n"/>
      <c r="N41" s="304" t="n"/>
      <c r="O41" s="561" t="n"/>
      <c r="P41" s="304" t="n"/>
      <c r="Q41" s="561" t="n">
        <v>1</v>
      </c>
      <c r="R41" s="304" t="n"/>
      <c r="S41" s="561" t="n"/>
      <c r="T41" s="304" t="n"/>
      <c r="U41" s="561" t="n"/>
      <c r="V41" s="304" t="n"/>
      <c r="W41" s="561" t="n"/>
      <c r="X41" s="304" t="n"/>
      <c r="Y41" s="561" t="n"/>
      <c r="Z41" s="304" t="n"/>
      <c r="AA41" s="561" t="n"/>
      <c r="AB41" s="304" t="n">
        <v>8</v>
      </c>
      <c r="AC41" s="561" t="n"/>
      <c r="AD41" s="304" t="n">
        <v>2</v>
      </c>
      <c r="AE41" s="561" t="n"/>
      <c r="AF41" s="304" t="n">
        <v>4</v>
      </c>
      <c r="AG41" s="561" t="n">
        <v>15</v>
      </c>
      <c r="AH41" s="304" t="n">
        <v>11</v>
      </c>
      <c r="AI41" s="561" t="n">
        <v>27</v>
      </c>
      <c r="AJ41" s="562" t="n">
        <v>14</v>
      </c>
      <c r="AK41" s="562" t="n">
        <v>31</v>
      </c>
      <c r="AL41" s="562" t="n">
        <v>18</v>
      </c>
      <c r="AM41" s="562" t="n"/>
      <c r="AN41" s="562" t="n"/>
      <c r="AO41" s="562" t="n"/>
      <c r="AP41" s="562" t="n"/>
      <c r="AQ41" s="562" t="n"/>
      <c r="AR41" s="562" t="n"/>
      <c r="AS41" s="562" t="n"/>
      <c r="AT41" s="563" t="n">
        <v>24</v>
      </c>
      <c r="AU41" s="564" t="n">
        <v>42</v>
      </c>
      <c r="AV41" s="563" t="n"/>
      <c r="AW41" s="565" t="n"/>
      <c r="AX41">
        <f>CA41&amp;CB41&amp;CC41&amp;CD41&amp;CE41&amp;CF41</f>
        <v/>
      </c>
      <c r="BU41">
        <f>IF(CJ41=1," * La suma de Atenciones por profesional no debe ser mayor al Total.","")</f>
        <v/>
      </c>
      <c r="CA41" s="260">
        <f t="array" ref="CA41">IF(AND($C41&lt;&gt;0,AJ41:AS41=""),"* No olvide ingresar la variable "&amp;AJ$36&amp;""&amp;". Digite CERO si no tiene. ","")</f>
        <v/>
      </c>
      <c r="CB41" s="219">
        <f>IF((AJ41+AK41+AL41+AM41+AN41+AO41+AP41+AQ41+AR41+AS41)&lt;$C41," * La suma del TOTAL Ambos Sexos no puede ser Mayor a la suma de las variables de "&amp;AJ$36&amp;""&amp;"","")</f>
        <v/>
      </c>
      <c r="CC41" s="219">
        <f>IF(AND($D41&lt;&gt;0,AT41=""),"* No olvide ingresar la variable "&amp;AT$36&amp;""&amp;" Hombres. Digite CERO si no tiene. ",IF(AT41&gt;$D41," * La variable "&amp;AT$36&amp;""&amp;" Hombres no debe ser mayor al Total Hombres. ",""))</f>
        <v/>
      </c>
      <c r="CD41" s="219">
        <f>IF(AND($E41&lt;&gt;0,AU41=""),"* No olvide ingresar la variable "&amp;AT$36&amp;""&amp;" Mujeres. Digite CERO si no tiene. ",IF(AU41&gt;$E41," * La variable "&amp;AT$36&amp;""&amp;" Mujeres no debe ser mayor al Total Mujeres. ",""))</f>
        <v/>
      </c>
      <c r="CE41" s="219">
        <f>IF(AND($F41+$G41+$H41+$I41+$J41+$K41+$L41+$M41&lt;&gt;0,AV41=""),"* No olvide ingresar la variable "&amp;AV$36&amp;""&amp;" 0-19 años. Digite CERO si no tiene. ",IF(AV41&gt;$F41+$G41+$H41+$I41+$J41+$K41+$L41+$M41,"* La variable "&amp;AV$36&amp;""&amp;" 0-19 años no debe ser mayor a la suma de los Rangos Etarios de 0-19 años. ",""))</f>
        <v/>
      </c>
      <c r="CF41" s="219">
        <f>IF(AND($N41+$O41+$P41+$Q41+$R41+$S41+$T41+$U41+$V41+$W41+$X41+$Y41+$Z41+$AA41+$AB41+$AC41+$AD41+$AE41+$AF41+$AG41+$AH41+$AI41&lt;&gt;0,AW41=""),"* No olvide ingresar la variable "&amp;AV$36&amp;""&amp;" 20 años y más. Digite CERO si no tiene.  ",IF(AW41&gt;$N41+$O41+$P41+$Q41+$R41+$S41+$T41+$U41+$V41+$W41+$X41+$Y41+$Z41+$AA41+$AB41+$AC41+$AD41+$AE41+$AF41+$AG41+$AH41+$AI41,"* La variable "&amp;AV$36&amp;""&amp;" 20 años y más no debe ser mayor a la suma de los Rangos Etarios de 20 y más años. ",""))</f>
        <v/>
      </c>
      <c r="CJ41" s="261">
        <f t="array" ref="CJ41">IF(AND($C41&lt;&gt;0,AJ41:AS41=""),1,0)</f>
        <v/>
      </c>
      <c r="CK41" s="378">
        <f>IF((AJ41+AK41+AL41+AM41+AN41+AO41+AP41+AQ41+AR41+AS41)&lt;$C41,1,0)</f>
        <v/>
      </c>
      <c r="CL41" s="378">
        <f>IF(AND($D41&lt;&gt;0,$AT41=""),1,IF(AT41&gt;D41,1,0))</f>
        <v/>
      </c>
      <c r="CM41" s="378">
        <f>IF(AND($E41&lt;&gt;0,$AU41=""),1,IF($AU41&gt;$E41,1,0))</f>
        <v/>
      </c>
      <c r="CN41" s="378">
        <f>IF(AND($F41+$G41+$H41+$I41+$J41+$K41+$L41+$M41&lt;&gt;0,$AV41=""),1,IF($AV41&gt;$F41+$G41+$H41+$I41+$J41+$K41+$L41+$M41,1,0))</f>
        <v/>
      </c>
      <c r="CO41" s="378">
        <f>IF(AND($N41+$O41+$P41+$Q41+$R41+$S41+$T41+$U41+$V41+$W41+$X41+$Y41+$Z41+$AA41+$AB41+$AC41+$AD41+$AE41+$AF41+$AG41+$AH41+$AI41&lt;&gt;0,$AW41=""),1,IF($AW41&gt;$N41+$O41+$P41+$Q41+$R41+$S41+$T41+$U41+$V41+$W41+$X41+$Y41+$Z41+$AA41+$AB41+$AC41+$AD41+$AE41+$AF41+$AG41+$AH41+$AI41,1,0))</f>
        <v/>
      </c>
    </row>
    <row r="42" ht="15" customHeight="1" s="8286">
      <c r="A42" s="10164" t="inlineStr">
        <is>
          <t>Visita domiciliaria Nivel Secundario</t>
        </is>
      </c>
      <c r="B42" s="4970" t="inlineStr">
        <is>
          <t>Visita Domiciliaria consulta nueva</t>
        </is>
      </c>
      <c r="C42" s="566">
        <f>SUM(D42:E42)</f>
        <v/>
      </c>
      <c r="D42" s="546">
        <f>+F42+H42+J42+L42+N42+P42+R42+T42+V42+X42+Z42+AB42+AD42+AF42+AH42</f>
        <v/>
      </c>
      <c r="E42" s="547">
        <f>+G42+I42+K42+M42+O42+Q42+S42+U42+W42+Y42+AA42+AC42+AE42+AG42+AI42</f>
        <v/>
      </c>
      <c r="F42" s="316" t="n"/>
      <c r="G42" s="317" t="n"/>
      <c r="H42" s="316" t="n"/>
      <c r="I42" s="317" t="n"/>
      <c r="J42" s="316" t="n"/>
      <c r="K42" s="317" t="n"/>
      <c r="L42" s="316" t="n"/>
      <c r="M42" s="317" t="n"/>
      <c r="N42" s="316" t="n"/>
      <c r="O42" s="317" t="n"/>
      <c r="P42" s="316" t="n"/>
      <c r="Q42" s="317" t="n"/>
      <c r="R42" s="316" t="n"/>
      <c r="S42" s="317" t="n"/>
      <c r="T42" s="316" t="n"/>
      <c r="U42" s="317" t="n"/>
      <c r="V42" s="316" t="n"/>
      <c r="W42" s="317" t="n"/>
      <c r="X42" s="316" t="n"/>
      <c r="Y42" s="317" t="n"/>
      <c r="Z42" s="316" t="n"/>
      <c r="AA42" s="317" t="n"/>
      <c r="AB42" s="316" t="n"/>
      <c r="AC42" s="317" t="n"/>
      <c r="AD42" s="316" t="n"/>
      <c r="AE42" s="317" t="n"/>
      <c r="AF42" s="316" t="n"/>
      <c r="AG42" s="317" t="n"/>
      <c r="AH42" s="316" t="n"/>
      <c r="AI42" s="317" t="n"/>
      <c r="AJ42" s="549" t="n"/>
      <c r="AK42" s="549" t="n"/>
      <c r="AL42" s="549" t="n"/>
      <c r="AM42" s="549" t="n"/>
      <c r="AN42" s="549" t="n"/>
      <c r="AO42" s="549" t="n"/>
      <c r="AP42" s="549" t="n"/>
      <c r="AQ42" s="549" t="n"/>
      <c r="AR42" s="549" t="n"/>
      <c r="AS42" s="549" t="n"/>
      <c r="AT42" s="567" t="n"/>
      <c r="AU42" s="568" t="n"/>
      <c r="AV42" s="569" t="n"/>
      <c r="AW42" s="570" t="n"/>
      <c r="AX42">
        <f>CA42&amp;CB42&amp;CC42&amp;CD42&amp;CE42&amp;CF42</f>
        <v/>
      </c>
      <c r="BU42">
        <f>IF(CJ42=1," * La suma de Atenciones por profesional no debe ser mayor al Total.","")</f>
        <v/>
      </c>
      <c r="CA42" s="260">
        <f t="array" ref="CA42">IF(AND($C42&lt;&gt;0,AJ42:AS42=""),"* No olvide ingresar la variable "&amp;AJ$36&amp;""&amp;". Digite CERO si no tiene. ","")</f>
        <v/>
      </c>
      <c r="CB42" s="219">
        <f>IF((AJ42+AK42+AL42+AM42+AN42+AO42+AP42+AQ42+AR42+AS42)&lt;$C42," * La suma del TOTAL Ambos Sexos no puede ser Mayor a la suma de las variables de "&amp;AJ$36&amp;""&amp;"","")</f>
        <v/>
      </c>
      <c r="CC42" s="919" t="n"/>
      <c r="CD42" s="919" t="n"/>
      <c r="CE42" s="219">
        <f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>
        <f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>
        <f t="array" ref="CJ42">IF(AND($C42&lt;&gt;0,AJ42:AS42=""),1,0)</f>
        <v/>
      </c>
      <c r="CK42" s="378">
        <f>IF((AJ42+AK42+AL42+AM42+AN42+AO42+AP42+AQ42+AR42+AS42)&lt;$C42,1,0)</f>
        <v/>
      </c>
      <c r="CL42" s="916" t="n"/>
      <c r="CM42" s="916" t="n"/>
      <c r="CN42" s="378">
        <f>IF(AND($F42+$G42+$H42+$I42+$J42+$K42+$L42+$M42&lt;&gt;0,$AV42=""),1,IF($AV42&gt;$F42+$G42+$H42+$I42+$J42+$K42+$L42+$M42,1,0))</f>
        <v/>
      </c>
      <c r="CO42" s="378">
        <f>IF(AND($N42+$O42+$P42+$Q42+$R42+$S42+$T42+$U42+$V42+$W42+$X42+$Y42+$Z42+$AA42+$AB42+$AC42+$AD42+$AE42+$AF42+$AG42+$AH42+$AI42&lt;&gt;0,$AW42=""),1,IF($AW42&gt;$N42+$O42+$P42+$Q42+$R42+$S42+$T42+$U42+$V42+$W42+$X42+$Y42+$Z42+$AA42+$AB42+$AC42+$AD42+$AE42+$AF42+$AG42+$AH42+$AI42,1,0))</f>
        <v/>
      </c>
    </row>
    <row r="43" ht="15" customHeight="1" s="8286">
      <c r="A43" s="9621" t="n"/>
      <c r="B43" s="3218" t="inlineStr">
        <is>
          <t>Visita Domiciliaria consulta control</t>
        </is>
      </c>
      <c r="C43" s="571">
        <f>SUM(D43:E43)</f>
        <v/>
      </c>
      <c r="D43" s="539">
        <f>+F43+H43+J43+L43+N43+P43+R43+T43+V43+X43+Z43+AB43+AD43+AF43+AH43</f>
        <v/>
      </c>
      <c r="E43" s="540">
        <f>+G43+I43+K43+M43+O43+Q43+S43+U43+W43+Y43+AA43+AC43+AE43+AG43+AI43</f>
        <v/>
      </c>
      <c r="F43" s="541" t="n"/>
      <c r="G43" s="542" t="n"/>
      <c r="H43" s="541" t="n"/>
      <c r="I43" s="542" t="n"/>
      <c r="J43" s="541" t="n"/>
      <c r="K43" s="542" t="n"/>
      <c r="L43" s="541" t="n"/>
      <c r="M43" s="542" t="n"/>
      <c r="N43" s="541" t="n"/>
      <c r="O43" s="542" t="n"/>
      <c r="P43" s="541" t="n"/>
      <c r="Q43" s="542" t="n"/>
      <c r="R43" s="541" t="n"/>
      <c r="S43" s="542" t="n"/>
      <c r="T43" s="541" t="n"/>
      <c r="U43" s="542" t="n"/>
      <c r="V43" s="541" t="n"/>
      <c r="W43" s="542" t="n"/>
      <c r="X43" s="541" t="n"/>
      <c r="Y43" s="542" t="n"/>
      <c r="Z43" s="541" t="n"/>
      <c r="AA43" s="542" t="n"/>
      <c r="AB43" s="541" t="n"/>
      <c r="AC43" s="542" t="n"/>
      <c r="AD43" s="541" t="n"/>
      <c r="AE43" s="542" t="n"/>
      <c r="AF43" s="541" t="n"/>
      <c r="AG43" s="542" t="n"/>
      <c r="AH43" s="541" t="n"/>
      <c r="AI43" s="542" t="n"/>
      <c r="AJ43" s="545" t="n"/>
      <c r="AK43" s="545" t="n"/>
      <c r="AL43" s="545" t="n"/>
      <c r="AM43" s="545" t="n"/>
      <c r="AN43" s="545" t="n"/>
      <c r="AO43" s="545" t="n"/>
      <c r="AP43" s="545" t="n"/>
      <c r="AQ43" s="545" t="n"/>
      <c r="AR43" s="545" t="n"/>
      <c r="AS43" s="545" t="n"/>
      <c r="AT43" s="572" t="n"/>
      <c r="AU43" s="573" t="n"/>
      <c r="AV43" s="574" t="n"/>
      <c r="AW43" s="575" t="n"/>
      <c r="AX43">
        <f>CA43&amp;CB43&amp;CC43&amp;CD43&amp;CE43&amp;CF43</f>
        <v/>
      </c>
      <c r="BU43">
        <f>IF(CJ43=1," * La suma de Atenciones por profesional no debe ser mayor al Total.","")</f>
        <v/>
      </c>
      <c r="CA43" s="260">
        <f t="array" ref="CA43">IF(AND($C43&lt;&gt;0,AJ43:AS43=""),"* No olvide ingresar la variable "&amp;AJ$36&amp;""&amp;". Digite CERO si no tiene. ","")</f>
        <v/>
      </c>
      <c r="CB43" s="219">
        <f>IF((AJ43+AK43+AL43+AM43+AN43+AO43+AP43+AQ43+AR43+AS43)&lt;$C43," * La suma del TOTAL Ambos Sexos no puede ser Mayor a la suma de las variables de "&amp;AJ$36&amp;""&amp;"","")</f>
        <v/>
      </c>
      <c r="CC43" s="919" t="n"/>
      <c r="CD43" s="919" t="n"/>
      <c r="CE43" s="219">
        <f>IF(AND($F43+$G43+$H43+$I43+$J43+$K43+$L43+$M43&lt;&gt;0,AV43=""),"* No olvide ingresar la variable "&amp;AV$36&amp;""&amp;" 0-19 años. Digite CERO si no tiene. ",IF(AV43&gt;$F43+$G43+$H43+$I43+$J43+$K43+$L43+$M43,"* La variable "&amp;AV$36&amp;""&amp;" 0-19 años no debe ser mayor a la suma de los Rangos Etarios de 0-19 años. ",""))</f>
        <v/>
      </c>
      <c r="CF43" s="219">
        <f>IF(AND($N43+$O43+$P43+$Q43+$R43+$S43+$T43+$U43+$V43+$W43+$X43+$Y43+$Z43+$AA43+$AB43+$AC43+$AD43+$AE43+$AF43+$AG43+$AH43+$AI43&lt;&gt;0,AW43=""),"* No olvide ingresar la variable "&amp;AV$36&amp;""&amp;" 20 años y más. Digite CERO si no tiene.  ",IF(AW43&gt;$N43+$O43+$P43+$Q43+$R43+$S43+$T43+$U43+$V43+$W43+$X43+$Y43+$Z43+$AA43+$AB43+$AC43+$AD43+$AE43+$AF43+$AG43+$AH43+$AI43,"* La variable "&amp;AV$36&amp;""&amp;" 20 años y más no debe ser mayor a la suma de los Rangos Etarios de 20 y más años. ",""))</f>
        <v/>
      </c>
      <c r="CJ43" s="261">
        <f t="array" ref="CJ43">IF(AND($C43&lt;&gt;0,AJ43:AS43=""),1,0)</f>
        <v/>
      </c>
      <c r="CK43" s="378">
        <f>IF((AJ43+AK43+AL43+AM43+AN43+AO43+AP43+AQ43+AR43+AS43)&lt;$C43,1,0)</f>
        <v/>
      </c>
      <c r="CL43" s="916" t="n"/>
      <c r="CM43" s="916" t="n"/>
      <c r="CN43" s="378">
        <f>IF(AND($F43+$G43+$H43+$I43+$J43+$K43+$L43+$M43&lt;&gt;0,$AV43=""),1,IF($AV43&gt;$F43+$G43+$H43+$I43+$J43+$K43+$L43+$M43,1,0))</f>
        <v/>
      </c>
      <c r="CO43" s="378">
        <f>IF(AND($N43+$O43+$P43+$Q43+$R43+$S43+$T43+$U43+$V43+$W43+$X43+$Y43+$Z43+$AA43+$AB43+$AC43+$AD43+$AE43+$AF43+$AG43+$AH43+$AI43&lt;&gt;0,$AW43=""),1,IF($AW43&gt;$N43+$O43+$P43+$Q43+$R43+$S43+$T43+$U43+$V43+$W43+$X43+$Y43+$Z43+$AA43+$AB43+$AC43+$AD43+$AE43+$AF43+$AG43+$AH43+$AI43,1,0))</f>
        <v/>
      </c>
    </row>
    <row r="44" ht="15" customHeight="1" s="8286">
      <c r="A44" s="10339" t="inlineStr">
        <is>
          <t>Atención ambulatoria</t>
        </is>
      </c>
      <c r="B44" s="920" t="inlineStr">
        <is>
          <t>Consultas nuevas</t>
        </is>
      </c>
      <c r="C44" s="566">
        <f>SUM(D44:E44)</f>
        <v/>
      </c>
      <c r="D44" s="546">
        <f>+F44+H44+J44+L44+N44+P44+R44+T44+V44+X44+Z44+AB44+AD44+AF44+AH44</f>
        <v/>
      </c>
      <c r="E44" s="547">
        <f>+G44+I44+K44+M44+O44+Q44+S44+U44+W44+Y44+AA44+AC44+AE44+AG44+AI44</f>
        <v/>
      </c>
      <c r="F44" s="316" t="n"/>
      <c r="G44" s="317" t="n"/>
      <c r="H44" s="316" t="n"/>
      <c r="I44" s="317" t="n"/>
      <c r="J44" s="316" t="n"/>
      <c r="K44" s="317" t="n"/>
      <c r="L44" s="316" t="n"/>
      <c r="M44" s="317" t="n"/>
      <c r="N44" s="316" t="n"/>
      <c r="O44" s="317" t="n"/>
      <c r="P44" s="316" t="n"/>
      <c r="Q44" s="317" t="n"/>
      <c r="R44" s="316" t="n"/>
      <c r="S44" s="317" t="n"/>
      <c r="T44" s="316" t="n"/>
      <c r="U44" s="317" t="n"/>
      <c r="V44" s="316" t="n"/>
      <c r="W44" s="317" t="n"/>
      <c r="X44" s="316" t="n"/>
      <c r="Y44" s="317" t="n"/>
      <c r="Z44" s="316" t="n"/>
      <c r="AA44" s="317" t="n"/>
      <c r="AB44" s="316" t="n"/>
      <c r="AC44" s="317" t="n"/>
      <c r="AD44" s="316" t="n"/>
      <c r="AE44" s="317" t="n"/>
      <c r="AF44" s="316" t="n"/>
      <c r="AG44" s="317" t="n"/>
      <c r="AH44" s="316" t="n"/>
      <c r="AI44" s="317" t="n"/>
      <c r="AJ44" s="537" t="n"/>
      <c r="AK44" s="549" t="n"/>
      <c r="AL44" s="577" t="n"/>
      <c r="AM44" s="549" t="n"/>
      <c r="AN44" s="549" t="n"/>
      <c r="AO44" s="549" t="n"/>
      <c r="AP44" s="549" t="n"/>
      <c r="AQ44" s="549" t="n"/>
      <c r="AR44" s="549" t="n"/>
      <c r="AS44" s="577" t="n"/>
      <c r="AT44" s="567" t="n"/>
      <c r="AU44" s="568" t="n"/>
      <c r="AV44" s="693" t="n"/>
      <c r="AW44" s="4971" t="n"/>
      <c r="AX44">
        <f>CA44&amp;CB44&amp;CC44&amp;CD44&amp;CE44&amp;CF44</f>
        <v/>
      </c>
      <c r="BU44">
        <f>IF(CJ44=1," * La suma de Atenciones por profesional no debe ser mayor al Total.","")</f>
        <v/>
      </c>
      <c r="CA44" s="260">
        <f t="array" ref="CA44">IF(AND($C44&lt;&gt;0,AJ44:AS44=""),"* No olvide ingresar la variable "&amp;AJ$36&amp;""&amp;". Digite CERO si no tiene. ","")</f>
        <v/>
      </c>
      <c r="CB44" s="219">
        <f>IF((AJ44+AK44+AL44+AM44+AN44+AO44+AP44+AQ44+AR44+AS44)&lt;$C44," * La suma del TOTAL Ambos Sexos no puede ser Mayor a la suma de las variables de "&amp;AJ$36&amp;""&amp;"","")</f>
        <v/>
      </c>
      <c r="CC44" s="919" t="n"/>
      <c r="CD44" s="919" t="n"/>
      <c r="CE44" s="219">
        <f>IF(AND($F44+$G44+$H44+$I44+$J44+$K44+$L44+$M44&lt;&gt;0,AV44=""),"* No olvide ingresar la variable "&amp;AV$36&amp;""&amp;" 0-19 años. Digite CERO si no tiene. ",IF(AV44&gt;$F44+$G44+$H44+$I44+$J44+$K44+$L44+$M44,"* La variable "&amp;AV$36&amp;""&amp;" 0-19 años no debe ser mayor a la suma de los Rangos Etarios de 0-19 años. ",""))</f>
        <v/>
      </c>
      <c r="CF44" s="219">
        <f>IF(AND($N44+$O44+$P44+$Q44+$R44+$S44+$T44+$U44+$V44+$W44+$X44+$Y44+$Z44+$AA44+$AB44+$AC44+$AD44+$AE44+$AF44+$AG44+$AH44+$AI44&lt;&gt;0,AW44=""),"* No olvide ingresar la variable "&amp;AV$36&amp;""&amp;" 20 años y más. Digite CERO si no tiene.  ",IF(AW44&gt;$N44+$O44+$P44+$Q44+$R44+$S44+$T44+$U44+$V44+$W44+$X44+$Y44+$Z44+$AA44+$AB44+$AC44+$AD44+$AE44+$AF44+$AG44+$AH44+$AI44,"* La variable "&amp;AV$36&amp;""&amp;" 20 años y más no debe ser mayor a la suma de los Rangos Etarios de 20 y más años. ",""))</f>
        <v/>
      </c>
      <c r="CJ44" s="261">
        <f t="array" ref="CJ44">IF(AND($C44&lt;&gt;0,AJ44:AS44=""),1,0)</f>
        <v/>
      </c>
      <c r="CK44" s="378">
        <f>IF((AJ44+AK44+AL44+AM44+AN44+AO44+AP44+AQ44+AR44+AS44)&lt;$C44,1,0)</f>
        <v/>
      </c>
      <c r="CL44" s="916" t="n"/>
      <c r="CM44" s="916" t="n"/>
      <c r="CN44" s="378">
        <f>IF(AND($F44+$G44+$H44+$I44+$J44+$K44+$L44+$M44&lt;&gt;0,$AV44=""),1,IF($AV44&gt;$F44+$G44+$H44+$I44+$J44+$K44+$L44+$M44,1,0))</f>
        <v/>
      </c>
      <c r="CO44" s="378">
        <f>IF(AND($N44+$O44+$P44+$Q44+$R44+$S44+$T44+$U44+$V44+$W44+$X44+$Y44+$Z44+$AA44+$AB44+$AC44+$AD44+$AE44+$AF44+$AG44+$AH44+$AI44&lt;&gt;0,$AW44=""),1,IF($AW44&gt;$N44+$O44+$P44+$Q44+$R44+$S44+$T44+$U44+$V44+$W44+$X44+$Y44+$Z44+$AA44+$AB44+$AC44+$AD44+$AE44+$AF44+$AG44+$AH44+$AI44,1,0))</f>
        <v/>
      </c>
    </row>
    <row r="45" ht="15" customHeight="1" s="8286">
      <c r="A45" s="9614" t="n"/>
      <c r="B45" s="921" t="inlineStr">
        <is>
          <t>Consulta abreviada</t>
        </is>
      </c>
      <c r="C45" s="552">
        <f>SUM(D45:E45)</f>
        <v/>
      </c>
      <c r="D45" s="531">
        <f>+F45+H45+J45+L45+N45+P45+R45+T45+V45+X45+Z45+AB45+AD45+AF45+AH45</f>
        <v/>
      </c>
      <c r="E45" s="533">
        <f>+G45+I45+K45+M45+O45+Q45+S45+U45+W45+Y45+AA45+AC45+AE45+AG45+AI45</f>
        <v/>
      </c>
      <c r="F45" s="550" t="n"/>
      <c r="G45" s="534" t="n"/>
      <c r="H45" s="550" t="n"/>
      <c r="I45" s="534" t="n"/>
      <c r="J45" s="550" t="n"/>
      <c r="K45" s="534" t="n"/>
      <c r="L45" s="550" t="n"/>
      <c r="M45" s="534" t="n"/>
      <c r="N45" s="550" t="n"/>
      <c r="O45" s="534" t="n"/>
      <c r="P45" s="550" t="n"/>
      <c r="Q45" s="534" t="n"/>
      <c r="R45" s="550" t="n"/>
      <c r="S45" s="534" t="n"/>
      <c r="T45" s="550" t="n"/>
      <c r="U45" s="534" t="n"/>
      <c r="V45" s="550" t="n"/>
      <c r="W45" s="534" t="n"/>
      <c r="X45" s="550" t="n"/>
      <c r="Y45" s="534" t="n"/>
      <c r="Z45" s="550" t="n"/>
      <c r="AA45" s="534" t="n"/>
      <c r="AB45" s="550" t="n"/>
      <c r="AC45" s="534" t="n"/>
      <c r="AD45" s="550" t="n"/>
      <c r="AE45" s="534" t="n"/>
      <c r="AF45" s="550" t="n"/>
      <c r="AG45" s="534" t="n"/>
      <c r="AH45" s="550" t="n"/>
      <c r="AI45" s="534" t="n"/>
      <c r="AJ45" s="537" t="n"/>
      <c r="AK45" s="537" t="n"/>
      <c r="AL45" s="578" t="n"/>
      <c r="AM45" s="537" t="n"/>
      <c r="AN45" s="549" t="n"/>
      <c r="AO45" s="549" t="n"/>
      <c r="AP45" s="549" t="n"/>
      <c r="AQ45" s="549" t="n"/>
      <c r="AR45" s="549" t="n"/>
      <c r="AS45" s="578" t="n"/>
      <c r="AT45" s="579" t="n"/>
      <c r="AU45" s="580" t="n"/>
      <c r="AV45" s="581" t="n"/>
      <c r="AW45" s="582" t="n"/>
      <c r="AX45">
        <f>CA45&amp;CB45&amp;CC45&amp;CD45&amp;CE45&amp;CF45</f>
        <v/>
      </c>
      <c r="BU45">
        <f>IF(CJ45=1," * La suma de Atenciones por profesional no debe ser mayor al Total.","")</f>
        <v/>
      </c>
      <c r="CA45" s="260">
        <f t="array" ref="CA45">IF(AND($C45&lt;&gt;0,AJ45:AS45=""),"* No olvide ingresar la variable "&amp;AJ$36&amp;""&amp;". Digite CERO si no tiene. ","")</f>
        <v/>
      </c>
      <c r="CB45" s="219">
        <f>IF((AJ45+AK45+AL45+AM45+AN45+AO45+AP45+AQ45+AR45+AS45)&lt;$C45," * La suma del TOTAL Ambos Sexos no puede ser Mayor a la suma de las variables de "&amp;AJ$36&amp;""&amp;"","")</f>
        <v/>
      </c>
      <c r="CC45" s="919" t="n"/>
      <c r="CD45" s="919" t="n"/>
      <c r="CE45" s="219">
        <f>IF(AND($F45+$G45+$H45+$I45+$J45+$K45+$L45+$M45&lt;&gt;0,AV45=""),"* No olvide ingresar la variable "&amp;AV$36&amp;""&amp;" 0-19 años. Digite CERO si no tiene. ",IF(AV45&gt;$F45+$G45+$H45+$I45+$J45+$K45+$L45+$M45,"* La variable "&amp;AV$36&amp;""&amp;" 0-19 años no debe ser mayor a la suma de los Rangos Etarios de 0-19 años. ",""))</f>
        <v/>
      </c>
      <c r="CF45" s="219">
        <f>IF(AND($N45+$O45+$P45+$Q45+$R45+$S45+$T45+$U45+$V45+$W45+$X45+$Y45+$Z45+$AA45+$AB45+$AC45+$AD45+$AE45+$AF45+$AG45+$AH45+$AI45&lt;&gt;0,AW45=""),"* No olvide ingresar la variable "&amp;AV$36&amp;""&amp;" 20 años y más. Digite CERO si no tiene.  ",IF(AW45&gt;$N45+$O45+$P45+$Q45+$R45+$S45+$T45+$U45+$V45+$W45+$X45+$Y45+$Z45+$AA45+$AB45+$AC45+$AD45+$AE45+$AF45+$AG45+$AH45+$AI45,"* La variable "&amp;AV$36&amp;""&amp;" 20 años y más no debe ser mayor a la suma de los Rangos Etarios de 20 y más años. ",""))</f>
        <v/>
      </c>
      <c r="CJ45" s="261">
        <f t="array" ref="CJ45">IF(AND($C45&lt;&gt;0,AJ45:AS45=""),1,0)</f>
        <v/>
      </c>
      <c r="CK45" s="378">
        <f>IF((AJ45+AK45+AL45+AM45+AN45+AO45+AP45+AQ45+AR45+AS45)&lt;$C45,1,0)</f>
        <v/>
      </c>
      <c r="CL45" s="916" t="n"/>
      <c r="CM45" s="916" t="n"/>
      <c r="CN45" s="378">
        <f>IF(AND($F45+$G45+$H45+$I45+$J45+$K45+$L45+$M45&lt;&gt;0,$AV45=""),1,IF($AV45&gt;$F45+$G45+$H45+$I45+$J45+$K45+$L45+$M45,1,0))</f>
        <v/>
      </c>
      <c r="CO45" s="378">
        <f>IF(AND($N45+$O45+$P45+$Q45+$R45+$S45+$T45+$U45+$V45+$W45+$X45+$Y45+$Z45+$AA45+$AB45+$AC45+$AD45+$AE45+$AF45+$AG45+$AH45+$AI45&lt;&gt;0,$AW45=""),1,IF($AW45&gt;$N45+$O45+$P45+$Q45+$R45+$S45+$T45+$U45+$V45+$W45+$X45+$Y45+$Z45+$AA45+$AB45+$AC45+$AD45+$AE45+$AF45+$AG45+$AH45+$AI45,1,0))</f>
        <v/>
      </c>
    </row>
    <row r="46" ht="15" customHeight="1" s="8286">
      <c r="A46" s="9614" t="n"/>
      <c r="B46" s="921" t="inlineStr">
        <is>
          <t>Atención a familiares</t>
        </is>
      </c>
      <c r="C46" s="552">
        <f>SUM(D46:E46)</f>
        <v/>
      </c>
      <c r="D46" s="531">
        <f>+F46+H46+J46+L46+N46+P46+R46+T46+V46+X46+Z46+AB46+AD46+AF46+AH46</f>
        <v/>
      </c>
      <c r="E46" s="533">
        <f>+G46+I46+K46+M46+O46+Q46+S46+U46+W46+Y46+AA46+AC46+AE46+AG46+AI46</f>
        <v/>
      </c>
      <c r="F46" s="550" t="n"/>
      <c r="G46" s="534" t="n"/>
      <c r="H46" s="550" t="n"/>
      <c r="I46" s="534" t="n"/>
      <c r="J46" s="550" t="n"/>
      <c r="K46" s="534" t="n"/>
      <c r="L46" s="550" t="n"/>
      <c r="M46" s="534" t="n"/>
      <c r="N46" s="550" t="n"/>
      <c r="O46" s="534" t="n"/>
      <c r="P46" s="550" t="n"/>
      <c r="Q46" s="534" t="n"/>
      <c r="R46" s="550" t="n"/>
      <c r="S46" s="534" t="n"/>
      <c r="T46" s="550" t="n"/>
      <c r="U46" s="534" t="n"/>
      <c r="V46" s="550" t="n"/>
      <c r="W46" s="534" t="n"/>
      <c r="X46" s="550" t="n"/>
      <c r="Y46" s="534" t="n"/>
      <c r="Z46" s="550" t="n"/>
      <c r="AA46" s="534" t="n"/>
      <c r="AB46" s="550" t="n"/>
      <c r="AC46" s="534" t="n"/>
      <c r="AD46" s="550" t="n"/>
      <c r="AE46" s="534" t="n"/>
      <c r="AF46" s="550" t="n"/>
      <c r="AG46" s="534" t="n"/>
      <c r="AH46" s="550" t="n"/>
      <c r="AI46" s="534" t="n"/>
      <c r="AJ46" s="537" t="n"/>
      <c r="AK46" s="537" t="n"/>
      <c r="AL46" s="537" t="n"/>
      <c r="AM46" s="537" t="n"/>
      <c r="AN46" s="537" t="n"/>
      <c r="AO46" s="537" t="n"/>
      <c r="AP46" s="537" t="n"/>
      <c r="AQ46" s="537" t="n"/>
      <c r="AR46" s="537" t="n"/>
      <c r="AS46" s="537" t="n"/>
      <c r="AT46" s="579" t="n"/>
      <c r="AU46" s="580" t="n"/>
      <c r="AV46" s="581" t="n"/>
      <c r="AW46" s="582" t="n"/>
      <c r="AX46">
        <f>CA46&amp;CB46&amp;CC46&amp;CD46&amp;CE46&amp;CF46</f>
        <v/>
      </c>
      <c r="BU46">
        <f>IF(CJ46=1," * La suma de Atenciones por profesional no debe ser mayor al Total.","")</f>
        <v/>
      </c>
      <c r="CA46" s="260">
        <f t="array" ref="CA46">IF(AND($C46&lt;&gt;0,AJ46:AS46=""),"* No olvide ingresar la variable "&amp;AJ$36&amp;""&amp;". Digite CERO si no tiene. ","")</f>
        <v/>
      </c>
      <c r="CB46" s="219">
        <f>IF((AJ46+AK46+AL46+AM46+AN46+AO46+AP46+AQ46+AR46+AS46)&lt;$C46," * La suma del TOTAL Ambos Sexos no puede ser Mayor a la suma de las variables de "&amp;AJ$36&amp;""&amp;"","")</f>
        <v/>
      </c>
      <c r="CC46" s="919" t="n"/>
      <c r="CD46" s="919" t="n"/>
      <c r="CE46" s="219">
        <f>IF(AND($F46+$G46+$H46+$I46+$J46+$K46+$L46+$M46&lt;&gt;0,AV46=""),"* No olvide ingresar la variable "&amp;AV$36&amp;""&amp;" 0-19 años. Digite CERO si no tiene. ",IF(AV46&gt;$F46+$G46+$H46+$I46+$J46+$K46+$L46+$M46,"* La variable "&amp;AV$36&amp;""&amp;" 0-19 años no debe ser mayor a la suma de los Rangos Etarios de 0-19 años. ",""))</f>
        <v/>
      </c>
      <c r="CF46" s="219">
        <f>IF(AND($N46+$O46+$P46+$Q46+$R46+$S46+$T46+$U46+$V46+$W46+$X46+$Y46+$Z46+$AA46+$AB46+$AC46+$AD46+$AE46+$AF46+$AG46+$AH46+$AI46&lt;&gt;0,AW46=""),"* No olvide ingresar la variable "&amp;AV$36&amp;""&amp;" 20 años y más. Digite CERO si no tiene.  ",IF(AW46&gt;$N46+$O46+$P46+$Q46+$R46+$S46+$T46+$U46+$V46+$W46+$X46+$Y46+$Z46+$AA46+$AB46+$AC46+$AD46+$AE46+$AF46+$AG46+$AH46+$AI46,"* La variable "&amp;AV$36&amp;""&amp;" 20 años y más no debe ser mayor a la suma de los Rangos Etarios de 20 y más años. ",""))</f>
        <v/>
      </c>
      <c r="CJ46" s="261">
        <f t="array" ref="CJ46">IF(AND($C46&lt;&gt;0,AJ46:AS46=""),1,0)</f>
        <v/>
      </c>
      <c r="CK46" s="378">
        <f>IF((AJ46+AK46+AL46+AM46+AN46+AO46+AP46+AQ46+AR46+AS46)&lt;$C46,1,0)</f>
        <v/>
      </c>
      <c r="CL46" s="916" t="n"/>
      <c r="CM46" s="916" t="n"/>
      <c r="CN46" s="378">
        <f>IF(AND($F46+$G46+$H46+$I46+$J46+$K46+$L46+$M46&lt;&gt;0,$AV46=""),1,IF($AV46&gt;$F46+$G46+$H46+$I46+$J46+$K46+$L46+$M46,1,0))</f>
        <v/>
      </c>
      <c r="CO46" s="378">
        <f>IF(AND($N46+$O46+$P46+$Q46+$R46+$S46+$T46+$U46+$V46+$W46+$X46+$Y46+$Z46+$AA46+$AB46+$AC46+$AD46+$AE46+$AF46+$AG46+$AH46+$AI46&lt;&gt;0,$AW46=""),1,IF($AW46&gt;$N46+$O46+$P46+$Q46+$R46+$S46+$T46+$U46+$V46+$W46+$X46+$Y46+$Z46+$AA46+$AB46+$AC46+$AD46+$AE46+$AF46+$AG46+$AH46+$AI46,1,0))</f>
        <v/>
      </c>
    </row>
    <row r="47" ht="15" customHeight="1" s="8286">
      <c r="A47" s="9610" t="n"/>
      <c r="B47" s="922" t="inlineStr">
        <is>
          <t>Control de seguimiento</t>
        </is>
      </c>
      <c r="C47" s="571">
        <f>SUM(D47:E47)</f>
        <v/>
      </c>
      <c r="D47" s="539">
        <f>+F47+H47+J47+L47+N47+P47+R47+T47+V47+X47+Z47+AB47+AD47+AF47+AH47</f>
        <v/>
      </c>
      <c r="E47" s="540">
        <f>+G47+I47+K47+M47+O47+Q47+S47+U47+W47+Y47+AA47+AC47+AE47+AG47+AI47</f>
        <v/>
      </c>
      <c r="F47" s="541" t="n"/>
      <c r="G47" s="542" t="n"/>
      <c r="H47" s="541" t="n"/>
      <c r="I47" s="542" t="n"/>
      <c r="J47" s="541" t="n"/>
      <c r="K47" s="542" t="n"/>
      <c r="L47" s="541" t="n"/>
      <c r="M47" s="542" t="n"/>
      <c r="N47" s="541" t="n"/>
      <c r="O47" s="542" t="n"/>
      <c r="P47" s="541" t="n"/>
      <c r="Q47" s="542" t="n"/>
      <c r="R47" s="541" t="n"/>
      <c r="S47" s="542" t="n"/>
      <c r="T47" s="541" t="n"/>
      <c r="U47" s="542" t="n"/>
      <c r="V47" s="541" t="n"/>
      <c r="W47" s="542" t="n"/>
      <c r="X47" s="541" t="n"/>
      <c r="Y47" s="542" t="n"/>
      <c r="Z47" s="541" t="n"/>
      <c r="AA47" s="542" t="n"/>
      <c r="AB47" s="541" t="n"/>
      <c r="AC47" s="542" t="n"/>
      <c r="AD47" s="541" t="n"/>
      <c r="AE47" s="542" t="n"/>
      <c r="AF47" s="541" t="n"/>
      <c r="AG47" s="542" t="n"/>
      <c r="AH47" s="541" t="n"/>
      <c r="AI47" s="542" t="n"/>
      <c r="AJ47" s="545" t="n"/>
      <c r="AK47" s="545" t="n"/>
      <c r="AL47" s="545" t="n"/>
      <c r="AM47" s="545" t="n"/>
      <c r="AN47" s="545" t="n"/>
      <c r="AO47" s="545" t="n"/>
      <c r="AP47" s="545" t="n"/>
      <c r="AQ47" s="545" t="n"/>
      <c r="AR47" s="545" t="n"/>
      <c r="AS47" s="545" t="n"/>
      <c r="AT47" s="572" t="n"/>
      <c r="AU47" s="573" t="n"/>
      <c r="AV47" s="574" t="n"/>
      <c r="AW47" s="575" t="n"/>
      <c r="AX47">
        <f>CA47&amp;CB47&amp;CC47&amp;CD47&amp;CE47&amp;CF47</f>
        <v/>
      </c>
      <c r="CA47" s="260">
        <f t="array" ref="CA47">IF(AND($C47&lt;&gt;0,AJ47:AS47=""),"* No olvide ingresar la variable "&amp;AJ$36&amp;""&amp;". Digite CERO si no tiene. ","")</f>
        <v/>
      </c>
      <c r="CB47" s="219">
        <f>IF((AJ47+AK47+AL47+AM47+AN47+AO47+AP47+AQ47+AR47+AS47)&lt;$C47," * La suma del TOTAL Ambos Sexos no puede ser Mayor a la suma de las variables de "&amp;AJ$36&amp;""&amp;"","")</f>
        <v/>
      </c>
      <c r="CC47" s="919" t="n"/>
      <c r="CD47" s="919" t="n"/>
      <c r="CE47" s="219">
        <f>IF(AND($F47+$G47+$H47+$I47+$J47+$K47+$L47+$M47&lt;&gt;0,AV47=""),"* No olvide ingresar la variable "&amp;AV$36&amp;""&amp;" 0-19 años. Digite CERO si no tiene. ",IF(AV47&gt;$F47+$G47+$H47+$I47+$J47+$K47+$L47+$M47,"* La variable "&amp;AV$36&amp;""&amp;" 0-19 años no debe ser mayor a la suma de los Rangos Etarios de 0-19 años. ",""))</f>
        <v/>
      </c>
      <c r="CF47" s="219">
        <f>IF(AND($N47+$O47+$P47+$Q47+$R47+$S47+$T47+$U47+$V47+$W47+$X47+$Y47+$Z47+$AA47+$AB47+$AC47+$AD47+$AE47+$AF47+$AG47+$AH47+$AI47&lt;&gt;0,AW47=""),"* No olvide ingresar la variable "&amp;AV$36&amp;""&amp;" 20 años y más. Digite CERO si no tiene.  ",IF(AW47&gt;$N47+$O47+$P47+$Q47+$R47+$S47+$T47+$U47+$V47+$W47+$X47+$Y47+$Z47+$AA47+$AB47+$AC47+$AD47+$AE47+$AF47+$AG47+$AH47+$AI47,"* La variable "&amp;AV$36&amp;""&amp;" 20 años y más no debe ser mayor a la suma de los Rangos Etarios de 20 y más años. ",""))</f>
        <v/>
      </c>
      <c r="CJ47" s="261">
        <f t="array" ref="CJ47">IF(AND($C47&lt;&gt;0,AJ47:AS47=""),1,0)</f>
        <v/>
      </c>
      <c r="CK47" s="378">
        <f>IF((AJ47+AK47+AL47+AM47+AN47+AO47+AP47+AQ47+AR47+AS47)&lt;$C47,1,0)</f>
        <v/>
      </c>
      <c r="CL47" s="916" t="n"/>
      <c r="CM47" s="916" t="n"/>
      <c r="CN47" s="378">
        <f>IF(AND($F47+$G47+$H47+$I47+$J47+$K47+$L47+$M47&lt;&gt;0,$AV47=""),1,IF($AV47&gt;$F47+$G47+$H47+$I47+$J47+$K47+$L47+$M47,1,0))</f>
        <v/>
      </c>
      <c r="CO47" s="378">
        <f>IF(AND($N47+$O47+$P47+$Q47+$R47+$S47+$T47+$U47+$V47+$W47+$X47+$Y47+$Z47+$AA47+$AB47+$AC47+$AD47+$AE47+$AF47+$AG47+$AH47+$AI47&lt;&gt;0,$AW47=""),1,IF($AW47&gt;$N47+$O47+$P47+$Q47+$R47+$S47+$T47+$U47+$V47+$W47+$X47+$Y47+$Z47+$AA47+$AB47+$AC47+$AD47+$AE47+$AF47+$AG47+$AH47+$AI47,1,0))</f>
        <v/>
      </c>
    </row>
    <row r="48" ht="15" customHeight="1" s="8286">
      <c r="A48" s="10164" t="inlineStr">
        <is>
          <t>Atención Remota</t>
        </is>
      </c>
      <c r="B48" s="576" t="inlineStr">
        <is>
          <t>Teleconsulta</t>
        </is>
      </c>
      <c r="C48" s="566">
        <f>SUM(D48:E48)</f>
        <v/>
      </c>
      <c r="D48" s="546">
        <f>+F48+H48+J48+L48+N48+P48+R48+T48+V48+X48+Z48+AB48+AD48+AF48+AH48</f>
        <v/>
      </c>
      <c r="E48" s="547">
        <f>+G48+I48+K48+M48+O48+Q48+S48+U48+W48+Y48+AA48+AC48+AE48+AG48+AI48</f>
        <v/>
      </c>
      <c r="F48" s="316" t="n"/>
      <c r="G48" s="317" t="n"/>
      <c r="H48" s="316" t="n"/>
      <c r="I48" s="317" t="n"/>
      <c r="J48" s="316" t="n"/>
      <c r="K48" s="317" t="n"/>
      <c r="L48" s="316" t="n"/>
      <c r="M48" s="317" t="n"/>
      <c r="N48" s="316" t="n"/>
      <c r="O48" s="317" t="n"/>
      <c r="P48" s="316" t="n"/>
      <c r="Q48" s="317" t="n"/>
      <c r="R48" s="316" t="n"/>
      <c r="S48" s="317" t="n"/>
      <c r="T48" s="316" t="n"/>
      <c r="U48" s="317" t="n"/>
      <c r="V48" s="316" t="n"/>
      <c r="W48" s="317" t="n"/>
      <c r="X48" s="316" t="n"/>
      <c r="Y48" s="317" t="n"/>
      <c r="Z48" s="316" t="n"/>
      <c r="AA48" s="317" t="n"/>
      <c r="AB48" s="316" t="n"/>
      <c r="AC48" s="317" t="n"/>
      <c r="AD48" s="316" t="n"/>
      <c r="AE48" s="317" t="n"/>
      <c r="AF48" s="316" t="n"/>
      <c r="AG48" s="317" t="n"/>
      <c r="AH48" s="316" t="n"/>
      <c r="AI48" s="317" t="n"/>
      <c r="AJ48" s="549" t="n"/>
      <c r="AK48" s="549" t="n"/>
      <c r="AL48" s="549" t="n"/>
      <c r="AM48" s="549" t="n"/>
      <c r="AN48" s="549" t="n"/>
      <c r="AO48" s="549" t="n"/>
      <c r="AP48" s="549" t="n"/>
      <c r="AQ48" s="549" t="n"/>
      <c r="AR48" s="549" t="n"/>
      <c r="AS48" s="549" t="n"/>
      <c r="AT48" s="567" t="n"/>
      <c r="AU48" s="568" t="n"/>
      <c r="AV48" s="693" t="n"/>
      <c r="AW48" s="4971" t="n"/>
      <c r="AX48">
        <f>CA48&amp;CB48&amp;CC48&amp;CD48&amp;CE48&amp;CF48</f>
        <v/>
      </c>
      <c r="BU48">
        <f>IF(CJ48=1," * La suma de Atenciones por profesional no debe ser mayor al Total.","")</f>
        <v/>
      </c>
      <c r="CA48" s="260">
        <f t="array" ref="CA48">IF(AND($C48&lt;&gt;0,AJ48:AS48=""),"* No olvide ingresar la variable "&amp;AJ$36&amp;""&amp;". Digite CERO si no tiene. ","")</f>
        <v/>
      </c>
      <c r="CB48" s="219">
        <f>IF((AJ48+AK48+AL48+AM48+AN48+AO48+AP48+AQ48+AR48+AS48)&lt;$C48," * La suma del TOTAL Ambos Sexos no puede ser Mayor a la suma de las variables de "&amp;AJ$36&amp;""&amp;"","")</f>
        <v/>
      </c>
      <c r="CC48" s="919" t="n"/>
      <c r="CD48" s="919" t="n"/>
      <c r="CE48" s="219">
        <f>IF(AND($F48+$G48+$H48+$I48+$J48+$K48+$L48+$M48&lt;&gt;0,AV48=""),"* No olvide ingresar la variable "&amp;AV$36&amp;""&amp;" 0-19 años. Digite CERO si no tiene. ",IF(AV48&gt;$F48+$G48+$H48+$I48+$J48+$K48+$L48+$M48,"* La variable "&amp;AV$36&amp;""&amp;" 0-19 años no debe ser mayor a la suma de los Rangos Etarios de 0-19 años. ",""))</f>
        <v/>
      </c>
      <c r="CF48" s="219">
        <f>IF(AND($N48+$O48+$P48+$Q48+$R48+$S48+$T48+$U48+$V48+$W48+$X48+$Y48+$Z48+$AA48+$AB48+$AC48+$AD48+$AE48+$AF48+$AG48+$AH48+$AI48&lt;&gt;0,AW48=""),"* No olvide ingresar la variable "&amp;AV$36&amp;""&amp;" 20 años y más. Digite CERO si no tiene.  ",IF(AW48&gt;$N48+$O48+$P48+$Q48+$R48+$S48+$T48+$U48+$V48+$W48+$X48+$Y48+$Z48+$AA48+$AB48+$AC48+$AD48+$AE48+$AF48+$AG48+$AH48+$AI48,"* La variable "&amp;AV$36&amp;""&amp;" 20 años y más no debe ser mayor a la suma de los Rangos Etarios de 20 y más años. ",""))</f>
        <v/>
      </c>
      <c r="CJ48" s="261">
        <f t="array" ref="CJ48">IF(AND($C48&lt;&gt;0,AJ48:AS48=""),1,0)</f>
        <v/>
      </c>
      <c r="CK48" s="378">
        <f>IF((AJ48+AK48+AL48+AM48+AN48+AO48+AP48+AQ48+AR48+AS48)&lt;$C48,1,0)</f>
        <v/>
      </c>
      <c r="CL48" s="916" t="n"/>
      <c r="CM48" s="916" t="n"/>
      <c r="CN48" s="378">
        <f>IF(AND($F48+$G48+$H48+$I48+$J48+$K48+$L48+$M48&lt;&gt;0,$AV48=""),1,IF($AV48&gt;$F48+$G48+$H48+$I48+$J48+$K48+$L48+$M48,1,0))</f>
        <v/>
      </c>
      <c r="CO48" s="378">
        <f>IF(AND($N48+$O48+$P48+$Q48+$R48+$S48+$T48+$U48+$V48+$W48+$X48+$Y48+$Z48+$AA48+$AB48+$AC48+$AD48+$AE48+$AF48+$AG48+$AH48+$AI48&lt;&gt;0,$AW48=""),1,IF($AW48&gt;$N48+$O48+$P48+$Q48+$R48+$S48+$T48+$U48+$V48+$W48+$X48+$Y48+$Z48+$AA48+$AB48+$AC48+$AD48+$AE48+$AF48+$AG48+$AH48+$AI48,1,0))</f>
        <v/>
      </c>
    </row>
    <row r="49" ht="15" customHeight="1" s="8286">
      <c r="A49" s="9621" t="n"/>
      <c r="B49" s="583" t="inlineStr">
        <is>
          <t>Consulta abreviada</t>
        </is>
      </c>
      <c r="C49" s="571">
        <f>SUM(D49:E49)</f>
        <v/>
      </c>
      <c r="D49" s="539">
        <f>+F49+H49+J49+L49+N49+P49+R49+T49+V49+X49+Z49+AB49+AD49+AF49+AH49</f>
        <v/>
      </c>
      <c r="E49" s="540">
        <f>+G49+I49+K49+M49+O49+Q49+S49+U49+W49+Y49+AA49+AC49+AE49+AG49+AI49</f>
        <v/>
      </c>
      <c r="F49" s="541" t="n"/>
      <c r="G49" s="542" t="n"/>
      <c r="H49" s="541" t="n"/>
      <c r="I49" s="542" t="n"/>
      <c r="J49" s="541" t="n"/>
      <c r="K49" s="542" t="n"/>
      <c r="L49" s="541" t="n"/>
      <c r="M49" s="542" t="n"/>
      <c r="N49" s="541" t="n"/>
      <c r="O49" s="542" t="n"/>
      <c r="P49" s="541" t="n"/>
      <c r="Q49" s="542" t="n"/>
      <c r="R49" s="541" t="n"/>
      <c r="S49" s="542" t="n"/>
      <c r="T49" s="541" t="n"/>
      <c r="U49" s="542" t="n"/>
      <c r="V49" s="541" t="n"/>
      <c r="W49" s="542" t="n"/>
      <c r="X49" s="541" t="n"/>
      <c r="Y49" s="542" t="n"/>
      <c r="Z49" s="541" t="n"/>
      <c r="AA49" s="542" t="n"/>
      <c r="AB49" s="541" t="n"/>
      <c r="AC49" s="542" t="n"/>
      <c r="AD49" s="541" t="n"/>
      <c r="AE49" s="542" t="n"/>
      <c r="AF49" s="541" t="n"/>
      <c r="AG49" s="542" t="n"/>
      <c r="AH49" s="541" t="n"/>
      <c r="AI49" s="542" t="n"/>
      <c r="AJ49" s="545" t="n"/>
      <c r="AK49" s="545" t="n"/>
      <c r="AL49" s="545" t="n"/>
      <c r="AM49" s="545" t="n"/>
      <c r="AN49" s="545" t="n"/>
      <c r="AO49" s="545" t="n"/>
      <c r="AP49" s="545" t="n"/>
      <c r="AQ49" s="545" t="n"/>
      <c r="AR49" s="545" t="n"/>
      <c r="AS49" s="545" t="n"/>
      <c r="AT49" s="572" t="n"/>
      <c r="AU49" s="573" t="n"/>
      <c r="AV49" s="574" t="n"/>
      <c r="AW49" s="575" t="n"/>
      <c r="AX49">
        <f>CA49&amp;CB49&amp;CC49&amp;CD49&amp;CE49&amp;CF49</f>
        <v/>
      </c>
      <c r="BU49">
        <f>IF(CJ49=1," * La suma de Atenciones por profesional no debe ser mayor al Total.","")</f>
        <v/>
      </c>
      <c r="CA49" s="260">
        <f t="array" ref="CA49">IF(AND($C49&lt;&gt;0,AJ49:AS49=""),"* No olvide ingresar la variable "&amp;AJ$36&amp;""&amp;". Digite CERO si no tiene. ","")</f>
        <v/>
      </c>
      <c r="CB49" s="219">
        <f>IF((AJ49+AK49+AL49+AM49+AN49+AO49+AP49+AQ49+AR49+AS49)&lt;$C49," * La suma del TOTAL Ambos Sexos no puede ser Mayor a la suma de las variables de "&amp;AJ$36&amp;""&amp;"","")</f>
        <v/>
      </c>
      <c r="CC49" s="919" t="n"/>
      <c r="CD49" s="919" t="n"/>
      <c r="CE49" s="219">
        <f>IF(AND($F49+$G49+$H49+$I49+$J49+$K49+$L49+$M49&lt;&gt;0,AV49=""),"* No olvide ingresar la variable "&amp;AV$36&amp;""&amp;" 0-19 años. Digite CERO si no tiene. ",IF(AV49&gt;$F49+$G49+$H49+$I49+$J49+$K49+$L49+$M49,"* La variable "&amp;AV$36&amp;""&amp;" 0-19 años no debe ser mayor a la suma de los Rangos Etarios de 0-19 años. ",""))</f>
        <v/>
      </c>
      <c r="CF49" s="219">
        <f>IF(AND($N49+$O49+$P49+$Q49+$R49+$S49+$T49+$U49+$V49+$W49+$X49+$Y49+$Z49+$AA49+$AB49+$AC49+$AD49+$AE49+$AF49+$AG49+$AH49+$AI49&lt;&gt;0,AW49=""),"* No olvide ingresar la variable "&amp;AV$36&amp;""&amp;" 20 años y más. Digite CERO si no tiene.  ",IF(AW49&gt;$N49+$O49+$P49+$Q49+$R49+$S49+$T49+$U49+$V49+$W49+$X49+$Y49+$Z49+$AA49+$AB49+$AC49+$AD49+$AE49+$AF49+$AG49+$AH49+$AI49,"* La variable "&amp;AV$36&amp;""&amp;" 20 años y más no debe ser mayor a la suma de los Rangos Etarios de 20 y más años. ",""))</f>
        <v/>
      </c>
      <c r="CJ49" s="261">
        <f t="array" ref="CJ49">IF(AND($C49&lt;&gt;0,AJ49:AS49=""),1,0)</f>
        <v/>
      </c>
      <c r="CK49" s="378">
        <f>IF((AJ49+AK49+AL49+AM49+AN49+AO49+AP49+AQ49+AR49+AS49)&lt;$C49,1,0)</f>
        <v/>
      </c>
      <c r="CL49" s="916" t="n"/>
      <c r="CM49" s="916" t="n"/>
      <c r="CN49" s="378">
        <f>IF(AND($F49+$G49+$H49+$I49+$J49+$K49+$L49+$M49&lt;&gt;0,$AV49=""),1,IF($AV49&gt;$F49+$G49+$H49+$I49+$J49+$K49+$L49+$M49,1,0))</f>
        <v/>
      </c>
      <c r="CO49" s="378">
        <f>IF(AND($N49+$O49+$P49+$Q49+$R49+$S49+$T49+$U49+$V49+$W49+$X49+$Y49+$Z49+$AA49+$AB49+$AC49+$AD49+$AE49+$AF49+$AG49+$AH49+$AI49&lt;&gt;0,$AW49=""),1,IF($AW49&gt;$N49+$O49+$P49+$Q49+$R49+$S49+$T49+$U49+$V49+$W49+$X49+$Y49+$Z49+$AA49+$AB49+$AC49+$AD49+$AE49+$AF49+$AG49+$AH49+$AI49,1,0))</f>
        <v/>
      </c>
    </row>
    <row r="50" ht="15" customHeight="1" s="8286">
      <c r="A50" s="10164" t="inlineStr">
        <is>
          <t>Atención Cerrada</t>
        </is>
      </c>
      <c r="B50" s="4972" t="inlineStr">
        <is>
          <t>Interconsulta en Sala</t>
        </is>
      </c>
      <c r="C50" s="566">
        <f>SUM(D50:E50)</f>
        <v/>
      </c>
      <c r="D50" s="546">
        <f>+F50+H50+J50+L50+N50+P50+R50+T50+V50+X50+Z50+AB50+AD50+AF50+AH50</f>
        <v/>
      </c>
      <c r="E50" s="547">
        <f>+G50+I50+K50+M50+O50+Q50+S50+U50+W50+Y50+AA50+AC50+AE50+AG50+AI50</f>
        <v/>
      </c>
      <c r="F50" s="316" t="n"/>
      <c r="G50" s="317" t="n"/>
      <c r="H50" s="316" t="n"/>
      <c r="I50" s="317" t="n"/>
      <c r="J50" s="316" t="n"/>
      <c r="K50" s="317" t="n"/>
      <c r="L50" s="316" t="n"/>
      <c r="M50" s="317" t="n"/>
      <c r="N50" s="316" t="n"/>
      <c r="O50" s="317" t="n"/>
      <c r="P50" s="316" t="n"/>
      <c r="Q50" s="317" t="n"/>
      <c r="R50" s="316" t="n"/>
      <c r="S50" s="317" t="n"/>
      <c r="T50" s="316" t="n"/>
      <c r="U50" s="317" t="n"/>
      <c r="V50" s="316" t="n"/>
      <c r="W50" s="317" t="n"/>
      <c r="X50" s="316" t="n"/>
      <c r="Y50" s="317" t="n"/>
      <c r="Z50" s="316" t="n"/>
      <c r="AA50" s="317" t="n"/>
      <c r="AB50" s="316" t="n"/>
      <c r="AC50" s="317" t="n"/>
      <c r="AD50" s="316" t="n"/>
      <c r="AE50" s="317" t="n"/>
      <c r="AF50" s="316" t="n"/>
      <c r="AG50" s="317" t="n"/>
      <c r="AH50" s="316" t="n"/>
      <c r="AI50" s="317" t="n"/>
      <c r="AJ50" s="549" t="n"/>
      <c r="AK50" s="549" t="n"/>
      <c r="AL50" s="549" t="n"/>
      <c r="AM50" s="549" t="n"/>
      <c r="AN50" s="549" t="n"/>
      <c r="AO50" s="549" t="n"/>
      <c r="AP50" s="549" t="n"/>
      <c r="AQ50" s="549" t="n"/>
      <c r="AR50" s="549" t="n"/>
      <c r="AS50" s="549" t="n"/>
      <c r="AT50" s="567" t="n"/>
      <c r="AU50" s="568" t="n"/>
      <c r="AV50" s="693" t="n"/>
      <c r="AW50" s="4971" t="n"/>
      <c r="AX50">
        <f>CA50&amp;CB50&amp;CC50&amp;CD50&amp;CE50&amp;CF50</f>
        <v/>
      </c>
      <c r="BU50">
        <f>IF(CJ50=1," * La suma de Atenciones por profesional no debe ser mayor al Total.","")</f>
        <v/>
      </c>
      <c r="CA50" s="260">
        <f t="array" ref="CA50">IF(AND($C50&lt;&gt;0,AJ50:AS50=""),"* No olvide ingresar la variable "&amp;AJ$36&amp;""&amp;". Digite CERO si no tiene. ","")</f>
        <v/>
      </c>
      <c r="CB50" s="219">
        <f>IF((AJ50+AK50+AL50+AM50+AN50+AO50+AP50+AQ50+AR50+AS50)&lt;$C50," * La suma del TOTAL Ambos Sexos no puede ser Mayor a la suma de las variables de "&amp;AJ$36&amp;""&amp;"","")</f>
        <v/>
      </c>
      <c r="CC50" s="919" t="n"/>
      <c r="CD50" s="919" t="n"/>
      <c r="CE50" s="219">
        <f>IF(AND($F50+$G50+$H50+$I50+$J50+$K50+$L50+$M50&lt;&gt;0,AV50=""),"* No olvide ingresar la variable "&amp;AV$36&amp;""&amp;" 0-19 años. Digite CERO si no tiene. ",IF(AV50&gt;$F50+$G50+$H50+$I50+$J50+$K50+$L50+$M50,"* La variable "&amp;AV$36&amp;""&amp;" 0-19 años no debe ser mayor a la suma de los Rangos Etarios de 0-19 años. ",""))</f>
        <v/>
      </c>
      <c r="CF50" s="219">
        <f>IF(AND($N50+$O50+$P50+$Q50+$R50+$S50+$T50+$U50+$V50+$W50+$X50+$Y50+$Z50+$AA50+$AB50+$AC50+$AD50+$AE50+$AF50+$AG50+$AH50+$AI50&lt;&gt;0,AW50=""),"* No olvide ingresar la variable "&amp;AV$36&amp;""&amp;" 20 años y más. Digite CERO si no tiene.  ",IF(AW50&gt;$N50+$O50+$P50+$Q50+$R50+$S50+$T50+$U50+$V50+$W50+$X50+$Y50+$Z50+$AA50+$AB50+$AC50+$AD50+$AE50+$AF50+$AG50+$AH50+$AI50,"* La variable "&amp;AV$36&amp;""&amp;" 20 años y más no debe ser mayor a la suma de los Rangos Etarios de 20 y más años. ",""))</f>
        <v/>
      </c>
      <c r="CJ50" s="261">
        <f t="array" ref="CJ50">IF(AND($C50&lt;&gt;0,AJ50:AS50=""),1,0)</f>
        <v/>
      </c>
      <c r="CK50" s="378">
        <f>IF((AJ50+AK50+AL50+AM50+AN50+AO50+AP50+AQ50+AR50+AS50)&lt;$C50,1,0)</f>
        <v/>
      </c>
      <c r="CL50" s="916" t="n"/>
      <c r="CM50" s="916" t="n"/>
      <c r="CN50" s="378">
        <f>IF(AND($F50+$G50+$H50+$I50+$J50+$K50+$L50+$M50&lt;&gt;0,$AV50=""),1,IF($AV50&gt;$F50+$G50+$H50+$I50+$J50+$K50+$L50+$M50,1,0))</f>
        <v/>
      </c>
      <c r="CO50" s="378">
        <f>IF(AND($N50+$O50+$P50+$Q50+$R50+$S50+$T50+$U50+$V50+$W50+$X50+$Y50+$Z50+$AA50+$AB50+$AC50+$AD50+$AE50+$AF50+$AG50+$AH50+$AI50&lt;&gt;0,$AW50=""),1,IF($AW50&gt;$N50+$O50+$P50+$Q50+$R50+$S50+$T50+$U50+$V50+$W50+$X50+$Y50+$Z50+$AA50+$AB50+$AC50+$AD50+$AE50+$AF50+$AG50+$AH50+$AI50,1,0))</f>
        <v/>
      </c>
    </row>
    <row r="51" ht="15" customHeight="1" s="8286">
      <c r="A51" s="9621" t="n"/>
      <c r="B51" s="3218" t="inlineStr">
        <is>
          <t>Atención en Sala</t>
        </is>
      </c>
      <c r="C51" s="584">
        <f>SUM(D51:E51)</f>
        <v/>
      </c>
      <c r="D51" s="585">
        <f>+F51+H51+J51+L51+N51+P51+R51+T51+V51+X51+Z51+AB51+AD51+AF51+AH51</f>
        <v/>
      </c>
      <c r="E51" s="586">
        <f>+G51+I51+K51+M51+O51+Q51+S51+U51+W51+Y51+AA51+AC51+AE51+AG51+AI51</f>
        <v/>
      </c>
      <c r="F51" s="304" t="n"/>
      <c r="G51" s="561" t="n"/>
      <c r="H51" s="304" t="n"/>
      <c r="I51" s="561" t="n"/>
      <c r="J51" s="304" t="n"/>
      <c r="K51" s="561" t="n"/>
      <c r="L51" s="304" t="n"/>
      <c r="M51" s="561" t="n"/>
      <c r="N51" s="304" t="n"/>
      <c r="O51" s="561" t="n"/>
      <c r="P51" s="304" t="n"/>
      <c r="Q51" s="561" t="n"/>
      <c r="R51" s="304" t="n"/>
      <c r="S51" s="561" t="n"/>
      <c r="T51" s="304" t="n"/>
      <c r="U51" s="561" t="n"/>
      <c r="V51" s="304" t="n"/>
      <c r="W51" s="561" t="n"/>
      <c r="X51" s="304" t="n"/>
      <c r="Y51" s="561" t="n"/>
      <c r="Z51" s="304" t="n"/>
      <c r="AA51" s="561" t="n"/>
      <c r="AB51" s="304" t="n"/>
      <c r="AC51" s="561" t="n"/>
      <c r="AD51" s="304" t="n"/>
      <c r="AE51" s="561" t="n"/>
      <c r="AF51" s="304" t="n"/>
      <c r="AG51" s="561" t="n"/>
      <c r="AH51" s="304" t="n"/>
      <c r="AI51" s="561" t="n"/>
      <c r="AJ51" s="562" t="n"/>
      <c r="AK51" s="562" t="n"/>
      <c r="AL51" s="562" t="n"/>
      <c r="AM51" s="562" t="n"/>
      <c r="AN51" s="562" t="n"/>
      <c r="AO51" s="562" t="n"/>
      <c r="AP51" s="562" t="n"/>
      <c r="AQ51" s="562" t="n"/>
      <c r="AR51" s="562" t="n"/>
      <c r="AS51" s="562" t="n"/>
      <c r="AT51" s="587" t="n"/>
      <c r="AU51" s="588" t="n"/>
      <c r="AV51" s="563" t="n"/>
      <c r="AW51" s="565" t="n"/>
      <c r="AX51">
        <f>CA51&amp;CB51&amp;CC51&amp;CD51&amp;CE51&amp;CF51</f>
        <v/>
      </c>
      <c r="BU51">
        <f>IF(CJ51=1," * La suma de Atenciones por profesional no debe ser mayor al Total.","")</f>
        <v/>
      </c>
      <c r="CA51" s="260">
        <f t="array" ref="CA51">IF(AND($C51&lt;&gt;0,AJ51:AS51=""),"* No olvide ingresar la variable "&amp;AJ$36&amp;""&amp;". Digite CERO si no tiene. ","")</f>
        <v/>
      </c>
      <c r="CB51" s="219">
        <f>IF((AJ51+AK51+AL51+AM51+AN51+AO51+AP51+AQ51+AR51+AS51)&lt;$C51," * La suma del TOTAL Ambos Sexos no puede ser Mayor a la suma de las variables de "&amp;AJ$36&amp;""&amp;"","")</f>
        <v/>
      </c>
      <c r="CC51" s="919" t="n"/>
      <c r="CD51" s="919" t="n"/>
      <c r="CE51" s="219">
        <f>IF(AND($F51+$G51+$H51+$I51+$J51+$K51+$L51+$M51&lt;&gt;0,AV51=""),"* No olvide ingresar la variable "&amp;AV$36&amp;""&amp;" 0-19 años. Digite CERO si no tiene. ",IF(AV51&gt;$F51+$G51+$H51+$I51+$J51+$K51+$L51+$M51,"* La variable "&amp;AV$36&amp;""&amp;" 0-19 años no debe ser mayor a la suma de los Rangos Etarios de 0-19 años. ",""))</f>
        <v/>
      </c>
      <c r="CF51" s="219">
        <f>IF(AND($N51+$O51+$P51+$Q51+$R51+$S51+$T51+$U51+$V51+$W51+$X51+$Y51+$Z51+$AA51+$AB51+$AC51+$AD51+$AE51+$AF51+$AG51+$AH51+$AI51&lt;&gt;0,AW51=""),"* No olvide ingresar la variable "&amp;AV$36&amp;""&amp;" 20 años y más. Digite CERO si no tiene.  ",IF(AW51&gt;$N51+$O51+$P51+$Q51+$R51+$S51+$T51+$U51+$V51+$W51+$X51+$Y51+$Z51+$AA51+$AB51+$AC51+$AD51+$AE51+$AF51+$AG51+$AH51+$AI51,"* La variable "&amp;AV$36&amp;""&amp;" 20 años y más no debe ser mayor a la suma de los Rangos Etarios de 20 y más años. ",""))</f>
        <v/>
      </c>
      <c r="CJ51" s="261">
        <f t="array" ref="CJ51">IF(AND($C51&lt;&gt;0,AJ51:AS51=""),1,0)</f>
        <v/>
      </c>
      <c r="CK51" s="378">
        <f>IF((AJ51+AK51+AL51+AM51+AN51+AO51+AP51+AQ51+AR51+AS51)&lt;$C51,1,0)</f>
        <v/>
      </c>
      <c r="CL51" s="916" t="n"/>
      <c r="CM51" s="916" t="n"/>
      <c r="CN51" s="378">
        <f>IF(AND($F51+$G51+$H51+$I51+$J51+$K51+$L51+$M51&lt;&gt;0,$AV51=""),1,IF($AV51&gt;$F51+$G51+$H51+$I51+$J51+$K51+$L51+$M51,1,0))</f>
        <v/>
      </c>
      <c r="CO51" s="378">
        <f>IF(AND($N51+$O51+$P51+$Q51+$R51+$S51+$T51+$U51+$V51+$W51+$X51+$Y51+$Z51+$AA51+$AB51+$AC51+$AD51+$AE51+$AF51+$AG51+$AH51+$AI51&lt;&gt;0,$AW51=""),1,IF($AW51&gt;$N51+$O51+$P51+$Q51+$R51+$S51+$T51+$U51+$V51+$W51+$X51+$Y51+$Z51+$AA51+$AB51+$AC51+$AD51+$AE51+$AF51+$AG51+$AH51+$AI51,1,0))</f>
        <v/>
      </c>
    </row>
    <row r="52" ht="17.1" customHeight="1" s="8286">
      <c r="A52" s="249" t="inlineStr">
        <is>
          <t>SECCION C: EDUCACIÓN A USUARIOS/AS</t>
        </is>
      </c>
      <c r="B52" s="132" t="n"/>
      <c r="C52" s="132" t="n"/>
      <c r="D52" s="132" t="n"/>
      <c r="E52" s="132" t="n"/>
      <c r="F52" s="132" t="n"/>
      <c r="K52" s="132" t="n"/>
    </row>
    <row r="53" ht="15" customHeight="1" s="8286">
      <c r="A53" s="4568" t="inlineStr">
        <is>
          <t>Talleres</t>
        </is>
      </c>
      <c r="B53" s="9482" t="inlineStr">
        <is>
          <t>Modalidad</t>
        </is>
      </c>
      <c r="C53" s="4974" t="inlineStr">
        <is>
          <t>Nº de sesiones</t>
        </is>
      </c>
      <c r="D53" s="9401" t="inlineStr">
        <is>
          <t>Nº de participantes</t>
        </is>
      </c>
      <c r="K53" s="132" t="n"/>
    </row>
    <row r="54" ht="15" customHeight="1" s="8286">
      <c r="A54" s="9627" t="n"/>
      <c r="B54" s="4975" t="inlineStr">
        <is>
          <t>Modalidad remota</t>
        </is>
      </c>
      <c r="C54" s="4976" t="n"/>
      <c r="D54" s="4977" t="n"/>
      <c r="J54" s="132" t="n"/>
    </row>
    <row r="55" ht="15" customHeight="1" s="8286">
      <c r="A55" s="9627" t="n"/>
      <c r="B55" s="4978" t="inlineStr">
        <is>
          <t>Modalidad presencial</t>
        </is>
      </c>
      <c r="C55" s="4979" t="n"/>
      <c r="D55" s="4980" t="n"/>
      <c r="J55" s="132" t="n"/>
    </row>
    <row r="56" ht="15" customHeight="1" s="8286">
      <c r="A56" s="9621" t="n"/>
      <c r="B56" s="3927" t="inlineStr">
        <is>
          <t>Total</t>
        </is>
      </c>
      <c r="C56" s="4981">
        <f>SUM(C54:C55)</f>
        <v/>
      </c>
      <c r="D56" s="4982">
        <f>SUM(D54:D55)</f>
        <v/>
      </c>
      <c r="F56" s="133" t="n"/>
      <c r="G56" s="133" t="n"/>
      <c r="H56" s="133" t="n"/>
      <c r="I56" s="133" t="n"/>
      <c r="J56" s="133" t="n"/>
      <c r="K56" s="133" t="n"/>
      <c r="L56" s="133" t="n"/>
      <c r="M56" s="133" t="n"/>
      <c r="N56" s="133" t="n"/>
      <c r="O56" s="133" t="n"/>
      <c r="P56" s="133" t="n"/>
      <c r="Q56" s="133" t="n"/>
      <c r="R56" s="133" t="n"/>
      <c r="S56" s="133" t="n"/>
      <c r="T56" s="133" t="n"/>
      <c r="U56" s="133" t="n"/>
      <c r="V56" s="133" t="n"/>
      <c r="W56" s="133" t="n"/>
      <c r="X56" s="133" t="n"/>
      <c r="Y56" s="133" t="n"/>
      <c r="Z56" s="133" t="n"/>
      <c r="AA56" s="133" t="n"/>
      <c r="AB56" s="133" t="n"/>
      <c r="AC56" s="133" t="n"/>
      <c r="AD56" s="133" t="n"/>
      <c r="AE56" s="133" t="n"/>
      <c r="AF56" s="133" t="n"/>
      <c r="AG56" s="133" t="n"/>
      <c r="AH56" s="133" t="n"/>
      <c r="AI56" s="133" t="n"/>
      <c r="AJ56" s="133" t="n"/>
      <c r="AK56" s="133" t="n"/>
      <c r="AL56" s="133" t="n"/>
      <c r="AM56" s="133" t="n"/>
      <c r="AN56" s="133" t="n"/>
      <c r="AO56" s="133" t="n"/>
      <c r="AP56" s="133" t="n"/>
      <c r="AQ56" s="133" t="n"/>
      <c r="AR56" s="133" t="n"/>
      <c r="AS56" s="133" t="n"/>
      <c r="AT56" s="133" t="n"/>
      <c r="AU56" s="133" t="n"/>
      <c r="AV56" s="133" t="n"/>
      <c r="AW56" s="133" t="n"/>
      <c r="AX56" s="133" t="n"/>
      <c r="AY56" s="133" t="n"/>
      <c r="AZ56" s="133" t="n"/>
      <c r="BA56" s="133" t="n"/>
      <c r="BB56" s="133" t="n"/>
      <c r="BC56" s="133" t="n"/>
      <c r="BD56" s="133" t="n"/>
    </row>
    <row r="57" ht="17.1" customFormat="1" customHeight="1" s="133">
      <c r="A57" s="249" t="inlineStr">
        <is>
          <t>SECCION D: CAPACITACIONES DE EQUIPOS</t>
        </is>
      </c>
      <c r="G57" s="134" t="n"/>
      <c r="H57" s="589" t="n"/>
      <c r="I57" s="134" t="n"/>
      <c r="J57" s="134" t="n"/>
      <c r="K57" s="134" t="n"/>
      <c r="L57" s="134" t="n"/>
      <c r="M57" s="134" t="n"/>
      <c r="N57" s="134" t="n"/>
      <c r="O57" s="134" t="n"/>
      <c r="P57" s="134" t="n"/>
      <c r="Q57" s="134" t="n"/>
      <c r="R57" s="134" t="n"/>
      <c r="S57" s="134" t="n"/>
      <c r="T57" s="134" t="n"/>
      <c r="U57" s="134" t="n"/>
      <c r="V57" s="134" t="n"/>
      <c r="W57" s="134" t="n"/>
      <c r="X57" s="134" t="n"/>
      <c r="Y57" s="134" t="n"/>
      <c r="Z57" s="134" t="n"/>
      <c r="AA57" s="134" t="n"/>
      <c r="AB57" s="134" t="n"/>
      <c r="AC57" s="134" t="n"/>
      <c r="AD57" s="134" t="n"/>
      <c r="AE57" s="134" t="n"/>
      <c r="AF57" s="134" t="n"/>
      <c r="AG57" s="134" t="n"/>
      <c r="AH57" s="134" t="n"/>
      <c r="AI57" s="134" t="n"/>
      <c r="AJ57" s="134" t="n"/>
      <c r="AK57" s="134" t="n"/>
      <c r="AL57" s="134" t="n"/>
      <c r="AM57" s="134" t="n"/>
      <c r="AN57" s="134" t="n"/>
      <c r="AO57" s="134" t="n"/>
      <c r="AP57" s="134" t="n"/>
      <c r="AQ57" s="134" t="n"/>
      <c r="AR57" s="134" t="n"/>
      <c r="AS57" s="134" t="n"/>
      <c r="AT57" s="134" t="n"/>
      <c r="AU57" s="134" t="n"/>
      <c r="AV57" s="134" t="n"/>
      <c r="AW57" s="134" t="n"/>
      <c r="AX57" s="134" t="n"/>
      <c r="AY57" s="134" t="n"/>
      <c r="AZ57" s="134" t="n"/>
      <c r="BA57" s="134" t="n"/>
      <c r="BB57" s="134" t="n"/>
      <c r="BC57" s="134" t="n"/>
      <c r="BD57" s="134" t="n"/>
      <c r="BE57" s="134" t="n"/>
    </row>
    <row r="58" ht="14.25" customFormat="1" customHeight="1" s="134">
      <c r="A58" s="10702" t="inlineStr">
        <is>
          <t>CAPACITACIÓN</t>
        </is>
      </c>
      <c r="B58" s="10164" t="inlineStr">
        <is>
          <t>PARA NIVEL PRIMARIO</t>
        </is>
      </c>
      <c r="C58" s="9584" t="n"/>
      <c r="D58" s="9647" t="n"/>
      <c r="E58" s="10339" t="inlineStr">
        <is>
          <t>PARA NIVEL SECUNDARIO</t>
        </is>
      </c>
      <c r="F58" s="9582" t="n"/>
    </row>
    <row r="59" ht="27" customFormat="1" customHeight="1" s="134">
      <c r="A59" s="9609" t="n"/>
      <c r="B59" s="4983" t="inlineStr">
        <is>
          <t>Modalidad</t>
        </is>
      </c>
      <c r="C59" s="4984" t="inlineStr">
        <is>
          <t xml:space="preserve">Nº Sesiones </t>
        </is>
      </c>
      <c r="D59" s="4984" t="inlineStr">
        <is>
          <t xml:space="preserve">Nº Participantes </t>
        </is>
      </c>
      <c r="E59" s="4985" t="inlineStr">
        <is>
          <t xml:space="preserve">Nº Sesiones </t>
        </is>
      </c>
      <c r="F59" s="4986" t="inlineStr">
        <is>
          <t>Nº Participantes</t>
        </is>
      </c>
    </row>
    <row r="60" ht="14.25" customFormat="1" customHeight="1" s="134">
      <c r="A60" s="10683" t="inlineStr">
        <is>
          <t>Desde Especialidad</t>
        </is>
      </c>
      <c r="B60" s="4975" t="inlineStr">
        <is>
          <t>Modalidad Remota</t>
        </is>
      </c>
      <c r="C60" s="4987" t="n"/>
      <c r="D60" s="4988" t="n"/>
      <c r="E60" s="4989" t="n"/>
      <c r="F60" s="4977" t="n"/>
    </row>
    <row r="61" ht="14.25" customFormat="1" customHeight="1" s="134">
      <c r="A61" s="9698" t="n"/>
      <c r="B61" s="4978" t="inlineStr">
        <is>
          <t>Modalidad Presencial</t>
        </is>
      </c>
      <c r="C61" s="4990" t="n"/>
      <c r="D61" s="4991" t="n"/>
      <c r="E61" s="4992" t="n"/>
      <c r="F61" s="4980" t="n"/>
    </row>
    <row r="62" ht="14.25" customFormat="1" customHeight="1" s="134">
      <c r="A62" s="10683" t="inlineStr">
        <is>
          <t>Desde APS</t>
        </is>
      </c>
      <c r="B62" s="4966" t="inlineStr">
        <is>
          <t>Modalidad Remota</t>
        </is>
      </c>
      <c r="C62" s="4987" t="n"/>
      <c r="D62" s="4988" t="n"/>
      <c r="E62" s="4993" t="n"/>
      <c r="F62" s="4994" t="n"/>
    </row>
    <row r="63" ht="14.25" customFormat="1" customHeight="1" s="134">
      <c r="A63" s="9698" t="n"/>
      <c r="B63" s="4978" t="inlineStr">
        <is>
          <t>Modalidad Presencial</t>
        </is>
      </c>
      <c r="C63" s="4990" t="n"/>
      <c r="D63" s="4991" t="n"/>
      <c r="E63" s="4995" t="n"/>
      <c r="F63" s="4996" t="n"/>
    </row>
    <row r="64" ht="14.25" customFormat="1" customHeight="1" s="134">
      <c r="A64" s="10683" t="inlineStr">
        <is>
          <t>Desde Servicio de Salud</t>
        </is>
      </c>
      <c r="B64" s="4975" t="inlineStr">
        <is>
          <t>Modalidad Remota</t>
        </is>
      </c>
      <c r="C64" s="4987" t="n"/>
      <c r="D64" s="4988" t="n"/>
      <c r="E64" s="4989" t="n"/>
      <c r="F64" s="4977" t="n"/>
      <c r="BD64" s="17" t="n"/>
      <c r="BE64" s="17" t="n"/>
    </row>
    <row r="65" ht="14.25" customFormat="1" customHeight="1" s="17">
      <c r="A65" s="9698" t="n"/>
      <c r="B65" s="3927" t="inlineStr">
        <is>
          <t>Modalidad Presencial</t>
        </is>
      </c>
      <c r="C65" s="4990" t="n"/>
      <c r="D65" s="4991" t="n"/>
      <c r="E65" s="4997" t="n"/>
      <c r="F65" s="4980" t="n"/>
      <c r="G65" s="134" t="n"/>
      <c r="H65" s="134" t="n"/>
      <c r="I65" s="134" t="n"/>
      <c r="J65" s="134" t="n"/>
      <c r="K65" s="134" t="n"/>
      <c r="L65" s="134" t="n"/>
      <c r="M65" s="134" t="n"/>
      <c r="N65" s="134" t="n"/>
      <c r="O65" s="134" t="n"/>
      <c r="P65" s="134" t="n"/>
      <c r="Q65" s="134" t="n"/>
      <c r="R65" s="134" t="n"/>
      <c r="S65" s="134" t="n"/>
      <c r="T65" s="134" t="n"/>
      <c r="U65" s="134" t="n"/>
      <c r="V65" s="134" t="n"/>
      <c r="W65" s="134" t="n"/>
      <c r="X65" s="134" t="n"/>
      <c r="Y65" s="134" t="n"/>
      <c r="Z65" s="134" t="n"/>
      <c r="AA65" s="134" t="n"/>
      <c r="AB65" s="134" t="n"/>
      <c r="AC65" s="134" t="n"/>
      <c r="AD65" s="134" t="n"/>
      <c r="AE65" s="134" t="n"/>
      <c r="AF65" s="134" t="n"/>
      <c r="AG65" s="134" t="n"/>
      <c r="AH65" s="134" t="n"/>
      <c r="AI65" s="134" t="n"/>
      <c r="AJ65" s="134" t="n"/>
      <c r="AK65" s="134" t="n"/>
      <c r="AL65" s="134" t="n"/>
      <c r="AM65" s="134" t="n"/>
      <c r="AN65" s="134" t="n"/>
      <c r="AO65" s="134" t="n"/>
      <c r="AP65" s="134" t="n"/>
      <c r="AQ65" s="134" t="n"/>
      <c r="AR65" s="134" t="n"/>
      <c r="AS65" s="134" t="n"/>
      <c r="AT65" s="134" t="n"/>
      <c r="AU65" s="134" t="n"/>
      <c r="AV65" s="134" t="n"/>
      <c r="AW65" s="134" t="n"/>
      <c r="AX65" s="134" t="n"/>
      <c r="AY65" s="134" t="n"/>
      <c r="AZ65" s="134" t="n"/>
      <c r="BA65" s="134" t="n"/>
      <c r="BB65" s="134" t="n"/>
      <c r="BC65" s="134" t="n"/>
      <c r="BD65" s="134" t="n"/>
      <c r="BE65" s="134" t="n"/>
    </row>
    <row r="66" ht="14.25" customFormat="1" customHeight="1" s="134">
      <c r="A66" s="10683" t="inlineStr">
        <is>
          <t>Desde MINSAL</t>
        </is>
      </c>
      <c r="B66" s="4975" t="inlineStr">
        <is>
          <t>Modalidad Remota</t>
        </is>
      </c>
      <c r="C66" s="4987" t="n"/>
      <c r="D66" s="4988" t="n"/>
      <c r="E66" s="4989" t="n"/>
      <c r="F66" s="4977" t="n"/>
    </row>
    <row r="67" ht="14.25" customFormat="1" customHeight="1" s="134">
      <c r="A67" s="9698" t="n"/>
      <c r="B67" s="4978" t="inlineStr">
        <is>
          <t>Modalidad Presencial</t>
        </is>
      </c>
      <c r="C67" s="4990" t="n"/>
      <c r="D67" s="4991" t="n"/>
      <c r="E67" s="4997" t="n"/>
      <c r="F67" s="4980" t="n"/>
    </row>
    <row r="68" ht="17.1" customFormat="1" customHeight="1" s="134">
      <c r="A68" s="249" t="inlineStr">
        <is>
          <t>SECCION E: COMITÉS CUIDADOS PALIATIVOS</t>
        </is>
      </c>
      <c r="C68" s="589" t="n"/>
      <c r="D68" s="589" t="n"/>
      <c r="E68" s="589" t="n"/>
      <c r="F68" s="589" t="n"/>
      <c r="G68" s="589" t="n"/>
      <c r="I68" s="589" t="n"/>
    </row>
    <row r="69" ht="14.25" customFormat="1" customHeight="1" s="134">
      <c r="A69" s="10702" t="inlineStr">
        <is>
          <t>COMITÉS</t>
        </is>
      </c>
      <c r="B69" s="10703" t="inlineStr">
        <is>
          <t>TOTAL COMITE REALIZADOS</t>
        </is>
      </c>
      <c r="C69" s="9725" t="n"/>
      <c r="D69" s="9725" t="n"/>
      <c r="E69" s="9725" t="n"/>
      <c r="F69" s="9725" t="n"/>
      <c r="G69" s="10031" t="n"/>
      <c r="H69" s="10339" t="inlineStr">
        <is>
          <t>TOTAL Nº DE CASOS REVISADOS</t>
        </is>
      </c>
      <c r="I69" s="9584" t="n"/>
      <c r="J69" s="9584" t="n"/>
      <c r="K69" s="9582" t="n"/>
      <c r="L69" s="9462" t="n"/>
      <c r="M69" s="9462" t="n"/>
    </row>
    <row r="70" ht="26.25" customFormat="1" customHeight="1" s="134">
      <c r="A70" s="9727" t="n"/>
      <c r="B70" s="10704" t="inlineStr">
        <is>
          <t xml:space="preserve">Coordinación internivel </t>
        </is>
      </c>
      <c r="C70" s="9726" t="n"/>
      <c r="D70" s="10705" t="inlineStr">
        <is>
          <t>Coordinación Exclusivo Nivel Primario</t>
        </is>
      </c>
      <c r="E70" s="9726" t="n"/>
      <c r="F70" s="10705" t="inlineStr">
        <is>
          <t>Coordinación Exclusivo Nivel Secundario</t>
        </is>
      </c>
      <c r="G70" s="9726" t="n"/>
      <c r="H70" s="10706" t="inlineStr">
        <is>
          <t>Hombres</t>
        </is>
      </c>
      <c r="I70" s="10034" t="n"/>
      <c r="J70" s="10706" t="inlineStr">
        <is>
          <t>Mujeres</t>
        </is>
      </c>
      <c r="K70" s="10034" t="n"/>
      <c r="L70" s="17" t="n"/>
      <c r="M70" s="17" t="n"/>
    </row>
    <row r="71" ht="24.75" customFormat="1" customHeight="1" s="134">
      <c r="A71" s="9609" t="n"/>
      <c r="B71" s="4998" t="inlineStr">
        <is>
          <t>Modalidad Remota</t>
        </is>
      </c>
      <c r="C71" s="694" t="inlineStr">
        <is>
          <t>Modalidad Presencial</t>
        </is>
      </c>
      <c r="D71" s="590" t="inlineStr">
        <is>
          <t>Modalidad Remota</t>
        </is>
      </c>
      <c r="E71" s="4999" t="inlineStr">
        <is>
          <t>Modalidad Presencial</t>
        </is>
      </c>
      <c r="F71" s="590" t="inlineStr">
        <is>
          <t>Modalidad Remota</t>
        </is>
      </c>
      <c r="G71" s="4999" t="inlineStr">
        <is>
          <t>Modalidad Presencial</t>
        </is>
      </c>
      <c r="H71" s="591" t="inlineStr">
        <is>
          <t>0 a 19 años</t>
        </is>
      </c>
      <c r="I71" s="9481" t="inlineStr">
        <is>
          <t>20 y más años</t>
        </is>
      </c>
      <c r="J71" s="591" t="inlineStr">
        <is>
          <t>0 a 19 años</t>
        </is>
      </c>
      <c r="K71" s="9481" t="inlineStr">
        <is>
          <t>20 y más años</t>
        </is>
      </c>
      <c r="L71" s="17" t="n"/>
      <c r="M71" s="17" t="n"/>
    </row>
    <row r="72" ht="14.25" customFormat="1" customHeight="1" s="134">
      <c r="A72" s="4966" t="inlineStr">
        <is>
          <t>Cuidados Paliativos Oncológico</t>
        </is>
      </c>
      <c r="B72" s="5000" t="n"/>
      <c r="C72" s="592" t="n"/>
      <c r="D72" s="5001" t="n"/>
      <c r="E72" s="4994" t="n"/>
      <c r="F72" s="593" t="n"/>
      <c r="G72" s="594" t="n"/>
      <c r="H72" s="593" t="n"/>
      <c r="I72" s="594" t="n"/>
      <c r="J72" s="2102" t="n"/>
      <c r="K72" s="5000" t="n"/>
      <c r="L72" s="17" t="n"/>
      <c r="M72" s="17" t="n"/>
    </row>
    <row r="73" ht="14.25" customFormat="1" customHeight="1" s="134">
      <c r="A73" s="3927" t="inlineStr">
        <is>
          <t>Cuidados Paliativos Universales</t>
        </is>
      </c>
      <c r="B73" s="595" t="n"/>
      <c r="C73" s="596" t="n"/>
      <c r="D73" s="597" t="n"/>
      <c r="E73" s="595" t="n"/>
      <c r="F73" s="597" t="n"/>
      <c r="G73" s="595" t="n"/>
      <c r="H73" s="597" t="n"/>
      <c r="I73" s="595" t="n"/>
      <c r="J73" s="598" t="n"/>
      <c r="K73" s="595" t="n"/>
      <c r="L73" s="17" t="n"/>
      <c r="M73" s="17" t="n"/>
    </row>
    <row r="74" ht="14.25" customFormat="1" customHeight="1" s="134">
      <c r="A74" s="599" t="inlineStr">
        <is>
          <t>Total Comités</t>
        </is>
      </c>
      <c r="B74" s="600">
        <f>SUM(B72:B73)</f>
        <v/>
      </c>
      <c r="C74" s="600">
        <f>SUM(C72:C73)</f>
        <v/>
      </c>
      <c r="D74" s="601">
        <f>SUM(D72:D73)</f>
        <v/>
      </c>
      <c r="E74" s="602">
        <f>SUM(E72:E73)</f>
        <v/>
      </c>
      <c r="F74" s="601">
        <f>SUM(F72:F73)</f>
        <v/>
      </c>
      <c r="G74" s="602">
        <f>SUM(G72:G73)</f>
        <v/>
      </c>
      <c r="H74" s="601">
        <f>SUM(H72:H73)</f>
        <v/>
      </c>
      <c r="I74" s="602">
        <f>SUM(I72:I73)</f>
        <v/>
      </c>
      <c r="J74" s="603">
        <f>SUM(J72:J73)</f>
        <v/>
      </c>
      <c r="K74" s="602">
        <f>SUM(K72:K73)</f>
        <v/>
      </c>
      <c r="L74" s="17" t="n"/>
      <c r="M74" s="17" t="n"/>
    </row>
    <row r="75" customFormat="1" s="134"/>
    <row r="76" ht="15.75" customHeight="1" s="8286"/>
    <row r="77" ht="15.75" customHeight="1" s="8286"/>
    <row r="78" ht="15.75" customHeight="1" s="8286"/>
    <row r="79" ht="15.75" customHeight="1" s="8286"/>
    <row r="80" ht="15.75" customHeight="1" s="8286"/>
    <row r="81" ht="15.75" customHeight="1" s="8286"/>
    <row r="82" ht="15.75" customHeight="1" s="8286"/>
    <row r="83" ht="15.75" customHeight="1" s="8286"/>
    <row r="84" ht="15.75" customHeight="1" s="8286"/>
    <row r="85" ht="15.75" customHeight="1" s="8286"/>
    <row r="86" ht="15.75" customHeight="1" s="8286"/>
    <row r="87" ht="15.75" customHeight="1" s="8286"/>
    <row r="88" ht="15.75" customHeight="1" s="8286"/>
    <row r="89" ht="15.75" customHeight="1" s="8286"/>
    <row r="90" ht="15.75" customHeight="1" s="8286"/>
    <row r="91" ht="15.75" customHeight="1" s="8286"/>
    <row r="92" ht="15.75" customHeight="1" s="8286"/>
    <row r="93" ht="15.75" customHeight="1" s="8286"/>
    <row r="94" ht="15.75" customHeight="1" s="8286"/>
    <row r="95" ht="15.75" customHeight="1" s="8286"/>
    <row r="96" ht="15.75" customHeight="1" s="8286"/>
    <row r="97" ht="15.75" customHeight="1" s="8286"/>
    <row r="98" ht="15.75" customHeight="1" s="8286"/>
    <row r="99" ht="15.75" customHeight="1" s="8286"/>
    <row r="100" ht="15.75" customHeight="1" s="8286"/>
    <row r="101" hidden="1" ht="15.75" customHeight="1" s="8286">
      <c r="A101" s="68">
        <f>SUM(D12:D34,C39:C51,C54:D55,C60:F67,B72:K73)</f>
        <v/>
      </c>
      <c r="B101" s="68">
        <f>SUM(CI12:CO51)</f>
        <v/>
      </c>
    </row>
    <row r="102" ht="15.75" customHeight="1" s="8286"/>
    <row r="103" ht="15.75" customHeight="1" s="8286"/>
    <row r="104" ht="15.75" customHeight="1" s="8286"/>
    <row r="105" ht="15.75" customHeight="1" s="8286"/>
    <row r="106" ht="15.75" customHeight="1" s="8286"/>
    <row r="107" ht="15.75" customHeight="1" s="8286"/>
    <row r="108" ht="15.75" customHeight="1" s="8286"/>
    <row r="109" ht="15.75" customHeight="1" s="8286"/>
    <row r="110" ht="15.75" customHeight="1" s="8286"/>
    <row r="111" ht="15.75" customHeight="1" s="8286"/>
    <row r="112" ht="15.75" customHeight="1" s="8286"/>
    <row r="113" ht="15.75" customHeight="1" s="8286"/>
    <row r="114" ht="15.75" customHeight="1" s="8286"/>
    <row r="115" ht="15.75" customHeight="1" s="8286"/>
    <row r="116" ht="15.75" customHeight="1" s="8286"/>
    <row r="117" ht="15.75" customHeight="1" s="8286"/>
    <row r="118" ht="15.75" customHeight="1" s="8286"/>
    <row r="119" ht="15.75" customHeight="1" s="8286"/>
    <row r="120" ht="15.75" customHeight="1" s="8286"/>
    <row r="121" ht="15.75" customHeight="1" s="8286"/>
    <row r="122" ht="15.75" customHeight="1" s="8286"/>
    <row r="123" ht="15.75" customHeight="1" s="8286"/>
    <row r="124" ht="15.75" customHeight="1" s="8286"/>
    <row r="125" ht="15.75" customHeight="1" s="8286"/>
    <row r="126" ht="15.75" customHeight="1" s="8286"/>
    <row r="127" ht="15.75" customHeight="1" s="8286"/>
    <row r="128" ht="15.75" customHeight="1" s="8286"/>
    <row r="129" ht="15.75" customHeight="1" s="8286"/>
    <row r="130" ht="15.75" customHeight="1" s="8286"/>
    <row r="131" ht="15.75" customHeight="1" s="8286"/>
    <row r="132" ht="15.75" customHeight="1" s="8286"/>
    <row r="133" ht="15.75" customHeight="1" s="8286"/>
    <row r="134" ht="15.75" customHeight="1" s="8286"/>
    <row r="135" ht="15.75" customHeight="1" s="8286"/>
    <row r="136" ht="15.75" customHeight="1" s="8286"/>
    <row r="137" ht="15.75" customHeight="1" s="8286"/>
    <row r="138" ht="15.75" customHeight="1" s="8286"/>
    <row r="139" ht="15.75" customHeight="1" s="8286"/>
    <row r="140" ht="15.75" customHeight="1" s="8286"/>
    <row r="141" ht="15.75" customHeight="1" s="8286"/>
    <row r="142" ht="15.75" customHeight="1" s="8286"/>
    <row r="143" ht="15.75" customHeight="1" s="8286"/>
    <row r="144" ht="15.75" customHeight="1" s="8286"/>
    <row r="145" ht="15.75" customHeight="1" s="8286"/>
    <row r="146" ht="15.75" customHeight="1" s="8286"/>
    <row r="147" ht="15.75" customHeight="1" s="8286"/>
    <row r="148" ht="15.75" customHeight="1" s="8286"/>
    <row r="149" ht="15.75" customHeight="1" s="8286"/>
    <row r="150" ht="15.75" customHeight="1" s="8286"/>
    <row r="151" ht="15.75" customHeight="1" s="8286"/>
    <row r="152" ht="15.75" customHeight="1" s="8286"/>
    <row r="153" ht="15.75" customHeight="1" s="8286"/>
    <row r="154" ht="15.75" customHeight="1" s="8286"/>
    <row r="155" ht="15.75" customHeight="1" s="8286"/>
    <row r="156" ht="15.75" customHeight="1" s="8286"/>
    <row r="157" ht="15.75" customHeight="1" s="8286"/>
    <row r="158" ht="15.75" customHeight="1" s="8286"/>
    <row r="159" ht="15.75" customHeight="1" s="8286"/>
    <row r="160" ht="15.75" customHeight="1" s="8286"/>
    <row r="161" ht="15.75" customHeight="1" s="8286"/>
    <row r="162" ht="15.75" customHeight="1" s="8286"/>
    <row r="163" ht="15.75" customHeight="1" s="8286"/>
    <row r="164" ht="15.75" customHeight="1" s="8286"/>
    <row r="165" ht="15.75" customHeight="1" s="8286"/>
    <row r="166" ht="15.75" customHeight="1" s="8286"/>
    <row r="167" ht="15.75" customHeight="1" s="8286"/>
    <row r="168" ht="15.75" customHeight="1" s="8286"/>
    <row r="169" ht="15.75" customHeight="1" s="8286"/>
    <row r="170" ht="15.75" customHeight="1" s="8286"/>
    <row r="171" ht="15.75" customHeight="1" s="8286"/>
    <row r="172" ht="15.75" customHeight="1" s="8286"/>
    <row r="173" ht="15.75" customHeight="1" s="8286"/>
    <row r="174" ht="15.75" customHeight="1" s="8286"/>
    <row r="175" ht="15.75" customHeight="1" s="8286"/>
    <row r="176" ht="15.75" customHeight="1" s="8286"/>
    <row r="177" ht="15.75" customHeight="1" s="8286"/>
    <row r="178" ht="15.75" customHeight="1" s="8286"/>
    <row r="179" ht="15.75" customHeight="1" s="8286"/>
    <row r="180" ht="15.75" customHeight="1" s="8286"/>
    <row r="181" ht="15.75" customHeight="1" s="8286"/>
    <row r="182" ht="15.75" customHeight="1" s="8286"/>
    <row r="183" ht="15.75" customHeight="1" s="8286"/>
    <row r="184" ht="15.75" customHeight="1" s="8286"/>
    <row r="185" ht="15.75" customHeight="1" s="8286"/>
    <row r="186" ht="15.75" customHeight="1" s="8286"/>
    <row r="187" ht="15.75" customHeight="1" s="8286"/>
    <row r="188" ht="15.75" customHeight="1" s="8286"/>
    <row r="189" ht="15.75" customHeight="1" s="8286"/>
    <row r="190" ht="15.75" customHeight="1" s="8286"/>
    <row r="191" ht="15.75" customHeight="1" s="8286"/>
    <row r="192" ht="15.75" customHeight="1" s="8286"/>
    <row r="193" ht="15.75" customHeight="1" s="8286"/>
    <row r="194" ht="15.75" customHeight="1" s="8286"/>
    <row r="195" ht="15.75" customHeight="1" s="8286"/>
    <row r="196" ht="15.75" customHeight="1" s="8286"/>
    <row r="197" ht="15.75" customHeight="1" s="8286"/>
    <row r="198" ht="15.75" customHeight="1" s="8286"/>
    <row r="199" ht="15.75" customHeight="1" s="8286"/>
    <row r="200" ht="15.75" customHeight="1" s="8286"/>
    <row r="201" ht="15.75" customHeight="1" s="8286"/>
    <row r="202" ht="15.75" customHeight="1" s="8286"/>
    <row r="203" ht="15.75" customHeight="1" s="8286"/>
    <row r="204" ht="15.75" customHeight="1" s="8286"/>
    <row r="205" ht="15.75" customHeight="1" s="8286"/>
    <row r="206" ht="15.75" customHeight="1" s="8286"/>
    <row r="207" ht="15.75" customHeight="1" s="8286"/>
    <row r="208" ht="15.75" customHeight="1" s="8286"/>
    <row r="209" ht="15.75" customHeight="1" s="8286"/>
    <row r="210" ht="15.75" customHeight="1" s="8286"/>
    <row r="211" ht="15.75" customHeight="1" s="8286"/>
    <row r="212" ht="15.75" customHeight="1" s="8286"/>
    <row r="213" ht="15.75" customHeight="1" s="8286"/>
    <row r="214" ht="15.75" customHeight="1" s="8286"/>
    <row r="215" ht="15.75" customHeight="1" s="8286"/>
    <row r="216" ht="15.75" customHeight="1" s="8286"/>
    <row r="217" ht="15.75" customHeight="1" s="8286"/>
    <row r="218" ht="15.75" customHeight="1" s="8286"/>
    <row r="219" ht="15.75" customHeight="1" s="8286"/>
    <row r="220" ht="15.75" customHeight="1" s="8286"/>
    <row r="221" ht="15.75" customHeight="1" s="8286"/>
    <row r="222" ht="15.75" customHeight="1" s="8286"/>
    <row r="223" ht="15.75" customHeight="1" s="8286"/>
    <row r="224" ht="15.75" customHeight="1" s="8286"/>
    <row r="225" ht="15.75" customHeight="1" s="8286"/>
    <row r="226" ht="15.75" customHeight="1" s="8286"/>
    <row r="227" ht="15.75" customHeight="1" s="8286"/>
    <row r="228" ht="15.75" customHeight="1" s="8286"/>
    <row r="229" ht="15.75" customHeight="1" s="8286"/>
    <row r="230" ht="15.75" customHeight="1" s="8286"/>
    <row r="231" ht="15.75" customHeight="1" s="8286"/>
    <row r="232" ht="15.75" customHeight="1" s="8286"/>
    <row r="233" ht="15.75" customHeight="1" s="8286"/>
    <row r="234" ht="15.75" customHeight="1" s="8286"/>
    <row r="235" ht="15.75" customHeight="1" s="8286"/>
    <row r="236" ht="15.75" customHeight="1" s="8286"/>
    <row r="237" ht="15.75" customHeight="1" s="8286"/>
    <row r="238" ht="15.75" customHeight="1" s="8286"/>
    <row r="239" ht="15.75" customHeight="1" s="8286"/>
    <row r="240" ht="15.75" customHeight="1" s="8286"/>
    <row r="241" ht="15.75" customHeight="1" s="8286"/>
    <row r="242" ht="15.75" customHeight="1" s="8286"/>
    <row r="243" ht="15.75" customHeight="1" s="8286"/>
    <row r="244" ht="15.75" customHeight="1" s="8286"/>
    <row r="245" ht="15.75" customHeight="1" s="8286"/>
    <row r="246" ht="15.75" customHeight="1" s="8286"/>
    <row r="247" ht="15.75" customHeight="1" s="8286"/>
    <row r="248" ht="15.75" customHeight="1" s="8286"/>
    <row r="249" ht="15.75" customHeight="1" s="8286"/>
    <row r="250" ht="15.75" customHeight="1" s="8286"/>
    <row r="251" ht="15.75" customHeight="1" s="8286"/>
    <row r="252" ht="15.75" customHeight="1" s="8286"/>
    <row r="253" ht="15.75" customHeight="1" s="8286"/>
    <row r="254" ht="15.75" customHeight="1" s="8286"/>
    <row r="255" ht="15.75" customHeight="1" s="8286"/>
    <row r="256" ht="15.75" customHeight="1" s="8286"/>
    <row r="257" ht="15.75" customHeight="1" s="8286"/>
    <row r="258" ht="15.75" customHeight="1" s="8286"/>
    <row r="259" ht="15.75" customHeight="1" s="8286"/>
    <row r="260" ht="15.75" customHeight="1" s="8286"/>
    <row r="261" ht="15.75" customHeight="1" s="8286"/>
    <row r="262" ht="15.75" customHeight="1" s="8286"/>
    <row r="263" ht="15.75" customHeight="1" s="8286"/>
    <row r="264" ht="15.75" customHeight="1" s="8286"/>
    <row r="265" ht="15.75" customHeight="1" s="8286"/>
    <row r="266" ht="15.75" customHeight="1" s="8286"/>
    <row r="267" ht="15.75" customHeight="1" s="8286"/>
    <row r="268" ht="15.75" customHeight="1" s="8286"/>
    <row r="269" ht="15.75" customHeight="1" s="8286"/>
    <row r="270" ht="15.75" customHeight="1" s="8286"/>
    <row r="271" ht="15.75" customHeight="1" s="8286"/>
    <row r="272" ht="15.75" customHeight="1" s="8286"/>
    <row r="273" ht="15.75" customHeight="1" s="8286"/>
    <row r="274" ht="15.75" customHeight="1" s="8286"/>
    <row r="275" ht="15.75" customHeight="1" s="8286"/>
    <row r="276" ht="15.75" customHeight="1" s="8286"/>
    <row r="277" ht="15.75" customHeight="1" s="8286"/>
    <row r="278" ht="15.75" customHeight="1" s="8286"/>
    <row r="279" ht="15.75" customHeight="1" s="8286"/>
    <row r="280" ht="15.75" customHeight="1" s="8286"/>
    <row r="281" ht="15.75" customHeight="1" s="8286"/>
    <row r="282" ht="15.75" customHeight="1" s="8286"/>
    <row r="283" ht="15.75" customHeight="1" s="8286"/>
    <row r="284" ht="15.75" customHeight="1" s="8286"/>
    <row r="285" ht="15.75" customHeight="1" s="8286"/>
    <row r="286" ht="15.75" customHeight="1" s="8286"/>
    <row r="287" ht="15.75" customHeight="1" s="8286"/>
    <row r="288" ht="15.75" customHeight="1" s="8286"/>
    <row r="289" ht="15.75" customHeight="1" s="8286"/>
    <row r="290" ht="15.75" customHeight="1" s="8286"/>
    <row r="291" ht="15.75" customHeight="1" s="8286"/>
    <row r="292" ht="15.75" customHeight="1" s="8286"/>
    <row r="293" ht="15.75" customHeight="1" s="8286"/>
    <row r="294" ht="15.75" customHeight="1" s="8286"/>
    <row r="295" ht="15.75" customHeight="1" s="8286"/>
    <row r="296" ht="15.75" customHeight="1" s="8286"/>
    <row r="297" ht="15.75" customHeight="1" s="8286"/>
    <row r="298" ht="15.75" customHeight="1" s="8286"/>
    <row r="299" ht="15.75" customHeight="1" s="8286"/>
    <row r="300" ht="15.75" customHeight="1" s="8286"/>
    <row r="301" ht="15.75" customHeight="1" s="8286"/>
    <row r="302" ht="15.75" customHeight="1" s="8286"/>
    <row r="303" ht="15.75" customHeight="1" s="8286"/>
    <row r="304" ht="15.75" customHeight="1" s="8286"/>
    <row r="305" ht="15.75" customHeight="1" s="8286"/>
    <row r="306" ht="15.75" customHeight="1" s="8286"/>
    <row r="307" ht="15.75" customHeight="1" s="8286"/>
    <row r="308" ht="15.75" customHeight="1" s="8286"/>
    <row r="309" ht="15.75" customHeight="1" s="8286"/>
    <row r="310" ht="15.75" customHeight="1" s="8286"/>
    <row r="311" ht="15.75" customHeight="1" s="8286"/>
    <row r="312" ht="15.75" customHeight="1" s="8286"/>
    <row r="313" ht="15.75" customHeight="1" s="8286"/>
    <row r="314" ht="15.75" customHeight="1" s="8286"/>
    <row r="315" ht="15.75" customHeight="1" s="8286"/>
    <row r="316" ht="15.75" customHeight="1" s="8286"/>
    <row r="317" ht="15.75" customHeight="1" s="8286"/>
    <row r="318" ht="15.75" customHeight="1" s="8286"/>
    <row r="319" ht="15.75" customHeight="1" s="8286"/>
    <row r="320" ht="15.75" customHeight="1" s="8286"/>
    <row r="321" ht="15.75" customHeight="1" s="8286"/>
    <row r="322" ht="15.75" customHeight="1" s="8286"/>
    <row r="323" ht="15.75" customHeight="1" s="8286"/>
    <row r="324" ht="15.75" customHeight="1" s="8286"/>
    <row r="325" ht="15.75" customHeight="1" s="8286"/>
    <row r="326" ht="15.75" customHeight="1" s="8286"/>
    <row r="327" ht="15.75" customHeight="1" s="8286"/>
    <row r="328" ht="15.75" customHeight="1" s="8286"/>
    <row r="329" ht="15.75" customHeight="1" s="8286"/>
    <row r="330" ht="15.75" customHeight="1" s="8286"/>
    <row r="331" ht="15.75" customHeight="1" s="8286"/>
    <row r="332" ht="15.75" customHeight="1" s="8286"/>
    <row r="333" ht="15.75" customHeight="1" s="8286"/>
    <row r="334" ht="15.75" customHeight="1" s="8286"/>
    <row r="335" ht="15.75" customHeight="1" s="8286"/>
    <row r="336" ht="15.75" customHeight="1" s="8286"/>
    <row r="337" ht="15.75" customHeight="1" s="8286"/>
    <row r="338" ht="15.75" customHeight="1" s="8286"/>
    <row r="339" ht="15.75" customHeight="1" s="8286"/>
    <row r="340" ht="15.75" customHeight="1" s="8286"/>
    <row r="341" ht="15.75" customHeight="1" s="8286"/>
    <row r="342" ht="15.75" customHeight="1" s="8286"/>
    <row r="343" ht="15.75" customHeight="1" s="8286"/>
    <row r="344" ht="15.75" customHeight="1" s="8286"/>
    <row r="345" ht="15.75" customHeight="1" s="8286"/>
    <row r="346" ht="15.75" customHeight="1" s="8286"/>
    <row r="347" ht="15.75" customHeight="1" s="8286"/>
    <row r="348" ht="15.75" customHeight="1" s="8286"/>
    <row r="349" ht="15.75" customHeight="1" s="8286"/>
    <row r="350" ht="15.75" customHeight="1" s="8286"/>
    <row r="351" ht="15.75" customHeight="1" s="8286"/>
    <row r="352" ht="15.75" customHeight="1" s="8286"/>
    <row r="353" ht="15.75" customHeight="1" s="8286"/>
    <row r="354" ht="15.75" customHeight="1" s="8286"/>
    <row r="355" ht="15.75" customHeight="1" s="8286"/>
    <row r="356" ht="15.75" customHeight="1" s="8286"/>
    <row r="357" ht="15.75" customHeight="1" s="8286"/>
    <row r="358" ht="15.75" customHeight="1" s="8286"/>
    <row r="359" ht="15.75" customHeight="1" s="8286"/>
    <row r="360" ht="15.75" customHeight="1" s="8286"/>
    <row r="361" ht="15.75" customHeight="1" s="8286"/>
    <row r="362" ht="15.75" customHeight="1" s="8286"/>
    <row r="363" ht="15.75" customHeight="1" s="8286"/>
    <row r="364" ht="15.75" customHeight="1" s="8286"/>
    <row r="365" ht="15.75" customHeight="1" s="8286"/>
    <row r="366" ht="15.75" customHeight="1" s="8286"/>
    <row r="367" ht="15.75" customHeight="1" s="8286"/>
    <row r="368" ht="15.75" customHeight="1" s="8286"/>
    <row r="369" ht="15.75" customHeight="1" s="8286"/>
    <row r="370" ht="15.75" customHeight="1" s="8286"/>
    <row r="371" ht="15.75" customHeight="1" s="8286"/>
    <row r="372" ht="15.75" customHeight="1" s="8286"/>
    <row r="373" ht="15.75" customHeight="1" s="8286"/>
    <row r="374" ht="15.75" customHeight="1" s="8286"/>
    <row r="375" ht="15.75" customHeight="1" s="8286"/>
    <row r="376" ht="15.75" customHeight="1" s="8286"/>
    <row r="377" ht="15.75" customHeight="1" s="8286"/>
    <row r="378" ht="15.75" customHeight="1" s="8286"/>
    <row r="379" ht="15.75" customHeight="1" s="8286"/>
    <row r="380" ht="15.75" customHeight="1" s="8286"/>
    <row r="381" ht="15.75" customHeight="1" s="8286"/>
    <row r="382" ht="15.75" customHeight="1" s="8286"/>
    <row r="383" ht="15.75" customHeight="1" s="8286"/>
    <row r="384" ht="15.75" customHeight="1" s="8286"/>
    <row r="385" ht="15.75" customHeight="1" s="8286"/>
    <row r="386" ht="15.75" customHeight="1" s="8286"/>
    <row r="387" ht="15.75" customHeight="1" s="8286"/>
    <row r="388" ht="15.75" customHeight="1" s="8286"/>
    <row r="389" ht="15.75" customHeight="1" s="8286"/>
    <row r="390" ht="15.75" customHeight="1" s="8286"/>
    <row r="391" ht="15.75" customHeight="1" s="8286"/>
    <row r="392" ht="15.75" customHeight="1" s="8286"/>
    <row r="393" ht="15.75" customHeight="1" s="8286"/>
    <row r="394" ht="15.75" customHeight="1" s="8286"/>
    <row r="395" ht="15.75" customHeight="1" s="8286"/>
    <row r="396" ht="15.75" customHeight="1" s="8286"/>
    <row r="397" ht="15.75" customHeight="1" s="8286"/>
    <row r="398" ht="15.75" customHeight="1" s="8286"/>
    <row r="399" ht="15.75" customHeight="1" s="8286"/>
    <row r="400" ht="15.75" customHeight="1" s="8286"/>
    <row r="401" ht="15.75" customHeight="1" s="8286"/>
    <row r="402" ht="15.75" customHeight="1" s="8286"/>
    <row r="403" ht="15.75" customHeight="1" s="8286"/>
    <row r="404" ht="15.75" customHeight="1" s="8286"/>
    <row r="405" ht="15.75" customHeight="1" s="8286"/>
    <row r="406" ht="15.75" customHeight="1" s="8286"/>
    <row r="407" ht="15.75" customHeight="1" s="8286"/>
    <row r="408" ht="15.75" customHeight="1" s="8286"/>
    <row r="409" ht="15.75" customHeight="1" s="8286"/>
    <row r="410" ht="15.75" customHeight="1" s="8286"/>
    <row r="411" ht="15.75" customHeight="1" s="8286"/>
    <row r="412" ht="15.75" customHeight="1" s="8286"/>
    <row r="413" ht="15.75" customHeight="1" s="8286"/>
    <row r="414" ht="15.75" customHeight="1" s="8286"/>
    <row r="415" ht="15.75" customHeight="1" s="8286"/>
    <row r="416" ht="15.75" customHeight="1" s="8286"/>
    <row r="417" ht="15.75" customHeight="1" s="8286"/>
    <row r="418" ht="15.75" customHeight="1" s="8286"/>
    <row r="419" ht="15.75" customHeight="1" s="8286"/>
    <row r="420" ht="15.75" customHeight="1" s="8286"/>
    <row r="421" ht="15.75" customHeight="1" s="8286"/>
    <row r="422" ht="15.75" customHeight="1" s="8286"/>
    <row r="423" ht="15.75" customHeight="1" s="8286"/>
    <row r="424" ht="15.75" customHeight="1" s="8286"/>
    <row r="425" ht="15.75" customHeight="1" s="8286"/>
    <row r="426" ht="15.75" customHeight="1" s="8286"/>
    <row r="427" ht="15.75" customHeight="1" s="8286"/>
    <row r="428" ht="15.75" customHeight="1" s="8286"/>
    <row r="429" ht="15.75" customHeight="1" s="8286"/>
    <row r="430" ht="15.75" customHeight="1" s="8286"/>
    <row r="431" ht="15.75" customHeight="1" s="8286"/>
    <row r="432" ht="15.75" customHeight="1" s="8286"/>
    <row r="433" ht="15.75" customHeight="1" s="8286"/>
    <row r="434" ht="15.75" customHeight="1" s="8286"/>
    <row r="435" ht="15.75" customHeight="1" s="8286"/>
    <row r="436" ht="15.75" customHeight="1" s="8286"/>
    <row r="437" ht="15.75" customHeight="1" s="8286"/>
    <row r="438" ht="15.75" customHeight="1" s="8286"/>
    <row r="439" ht="15.75" customHeight="1" s="8286"/>
    <row r="440" ht="15.75" customHeight="1" s="8286"/>
    <row r="441" ht="15.75" customHeight="1" s="8286"/>
    <row r="442" ht="15.75" customHeight="1" s="8286"/>
    <row r="443" ht="15.75" customHeight="1" s="8286"/>
    <row r="444" ht="15.75" customHeight="1" s="8286"/>
    <row r="445" ht="15.75" customHeight="1" s="8286"/>
    <row r="446" ht="15.75" customHeight="1" s="8286"/>
    <row r="447" ht="15.75" customHeight="1" s="8286"/>
    <row r="448" ht="15.75" customHeight="1" s="8286"/>
    <row r="449" ht="15.75" customHeight="1" s="8286"/>
    <row r="450" ht="15.75" customHeight="1" s="8286"/>
    <row r="451" ht="15.75" customHeight="1" s="8286"/>
    <row r="452" ht="15.75" customHeight="1" s="8286"/>
    <row r="453" ht="15.75" customHeight="1" s="8286"/>
    <row r="454" ht="15.75" customHeight="1" s="8286"/>
    <row r="455" ht="15.75" customHeight="1" s="8286"/>
    <row r="456" ht="15.75" customHeight="1" s="8286"/>
    <row r="457" ht="15.75" customHeight="1" s="8286"/>
    <row r="458" ht="15.75" customHeight="1" s="8286"/>
    <row r="459" ht="15.75" customHeight="1" s="8286"/>
    <row r="460" ht="15.75" customHeight="1" s="8286"/>
    <row r="461" ht="15.75" customHeight="1" s="8286"/>
    <row r="462" ht="15.75" customHeight="1" s="8286"/>
    <row r="463" ht="15.75" customHeight="1" s="8286"/>
    <row r="464" ht="15.75" customHeight="1" s="8286"/>
    <row r="465" ht="15.75" customHeight="1" s="8286"/>
    <row r="466" ht="15.75" customHeight="1" s="8286"/>
    <row r="467" ht="15.75" customHeight="1" s="8286"/>
    <row r="468" ht="15.75" customHeight="1" s="8286"/>
    <row r="469" ht="15.75" customHeight="1" s="8286"/>
    <row r="470" ht="15.75" customHeight="1" s="8286"/>
    <row r="471" ht="15.75" customHeight="1" s="8286"/>
    <row r="472" ht="15.75" customHeight="1" s="8286"/>
    <row r="473" ht="15.75" customHeight="1" s="8286"/>
    <row r="474" ht="15.75" customHeight="1" s="8286"/>
    <row r="475" ht="15.75" customHeight="1" s="8286"/>
    <row r="476" ht="15.75" customHeight="1" s="8286"/>
    <row r="477" ht="15.75" customHeight="1" s="8286"/>
    <row r="478" ht="15.75" customHeight="1" s="8286"/>
    <row r="479" ht="15.75" customHeight="1" s="8286"/>
    <row r="480" ht="15.75" customHeight="1" s="8286"/>
    <row r="481" ht="15.75" customHeight="1" s="8286"/>
    <row r="482" ht="15.75" customHeight="1" s="8286"/>
    <row r="483" ht="15.75" customHeight="1" s="8286"/>
    <row r="484" ht="15.75" customHeight="1" s="8286"/>
    <row r="485" ht="15.75" customHeight="1" s="8286"/>
    <row r="486" ht="15.75" customHeight="1" s="8286"/>
    <row r="487" ht="15.75" customHeight="1" s="8286"/>
    <row r="488" ht="15.75" customHeight="1" s="8286"/>
    <row r="489" ht="15.75" customHeight="1" s="8286"/>
    <row r="490" ht="15.75" customHeight="1" s="8286"/>
    <row r="491" ht="15.75" customHeight="1" s="8286"/>
    <row r="492" ht="15.75" customHeight="1" s="8286"/>
    <row r="493" ht="15.75" customHeight="1" s="8286"/>
    <row r="494" ht="15.75" customHeight="1" s="8286"/>
    <row r="495" ht="15.75" customHeight="1" s="8286"/>
    <row r="496" ht="15.75" customHeight="1" s="8286"/>
    <row r="497" ht="15.75" customHeight="1" s="8286"/>
    <row r="498" ht="15.75" customHeight="1" s="8286"/>
    <row r="499" ht="15.75" customHeight="1" s="8286"/>
    <row r="500" ht="15.75" customHeight="1" s="8286"/>
    <row r="501" ht="15.75" customHeight="1" s="8286"/>
    <row r="502" ht="15.75" customHeight="1" s="8286"/>
    <row r="503" ht="15.75" customHeight="1" s="8286"/>
    <row r="504" ht="15.75" customHeight="1" s="8286"/>
    <row r="505" ht="15.75" customHeight="1" s="8286"/>
    <row r="506" ht="15.75" customHeight="1" s="8286"/>
    <row r="507" ht="15.75" customHeight="1" s="8286"/>
    <row r="508" ht="15.75" customHeight="1" s="8286"/>
    <row r="509" ht="15.75" customHeight="1" s="8286"/>
    <row r="510" ht="15.75" customHeight="1" s="8286"/>
    <row r="511" ht="15.75" customHeight="1" s="8286"/>
    <row r="512" ht="15.75" customHeight="1" s="8286"/>
    <row r="513" ht="15.75" customHeight="1" s="8286"/>
    <row r="514" ht="15.75" customHeight="1" s="8286"/>
    <row r="515" ht="15.75" customHeight="1" s="8286"/>
    <row r="516" ht="15.75" customHeight="1" s="8286"/>
    <row r="517" ht="15.75" customHeight="1" s="8286"/>
    <row r="518" ht="15.75" customHeight="1" s="8286"/>
    <row r="519" ht="15.75" customHeight="1" s="8286"/>
    <row r="520" ht="15.75" customHeight="1" s="8286"/>
    <row r="521" ht="15.75" customHeight="1" s="8286"/>
    <row r="522" ht="15.75" customHeight="1" s="8286"/>
    <row r="523" ht="15.75" customHeight="1" s="8286"/>
    <row r="524" ht="15.75" customHeight="1" s="8286"/>
    <row r="525" ht="15.75" customHeight="1" s="8286"/>
    <row r="526" ht="15.75" customHeight="1" s="8286"/>
    <row r="527" ht="15.75" customHeight="1" s="8286"/>
    <row r="528" ht="15.75" customHeight="1" s="8286"/>
    <row r="529" ht="15.75" customHeight="1" s="8286"/>
    <row r="530" ht="15.75" customHeight="1" s="8286"/>
    <row r="531" ht="15.75" customHeight="1" s="8286"/>
    <row r="532" ht="15.75" customHeight="1" s="8286"/>
    <row r="533" ht="15.75" customHeight="1" s="8286"/>
    <row r="534" ht="15.75" customHeight="1" s="8286"/>
    <row r="535" ht="15.75" customHeight="1" s="8286"/>
    <row r="536" ht="15.75" customHeight="1" s="8286"/>
    <row r="537" ht="15.75" customHeight="1" s="8286"/>
    <row r="538" ht="15.75" customHeight="1" s="8286"/>
    <row r="539" ht="15.75" customHeight="1" s="8286"/>
    <row r="540" ht="15.75" customHeight="1" s="8286"/>
    <row r="541" ht="15.75" customHeight="1" s="8286"/>
    <row r="542" ht="15.75" customHeight="1" s="8286"/>
    <row r="543" ht="15.75" customHeight="1" s="8286"/>
    <row r="544" ht="15.75" customHeight="1" s="8286"/>
    <row r="545" ht="15.75" customHeight="1" s="8286"/>
    <row r="546" ht="15.75" customHeight="1" s="8286"/>
    <row r="547" ht="15.75" customHeight="1" s="8286"/>
    <row r="548" ht="15.75" customHeight="1" s="8286"/>
    <row r="549" ht="15.75" customHeight="1" s="8286"/>
    <row r="550" ht="15.75" customHeight="1" s="8286"/>
    <row r="551" ht="15.75" customHeight="1" s="8286"/>
    <row r="552" ht="15.75" customHeight="1" s="8286"/>
    <row r="553" ht="15.75" customHeight="1" s="8286"/>
    <row r="554" ht="15.75" customHeight="1" s="8286"/>
    <row r="555" ht="15.75" customHeight="1" s="8286"/>
    <row r="556" ht="15.75" customHeight="1" s="8286"/>
    <row r="557" ht="15.75" customHeight="1" s="8286"/>
    <row r="558" ht="15.75" customHeight="1" s="8286"/>
    <row r="559" ht="15.75" customHeight="1" s="8286"/>
    <row r="560" ht="15.75" customHeight="1" s="8286"/>
    <row r="561" ht="15.75" customHeight="1" s="8286"/>
    <row r="562" ht="15.75" customHeight="1" s="8286"/>
    <row r="563" ht="15.75" customHeight="1" s="8286"/>
    <row r="564" ht="15.75" customHeight="1" s="8286"/>
    <row r="565" ht="15.75" customHeight="1" s="8286"/>
    <row r="566" ht="15.75" customHeight="1" s="8286"/>
    <row r="567" ht="15.75" customHeight="1" s="8286"/>
    <row r="568" ht="15.75" customHeight="1" s="8286"/>
    <row r="569" ht="15.75" customHeight="1" s="8286"/>
    <row r="570" ht="15.75" customHeight="1" s="8286"/>
    <row r="571" ht="15.75" customHeight="1" s="8286"/>
    <row r="572" ht="15.75" customHeight="1" s="8286"/>
    <row r="573" ht="15.75" customHeight="1" s="8286"/>
    <row r="574" ht="15.75" customHeight="1" s="8286"/>
    <row r="575" ht="15.75" customHeight="1" s="8286"/>
    <row r="576" ht="15.75" customHeight="1" s="8286"/>
    <row r="577" ht="15.75" customHeight="1" s="8286"/>
    <row r="578" ht="15.75" customHeight="1" s="8286"/>
    <row r="579" ht="15.75" customHeight="1" s="8286"/>
    <row r="580" ht="15.75" customHeight="1" s="8286"/>
    <row r="581" ht="15.75" customHeight="1" s="8286"/>
    <row r="582" ht="15.75" customHeight="1" s="8286"/>
    <row r="583" ht="15.75" customHeight="1" s="8286"/>
    <row r="584" ht="15.75" customHeight="1" s="8286"/>
    <row r="585" ht="15.75" customHeight="1" s="8286"/>
    <row r="586" ht="15.75" customHeight="1" s="8286"/>
    <row r="587" ht="15.75" customHeight="1" s="8286"/>
    <row r="588" ht="15.75" customHeight="1" s="8286"/>
    <row r="589" ht="15.75" customHeight="1" s="8286"/>
    <row r="590" ht="15.75" customHeight="1" s="8286"/>
    <row r="591" ht="15.75" customHeight="1" s="8286"/>
    <row r="592" ht="15.75" customHeight="1" s="8286"/>
    <row r="593" ht="15.75" customHeight="1" s="8286"/>
    <row r="594" ht="15.75" customHeight="1" s="8286"/>
    <row r="595" ht="15.75" customHeight="1" s="8286"/>
    <row r="596" ht="15.75" customHeight="1" s="8286"/>
    <row r="597" ht="15.75" customHeight="1" s="8286"/>
    <row r="598" ht="15.75" customHeight="1" s="8286"/>
    <row r="599" ht="15.75" customHeight="1" s="8286"/>
    <row r="600" ht="15.75" customHeight="1" s="8286"/>
    <row r="601" ht="15.75" customHeight="1" s="8286"/>
    <row r="602" ht="15.75" customHeight="1" s="8286"/>
    <row r="603" ht="15.75" customHeight="1" s="8286"/>
    <row r="604" ht="15.75" customHeight="1" s="8286"/>
    <row r="605" ht="15.75" customHeight="1" s="8286"/>
    <row r="606" ht="15.75" customHeight="1" s="8286"/>
    <row r="607" ht="15.75" customHeight="1" s="8286"/>
    <row r="608" ht="15.75" customHeight="1" s="8286"/>
    <row r="609" ht="15.75" customHeight="1" s="8286"/>
    <row r="610" ht="15.75" customHeight="1" s="8286"/>
    <row r="611" ht="15.75" customHeight="1" s="8286"/>
    <row r="612" ht="15.75" customHeight="1" s="8286"/>
    <row r="613" ht="15.75" customHeight="1" s="8286"/>
    <row r="614" ht="15.75" customHeight="1" s="8286"/>
    <row r="615" ht="15.75" customHeight="1" s="8286"/>
    <row r="616" ht="15.75" customHeight="1" s="8286"/>
    <row r="617" ht="15.75" customHeight="1" s="8286"/>
    <row r="618" ht="15.75" customHeight="1" s="8286"/>
    <row r="619" ht="15.75" customHeight="1" s="8286"/>
    <row r="620" ht="15.75" customHeight="1" s="8286"/>
    <row r="621" ht="15.75" customHeight="1" s="8286"/>
    <row r="622" ht="15.75" customHeight="1" s="8286"/>
    <row r="623" ht="15.75" customHeight="1" s="8286"/>
    <row r="624" ht="15.75" customHeight="1" s="8286"/>
    <row r="625" ht="15.75" customHeight="1" s="8286"/>
    <row r="626" ht="15.75" customHeight="1" s="8286"/>
    <row r="627" ht="15.75" customHeight="1" s="8286"/>
    <row r="628" ht="15.75" customHeight="1" s="8286"/>
    <row r="629" ht="15.75" customHeight="1" s="8286"/>
    <row r="630" ht="15.75" customHeight="1" s="8286"/>
    <row r="631" ht="15.75" customHeight="1" s="8286"/>
    <row r="632" ht="15.75" customHeight="1" s="8286"/>
    <row r="633" ht="15.75" customHeight="1" s="8286"/>
    <row r="634" ht="15.75" customHeight="1" s="8286"/>
    <row r="635" ht="15.75" customHeight="1" s="8286"/>
    <row r="636" ht="15.75" customHeight="1" s="8286"/>
    <row r="637" ht="15.75" customHeight="1" s="8286"/>
    <row r="638" ht="15.75" customHeight="1" s="8286"/>
    <row r="639" ht="15.75" customHeight="1" s="8286"/>
    <row r="640" ht="15.75" customHeight="1" s="8286"/>
    <row r="641" ht="15.75" customHeight="1" s="8286"/>
    <row r="642" ht="15.75" customHeight="1" s="8286"/>
    <row r="643" ht="15.75" customHeight="1" s="8286"/>
    <row r="644" ht="15.75" customHeight="1" s="8286"/>
    <row r="645" ht="15.75" customHeight="1" s="8286"/>
    <row r="646" ht="15.75" customHeight="1" s="8286"/>
    <row r="647" ht="15.75" customHeight="1" s="8286"/>
    <row r="648" ht="15.75" customHeight="1" s="8286"/>
    <row r="649" ht="15.75" customHeight="1" s="8286"/>
    <row r="650" ht="15.75" customHeight="1" s="8286"/>
    <row r="651" ht="15.75" customHeight="1" s="8286"/>
    <row r="652" ht="15.75" customHeight="1" s="8286"/>
    <row r="653" ht="15.75" customHeight="1" s="8286"/>
    <row r="654" ht="15.75" customHeight="1" s="8286"/>
    <row r="655" ht="15.75" customHeight="1" s="8286"/>
    <row r="656" ht="15.75" customHeight="1" s="8286"/>
    <row r="657" ht="15.75" customHeight="1" s="8286"/>
    <row r="658" ht="15.75" customHeight="1" s="8286"/>
    <row r="659" ht="15.75" customHeight="1" s="8286"/>
    <row r="660" ht="15.75" customHeight="1" s="8286"/>
    <row r="661" ht="15.75" customHeight="1" s="8286"/>
    <row r="662" ht="15.75" customHeight="1" s="8286"/>
    <row r="663" ht="15.75" customHeight="1" s="8286"/>
    <row r="664" ht="15.75" customHeight="1" s="8286"/>
    <row r="665" ht="15.75" customHeight="1" s="8286"/>
    <row r="666" ht="15.75" customHeight="1" s="8286"/>
    <row r="667" ht="15.75" customHeight="1" s="8286"/>
    <row r="668" ht="15.75" customHeight="1" s="8286"/>
    <row r="669" ht="15.75" customHeight="1" s="8286"/>
    <row r="670" ht="15.75" customHeight="1" s="8286"/>
    <row r="671" ht="15.75" customHeight="1" s="8286"/>
    <row r="672" ht="15.75" customHeight="1" s="8286"/>
    <row r="673" ht="15.75" customHeight="1" s="8286"/>
    <row r="674" ht="15.75" customHeight="1" s="8286"/>
    <row r="675" ht="15.75" customHeight="1" s="8286"/>
    <row r="676" ht="15.75" customHeight="1" s="8286"/>
    <row r="677" ht="15.75" customHeight="1" s="8286"/>
    <row r="678" ht="15.75" customHeight="1" s="8286"/>
    <row r="679" ht="15.75" customHeight="1" s="8286"/>
    <row r="680" ht="15.75" customHeight="1" s="8286"/>
    <row r="681" ht="15.75" customHeight="1" s="8286"/>
    <row r="682" ht="15.75" customHeight="1" s="8286"/>
    <row r="683" ht="15.75" customHeight="1" s="8286"/>
    <row r="684" ht="15.75" customHeight="1" s="8286"/>
    <row r="685" ht="15.75" customHeight="1" s="8286"/>
    <row r="686" ht="15.75" customHeight="1" s="8286"/>
    <row r="687" ht="15.75" customHeight="1" s="8286"/>
    <row r="688" ht="15.75" customHeight="1" s="8286"/>
    <row r="689" ht="15.75" customHeight="1" s="8286"/>
    <row r="690" ht="15.75" customHeight="1" s="8286"/>
    <row r="691" ht="15.75" customHeight="1" s="8286"/>
    <row r="692" ht="15.75" customHeight="1" s="8286"/>
    <row r="693" ht="15.75" customHeight="1" s="8286"/>
    <row r="694" ht="15.75" customHeight="1" s="8286"/>
    <row r="695" ht="15.75" customHeight="1" s="8286"/>
    <row r="696" ht="15.75" customHeight="1" s="8286"/>
    <row r="697" ht="15.75" customHeight="1" s="8286"/>
    <row r="698" ht="15.75" customHeight="1" s="8286"/>
    <row r="699" ht="15.75" customHeight="1" s="8286"/>
    <row r="700" ht="15.75" customHeight="1" s="8286"/>
    <row r="701" ht="15.75" customHeight="1" s="8286"/>
    <row r="702" ht="15.75" customHeight="1" s="8286"/>
    <row r="703" ht="15.75" customHeight="1" s="8286"/>
    <row r="704" ht="15.75" customHeight="1" s="8286"/>
    <row r="705" ht="15.75" customHeight="1" s="8286"/>
    <row r="706" ht="15.75" customHeight="1" s="8286"/>
    <row r="707" ht="15.75" customHeight="1" s="8286"/>
    <row r="708" ht="15.75" customHeight="1" s="8286"/>
    <row r="709" ht="15.75" customHeight="1" s="8286"/>
    <row r="710" ht="15.75" customHeight="1" s="8286"/>
    <row r="711" ht="15.75" customHeight="1" s="8286"/>
    <row r="712" ht="15.75" customHeight="1" s="8286"/>
    <row r="713" ht="15.75" customHeight="1" s="8286"/>
    <row r="714" ht="15.75" customHeight="1" s="8286"/>
    <row r="715" ht="15.75" customHeight="1" s="8286"/>
    <row r="716" ht="15.75" customHeight="1" s="8286"/>
    <row r="717" ht="15.75" customHeight="1" s="8286"/>
    <row r="718" ht="15.75" customHeight="1" s="8286"/>
    <row r="719" ht="15.75" customHeight="1" s="8286"/>
    <row r="720" ht="15.75" customHeight="1" s="8286"/>
    <row r="721" ht="15.75" customHeight="1" s="8286"/>
    <row r="722" ht="15.75" customHeight="1" s="8286"/>
    <row r="723" ht="15.75" customHeight="1" s="8286"/>
    <row r="724" ht="15.75" customHeight="1" s="8286"/>
    <row r="725" ht="15.75" customHeight="1" s="8286"/>
    <row r="726" ht="15.75" customHeight="1" s="8286"/>
    <row r="727" ht="15.75" customHeight="1" s="8286"/>
    <row r="728" ht="15.75" customHeight="1" s="8286"/>
    <row r="729" ht="15.75" customHeight="1" s="8286"/>
    <row r="730" ht="15.75" customHeight="1" s="8286"/>
    <row r="731" ht="15.75" customHeight="1" s="8286"/>
    <row r="732" ht="15.75" customHeight="1" s="8286"/>
    <row r="733" ht="15.75" customHeight="1" s="8286"/>
    <row r="734" ht="15.75" customHeight="1" s="8286"/>
    <row r="735" ht="15.75" customHeight="1" s="8286"/>
    <row r="736" ht="15.75" customHeight="1" s="8286"/>
    <row r="737" ht="15.75" customHeight="1" s="8286"/>
    <row r="738" ht="15.75" customHeight="1" s="8286"/>
    <row r="739" ht="15.75" customHeight="1" s="8286"/>
    <row r="740" ht="15.75" customHeight="1" s="8286"/>
    <row r="741" ht="15.75" customHeight="1" s="8286"/>
    <row r="742" ht="15.75" customHeight="1" s="8286"/>
    <row r="743" ht="15.75" customHeight="1" s="8286"/>
    <row r="744" ht="15.75" customHeight="1" s="8286"/>
    <row r="745" ht="15.75" customHeight="1" s="8286"/>
    <row r="746" ht="15.75" customHeight="1" s="8286"/>
    <row r="747" ht="15.75" customHeight="1" s="8286"/>
    <row r="748" ht="15.75" customHeight="1" s="8286"/>
    <row r="749" ht="15.75" customHeight="1" s="8286"/>
    <row r="750" ht="15.75" customHeight="1" s="8286"/>
    <row r="751" ht="15.75" customHeight="1" s="8286"/>
    <row r="752" ht="15.75" customHeight="1" s="8286"/>
    <row r="753" ht="15.75" customHeight="1" s="8286"/>
    <row r="754" ht="15.75" customHeight="1" s="8286"/>
    <row r="755" ht="15.75" customHeight="1" s="8286"/>
    <row r="756" ht="15.75" customHeight="1" s="8286"/>
    <row r="757" ht="15.75" customHeight="1" s="8286"/>
    <row r="758" ht="15.75" customHeight="1" s="8286"/>
    <row r="759" ht="15.75" customHeight="1" s="8286"/>
    <row r="760" ht="15.75" customHeight="1" s="8286"/>
    <row r="761" ht="15.75" customHeight="1" s="8286"/>
    <row r="762" ht="15.75" customHeight="1" s="8286"/>
    <row r="763" ht="15.75" customHeight="1" s="8286"/>
    <row r="764" ht="15.75" customHeight="1" s="8286"/>
    <row r="765" ht="15.75" customHeight="1" s="8286"/>
    <row r="766" ht="15.75" customHeight="1" s="8286"/>
    <row r="767" ht="15.75" customHeight="1" s="8286"/>
    <row r="768" ht="15.75" customHeight="1" s="8286"/>
    <row r="769" ht="15.75" customHeight="1" s="8286"/>
    <row r="770" ht="15.75" customHeight="1" s="8286"/>
    <row r="771" ht="15.75" customHeight="1" s="8286"/>
    <row r="772" ht="15.75" customHeight="1" s="8286"/>
    <row r="773" ht="15.75" customHeight="1" s="8286"/>
    <row r="774" ht="15.75" customHeight="1" s="8286"/>
    <row r="775" ht="15.75" customHeight="1" s="8286"/>
    <row r="776" ht="15.75" customHeight="1" s="8286"/>
    <row r="777" ht="15.75" customHeight="1" s="8286"/>
    <row r="778" ht="15.75" customHeight="1" s="8286"/>
    <row r="779" ht="15.75" customHeight="1" s="8286"/>
    <row r="780" ht="15.75" customHeight="1" s="8286"/>
    <row r="781" ht="15.75" customHeight="1" s="8286"/>
    <row r="782" ht="15.75" customHeight="1" s="8286"/>
    <row r="783" ht="15.75" customHeight="1" s="8286"/>
    <row r="784" ht="15.75" customHeight="1" s="8286"/>
    <row r="785" ht="15.75" customHeight="1" s="8286"/>
    <row r="786" ht="15.75" customHeight="1" s="8286"/>
    <row r="787" ht="15.75" customHeight="1" s="8286"/>
    <row r="788" ht="15.75" customHeight="1" s="8286"/>
    <row r="789" ht="15.75" customHeight="1" s="8286"/>
    <row r="790" ht="15.75" customHeight="1" s="8286"/>
    <row r="791" ht="15.75" customHeight="1" s="8286"/>
    <row r="792" ht="15.75" customHeight="1" s="8286"/>
    <row r="793" ht="15.75" customHeight="1" s="8286"/>
    <row r="794" ht="15.75" customHeight="1" s="8286"/>
    <row r="795" ht="15.75" customHeight="1" s="8286"/>
    <row r="796" ht="15.75" customHeight="1" s="8286"/>
    <row r="797" ht="15.75" customHeight="1" s="8286"/>
    <row r="798" ht="15.75" customHeight="1" s="8286"/>
    <row r="799" ht="15.75" customHeight="1" s="8286"/>
    <row r="800" ht="15.75" customHeight="1" s="8286"/>
    <row r="801" ht="15.75" customHeight="1" s="8286"/>
    <row r="802" ht="15.75" customHeight="1" s="8286"/>
    <row r="803" ht="15.75" customHeight="1" s="8286"/>
    <row r="804" ht="15.75" customHeight="1" s="8286"/>
    <row r="805" ht="15.75" customHeight="1" s="8286"/>
    <row r="806" ht="15.75" customHeight="1" s="8286"/>
    <row r="807" ht="15.75" customHeight="1" s="8286"/>
    <row r="808" ht="15.75" customHeight="1" s="8286"/>
    <row r="809" ht="15.75" customHeight="1" s="8286"/>
    <row r="810" ht="15.75" customHeight="1" s="8286"/>
    <row r="811" ht="15.75" customHeight="1" s="8286"/>
    <row r="812" ht="15.75" customHeight="1" s="8286"/>
    <row r="813" ht="15.75" customHeight="1" s="8286"/>
    <row r="814" ht="15.75" customHeight="1" s="8286"/>
    <row r="815" ht="15.75" customHeight="1" s="8286"/>
    <row r="816" ht="15.75" customHeight="1" s="8286"/>
    <row r="817" ht="15.75" customHeight="1" s="8286"/>
    <row r="818" ht="15.75" customHeight="1" s="8286"/>
    <row r="819" ht="15.75" customHeight="1" s="8286"/>
    <row r="820" ht="15.75" customHeight="1" s="8286"/>
    <row r="821" ht="15.75" customHeight="1" s="8286"/>
    <row r="822" ht="15.75" customHeight="1" s="8286"/>
    <row r="823" ht="15.75" customHeight="1" s="8286"/>
    <row r="824" ht="15.75" customHeight="1" s="8286"/>
    <row r="825" ht="15.75" customHeight="1" s="8286"/>
    <row r="826" ht="15.75" customHeight="1" s="8286"/>
    <row r="827" ht="15.75" customHeight="1" s="8286"/>
    <row r="828" ht="15.75" customHeight="1" s="8286"/>
    <row r="829" ht="15.75" customHeight="1" s="8286"/>
    <row r="830" ht="15.75" customHeight="1" s="8286"/>
    <row r="831" ht="15.75" customHeight="1" s="8286"/>
    <row r="832" ht="15.75" customHeight="1" s="8286"/>
    <row r="833" ht="15.75" customHeight="1" s="8286"/>
    <row r="834" ht="15.75" customHeight="1" s="8286"/>
    <row r="835" ht="15.75" customHeight="1" s="8286"/>
    <row r="836" ht="15.75" customHeight="1" s="8286"/>
    <row r="837" ht="15.75" customHeight="1" s="8286"/>
    <row r="838" ht="15.75" customHeight="1" s="8286"/>
    <row r="839" ht="15.75" customHeight="1" s="8286"/>
    <row r="840" ht="15.75" customHeight="1" s="8286"/>
    <row r="841" ht="15.75" customHeight="1" s="8286"/>
    <row r="842" ht="15.75" customHeight="1" s="8286"/>
    <row r="843" ht="15.75" customHeight="1" s="8286"/>
    <row r="844" ht="15.75" customHeight="1" s="8286"/>
    <row r="845" ht="15.75" customHeight="1" s="8286"/>
    <row r="846" ht="15.75" customHeight="1" s="8286"/>
    <row r="847" ht="15.75" customHeight="1" s="8286"/>
    <row r="848" ht="15.75" customHeight="1" s="8286"/>
    <row r="849" ht="15.75" customHeight="1" s="8286"/>
    <row r="850" ht="15.75" customHeight="1" s="8286"/>
    <row r="851" ht="15.75" customHeight="1" s="8286"/>
    <row r="852" ht="15.75" customHeight="1" s="8286"/>
    <row r="853" ht="15.75" customHeight="1" s="8286"/>
    <row r="854" ht="15.75" customHeight="1" s="8286"/>
    <row r="855" ht="15.75" customHeight="1" s="8286"/>
    <row r="856" ht="15.75" customHeight="1" s="8286"/>
    <row r="857" ht="15.75" customHeight="1" s="8286"/>
    <row r="858" ht="15.75" customHeight="1" s="8286"/>
    <row r="859" ht="15.75" customHeight="1" s="8286"/>
    <row r="860" ht="15.75" customHeight="1" s="8286"/>
    <row r="861" ht="15.75" customHeight="1" s="8286"/>
    <row r="862" ht="15.75" customHeight="1" s="8286"/>
    <row r="863" ht="15.75" customHeight="1" s="8286"/>
    <row r="864" ht="15.75" customHeight="1" s="8286"/>
    <row r="865" ht="15.75" customHeight="1" s="8286"/>
    <row r="866" ht="15.75" customHeight="1" s="8286"/>
    <row r="867" ht="15.75" customHeight="1" s="8286"/>
    <row r="868" ht="15.75" customHeight="1" s="8286"/>
    <row r="869" ht="15.75" customHeight="1" s="8286"/>
    <row r="870" ht="15.75" customHeight="1" s="8286"/>
    <row r="871" ht="15.75" customHeight="1" s="8286"/>
    <row r="872" ht="15.75" customHeight="1" s="8286"/>
    <row r="873" ht="15.75" customHeight="1" s="8286"/>
    <row r="874" ht="15.75" customHeight="1" s="8286"/>
    <row r="875" ht="15.75" customHeight="1" s="8286"/>
    <row r="876" ht="15.75" customHeight="1" s="8286"/>
    <row r="877" ht="15.75" customHeight="1" s="8286"/>
    <row r="878" ht="15.75" customHeight="1" s="8286"/>
    <row r="879" ht="15.75" customHeight="1" s="8286"/>
    <row r="880" ht="15.75" customHeight="1" s="8286"/>
    <row r="881" ht="15.75" customHeight="1" s="8286"/>
    <row r="882" ht="15.75" customHeight="1" s="8286"/>
    <row r="883" ht="15.75" customHeight="1" s="8286"/>
    <row r="884" ht="15.75" customHeight="1" s="8286"/>
    <row r="885" ht="15.75" customHeight="1" s="8286"/>
    <row r="886" ht="15.75" customHeight="1" s="8286"/>
    <row r="887" ht="15.75" customHeight="1" s="8286"/>
    <row r="888" ht="15.75" customHeight="1" s="8286"/>
    <row r="889" ht="15.75" customHeight="1" s="8286"/>
    <row r="890" ht="15.75" customHeight="1" s="8286"/>
    <row r="891" ht="15.75" customHeight="1" s="8286"/>
    <row r="892" ht="15.75" customHeight="1" s="8286"/>
    <row r="893" ht="15.75" customHeight="1" s="8286"/>
    <row r="894" ht="15.75" customHeight="1" s="8286"/>
    <row r="895" ht="15.75" customHeight="1" s="8286"/>
    <row r="896" ht="15.75" customHeight="1" s="8286"/>
    <row r="897" ht="15.75" customHeight="1" s="8286"/>
    <row r="898" ht="15.75" customHeight="1" s="8286"/>
    <row r="899" ht="15.75" customHeight="1" s="8286"/>
    <row r="900" ht="15.75" customHeight="1" s="8286"/>
    <row r="901" ht="15.75" customHeight="1" s="8286"/>
    <row r="902" ht="15.75" customHeight="1" s="8286"/>
    <row r="903" ht="15.75" customHeight="1" s="8286"/>
    <row r="904" ht="15.75" customHeight="1" s="8286"/>
    <row r="905" ht="15.75" customHeight="1" s="8286"/>
    <row r="906" ht="15.75" customHeight="1" s="8286"/>
    <row r="907" ht="15.75" customHeight="1" s="8286"/>
    <row r="908" ht="15.75" customHeight="1" s="8286"/>
    <row r="909" ht="15.75" customHeight="1" s="8286"/>
    <row r="910" ht="15.75" customHeight="1" s="8286"/>
    <row r="911" ht="15.75" customHeight="1" s="8286"/>
    <row r="912" ht="15.75" customHeight="1" s="8286"/>
    <row r="913" ht="15.75" customHeight="1" s="8286"/>
    <row r="914" ht="15.75" customHeight="1" s="8286"/>
    <row r="915" ht="15.75" customHeight="1" s="8286"/>
    <row r="916" ht="15.75" customHeight="1" s="8286"/>
    <row r="917" ht="15.75" customHeight="1" s="8286"/>
    <row r="918" ht="15.75" customHeight="1" s="8286"/>
    <row r="919" ht="15.75" customHeight="1" s="8286"/>
    <row r="920" ht="15.75" customHeight="1" s="8286"/>
    <row r="921" ht="15.75" customHeight="1" s="8286"/>
    <row r="922" ht="15.75" customHeight="1" s="8286"/>
    <row r="923" ht="15.75" customHeight="1" s="8286"/>
    <row r="924" ht="15.75" customHeight="1" s="8286"/>
    <row r="925" ht="15.75" customHeight="1" s="8286"/>
    <row r="926" ht="15.75" customHeight="1" s="8286"/>
    <row r="927" ht="15.75" customHeight="1" s="8286"/>
    <row r="928" ht="15.75" customHeight="1" s="8286"/>
    <row r="929" ht="15.75" customHeight="1" s="8286"/>
    <row r="930" ht="15.75" customHeight="1" s="8286"/>
    <row r="931" ht="15.75" customHeight="1" s="8286"/>
    <row r="932" ht="15.75" customHeight="1" s="8286"/>
    <row r="933" ht="15.75" customHeight="1" s="8286"/>
    <row r="934" ht="15.75" customHeight="1" s="8286"/>
    <row r="935" ht="15.75" customHeight="1" s="8286"/>
    <row r="936" ht="15.75" customHeight="1" s="8286"/>
    <row r="937" ht="15.75" customHeight="1" s="8286"/>
    <row r="938" ht="15.75" customHeight="1" s="8286"/>
    <row r="939" ht="15.75" customHeight="1" s="8286"/>
    <row r="940" ht="15.75" customHeight="1" s="8286"/>
    <row r="941" ht="15.75" customHeight="1" s="8286"/>
    <row r="942" ht="15.75" customHeight="1" s="8286"/>
    <row r="943" ht="15.75" customHeight="1" s="8286"/>
    <row r="944" ht="15.75" customHeight="1" s="8286"/>
    <row r="945" ht="15.75" customHeight="1" s="8286"/>
    <row r="946" ht="15.75" customHeight="1" s="8286"/>
    <row r="947" ht="15.75" customHeight="1" s="8286"/>
    <row r="948" ht="15.75" customHeight="1" s="8286"/>
    <row r="949" ht="15.75" customHeight="1" s="8286"/>
    <row r="950" ht="15.75" customHeight="1" s="8286"/>
    <row r="951" ht="15.75" customHeight="1" s="8286"/>
    <row r="952" ht="15.75" customHeight="1" s="8286"/>
    <row r="953" ht="15.75" customHeight="1" s="8286"/>
    <row r="954" ht="15.75" customHeight="1" s="8286"/>
    <row r="955" ht="15.75" customHeight="1" s="8286"/>
    <row r="956" ht="15.75" customHeight="1" s="8286"/>
    <row r="957" ht="15.75" customHeight="1" s="8286"/>
    <row r="958" ht="15.75" customHeight="1" s="8286"/>
    <row r="959" ht="15.75" customHeight="1" s="8286"/>
    <row r="960" ht="15.75" customHeight="1" s="8286"/>
    <row r="961" ht="15.75" customHeight="1" s="8286"/>
    <row r="962" ht="15.75" customHeight="1" s="8286"/>
    <row r="963" ht="15.75" customHeight="1" s="8286"/>
    <row r="964" ht="15.75" customHeight="1" s="8286"/>
    <row r="965" ht="15.75" customHeight="1" s="8286"/>
    <row r="966" ht="15.75" customHeight="1" s="8286"/>
    <row r="967" ht="15.75" customHeight="1" s="8286"/>
    <row r="968" ht="15.75" customHeight="1" s="8286"/>
    <row r="969" ht="15.75" customHeight="1" s="8286"/>
    <row r="970" ht="15.75" customHeight="1" s="8286"/>
    <row r="971" ht="15.75" customHeight="1" s="8286"/>
    <row r="972" ht="15.75" customHeight="1" s="8286"/>
    <row r="973" ht="15.75" customHeight="1" s="8286"/>
    <row r="974" ht="15.75" customHeight="1" s="8286"/>
    <row r="975" ht="15.75" customHeight="1" s="8286"/>
    <row r="976" ht="15.75" customHeight="1" s="8286"/>
    <row r="977" ht="15.75" customHeight="1" s="8286"/>
    <row r="978" ht="15.75" customHeight="1" s="8286"/>
    <row r="979" ht="15.75" customHeight="1" s="8286"/>
    <row r="980" ht="15.75" customHeight="1" s="8286"/>
    <row r="981" ht="15.75" customHeight="1" s="8286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DjygpsRs1NepsUEae3IVA==" formatRows="1" sort="1" spinCount="100000" hashValue="JQYtqwqNGammUZPHjSVRXNGoXiqLdBOBUnADyg+VVJy9UxRP1rossLY1G+ZlPbXQSfQRt90kq6QtnbZGK99gHw=="/>
  <mergeCells count="79">
    <mergeCell ref="B12:B13"/>
    <mergeCell ref="B36:B38"/>
    <mergeCell ref="M10:N10"/>
    <mergeCell ref="X37:Y37"/>
    <mergeCell ref="Z37:AA37"/>
    <mergeCell ref="Y10:Z10"/>
    <mergeCell ref="D70:E70"/>
    <mergeCell ref="F70:G70"/>
    <mergeCell ref="S10:T10"/>
    <mergeCell ref="AP9:AP11"/>
    <mergeCell ref="AR9:AR11"/>
    <mergeCell ref="AC10:AD10"/>
    <mergeCell ref="AE10:AF10"/>
    <mergeCell ref="A53:A56"/>
    <mergeCell ref="H37:I37"/>
    <mergeCell ref="A12:A23"/>
    <mergeCell ref="A48:A49"/>
    <mergeCell ref="AF37:AG37"/>
    <mergeCell ref="F36:AI36"/>
    <mergeCell ref="CK9:CK11"/>
    <mergeCell ref="G9:AN9"/>
    <mergeCell ref="AK10:AL10"/>
    <mergeCell ref="A69:A71"/>
    <mergeCell ref="AM10:AN10"/>
    <mergeCell ref="P37:Q37"/>
    <mergeCell ref="A6:AB6"/>
    <mergeCell ref="AJ36:AS37"/>
    <mergeCell ref="I10:J10"/>
    <mergeCell ref="H69:K69"/>
    <mergeCell ref="K10:L10"/>
    <mergeCell ref="T37:U37"/>
    <mergeCell ref="V37:W37"/>
    <mergeCell ref="U10:V10"/>
    <mergeCell ref="E58:F58"/>
    <mergeCell ref="AH37:AI37"/>
    <mergeCell ref="AA10:AB10"/>
    <mergeCell ref="A50:A51"/>
    <mergeCell ref="BZ38:CA38"/>
    <mergeCell ref="B69:G69"/>
    <mergeCell ref="AO9:AO11"/>
    <mergeCell ref="AQ9:AQ11"/>
    <mergeCell ref="A36:A38"/>
    <mergeCell ref="B14:B23"/>
    <mergeCell ref="A44:A47"/>
    <mergeCell ref="C36:E37"/>
    <mergeCell ref="AB37:AC37"/>
    <mergeCell ref="D9:F10"/>
    <mergeCell ref="A58:A59"/>
    <mergeCell ref="AD37:AE37"/>
    <mergeCell ref="W10:X10"/>
    <mergeCell ref="CL9:CL11"/>
    <mergeCell ref="A60:A61"/>
    <mergeCell ref="O10:P10"/>
    <mergeCell ref="AG10:AH10"/>
    <mergeCell ref="AI10:AJ10"/>
    <mergeCell ref="J37:K37"/>
    <mergeCell ref="L37:M37"/>
    <mergeCell ref="N37:O37"/>
    <mergeCell ref="A66:A67"/>
    <mergeCell ref="B70:C70"/>
    <mergeCell ref="B30:B34"/>
    <mergeCell ref="A8:C8"/>
    <mergeCell ref="G10:H10"/>
    <mergeCell ref="R37:S37"/>
    <mergeCell ref="Q10:R10"/>
    <mergeCell ref="AT36:AU37"/>
    <mergeCell ref="AV36:AW37"/>
    <mergeCell ref="H70:I70"/>
    <mergeCell ref="J70:K70"/>
    <mergeCell ref="A39:A41"/>
    <mergeCell ref="A42:A43"/>
    <mergeCell ref="A62:A63"/>
    <mergeCell ref="A24:A34"/>
    <mergeCell ref="B24:B29"/>
    <mergeCell ref="F37:G37"/>
    <mergeCell ref="A9:C11"/>
    <mergeCell ref="CM9:CM11"/>
    <mergeCell ref="A64:A65"/>
    <mergeCell ref="B58:D58"/>
  </mergeCells>
  <dataValidations count="5">
    <dataValidation sqref="G12:AR34" showDropDown="0" showInputMessage="0" showErrorMessage="1" allowBlank="0" error="Sólo ingrese números enteros." prompt="Valor no Permitido" type="whole" operator="greaterThanOrEqual">
      <formula1>0</formula1>
    </dataValidation>
    <dataValidation sqref="A5:A9 A12 A24 A35:C35 A75:B100 A102:B1048576 B1:AR5 B7:C7 B36:C36 B39:B41 B44:B51 B52:F52 C24:C34 C38:E51 C75:K1048576 D7:F35 F36:F37 F38:AW38 G7:AP11 G35:CD35 G37:AI37 J54:BD55 K52:XFD53 L76:XFD1048576 AJ36 AQ7:AR8 AS1:AZ34 AT36 AV36 AX36:BV37 AX38:BT51 BA1:XFD7 BA8:CL8 BA9:CC11 BA12:BZ26 BB27:BZ34 BE54:XFD56 BU39:BV51 BV38:BZ38 BX36:CB37 CB38:CL38 CB39:CB51 CD36:CL37 CE12:CM35 CF9:CI9 CF10:CK11 CG39:CG51 CJ9:CK11 CK39:CK51 CO8:XFD8 CP36:XFD38 CQ9:XFD35 CQ39:XFD51" showDropDown="0" showInputMessage="0" showErrorMessage="0" allowBlank="0" prompt="Valor no Permitido"/>
    <dataValidation sqref="B72:K73 C54:D55 D60:D67 F60:F67" showDropDown="0" showInputMessage="1" showErrorMessage="1" allowBlank="0" type="whole">
      <formula1>0</formula1>
      <formula2>9.99999999999999E+43</formula2>
    </dataValidation>
    <dataValidation sqref="F39:AW51" showDropDown="0" showInputMessage="1" showErrorMessage="1" allowBlank="0" type="whole">
      <formula1>0</formula1>
      <formula2>9.99999999999999E+39</formula2>
    </dataValidation>
    <dataValidation sqref="C60:C67 E60:E67" showDropDown="0" showInputMessage="1" showErrorMessage="1" allowBlank="0" type="whole" operator="equal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>
  <sheetPr codeName="Hoja30">
    <outlinePr summaryBelow="1" summaryRight="1"/>
    <pageSetUpPr/>
  </sheetPr>
  <dimension ref="A1:CI150"/>
  <sheetViews>
    <sheetView showGridLines="0" zoomScaleNormal="100" workbookViewId="0">
      <selection activeCell="A1" sqref="A1"/>
    </sheetView>
  </sheetViews>
  <sheetFormatPr baseColWidth="10" defaultColWidth="11.42578125" defaultRowHeight="15"/>
  <cols>
    <col width="34.42578125" customWidth="1" style="8286" min="1" max="1"/>
    <col width="23.140625" customWidth="1" style="8286" min="2" max="2"/>
    <col width="15.7109375" customWidth="1" style="8286" min="3" max="3"/>
    <col width="17.28515625" customWidth="1" style="8286" min="4" max="4"/>
    <col width="12.7109375" customWidth="1" style="8286" min="10" max="10"/>
    <col width="11.42578125" customWidth="1" style="329" min="26" max="40"/>
    <col width="10" customWidth="1" style="329" min="41" max="41"/>
    <col width="11.42578125" customWidth="1" style="329" min="42" max="43"/>
    <col width="7.85546875" customWidth="1" style="329" min="44" max="44"/>
    <col width="11.42578125" customWidth="1" style="329" min="45" max="47"/>
    <col width="11.42578125" customWidth="1" style="329" min="52" max="52"/>
    <col width="11.42578125" customWidth="1" style="8286" min="78" max="78"/>
    <col hidden="1" width="11.42578125" customWidth="1" style="8286" min="79" max="79"/>
    <col hidden="1" width="11.42578125" customWidth="1" style="329" min="80" max="82"/>
    <col hidden="1" width="11.42578125" customWidth="1" style="8286" min="83" max="87"/>
  </cols>
  <sheetData>
    <row r="1" customFormat="1" s="329">
      <c r="A1" s="25" t="inlineStr">
        <is>
          <t>SERVICIO DE SALUD</t>
        </is>
      </c>
      <c r="B1" s="453" t="n"/>
    </row>
    <row r="2" customFormat="1" s="329">
      <c r="A2" s="25">
        <f>CONCATENATE("COMUNA: ",NOMBRE!B2, " (",NOMBRE!C2,NOMBRE!D2,NOMBRE!E2,NOMBRE!F2,NOMBRE!G2,")")</f>
        <v/>
      </c>
      <c r="B2" s="453" t="n"/>
    </row>
    <row r="3" customFormat="1" s="329">
      <c r="A3" s="25">
        <f>CONCATENATE("ESTABLECIMIENTO/ESTRATEGIA: ", NOMBRE!B3, " (",NOMBRE!C3,NOMBRE!D3,NOMBRE!E3,NOMBRE!F3,NOMBRE!G3,NOMBRE!H3,")")</f>
        <v/>
      </c>
      <c r="B3" s="453" t="n"/>
    </row>
    <row r="4" customFormat="1" s="329">
      <c r="A4" s="25">
        <f>CONCATENATE("MES: ",NOMBRE!B6, " (",NOMBRE!C6,NOMBRE!D6,")")</f>
        <v/>
      </c>
      <c r="B4" s="453" t="n"/>
    </row>
    <row r="5" customFormat="1" s="329">
      <c r="A5" s="453">
        <f>CONCATENATE("AÑO: ",NOMBRE!B7)</f>
        <v/>
      </c>
      <c r="B5" s="453" t="n"/>
    </row>
    <row r="6" customFormat="1" s="329">
      <c r="A6" s="9488" t="inlineStr">
        <is>
          <t xml:space="preserve">REM-34   DISPOSITIVOS PRAIS SERVICIOS DE SALUD </t>
        </is>
      </c>
    </row>
    <row r="7" customFormat="1" s="329"/>
    <row r="8" ht="17.1" customFormat="1" customHeight="1" s="329">
      <c r="A8" s="9549" t="inlineStr">
        <is>
          <t>SECCIÓN A: ACREDITACIÓN PRAIS</t>
        </is>
      </c>
      <c r="B8" s="9549" t="n"/>
      <c r="C8" s="605" t="n"/>
      <c r="D8" s="605" t="n"/>
      <c r="E8" s="605" t="n"/>
      <c r="F8" s="605" t="n"/>
      <c r="G8" s="605" t="n"/>
      <c r="H8" s="605" t="n"/>
      <c r="I8" s="605" t="n"/>
      <c r="J8" s="605" t="n"/>
      <c r="K8" s="605" t="n"/>
      <c r="L8" s="605" t="n"/>
      <c r="M8" s="605" t="n"/>
      <c r="N8" s="605" t="n"/>
      <c r="O8" s="605" t="n"/>
      <c r="P8" s="605" t="n"/>
      <c r="Q8" s="605" t="n"/>
      <c r="R8" s="605" t="n"/>
      <c r="S8" s="605" t="n"/>
      <c r="T8" s="605" t="n"/>
      <c r="U8" s="605" t="n"/>
      <c r="V8" s="605" t="n"/>
      <c r="W8" s="605" t="n"/>
      <c r="X8" s="605" t="n"/>
      <c r="Y8" s="605" t="n"/>
      <c r="Z8" s="605" t="n"/>
      <c r="AA8" s="605" t="n"/>
      <c r="AB8" s="605" t="n"/>
      <c r="AC8" s="605" t="n"/>
      <c r="AD8" s="605" t="n"/>
      <c r="AE8" s="605" t="n"/>
      <c r="AF8" s="605" t="n"/>
      <c r="AG8" s="605" t="n"/>
      <c r="AH8" s="605" t="n"/>
      <c r="AI8" s="605" t="n"/>
      <c r="AJ8" s="605" t="n"/>
      <c r="AK8" s="605" t="n"/>
      <c r="AL8" s="605" t="n"/>
      <c r="AM8" s="605" t="n"/>
      <c r="AO8" s="606" t="n"/>
      <c r="AP8" s="606" t="n"/>
      <c r="AQ8" s="606" t="n"/>
      <c r="AR8" s="606" t="n"/>
      <c r="AS8" s="606" t="n"/>
      <c r="AT8" s="606" t="n"/>
      <c r="AU8" s="606" t="n"/>
      <c r="AV8" s="606" t="n"/>
      <c r="AW8" s="606" t="n"/>
      <c r="AX8" s="606" t="n"/>
      <c r="AY8" s="606" t="n"/>
      <c r="AZ8" s="606" t="n"/>
      <c r="BA8" s="606" t="n"/>
      <c r="BB8" s="606" t="n"/>
      <c r="BC8" s="606" t="n"/>
      <c r="BD8" s="606" t="n"/>
      <c r="BE8" s="606" t="n"/>
      <c r="BF8" s="606" t="n"/>
      <c r="BG8" s="606" t="n"/>
      <c r="BH8" s="606" t="n"/>
      <c r="BI8" s="606" t="n"/>
      <c r="BJ8" s="606" t="n"/>
      <c r="BK8" s="606" t="n"/>
      <c r="BL8" s="606" t="n"/>
      <c r="BM8" s="606" t="n"/>
      <c r="BN8" s="606" t="n"/>
      <c r="BO8" s="606" t="n"/>
      <c r="BP8" s="606" t="n"/>
      <c r="BQ8" s="606" t="n"/>
      <c r="BR8" s="606" t="n"/>
      <c r="BS8" s="606" t="n"/>
      <c r="BT8" s="606" t="n"/>
      <c r="BU8" s="606" t="n"/>
      <c r="BV8" s="606" t="n"/>
      <c r="BW8" s="606" t="n"/>
      <c r="BX8" s="606" t="n"/>
      <c r="BY8" s="606" t="n"/>
      <c r="BZ8" s="606" t="n"/>
      <c r="CA8" s="606" t="n"/>
      <c r="CB8" s="606" t="n"/>
      <c r="CC8" s="606" t="n"/>
      <c r="CD8" s="606" t="n"/>
      <c r="CE8" s="606" t="n"/>
      <c r="CF8" s="606" t="n"/>
      <c r="CG8" s="606" t="n"/>
      <c r="CH8" s="606" t="n"/>
      <c r="CI8" s="606" t="n"/>
    </row>
    <row r="9" ht="17.1" customFormat="1" customHeight="1" s="329">
      <c r="A9" s="9549" t="inlineStr">
        <is>
          <t>SECCIÓN A.1: ATENCIÓN PARA ACREDITACIÓN PRAIS</t>
        </is>
      </c>
      <c r="B9" s="9549" t="n"/>
      <c r="C9" s="606" t="n"/>
      <c r="D9" s="606" t="n"/>
      <c r="E9" s="606" t="n"/>
      <c r="F9" s="606" t="n"/>
      <c r="G9" s="606" t="n"/>
      <c r="H9" s="606" t="n"/>
      <c r="I9" s="606" t="n"/>
      <c r="J9" s="606" t="n"/>
      <c r="K9" s="606" t="n"/>
      <c r="L9" s="606" t="n"/>
      <c r="M9" s="606" t="n"/>
      <c r="N9" s="606" t="n"/>
      <c r="O9" s="606" t="n"/>
      <c r="P9" s="606" t="n"/>
      <c r="Q9" s="606" t="n"/>
      <c r="R9" s="606" t="n"/>
      <c r="S9" s="606" t="n"/>
      <c r="T9" s="606" t="n"/>
      <c r="U9" s="606" t="n"/>
      <c r="V9" s="606" t="n"/>
      <c r="W9" s="606" t="n"/>
      <c r="X9" s="606" t="n"/>
      <c r="Y9" s="606" t="n"/>
      <c r="Z9" s="606" t="n"/>
      <c r="AA9" s="606" t="n"/>
      <c r="AB9" s="606" t="n"/>
      <c r="AC9" s="606" t="n"/>
      <c r="AD9" s="606" t="n"/>
      <c r="AE9" s="606" t="n"/>
      <c r="AF9" s="606" t="n"/>
      <c r="AG9" s="606" t="n"/>
      <c r="AH9" s="606" t="n"/>
      <c r="AI9" s="606" t="n"/>
      <c r="AJ9" s="606" t="n"/>
      <c r="AK9" s="606" t="n"/>
      <c r="AL9" s="606" t="n"/>
      <c r="AM9" s="606" t="n"/>
      <c r="AO9" s="101" t="n"/>
      <c r="AP9" s="101" t="n"/>
      <c r="AQ9" s="101" t="n"/>
      <c r="AR9" s="101" t="n"/>
      <c r="AS9" s="101" t="n"/>
      <c r="AT9" s="101" t="n"/>
      <c r="AU9" s="101" t="n"/>
      <c r="AV9" s="101" t="n"/>
      <c r="AW9" s="101" t="n"/>
      <c r="AX9" s="101" t="n"/>
      <c r="AY9" s="101" t="n"/>
      <c r="AZ9" s="101" t="n"/>
      <c r="BA9" s="101" t="n"/>
      <c r="BB9" s="101" t="n"/>
      <c r="BC9" s="101" t="n"/>
      <c r="BD9" s="101" t="n"/>
      <c r="BE9" s="101" t="n"/>
      <c r="BF9" s="101" t="n"/>
      <c r="BG9" s="101" t="n"/>
      <c r="BH9" s="101" t="n"/>
      <c r="BI9" s="101" t="n"/>
      <c r="BJ9" s="101" t="n"/>
      <c r="BK9" s="101" t="n"/>
      <c r="BL9" s="101" t="n"/>
      <c r="BM9" s="101" t="n"/>
      <c r="BN9" s="101" t="n"/>
      <c r="BO9" s="101" t="n"/>
      <c r="BP9" s="101" t="n"/>
      <c r="BQ9" s="101" t="n"/>
      <c r="BR9" s="101" t="n"/>
      <c r="BS9" s="101" t="n"/>
      <c r="BT9" s="101" t="n"/>
      <c r="BU9" s="101" t="n"/>
      <c r="BV9" s="101" t="n"/>
    </row>
    <row r="10" customFormat="1" s="329">
      <c r="A10" s="10707" t="inlineStr">
        <is>
          <t>ACTIVIDAD</t>
        </is>
      </c>
      <c r="B10" s="10707" t="inlineStr">
        <is>
          <t>PROFESIONAL</t>
        </is>
      </c>
      <c r="C10" s="10708" t="inlineStr">
        <is>
          <t xml:space="preserve">TOTAL               </t>
        </is>
      </c>
      <c r="D10" s="9602" t="n"/>
      <c r="E10" s="9602" t="n"/>
      <c r="F10" s="10709" t="inlineStr">
        <is>
          <t>RANGO ETARIO Y SEXO</t>
        </is>
      </c>
      <c r="G10" s="9584" t="n"/>
      <c r="H10" s="9584" t="n"/>
      <c r="I10" s="9584" t="n"/>
      <c r="J10" s="9584" t="n"/>
      <c r="K10" s="9584" t="n"/>
      <c r="L10" s="9584" t="n"/>
      <c r="M10" s="9584" t="n"/>
      <c r="N10" s="9584" t="n"/>
      <c r="O10" s="9584" t="n"/>
      <c r="P10" s="9584" t="n"/>
      <c r="Q10" s="9584" t="n"/>
      <c r="R10" s="9584" t="n"/>
      <c r="S10" s="9584" t="n"/>
      <c r="T10" s="9584" t="n"/>
      <c r="U10" s="9584" t="n"/>
      <c r="V10" s="9584" t="n"/>
      <c r="W10" s="9584" t="n"/>
      <c r="X10" s="9584" t="n"/>
      <c r="Y10" s="9584" t="n"/>
      <c r="Z10" s="9584" t="n"/>
      <c r="AA10" s="9584" t="n"/>
      <c r="AB10" s="9584" t="n"/>
      <c r="AC10" s="9584" t="n"/>
      <c r="AD10" s="9584" t="n"/>
      <c r="AE10" s="9584" t="n"/>
      <c r="AF10" s="9584" t="n"/>
      <c r="AG10" s="9584" t="n"/>
      <c r="AH10" s="9584" t="n"/>
      <c r="AI10" s="9584" t="n"/>
      <c r="AJ10" s="9584" t="n"/>
      <c r="AK10" s="9584" t="n"/>
      <c r="AL10" s="9584" t="n"/>
      <c r="AM10" s="9595" t="n"/>
      <c r="AN10" s="9973" t="inlineStr">
        <is>
          <t>Pueblos Originarios</t>
        </is>
      </c>
    </row>
    <row r="11" ht="14.25" customFormat="1" customHeight="1" s="329">
      <c r="A11" s="9614" t="n"/>
      <c r="B11" s="9614" t="n"/>
      <c r="C11" s="642" t="n"/>
      <c r="F11" s="10710" t="inlineStr">
        <is>
          <t>0 - 4 años</t>
        </is>
      </c>
      <c r="G11" s="9647" t="n"/>
      <c r="H11" s="10710" t="inlineStr">
        <is>
          <t>5 - 9 años</t>
        </is>
      </c>
      <c r="I11" s="9647" t="n"/>
      <c r="J11" s="10710" t="inlineStr">
        <is>
          <t>10 - 14 años</t>
        </is>
      </c>
      <c r="K11" s="9647" t="n"/>
      <c r="L11" s="10710" t="inlineStr">
        <is>
          <t>15 - 19 años</t>
        </is>
      </c>
      <c r="M11" s="9647" t="n"/>
      <c r="N11" s="10710" t="inlineStr">
        <is>
          <t>20 - 24 años</t>
        </is>
      </c>
      <c r="O11" s="9647" t="n"/>
      <c r="P11" s="10710" t="inlineStr">
        <is>
          <t>25 - 29 años</t>
        </is>
      </c>
      <c r="Q11" s="9647" t="n"/>
      <c r="R11" s="10710" t="inlineStr">
        <is>
          <t>30 - 34 años</t>
        </is>
      </c>
      <c r="S11" s="9647" t="n"/>
      <c r="T11" s="10710" t="inlineStr">
        <is>
          <t>35 - 39 años</t>
        </is>
      </c>
      <c r="U11" s="9647" t="n"/>
      <c r="V11" s="10710" t="inlineStr">
        <is>
          <t>40 - 44 años</t>
        </is>
      </c>
      <c r="W11" s="9647" t="n"/>
      <c r="X11" s="10710" t="inlineStr">
        <is>
          <t>45 - 49 años</t>
        </is>
      </c>
      <c r="Y11" s="9647" t="n"/>
      <c r="Z11" s="10710" t="inlineStr">
        <is>
          <t>50 - 54 años</t>
        </is>
      </c>
      <c r="AA11" s="9647" t="n"/>
      <c r="AB11" s="10710" t="inlineStr">
        <is>
          <t>55 - 59 años</t>
        </is>
      </c>
      <c r="AC11" s="9647" t="n"/>
      <c r="AD11" s="10710" t="inlineStr">
        <is>
          <t>60 - 64 años</t>
        </is>
      </c>
      <c r="AE11" s="9647" t="n"/>
      <c r="AF11" s="10710" t="inlineStr">
        <is>
          <t>65 - 69 años</t>
        </is>
      </c>
      <c r="AG11" s="9647" t="n"/>
      <c r="AH11" s="10710" t="inlineStr">
        <is>
          <t>70 - 74 años</t>
        </is>
      </c>
      <c r="AI11" s="9647" t="n"/>
      <c r="AJ11" s="10710" t="inlineStr">
        <is>
          <t>75 - 79 años</t>
        </is>
      </c>
      <c r="AK11" s="9647" t="n"/>
      <c r="AL11" s="10710" t="inlineStr">
        <is>
          <t>80 y más años</t>
        </is>
      </c>
      <c r="AM11" s="9647" t="n"/>
      <c r="AN11" s="9625" t="n"/>
    </row>
    <row r="12" customFormat="1" s="329">
      <c r="A12" s="9614" t="n"/>
      <c r="B12" s="9614" t="n"/>
      <c r="C12" s="5002" t="inlineStr">
        <is>
          <t>Ambos Sexos</t>
        </is>
      </c>
      <c r="D12" s="5003" t="inlineStr">
        <is>
          <t>Hombres</t>
        </is>
      </c>
      <c r="E12" s="5004" t="inlineStr">
        <is>
          <t>Mujeres</t>
        </is>
      </c>
      <c r="F12" s="9353" t="inlineStr">
        <is>
          <t>Hombres</t>
        </is>
      </c>
      <c r="G12" s="9338" t="inlineStr">
        <is>
          <t>Mujeres</t>
        </is>
      </c>
      <c r="H12" s="9353" t="inlineStr">
        <is>
          <t>Hombres</t>
        </is>
      </c>
      <c r="I12" s="9338" t="inlineStr">
        <is>
          <t>Mujeres</t>
        </is>
      </c>
      <c r="J12" s="9353" t="inlineStr">
        <is>
          <t>Hombres</t>
        </is>
      </c>
      <c r="K12" s="9338" t="inlineStr">
        <is>
          <t>Mujeres</t>
        </is>
      </c>
      <c r="L12" s="9353" t="inlineStr">
        <is>
          <t>Hombres</t>
        </is>
      </c>
      <c r="M12" s="9338" t="inlineStr">
        <is>
          <t>Mujeres</t>
        </is>
      </c>
      <c r="N12" s="9353" t="inlineStr">
        <is>
          <t>Hombres</t>
        </is>
      </c>
      <c r="O12" s="9338" t="inlineStr">
        <is>
          <t>Mujeres</t>
        </is>
      </c>
      <c r="P12" s="9353" t="inlineStr">
        <is>
          <t>Hombres</t>
        </is>
      </c>
      <c r="Q12" s="9338" t="inlineStr">
        <is>
          <t>Mujeres</t>
        </is>
      </c>
      <c r="R12" s="9353" t="inlineStr">
        <is>
          <t>Hombres</t>
        </is>
      </c>
      <c r="S12" s="9338" t="inlineStr">
        <is>
          <t>Mujeres</t>
        </is>
      </c>
      <c r="T12" s="9353" t="inlineStr">
        <is>
          <t>Hombres</t>
        </is>
      </c>
      <c r="U12" s="9338" t="inlineStr">
        <is>
          <t>Mujeres</t>
        </is>
      </c>
      <c r="V12" s="9353" t="inlineStr">
        <is>
          <t>Hombres</t>
        </is>
      </c>
      <c r="W12" s="9338" t="inlineStr">
        <is>
          <t>Mujeres</t>
        </is>
      </c>
      <c r="X12" s="9353" t="inlineStr">
        <is>
          <t>Hombres</t>
        </is>
      </c>
      <c r="Y12" s="9338" t="inlineStr">
        <is>
          <t>Mujeres</t>
        </is>
      </c>
      <c r="Z12" s="9353" t="inlineStr">
        <is>
          <t>Hombres</t>
        </is>
      </c>
      <c r="AA12" s="9338" t="inlineStr">
        <is>
          <t>Mujeres</t>
        </is>
      </c>
      <c r="AB12" s="9353" t="inlineStr">
        <is>
          <t>Hombres</t>
        </is>
      </c>
      <c r="AC12" s="9338" t="inlineStr">
        <is>
          <t>Mujeres</t>
        </is>
      </c>
      <c r="AD12" s="9353" t="inlineStr">
        <is>
          <t>Hombres</t>
        </is>
      </c>
      <c r="AE12" s="9338" t="inlineStr">
        <is>
          <t>Mujeres</t>
        </is>
      </c>
      <c r="AF12" s="9353" t="inlineStr">
        <is>
          <t>Hombres</t>
        </is>
      </c>
      <c r="AG12" s="9338" t="inlineStr">
        <is>
          <t>Mujeres</t>
        </is>
      </c>
      <c r="AH12" s="9353" t="inlineStr">
        <is>
          <t>Hombres</t>
        </is>
      </c>
      <c r="AI12" s="9338" t="inlineStr">
        <is>
          <t>Mujeres</t>
        </is>
      </c>
      <c r="AJ12" s="9353" t="inlineStr">
        <is>
          <t>Hombres</t>
        </is>
      </c>
      <c r="AK12" s="9338" t="inlineStr">
        <is>
          <t>Mujeres</t>
        </is>
      </c>
      <c r="AL12" s="9353" t="inlineStr">
        <is>
          <t>Hombres</t>
        </is>
      </c>
      <c r="AM12" s="5005" t="inlineStr">
        <is>
          <t>Mujeres</t>
        </is>
      </c>
      <c r="AN12" s="9611" t="n"/>
    </row>
    <row r="13">
      <c r="A13" s="10711" t="inlineStr">
        <is>
          <t>Usuarios Acreditados por Profesional/es que atiende/n (Individual o en dupla)</t>
        </is>
      </c>
      <c r="B13" s="5006" t="inlineStr">
        <is>
          <t>Trabajador/a Social</t>
        </is>
      </c>
      <c r="C13" s="5007">
        <f>SUM(D13,E13)</f>
        <v/>
      </c>
      <c r="D13" s="5008">
        <f>SUM(F13,H13,J13,L13,N13,P13,R13,T13,V13,X13,Z13,AB13,AD13,AF13,AH13,AJ13,AL13)</f>
        <v/>
      </c>
      <c r="E13" s="5009">
        <f>SUM(G13,I13,K13,M13,O13,Q13,S13,U13,W13,Y13,AA13,AC13,AE13,AG13,AI13,AK13,AM13)</f>
        <v/>
      </c>
      <c r="F13" s="1957" t="n"/>
      <c r="G13" s="2633" t="n"/>
      <c r="H13" s="1957" t="n"/>
      <c r="I13" s="2633" t="n"/>
      <c r="J13" s="1957" t="n"/>
      <c r="K13" s="2633" t="n"/>
      <c r="L13" s="1957" t="n"/>
      <c r="M13" s="2633" t="n"/>
      <c r="N13" s="1957" t="n"/>
      <c r="O13" s="2633" t="n"/>
      <c r="P13" s="1957" t="n"/>
      <c r="Q13" s="2633" t="n"/>
      <c r="R13" s="1957" t="n"/>
      <c r="S13" s="2633" t="n"/>
      <c r="T13" s="1957" t="n"/>
      <c r="U13" s="2633" t="n"/>
      <c r="V13" s="1957" t="n"/>
      <c r="W13" s="2633" t="n"/>
      <c r="X13" s="1957" t="n"/>
      <c r="Y13" s="2633" t="n"/>
      <c r="Z13" s="1957" t="n"/>
      <c r="AA13" s="2633" t="n"/>
      <c r="AB13" s="1957" t="n"/>
      <c r="AC13" s="2633" t="n"/>
      <c r="AD13" s="1957" t="n"/>
      <c r="AE13" s="2633" t="n"/>
      <c r="AF13" s="1957" t="n"/>
      <c r="AG13" s="2633" t="n"/>
      <c r="AH13" s="1957" t="n"/>
      <c r="AI13" s="2633" t="n"/>
      <c r="AJ13" s="1957" t="n"/>
      <c r="AK13" s="2633" t="n"/>
      <c r="AL13" s="1956" t="n"/>
      <c r="AM13" s="5010" t="n"/>
      <c r="AN13" s="5011" t="n"/>
      <c r="AO13" s="238">
        <f>$CA13</f>
        <v/>
      </c>
      <c r="AP13" s="5" t="n"/>
      <c r="AQ13" s="5" t="n"/>
      <c r="AR13" s="5" t="n"/>
      <c r="AS13" s="5" t="n"/>
      <c r="AT13" s="5" t="n"/>
      <c r="AU13" s="5" t="n"/>
      <c r="AV13" s="5" t="n"/>
      <c r="AW13" s="5" t="n"/>
      <c r="AX13" s="5" t="n"/>
      <c r="AY13" s="5" t="n"/>
      <c r="AZ13" s="5" t="n"/>
      <c r="BA13" s="5" t="n"/>
      <c r="BB13" s="5" t="n"/>
      <c r="BC13" s="5" t="n"/>
      <c r="BD13" s="5" t="n"/>
      <c r="BE13" s="5" t="n"/>
      <c r="BF13" s="5" t="n"/>
      <c r="BG13" s="5" t="n"/>
      <c r="BH13" s="5" t="n"/>
      <c r="BI13" s="5" t="n"/>
      <c r="BJ13" s="5" t="n"/>
      <c r="BK13" s="5" t="n"/>
      <c r="BL13" s="5" t="n"/>
      <c r="BM13" s="5" t="n"/>
      <c r="BN13" s="5" t="n"/>
      <c r="BO13" s="5" t="n"/>
      <c r="BP13" s="5" t="n"/>
      <c r="BQ13" s="5" t="n"/>
      <c r="BR13" s="5" t="n"/>
      <c r="BS13" s="5" t="n"/>
      <c r="BT13" s="5" t="n"/>
      <c r="BU13" s="5" t="n"/>
      <c r="BV13" s="5" t="n"/>
      <c r="BW13" s="5" t="n"/>
      <c r="BX13" s="5" t="n"/>
      <c r="BY13" s="5" t="n"/>
      <c r="BZ13" s="5" t="n"/>
      <c r="CA13" s="405">
        <f>IF(AND($C13&lt;&gt;0,AN13=""),"* No olvide ingresar la columna Pueblos Originarios, digite CERO si no tiene.  ",IF(AN13&gt;$C13,"* El número de Pueblos Originarios no puede superar el Total Ambos Sexos.  ",""))</f>
        <v/>
      </c>
      <c r="CB13" s="239" t="n"/>
      <c r="CC13" s="239" t="n"/>
      <c r="CD13" s="239" t="n"/>
      <c r="CE13" s="5" t="n"/>
      <c r="CF13" s="5" t="n"/>
      <c r="CG13" s="5" t="n"/>
      <c r="CH13" s="5" t="n"/>
      <c r="CI13" s="29">
        <f>IF(AND($C13&lt;&gt;0,AN13=""),1,IF(AN13&gt;$C13,1,0))</f>
        <v/>
      </c>
    </row>
    <row r="14" ht="15" customHeight="1" s="8286">
      <c r="A14" s="9614" t="n"/>
      <c r="B14" s="5012" t="inlineStr">
        <is>
          <t>Psicológo/a</t>
        </is>
      </c>
      <c r="C14" s="1995">
        <f>SUM(D14,E14)</f>
        <v/>
      </c>
      <c r="D14" s="1996">
        <f>SUM(F14,H14,J14,L14,N14,P14,R14,T14,V14,X14,Z14,AB14,AD14,AF14,AH14,AJ14,AL14)</f>
        <v/>
      </c>
      <c r="E14" s="3879">
        <f>SUM(G14,I14,K14,M14,O14,Q14,S14,U14,W14,Y14,AA14,AC14,AE14,AG14,AI14,AK14,AM14)</f>
        <v/>
      </c>
      <c r="F14" s="1956" t="n"/>
      <c r="G14" s="5013" t="n"/>
      <c r="H14" s="1956" t="n"/>
      <c r="I14" s="5013" t="n"/>
      <c r="J14" s="1956" t="n"/>
      <c r="K14" s="5013" t="n"/>
      <c r="L14" s="1956" t="n"/>
      <c r="M14" s="5013" t="n"/>
      <c r="N14" s="1956" t="n"/>
      <c r="O14" s="5013" t="n"/>
      <c r="P14" s="1956" t="n"/>
      <c r="Q14" s="5013" t="n"/>
      <c r="R14" s="1956" t="n"/>
      <c r="S14" s="5013" t="n"/>
      <c r="T14" s="1956" t="n"/>
      <c r="U14" s="5013" t="n"/>
      <c r="V14" s="1956" t="n"/>
      <c r="W14" s="5013" t="n"/>
      <c r="X14" s="1956" t="n"/>
      <c r="Y14" s="5013" t="n"/>
      <c r="Z14" s="1956" t="n"/>
      <c r="AA14" s="5013" t="n"/>
      <c r="AB14" s="1956" t="n"/>
      <c r="AC14" s="5013" t="n"/>
      <c r="AD14" s="1956" t="n"/>
      <c r="AE14" s="5013" t="n"/>
      <c r="AF14" s="1956" t="n"/>
      <c r="AG14" s="5013" t="n"/>
      <c r="AH14" s="1956" t="n"/>
      <c r="AI14" s="5013" t="n"/>
      <c r="AJ14" s="1956" t="n"/>
      <c r="AK14" s="5013" t="n"/>
      <c r="AL14" s="1957" t="n"/>
      <c r="AM14" s="821" t="n"/>
      <c r="AN14" s="5013" t="n"/>
      <c r="AO14" s="238">
        <f>$CA14</f>
        <v/>
      </c>
      <c r="AP14" s="607" t="n"/>
      <c r="AQ14" s="607" t="n"/>
      <c r="AR14" s="607" t="n"/>
      <c r="AS14" s="607" t="n"/>
      <c r="AT14" s="607" t="n"/>
      <c r="AU14" s="607" t="n"/>
      <c r="AV14" s="607" t="n"/>
      <c r="AW14" s="607" t="n"/>
      <c r="AX14" s="607" t="n"/>
      <c r="AY14" s="607" t="n"/>
      <c r="AZ14" s="607" t="n"/>
      <c r="BA14" s="607" t="n"/>
      <c r="BB14" s="607" t="n"/>
      <c r="BC14" s="607" t="n"/>
      <c r="BD14" s="607" t="n"/>
      <c r="BE14" s="607" t="n"/>
      <c r="BF14" s="607" t="n"/>
      <c r="BG14" s="607" t="n"/>
      <c r="BH14" s="607" t="n"/>
      <c r="BI14" s="607" t="n"/>
      <c r="BJ14" s="607" t="n"/>
      <c r="BK14" s="607" t="n"/>
      <c r="BL14" s="607" t="n"/>
      <c r="BM14" s="607" t="n"/>
      <c r="BN14" s="607" t="n"/>
      <c r="BO14" s="607" t="n"/>
      <c r="BP14" s="607" t="n"/>
      <c r="BQ14" s="607" t="n"/>
      <c r="BR14" s="607" t="n"/>
      <c r="BS14" s="607" t="n"/>
      <c r="BT14" s="20" t="n"/>
      <c r="BU14" s="20" t="n"/>
      <c r="BV14" s="5" t="n"/>
      <c r="BW14" s="5" t="n"/>
      <c r="BX14" s="5" t="n"/>
      <c r="BY14" s="5" t="n"/>
      <c r="BZ14" s="5" t="n"/>
      <c r="CA14" s="405">
        <f>IF(AND($C14&lt;&gt;0,AN14=""),"* No olvide ingresar la columna Pueblos Originarios, digite CERO si no tiene.  ",IF(AN14&gt;$C14,"* El número de Pueblos Originarios no puede superar el Total Ambos Sexos.  ",""))</f>
        <v/>
      </c>
      <c r="CB14" s="239" t="n"/>
      <c r="CC14" s="239" t="n"/>
      <c r="CD14" s="239" t="n"/>
      <c r="CE14" s="5" t="n"/>
      <c r="CF14" s="5" t="n"/>
      <c r="CG14" s="5" t="n"/>
      <c r="CH14" s="5" t="n"/>
      <c r="CI14" s="29">
        <f>IF(AND($C14&lt;&gt;0,AN14=""),1,IF(AN14&gt;$C14,1,0))</f>
        <v/>
      </c>
    </row>
    <row r="15" ht="22.5" customHeight="1" s="8286">
      <c r="A15" s="9614" t="n"/>
      <c r="B15" s="5014" t="inlineStr">
        <is>
          <t>Trabajador/a Social y Psicológo/a</t>
        </is>
      </c>
      <c r="C15" s="2491">
        <f>SUM(D15,E15)</f>
        <v/>
      </c>
      <c r="D15" s="5015">
        <f>SUM(F15,H15,J15,L15,N15,P15,R15,T15,V15,X15,Z15,AB15,AD15,AF15,AH15,AJ15,AL15)</f>
        <v/>
      </c>
      <c r="E15" s="5016">
        <f>SUM(G15,I15,K15,M15,O15,Q15,S15,U15,W15,Y15,AA15,AC15,AE15,AG15,AI15,AK15,AM15)</f>
        <v/>
      </c>
      <c r="F15" s="1956" t="n"/>
      <c r="G15" s="5013" t="n"/>
      <c r="H15" s="1956" t="n"/>
      <c r="I15" s="5013" t="n"/>
      <c r="J15" s="1956" t="n"/>
      <c r="K15" s="5013" t="n"/>
      <c r="L15" s="1956" t="n"/>
      <c r="M15" s="5013" t="n"/>
      <c r="N15" s="1956" t="n"/>
      <c r="O15" s="5013" t="n"/>
      <c r="P15" s="1956" t="n"/>
      <c r="Q15" s="5013" t="n"/>
      <c r="R15" s="1956" t="n"/>
      <c r="S15" s="5013" t="n"/>
      <c r="T15" s="1956" t="n"/>
      <c r="U15" s="5013" t="n"/>
      <c r="V15" s="1956" t="n"/>
      <c r="W15" s="5013" t="n"/>
      <c r="X15" s="1956" t="n"/>
      <c r="Y15" s="5013" t="n"/>
      <c r="Z15" s="1956" t="n"/>
      <c r="AA15" s="5013" t="n"/>
      <c r="AB15" s="1956" t="n"/>
      <c r="AC15" s="5013" t="n"/>
      <c r="AD15" s="1956" t="n"/>
      <c r="AE15" s="5013" t="n"/>
      <c r="AF15" s="1956" t="n"/>
      <c r="AG15" s="5013" t="n"/>
      <c r="AH15" s="1956" t="n"/>
      <c r="AI15" s="5013" t="n"/>
      <c r="AJ15" s="1956" t="n"/>
      <c r="AK15" s="5013" t="n"/>
      <c r="AL15" s="1957" t="n"/>
      <c r="AM15" s="608" t="n"/>
      <c r="AN15" s="5013" t="n"/>
      <c r="AO15" s="238">
        <f>$CA15</f>
        <v/>
      </c>
      <c r="AP15" s="607" t="n"/>
      <c r="AQ15" s="607" t="n"/>
      <c r="AR15" s="607" t="n"/>
      <c r="AS15" s="607" t="n"/>
      <c r="AT15" s="607" t="n"/>
      <c r="AU15" s="607" t="n"/>
      <c r="AV15" s="607" t="n"/>
      <c r="AW15" s="607" t="n"/>
      <c r="AX15" s="607" t="n"/>
      <c r="AY15" s="607" t="n"/>
      <c r="AZ15" s="607" t="n"/>
      <c r="BA15" s="607" t="n"/>
      <c r="BB15" s="607" t="n"/>
      <c r="BC15" s="607" t="n"/>
      <c r="BD15" s="607" t="n"/>
      <c r="BE15" s="607" t="n"/>
      <c r="BF15" s="607" t="n"/>
      <c r="BG15" s="607" t="n"/>
      <c r="BH15" s="607" t="n"/>
      <c r="BI15" s="607" t="n"/>
      <c r="BJ15" s="607" t="n"/>
      <c r="BK15" s="607" t="n"/>
      <c r="BL15" s="607" t="n"/>
      <c r="BM15" s="607" t="n"/>
      <c r="BN15" s="607" t="n"/>
      <c r="BO15" s="607" t="n"/>
      <c r="BP15" s="607" t="n"/>
      <c r="BQ15" s="607" t="n"/>
      <c r="BR15" s="607" t="n"/>
      <c r="BS15" s="607" t="n"/>
      <c r="BT15" s="20" t="n"/>
      <c r="BU15" s="20" t="n"/>
      <c r="BV15" s="5" t="n"/>
      <c r="BW15" s="5" t="n"/>
      <c r="BX15" s="5" t="n"/>
      <c r="BY15" s="5" t="n"/>
      <c r="BZ15" s="5" t="n"/>
      <c r="CA15" s="405">
        <f>IF(AND($C15&lt;&gt;0,AN15=""),"* No olvide ingresar la columna Pueblos Originarios, digite CERO si no tiene.  ",IF(AN15&gt;$C15,"* El número de Pueblos Originarios no puede superar el Total Ambos Sexos.  ",""))</f>
        <v/>
      </c>
      <c r="CB15" s="239" t="n"/>
      <c r="CC15" s="239" t="n"/>
      <c r="CD15" s="239" t="n"/>
      <c r="CE15" s="5" t="n"/>
      <c r="CF15" s="5" t="n"/>
      <c r="CG15" s="5" t="n"/>
      <c r="CH15" s="5" t="n"/>
      <c r="CI15" s="29">
        <f>IF(AND($C15&lt;&gt;0,AN15=""),1,IF(AN15&gt;$C15,1,0))</f>
        <v/>
      </c>
    </row>
    <row r="16" ht="15" customHeight="1" s="8286">
      <c r="A16" s="10683" t="inlineStr">
        <is>
          <t>TOTAL</t>
        </is>
      </c>
      <c r="B16" s="9584" t="n"/>
      <c r="C16" s="5017">
        <f>SUM(D16,E16)</f>
        <v/>
      </c>
      <c r="D16" s="5018">
        <f>SUM(F16,H16,J16,L16,N16,P16,R16,T16,V16,X16,Z16,AB16,AD16,AF16,AH16,AJ16,AL16)</f>
        <v/>
      </c>
      <c r="E16" s="5019">
        <f>SUM(G16,I16,K16,M16,O16,Q16,S16,U16,W16,Y16,AA16,AC16,AE16,AG16,AI16,AK16,AM16)</f>
        <v/>
      </c>
      <c r="F16" s="4539">
        <f>SUM(F13:F15)</f>
        <v/>
      </c>
      <c r="G16" s="5020">
        <f>SUM(G13:G15)</f>
        <v/>
      </c>
      <c r="H16" s="4539">
        <f>SUM(H13:H15)</f>
        <v/>
      </c>
      <c r="I16" s="5020">
        <f>SUM(I13:I15)</f>
        <v/>
      </c>
      <c r="J16" s="4539">
        <f>SUM(J13:J15)</f>
        <v/>
      </c>
      <c r="K16" s="4551">
        <f>SUM(K13:K15)</f>
        <v/>
      </c>
      <c r="L16" s="4539">
        <f>SUM(L13:L15)</f>
        <v/>
      </c>
      <c r="M16" s="4551">
        <f>SUM(M13:M15)</f>
        <v/>
      </c>
      <c r="N16" s="4539">
        <f>SUM(N13:N15)</f>
        <v/>
      </c>
      <c r="O16" s="4551">
        <f>SUM(O13:O15)</f>
        <v/>
      </c>
      <c r="P16" s="4539">
        <f>SUM(P13:P15)</f>
        <v/>
      </c>
      <c r="Q16" s="4551">
        <f>SUM(Q13:Q15)</f>
        <v/>
      </c>
      <c r="R16" s="4539">
        <f>SUM(R13:R15)</f>
        <v/>
      </c>
      <c r="S16" s="4551">
        <f>SUM(S13:S15)</f>
        <v/>
      </c>
      <c r="T16" s="4539">
        <f>SUM(T13:T15)</f>
        <v/>
      </c>
      <c r="U16" s="4551">
        <f>SUM(U13:U15)</f>
        <v/>
      </c>
      <c r="V16" s="4539">
        <f>SUM(V13:V15)</f>
        <v/>
      </c>
      <c r="W16" s="4551">
        <f>SUM(W13:W15)</f>
        <v/>
      </c>
      <c r="X16" s="4539">
        <f>SUM(X13:X15)</f>
        <v/>
      </c>
      <c r="Y16" s="4551">
        <f>SUM(Y13:Y15)</f>
        <v/>
      </c>
      <c r="Z16" s="4583">
        <f>SUM(Z13:Z15)</f>
        <v/>
      </c>
      <c r="AA16" s="4582">
        <f>SUM(AA13:AA15)</f>
        <v/>
      </c>
      <c r="AB16" s="4583">
        <f>SUM(AB13:AB15)</f>
        <v/>
      </c>
      <c r="AC16" s="4582">
        <f>SUM(AC13:AC15)</f>
        <v/>
      </c>
      <c r="AD16" s="4583">
        <f>SUM(AD13:AD15)</f>
        <v/>
      </c>
      <c r="AE16" s="4582">
        <f>SUM(AE13:AE15)</f>
        <v/>
      </c>
      <c r="AF16" s="4583">
        <f>SUM(AF13:AF15)</f>
        <v/>
      </c>
      <c r="AG16" s="4582">
        <f>SUM(AG13:AG15)</f>
        <v/>
      </c>
      <c r="AH16" s="4583">
        <f>SUM(AH13:AH15)</f>
        <v/>
      </c>
      <c r="AI16" s="4582">
        <f>SUM(AI13:AI15)</f>
        <v/>
      </c>
      <c r="AJ16" s="4583">
        <f>SUM(AJ13:AJ15)</f>
        <v/>
      </c>
      <c r="AK16" s="4582">
        <f>SUM(AK13:AK15)</f>
        <v/>
      </c>
      <c r="AL16" s="5021">
        <f>SUM(AL13:AL15)</f>
        <v/>
      </c>
      <c r="AM16" s="5022">
        <f>SUM(AM13:AM15)</f>
        <v/>
      </c>
      <c r="AN16" s="5023">
        <f>SUM(AN13:AN15)</f>
        <v/>
      </c>
      <c r="AV16" s="329" t="n"/>
      <c r="AW16" s="329" t="n"/>
      <c r="AX16" s="329" t="n"/>
      <c r="AY16" s="329" t="n"/>
      <c r="BA16" s="329" t="n"/>
      <c r="BB16" s="329" t="n"/>
      <c r="BC16" s="329" t="n"/>
      <c r="BD16" s="329" t="n"/>
      <c r="BE16" s="329" t="n"/>
      <c r="BF16" s="329" t="n"/>
      <c r="BG16" s="329" t="n"/>
      <c r="BH16" s="329" t="n"/>
      <c r="BI16" s="329" t="n"/>
      <c r="BJ16" s="329" t="n"/>
      <c r="BK16" s="329" t="n"/>
      <c r="BL16" s="329" t="n"/>
      <c r="BM16" s="329" t="n"/>
      <c r="BN16" s="329" t="n"/>
      <c r="BO16" s="329" t="n"/>
      <c r="BP16" s="329" t="n"/>
      <c r="BQ16" s="329" t="n"/>
      <c r="BR16" s="329" t="n"/>
      <c r="BS16" s="329" t="n"/>
      <c r="BT16" s="329" t="n"/>
      <c r="BU16" s="329" t="n"/>
      <c r="BV16" s="329" t="n"/>
      <c r="BW16" s="329" t="n"/>
      <c r="BX16" s="329" t="n"/>
      <c r="BY16" s="329" t="n"/>
      <c r="BZ16" s="329" t="n"/>
      <c r="CA16" s="609" t="n"/>
      <c r="CE16" s="329" t="n"/>
      <c r="CF16" s="329" t="n"/>
      <c r="CG16" s="329" t="n"/>
      <c r="CH16" s="329" t="n"/>
      <c r="CI16" s="329" t="n"/>
    </row>
    <row r="17" ht="17.1" customHeight="1" s="8286">
      <c r="A17" s="2" t="inlineStr">
        <is>
          <t>SECCIÓN A.2: ACREDITACIÓN PRAIS SEGÚN LEY, NORMATIVA Y CALIDAD DE ACREDITACIÓN</t>
        </is>
      </c>
      <c r="B17" s="5" t="n"/>
      <c r="C17" s="3" t="n"/>
      <c r="D17" s="3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  <c r="P17" s="4" t="n"/>
      <c r="Q17" s="607" t="n"/>
      <c r="R17" s="607" t="n"/>
      <c r="S17" s="607" t="n"/>
      <c r="T17" s="607" t="n"/>
      <c r="U17" s="607" t="n"/>
      <c r="V17" s="607" t="n"/>
      <c r="W17" s="607" t="n"/>
      <c r="X17" s="607" t="n"/>
      <c r="Y17" s="607" t="n"/>
      <c r="Z17" s="607" t="n"/>
      <c r="AA17" s="607" t="n"/>
      <c r="AB17" s="607" t="n"/>
      <c r="AC17" s="607" t="n"/>
      <c r="AD17" s="607" t="n"/>
      <c r="AE17" s="607" t="n"/>
      <c r="AF17" s="607" t="n"/>
      <c r="AG17" s="607" t="n"/>
      <c r="AH17" s="607" t="n"/>
      <c r="AI17" s="607" t="n"/>
      <c r="AJ17" s="607" t="n"/>
      <c r="AK17" s="607" t="n"/>
      <c r="AL17" s="607" t="n"/>
      <c r="AM17" s="607" t="n"/>
      <c r="AO17" s="607" t="n"/>
      <c r="AP17" s="607" t="n"/>
      <c r="AQ17" s="607" t="n"/>
      <c r="AR17" s="607" t="n"/>
      <c r="AS17" s="607" t="n"/>
      <c r="AT17" s="607" t="n"/>
      <c r="AU17" s="607" t="n"/>
      <c r="AV17" s="607" t="n"/>
      <c r="AW17" s="607" t="n"/>
      <c r="AX17" s="607" t="n"/>
      <c r="AY17" s="607" t="n"/>
      <c r="AZ17" s="607" t="n"/>
      <c r="BA17" s="607" t="n"/>
      <c r="BB17" s="607" t="n"/>
      <c r="BC17" s="607" t="n"/>
      <c r="BD17" s="607" t="n"/>
      <c r="BE17" s="607" t="n"/>
      <c r="BF17" s="607" t="n"/>
      <c r="BG17" s="607" t="n"/>
      <c r="BH17" s="607" t="n"/>
      <c r="BI17" s="607" t="n"/>
      <c r="BJ17" s="607" t="n"/>
      <c r="BK17" s="607" t="n"/>
      <c r="BL17" s="607" t="n"/>
      <c r="BM17" s="607" t="n"/>
      <c r="BN17" s="607" t="n"/>
      <c r="BO17" s="607" t="n"/>
      <c r="BP17" s="607" t="n"/>
      <c r="BQ17" s="607" t="n"/>
      <c r="BR17" s="607" t="n"/>
      <c r="BS17" s="607" t="n"/>
      <c r="BT17" s="607" t="n"/>
      <c r="BU17" s="607" t="n"/>
      <c r="BV17" s="607" t="n"/>
      <c r="BW17" s="607" t="n"/>
      <c r="BX17" s="607" t="n"/>
      <c r="BY17" s="607" t="n"/>
      <c r="BZ17" s="607" t="n"/>
      <c r="CA17" s="606" t="n"/>
      <c r="CB17" s="607" t="n"/>
      <c r="CC17" s="607" t="n"/>
      <c r="CD17" s="607" t="n"/>
      <c r="CE17" s="607" t="n"/>
      <c r="CF17" s="607" t="n"/>
      <c r="CG17" s="607" t="n"/>
      <c r="CH17" s="607" t="n"/>
      <c r="CI17" s="607" t="n"/>
    </row>
    <row r="18" ht="15" customHeight="1" s="8286">
      <c r="A18" s="9309" t="inlineStr">
        <is>
          <t>CALIDAD DE LA ACREDITACIÓN</t>
        </is>
      </c>
      <c r="B18" s="10686" t="inlineStr">
        <is>
          <t xml:space="preserve">TOTAL        </t>
        </is>
      </c>
      <c r="C18" s="8400" t="inlineStr">
        <is>
          <t>ART. 7° LEY 19.980</t>
        </is>
      </c>
      <c r="D18" s="9584" t="n"/>
      <c r="E18" s="9584" t="n"/>
      <c r="F18" s="9582" t="n"/>
      <c r="G18" s="4505" t="inlineStr">
        <is>
          <t>NORMA COMPLEMENTARIA (N° 88)</t>
        </is>
      </c>
      <c r="H18" s="9584" t="n"/>
      <c r="I18" s="9584" t="n"/>
      <c r="J18" s="9584" t="n"/>
      <c r="K18" s="9647" t="n"/>
      <c r="L18" s="329" t="n"/>
      <c r="M18" s="329" t="n"/>
      <c r="N18" s="329" t="n"/>
      <c r="O18" s="329" t="n"/>
      <c r="P18" s="329" t="n"/>
      <c r="Q18" s="329" t="n"/>
      <c r="R18" s="329" t="n"/>
      <c r="S18" s="329" t="n"/>
      <c r="T18" s="329" t="n"/>
      <c r="U18" s="329" t="n"/>
      <c r="V18" s="329" t="n"/>
      <c r="W18" s="329" t="n"/>
      <c r="X18" s="329" t="n"/>
      <c r="Y18" s="329" t="n"/>
      <c r="AV18" s="329" t="n"/>
      <c r="AW18" s="329" t="n"/>
      <c r="AX18" s="329" t="n"/>
      <c r="AY18" s="329" t="n"/>
      <c r="BA18" s="329" t="n"/>
      <c r="BB18" s="329" t="n"/>
      <c r="BC18" s="329" t="n"/>
      <c r="BD18" s="329" t="n"/>
      <c r="BE18" s="329" t="n"/>
      <c r="BF18" s="329" t="n"/>
      <c r="BG18" s="329" t="n"/>
      <c r="BH18" s="329" t="n"/>
      <c r="BI18" s="329" t="n"/>
      <c r="BJ18" s="329" t="n"/>
      <c r="BK18" s="329" t="n"/>
      <c r="BL18" s="329" t="n"/>
      <c r="BM18" s="329" t="n"/>
      <c r="BN18" s="329" t="n"/>
      <c r="BO18" s="329" t="n"/>
      <c r="BP18" s="329" t="n"/>
      <c r="BQ18" s="329" t="n"/>
      <c r="BR18" s="329" t="n"/>
      <c r="BS18" s="329" t="n"/>
      <c r="BT18" s="329" t="n"/>
      <c r="BU18" s="329" t="n"/>
      <c r="BV18" s="329" t="n"/>
      <c r="BW18" s="329" t="n"/>
      <c r="BX18" s="329" t="n"/>
      <c r="BY18" s="329" t="n"/>
      <c r="BZ18" s="329" t="n"/>
      <c r="CA18" s="609" t="n"/>
      <c r="CE18" s="329" t="n"/>
      <c r="CF18" s="329" t="n"/>
      <c r="CG18" s="329" t="n"/>
      <c r="CH18" s="329" t="n"/>
      <c r="CI18" s="329" t="n"/>
    </row>
    <row r="19" ht="15" customHeight="1" s="8286">
      <c r="A19" s="9614" t="n"/>
      <c r="B19" s="9614" t="n"/>
      <c r="C19" s="9498" t="inlineStr">
        <is>
          <t>Ley 19.123, Ley 19.980, Ley 20.405 (DD Y EP)</t>
        </is>
      </c>
      <c r="D19" s="9499" t="inlineStr">
        <is>
          <t>Ley 19.992, Ley 20.405 (Prisión política y tortura)</t>
        </is>
      </c>
      <c r="E19" s="9499" t="inlineStr">
        <is>
          <t>Ley 19.965</t>
        </is>
      </c>
      <c r="F19" s="9975" t="inlineStr">
        <is>
          <t>Trabajador DDHH</t>
        </is>
      </c>
      <c r="G19" s="9498" t="inlineStr">
        <is>
          <t>Ex prisión política</t>
        </is>
      </c>
      <c r="H19" s="9499" t="inlineStr">
        <is>
          <t>Exilio</t>
        </is>
      </c>
      <c r="I19" s="9499" t="inlineStr">
        <is>
          <t>Relegación</t>
        </is>
      </c>
      <c r="J19" s="9499" t="inlineStr">
        <is>
          <t>Clandestinidad</t>
        </is>
      </c>
      <c r="K19" s="9975" t="inlineStr">
        <is>
          <t>Exoneración Política</t>
        </is>
      </c>
      <c r="L19" s="329" t="n"/>
      <c r="M19" s="329" t="n"/>
      <c r="N19" s="329" t="n"/>
      <c r="O19" s="329" t="n"/>
      <c r="P19" s="329" t="n"/>
      <c r="Q19" s="329" t="n"/>
      <c r="R19" s="329" t="n"/>
      <c r="S19" s="329" t="n"/>
      <c r="T19" s="329" t="n"/>
      <c r="U19" s="329" t="n"/>
      <c r="V19" s="329" t="n"/>
      <c r="W19" s="329" t="n"/>
      <c r="X19" s="329" t="n"/>
      <c r="Y19" s="329" t="n"/>
      <c r="AV19" s="329" t="n"/>
      <c r="AW19" s="329" t="n"/>
      <c r="AX19" s="329" t="n"/>
      <c r="AY19" s="329" t="n"/>
      <c r="BA19" s="329" t="n"/>
      <c r="BB19" s="329" t="n"/>
      <c r="BC19" s="329" t="n"/>
      <c r="BD19" s="329" t="n"/>
      <c r="BE19" s="329" t="n"/>
      <c r="BF19" s="329" t="n"/>
      <c r="BG19" s="329" t="n"/>
      <c r="BH19" s="329" t="n"/>
      <c r="BI19" s="329" t="n"/>
      <c r="BJ19" s="329" t="n"/>
      <c r="BK19" s="329" t="n"/>
      <c r="BL19" s="329" t="n"/>
      <c r="BM19" s="329" t="n"/>
      <c r="BN19" s="329" t="n"/>
      <c r="BO19" s="329" t="n"/>
      <c r="BP19" s="329" t="n"/>
      <c r="BQ19" s="329" t="n"/>
      <c r="BR19" s="329" t="n"/>
      <c r="BS19" s="329" t="n"/>
      <c r="BT19" s="329" t="n"/>
      <c r="BU19" s="329" t="n"/>
      <c r="BV19" s="329" t="n"/>
      <c r="BW19" s="329" t="n"/>
      <c r="BX19" s="329" t="n"/>
      <c r="BY19" s="329" t="n"/>
      <c r="BZ19" s="329" t="n"/>
      <c r="CA19" s="609" t="n"/>
      <c r="CE19" s="329" t="n"/>
      <c r="CF19" s="329" t="n"/>
      <c r="CG19" s="329" t="n"/>
      <c r="CH19" s="329" t="n"/>
      <c r="CI19" s="329" t="n"/>
    </row>
    <row r="20" ht="19.5" customHeight="1" s="8286">
      <c r="A20" s="9614" t="n"/>
      <c r="B20" s="9614" t="n"/>
      <c r="C20" s="10055" t="n"/>
      <c r="D20" s="9765" t="n"/>
      <c r="E20" s="9765" t="n"/>
      <c r="F20" s="9611" t="n"/>
      <c r="G20" s="10055" t="n"/>
      <c r="H20" s="9765" t="n"/>
      <c r="I20" s="9765" t="n"/>
      <c r="J20" s="9765" t="n"/>
      <c r="K20" s="9611" t="n"/>
      <c r="L20" s="329" t="n"/>
      <c r="M20" s="329" t="n"/>
      <c r="N20" s="329" t="n"/>
      <c r="O20" s="329" t="n"/>
      <c r="P20" s="329" t="n"/>
      <c r="Q20" s="329" t="n"/>
      <c r="R20" s="329" t="n"/>
      <c r="S20" s="329" t="n"/>
      <c r="T20" s="329" t="n"/>
      <c r="U20" s="329" t="n"/>
      <c r="V20" s="329" t="n"/>
      <c r="W20" s="329" t="n"/>
      <c r="X20" s="329" t="n"/>
      <c r="Y20" s="329" t="n"/>
      <c r="AV20" s="329" t="n"/>
      <c r="AW20" s="329" t="n"/>
      <c r="AX20" s="329" t="n"/>
      <c r="AY20" s="329" t="n"/>
      <c r="BA20" s="329" t="n"/>
      <c r="BB20" s="329" t="n"/>
      <c r="BC20" s="329" t="n"/>
      <c r="BD20" s="329" t="n"/>
      <c r="BE20" s="329" t="n"/>
      <c r="BF20" s="329" t="n"/>
      <c r="BG20" s="329" t="n"/>
      <c r="BH20" s="329" t="n"/>
      <c r="BI20" s="329" t="n"/>
      <c r="BJ20" s="329" t="n"/>
      <c r="BK20" s="329" t="n"/>
      <c r="BL20" s="329" t="n"/>
      <c r="BM20" s="329" t="n"/>
      <c r="BN20" s="329" t="n"/>
      <c r="BO20" s="329" t="n"/>
      <c r="BP20" s="329" t="n"/>
      <c r="BQ20" s="329" t="n"/>
      <c r="BR20" s="329" t="n"/>
      <c r="BS20" s="329" t="n"/>
      <c r="BT20" s="329" t="n"/>
      <c r="BU20" s="329" t="n"/>
      <c r="BV20" s="329" t="n"/>
      <c r="BW20" s="329" t="n"/>
      <c r="BX20" s="329" t="n"/>
      <c r="BY20" s="329" t="n"/>
      <c r="BZ20" s="329" t="n"/>
      <c r="CA20" s="609" t="n"/>
      <c r="CE20" s="329" t="n"/>
      <c r="CF20" s="329" t="n"/>
      <c r="CG20" s="329" t="n"/>
      <c r="CH20" s="329" t="n"/>
      <c r="CI20" s="329" t="n"/>
    </row>
    <row r="21" ht="16.5" customHeight="1" s="8286">
      <c r="A21" s="9230" t="inlineStr">
        <is>
          <t>Índice</t>
        </is>
      </c>
      <c r="B21" s="5024">
        <f>SUM(D21:K21)</f>
        <v/>
      </c>
      <c r="C21" s="5025" t="n"/>
      <c r="D21" s="5026" t="n"/>
      <c r="E21" s="5026" t="n"/>
      <c r="F21" s="4237" t="n"/>
      <c r="G21" s="4235" t="n"/>
      <c r="H21" s="5026" t="n"/>
      <c r="I21" s="5026" t="n"/>
      <c r="J21" s="5026" t="n"/>
      <c r="K21" s="4237" t="n"/>
      <c r="L21" s="329" t="n"/>
      <c r="M21" s="329" t="n"/>
      <c r="N21" s="329" t="n"/>
      <c r="O21" s="329" t="n"/>
      <c r="P21" s="329" t="n"/>
      <c r="Q21" s="329" t="n"/>
      <c r="R21" s="329" t="n"/>
      <c r="S21" s="329" t="n"/>
      <c r="T21" s="329" t="n"/>
      <c r="U21" s="329" t="n"/>
      <c r="V21" s="329" t="n"/>
      <c r="W21" s="329" t="n"/>
      <c r="X21" s="329" t="n"/>
      <c r="Y21" s="329" t="n"/>
      <c r="AV21" s="329" t="n"/>
      <c r="AW21" s="329" t="n"/>
      <c r="AX21" s="329" t="n"/>
      <c r="AY21" s="329" t="n"/>
      <c r="BA21" s="329" t="n"/>
      <c r="BB21" s="329" t="n"/>
      <c r="BC21" s="329" t="n"/>
      <c r="BD21" s="329" t="n"/>
      <c r="BE21" s="329" t="n"/>
      <c r="BF21" s="329" t="n"/>
      <c r="BG21" s="329" t="n"/>
      <c r="BH21" s="329" t="n"/>
      <c r="BI21" s="329" t="n"/>
      <c r="BJ21" s="329" t="n"/>
      <c r="BK21" s="329" t="n"/>
      <c r="BL21" s="329" t="n"/>
      <c r="BM21" s="329" t="n"/>
      <c r="BN21" s="329" t="n"/>
      <c r="BO21" s="329" t="n"/>
      <c r="BP21" s="329" t="n"/>
      <c r="BQ21" s="329" t="n"/>
      <c r="BR21" s="329" t="n"/>
      <c r="BS21" s="329" t="n"/>
      <c r="BT21" s="329" t="n"/>
      <c r="BU21" s="329" t="n"/>
      <c r="BV21" s="329" t="n"/>
      <c r="BW21" s="329" t="n"/>
      <c r="BX21" s="329" t="n"/>
      <c r="BY21" s="329" t="n"/>
      <c r="BZ21" s="329" t="n"/>
      <c r="CA21" s="609" t="n"/>
      <c r="CE21" s="329" t="n"/>
      <c r="CF21" s="329" t="n"/>
      <c r="CG21" s="329" t="n"/>
      <c r="CH21" s="329" t="n"/>
      <c r="CI21" s="329" t="n"/>
    </row>
    <row r="22">
      <c r="A22" s="4660" t="inlineStr">
        <is>
          <t>Afectado Directo</t>
        </is>
      </c>
      <c r="B22" s="5027">
        <f>SUM(C22:K22)</f>
        <v/>
      </c>
      <c r="C22" s="1172" t="n"/>
      <c r="D22" s="2001" t="n"/>
      <c r="E22" s="2001" t="n"/>
      <c r="F22" s="3788" t="n"/>
      <c r="G22" s="1172" t="n"/>
      <c r="H22" s="2001" t="n"/>
      <c r="I22" s="2001" t="n"/>
      <c r="J22" s="2001" t="n"/>
      <c r="K22" s="3788" t="n"/>
      <c r="L22" s="329" t="n"/>
      <c r="M22" s="329" t="n"/>
      <c r="N22" s="329" t="n"/>
      <c r="O22" s="329" t="n"/>
      <c r="P22" s="329" t="n"/>
      <c r="Q22" s="329" t="n"/>
      <c r="R22" s="329" t="n"/>
      <c r="S22" s="329" t="n"/>
      <c r="T22" s="329" t="n"/>
      <c r="U22" s="329" t="n"/>
      <c r="V22" s="329" t="n"/>
      <c r="W22" s="329" t="n"/>
      <c r="X22" s="329" t="n"/>
      <c r="Y22" s="329" t="n"/>
      <c r="AV22" s="329" t="n"/>
      <c r="AW22" s="329" t="n"/>
      <c r="AX22" s="329" t="n"/>
      <c r="AY22" s="329" t="n"/>
      <c r="BA22" s="329" t="n"/>
      <c r="BB22" s="329" t="n"/>
      <c r="BC22" s="329" t="n"/>
      <c r="BD22" s="329" t="n"/>
      <c r="BE22" s="329" t="n"/>
      <c r="BF22" s="329" t="n"/>
      <c r="BG22" s="329" t="n"/>
      <c r="BH22" s="329" t="n"/>
      <c r="BI22" s="329" t="n"/>
      <c r="BJ22" s="329" t="n"/>
      <c r="BK22" s="329" t="n"/>
      <c r="BL22" s="329" t="n"/>
      <c r="BM22" s="329" t="n"/>
      <c r="BN22" s="329" t="n"/>
      <c r="BO22" s="329" t="n"/>
      <c r="BP22" s="329" t="n"/>
      <c r="BQ22" s="329" t="n"/>
      <c r="BR22" s="329" t="n"/>
      <c r="BS22" s="329" t="n"/>
      <c r="BT22" s="329" t="n"/>
      <c r="BU22" s="329" t="n"/>
      <c r="BV22" s="329" t="n"/>
      <c r="BW22" s="329" t="n"/>
      <c r="BX22" s="329" t="n"/>
      <c r="BY22" s="329" t="n"/>
      <c r="BZ22" s="329" t="n"/>
      <c r="CA22" s="609" t="n"/>
      <c r="CE22" s="329" t="n"/>
      <c r="CF22" s="329" t="n"/>
      <c r="CG22" s="329" t="n"/>
      <c r="CH22" s="329" t="n"/>
      <c r="CI22" s="329" t="n"/>
    </row>
    <row r="23">
      <c r="A23" s="9231" t="inlineStr">
        <is>
          <t>Beneficiario</t>
        </is>
      </c>
      <c r="B23" s="5028">
        <f>SUM(C23:K23)</f>
        <v/>
      </c>
      <c r="C23" s="1172" t="n"/>
      <c r="D23" s="2001" t="n"/>
      <c r="E23" s="2001" t="n"/>
      <c r="F23" s="3788" t="n"/>
      <c r="G23" s="1172" t="n"/>
      <c r="H23" s="2001" t="n"/>
      <c r="I23" s="2001" t="n"/>
      <c r="J23" s="2001" t="n"/>
      <c r="K23" s="1180" t="n"/>
      <c r="L23" s="329" t="n"/>
      <c r="M23" s="329" t="n"/>
      <c r="N23" s="329" t="n"/>
      <c r="O23" s="329" t="n"/>
      <c r="P23" s="329" t="n"/>
      <c r="Q23" s="329" t="n"/>
      <c r="R23" s="329" t="n"/>
      <c r="S23" s="329" t="n"/>
      <c r="T23" s="329" t="n"/>
      <c r="U23" s="329" t="n"/>
      <c r="V23" s="329" t="n"/>
      <c r="W23" s="329" t="n"/>
      <c r="X23" s="329" t="n"/>
      <c r="Y23" s="329" t="n"/>
      <c r="AV23" s="329" t="n"/>
      <c r="AW23" s="329" t="n"/>
      <c r="AX23" s="329" t="n"/>
      <c r="AY23" s="329" t="n"/>
      <c r="BA23" s="329" t="n"/>
      <c r="BB23" s="329" t="n"/>
      <c r="BC23" s="329" t="n"/>
      <c r="BD23" s="329" t="n"/>
      <c r="BE23" s="329" t="n"/>
      <c r="BF23" s="329" t="n"/>
      <c r="BG23" s="329" t="n"/>
      <c r="BH23" s="329" t="n"/>
      <c r="BI23" s="329" t="n"/>
      <c r="BJ23" s="329" t="n"/>
      <c r="BK23" s="329" t="n"/>
      <c r="BL23" s="329" t="n"/>
      <c r="BM23" s="329" t="n"/>
      <c r="BN23" s="329" t="n"/>
      <c r="BO23" s="329" t="n"/>
      <c r="BP23" s="329" t="n"/>
      <c r="BQ23" s="329" t="n"/>
      <c r="BR23" s="329" t="n"/>
      <c r="BS23" s="329" t="n"/>
      <c r="BT23" s="329" t="n"/>
      <c r="BU23" s="329" t="n"/>
      <c r="BV23" s="329" t="n"/>
      <c r="BW23" s="329" t="n"/>
      <c r="BX23" s="329" t="n"/>
      <c r="BY23" s="329" t="n"/>
      <c r="BZ23" s="329" t="n"/>
      <c r="CA23" s="609" t="n"/>
      <c r="CE23" s="329" t="n"/>
      <c r="CF23" s="329" t="n"/>
      <c r="CG23" s="329" t="n"/>
      <c r="CH23" s="329" t="n"/>
      <c r="CI23" s="329" t="n"/>
    </row>
    <row r="24" ht="15" customHeight="1" s="8286">
      <c r="A24" s="9460" t="inlineStr">
        <is>
          <t>TOTAL</t>
        </is>
      </c>
      <c r="B24" s="5029">
        <f>SUM(B21:B23)</f>
        <v/>
      </c>
      <c r="C24" s="4539">
        <f>SUM(C22:C23)</f>
        <v/>
      </c>
      <c r="D24" s="4667">
        <f>SUM(D21:D23)</f>
        <v/>
      </c>
      <c r="E24" s="4667">
        <f>SUM(E21:E23)</f>
        <v/>
      </c>
      <c r="F24" s="5020">
        <f>SUM(F21:F23)</f>
        <v/>
      </c>
      <c r="G24" s="4539">
        <f>SUM(G21:G23)</f>
        <v/>
      </c>
      <c r="H24" s="4667">
        <f>SUM(H21:H23)</f>
        <v/>
      </c>
      <c r="I24" s="4667">
        <f>SUM(I21:I23)</f>
        <v/>
      </c>
      <c r="J24" s="4667">
        <f>SUM(J21:J23)</f>
        <v/>
      </c>
      <c r="K24" s="5020">
        <f>SUM(K21:K23)</f>
        <v/>
      </c>
      <c r="L24" s="329" t="n"/>
      <c r="M24" s="329" t="n"/>
      <c r="N24" s="329" t="n"/>
      <c r="O24" s="329" t="n"/>
      <c r="P24" s="329" t="n"/>
      <c r="Q24" s="329" t="n"/>
      <c r="R24" s="329" t="n"/>
      <c r="S24" s="329" t="n"/>
      <c r="T24" s="329" t="n"/>
      <c r="U24" s="329" t="n"/>
      <c r="V24" s="329" t="n"/>
      <c r="W24" s="329" t="n"/>
      <c r="X24" s="329" t="n"/>
      <c r="Y24" s="329" t="n"/>
      <c r="AV24" s="329" t="n"/>
      <c r="AW24" s="329" t="n"/>
      <c r="AX24" s="329" t="n"/>
      <c r="AY24" s="329" t="n"/>
      <c r="BA24" s="329" t="n"/>
      <c r="BB24" s="329" t="n"/>
      <c r="BC24" s="329" t="n"/>
      <c r="BD24" s="329" t="n"/>
      <c r="BE24" s="329" t="n"/>
      <c r="BF24" s="329" t="n"/>
      <c r="BG24" s="329" t="n"/>
      <c r="BH24" s="329" t="n"/>
      <c r="BI24" s="329" t="n"/>
      <c r="BJ24" s="329" t="n"/>
      <c r="BK24" s="329" t="n"/>
      <c r="BL24" s="329" t="n"/>
      <c r="BM24" s="329" t="n"/>
      <c r="BN24" s="329" t="n"/>
      <c r="BO24" s="329" t="n"/>
      <c r="BP24" s="329" t="n"/>
      <c r="BQ24" s="329" t="n"/>
      <c r="BR24" s="329" t="n"/>
      <c r="BS24" s="329" t="n"/>
      <c r="BT24" s="329" t="n"/>
      <c r="BU24" s="329" t="n"/>
      <c r="BV24" s="329" t="n"/>
      <c r="BW24" s="329" t="n"/>
      <c r="BX24" s="329" t="n"/>
      <c r="BY24" s="329" t="n"/>
      <c r="BZ24" s="329" t="n"/>
      <c r="CA24" s="609" t="n"/>
      <c r="CE24" s="329" t="n"/>
      <c r="CF24" s="329" t="n"/>
      <c r="CG24" s="329" t="n"/>
      <c r="CH24" s="329" t="n"/>
      <c r="CI24" s="329" t="n"/>
    </row>
    <row r="25" ht="17.1" customHeight="1" s="8286">
      <c r="A25" s="9" t="inlineStr">
        <is>
          <t>SECCIÓN B: INGRESOS Y CONTROLES</t>
        </is>
      </c>
      <c r="B25" s="9" t="n"/>
      <c r="C25" s="4" t="n"/>
      <c r="D25" s="606" t="n"/>
      <c r="E25" s="606" t="n"/>
      <c r="F25" s="606" t="n"/>
      <c r="G25" s="606" t="n"/>
      <c r="H25" s="606" t="n"/>
      <c r="I25" s="606" t="n"/>
      <c r="J25" s="606" t="n"/>
      <c r="K25" s="606" t="n"/>
      <c r="L25" s="606" t="n"/>
      <c r="M25" s="606" t="n"/>
      <c r="N25" s="606" t="n"/>
      <c r="O25" s="606" t="n"/>
      <c r="P25" s="606" t="n"/>
      <c r="Q25" s="606" t="n"/>
      <c r="R25" s="606" t="n"/>
      <c r="S25" s="606" t="n"/>
      <c r="T25" s="606" t="n"/>
      <c r="U25" s="606" t="n"/>
      <c r="V25" s="606" t="n"/>
      <c r="W25" s="606" t="n"/>
      <c r="X25" s="606" t="n"/>
      <c r="Y25" s="606" t="n"/>
      <c r="Z25" s="606" t="n"/>
      <c r="AA25" s="606" t="n"/>
      <c r="AB25" s="606" t="n"/>
      <c r="AC25" s="606" t="n"/>
      <c r="AD25" s="606" t="n"/>
      <c r="AE25" s="606" t="n"/>
      <c r="AF25" s="606" t="n"/>
      <c r="AG25" s="606" t="n"/>
      <c r="AH25" s="606" t="n"/>
      <c r="AI25" s="606" t="n"/>
      <c r="AJ25" s="606" t="n"/>
      <c r="AK25" s="606" t="n"/>
      <c r="AL25" s="606" t="n"/>
      <c r="AM25" s="606" t="n"/>
      <c r="AO25" s="101" t="n"/>
      <c r="AP25" s="101" t="n"/>
      <c r="AQ25" s="101" t="n"/>
      <c r="AR25" s="101" t="n"/>
      <c r="AS25" s="101" t="n"/>
      <c r="AT25" s="101" t="n"/>
      <c r="AU25" s="101" t="n"/>
      <c r="AV25" s="101" t="n"/>
      <c r="AW25" s="101" t="n"/>
      <c r="AX25" s="101" t="n"/>
      <c r="AY25" s="101" t="n"/>
      <c r="AZ25" s="101" t="n"/>
      <c r="BA25" s="17" t="n"/>
      <c r="BB25" s="17" t="n"/>
      <c r="BC25" s="17" t="n"/>
      <c r="BD25" s="17" t="n"/>
      <c r="BE25" s="17" t="n"/>
      <c r="BF25" s="17" t="n"/>
      <c r="BG25" s="17" t="n"/>
      <c r="BH25" s="17" t="n"/>
      <c r="BI25" s="17" t="n"/>
      <c r="BJ25" s="17" t="n"/>
      <c r="BK25" s="17" t="n"/>
      <c r="BL25" s="17" t="n"/>
      <c r="BM25" s="17" t="n"/>
      <c r="BN25" s="17" t="n"/>
      <c r="BO25" s="17" t="n"/>
      <c r="BP25" s="17" t="n"/>
      <c r="BQ25" s="17" t="n"/>
      <c r="BR25" s="17" t="n"/>
      <c r="BS25" s="17" t="n"/>
      <c r="BT25" s="17" t="n"/>
      <c r="BU25" s="17" t="n"/>
      <c r="BV25" s="17" t="n"/>
      <c r="BW25" s="329" t="n"/>
      <c r="BX25" s="329" t="n"/>
      <c r="BY25" s="329" t="n"/>
      <c r="BZ25" s="329" t="n"/>
      <c r="CA25" s="609" t="n"/>
      <c r="CE25" s="329" t="n"/>
      <c r="CF25" s="329" t="n"/>
      <c r="CG25" s="329" t="n"/>
      <c r="CH25" s="329" t="n"/>
      <c r="CI25" s="329" t="n"/>
    </row>
    <row r="26" ht="21.75" customHeight="1" s="8286">
      <c r="A26" s="10405" t="inlineStr">
        <is>
          <t>ACTIVIDAD</t>
        </is>
      </c>
      <c r="B26" s="10046" t="inlineStr">
        <is>
          <t>PROFESIONAL</t>
        </is>
      </c>
      <c r="C26" s="10712" t="inlineStr">
        <is>
          <t>TOTAL</t>
        </is>
      </c>
      <c r="D26" s="9602" t="n"/>
      <c r="E26" s="9602" t="n"/>
      <c r="F26" s="10713" t="inlineStr">
        <is>
          <t>RANGO ETARIO Y SEXO</t>
        </is>
      </c>
      <c r="G26" s="9584" t="n"/>
      <c r="H26" s="9584" t="n"/>
      <c r="I26" s="9584" t="n"/>
      <c r="J26" s="9584" t="n"/>
      <c r="K26" s="9584" t="n"/>
      <c r="L26" s="9584" t="n"/>
      <c r="M26" s="9584" t="n"/>
      <c r="N26" s="9584" t="n"/>
      <c r="O26" s="9584" t="n"/>
      <c r="P26" s="9584" t="n"/>
      <c r="Q26" s="9584" t="n"/>
      <c r="R26" s="9584" t="n"/>
      <c r="S26" s="9584" t="n"/>
      <c r="T26" s="9584" t="n"/>
      <c r="U26" s="9595" t="n"/>
      <c r="V26" s="10590" t="inlineStr">
        <is>
          <t>CALIDAD DE ACREDITACIÓN</t>
        </is>
      </c>
      <c r="W26" s="9584" t="n"/>
      <c r="X26" s="9584" t="n"/>
      <c r="Y26" s="9584" t="n"/>
      <c r="Z26" s="9584" t="n"/>
      <c r="AA26" s="9584" t="n"/>
      <c r="AB26" s="9584" t="n"/>
      <c r="AC26" s="9584" t="n"/>
      <c r="AD26" s="9584" t="n"/>
      <c r="AE26" s="9584" t="n"/>
      <c r="AF26" s="9584" t="n"/>
      <c r="AG26" s="9584" t="n"/>
      <c r="AH26" s="9584" t="n"/>
      <c r="AI26" s="9582" t="n"/>
      <c r="AJ26" s="10230" t="inlineStr">
        <is>
          <t>Pueblos Originarios</t>
        </is>
      </c>
      <c r="AQ26" s="101" t="n"/>
      <c r="AR26" s="101" t="n"/>
      <c r="AS26" s="101" t="n"/>
      <c r="AT26" s="101" t="n"/>
      <c r="AU26" s="101" t="n"/>
      <c r="AV26" s="101" t="n"/>
      <c r="AW26" s="101" t="n"/>
      <c r="AX26" s="101" t="n"/>
      <c r="AY26" s="101" t="n"/>
      <c r="AZ26" s="101" t="n"/>
      <c r="BA26" s="17" t="n"/>
      <c r="BB26" s="17" t="n"/>
      <c r="BC26" s="17" t="n"/>
      <c r="BD26" s="17" t="n"/>
      <c r="BE26" s="17" t="n"/>
      <c r="BF26" s="17" t="n"/>
      <c r="BG26" s="17" t="n"/>
      <c r="BH26" s="17" t="n"/>
      <c r="BI26" s="17" t="n"/>
      <c r="BJ26" s="17" t="n"/>
      <c r="BW26" s="329" t="n"/>
      <c r="BX26" s="329" t="n"/>
      <c r="BY26" s="329" t="n"/>
      <c r="BZ26" s="329" t="n"/>
      <c r="CA26" s="609" t="n"/>
      <c r="CE26" s="329" t="n"/>
      <c r="CF26" s="329" t="n"/>
      <c r="CG26" s="329" t="n"/>
      <c r="CH26" s="329" t="n"/>
      <c r="CI26" s="329" t="n"/>
    </row>
    <row r="27" ht="28.5" customHeight="1" s="8286">
      <c r="A27" s="9625" t="n"/>
      <c r="B27" s="9614" t="n"/>
      <c r="C27" s="642" t="n"/>
      <c r="F27" s="10714" t="inlineStr">
        <is>
          <t>Menores de 15 años</t>
        </is>
      </c>
      <c r="G27" s="9584" t="n"/>
      <c r="H27" s="9917" t="inlineStr">
        <is>
          <t>15 a 24 años</t>
        </is>
      </c>
      <c r="I27" s="9582" t="n"/>
      <c r="J27" s="10715" t="inlineStr">
        <is>
          <t>25 - 34 años</t>
        </is>
      </c>
      <c r="K27" s="9648" t="n"/>
      <c r="L27" s="9917" t="inlineStr">
        <is>
          <t>35 - 44 años</t>
        </is>
      </c>
      <c r="M27" s="9582" t="n"/>
      <c r="N27" s="9917" t="inlineStr">
        <is>
          <t>45 - 54 años</t>
        </is>
      </c>
      <c r="O27" s="9582" t="n"/>
      <c r="P27" s="9917" t="inlineStr">
        <is>
          <t>55 - 64 años</t>
        </is>
      </c>
      <c r="Q27" s="9582" t="n"/>
      <c r="R27" s="9917" t="inlineStr">
        <is>
          <t>65 - 74 años</t>
        </is>
      </c>
      <c r="S27" s="9582" t="n"/>
      <c r="T27" s="10163" t="inlineStr">
        <is>
          <t>75 y más años</t>
        </is>
      </c>
      <c r="U27" s="9647" t="n"/>
      <c r="V27" s="9975" t="inlineStr">
        <is>
          <t>Ley 19.123, Ley 19.980, Ley 20.405 (DD Y EP)</t>
        </is>
      </c>
      <c r="W27" s="9582" t="n"/>
      <c r="X27" s="4568" t="inlineStr">
        <is>
          <t>Ley 19.992, Ley 20.405 (Prisión política y tortura)</t>
        </is>
      </c>
      <c r="Y27" s="9584" t="n"/>
      <c r="Z27" s="9647" t="n"/>
      <c r="AA27" s="10057" t="inlineStr">
        <is>
          <t>Exilio</t>
        </is>
      </c>
      <c r="AB27" s="9584" t="n"/>
      <c r="AC27" s="9647" t="n"/>
      <c r="AD27" s="10057" t="inlineStr">
        <is>
          <t>Exoneración Política</t>
        </is>
      </c>
      <c r="AE27" s="9584" t="n"/>
      <c r="AF27" s="9647" t="n"/>
      <c r="AG27" s="10710" t="inlineStr">
        <is>
          <t>Otros hechos represivos según Norma técnica N° 88</t>
        </is>
      </c>
      <c r="AH27" s="9584" t="n"/>
      <c r="AI27" s="9647" t="n"/>
      <c r="AJ27" s="9625" t="n"/>
      <c r="AK27" s="101" t="n"/>
      <c r="AL27" s="101" t="n"/>
      <c r="AM27" s="101" t="n"/>
      <c r="AN27" s="101" t="n"/>
      <c r="AO27" s="101" t="n"/>
      <c r="AP27" s="101" t="n"/>
      <c r="AQ27" s="101" t="n"/>
      <c r="AR27" s="101" t="n"/>
      <c r="AS27" s="101" t="n"/>
      <c r="AT27" s="101" t="n"/>
      <c r="AU27" s="101" t="n"/>
      <c r="AV27" s="17" t="n"/>
      <c r="AW27" s="17" t="n"/>
      <c r="AX27" s="17" t="n"/>
      <c r="AY27" s="17" t="n"/>
      <c r="AZ27" s="101" t="n"/>
      <c r="BA27" s="17" t="n"/>
      <c r="BB27" s="17" t="n"/>
      <c r="BC27" s="17" t="n"/>
      <c r="BD27" s="17" t="n"/>
      <c r="BW27" s="329" t="n"/>
      <c r="BX27" s="329" t="n"/>
      <c r="BY27" s="329" t="n"/>
      <c r="BZ27" s="329" t="n"/>
      <c r="CA27" s="609" t="n"/>
      <c r="CE27" s="329" t="n"/>
      <c r="CF27" s="329" t="n"/>
      <c r="CG27" s="329" t="n"/>
      <c r="CH27" s="329" t="n"/>
      <c r="CI27" s="329" t="n"/>
    </row>
    <row r="28" ht="21.75" customHeight="1" s="8286">
      <c r="A28" s="9625" t="n"/>
      <c r="B28" s="9614" t="n"/>
      <c r="C28" s="4498" t="inlineStr">
        <is>
          <t>Ambos Sexos</t>
        </is>
      </c>
      <c r="D28" s="5030" t="inlineStr">
        <is>
          <t>Hombres</t>
        </is>
      </c>
      <c r="E28" s="5031" t="inlineStr">
        <is>
          <t>Mujeres</t>
        </is>
      </c>
      <c r="F28" s="4498" t="inlineStr">
        <is>
          <t>Hombres</t>
        </is>
      </c>
      <c r="G28" s="5031" t="inlineStr">
        <is>
          <t>Mujeres</t>
        </is>
      </c>
      <c r="H28" s="4498" t="inlineStr">
        <is>
          <t>Hombres</t>
        </is>
      </c>
      <c r="I28" s="5031" t="inlineStr">
        <is>
          <t>Mujeres</t>
        </is>
      </c>
      <c r="J28" s="5030" t="inlineStr">
        <is>
          <t>Hombres</t>
        </is>
      </c>
      <c r="K28" s="9446" t="inlineStr">
        <is>
          <t>Mujeres</t>
        </is>
      </c>
      <c r="L28" s="4498" t="inlineStr">
        <is>
          <t>Hombres</t>
        </is>
      </c>
      <c r="M28" s="5031" t="inlineStr">
        <is>
          <t>Mujeres</t>
        </is>
      </c>
      <c r="N28" s="4498" t="inlineStr">
        <is>
          <t>Hombres</t>
        </is>
      </c>
      <c r="O28" s="5031" t="inlineStr">
        <is>
          <t>Mujeres</t>
        </is>
      </c>
      <c r="P28" s="4498" t="inlineStr">
        <is>
          <t>Hombres</t>
        </is>
      </c>
      <c r="Q28" s="5031" t="inlineStr">
        <is>
          <t>Mujeres</t>
        </is>
      </c>
      <c r="R28" s="4498" t="inlineStr">
        <is>
          <t>Hombres</t>
        </is>
      </c>
      <c r="S28" s="5031" t="inlineStr">
        <is>
          <t>Mujeres</t>
        </is>
      </c>
      <c r="T28" s="4498" t="inlineStr">
        <is>
          <t>Hombres</t>
        </is>
      </c>
      <c r="U28" s="5032" t="inlineStr">
        <is>
          <t>Mujeres</t>
        </is>
      </c>
      <c r="V28" s="5033" t="inlineStr">
        <is>
          <t>Afectado Directo</t>
        </is>
      </c>
      <c r="W28" s="9401" t="inlineStr">
        <is>
          <t>Beneficiario</t>
        </is>
      </c>
      <c r="X28" s="4650" t="inlineStr">
        <is>
          <t>Índice</t>
        </is>
      </c>
      <c r="Y28" s="4669" t="inlineStr">
        <is>
          <t>Afectado Directo</t>
        </is>
      </c>
      <c r="Z28" s="9372" t="inlineStr">
        <is>
          <t>Beneficiario</t>
        </is>
      </c>
      <c r="AA28" s="4938" t="inlineStr">
        <is>
          <t>Índice</t>
        </is>
      </c>
      <c r="AB28" s="4939" t="inlineStr">
        <is>
          <t>Afectado Directo</t>
        </is>
      </c>
      <c r="AC28" s="9372" t="inlineStr">
        <is>
          <t>Beneficiario</t>
        </is>
      </c>
      <c r="AD28" s="4938" t="inlineStr">
        <is>
          <t>Índice</t>
        </is>
      </c>
      <c r="AE28" s="4939" t="inlineStr">
        <is>
          <t>Afectado Directo</t>
        </is>
      </c>
      <c r="AF28" s="9372" t="inlineStr">
        <is>
          <t>Beneficiario</t>
        </is>
      </c>
      <c r="AG28" s="4938" t="inlineStr">
        <is>
          <t>Índice</t>
        </is>
      </c>
      <c r="AH28" s="4939" t="inlineStr">
        <is>
          <t>Afectado Directo</t>
        </is>
      </c>
      <c r="AI28" s="5034" t="inlineStr">
        <is>
          <t>Beneficiario</t>
        </is>
      </c>
      <c r="AJ28" s="9641" t="n"/>
      <c r="AK28" s="101" t="n"/>
      <c r="AL28" s="101" t="n"/>
      <c r="AM28" s="101" t="n"/>
      <c r="AN28" s="101" t="n"/>
      <c r="AO28" s="101" t="n"/>
      <c r="AP28" s="101" t="n"/>
      <c r="AQ28" s="101" t="n"/>
      <c r="AR28" s="101" t="n"/>
      <c r="AS28" s="101" t="n"/>
      <c r="AT28" s="101" t="n"/>
      <c r="AU28" s="101" t="n"/>
      <c r="AV28" s="17" t="n"/>
      <c r="AW28" s="17" t="n"/>
      <c r="AX28" s="17" t="n"/>
      <c r="AY28" s="17" t="n"/>
      <c r="AZ28" s="101" t="n"/>
      <c r="BA28" s="17" t="n"/>
      <c r="BB28" s="17" t="n"/>
      <c r="BC28" s="17" t="n"/>
      <c r="BD28" s="17" t="n"/>
      <c r="BW28" s="329" t="n"/>
      <c r="BX28" s="329" t="n"/>
      <c r="BY28" s="329" t="n"/>
      <c r="BZ28" s="329" t="n"/>
      <c r="CA28" s="609" t="n"/>
      <c r="CE28" s="329" t="n"/>
      <c r="CF28" s="329" t="n"/>
      <c r="CG28" s="329" t="n"/>
      <c r="CH28" s="329" t="n"/>
      <c r="CI28" s="329" t="n"/>
    </row>
    <row r="29" ht="15" customHeight="1" s="8286">
      <c r="A29" s="10716" t="inlineStr">
        <is>
          <t>Consulta de ingreso a la atención especializada</t>
        </is>
      </c>
      <c r="B29" s="5035" t="inlineStr">
        <is>
          <t>Psicóloga/o</t>
        </is>
      </c>
      <c r="C29" s="5036">
        <f>SUM(D29,E29)</f>
        <v/>
      </c>
      <c r="D29" s="1923">
        <f>SUM(F29,H29,J29,L29,N29,P29,R29,T29)</f>
        <v/>
      </c>
      <c r="E29" s="3695">
        <f>SUM(G29,I29,K29,M29,O29,Q29,S29,U29)</f>
        <v/>
      </c>
      <c r="F29" s="1971" t="n"/>
      <c r="G29" s="3649" t="n"/>
      <c r="H29" s="1971" t="n"/>
      <c r="I29" s="750" t="n"/>
      <c r="J29" s="1452" t="n"/>
      <c r="K29" s="2660" t="n"/>
      <c r="L29" s="1971" t="n"/>
      <c r="M29" s="750" t="n"/>
      <c r="N29" s="1971" t="n"/>
      <c r="O29" s="750" t="n"/>
      <c r="P29" s="1971" t="n"/>
      <c r="Q29" s="750" t="n"/>
      <c r="R29" s="1971" t="n"/>
      <c r="S29" s="750" t="n"/>
      <c r="T29" s="1971" t="n"/>
      <c r="U29" s="778" t="n"/>
      <c r="V29" s="3658" t="n"/>
      <c r="W29" s="878" t="n"/>
      <c r="X29" s="5037" t="n"/>
      <c r="Y29" s="1454" t="n"/>
      <c r="Z29" s="1454" t="n"/>
      <c r="AA29" s="5037" t="n"/>
      <c r="AB29" s="1454" t="n"/>
      <c r="AC29" s="1454" t="n"/>
      <c r="AD29" s="5037" t="n"/>
      <c r="AE29" s="1454" t="n"/>
      <c r="AF29" s="1454" t="n"/>
      <c r="AG29" s="5037" t="n"/>
      <c r="AH29" s="1454" t="n"/>
      <c r="AI29" s="1465" t="n"/>
      <c r="AJ29" s="5038" t="n"/>
      <c r="AK29" s="238">
        <f>$CA29</f>
        <v/>
      </c>
      <c r="AL29" s="5" t="n"/>
      <c r="AM29" s="5" t="n"/>
      <c r="AN29" s="5" t="n"/>
      <c r="AO29" s="5" t="n"/>
      <c r="AP29" s="5" t="n"/>
      <c r="AQ29" s="5" t="n"/>
      <c r="AR29" s="5" t="n"/>
      <c r="AS29" s="5" t="n"/>
      <c r="AT29" s="5" t="n"/>
      <c r="AU29" s="5" t="n"/>
      <c r="AV29" s="5" t="n"/>
      <c r="AW29" s="5" t="n"/>
      <c r="AX29" s="5" t="n"/>
      <c r="AY29" s="5" t="n"/>
      <c r="AZ29" s="5" t="n"/>
      <c r="BA29" s="5" t="n"/>
      <c r="BB29" s="5" t="n"/>
      <c r="BC29" s="5" t="n"/>
      <c r="BD29" s="5" t="n"/>
      <c r="BE29" s="5" t="n"/>
      <c r="BF29" s="5" t="n"/>
      <c r="BG29" s="5" t="n"/>
      <c r="BH29" s="5" t="n"/>
      <c r="BI29" s="5" t="n"/>
      <c r="BJ29" s="5" t="n"/>
      <c r="BK29" s="5" t="n"/>
      <c r="BL29" s="5" t="n"/>
      <c r="BM29" s="5" t="n"/>
      <c r="BN29" s="5" t="n"/>
      <c r="BO29" s="5" t="n"/>
      <c r="BP29" s="5" t="n"/>
      <c r="BQ29" s="5" t="n"/>
      <c r="BR29" s="5" t="n"/>
      <c r="BS29" s="5" t="n"/>
      <c r="BT29" s="5" t="n"/>
      <c r="BU29" s="5" t="n"/>
      <c r="BV29" s="5" t="n"/>
      <c r="CA29" s="405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 t="n"/>
      <c r="CC29" s="239" t="n"/>
      <c r="CD29" s="239" t="n"/>
      <c r="CE29" s="5" t="n"/>
      <c r="CF29" s="5" t="n"/>
      <c r="CG29" s="5" t="n"/>
      <c r="CH29" s="5" t="n"/>
      <c r="CI29" s="29">
        <f>IF(AND($C29&lt;&gt;0,AJ29=""),1,IF(AJ29&gt;$C29,1,0))</f>
        <v/>
      </c>
    </row>
    <row r="30">
      <c r="A30" s="9627" t="n"/>
      <c r="B30" s="5039" t="inlineStr">
        <is>
          <t>Trabajador/a Social</t>
        </is>
      </c>
      <c r="C30" s="1123">
        <f>SUM(D30,E30)</f>
        <v/>
      </c>
      <c r="D30" s="1923">
        <f>SUM(F30,H30,J30,L30,N30,P30,R30,T30)</f>
        <v/>
      </c>
      <c r="E30" s="3695">
        <f>SUM(G30,I30,K30,M30,O30,Q30,S30,U30)</f>
        <v/>
      </c>
      <c r="F30" s="1124" t="n"/>
      <c r="G30" s="3656" t="n"/>
      <c r="H30" s="1124" t="n"/>
      <c r="I30" s="878" t="n"/>
      <c r="J30" s="3658" t="n"/>
      <c r="K30" s="879" t="n"/>
      <c r="L30" s="1124" t="n"/>
      <c r="M30" s="878" t="n"/>
      <c r="N30" s="1124" t="n"/>
      <c r="O30" s="878" t="n"/>
      <c r="P30" s="1124" t="n"/>
      <c r="Q30" s="878" t="n"/>
      <c r="R30" s="1124" t="n"/>
      <c r="S30" s="878" t="n"/>
      <c r="T30" s="1124" t="n"/>
      <c r="U30" s="880" t="n"/>
      <c r="V30" s="3658" t="n"/>
      <c r="W30" s="878" t="n"/>
      <c r="X30" s="1124" t="n"/>
      <c r="Y30" s="882" t="n"/>
      <c r="Z30" s="882" t="n"/>
      <c r="AA30" s="1124" t="n"/>
      <c r="AB30" s="882" t="n"/>
      <c r="AC30" s="882" t="n"/>
      <c r="AD30" s="1124" t="n"/>
      <c r="AE30" s="882" t="n"/>
      <c r="AF30" s="882" t="n"/>
      <c r="AG30" s="1124" t="n"/>
      <c r="AH30" s="882" t="n"/>
      <c r="AI30" s="880" t="n"/>
      <c r="AJ30" s="2688" t="n"/>
      <c r="AK30" s="238">
        <f>$CA30</f>
        <v/>
      </c>
      <c r="AL30" s="5" t="n"/>
      <c r="AM30" s="5" t="n"/>
      <c r="AN30" s="5" t="n"/>
      <c r="AO30" s="5" t="n"/>
      <c r="AP30" s="5" t="n"/>
      <c r="AQ30" s="5" t="n"/>
      <c r="AR30" s="5" t="n"/>
      <c r="AS30" s="5" t="n"/>
      <c r="AT30" s="5" t="n"/>
      <c r="AU30" s="5" t="n"/>
      <c r="AV30" s="5" t="n"/>
      <c r="AW30" s="5" t="n"/>
      <c r="AX30" s="5" t="n"/>
      <c r="AY30" s="5" t="n"/>
      <c r="AZ30" s="5" t="n"/>
      <c r="BA30" s="5" t="n"/>
      <c r="BB30" s="5" t="n"/>
      <c r="BC30" s="5" t="n"/>
      <c r="BD30" s="5" t="n"/>
      <c r="BE30" s="5" t="n"/>
      <c r="BF30" s="5" t="n"/>
      <c r="BG30" s="5" t="n"/>
      <c r="BH30" s="5" t="n"/>
      <c r="BI30" s="5" t="n"/>
      <c r="BJ30" s="5" t="n"/>
      <c r="BK30" s="5" t="n"/>
      <c r="BL30" s="5" t="n"/>
      <c r="BM30" s="5" t="n"/>
      <c r="BN30" s="5" t="n"/>
      <c r="BO30" s="5" t="n"/>
      <c r="BP30" s="5" t="n"/>
      <c r="BQ30" s="5" t="n"/>
      <c r="BR30" s="5" t="n"/>
      <c r="BS30" s="5" t="n"/>
      <c r="BT30" s="5" t="n"/>
      <c r="BU30" s="5" t="n"/>
      <c r="BV30" s="5" t="n"/>
      <c r="CA30" s="405">
        <f>IF(AND($C30&lt;&gt;0,AJ30=""),"* No olvide ingresar la columna Pueblos Originarios, digite CERO si no tiene.  ",IF(AJ30&gt;$C30,"* El número de Pueblos Originarios no puede superar el Total  Ambos Sexos.  ",""))</f>
        <v/>
      </c>
      <c r="CB30" s="239" t="n"/>
      <c r="CC30" s="239" t="n"/>
      <c r="CD30" s="239" t="n"/>
      <c r="CE30" s="5" t="n"/>
      <c r="CF30" s="5" t="n"/>
      <c r="CG30" s="5" t="n"/>
      <c r="CH30" s="5" t="n"/>
      <c r="CI30" s="29">
        <f>IF(AND($C30&lt;&gt;0,AJ30=""),1,IF(AJ30&gt;$C30,1,0))</f>
        <v/>
      </c>
    </row>
    <row r="31">
      <c r="A31" s="9627" t="n"/>
      <c r="B31" s="5039" t="inlineStr">
        <is>
          <t>Médico/a General</t>
        </is>
      </c>
      <c r="C31" s="1123">
        <f>SUM(D31,E31)</f>
        <v/>
      </c>
      <c r="D31" s="1923">
        <f>SUM(F31,H31,J31,L31,N31,P31,R31,T31)</f>
        <v/>
      </c>
      <c r="E31" s="3695">
        <f>SUM(G31,I31,K31,M31,O31,Q31,S31,U31)</f>
        <v/>
      </c>
      <c r="F31" s="1124" t="n"/>
      <c r="G31" s="3656" t="n"/>
      <c r="H31" s="1124" t="n"/>
      <c r="I31" s="878" t="n"/>
      <c r="J31" s="3658" t="n"/>
      <c r="K31" s="879" t="n"/>
      <c r="L31" s="1124" t="n"/>
      <c r="M31" s="878" t="n"/>
      <c r="N31" s="1124" t="n"/>
      <c r="O31" s="878" t="n"/>
      <c r="P31" s="1124" t="n"/>
      <c r="Q31" s="878" t="n"/>
      <c r="R31" s="1124" t="n"/>
      <c r="S31" s="878" t="n"/>
      <c r="T31" s="1124" t="n"/>
      <c r="U31" s="880" t="n"/>
      <c r="V31" s="3658" t="n"/>
      <c r="W31" s="878" t="n"/>
      <c r="X31" s="1124" t="n"/>
      <c r="Y31" s="882" t="n"/>
      <c r="Z31" s="882" t="n"/>
      <c r="AA31" s="1124" t="n"/>
      <c r="AB31" s="882" t="n"/>
      <c r="AC31" s="882" t="n"/>
      <c r="AD31" s="1124" t="n"/>
      <c r="AE31" s="882" t="n"/>
      <c r="AF31" s="882" t="n"/>
      <c r="AG31" s="1124" t="n"/>
      <c r="AH31" s="882" t="n"/>
      <c r="AI31" s="880" t="n"/>
      <c r="AJ31" s="2688" t="n"/>
      <c r="AK31" s="238">
        <f>$CA31</f>
        <v/>
      </c>
      <c r="AL31" s="5" t="n"/>
      <c r="AM31" s="5" t="n"/>
      <c r="AN31" s="5" t="n"/>
      <c r="AO31" s="5" t="n"/>
      <c r="AP31" s="5" t="n"/>
      <c r="AQ31" s="5" t="n"/>
      <c r="AR31" s="5" t="n"/>
      <c r="AS31" s="5" t="n"/>
      <c r="AT31" s="5" t="n"/>
      <c r="AU31" s="5" t="n"/>
      <c r="AV31" s="5" t="n"/>
      <c r="AW31" s="5" t="n"/>
      <c r="AX31" s="5" t="n"/>
      <c r="AY31" s="5" t="n"/>
      <c r="AZ31" s="5" t="n"/>
      <c r="BA31" s="5" t="n"/>
      <c r="BB31" s="5" t="n"/>
      <c r="BC31" s="5" t="n"/>
      <c r="BD31" s="5" t="n"/>
      <c r="BE31" s="5" t="n"/>
      <c r="BF31" s="5" t="n"/>
      <c r="BG31" s="5" t="n"/>
      <c r="BH31" s="5" t="n"/>
      <c r="BI31" s="5" t="n"/>
      <c r="BJ31" s="5" t="n"/>
      <c r="BK31" s="5" t="n"/>
      <c r="BL31" s="5" t="n"/>
      <c r="BM31" s="5" t="n"/>
      <c r="BN31" s="5" t="n"/>
      <c r="BO31" s="5" t="n"/>
      <c r="BP31" s="5" t="n"/>
      <c r="BQ31" s="5" t="n"/>
      <c r="BR31" s="5" t="n"/>
      <c r="BS31" s="5" t="n"/>
      <c r="BT31" s="5" t="n"/>
      <c r="BU31" s="5" t="n"/>
      <c r="BV31" s="5" t="n"/>
      <c r="CA31" s="405">
        <f>IF(AND($C31&lt;&gt;0,AJ31=""),"* No olvide ingresar la columna Pueblos Originarios, digite CERO si no tiene.  ",IF(AJ31&gt;$C31,"* El número de Pueblos Originarios no puede superar el Total  Ambos Sexos.  ",""))</f>
        <v/>
      </c>
      <c r="CB31" s="239" t="n"/>
      <c r="CC31" s="239" t="n"/>
      <c r="CD31" s="239" t="n"/>
      <c r="CE31" s="5" t="n"/>
      <c r="CF31" s="5" t="n"/>
      <c r="CG31" s="5" t="n"/>
      <c r="CH31" s="5" t="n"/>
      <c r="CI31" s="29">
        <f>IF(AND($C31&lt;&gt;0,AJ31=""),1,IF(AJ31&gt;$C31,1,0))</f>
        <v/>
      </c>
    </row>
    <row r="32">
      <c r="A32" s="9627" t="n"/>
      <c r="B32" s="5040" t="inlineStr">
        <is>
          <t xml:space="preserve">Psiquiatra </t>
        </is>
      </c>
      <c r="C32" s="3724">
        <f>SUM(D32,E32)</f>
        <v/>
      </c>
      <c r="D32" s="3833">
        <f>SUM(F32,H32,J32,L32,N32,P32,R32,T32)</f>
        <v/>
      </c>
      <c r="E32" s="1136">
        <f>SUM(G32,I32,K32,M32,O32,Q32,S32,U32)</f>
        <v/>
      </c>
      <c r="F32" s="3678" t="n"/>
      <c r="G32" s="1138" t="n"/>
      <c r="H32" s="3678" t="n"/>
      <c r="I32" s="3679" t="n"/>
      <c r="J32" s="3680" t="n"/>
      <c r="K32" s="3680" t="n"/>
      <c r="L32" s="3678" t="n"/>
      <c r="M32" s="3679" t="n"/>
      <c r="N32" s="3678" t="n"/>
      <c r="O32" s="3679" t="n"/>
      <c r="P32" s="3678" t="n"/>
      <c r="Q32" s="3679" t="n"/>
      <c r="R32" s="3678" t="n"/>
      <c r="S32" s="3679" t="n"/>
      <c r="T32" s="3678" t="n"/>
      <c r="U32" s="3682" t="n"/>
      <c r="V32" s="3680" t="n"/>
      <c r="W32" s="3679" t="n"/>
      <c r="X32" s="1198" t="n"/>
      <c r="Y32" s="1147" t="n"/>
      <c r="Z32" s="1147" t="n"/>
      <c r="AA32" s="1198" t="n"/>
      <c r="AB32" s="1147" t="n"/>
      <c r="AC32" s="1147" t="n"/>
      <c r="AD32" s="1198" t="n"/>
      <c r="AE32" s="1147" t="n"/>
      <c r="AF32" s="1147" t="n"/>
      <c r="AG32" s="1198" t="n"/>
      <c r="AH32" s="1147" t="n"/>
      <c r="AI32" s="1414" t="n"/>
      <c r="AJ32" s="1346" t="n"/>
      <c r="AK32" s="238">
        <f>$CA32</f>
        <v/>
      </c>
      <c r="AL32" s="5" t="n"/>
      <c r="AM32" s="5" t="n"/>
      <c r="AN32" s="5" t="n"/>
      <c r="AO32" s="5" t="n"/>
      <c r="AP32" s="5" t="n"/>
      <c r="AQ32" s="5" t="n"/>
      <c r="AR32" s="5" t="n"/>
      <c r="AS32" s="5" t="n"/>
      <c r="AT32" s="5" t="n"/>
      <c r="AU32" s="5" t="n"/>
      <c r="AV32" s="5" t="n"/>
      <c r="AW32" s="5" t="n"/>
      <c r="AX32" s="5" t="n"/>
      <c r="AY32" s="5" t="n"/>
      <c r="AZ32" s="5" t="n"/>
      <c r="BA32" s="5" t="n"/>
      <c r="BB32" s="5" t="n"/>
      <c r="BC32" s="5" t="n"/>
      <c r="BD32" s="5" t="n"/>
      <c r="BE32" s="5" t="n"/>
      <c r="BF32" s="5" t="n"/>
      <c r="BG32" s="5" t="n"/>
      <c r="BH32" s="5" t="n"/>
      <c r="BI32" s="5" t="n"/>
      <c r="BJ32" s="5" t="n"/>
      <c r="BK32" s="5" t="n"/>
      <c r="BL32" s="5" t="n"/>
      <c r="BM32" s="5" t="n"/>
      <c r="BN32" s="5" t="n"/>
      <c r="BO32" s="5" t="n"/>
      <c r="BP32" s="5" t="n"/>
      <c r="BQ32" s="5" t="n"/>
      <c r="BR32" s="5" t="n"/>
      <c r="BS32" s="5" t="n"/>
      <c r="BT32" s="5" t="n"/>
      <c r="BU32" s="5" t="n"/>
      <c r="BV32" s="5" t="n"/>
      <c r="CA32" s="405">
        <f>IF(AND($C32&lt;&gt;0,AJ32=""),"* No olvide ingresar la columna Pueblos Originarios, digite CERO si no tiene.  ",IF(AJ32&gt;$C32,"* El número de Pueblos Originarios no puede superar el Total  Ambos Sexos.  ",""))</f>
        <v/>
      </c>
      <c r="CB32" s="239" t="n"/>
      <c r="CC32" s="239" t="n"/>
      <c r="CD32" s="239" t="n"/>
      <c r="CE32" s="5" t="n"/>
      <c r="CF32" s="5" t="n"/>
      <c r="CG32" s="5" t="n"/>
      <c r="CH32" s="5" t="n"/>
      <c r="CI32" s="29">
        <f>IF(AND($C32&lt;&gt;0,AJ32=""),1,IF(AJ32&gt;$C32,1,0))</f>
        <v/>
      </c>
    </row>
    <row r="33">
      <c r="A33" s="9621" t="n"/>
      <c r="B33" s="5041" t="inlineStr">
        <is>
          <t>Dupla Profesional</t>
        </is>
      </c>
      <c r="C33" s="2684">
        <f>SUM(D33,E33)</f>
        <v/>
      </c>
      <c r="D33" s="711">
        <f>SUM(F33,H33,J33,L33,N33,P33,R33,T33)</f>
        <v/>
      </c>
      <c r="E33" s="3698">
        <f>SUM(G33,I33,K33,M33,O33,Q33,S33,U33)</f>
        <v/>
      </c>
      <c r="F33" s="1971" t="n"/>
      <c r="G33" s="3649" t="n"/>
      <c r="H33" s="1971" t="n"/>
      <c r="I33" s="750" t="n"/>
      <c r="J33" s="1452" t="n"/>
      <c r="K33" s="1452" t="n"/>
      <c r="L33" s="1971" t="n"/>
      <c r="M33" s="750" t="n"/>
      <c r="N33" s="1971" t="n"/>
      <c r="O33" s="750" t="n"/>
      <c r="P33" s="1971" t="n"/>
      <c r="Q33" s="750" t="n"/>
      <c r="R33" s="1971" t="n"/>
      <c r="S33" s="750" t="n"/>
      <c r="T33" s="1971" t="n"/>
      <c r="U33" s="778" t="n"/>
      <c r="V33" s="5042" t="n"/>
      <c r="W33" s="5043" t="n"/>
      <c r="X33" s="5044" t="n"/>
      <c r="Y33" s="5045" t="n"/>
      <c r="Z33" s="5045" t="n"/>
      <c r="AA33" s="5044" t="n"/>
      <c r="AB33" s="5045" t="n"/>
      <c r="AC33" s="5043" t="n"/>
      <c r="AD33" s="5046" t="n"/>
      <c r="AE33" s="5045" t="n"/>
      <c r="AF33" s="5043" t="n"/>
      <c r="AG33" s="5046" t="n"/>
      <c r="AH33" s="5045" t="n"/>
      <c r="AI33" s="5047" t="n"/>
      <c r="AJ33" s="5048" t="n"/>
      <c r="AK33" s="238">
        <f>$CA33</f>
        <v/>
      </c>
      <c r="AL33" s="5" t="n"/>
      <c r="AM33" s="5" t="n"/>
      <c r="AN33" s="5" t="n"/>
      <c r="AO33" s="5" t="n"/>
      <c r="AP33" s="5" t="n"/>
      <c r="AQ33" s="5" t="n"/>
      <c r="AR33" s="5" t="n"/>
      <c r="AS33" s="5" t="n"/>
      <c r="AT33" s="5" t="n"/>
      <c r="AU33" s="5" t="n"/>
      <c r="AV33" s="5" t="n"/>
      <c r="AW33" s="5" t="n"/>
      <c r="AX33" s="5" t="n"/>
      <c r="AY33" s="5" t="n"/>
      <c r="AZ33" s="5" t="n"/>
      <c r="BA33" s="5" t="n"/>
      <c r="BB33" s="5" t="n"/>
      <c r="BC33" s="5" t="n"/>
      <c r="BD33" s="5" t="n"/>
      <c r="BE33" s="5" t="n"/>
      <c r="BF33" s="5" t="n"/>
      <c r="BG33" s="5" t="n"/>
      <c r="BH33" s="5" t="n"/>
      <c r="BI33" s="5" t="n"/>
      <c r="BJ33" s="5" t="n"/>
      <c r="BK33" s="5" t="n"/>
      <c r="BL33" s="5" t="n"/>
      <c r="BM33" s="5" t="n"/>
      <c r="BN33" s="5" t="n"/>
      <c r="BO33" s="5" t="n"/>
      <c r="BP33" s="5" t="n"/>
      <c r="BQ33" s="5" t="n"/>
      <c r="BR33" s="5" t="n"/>
      <c r="BS33" s="5" t="n"/>
      <c r="BT33" s="5" t="n"/>
      <c r="BU33" s="5" t="n"/>
      <c r="BV33" s="5" t="n"/>
      <c r="CA33" s="405">
        <f>IF(AND($C33&lt;&gt;0,AJ33=""),"* No olvide ingresar la columna Pueblos Originarios, digite CERO si no tiene.  ",IF(AJ33&gt;$C33,"* El número de Pueblos Originarios no puede superar el Total  Ambos Sexos.  ",""))</f>
        <v/>
      </c>
      <c r="CB33" s="239" t="n"/>
      <c r="CC33" s="239" t="n"/>
      <c r="CD33" s="239" t="n"/>
      <c r="CE33" s="5" t="n"/>
      <c r="CF33" s="5" t="n"/>
      <c r="CG33" s="5" t="n"/>
      <c r="CH33" s="5" t="n"/>
      <c r="CI33" s="29">
        <f>IF(AND($C33&lt;&gt;0,AJ33=""),1,IF(AJ33&gt;$C33,1,0))</f>
        <v/>
      </c>
    </row>
    <row r="34">
      <c r="A34" s="10006" t="inlineStr">
        <is>
          <t>TOTAL</t>
        </is>
      </c>
      <c r="B34" s="9584" t="n"/>
      <c r="C34" s="4622">
        <f>SUM(C29:C33)</f>
        <v/>
      </c>
      <c r="D34" s="5049">
        <f>SUM(F34,H34,J34,L34,N34,P34,R34,T34)</f>
        <v/>
      </c>
      <c r="E34" s="5050">
        <f>SUM(G34,I34,K34,M34,O34,Q34,S34,U34)</f>
        <v/>
      </c>
      <c r="F34" s="5051">
        <f>SUM(F29:F33)</f>
        <v/>
      </c>
      <c r="G34" s="5052">
        <f>SUM(G29:G33)</f>
        <v/>
      </c>
      <c r="H34" s="5051">
        <f>SUM(H29:H33)</f>
        <v/>
      </c>
      <c r="I34" s="5053">
        <f>SUM(I29:I33)</f>
        <v/>
      </c>
      <c r="J34" s="5052">
        <f>SUM(J29:J33)</f>
        <v/>
      </c>
      <c r="K34" s="5052">
        <f>SUM(K29:K33)</f>
        <v/>
      </c>
      <c r="L34" s="5051">
        <f>SUM(L29:L33)</f>
        <v/>
      </c>
      <c r="M34" s="5052">
        <f>SUM(M29:M33)</f>
        <v/>
      </c>
      <c r="N34" s="5051">
        <f>SUM(N29:N33)</f>
        <v/>
      </c>
      <c r="O34" s="5052">
        <f>SUM(O29:O33)</f>
        <v/>
      </c>
      <c r="P34" s="5051">
        <f>SUM(P29:P33)</f>
        <v/>
      </c>
      <c r="Q34" s="5052">
        <f>SUM(Q29:Q33)</f>
        <v/>
      </c>
      <c r="R34" s="5051">
        <f>SUM(R29:R33)</f>
        <v/>
      </c>
      <c r="S34" s="5052">
        <f>SUM(S29:S33)</f>
        <v/>
      </c>
      <c r="T34" s="5051">
        <f>SUM(T29:T33)</f>
        <v/>
      </c>
      <c r="U34" s="5054">
        <f>SUM(U29:U33)</f>
        <v/>
      </c>
      <c r="V34" s="5055" t="n"/>
      <c r="W34" s="5056" t="n"/>
      <c r="X34" s="5055" t="n"/>
      <c r="Y34" s="5056" t="n"/>
      <c r="Z34" s="5057" t="n"/>
      <c r="AA34" s="5056" t="n"/>
      <c r="AB34" s="5056" t="n"/>
      <c r="AC34" s="5057" t="n"/>
      <c r="AD34" s="5056" t="n"/>
      <c r="AE34" s="5056" t="n"/>
      <c r="AF34" s="5057" t="n"/>
      <c r="AG34" s="5056" t="n"/>
      <c r="AH34" s="5056" t="n"/>
      <c r="AI34" s="5058" t="n"/>
      <c r="AJ34" s="5059">
        <f>SUM(AJ29:AJ33)</f>
        <v/>
      </c>
      <c r="AV34" s="329" t="n"/>
      <c r="AW34" s="329" t="n"/>
      <c r="AX34" s="329" t="n"/>
      <c r="AY34" s="329" t="n"/>
      <c r="BA34" s="329" t="n"/>
      <c r="BB34" s="329" t="n"/>
      <c r="BC34" s="329" t="n"/>
      <c r="BD34" s="329" t="n"/>
      <c r="BE34" s="329" t="n"/>
      <c r="BF34" s="329" t="n"/>
      <c r="BG34" s="329" t="n"/>
      <c r="BH34" s="329" t="n"/>
      <c r="BI34" s="329" t="n"/>
      <c r="BJ34" s="329" t="n"/>
      <c r="BK34" s="329" t="n"/>
      <c r="BL34" s="329" t="n"/>
      <c r="BM34" s="329" t="n"/>
      <c r="BN34" s="329" t="n"/>
      <c r="BO34" s="329" t="n"/>
      <c r="BP34" s="329" t="n"/>
      <c r="BQ34" s="329" t="n"/>
      <c r="BR34" s="329" t="n"/>
      <c r="BS34" s="329" t="n"/>
      <c r="BT34" s="329" t="n"/>
      <c r="BU34" s="329" t="n"/>
      <c r="BV34" s="329" t="n"/>
      <c r="BW34" s="329" t="n"/>
      <c r="BX34" s="329" t="n"/>
      <c r="BY34" s="329" t="n"/>
      <c r="BZ34" s="329" t="n"/>
      <c r="CA34" s="609" t="n"/>
      <c r="CE34" s="329" t="n"/>
      <c r="CF34" s="329" t="n"/>
      <c r="CG34" s="329" t="n"/>
      <c r="CH34" s="329" t="n"/>
      <c r="CI34" s="329" t="n"/>
    </row>
    <row r="35">
      <c r="A35" s="4505" t="inlineStr">
        <is>
          <t>Consulta Nueva</t>
        </is>
      </c>
      <c r="B35" s="5006" t="inlineStr">
        <is>
          <t>Médico/a General</t>
        </is>
      </c>
      <c r="C35" s="5036">
        <f>SUM(D35,E35)</f>
        <v/>
      </c>
      <c r="D35" s="1923">
        <f>SUM(F35,H35,J35,L35,N35,P35,R35,T35)</f>
        <v/>
      </c>
      <c r="E35" s="3695">
        <f>SUM(G35,I35,K35,M35,O35,Q35,S35,U35)</f>
        <v/>
      </c>
      <c r="F35" s="1124" t="n"/>
      <c r="G35" s="3656" t="n"/>
      <c r="H35" s="1124" t="n"/>
      <c r="I35" s="3656" t="n"/>
      <c r="J35" s="3658" t="n"/>
      <c r="K35" s="3656" t="n"/>
      <c r="L35" s="1124" t="n"/>
      <c r="M35" s="3656" t="n"/>
      <c r="N35" s="1124" t="n"/>
      <c r="O35" s="3656" t="n"/>
      <c r="P35" s="1124" t="n"/>
      <c r="Q35" s="3656" t="n"/>
      <c r="R35" s="1124" t="n"/>
      <c r="S35" s="3656" t="n"/>
      <c r="T35" s="1124" t="n"/>
      <c r="U35" s="5060" t="n"/>
      <c r="V35" s="1452" t="n"/>
      <c r="W35" s="3649" t="n"/>
      <c r="X35" s="5037" t="n"/>
      <c r="Y35" s="1454" t="n"/>
      <c r="Z35" s="1454" t="n"/>
      <c r="AA35" s="5037" t="n"/>
      <c r="AB35" s="1454" t="n"/>
      <c r="AC35" s="1454" t="n"/>
      <c r="AD35" s="5037" t="n"/>
      <c r="AE35" s="1454" t="n"/>
      <c r="AF35" s="2455" t="n"/>
      <c r="AG35" s="5061" t="n"/>
      <c r="AH35" s="1454" t="n"/>
      <c r="AI35" s="1465" t="n"/>
      <c r="AJ35" s="5038" t="n"/>
      <c r="AK35" s="238">
        <f>$CA35</f>
        <v/>
      </c>
      <c r="AL35" s="5" t="n"/>
      <c r="AM35" s="5" t="n"/>
      <c r="AN35" s="5" t="n"/>
      <c r="AO35" s="5" t="n"/>
      <c r="AP35" s="5" t="n"/>
      <c r="AQ35" s="5" t="n"/>
      <c r="AR35" s="5" t="n"/>
      <c r="AS35" s="5" t="n"/>
      <c r="AT35" s="5" t="n"/>
      <c r="AU35" s="5" t="n"/>
      <c r="AV35" s="5" t="n"/>
      <c r="AW35" s="5" t="n"/>
      <c r="AX35" s="5" t="n"/>
      <c r="AY35" s="5" t="n"/>
      <c r="AZ35" s="5" t="n"/>
      <c r="BA35" s="5" t="n"/>
      <c r="BB35" s="5" t="n"/>
      <c r="BC35" s="5" t="n"/>
      <c r="BD35" s="5" t="n"/>
      <c r="BE35" s="5" t="n"/>
      <c r="BF35" s="5" t="n"/>
      <c r="BG35" s="5" t="n"/>
      <c r="BH35" s="5" t="n"/>
      <c r="BI35" s="5" t="n"/>
      <c r="BJ35" s="5" t="n"/>
      <c r="BK35" s="5" t="n"/>
      <c r="BL35" s="5" t="n"/>
      <c r="BM35" s="5" t="n"/>
      <c r="BN35" s="5" t="n"/>
      <c r="BO35" s="5" t="n"/>
      <c r="BP35" s="5" t="n"/>
      <c r="BQ35" s="5" t="n"/>
      <c r="BR35" s="5" t="n"/>
      <c r="BS35" s="5" t="n"/>
      <c r="BT35" s="5" t="n"/>
      <c r="BU35" s="5" t="n"/>
      <c r="BV35" s="5" t="n"/>
      <c r="CA35" s="405">
        <f>IF(AND($C35&lt;&gt;0,AJ35=""),"* No olvide ingresar la columna Pueblos Originarios, digite CERO si no tiene.  ",IF(AJ35&gt;$C35,"* El número de Pueblos Originarios no puede superar el Total Ambos Sexos.  ",""))</f>
        <v/>
      </c>
      <c r="CB35" s="239" t="n"/>
      <c r="CC35" s="239" t="n"/>
      <c r="CD35" s="239" t="n"/>
      <c r="CE35" s="5" t="n"/>
      <c r="CF35" s="5" t="n"/>
      <c r="CG35" s="5" t="n"/>
      <c r="CH35" s="5" t="n"/>
      <c r="CI35" s="29">
        <f>IF(AND($C35&lt;&gt;0,AJ35=""),1,IF(AJ35&gt;$C35,1,0))</f>
        <v/>
      </c>
    </row>
    <row r="36">
      <c r="A36" s="9627" t="n"/>
      <c r="B36" s="5012" t="inlineStr">
        <is>
          <t>Psiquiatra</t>
        </is>
      </c>
      <c r="C36" s="1123">
        <f>SUM(D36,E36)</f>
        <v/>
      </c>
      <c r="D36" s="1923">
        <f>SUM(F36,H36,J36,L36,N36,P36,R36,T36)</f>
        <v/>
      </c>
      <c r="E36" s="3695">
        <f>SUM(G36,I36,K36,M36,O36,Q36,S36,U36)</f>
        <v/>
      </c>
      <c r="F36" s="1124" t="n"/>
      <c r="G36" s="3656" t="n"/>
      <c r="H36" s="1124" t="n"/>
      <c r="I36" s="3656" t="n"/>
      <c r="J36" s="3658" t="n"/>
      <c r="K36" s="3656" t="n"/>
      <c r="L36" s="1124" t="n"/>
      <c r="M36" s="3656" t="n"/>
      <c r="N36" s="1124" t="n"/>
      <c r="O36" s="3656" t="n"/>
      <c r="P36" s="1124" t="n"/>
      <c r="Q36" s="3656" t="n"/>
      <c r="R36" s="1124" t="n"/>
      <c r="S36" s="3656" t="n"/>
      <c r="T36" s="1124" t="n"/>
      <c r="U36" s="5060" t="n"/>
      <c r="V36" s="3658" t="n"/>
      <c r="W36" s="3656" t="n"/>
      <c r="X36" s="1124" t="n"/>
      <c r="Y36" s="882" t="n"/>
      <c r="Z36" s="882" t="n"/>
      <c r="AA36" s="1124" t="n"/>
      <c r="AB36" s="882" t="n"/>
      <c r="AC36" s="882" t="n"/>
      <c r="AD36" s="1124" t="n"/>
      <c r="AE36" s="882" t="n"/>
      <c r="AF36" s="882" t="n"/>
      <c r="AG36" s="1124" t="n"/>
      <c r="AH36" s="882" t="n"/>
      <c r="AI36" s="880" t="n"/>
      <c r="AJ36" s="2688" t="n"/>
      <c r="AK36" s="238">
        <f>$CA36</f>
        <v/>
      </c>
      <c r="AL36" s="5" t="n"/>
      <c r="AM36" s="5" t="n"/>
      <c r="AN36" s="5" t="n"/>
      <c r="AO36" s="5" t="n"/>
      <c r="AP36" s="5" t="n"/>
      <c r="AQ36" s="5" t="n"/>
      <c r="AR36" s="5" t="n"/>
      <c r="AS36" s="5" t="n"/>
      <c r="AT36" s="5" t="n"/>
      <c r="AU36" s="5" t="n"/>
      <c r="AV36" s="5" t="n"/>
      <c r="AW36" s="5" t="n"/>
      <c r="AX36" s="5" t="n"/>
      <c r="AY36" s="5" t="n"/>
      <c r="AZ36" s="5" t="n"/>
      <c r="BA36" s="5" t="n"/>
      <c r="BB36" s="5" t="n"/>
      <c r="BC36" s="5" t="n"/>
      <c r="BD36" s="5" t="n"/>
      <c r="BE36" s="5" t="n"/>
      <c r="BF36" s="5" t="n"/>
      <c r="BG36" s="5" t="n"/>
      <c r="BH36" s="5" t="n"/>
      <c r="BI36" s="5" t="n"/>
      <c r="BJ36" s="5" t="n"/>
      <c r="BK36" s="5" t="n"/>
      <c r="BL36" s="5" t="n"/>
      <c r="BM36" s="5" t="n"/>
      <c r="BN36" s="5" t="n"/>
      <c r="BO36" s="5" t="n"/>
      <c r="BP36" s="5" t="n"/>
      <c r="BQ36" s="5" t="n"/>
      <c r="BR36" s="5" t="n"/>
      <c r="BS36" s="5" t="n"/>
      <c r="BT36" s="5" t="n"/>
      <c r="BU36" s="5" t="n"/>
      <c r="BV36" s="5" t="n"/>
      <c r="CA36" s="405">
        <f>IF(AND($C36&lt;&gt;0,AJ36=""),"* No olvide ingresar la columna Pueblos Originarios, digite CERO si no tiene.  ",IF(AJ36&gt;$C36,"* El número de Pueblos Originarios no puede superar el Total Ambos Sexos.  ",""))</f>
        <v/>
      </c>
      <c r="CB36" s="239" t="n"/>
      <c r="CC36" s="239" t="n"/>
      <c r="CD36" s="239" t="n"/>
      <c r="CE36" s="5" t="n"/>
      <c r="CF36" s="5" t="n"/>
      <c r="CG36" s="5" t="n"/>
      <c r="CH36" s="5" t="n"/>
      <c r="CI36" s="29">
        <f>IF(AND($C36&lt;&gt;0,AJ36=""),1,IF(AJ36&gt;$C36,1,0))</f>
        <v/>
      </c>
    </row>
    <row r="37">
      <c r="A37" s="9627" t="n"/>
      <c r="B37" s="5012" t="inlineStr">
        <is>
          <t>Médico/a de Familia</t>
        </is>
      </c>
      <c r="C37" s="1123">
        <f>SUM(D37,E37)</f>
        <v/>
      </c>
      <c r="D37" s="1923">
        <f>SUM(F37,H37,J37,L37,N37,P37,R37,T37)</f>
        <v/>
      </c>
      <c r="E37" s="3695">
        <f>SUM(G37,I37,K37,M37,O37,Q37,S37,U37)</f>
        <v/>
      </c>
      <c r="F37" s="1124" t="n"/>
      <c r="G37" s="3656" t="n"/>
      <c r="H37" s="1124" t="n"/>
      <c r="I37" s="3656" t="n"/>
      <c r="J37" s="3658" t="n"/>
      <c r="K37" s="3656" t="n"/>
      <c r="L37" s="1124" t="n"/>
      <c r="M37" s="3656" t="n"/>
      <c r="N37" s="1124" t="n"/>
      <c r="O37" s="3656" t="n"/>
      <c r="P37" s="1124" t="n"/>
      <c r="Q37" s="3656" t="n"/>
      <c r="R37" s="1124" t="n"/>
      <c r="S37" s="3656" t="n"/>
      <c r="T37" s="1124" t="n"/>
      <c r="U37" s="5060" t="n"/>
      <c r="V37" s="3658" t="n"/>
      <c r="W37" s="3656" t="n"/>
      <c r="X37" s="1124" t="n"/>
      <c r="Y37" s="882" t="n"/>
      <c r="Z37" s="882" t="n"/>
      <c r="AA37" s="1124" t="n"/>
      <c r="AB37" s="882" t="n"/>
      <c r="AC37" s="882" t="n"/>
      <c r="AD37" s="1124" t="n"/>
      <c r="AE37" s="882" t="n"/>
      <c r="AF37" s="882" t="n"/>
      <c r="AG37" s="1124" t="n"/>
      <c r="AH37" s="882" t="n"/>
      <c r="AI37" s="880" t="n"/>
      <c r="AJ37" s="2688" t="n"/>
      <c r="AK37" s="238">
        <f>$CA37</f>
        <v/>
      </c>
      <c r="AL37" s="5" t="n"/>
      <c r="AM37" s="5" t="n"/>
      <c r="AN37" s="5" t="n"/>
      <c r="AO37" s="5" t="n"/>
      <c r="AP37" s="5" t="n"/>
      <c r="AQ37" s="5" t="n"/>
      <c r="AR37" s="5" t="n"/>
      <c r="AS37" s="5" t="n"/>
      <c r="AT37" s="5" t="n"/>
      <c r="AU37" s="5" t="n"/>
      <c r="AV37" s="5" t="n"/>
      <c r="AW37" s="5" t="n"/>
      <c r="AX37" s="5" t="n"/>
      <c r="AY37" s="5" t="n"/>
      <c r="AZ37" s="5" t="n"/>
      <c r="BA37" s="5" t="n"/>
      <c r="BB37" s="5" t="n"/>
      <c r="BC37" s="5" t="n"/>
      <c r="BD37" s="5" t="n"/>
      <c r="BE37" s="5" t="n"/>
      <c r="BF37" s="5" t="n"/>
      <c r="BG37" s="5" t="n"/>
      <c r="BH37" s="5" t="n"/>
      <c r="BI37" s="5" t="n"/>
      <c r="BJ37" s="5" t="n"/>
      <c r="BK37" s="5" t="n"/>
      <c r="BL37" s="5" t="n"/>
      <c r="BM37" s="5" t="n"/>
      <c r="BN37" s="5" t="n"/>
      <c r="BO37" s="5" t="n"/>
      <c r="BP37" s="5" t="n"/>
      <c r="BQ37" s="5" t="n"/>
      <c r="BR37" s="5" t="n"/>
      <c r="BS37" s="5" t="n"/>
      <c r="BT37" s="5" t="n"/>
      <c r="BU37" s="5" t="n"/>
      <c r="BV37" s="5" t="n"/>
      <c r="CA37" s="405">
        <f>IF(AND($C37&lt;&gt;0,AJ37=""),"* No olvide ingresar la columna Pueblos Originarios, digite CERO si no tiene.  ",IF(AJ37&gt;$C37,"* El número de Pueblos Originarios no puede superar el Total Ambos Sexos.  ",""))</f>
        <v/>
      </c>
      <c r="CB37" s="239" t="n"/>
      <c r="CC37" s="239" t="n"/>
      <c r="CD37" s="239" t="n"/>
      <c r="CE37" s="5" t="n"/>
      <c r="CF37" s="5" t="n"/>
      <c r="CG37" s="5" t="n"/>
      <c r="CH37" s="5" t="n"/>
      <c r="CI37" s="29">
        <f>IF(AND($C37&lt;&gt;0,AJ37=""),1,IF(AJ37&gt;$C37,1,0))</f>
        <v/>
      </c>
    </row>
    <row r="38">
      <c r="A38" s="9627" t="n"/>
      <c r="B38" s="5012" t="inlineStr">
        <is>
          <t>Trabajador/a Social</t>
        </is>
      </c>
      <c r="C38" s="1123">
        <f>SUM(D38,E38)</f>
        <v/>
      </c>
      <c r="D38" s="1923">
        <f>SUM(F38,H38,J38,L38,N38,P38,R38,T38)</f>
        <v/>
      </c>
      <c r="E38" s="3695">
        <f>SUM(G38,I38,K38,M38,O38,Q38,S38,U38)</f>
        <v/>
      </c>
      <c r="F38" s="1124" t="n"/>
      <c r="G38" s="3656" t="n"/>
      <c r="H38" s="1124" t="n"/>
      <c r="I38" s="3656" t="n"/>
      <c r="J38" s="3658" t="n"/>
      <c r="K38" s="3656" t="n"/>
      <c r="L38" s="1124" t="n"/>
      <c r="M38" s="3656" t="n"/>
      <c r="N38" s="1124" t="n"/>
      <c r="O38" s="3656" t="n"/>
      <c r="P38" s="1124" t="n"/>
      <c r="Q38" s="3656" t="n"/>
      <c r="R38" s="1124" t="n"/>
      <c r="S38" s="3656" t="n"/>
      <c r="T38" s="1124" t="n"/>
      <c r="U38" s="5060" t="n"/>
      <c r="V38" s="3658" t="n"/>
      <c r="W38" s="3656" t="n"/>
      <c r="X38" s="1124" t="n"/>
      <c r="Y38" s="882" t="n"/>
      <c r="Z38" s="882" t="n"/>
      <c r="AA38" s="1124" t="n"/>
      <c r="AB38" s="882" t="n"/>
      <c r="AC38" s="882" t="n"/>
      <c r="AD38" s="1124" t="n"/>
      <c r="AE38" s="882" t="n"/>
      <c r="AF38" s="882" t="n"/>
      <c r="AG38" s="1198" t="n"/>
      <c r="AH38" s="882" t="n"/>
      <c r="AI38" s="880" t="n"/>
      <c r="AJ38" s="1346" t="n"/>
      <c r="AK38" s="238">
        <f>$CA38</f>
        <v/>
      </c>
      <c r="AL38" s="5" t="n"/>
      <c r="AM38" s="5" t="n"/>
      <c r="AN38" s="5" t="n"/>
      <c r="AO38" s="5" t="n"/>
      <c r="AP38" s="5" t="n"/>
      <c r="AQ38" s="5" t="n"/>
      <c r="AR38" s="5" t="n"/>
      <c r="AS38" s="5" t="n"/>
      <c r="AT38" s="5" t="n"/>
      <c r="AU38" s="5" t="n"/>
      <c r="AV38" s="5" t="n"/>
      <c r="AW38" s="5" t="n"/>
      <c r="AX38" s="5" t="n"/>
      <c r="AY38" s="5" t="n"/>
      <c r="AZ38" s="5" t="n"/>
      <c r="BA38" s="5" t="n"/>
      <c r="BB38" s="5" t="n"/>
      <c r="BC38" s="5" t="n"/>
      <c r="BD38" s="5" t="n"/>
      <c r="BE38" s="5" t="n"/>
      <c r="BF38" s="5" t="n"/>
      <c r="BG38" s="5" t="n"/>
      <c r="BH38" s="5" t="n"/>
      <c r="BI38" s="5" t="n"/>
      <c r="BJ38" s="5" t="n"/>
      <c r="BK38" s="5" t="n"/>
      <c r="BL38" s="5" t="n"/>
      <c r="BM38" s="5" t="n"/>
      <c r="BN38" s="5" t="n"/>
      <c r="BO38" s="5" t="n"/>
      <c r="BP38" s="5" t="n"/>
      <c r="BQ38" s="5" t="n"/>
      <c r="BR38" s="5" t="n"/>
      <c r="BS38" s="5" t="n"/>
      <c r="BT38" s="5" t="n"/>
      <c r="BU38" s="5" t="n"/>
      <c r="BV38" s="5" t="n"/>
      <c r="CA38" s="405">
        <f>IF(AND($C38&lt;&gt;0,AJ38=""),"* No olvide ingresar la columna Pueblos Originarios, digite CERO si no tiene.  ",IF(AJ38&gt;$C38,"* El número de Pueblos Originarios no puede superar el Total Ambos Sexos.  ",""))</f>
        <v/>
      </c>
      <c r="CB38" s="239" t="n"/>
      <c r="CC38" s="239" t="n"/>
      <c r="CD38" s="239" t="n"/>
      <c r="CE38" s="5" t="n"/>
      <c r="CF38" s="5" t="n"/>
      <c r="CG38" s="5" t="n"/>
      <c r="CH38" s="5" t="n"/>
      <c r="CI38" s="29">
        <f>IF(AND($C38&lt;&gt;0,AJ38=""),1,IF(AJ38&gt;$C38,1,0))</f>
        <v/>
      </c>
    </row>
    <row r="39">
      <c r="A39" s="9621" t="n"/>
      <c r="B39" s="5012" t="inlineStr">
        <is>
          <t>Psicólogo/a</t>
        </is>
      </c>
      <c r="C39" s="3724">
        <f>SUM(D39,E39)</f>
        <v/>
      </c>
      <c r="D39" s="711">
        <f>SUM(F39,H39,J39,L39,N39,P39,R39,T39)</f>
        <v/>
      </c>
      <c r="E39" s="3698">
        <f>SUM(G39,I39,K39,M39,O39,Q39,S39,U39)</f>
        <v/>
      </c>
      <c r="F39" s="1124" t="n"/>
      <c r="G39" s="3656" t="n"/>
      <c r="H39" s="1124" t="n"/>
      <c r="I39" s="3656" t="n"/>
      <c r="J39" s="3658" t="n"/>
      <c r="K39" s="3656" t="n"/>
      <c r="L39" s="1124" t="n"/>
      <c r="M39" s="3656" t="n"/>
      <c r="N39" s="1124" t="n"/>
      <c r="O39" s="3656" t="n"/>
      <c r="P39" s="1124" t="n"/>
      <c r="Q39" s="3656" t="n"/>
      <c r="R39" s="1124" t="n"/>
      <c r="S39" s="3656" t="n"/>
      <c r="T39" s="1124" t="n"/>
      <c r="U39" s="880" t="n"/>
      <c r="V39" s="3658" t="n"/>
      <c r="W39" s="3656" t="n"/>
      <c r="X39" s="1124" t="n"/>
      <c r="Y39" s="882" t="n"/>
      <c r="Z39" s="882" t="n"/>
      <c r="AA39" s="1124" t="n"/>
      <c r="AB39" s="882" t="n"/>
      <c r="AC39" s="882" t="n"/>
      <c r="AD39" s="1124" t="n"/>
      <c r="AE39" s="882" t="n"/>
      <c r="AF39" s="882" t="n"/>
      <c r="AG39" s="3678" t="n"/>
      <c r="AH39" s="747" t="n"/>
      <c r="AI39" s="778" t="n"/>
      <c r="AJ39" s="3847" t="n"/>
      <c r="AK39" s="238">
        <f>$CA39</f>
        <v/>
      </c>
      <c r="AL39" s="5" t="n"/>
      <c r="AM39" s="5" t="n"/>
      <c r="AN39" s="5" t="n"/>
      <c r="AO39" s="5" t="n"/>
      <c r="AP39" s="5" t="n"/>
      <c r="AQ39" s="5" t="n"/>
      <c r="AR39" s="5" t="n"/>
      <c r="AS39" s="5" t="n"/>
      <c r="AT39" s="5" t="n"/>
      <c r="AU39" s="5" t="n"/>
      <c r="AV39" s="5" t="n"/>
      <c r="AW39" s="5" t="n"/>
      <c r="AX39" s="5" t="n"/>
      <c r="AY39" s="5" t="n"/>
      <c r="AZ39" s="5" t="n"/>
      <c r="BA39" s="5" t="n"/>
      <c r="BB39" s="5" t="n"/>
      <c r="BC39" s="5" t="n"/>
      <c r="BD39" s="5" t="n"/>
      <c r="BE39" s="5" t="n"/>
      <c r="BF39" s="5" t="n"/>
      <c r="BG39" s="5" t="n"/>
      <c r="BH39" s="5" t="n"/>
      <c r="BI39" s="5" t="n"/>
      <c r="BJ39" s="5" t="n"/>
      <c r="BK39" s="5" t="n"/>
      <c r="BL39" s="5" t="n"/>
      <c r="BM39" s="5" t="n"/>
      <c r="BN39" s="5" t="n"/>
      <c r="BO39" s="5" t="n"/>
      <c r="BP39" s="5" t="n"/>
      <c r="BQ39" s="5" t="n"/>
      <c r="BR39" s="5" t="n"/>
      <c r="BS39" s="5" t="n"/>
      <c r="BT39" s="5" t="n"/>
      <c r="BU39" s="5" t="n"/>
      <c r="BV39" s="5" t="n"/>
      <c r="CA39" s="405">
        <f>IF(AND($C39&lt;&gt;0,AJ39=""),"* No olvide ingresar la columna Pueblos Originarios, digite CERO si no tiene.  ",IF(AJ39&gt;$C39,"* El número de Pueblos Originarios no puede superar el Total Ambos Sexos.  ",""))</f>
        <v/>
      </c>
      <c r="CB39" s="239" t="n"/>
      <c r="CC39" s="239" t="n"/>
      <c r="CD39" s="239" t="n"/>
      <c r="CE39" s="5" t="n"/>
      <c r="CF39" s="5" t="n"/>
      <c r="CG39" s="5" t="n"/>
      <c r="CH39" s="5" t="n"/>
      <c r="CI39" s="29">
        <f>IF(AND($C39&lt;&gt;0,AJ39=""),1,IF(AJ39&gt;$C39,1,0))</f>
        <v/>
      </c>
    </row>
    <row r="40">
      <c r="A40" s="10006" t="inlineStr">
        <is>
          <t>TOTAL</t>
        </is>
      </c>
      <c r="B40" s="9584" t="n"/>
      <c r="C40" s="4622">
        <f>SUM(C35:C39)</f>
        <v/>
      </c>
      <c r="D40" s="5049">
        <f>SUM(F40,H40,J40,L40,N40,P40,R40,T40)</f>
        <v/>
      </c>
      <c r="E40" s="5050">
        <f>SUM(G40,I40,K40,M40,O40,Q40,S40,U40)</f>
        <v/>
      </c>
      <c r="F40" s="5051">
        <f>SUM(F35:F39)</f>
        <v/>
      </c>
      <c r="G40" s="5052">
        <f>SUM(G35:G39)</f>
        <v/>
      </c>
      <c r="H40" s="5051">
        <f>SUM(H35:H39)</f>
        <v/>
      </c>
      <c r="I40" s="5053">
        <f>SUM(I35:I39)</f>
        <v/>
      </c>
      <c r="J40" s="5052">
        <f>SUM(J35:J39)</f>
        <v/>
      </c>
      <c r="K40" s="5052">
        <f>SUM(K35:K39)</f>
        <v/>
      </c>
      <c r="L40" s="5051">
        <f>SUM(L35:L39)</f>
        <v/>
      </c>
      <c r="M40" s="5052">
        <f>SUM(M35:M39)</f>
        <v/>
      </c>
      <c r="N40" s="5051">
        <f>SUM(N35:N39)</f>
        <v/>
      </c>
      <c r="O40" s="5052">
        <f>SUM(O35:O39)</f>
        <v/>
      </c>
      <c r="P40" s="5051">
        <f>SUM(P35:P39)</f>
        <v/>
      </c>
      <c r="Q40" s="5052">
        <f>SUM(Q35:Q39)</f>
        <v/>
      </c>
      <c r="R40" s="5051">
        <f>SUM(R35:R39)</f>
        <v/>
      </c>
      <c r="S40" s="5052">
        <f>SUM(S35:S39)</f>
        <v/>
      </c>
      <c r="T40" s="5051">
        <f>SUM(T35:T39)</f>
        <v/>
      </c>
      <c r="U40" s="5054">
        <f>SUM(U35:U39)</f>
        <v/>
      </c>
      <c r="V40" s="5056" t="n"/>
      <c r="W40" s="5056" t="n"/>
      <c r="X40" s="5055" t="n"/>
      <c r="Y40" s="5056" t="n"/>
      <c r="Z40" s="5057" t="n"/>
      <c r="AA40" s="5056" t="n"/>
      <c r="AB40" s="5056" t="n"/>
      <c r="AC40" s="5057" t="n"/>
      <c r="AD40" s="5056" t="n"/>
      <c r="AE40" s="5056" t="n"/>
      <c r="AF40" s="5057" t="n"/>
      <c r="AG40" s="5056" t="n"/>
      <c r="AH40" s="5056" t="n"/>
      <c r="AI40" s="5057" t="n"/>
      <c r="AJ40" s="5059">
        <f>SUM(AJ35:AJ39)</f>
        <v/>
      </c>
      <c r="AV40" s="329" t="n"/>
      <c r="AW40" s="329" t="n"/>
      <c r="AX40" s="329" t="n"/>
      <c r="AY40" s="329" t="n"/>
      <c r="BA40" s="329" t="n"/>
      <c r="BB40" s="329" t="n"/>
      <c r="BC40" s="329" t="n"/>
      <c r="BD40" s="329" t="n"/>
      <c r="BE40" s="329" t="n"/>
      <c r="BF40" s="329" t="n"/>
      <c r="BG40" s="329" t="n"/>
      <c r="BH40" s="329" t="n"/>
      <c r="BI40" s="329" t="n"/>
      <c r="BJ40" s="329" t="n"/>
      <c r="BK40" s="329" t="n"/>
      <c r="BL40" s="329" t="n"/>
      <c r="BW40" s="329" t="n"/>
      <c r="BX40" s="329" t="n"/>
      <c r="BY40" s="329" t="n"/>
      <c r="BZ40" s="329" t="n"/>
      <c r="CA40" s="609" t="n"/>
      <c r="CE40" s="329" t="n"/>
      <c r="CF40" s="329" t="n"/>
      <c r="CG40" s="329" t="n"/>
      <c r="CH40" s="329" t="n"/>
      <c r="CI40" s="329" t="n"/>
    </row>
    <row r="41">
      <c r="A41" s="9240" t="inlineStr">
        <is>
          <t>Control</t>
        </is>
      </c>
      <c r="B41" s="5006" t="inlineStr">
        <is>
          <t>Médico/a General</t>
        </is>
      </c>
      <c r="C41" s="1123">
        <f>SUM(D41,E41)</f>
        <v/>
      </c>
      <c r="D41" s="1923">
        <f>SUM(F41,H41,J41,L41,N41,P41,R41,T41)</f>
        <v/>
      </c>
      <c r="E41" s="3695">
        <f>SUM(G41,I41,K41,M41,O41,Q41,S41,U41)</f>
        <v/>
      </c>
      <c r="F41" s="1124" t="n"/>
      <c r="G41" s="3656" t="n"/>
      <c r="H41" s="1124" t="n"/>
      <c r="I41" s="3656" t="n"/>
      <c r="J41" s="3658" t="n"/>
      <c r="K41" s="3656" t="n"/>
      <c r="L41" s="1124" t="n"/>
      <c r="M41" s="3656" t="n"/>
      <c r="N41" s="1124" t="n"/>
      <c r="O41" s="3656" t="n"/>
      <c r="P41" s="1124" t="n"/>
      <c r="Q41" s="3656" t="n"/>
      <c r="R41" s="1124" t="n"/>
      <c r="S41" s="3656" t="n"/>
      <c r="T41" s="1124" t="n"/>
      <c r="U41" s="880" t="n"/>
      <c r="V41" s="3658" t="n"/>
      <c r="W41" s="3656" t="n"/>
      <c r="X41" s="5037" t="n"/>
      <c r="Y41" s="1454" t="n"/>
      <c r="Z41" s="1454" t="n"/>
      <c r="AA41" s="5037" t="n"/>
      <c r="AB41" s="1454" t="n"/>
      <c r="AC41" s="2455" t="n"/>
      <c r="AD41" s="5061" t="n"/>
      <c r="AE41" s="1454" t="n"/>
      <c r="AF41" s="2455" t="n"/>
      <c r="AG41" s="5061" t="n"/>
      <c r="AH41" s="1454" t="n"/>
      <c r="AI41" s="1465" t="n"/>
      <c r="AJ41" s="5038" t="n"/>
      <c r="AK41" s="238">
        <f>$CA41</f>
        <v/>
      </c>
      <c r="AL41" s="5" t="n"/>
      <c r="AM41" s="5" t="n"/>
      <c r="AN41" s="5" t="n"/>
      <c r="AO41" s="5" t="n"/>
      <c r="AP41" s="5" t="n"/>
      <c r="AQ41" s="5" t="n"/>
      <c r="AR41" s="5" t="n"/>
      <c r="AS41" s="5" t="n"/>
      <c r="AT41" s="5" t="n"/>
      <c r="AU41" s="5" t="n"/>
      <c r="AV41" s="5" t="n"/>
      <c r="AW41" s="5" t="n"/>
      <c r="AX41" s="5" t="n"/>
      <c r="AY41" s="5" t="n"/>
      <c r="AZ41" s="5" t="n"/>
      <c r="BA41" s="5" t="n"/>
      <c r="BB41" s="5" t="n"/>
      <c r="BC41" s="5" t="n"/>
      <c r="BD41" s="5" t="n"/>
      <c r="BE41" s="5" t="n"/>
      <c r="BF41" s="5" t="n"/>
      <c r="BG41" s="5" t="n"/>
      <c r="BH41" s="5" t="n"/>
      <c r="BI41" s="5" t="n"/>
      <c r="BJ41" s="5" t="n"/>
      <c r="BK41" s="5" t="n"/>
      <c r="BL41" s="5" t="n"/>
      <c r="BM41" s="5" t="n"/>
      <c r="BN41" s="5" t="n"/>
      <c r="BO41" s="5" t="n"/>
      <c r="BP41" s="5" t="n"/>
      <c r="BQ41" s="5" t="n"/>
      <c r="BR41" s="5" t="n"/>
      <c r="BS41" s="5" t="n"/>
      <c r="BT41" s="5" t="n"/>
      <c r="BU41" s="5" t="n"/>
      <c r="BV41" s="5" t="n"/>
      <c r="CA41" s="405">
        <f>IF(AND($C41&lt;&gt;0,AJ41=""),"* No olvide ingresar la columna Pueblos Originarios, digite CERO si no tiene.  ",IF(AJ41&gt;$C41,"* El número de Pueblos Originarios no puede superar el Total Ambos Sexos.  ",""))</f>
        <v/>
      </c>
      <c r="CB41" s="239" t="n"/>
      <c r="CC41" s="239" t="n"/>
      <c r="CD41" s="239" t="n"/>
      <c r="CE41" s="5" t="n"/>
      <c r="CF41" s="5" t="n"/>
      <c r="CG41" s="5" t="n"/>
      <c r="CH41" s="5" t="n"/>
      <c r="CI41" s="29">
        <f>IF(AND($C41&lt;&gt;0,AJ41=""),1,IF(AJ41&gt;$C41,1,0))</f>
        <v/>
      </c>
    </row>
    <row r="42">
      <c r="A42" s="9627" t="n"/>
      <c r="B42" s="5012" t="inlineStr">
        <is>
          <t>Psiquiatra</t>
        </is>
      </c>
      <c r="C42" s="1123">
        <f>SUM(D42,E42)</f>
        <v/>
      </c>
      <c r="D42" s="1923">
        <f>SUM(F42,H42,J42,L42,N42,P42,R42,T42)</f>
        <v/>
      </c>
      <c r="E42" s="3695">
        <f>SUM(G42,I42,K42,M42,O42,Q42,S42,U42)</f>
        <v/>
      </c>
      <c r="F42" s="1124" t="n"/>
      <c r="G42" s="3656" t="n"/>
      <c r="H42" s="1124" t="n"/>
      <c r="I42" s="3656" t="n"/>
      <c r="J42" s="3658" t="n"/>
      <c r="K42" s="3656" t="n"/>
      <c r="L42" s="1124" t="n"/>
      <c r="M42" s="3656" t="n"/>
      <c r="N42" s="1124" t="n"/>
      <c r="O42" s="3656" t="n"/>
      <c r="P42" s="1124" t="n"/>
      <c r="Q42" s="3656" t="n"/>
      <c r="R42" s="1124" t="n"/>
      <c r="S42" s="3656" t="n"/>
      <c r="T42" s="1124" t="n"/>
      <c r="U42" s="5060" t="n"/>
      <c r="V42" s="3658" t="n"/>
      <c r="W42" s="3656" t="n"/>
      <c r="X42" s="1124" t="n"/>
      <c r="Y42" s="882" t="n"/>
      <c r="Z42" s="882" t="n"/>
      <c r="AA42" s="1124" t="n"/>
      <c r="AB42" s="882" t="n"/>
      <c r="AC42" s="878" t="n"/>
      <c r="AD42" s="3658" t="n"/>
      <c r="AE42" s="882" t="n"/>
      <c r="AF42" s="878" t="n"/>
      <c r="AG42" s="3658" t="n"/>
      <c r="AH42" s="882" t="n"/>
      <c r="AI42" s="880" t="n"/>
      <c r="AJ42" s="2688" t="n"/>
      <c r="AK42" s="238">
        <f>$CA42</f>
        <v/>
      </c>
      <c r="AL42" s="5" t="n"/>
      <c r="AM42" s="5" t="n"/>
      <c r="AN42" s="5" t="n"/>
      <c r="AO42" s="5" t="n"/>
      <c r="AP42" s="5" t="n"/>
      <c r="AQ42" s="5" t="n"/>
      <c r="AR42" s="5" t="n"/>
      <c r="AS42" s="5" t="n"/>
      <c r="AT42" s="5" t="n"/>
      <c r="AU42" s="5" t="n"/>
      <c r="AV42" s="5" t="n"/>
      <c r="AW42" s="5" t="n"/>
      <c r="AX42" s="5" t="n"/>
      <c r="AY42" s="5" t="n"/>
      <c r="AZ42" s="5" t="n"/>
      <c r="BA42" s="5" t="n"/>
      <c r="BB42" s="5" t="n"/>
      <c r="BC42" s="5" t="n"/>
      <c r="BD42" s="5" t="n"/>
      <c r="BE42" s="5" t="n"/>
      <c r="BF42" s="5" t="n"/>
      <c r="BG42" s="5" t="n"/>
      <c r="BH42" s="5" t="n"/>
      <c r="BI42" s="5" t="n"/>
      <c r="BJ42" s="5" t="n"/>
      <c r="BK42" s="5" t="n"/>
      <c r="BL42" s="5" t="n"/>
      <c r="BM42" s="5" t="n"/>
      <c r="BN42" s="5" t="n"/>
      <c r="BO42" s="5" t="n"/>
      <c r="BP42" s="5" t="n"/>
      <c r="BQ42" s="5" t="n"/>
      <c r="BR42" s="5" t="n"/>
      <c r="BS42" s="5" t="n"/>
      <c r="BT42" s="5" t="n"/>
      <c r="BU42" s="5" t="n"/>
      <c r="BV42" s="5" t="n"/>
      <c r="CA42" s="405">
        <f>IF(AND($C42&lt;&gt;0,AJ42=""),"* No olvide ingresar la columna Pueblos Originarios, digite CERO si no tiene.  ",IF(AJ42&gt;$C42,"* El número de Pueblos Originarios no puede superar el Total Ambos Sexos.  ",""))</f>
        <v/>
      </c>
      <c r="CB42" s="239" t="n"/>
      <c r="CC42" s="239" t="n"/>
      <c r="CD42" s="239" t="n"/>
      <c r="CE42" s="5" t="n"/>
      <c r="CF42" s="5" t="n"/>
      <c r="CG42" s="5" t="n"/>
      <c r="CH42" s="5" t="n"/>
      <c r="CI42" s="29">
        <f>IF(AND($C42&lt;&gt;0,AJ42=""),1,IF(AJ42&gt;$C42,1,0))</f>
        <v/>
      </c>
    </row>
    <row r="43">
      <c r="A43" s="9627" t="n"/>
      <c r="B43" s="5012" t="inlineStr">
        <is>
          <t>Médico/a de Familia</t>
        </is>
      </c>
      <c r="C43" s="1123">
        <f>SUM(D43,E43)</f>
        <v/>
      </c>
      <c r="D43" s="1923">
        <f>SUM(F43,H43,J43,L43,N43,P43,R43,T43)</f>
        <v/>
      </c>
      <c r="E43" s="3695">
        <f>SUM(G43,I43,K43,M43,O43,Q43,S43,U43)</f>
        <v/>
      </c>
      <c r="F43" s="1124" t="n"/>
      <c r="G43" s="3656" t="n"/>
      <c r="H43" s="1124" t="n"/>
      <c r="I43" s="3656" t="n"/>
      <c r="J43" s="3658" t="n"/>
      <c r="K43" s="3656" t="n"/>
      <c r="L43" s="1124" t="n"/>
      <c r="M43" s="3656" t="n"/>
      <c r="N43" s="1124" t="n"/>
      <c r="O43" s="3656" t="n"/>
      <c r="P43" s="1124" t="n"/>
      <c r="Q43" s="3656" t="n"/>
      <c r="R43" s="1124" t="n"/>
      <c r="S43" s="3656" t="n"/>
      <c r="T43" s="1124" t="n"/>
      <c r="U43" s="5060" t="n"/>
      <c r="V43" s="3658" t="n"/>
      <c r="W43" s="3656" t="n"/>
      <c r="X43" s="1124" t="n"/>
      <c r="Y43" s="882" t="n"/>
      <c r="Z43" s="882" t="n"/>
      <c r="AA43" s="1124" t="n"/>
      <c r="AB43" s="882" t="n"/>
      <c r="AC43" s="878" t="n"/>
      <c r="AD43" s="3658" t="n"/>
      <c r="AE43" s="882" t="n"/>
      <c r="AF43" s="878" t="n"/>
      <c r="AG43" s="3658" t="n"/>
      <c r="AH43" s="882" t="n"/>
      <c r="AI43" s="880" t="n"/>
      <c r="AJ43" s="2688" t="n"/>
      <c r="AK43" s="238">
        <f>$CA43</f>
        <v/>
      </c>
      <c r="AL43" s="5" t="n"/>
      <c r="AM43" s="5" t="n"/>
      <c r="AN43" s="5" t="n"/>
      <c r="AO43" s="5" t="n"/>
      <c r="AP43" s="5" t="n"/>
      <c r="AQ43" s="5" t="n"/>
      <c r="AR43" s="5" t="n"/>
      <c r="AS43" s="5" t="n"/>
      <c r="AT43" s="5" t="n"/>
      <c r="AU43" s="5" t="n"/>
      <c r="AV43" s="5" t="n"/>
      <c r="AW43" s="5" t="n"/>
      <c r="AX43" s="5" t="n"/>
      <c r="AY43" s="5" t="n"/>
      <c r="AZ43" s="5" t="n"/>
      <c r="BA43" s="5" t="n"/>
      <c r="BB43" s="5" t="n"/>
      <c r="BC43" s="5" t="n"/>
      <c r="BD43" s="5" t="n"/>
      <c r="BE43" s="5" t="n"/>
      <c r="BF43" s="5" t="n"/>
      <c r="BG43" s="5" t="n"/>
      <c r="BH43" s="5" t="n"/>
      <c r="BI43" s="5" t="n"/>
      <c r="BJ43" s="5" t="n"/>
      <c r="BK43" s="5" t="n"/>
      <c r="BL43" s="5" t="n"/>
      <c r="BM43" s="5" t="n"/>
      <c r="BN43" s="5" t="n"/>
      <c r="BO43" s="5" t="n"/>
      <c r="BP43" s="5" t="n"/>
      <c r="BQ43" s="5" t="n"/>
      <c r="BR43" s="5" t="n"/>
      <c r="BS43" s="5" t="n"/>
      <c r="BT43" s="5" t="n"/>
      <c r="BU43" s="5" t="n"/>
      <c r="BV43" s="5" t="n"/>
      <c r="CA43" s="405">
        <f>IF(AND($C43&lt;&gt;0,AJ43=""),"* No olvide ingresar la columna Pueblos Originarios, digite CERO si no tiene.  ",IF(AJ43&gt;$C43,"* El número de Pueblos Originarios no puede superar el Total Ambos Sexos.  ",""))</f>
        <v/>
      </c>
      <c r="CB43" s="239" t="n"/>
      <c r="CC43" s="239" t="n"/>
      <c r="CD43" s="239" t="n"/>
      <c r="CE43" s="5" t="n"/>
      <c r="CF43" s="5" t="n"/>
      <c r="CG43" s="5" t="n"/>
      <c r="CH43" s="5" t="n"/>
      <c r="CI43" s="29">
        <f>IF(AND($C43&lt;&gt;0,AJ43=""),1,IF(AJ43&gt;$C43,1,0))</f>
        <v/>
      </c>
    </row>
    <row r="44">
      <c r="A44" s="9627" t="n"/>
      <c r="B44" s="5012" t="inlineStr">
        <is>
          <t>Trabajador/a Social</t>
        </is>
      </c>
      <c r="C44" s="1123">
        <f>SUM(D44,E44)</f>
        <v/>
      </c>
      <c r="D44" s="1923">
        <f>SUM(F44,H44,J44,L44,N44,P44,R44,T44)</f>
        <v/>
      </c>
      <c r="E44" s="3695">
        <f>SUM(G44,I44,K44,M44,O44,Q44,S44,U44)</f>
        <v/>
      </c>
      <c r="F44" s="1124" t="n"/>
      <c r="G44" s="3656" t="n"/>
      <c r="H44" s="1124" t="n"/>
      <c r="I44" s="3656" t="n"/>
      <c r="J44" s="3658" t="n"/>
      <c r="K44" s="3656" t="n"/>
      <c r="L44" s="1124" t="n"/>
      <c r="M44" s="3656" t="n"/>
      <c r="N44" s="1124" t="n"/>
      <c r="O44" s="3656" t="n"/>
      <c r="P44" s="1124" t="n"/>
      <c r="Q44" s="3656" t="n"/>
      <c r="R44" s="1124" t="n"/>
      <c r="S44" s="3656" t="n"/>
      <c r="T44" s="1124" t="n"/>
      <c r="U44" s="5060" t="n"/>
      <c r="V44" s="3658" t="n"/>
      <c r="W44" s="3656" t="n"/>
      <c r="X44" s="1124" t="n"/>
      <c r="Y44" s="882" t="n"/>
      <c r="Z44" s="882" t="n"/>
      <c r="AA44" s="1124" t="n"/>
      <c r="AB44" s="882" t="n"/>
      <c r="AC44" s="878" t="n"/>
      <c r="AD44" s="3658" t="n"/>
      <c r="AE44" s="882" t="n"/>
      <c r="AF44" s="878" t="n"/>
      <c r="AG44" s="3658" t="n"/>
      <c r="AH44" s="882" t="n"/>
      <c r="AI44" s="880" t="n"/>
      <c r="AJ44" s="2688" t="n"/>
      <c r="AK44" s="238">
        <f>$CA44</f>
        <v/>
      </c>
      <c r="AL44" s="5" t="n"/>
      <c r="AM44" s="5" t="n"/>
      <c r="AN44" s="5" t="n"/>
      <c r="AO44" s="5" t="n"/>
      <c r="AP44" s="5" t="n"/>
      <c r="AQ44" s="5" t="n"/>
      <c r="AR44" s="5" t="n"/>
      <c r="AS44" s="5" t="n"/>
      <c r="AT44" s="5" t="n"/>
      <c r="AU44" s="5" t="n"/>
      <c r="AV44" s="5" t="n"/>
      <c r="AW44" s="5" t="n"/>
      <c r="AX44" s="5" t="n"/>
      <c r="AY44" s="5" t="n"/>
      <c r="AZ44" s="5" t="n"/>
      <c r="BA44" s="5" t="n"/>
      <c r="BB44" s="5" t="n"/>
      <c r="BC44" s="5" t="n"/>
      <c r="BD44" s="5" t="n"/>
      <c r="BE44" s="5" t="n"/>
      <c r="BF44" s="5" t="n"/>
      <c r="BG44" s="5" t="n"/>
      <c r="BH44" s="5" t="n"/>
      <c r="BI44" s="5" t="n"/>
      <c r="BJ44" s="5" t="n"/>
      <c r="BK44" s="5" t="n"/>
      <c r="BL44" s="5" t="n"/>
      <c r="BM44" s="5" t="n"/>
      <c r="BN44" s="5" t="n"/>
      <c r="BO44" s="5" t="n"/>
      <c r="BP44" s="5" t="n"/>
      <c r="BQ44" s="5" t="n"/>
      <c r="BR44" s="5" t="n"/>
      <c r="BS44" s="5" t="n"/>
      <c r="BT44" s="5" t="n"/>
      <c r="BU44" s="5" t="n"/>
      <c r="BV44" s="5" t="n"/>
      <c r="CA44" s="405">
        <f>IF(AND($C44&lt;&gt;0,AJ44=""),"* No olvide ingresar la columna Pueblos Originarios, digite CERO si no tiene.  ",IF(AJ44&gt;$C44,"* El número de Pueblos Originarios no puede superar el Total Ambos Sexos.  ",""))</f>
        <v/>
      </c>
      <c r="CB44" s="239" t="n"/>
      <c r="CC44" s="239" t="n"/>
      <c r="CD44" s="239" t="n"/>
      <c r="CE44" s="5" t="n"/>
      <c r="CF44" s="5" t="n"/>
      <c r="CG44" s="5" t="n"/>
      <c r="CH44" s="5" t="n"/>
      <c r="CI44" s="29">
        <f>IF(AND($C44&lt;&gt;0,AJ44=""),1,IF(AJ44&gt;$C44,1,0))</f>
        <v/>
      </c>
    </row>
    <row r="45">
      <c r="A45" s="9621" t="n"/>
      <c r="B45" s="5012" t="inlineStr">
        <is>
          <t>Psicólogo/a</t>
        </is>
      </c>
      <c r="C45" s="1415">
        <f>SUM(D45,E45)</f>
        <v/>
      </c>
      <c r="D45" s="711">
        <f>SUM(F45,H45,J45,L45,N45,P45,R45,T45)</f>
        <v/>
      </c>
      <c r="E45" s="3698">
        <f>SUM(G45,I45,K45,M45,O45,Q45,S45,U45)</f>
        <v/>
      </c>
      <c r="F45" s="1124" t="n"/>
      <c r="G45" s="3656" t="n"/>
      <c r="H45" s="1124" t="n"/>
      <c r="I45" s="3656" t="n"/>
      <c r="J45" s="3658" t="n"/>
      <c r="K45" s="3656" t="n"/>
      <c r="L45" s="1124" t="n"/>
      <c r="M45" s="3656" t="n"/>
      <c r="N45" s="1124" t="n"/>
      <c r="O45" s="3656" t="n"/>
      <c r="P45" s="1124" t="n"/>
      <c r="Q45" s="3656" t="n"/>
      <c r="R45" s="1124" t="n"/>
      <c r="S45" s="3656" t="n"/>
      <c r="T45" s="1124" t="n"/>
      <c r="U45" s="5060" t="n"/>
      <c r="V45" s="3658" t="n"/>
      <c r="W45" s="3656" t="n"/>
      <c r="X45" s="1124" t="n"/>
      <c r="Y45" s="882" t="n"/>
      <c r="Z45" s="882" t="n"/>
      <c r="AA45" s="1124" t="n"/>
      <c r="AB45" s="882" t="n"/>
      <c r="AC45" s="878" t="n"/>
      <c r="AD45" s="3658" t="n"/>
      <c r="AE45" s="882" t="n"/>
      <c r="AF45" s="878" t="n"/>
      <c r="AG45" s="3658" t="n"/>
      <c r="AH45" s="882" t="n"/>
      <c r="AI45" s="880" t="n"/>
      <c r="AJ45" s="2688" t="n"/>
      <c r="AK45" s="238">
        <f>$CA45</f>
        <v/>
      </c>
      <c r="AL45" s="5" t="n"/>
      <c r="AM45" s="5" t="n"/>
      <c r="AN45" s="5" t="n"/>
      <c r="AO45" s="5" t="n"/>
      <c r="AP45" s="5" t="n"/>
      <c r="AQ45" s="5" t="n"/>
      <c r="AR45" s="5" t="n"/>
      <c r="AS45" s="5" t="n"/>
      <c r="AT45" s="5" t="n"/>
      <c r="AU45" s="5" t="n"/>
      <c r="AV45" s="5" t="n"/>
      <c r="AW45" s="5" t="n"/>
      <c r="AX45" s="5" t="n"/>
      <c r="AY45" s="5" t="n"/>
      <c r="AZ45" s="5" t="n"/>
      <c r="BA45" s="5" t="n"/>
      <c r="BB45" s="5" t="n"/>
      <c r="BC45" s="5" t="n"/>
      <c r="BD45" s="5" t="n"/>
      <c r="BE45" s="5" t="n"/>
      <c r="BF45" s="5" t="n"/>
      <c r="BG45" s="5" t="n"/>
      <c r="BH45" s="5" t="n"/>
      <c r="BI45" s="5" t="n"/>
      <c r="BJ45" s="5" t="n"/>
      <c r="BK45" s="5" t="n"/>
      <c r="BL45" s="5" t="n"/>
      <c r="BM45" s="5" t="n"/>
      <c r="BN45" s="5" t="n"/>
      <c r="BO45" s="5" t="n"/>
      <c r="BP45" s="5" t="n"/>
      <c r="BQ45" s="5" t="n"/>
      <c r="BR45" s="5" t="n"/>
      <c r="BS45" s="5" t="n"/>
      <c r="BT45" s="5" t="n"/>
      <c r="BU45" s="5" t="n"/>
      <c r="BV45" s="5" t="n"/>
      <c r="CA45" s="405">
        <f>IF(AND($C45&lt;&gt;0,AJ45=""),"* No olvide ingresar la columna Pueblos Originarios, digite CERO si no tiene.  ",IF(AJ45&gt;$C45,"* El número de Pueblos Originarios no puede superar el Total Ambos Sexos.  ",""))</f>
        <v/>
      </c>
      <c r="CB45" s="239" t="n"/>
      <c r="CC45" s="239" t="n"/>
      <c r="CD45" s="239" t="n"/>
      <c r="CE45" s="5" t="n"/>
      <c r="CF45" s="5" t="n"/>
      <c r="CG45" s="5" t="n"/>
      <c r="CH45" s="5" t="n"/>
      <c r="CI45" s="29">
        <f>IF(AND($C45&lt;&gt;0,AJ45=""),1,IF(AJ45&gt;$C45,1,0))</f>
        <v/>
      </c>
    </row>
    <row r="46">
      <c r="A46" s="10006" t="inlineStr">
        <is>
          <t>TOTAL</t>
        </is>
      </c>
      <c r="B46" s="9584" t="n"/>
      <c r="C46" s="4622">
        <f>SUM(D46,E46)</f>
        <v/>
      </c>
      <c r="D46" s="5049">
        <f>SUM(F46,H46,J46,L46,N46,P46,R46,T46)</f>
        <v/>
      </c>
      <c r="E46" s="5050">
        <f>SUM(G46,I46,K46,M46,O46,Q46,S46,U46)</f>
        <v/>
      </c>
      <c r="F46" s="5051">
        <f>SUM(F41:F45)</f>
        <v/>
      </c>
      <c r="G46" s="5052">
        <f>SUM(G41:G45)</f>
        <v/>
      </c>
      <c r="H46" s="5051">
        <f>SUM(H41:H45)</f>
        <v/>
      </c>
      <c r="I46" s="5053">
        <f>SUM(I41:I45)</f>
        <v/>
      </c>
      <c r="J46" s="5052">
        <f>SUM(J41:J45)</f>
        <v/>
      </c>
      <c r="K46" s="5052">
        <f>SUM(K41:K45)</f>
        <v/>
      </c>
      <c r="L46" s="5051">
        <f>SUM(L41:L45)</f>
        <v/>
      </c>
      <c r="M46" s="5052">
        <f>SUM(M41:M45)</f>
        <v/>
      </c>
      <c r="N46" s="5051">
        <f>SUM(N41:N45)</f>
        <v/>
      </c>
      <c r="O46" s="5052">
        <f>SUM(O41:O45)</f>
        <v/>
      </c>
      <c r="P46" s="5051">
        <f>SUM(P41:P45)</f>
        <v/>
      </c>
      <c r="Q46" s="5052">
        <f>SUM(Q41:Q45)</f>
        <v/>
      </c>
      <c r="R46" s="5051">
        <f>SUM(R41:R45)</f>
        <v/>
      </c>
      <c r="S46" s="5052">
        <f>SUM(S41:S45)</f>
        <v/>
      </c>
      <c r="T46" s="5051">
        <f>SUM(T41:T45)</f>
        <v/>
      </c>
      <c r="U46" s="5062">
        <f>SUM(U41:U45)</f>
        <v/>
      </c>
      <c r="V46" s="5055" t="n"/>
      <c r="W46" s="5056" t="n"/>
      <c r="X46" s="5056" t="n"/>
      <c r="Y46" s="5056" t="n"/>
      <c r="Z46" s="5057" t="n"/>
      <c r="AA46" s="5056" t="n"/>
      <c r="AB46" s="5056" t="n"/>
      <c r="AC46" s="5057" t="n"/>
      <c r="AD46" s="5056" t="n"/>
      <c r="AE46" s="5056" t="n"/>
      <c r="AF46" s="5057" t="n"/>
      <c r="AG46" s="5056" t="n"/>
      <c r="AH46" s="5056" t="n"/>
      <c r="AI46" s="5057" t="n"/>
      <c r="AJ46" s="5059">
        <f>SUM(AJ41:AJ45)</f>
        <v/>
      </c>
      <c r="AV46" s="329" t="n"/>
      <c r="AW46" s="329" t="n"/>
      <c r="AX46" s="329" t="n"/>
      <c r="AY46" s="329" t="n"/>
      <c r="BA46" s="329" t="n"/>
      <c r="BB46" s="329" t="n"/>
      <c r="BC46" s="329" t="n"/>
      <c r="BD46" s="329" t="n"/>
      <c r="BE46" s="329" t="n"/>
      <c r="BF46" s="329" t="n"/>
      <c r="BG46" s="329" t="n"/>
      <c r="BH46" s="329" t="n"/>
      <c r="BI46" s="329" t="n"/>
      <c r="BJ46" s="329" t="n"/>
      <c r="BK46" s="329" t="n"/>
      <c r="BL46" s="329" t="n"/>
      <c r="BW46" s="329" t="n"/>
      <c r="BX46" s="329" t="n"/>
      <c r="BY46" s="329" t="n"/>
      <c r="BZ46" s="329" t="n"/>
      <c r="CA46" s="609" t="n"/>
      <c r="CE46" s="329" t="n"/>
      <c r="CF46" s="329" t="n"/>
      <c r="CG46" s="329" t="n"/>
      <c r="CH46" s="329" t="n"/>
      <c r="CI46" s="329" t="n"/>
    </row>
    <row r="47">
      <c r="A47" s="9240" t="inlineStr">
        <is>
          <t>Consulta Abreviada</t>
        </is>
      </c>
      <c r="B47" s="5006" t="inlineStr">
        <is>
          <t>Médico/a General</t>
        </is>
      </c>
      <c r="C47" s="1123">
        <f>SUM(D47,E47)</f>
        <v/>
      </c>
      <c r="D47" s="1923">
        <f>SUM(F47,H47,J47,L47,N47,P47,R47,T47)</f>
        <v/>
      </c>
      <c r="E47" s="3695">
        <f>SUM(G47,I47,K47,M47,O47,Q47,S47,U47)</f>
        <v/>
      </c>
      <c r="F47" s="1124" t="n"/>
      <c r="G47" s="3656" t="n"/>
      <c r="H47" s="1124" t="n"/>
      <c r="I47" s="3656" t="n"/>
      <c r="J47" s="3658" t="n"/>
      <c r="K47" s="3656" t="n"/>
      <c r="L47" s="1124" t="n"/>
      <c r="M47" s="3656" t="n"/>
      <c r="N47" s="1124" t="n"/>
      <c r="O47" s="3656" t="n"/>
      <c r="P47" s="1124" t="n"/>
      <c r="Q47" s="3656" t="n"/>
      <c r="R47" s="1124" t="n"/>
      <c r="S47" s="3656" t="n"/>
      <c r="T47" s="1124" t="n"/>
      <c r="U47" s="5060" t="n"/>
      <c r="V47" s="3658" t="n"/>
      <c r="W47" s="3656" t="n"/>
      <c r="X47" s="1124" t="n"/>
      <c r="Y47" s="882" t="n"/>
      <c r="Z47" s="1454" t="n"/>
      <c r="AA47" s="5037" t="n"/>
      <c r="AB47" s="1454" t="n"/>
      <c r="AC47" s="1454" t="n"/>
      <c r="AD47" s="5037" t="n"/>
      <c r="AE47" s="1454" t="n"/>
      <c r="AF47" s="1454" t="n"/>
      <c r="AG47" s="5037" t="n"/>
      <c r="AH47" s="1454" t="n"/>
      <c r="AI47" s="1465" t="n"/>
      <c r="AJ47" s="5038" t="n"/>
      <c r="AK47" s="238">
        <f>$CA47</f>
        <v/>
      </c>
      <c r="AL47" s="5" t="n"/>
      <c r="AM47" s="5" t="n"/>
      <c r="AN47" s="5" t="n"/>
      <c r="AO47" s="5" t="n"/>
      <c r="AP47" s="5" t="n"/>
      <c r="AQ47" s="5" t="n"/>
      <c r="AR47" s="5" t="n"/>
      <c r="AS47" s="5" t="n"/>
      <c r="AT47" s="5" t="n"/>
      <c r="AU47" s="5" t="n"/>
      <c r="AV47" s="5" t="n"/>
      <c r="AW47" s="5" t="n"/>
      <c r="AX47" s="5" t="n"/>
      <c r="AY47" s="5" t="n"/>
      <c r="AZ47" s="5" t="n"/>
      <c r="BA47" s="5" t="n"/>
      <c r="BB47" s="5" t="n"/>
      <c r="BC47" s="5" t="n"/>
      <c r="BD47" s="5" t="n"/>
      <c r="BE47" s="5" t="n"/>
      <c r="BF47" s="5" t="n"/>
      <c r="BG47" s="5" t="n"/>
      <c r="BH47" s="5" t="n"/>
      <c r="BI47" s="5" t="n"/>
      <c r="BJ47" s="5" t="n"/>
      <c r="BK47" s="5" t="n"/>
      <c r="BL47" s="5" t="n"/>
      <c r="BM47" s="5" t="n"/>
      <c r="BN47" s="5" t="n"/>
      <c r="BO47" s="5" t="n"/>
      <c r="BP47" s="5" t="n"/>
      <c r="BQ47" s="5" t="n"/>
      <c r="BR47" s="5" t="n"/>
      <c r="BS47" s="5" t="n"/>
      <c r="BT47" s="5" t="n"/>
      <c r="BU47" s="5" t="n"/>
      <c r="BV47" s="5" t="n"/>
      <c r="CA47" s="405">
        <f>IF(AND($C47&lt;&gt;0,AJ47=""),"* No olvide ingresar la columna Pueblos Originarios, digite CERO si no tiene.  ",IF(AJ47&gt;$C47,"* El número de Pueblos Originarios no puede superar el Total Ambos Sexos.  ",""))</f>
        <v/>
      </c>
      <c r="CB47" s="239" t="n"/>
      <c r="CC47" s="239" t="n"/>
      <c r="CD47" s="239" t="n"/>
      <c r="CE47" s="5" t="n"/>
      <c r="CF47" s="5" t="n"/>
      <c r="CG47" s="5" t="n"/>
      <c r="CH47" s="5" t="n"/>
      <c r="CI47" s="29">
        <f>IF(AND($C47&lt;&gt;0,AJ47=""),1,IF(AJ47&gt;$C47,1,0))</f>
        <v/>
      </c>
    </row>
    <row r="48">
      <c r="A48" s="9627" t="n"/>
      <c r="B48" s="5012" t="inlineStr">
        <is>
          <t>Psiquiatra</t>
        </is>
      </c>
      <c r="C48" s="1123">
        <f>SUM(D48,E48)</f>
        <v/>
      </c>
      <c r="D48" s="1923">
        <f>SUM(F48,H48,J48,L48,N48,P48,R48,T48)</f>
        <v/>
      </c>
      <c r="E48" s="3695">
        <f>SUM(G48,I48,K48,M48,O48,Q48,S48,U48)</f>
        <v/>
      </c>
      <c r="F48" s="1124" t="n"/>
      <c r="G48" s="3656" t="n"/>
      <c r="H48" s="1124" t="n"/>
      <c r="I48" s="3656" t="n"/>
      <c r="J48" s="3658" t="n"/>
      <c r="K48" s="3656" t="n"/>
      <c r="L48" s="1124" t="n"/>
      <c r="M48" s="3656" t="n"/>
      <c r="N48" s="1124" t="n"/>
      <c r="O48" s="3656" t="n"/>
      <c r="P48" s="1124" t="n"/>
      <c r="Q48" s="3656" t="n"/>
      <c r="R48" s="1124" t="n"/>
      <c r="S48" s="3656" t="n"/>
      <c r="T48" s="1124" t="n"/>
      <c r="U48" s="5060" t="n"/>
      <c r="V48" s="3658" t="n"/>
      <c r="W48" s="3656" t="n"/>
      <c r="X48" s="1124" t="n"/>
      <c r="Y48" s="882" t="n"/>
      <c r="Z48" s="882" t="n"/>
      <c r="AA48" s="1124" t="n"/>
      <c r="AB48" s="882" t="n"/>
      <c r="AC48" s="882" t="n"/>
      <c r="AD48" s="1124" t="n"/>
      <c r="AE48" s="882" t="n"/>
      <c r="AF48" s="882" t="n"/>
      <c r="AG48" s="1124" t="n"/>
      <c r="AH48" s="882" t="n"/>
      <c r="AI48" s="880" t="n"/>
      <c r="AJ48" s="2688" t="n"/>
      <c r="AK48" s="238">
        <f>$CA48</f>
        <v/>
      </c>
      <c r="AL48" s="5" t="n"/>
      <c r="AM48" s="5" t="n"/>
      <c r="AN48" s="5" t="n"/>
      <c r="AO48" s="5" t="n"/>
      <c r="AP48" s="5" t="n"/>
      <c r="AQ48" s="5" t="n"/>
      <c r="AR48" s="5" t="n"/>
      <c r="AS48" s="5" t="n"/>
      <c r="AT48" s="5" t="n"/>
      <c r="AU48" s="5" t="n"/>
      <c r="AV48" s="5" t="n"/>
      <c r="AW48" s="5" t="n"/>
      <c r="AX48" s="5" t="n"/>
      <c r="AY48" s="5" t="n"/>
      <c r="AZ48" s="5" t="n"/>
      <c r="BA48" s="5" t="n"/>
      <c r="BB48" s="5" t="n"/>
      <c r="BC48" s="5" t="n"/>
      <c r="BD48" s="5" t="n"/>
      <c r="BE48" s="5" t="n"/>
      <c r="BF48" s="5" t="n"/>
      <c r="BG48" s="5" t="n"/>
      <c r="BH48" s="5" t="n"/>
      <c r="BI48" s="5" t="n"/>
      <c r="BJ48" s="5" t="n"/>
      <c r="BK48" s="5" t="n"/>
      <c r="BL48" s="5" t="n"/>
      <c r="BM48" s="5" t="n"/>
      <c r="BN48" s="5" t="n"/>
      <c r="BO48" s="5" t="n"/>
      <c r="BP48" s="5" t="n"/>
      <c r="BQ48" s="5" t="n"/>
      <c r="BR48" s="5" t="n"/>
      <c r="BS48" s="5" t="n"/>
      <c r="BT48" s="5" t="n"/>
      <c r="BU48" s="5" t="n"/>
      <c r="BV48" s="5" t="n"/>
      <c r="CA48" s="405">
        <f>IF(AND($C48&lt;&gt;0,AJ48=""),"* No olvide ingresar la columna Pueblos Originarios, digite CERO si no tiene.  ",IF(AJ48&gt;$C48,"* El número de Pueblos Originarios no puede superar el Total Ambos Sexos.  ",""))</f>
        <v/>
      </c>
      <c r="CB48" s="239" t="n"/>
      <c r="CC48" s="239" t="n"/>
      <c r="CD48" s="239" t="n"/>
      <c r="CE48" s="5" t="n"/>
      <c r="CF48" s="5" t="n"/>
      <c r="CG48" s="5" t="n"/>
      <c r="CH48" s="5" t="n"/>
      <c r="CI48" s="29">
        <f>IF(AND($C48&lt;&gt;0,AJ48=""),1,IF(AJ48&gt;$C48,1,0))</f>
        <v/>
      </c>
    </row>
    <row r="49">
      <c r="A49" s="9621" t="n"/>
      <c r="B49" s="5012" t="inlineStr">
        <is>
          <t>Médico/a de Familia</t>
        </is>
      </c>
      <c r="C49" s="1123">
        <f>SUM(D49,E49)</f>
        <v/>
      </c>
      <c r="D49" s="711">
        <f>SUM(F49,H49,J49,L49,N49,P49,R49,T49)</f>
        <v/>
      </c>
      <c r="E49" s="3698">
        <f>SUM(G49,I49,K49,M49,O49,Q49,S49,U49)</f>
        <v/>
      </c>
      <c r="F49" s="1124" t="n"/>
      <c r="G49" s="3656" t="n"/>
      <c r="H49" s="1124" t="n"/>
      <c r="I49" s="3656" t="n"/>
      <c r="J49" s="3658" t="n"/>
      <c r="K49" s="3656" t="n"/>
      <c r="L49" s="1124" t="n"/>
      <c r="M49" s="3656" t="n"/>
      <c r="N49" s="1124" t="n"/>
      <c r="O49" s="3656" t="n"/>
      <c r="P49" s="1124" t="n"/>
      <c r="Q49" s="3656" t="n"/>
      <c r="R49" s="1124" t="n"/>
      <c r="S49" s="3656" t="n"/>
      <c r="T49" s="1124" t="n"/>
      <c r="U49" s="5060" t="n"/>
      <c r="V49" s="3658" t="n"/>
      <c r="W49" s="3656" t="n"/>
      <c r="X49" s="1124" t="n"/>
      <c r="Y49" s="882" t="n"/>
      <c r="Z49" s="882" t="n"/>
      <c r="AA49" s="1124" t="n"/>
      <c r="AB49" s="882" t="n"/>
      <c r="AC49" s="882" t="n"/>
      <c r="AD49" s="1124" t="n"/>
      <c r="AE49" s="882" t="n"/>
      <c r="AF49" s="882" t="n"/>
      <c r="AG49" s="1124" t="n"/>
      <c r="AH49" s="882" t="n"/>
      <c r="AI49" s="880" t="n"/>
      <c r="AJ49" s="3847" t="n"/>
      <c r="AK49" s="238">
        <f>$CA49</f>
        <v/>
      </c>
      <c r="AL49" s="5" t="n"/>
      <c r="AM49" s="5" t="n"/>
      <c r="AN49" s="5" t="n"/>
      <c r="AO49" s="5" t="n"/>
      <c r="AP49" s="5" t="n"/>
      <c r="AQ49" s="5" t="n"/>
      <c r="AR49" s="5" t="n"/>
      <c r="AS49" s="5" t="n"/>
      <c r="AT49" s="5" t="n"/>
      <c r="AU49" s="5" t="n"/>
      <c r="AV49" s="5" t="n"/>
      <c r="AW49" s="5" t="n"/>
      <c r="AX49" s="5" t="n"/>
      <c r="AY49" s="5" t="n"/>
      <c r="AZ49" s="5" t="n"/>
      <c r="BA49" s="5" t="n"/>
      <c r="BB49" s="5" t="n"/>
      <c r="BC49" s="5" t="n"/>
      <c r="BD49" s="5" t="n"/>
      <c r="BE49" s="5" t="n"/>
      <c r="BF49" s="5" t="n"/>
      <c r="BG49" s="5" t="n"/>
      <c r="BH49" s="5" t="n"/>
      <c r="BI49" s="5" t="n"/>
      <c r="BJ49" s="5" t="n"/>
      <c r="BK49" s="5" t="n"/>
      <c r="BL49" s="5" t="n"/>
      <c r="BM49" s="5" t="n"/>
      <c r="BN49" s="5" t="n"/>
      <c r="BO49" s="5" t="n"/>
      <c r="BP49" s="5" t="n"/>
      <c r="BQ49" s="5" t="n"/>
      <c r="BR49" s="5" t="n"/>
      <c r="BS49" s="5" t="n"/>
      <c r="BT49" s="5" t="n"/>
      <c r="BU49" s="5" t="n"/>
      <c r="BV49" s="5" t="n"/>
      <c r="CA49" s="405">
        <f>IF(AND($C49&lt;&gt;0,AJ49=""),"* No olvide ingresar la columna Pueblos Originarios, digite CERO si no tiene.  ",IF(AJ49&gt;$C49,"* El número de Pueblos Originarios no puede superar el Total Ambos Sexos.  ",""))</f>
        <v/>
      </c>
      <c r="CB49" s="239" t="n"/>
      <c r="CC49" s="239" t="n"/>
      <c r="CD49" s="239" t="n"/>
      <c r="CE49" s="5" t="n"/>
      <c r="CF49" s="5" t="n"/>
      <c r="CG49" s="5" t="n"/>
      <c r="CH49" s="5" t="n"/>
      <c r="CI49" s="29">
        <f>IF(AND($C49&lt;&gt;0,AJ49=""),1,IF(AJ49&gt;$C49,1,0))</f>
        <v/>
      </c>
    </row>
    <row r="50" ht="15" customHeight="1" s="8286">
      <c r="A50" s="10095" t="inlineStr">
        <is>
          <t>TOTAL</t>
        </is>
      </c>
      <c r="B50" s="9584" t="n"/>
      <c r="C50" s="4622">
        <f>SUM(C47:C49)</f>
        <v/>
      </c>
      <c r="D50" s="5049">
        <f>SUM(F50,H50,J50,L50,N50,P50,R50,T50)</f>
        <v/>
      </c>
      <c r="E50" s="5050">
        <f>SUM(G50,I50,K50,M50,O50,Q50,S50,U50)</f>
        <v/>
      </c>
      <c r="F50" s="5051">
        <f>SUM(F47:F49)</f>
        <v/>
      </c>
      <c r="G50" s="5052">
        <f>SUM(G47:G49)</f>
        <v/>
      </c>
      <c r="H50" s="5051">
        <f>SUM(H47:H49)</f>
        <v/>
      </c>
      <c r="I50" s="5053">
        <f>SUM(I47:I49)</f>
        <v/>
      </c>
      <c r="J50" s="5052">
        <f>SUM(J47:J49)</f>
        <v/>
      </c>
      <c r="K50" s="5052">
        <f>SUM(K47:K49)</f>
        <v/>
      </c>
      <c r="L50" s="5051">
        <f>SUM(L47:L49)</f>
        <v/>
      </c>
      <c r="M50" s="5052">
        <f>SUM(M47:M49)</f>
        <v/>
      </c>
      <c r="N50" s="5051">
        <f>SUM(N47:N49)</f>
        <v/>
      </c>
      <c r="O50" s="5052">
        <f>SUM(O47:O49)</f>
        <v/>
      </c>
      <c r="P50" s="5051">
        <f>SUM(P47:P49)</f>
        <v/>
      </c>
      <c r="Q50" s="5052">
        <f>SUM(Q47:Q49)</f>
        <v/>
      </c>
      <c r="R50" s="5051">
        <f>SUM(R47:R49)</f>
        <v/>
      </c>
      <c r="S50" s="5052">
        <f>SUM(S47:S49)</f>
        <v/>
      </c>
      <c r="T50" s="5051">
        <f>SUM(T47:T49)</f>
        <v/>
      </c>
      <c r="U50" s="5062">
        <f>SUM(U47:U49)</f>
        <v/>
      </c>
      <c r="V50" s="5055" t="n"/>
      <c r="W50" s="5056" t="n"/>
      <c r="X50" s="5055" t="n"/>
      <c r="Y50" s="5056" t="n"/>
      <c r="Z50" s="5057" t="n"/>
      <c r="AA50" s="5056" t="n"/>
      <c r="AB50" s="5056" t="n"/>
      <c r="AC50" s="5057" t="n"/>
      <c r="AD50" s="5056" t="n"/>
      <c r="AE50" s="5056" t="n"/>
      <c r="AF50" s="5057" t="n"/>
      <c r="AG50" s="5056" t="n"/>
      <c r="AH50" s="5056" t="n"/>
      <c r="AI50" s="5058" t="n"/>
      <c r="AJ50" s="5063">
        <f>SUM(AJ47:AJ49)</f>
        <v/>
      </c>
      <c r="AK50" s="101" t="n"/>
      <c r="AL50" s="101" t="n"/>
      <c r="AM50" s="101" t="n"/>
      <c r="AN50" s="101" t="n"/>
      <c r="AO50" s="101" t="n"/>
      <c r="AP50" s="101" t="n"/>
      <c r="AQ50" s="101" t="n"/>
      <c r="AR50" s="101" t="n"/>
      <c r="AS50" s="101" t="n"/>
      <c r="AT50" s="101" t="n"/>
      <c r="AU50" s="101" t="n"/>
      <c r="AV50" s="101" t="n"/>
      <c r="AW50" s="101" t="n"/>
      <c r="AX50" s="101" t="n"/>
      <c r="AY50" s="101" t="n"/>
      <c r="AZ50" s="101" t="n"/>
      <c r="BA50" s="101" t="n"/>
      <c r="BB50" s="101" t="n"/>
      <c r="BC50" s="101" t="n"/>
      <c r="BD50" s="101" t="n"/>
      <c r="BE50" s="101" t="n"/>
      <c r="BF50" s="101" t="n"/>
      <c r="BG50" s="101" t="n"/>
      <c r="BH50" s="101" t="n"/>
      <c r="BI50" s="101" t="n"/>
      <c r="BJ50" s="101" t="n"/>
      <c r="BK50" s="101" t="n"/>
      <c r="BL50" s="101" t="n"/>
      <c r="BM50" s="17" t="n"/>
      <c r="BN50" s="17" t="n"/>
      <c r="BO50" s="17" t="n"/>
      <c r="BP50" s="17" t="n"/>
      <c r="BQ50" s="17" t="n"/>
      <c r="BR50" s="17" t="n"/>
      <c r="BS50" s="17" t="n"/>
      <c r="BT50" s="17" t="n"/>
      <c r="BW50" s="329" t="n"/>
      <c r="BX50" s="329" t="n"/>
      <c r="BY50" s="329" t="n"/>
      <c r="BZ50" s="329" t="n"/>
      <c r="CA50" s="329" t="n"/>
      <c r="CE50" s="101" t="n"/>
      <c r="CF50" s="101" t="n"/>
      <c r="CG50" s="101" t="n"/>
      <c r="CH50" s="101" t="n"/>
      <c r="CI50" s="101" t="n"/>
    </row>
    <row r="51" ht="17.1" customFormat="1" customHeight="1" s="329">
      <c r="A51" s="9" t="inlineStr">
        <is>
          <t xml:space="preserve">SECCIÓN C: EVALUACIONES </t>
        </is>
      </c>
      <c r="B51" s="9" t="n"/>
      <c r="C51" s="606" t="n"/>
      <c r="D51" s="606" t="n"/>
      <c r="E51" s="606" t="n"/>
      <c r="F51" s="606" t="n"/>
      <c r="G51" s="606" t="n"/>
      <c r="H51" s="606" t="n"/>
      <c r="I51" s="606" t="n"/>
      <c r="J51" s="606" t="n"/>
      <c r="K51" s="606" t="n"/>
      <c r="L51" s="606" t="n"/>
      <c r="M51" s="606" t="n"/>
      <c r="N51" s="606" t="n"/>
      <c r="O51" s="606" t="n"/>
      <c r="P51" s="606" t="n"/>
      <c r="Q51" s="606" t="n"/>
      <c r="R51" s="606" t="n"/>
      <c r="S51" s="606" t="n"/>
      <c r="T51" s="606" t="n"/>
      <c r="U51" s="606" t="n"/>
      <c r="V51" s="606" t="n"/>
      <c r="W51" s="606" t="n"/>
      <c r="X51" s="606" t="n"/>
      <c r="Y51" s="606" t="n"/>
      <c r="Z51" s="606" t="n"/>
      <c r="AA51" s="606" t="n"/>
      <c r="AB51" s="606" t="n"/>
      <c r="AC51" s="606" t="n"/>
      <c r="AD51" s="606" t="n"/>
      <c r="AE51" s="606" t="n"/>
      <c r="AF51" s="606" t="n"/>
      <c r="AG51" s="606" t="n"/>
      <c r="AH51" s="606" t="n"/>
      <c r="AI51" s="606" t="n"/>
      <c r="AJ51" s="606" t="n"/>
      <c r="AK51" s="606" t="n"/>
      <c r="AL51" s="606" t="n"/>
      <c r="AM51" s="606" t="n"/>
      <c r="AO51" s="101" t="n"/>
      <c r="AP51" s="101" t="n"/>
      <c r="AQ51" s="101" t="n"/>
      <c r="AR51" s="101" t="n"/>
      <c r="AS51" s="101" t="n"/>
      <c r="AT51" s="101" t="n"/>
      <c r="AU51" s="101" t="n"/>
      <c r="AV51" s="101" t="n"/>
      <c r="AW51" s="101" t="n"/>
      <c r="AX51" s="101" t="n"/>
      <c r="AY51" s="101" t="n"/>
      <c r="AZ51" s="101" t="n"/>
      <c r="BA51" s="101" t="n"/>
      <c r="BB51" s="101" t="n"/>
      <c r="BC51" s="101" t="n"/>
      <c r="BD51" s="101" t="n"/>
      <c r="BE51" s="101" t="n"/>
      <c r="BF51" s="101" t="n"/>
      <c r="BG51" s="101" t="n"/>
      <c r="BH51" s="101" t="n"/>
      <c r="BI51" s="101" t="n"/>
      <c r="BJ51" s="101" t="n"/>
      <c r="BK51" s="101" t="n"/>
      <c r="BL51" s="101" t="n"/>
      <c r="BM51" s="17" t="n"/>
      <c r="BN51" s="17" t="n"/>
      <c r="BO51" s="17" t="n"/>
      <c r="BP51" s="17" t="n"/>
      <c r="BQ51" s="17" t="n"/>
      <c r="BR51" s="17" t="n"/>
      <c r="BS51" s="17" t="n"/>
      <c r="BT51" s="17" t="n"/>
      <c r="BU51" s="17" t="n"/>
      <c r="BV51" s="17" t="n"/>
      <c r="BW51" s="101" t="n"/>
      <c r="BX51" s="101" t="n"/>
      <c r="BY51" s="101" t="n"/>
      <c r="BZ51" s="101" t="n"/>
      <c r="CA51" s="101" t="n"/>
      <c r="CB51" s="101" t="n"/>
      <c r="CC51" s="101" t="n"/>
      <c r="CD51" s="101" t="n"/>
      <c r="CE51" s="101" t="n"/>
      <c r="CF51" s="101" t="n"/>
      <c r="CG51" s="101" t="n"/>
      <c r="CH51" s="101" t="n"/>
      <c r="CI51" s="101" t="n"/>
    </row>
    <row r="52" ht="15" customHeight="1" s="8286">
      <c r="A52" s="10046" t="inlineStr">
        <is>
          <t>TIPO</t>
        </is>
      </c>
      <c r="B52" s="10712" t="inlineStr">
        <is>
          <t>TOTAL</t>
        </is>
      </c>
      <c r="C52" s="9602" t="n"/>
      <c r="D52" s="9602" t="n"/>
      <c r="E52" s="10396" t="inlineStr">
        <is>
          <t>RANGO ETARIO Y SEXO</t>
        </is>
      </c>
      <c r="F52" s="9584" t="n"/>
      <c r="G52" s="9584" t="n"/>
      <c r="H52" s="9584" t="n"/>
      <c r="I52" s="9584" t="n"/>
      <c r="J52" s="9584" t="n"/>
      <c r="K52" s="9584" t="n"/>
      <c r="L52" s="9584" t="n"/>
      <c r="M52" s="9584" t="n"/>
      <c r="N52" s="9584" t="n"/>
      <c r="O52" s="9584" t="n"/>
      <c r="P52" s="9584" t="n"/>
      <c r="Q52" s="9584" t="n"/>
      <c r="R52" s="9584" t="n"/>
      <c r="S52" s="9584" t="n"/>
      <c r="T52" s="9595" t="n"/>
      <c r="U52" s="10005" t="inlineStr">
        <is>
          <t>Ley 19.123, Ley 19.980, Ley 20.405 (DD Y EP)</t>
        </is>
      </c>
      <c r="V52" s="9630" t="n"/>
      <c r="W52" s="9946" t="inlineStr">
        <is>
          <t>Ley 19.992, Ley 20.405 (Prisión política y tortura)</t>
        </is>
      </c>
      <c r="X52" s="9602" t="n"/>
      <c r="Y52" s="9630" t="n"/>
      <c r="Z52" s="10717" t="inlineStr">
        <is>
          <t>Exilio</t>
        </is>
      </c>
      <c r="AA52" s="9602" t="n"/>
      <c r="AB52" s="9630" t="n"/>
      <c r="AC52" s="10717" t="inlineStr">
        <is>
          <t>Exoneración Política</t>
        </is>
      </c>
      <c r="AD52" s="9602" t="n"/>
      <c r="AE52" s="9630" t="n"/>
      <c r="AF52" s="10709" t="inlineStr">
        <is>
          <t>Otros hechos represivos según Norma técnica N° 88</t>
        </is>
      </c>
      <c r="AG52" s="9602" t="n"/>
      <c r="AH52" s="9886" t="n"/>
      <c r="AI52" s="10104" t="inlineStr">
        <is>
          <t>Pueblos Originarios</t>
        </is>
      </c>
      <c r="AJ52" s="9517" t="n"/>
      <c r="AM52" s="101" t="n"/>
      <c r="AO52" s="101" t="n"/>
      <c r="AP52" s="101" t="n"/>
      <c r="AQ52" s="101" t="n"/>
      <c r="AR52" s="101" t="n"/>
      <c r="AS52" s="101" t="n"/>
      <c r="AT52" s="101" t="n"/>
      <c r="AU52" s="101" t="n"/>
      <c r="AV52" s="101" t="n"/>
      <c r="AW52" s="101" t="n"/>
      <c r="AX52" s="101" t="n"/>
      <c r="AY52" s="101" t="n"/>
      <c r="AZ52" s="101" t="n"/>
      <c r="BA52" s="101" t="n"/>
      <c r="BB52" s="101" t="n"/>
      <c r="BC52" s="101" t="n"/>
      <c r="BD52" s="101" t="n"/>
      <c r="BE52" s="101" t="n"/>
      <c r="BF52" s="101" t="n"/>
      <c r="BG52" s="101" t="n"/>
      <c r="BH52" s="101" t="n"/>
      <c r="BI52" s="101" t="n"/>
      <c r="BJ52" s="101" t="n"/>
      <c r="BK52" s="101" t="n"/>
      <c r="BL52" s="101" t="n"/>
      <c r="BM52" s="17" t="n"/>
      <c r="BN52" s="17" t="n"/>
      <c r="BO52" s="17" t="n"/>
      <c r="BP52" s="17" t="n"/>
      <c r="BQ52" s="17" t="n"/>
      <c r="BR52" s="17" t="n"/>
      <c r="BS52" s="17" t="n"/>
      <c r="BT52" s="17" t="n"/>
      <c r="BU52" s="17" t="n"/>
      <c r="BV52" s="17" t="n"/>
      <c r="BW52" s="101" t="n"/>
      <c r="BX52" s="101" t="n"/>
      <c r="BY52" s="101" t="n"/>
      <c r="BZ52" s="101" t="n"/>
      <c r="CA52" s="101" t="n"/>
      <c r="CB52" s="101" t="n"/>
      <c r="CC52" s="101" t="n"/>
      <c r="CD52" s="101" t="n"/>
      <c r="CE52" s="101" t="n"/>
      <c r="CF52" s="101" t="n"/>
      <c r="CG52" s="101" t="n"/>
      <c r="CH52" s="101" t="n"/>
      <c r="CI52" s="101" t="n"/>
    </row>
    <row r="53">
      <c r="A53" s="9614" t="n"/>
      <c r="B53" s="642" t="n"/>
      <c r="E53" s="10714" t="inlineStr">
        <is>
          <t>Menores de 15 años</t>
        </is>
      </c>
      <c r="F53" s="9584" t="n"/>
      <c r="G53" s="9917" t="inlineStr">
        <is>
          <t>15 a 24 años</t>
        </is>
      </c>
      <c r="H53" s="9582" t="n"/>
      <c r="I53" s="10715" t="inlineStr">
        <is>
          <t>25 - 34 años</t>
        </is>
      </c>
      <c r="J53" s="9648" t="n"/>
      <c r="K53" s="9917" t="inlineStr">
        <is>
          <t>35 - 44 años</t>
        </is>
      </c>
      <c r="L53" s="9582" t="n"/>
      <c r="M53" s="9917" t="inlineStr">
        <is>
          <t>45 - 54 años</t>
        </is>
      </c>
      <c r="N53" s="9582" t="n"/>
      <c r="O53" s="9917" t="inlineStr">
        <is>
          <t>55 - 64 años</t>
        </is>
      </c>
      <c r="P53" s="9582" t="n"/>
      <c r="Q53" s="9917" t="inlineStr">
        <is>
          <t>65 - 74 años</t>
        </is>
      </c>
      <c r="R53" s="9582" t="n"/>
      <c r="S53" s="10163" t="inlineStr">
        <is>
          <t>75 y más años</t>
        </is>
      </c>
      <c r="T53" s="9647" t="n"/>
      <c r="U53" s="9697" t="n"/>
      <c r="V53" s="9639" t="n"/>
      <c r="W53" s="9638" t="n"/>
      <c r="X53" s="9697" t="n"/>
      <c r="Y53" s="9639" t="n"/>
      <c r="Z53" s="9638" t="n"/>
      <c r="AA53" s="9697" t="n"/>
      <c r="AB53" s="9639" t="n"/>
      <c r="AC53" s="9638" t="n"/>
      <c r="AD53" s="9697" t="n"/>
      <c r="AE53" s="9639" t="n"/>
      <c r="AF53" s="9698" t="n"/>
      <c r="AG53" s="9591" t="n"/>
      <c r="AH53" s="9865" t="n"/>
      <c r="AI53" s="9625" t="n"/>
      <c r="AJ53" s="642" t="n"/>
      <c r="AM53" s="101" t="n"/>
      <c r="AO53" s="101" t="n"/>
      <c r="AP53" s="101" t="n"/>
      <c r="AQ53" s="101" t="n"/>
      <c r="AR53" s="101" t="n"/>
      <c r="AS53" s="101" t="n"/>
      <c r="AT53" s="101" t="n"/>
      <c r="AU53" s="101" t="n"/>
      <c r="AV53" s="101" t="n"/>
      <c r="AW53" s="101" t="n"/>
      <c r="AX53" s="101" t="n"/>
      <c r="AY53" s="101" t="n"/>
      <c r="AZ53" s="101" t="n"/>
      <c r="BA53" s="101" t="n"/>
      <c r="BB53" s="101" t="n"/>
      <c r="BC53" s="101" t="n"/>
      <c r="BD53" s="101" t="n"/>
      <c r="BE53" s="101" t="n"/>
      <c r="BF53" s="101" t="n"/>
      <c r="BG53" s="101" t="n"/>
      <c r="BH53" s="101" t="n"/>
      <c r="BI53" s="101" t="n"/>
      <c r="BJ53" s="101" t="n"/>
      <c r="BK53" s="101" t="n"/>
      <c r="BL53" s="101" t="n"/>
      <c r="BM53" s="101" t="n"/>
      <c r="BN53" s="101" t="n"/>
      <c r="BO53" s="101" t="n"/>
      <c r="BP53" s="101" t="n"/>
      <c r="BQ53" s="101" t="n"/>
      <c r="BR53" s="101" t="n"/>
      <c r="BS53" s="101" t="n"/>
      <c r="BT53" s="101" t="n"/>
      <c r="BU53" s="101" t="n"/>
      <c r="BV53" s="101" t="n"/>
      <c r="BW53" s="101" t="n"/>
      <c r="BX53" s="101" t="n"/>
      <c r="BY53" s="101" t="n"/>
      <c r="BZ53" s="101" t="n"/>
      <c r="CA53" s="101" t="n"/>
      <c r="CB53" s="101" t="n"/>
      <c r="CC53" s="101" t="n"/>
      <c r="CD53" s="101" t="n"/>
      <c r="CE53" s="101" t="n"/>
      <c r="CF53" s="101" t="n"/>
      <c r="CG53" s="101" t="n"/>
      <c r="CH53" s="101" t="n"/>
      <c r="CI53" s="101" t="n"/>
    </row>
    <row r="54" ht="21" customHeight="1" s="8286">
      <c r="A54" s="9614" t="n"/>
      <c r="B54" s="4498" t="inlineStr">
        <is>
          <t>Ambos Sexos</t>
        </is>
      </c>
      <c r="C54" s="4641" t="inlineStr">
        <is>
          <t>Hombres</t>
        </is>
      </c>
      <c r="D54" s="5031" t="inlineStr">
        <is>
          <t>Mujeres</t>
        </is>
      </c>
      <c r="E54" s="4498" t="inlineStr">
        <is>
          <t>Hombres</t>
        </is>
      </c>
      <c r="F54" s="5031" t="inlineStr">
        <is>
          <t>Mujeres</t>
        </is>
      </c>
      <c r="G54" s="4498" t="inlineStr">
        <is>
          <t>Hombres</t>
        </is>
      </c>
      <c r="H54" s="5031" t="inlineStr">
        <is>
          <t>Mujeres</t>
        </is>
      </c>
      <c r="I54" s="4498" t="inlineStr">
        <is>
          <t>Hombres</t>
        </is>
      </c>
      <c r="J54" s="5031" t="inlineStr">
        <is>
          <t>Mujeres</t>
        </is>
      </c>
      <c r="K54" s="4498" t="inlineStr">
        <is>
          <t>Hombres</t>
        </is>
      </c>
      <c r="L54" s="5031" t="inlineStr">
        <is>
          <t>Mujeres</t>
        </is>
      </c>
      <c r="M54" s="4498" t="inlineStr">
        <is>
          <t>Hombres</t>
        </is>
      </c>
      <c r="N54" s="5031" t="inlineStr">
        <is>
          <t>Mujeres</t>
        </is>
      </c>
      <c r="O54" s="4498" t="inlineStr">
        <is>
          <t>Hombres</t>
        </is>
      </c>
      <c r="P54" s="5031" t="inlineStr">
        <is>
          <t>Mujeres</t>
        </is>
      </c>
      <c r="Q54" s="4498" t="inlineStr">
        <is>
          <t>Hombres</t>
        </is>
      </c>
      <c r="R54" s="5031" t="inlineStr">
        <is>
          <t>Mujeres</t>
        </is>
      </c>
      <c r="S54" s="4498" t="inlineStr">
        <is>
          <t>Hombres</t>
        </is>
      </c>
      <c r="T54" s="5032" t="inlineStr">
        <is>
          <t>Mujeres</t>
        </is>
      </c>
      <c r="U54" s="5033" t="inlineStr">
        <is>
          <t>Afectado Directo</t>
        </is>
      </c>
      <c r="V54" s="9246" t="inlineStr">
        <is>
          <t>Beneficiario</t>
        </is>
      </c>
      <c r="W54" s="4650" t="inlineStr">
        <is>
          <t>Índice</t>
        </is>
      </c>
      <c r="X54" s="4669" t="inlineStr">
        <is>
          <t>Afectado Directo</t>
        </is>
      </c>
      <c r="Y54" s="9292" t="inlineStr">
        <is>
          <t>Beneficiario</t>
        </is>
      </c>
      <c r="Z54" s="4938" t="inlineStr">
        <is>
          <t>Índice</t>
        </is>
      </c>
      <c r="AA54" s="4939" t="inlineStr">
        <is>
          <t>Afectado Directo</t>
        </is>
      </c>
      <c r="AB54" s="9339" t="inlineStr">
        <is>
          <t>Beneficiario</t>
        </is>
      </c>
      <c r="AC54" s="4938" t="inlineStr">
        <is>
          <t>Índice</t>
        </is>
      </c>
      <c r="AD54" s="4939" t="inlineStr">
        <is>
          <t>Afectado Directo</t>
        </is>
      </c>
      <c r="AE54" s="9339" t="inlineStr">
        <is>
          <t>Beneficiario</t>
        </is>
      </c>
      <c r="AF54" s="4938" t="inlineStr">
        <is>
          <t>Índice</t>
        </is>
      </c>
      <c r="AG54" s="4939" t="inlineStr">
        <is>
          <t>Afectado Directo</t>
        </is>
      </c>
      <c r="AH54" s="5034" t="inlineStr">
        <is>
          <t>Beneficiario</t>
        </is>
      </c>
      <c r="AI54" s="9625" t="n"/>
      <c r="AJ54" s="642" t="n"/>
      <c r="AM54" s="101" t="n"/>
      <c r="AO54" s="101" t="n"/>
      <c r="AP54" s="101" t="n"/>
      <c r="AQ54" s="101" t="n"/>
      <c r="AR54" s="101" t="n"/>
      <c r="AS54" s="101" t="n"/>
      <c r="AT54" s="101" t="n"/>
      <c r="AU54" s="101" t="n"/>
      <c r="AV54" s="101" t="n"/>
      <c r="AW54" s="101" t="n"/>
      <c r="AX54" s="101" t="n"/>
      <c r="AY54" s="101" t="n"/>
      <c r="AZ54" s="101" t="n"/>
      <c r="BA54" s="101" t="n"/>
      <c r="BB54" s="101" t="n"/>
      <c r="BC54" s="101" t="n"/>
      <c r="BD54" s="101" t="n"/>
      <c r="BE54" s="101" t="n"/>
      <c r="BF54" s="101" t="n"/>
      <c r="BG54" s="101" t="n"/>
      <c r="BH54" s="101" t="n"/>
      <c r="BI54" s="101" t="n"/>
      <c r="BJ54" s="101" t="n"/>
      <c r="BK54" s="101" t="n"/>
      <c r="BL54" s="101" t="n"/>
      <c r="BM54" s="101" t="n"/>
      <c r="BN54" s="101" t="n"/>
      <c r="BO54" s="101" t="n"/>
      <c r="BP54" s="101" t="n"/>
      <c r="BQ54" s="101" t="n"/>
      <c r="BR54" s="101" t="n"/>
      <c r="BS54" s="101" t="n"/>
      <c r="BT54" s="101" t="n"/>
      <c r="BU54" s="101" t="n"/>
      <c r="BV54" s="101" t="n"/>
      <c r="BW54" s="101" t="n"/>
      <c r="BX54" s="101" t="n"/>
      <c r="BY54" s="101" t="n"/>
      <c r="BZ54" s="101" t="n"/>
      <c r="CA54" s="101" t="n"/>
      <c r="CB54" s="101" t="n"/>
      <c r="CC54" s="101" t="n"/>
      <c r="CD54" s="101" t="n"/>
      <c r="CE54" s="101" t="n"/>
      <c r="CF54" s="101" t="n"/>
      <c r="CG54" s="101" t="n"/>
      <c r="CH54" s="101" t="n"/>
      <c r="CI54" s="101" t="n"/>
    </row>
    <row r="55">
      <c r="A55" s="5064" t="inlineStr">
        <is>
          <t>Evaluación artículo 10 Ley 19.992</t>
        </is>
      </c>
      <c r="B55" s="5036">
        <f>SUM(C55,D55)</f>
        <v/>
      </c>
      <c r="C55" s="4179">
        <f>SUM(E55,G55,I55,K55,M55,O55,Q55,S55)</f>
        <v/>
      </c>
      <c r="D55" s="4180">
        <f>SUM(F55,H55,J55,L55,N55,P55,R55,T55)</f>
        <v/>
      </c>
      <c r="E55" s="1124" t="n"/>
      <c r="F55" s="3656" t="n"/>
      <c r="G55" s="1124" t="n"/>
      <c r="H55" s="3656" t="n"/>
      <c r="I55" s="1124" t="n"/>
      <c r="J55" s="3656" t="n"/>
      <c r="K55" s="1124" t="n"/>
      <c r="L55" s="3656" t="n"/>
      <c r="M55" s="1124" t="n"/>
      <c r="N55" s="3656" t="n"/>
      <c r="O55" s="1124" t="n"/>
      <c r="P55" s="3656" t="n"/>
      <c r="Q55" s="1124" t="n"/>
      <c r="R55" s="3656" t="n"/>
      <c r="S55" s="1124" t="n"/>
      <c r="T55" s="5060" t="n"/>
      <c r="U55" s="5061" t="n"/>
      <c r="V55" s="5065" t="n"/>
      <c r="W55" s="5061" t="n"/>
      <c r="X55" s="1454" t="n"/>
      <c r="Y55" s="5065" t="n"/>
      <c r="Z55" s="5037" t="n"/>
      <c r="AA55" s="1454" t="n"/>
      <c r="AB55" s="1454" t="n"/>
      <c r="AC55" s="5037" t="n"/>
      <c r="AD55" s="1454" t="n"/>
      <c r="AE55" s="1454" t="n"/>
      <c r="AF55" s="5037" t="n"/>
      <c r="AG55" s="1454" t="n"/>
      <c r="AH55" s="1465" t="n"/>
      <c r="AI55" s="5065" t="n"/>
      <c r="AJ55" s="238">
        <f>$CA55</f>
        <v/>
      </c>
      <c r="AK55" s="5" t="n"/>
      <c r="AL55" s="5" t="n"/>
      <c r="AM55" s="5" t="n"/>
      <c r="AN55" s="5" t="n"/>
      <c r="AO55" s="5" t="n"/>
      <c r="AP55" s="5" t="n"/>
      <c r="AQ55" s="5" t="n"/>
      <c r="AR55" s="5" t="n"/>
      <c r="AS55" s="5" t="n"/>
      <c r="AT55" s="5" t="n"/>
      <c r="AU55" s="5" t="n"/>
      <c r="AV55" s="5" t="n"/>
      <c r="AW55" s="5" t="n"/>
      <c r="AX55" s="5" t="n"/>
      <c r="AY55" s="5" t="n"/>
      <c r="AZ55" s="5" t="n"/>
      <c r="BA55" s="5" t="n"/>
      <c r="BB55" s="5" t="n"/>
      <c r="BC55" s="5" t="n"/>
      <c r="BD55" s="5" t="n"/>
      <c r="BE55" s="5" t="n"/>
      <c r="BF55" s="5" t="n"/>
      <c r="BG55" s="5" t="n"/>
      <c r="BH55" s="5" t="n"/>
      <c r="BI55" s="5" t="n"/>
      <c r="BJ55" s="5" t="n"/>
      <c r="BK55" s="5" t="n"/>
      <c r="BL55" s="5" t="n"/>
      <c r="BM55" s="5" t="n"/>
      <c r="BN55" s="5" t="n"/>
      <c r="BO55" s="5" t="n"/>
      <c r="BP55" s="5" t="n"/>
      <c r="BQ55" s="5" t="n"/>
      <c r="BR55" s="5" t="n"/>
      <c r="BS55" s="5" t="n"/>
      <c r="BT55" s="5" t="n"/>
      <c r="BU55" s="5" t="n"/>
      <c r="CA55" s="405">
        <f>IF(AND($B55&lt;&gt;0,AI55=""),"* No olvide ingresar la columna Pueblos Originarios, digite CERO si no tiene.  ",IF(AI55&gt;$B55,"* El número de Pueblos Originarios no puede superar el Total Ambos Sexos.  ",""))</f>
        <v/>
      </c>
      <c r="CB55" s="101" t="n"/>
      <c r="CC55" s="101" t="n"/>
      <c r="CD55" s="101" t="n"/>
      <c r="CE55" s="101" t="n"/>
      <c r="CF55" s="101" t="n"/>
      <c r="CG55" s="101" t="n"/>
      <c r="CH55" s="101" t="n"/>
      <c r="CI55" s="29">
        <f>IF(AND($B55&lt;&gt;0,AI55=""),1,IF(AI55&gt;$B55,1,0))</f>
        <v/>
      </c>
    </row>
    <row r="56">
      <c r="A56" s="1934" t="inlineStr">
        <is>
          <t>Psicodiagnóstico</t>
        </is>
      </c>
      <c r="B56" s="1123">
        <f>SUM(C56,D56)</f>
        <v/>
      </c>
      <c r="C56" s="1923">
        <f>SUM(E56,G56,I56,K56,M56,O56,Q56,S56)</f>
        <v/>
      </c>
      <c r="D56" s="3695">
        <f>SUM(F56,H56,J56,L56,N56,P56,R56,T56)</f>
        <v/>
      </c>
      <c r="E56" s="1124" t="n"/>
      <c r="F56" s="3656" t="n"/>
      <c r="G56" s="1124" t="n"/>
      <c r="H56" s="3656" t="n"/>
      <c r="I56" s="1124" t="n"/>
      <c r="J56" s="3656" t="n"/>
      <c r="K56" s="1124" t="n"/>
      <c r="L56" s="3656" t="n"/>
      <c r="M56" s="1124" t="n"/>
      <c r="N56" s="3656" t="n"/>
      <c r="O56" s="1124" t="n"/>
      <c r="P56" s="3656" t="n"/>
      <c r="Q56" s="1124" t="n"/>
      <c r="R56" s="3656" t="n"/>
      <c r="S56" s="1124" t="n"/>
      <c r="T56" s="5060" t="n"/>
      <c r="U56" s="3658" t="n"/>
      <c r="V56" s="3656" t="n"/>
      <c r="W56" s="3658" t="n"/>
      <c r="X56" s="882" t="n"/>
      <c r="Y56" s="3656" t="n"/>
      <c r="Z56" s="1124" t="n"/>
      <c r="AA56" s="882" t="n"/>
      <c r="AB56" s="882" t="n"/>
      <c r="AC56" s="1124" t="n"/>
      <c r="AD56" s="882" t="n"/>
      <c r="AE56" s="882" t="n"/>
      <c r="AF56" s="1124" t="n"/>
      <c r="AG56" s="882" t="n"/>
      <c r="AH56" s="880" t="n"/>
      <c r="AI56" s="3656" t="n"/>
      <c r="AJ56" s="238">
        <f>$CA56</f>
        <v/>
      </c>
      <c r="AM56" s="101" t="n"/>
      <c r="AO56" s="101" t="n"/>
      <c r="AP56" s="101" t="n"/>
      <c r="AQ56" s="101" t="n"/>
      <c r="AR56" s="101" t="n"/>
      <c r="AS56" s="101" t="n"/>
      <c r="AT56" s="101" t="n"/>
      <c r="AU56" s="101" t="n"/>
      <c r="AV56" s="101" t="n"/>
      <c r="AW56" s="101" t="n"/>
      <c r="AX56" s="101" t="n"/>
      <c r="AY56" s="101" t="n"/>
      <c r="AZ56" s="101" t="n"/>
      <c r="BA56" s="101" t="n"/>
      <c r="BB56" s="101" t="n"/>
      <c r="BC56" s="101" t="n"/>
      <c r="BD56" s="101" t="n"/>
      <c r="BE56" s="101" t="n"/>
      <c r="BF56" s="101" t="n"/>
      <c r="BG56" s="101" t="n"/>
      <c r="BH56" s="101" t="n"/>
      <c r="BI56" s="101" t="n"/>
      <c r="BJ56" s="101" t="n"/>
      <c r="BK56" s="101" t="n"/>
      <c r="BL56" s="101" t="n"/>
      <c r="BM56" s="101" t="n"/>
      <c r="BN56" s="101" t="n"/>
      <c r="BO56" s="101" t="n"/>
      <c r="BP56" s="101" t="n"/>
      <c r="BQ56" s="101" t="n"/>
      <c r="BR56" s="101" t="n"/>
      <c r="BS56" s="101" t="n"/>
      <c r="BT56" s="101" t="n"/>
      <c r="BU56" s="101" t="n"/>
      <c r="BV56" s="101" t="n"/>
      <c r="BW56" s="101" t="n"/>
      <c r="BX56" s="101" t="n"/>
      <c r="BY56" s="101" t="n"/>
      <c r="BZ56" s="101" t="n"/>
      <c r="CA56" s="405">
        <f>IF(AND($B56&lt;&gt;0,AI56=""),"* No olvide ingresar la columna Pueblos Originarios, digite CERO si no tiene.  ",IF(AI56&gt;$B56,"* El número de Pueblos Originarios no puede superar el Total Ambos Sexos.  ",""))</f>
        <v/>
      </c>
      <c r="CB56" s="101" t="n"/>
      <c r="CC56" s="101" t="n"/>
      <c r="CD56" s="101" t="n"/>
      <c r="CE56" s="101" t="n"/>
      <c r="CF56" s="101" t="n"/>
      <c r="CG56" s="101" t="n"/>
      <c r="CH56" s="101" t="n"/>
      <c r="CI56" s="29">
        <f>IF(AND($B56&lt;&gt;0,AI56=""),1,IF(AI56&gt;$B56,1,0))</f>
        <v/>
      </c>
    </row>
    <row r="57">
      <c r="A57" s="3597" t="inlineStr">
        <is>
          <t>Evaluación Integral de Daño</t>
        </is>
      </c>
      <c r="B57" s="1123">
        <f>SUM(C57,D57)</f>
        <v/>
      </c>
      <c r="C57" s="4800">
        <f>SUM(E57,G57,I57,K57,M57,O57,Q57,S57)</f>
        <v/>
      </c>
      <c r="D57" s="1923">
        <f>SUM(F57,H57,J57,L57,N57,P57,R57,T57)</f>
        <v/>
      </c>
      <c r="E57" s="1198" t="n"/>
      <c r="F57" s="1148" t="n"/>
      <c r="G57" s="1198" t="n"/>
      <c r="H57" s="1148" t="n"/>
      <c r="I57" s="1198" t="n"/>
      <c r="J57" s="1148" t="n"/>
      <c r="K57" s="1198" t="n"/>
      <c r="L57" s="1148" t="n"/>
      <c r="M57" s="1198" t="n"/>
      <c r="N57" s="1148" t="n"/>
      <c r="O57" s="1198" t="n"/>
      <c r="P57" s="1148" t="n"/>
      <c r="Q57" s="1198" t="n"/>
      <c r="R57" s="1148" t="n"/>
      <c r="S57" s="1198" t="n"/>
      <c r="T57" s="5066" t="n"/>
      <c r="U57" s="3680" t="n"/>
      <c r="V57" s="1138" t="n"/>
      <c r="W57" s="3680" t="n"/>
      <c r="X57" s="3712" t="n"/>
      <c r="Y57" s="1138" t="n"/>
      <c r="Z57" s="3678" t="n"/>
      <c r="AA57" s="3712" t="n"/>
      <c r="AB57" s="3712" t="n"/>
      <c r="AC57" s="3678" t="n"/>
      <c r="AD57" s="3712" t="n"/>
      <c r="AE57" s="3712" t="n"/>
      <c r="AF57" s="3678" t="n"/>
      <c r="AG57" s="3712" t="n"/>
      <c r="AH57" s="3682" t="n"/>
      <c r="AI57" s="1138" t="n"/>
      <c r="AJ57" s="238">
        <f>$CA57</f>
        <v/>
      </c>
      <c r="AM57" s="101" t="n"/>
      <c r="AO57" s="101" t="n"/>
      <c r="AP57" s="101" t="n"/>
      <c r="AQ57" s="101" t="n"/>
      <c r="AR57" s="101" t="n"/>
      <c r="AS57" s="101" t="n"/>
      <c r="AT57" s="101" t="n"/>
      <c r="AU57" s="101" t="n"/>
      <c r="AV57" s="101" t="n"/>
      <c r="AW57" s="101" t="n"/>
      <c r="AX57" s="101" t="n"/>
      <c r="AY57" s="101" t="n"/>
      <c r="AZ57" s="101" t="n"/>
      <c r="BA57" s="101" t="n"/>
      <c r="BB57" s="101" t="n"/>
      <c r="BC57" s="101" t="n"/>
      <c r="BD57" s="101" t="n"/>
      <c r="BE57" s="101" t="n"/>
      <c r="BF57" s="101" t="n"/>
      <c r="BG57" s="101" t="n"/>
      <c r="BH57" s="101" t="n"/>
      <c r="BI57" s="101" t="n"/>
      <c r="BJ57" s="101" t="n"/>
      <c r="BK57" s="101" t="n"/>
      <c r="BL57" s="101" t="n"/>
      <c r="BM57" s="101" t="n"/>
      <c r="BN57" s="101" t="n"/>
      <c r="BO57" s="101" t="n"/>
      <c r="BP57" s="101" t="n"/>
      <c r="BQ57" s="101" t="n"/>
      <c r="BR57" s="101" t="n"/>
      <c r="BS57" s="101" t="n"/>
      <c r="BT57" s="101" t="n"/>
      <c r="BU57" s="101" t="n"/>
      <c r="BV57" s="101" t="n"/>
      <c r="BW57" s="101" t="n"/>
      <c r="BX57" s="101" t="n"/>
      <c r="BY57" s="101" t="n"/>
      <c r="BZ57" s="101" t="n"/>
      <c r="CA57" s="405">
        <f>IF(AND($B57&lt;&gt;0,AI57=""),"* No olvide ingresar la columna Pueblos Originarios, digite CERO si no tiene.  ",IF(AI57&gt;$B57,"* El número de Pueblos Originarios no puede superar el Total Ambos Sexos.  ",""))</f>
        <v/>
      </c>
      <c r="CB57" s="101" t="n"/>
      <c r="CC57" s="101" t="n"/>
      <c r="CD57" s="101" t="n"/>
      <c r="CE57" s="101" t="n"/>
      <c r="CF57" s="101" t="n"/>
      <c r="CG57" s="101" t="n"/>
      <c r="CH57" s="101" t="n"/>
      <c r="CI57" s="29">
        <f>IF(AND($B57&lt;&gt;0,AI57=""),1,IF(AI57&gt;$B57,1,0))</f>
        <v/>
      </c>
    </row>
    <row r="58">
      <c r="A58" s="8313" t="inlineStr">
        <is>
          <t>TOTAL</t>
        </is>
      </c>
      <c r="B58" s="4622">
        <f>SUM(C58,D58)</f>
        <v/>
      </c>
      <c r="C58" s="5049">
        <f>SUM(C55:C57)</f>
        <v/>
      </c>
      <c r="D58" s="5049">
        <f>SUM(D55:D57)</f>
        <v/>
      </c>
      <c r="E58" s="5051">
        <f>SUM(E55:E57)</f>
        <v/>
      </c>
      <c r="F58" s="5052">
        <f>SUM(F55:F57)</f>
        <v/>
      </c>
      <c r="G58" s="5051">
        <f>SUM(G55:G57)</f>
        <v/>
      </c>
      <c r="H58" s="5052">
        <f>SUM(H55:H57)</f>
        <v/>
      </c>
      <c r="I58" s="5051">
        <f>SUM(I55:I57)</f>
        <v/>
      </c>
      <c r="J58" s="5052">
        <f>SUM(J55:J57)</f>
        <v/>
      </c>
      <c r="K58" s="5051">
        <f>SUM(K55:K57)</f>
        <v/>
      </c>
      <c r="L58" s="5067">
        <f>SUM(L55:L57)</f>
        <v/>
      </c>
      <c r="M58" s="5051">
        <f>SUM(M55:M57)</f>
        <v/>
      </c>
      <c r="N58" s="5053">
        <f>SUM(N55:N57)</f>
        <v/>
      </c>
      <c r="O58" s="5051">
        <f>SUM(O55:O57)</f>
        <v/>
      </c>
      <c r="P58" s="5053">
        <f>SUM(P55:P57)</f>
        <v/>
      </c>
      <c r="Q58" s="5051">
        <f>SUM(Q55:Q57)</f>
        <v/>
      </c>
      <c r="R58" s="5053">
        <f>SUM(R55:R57)</f>
        <v/>
      </c>
      <c r="S58" s="5068">
        <f>SUM(S55:S57)</f>
        <v/>
      </c>
      <c r="T58" s="5062">
        <f>SUM(T55:T57)</f>
        <v/>
      </c>
      <c r="U58" s="5056" t="n"/>
      <c r="V58" s="5056" t="n"/>
      <c r="W58" s="5056" t="n"/>
      <c r="X58" s="5056" t="n"/>
      <c r="Y58" s="5057" t="n"/>
      <c r="Z58" s="5055" t="n"/>
      <c r="AA58" s="5056" t="n"/>
      <c r="AB58" s="5057" t="n"/>
      <c r="AC58" s="5055" t="n"/>
      <c r="AD58" s="5056" t="n"/>
      <c r="AE58" s="5057" t="n"/>
      <c r="AF58" s="5055" t="n"/>
      <c r="AG58" s="5056" t="n"/>
      <c r="AH58" s="5058" t="n"/>
      <c r="AI58" s="5063">
        <f>SUM(AI55:AI57)</f>
        <v/>
      </c>
      <c r="AJ58" s="101" t="n"/>
      <c r="AK58" s="101" t="n"/>
      <c r="AL58" s="101" t="n"/>
      <c r="AM58" s="101" t="n"/>
      <c r="AN58" s="101" t="n"/>
      <c r="AO58" s="101" t="n"/>
      <c r="AP58" s="101" t="n"/>
      <c r="AQ58" s="101" t="n"/>
      <c r="AR58" s="101" t="n"/>
      <c r="AS58" s="101" t="n"/>
      <c r="AT58" s="101" t="n"/>
      <c r="AU58" s="101" t="n"/>
      <c r="AV58" s="101" t="n"/>
      <c r="AW58" s="101" t="n"/>
      <c r="AX58" s="101" t="n"/>
      <c r="AY58" s="101" t="n"/>
      <c r="AZ58" s="101" t="n"/>
      <c r="BA58" s="101" t="n"/>
      <c r="BB58" s="101" t="n"/>
      <c r="BC58" s="101" t="n"/>
      <c r="BD58" s="101" t="n"/>
      <c r="BE58" s="101" t="n"/>
      <c r="BF58" s="101" t="n"/>
      <c r="BG58" s="101" t="n"/>
      <c r="BH58" s="101" t="n"/>
      <c r="BI58" s="101" t="n"/>
      <c r="BJ58" s="101" t="n"/>
      <c r="BK58" s="101" t="n"/>
      <c r="BL58" s="101" t="n"/>
      <c r="BM58" s="101" t="n"/>
      <c r="BN58" s="101" t="n"/>
      <c r="BO58" s="101" t="n"/>
      <c r="BP58" s="101" t="n"/>
      <c r="BQ58" s="101" t="n"/>
      <c r="BR58" s="101" t="n"/>
      <c r="BS58" s="101" t="n"/>
      <c r="BT58" s="101" t="n"/>
      <c r="BU58" s="101" t="n"/>
      <c r="BV58" s="101" t="n"/>
      <c r="BW58" s="101" t="n"/>
      <c r="BX58" s="329" t="n"/>
      <c r="BY58" s="329" t="n"/>
      <c r="BZ58" s="329" t="n"/>
      <c r="CA58" s="329" t="n"/>
      <c r="CE58" s="329" t="n"/>
      <c r="CF58" s="329" t="n"/>
      <c r="CG58" s="329" t="n"/>
      <c r="CH58" s="329" t="n"/>
      <c r="CI58" s="329" t="n"/>
    </row>
    <row r="59" ht="17.1" customHeight="1" s="8286">
      <c r="A59" s="9" t="inlineStr">
        <is>
          <t>SECCIÓN D: INTERVENCIONES</t>
        </is>
      </c>
      <c r="B59" s="9" t="n"/>
      <c r="C59" s="606" t="n"/>
      <c r="D59" s="606" t="n"/>
      <c r="E59" s="606" t="n"/>
      <c r="F59" s="606" t="n"/>
      <c r="G59" s="606" t="inlineStr">
        <is>
          <t xml:space="preserve"> </t>
        </is>
      </c>
      <c r="H59" s="606" t="n"/>
      <c r="I59" s="606" t="n"/>
      <c r="J59" s="606" t="n"/>
      <c r="K59" s="606" t="n"/>
      <c r="L59" s="606" t="n"/>
      <c r="M59" s="606" t="n"/>
      <c r="N59" s="606" t="n"/>
      <c r="O59" s="606" t="n"/>
      <c r="P59" s="606" t="n"/>
      <c r="Q59" s="606" t="n"/>
      <c r="R59" s="606" t="n"/>
      <c r="S59" s="606" t="n"/>
      <c r="T59" s="606" t="n"/>
      <c r="U59" s="606" t="n"/>
      <c r="V59" s="606" t="n"/>
      <c r="W59" s="606" t="n"/>
      <c r="X59" s="606" t="n"/>
      <c r="Y59" s="606" t="n"/>
      <c r="Z59" s="606" t="n"/>
      <c r="AA59" s="606" t="n"/>
      <c r="AB59" s="606" t="n"/>
      <c r="AC59" s="606" t="n"/>
      <c r="AD59" s="606" t="n"/>
      <c r="AE59" s="606" t="n"/>
      <c r="AF59" s="606" t="n"/>
      <c r="AG59" s="606" t="n"/>
      <c r="AH59" s="606" t="n"/>
      <c r="AI59" s="606" t="n"/>
      <c r="AJ59" s="606" t="n"/>
      <c r="AK59" s="606" t="n"/>
      <c r="AL59" s="606" t="n"/>
      <c r="AM59" s="606" t="n"/>
      <c r="AV59" s="329" t="n"/>
      <c r="AW59" s="329" t="n"/>
      <c r="AX59" s="329" t="n"/>
      <c r="AY59" s="329" t="n"/>
      <c r="BA59" s="329" t="n"/>
      <c r="BB59" s="329" t="n"/>
      <c r="BC59" s="329" t="n"/>
      <c r="BD59" s="329" t="n"/>
      <c r="BE59" s="329" t="n"/>
      <c r="BF59" s="329" t="n"/>
      <c r="BG59" s="329" t="n"/>
      <c r="BH59" s="329" t="n"/>
      <c r="BI59" s="329" t="n"/>
      <c r="BJ59" s="329" t="n"/>
      <c r="BK59" s="329" t="n"/>
      <c r="BL59" s="329" t="n"/>
      <c r="BM59" s="329" t="n"/>
      <c r="BN59" s="329" t="n"/>
      <c r="BO59" s="329" t="n"/>
      <c r="BP59" s="329" t="n"/>
      <c r="BQ59" s="329" t="n"/>
      <c r="BR59" s="329" t="n"/>
      <c r="BS59" s="329" t="n"/>
      <c r="BT59" s="329" t="n"/>
      <c r="BU59" s="329" t="n"/>
      <c r="BV59" s="329" t="n"/>
      <c r="BW59" s="329" t="n"/>
      <c r="BX59" s="329" t="n"/>
      <c r="BY59" s="329" t="n"/>
      <c r="BZ59" s="329" t="n"/>
      <c r="CA59" s="329" t="n"/>
      <c r="CE59" s="329" t="n"/>
      <c r="CF59" s="329" t="n"/>
      <c r="CG59" s="329" t="n"/>
      <c r="CH59" s="329" t="n"/>
      <c r="CI59" s="329" t="n"/>
    </row>
    <row r="60" ht="17.1" customHeight="1" s="8286">
      <c r="A60" s="9" t="inlineStr">
        <is>
          <t>SECCIÓN D.1: INTERVENCIONES INDIVIDUALES</t>
        </is>
      </c>
      <c r="B60" s="9" t="n"/>
      <c r="C60" s="606" t="n"/>
      <c r="D60" s="606" t="n"/>
      <c r="E60" s="606" t="n"/>
      <c r="F60" s="606" t="n"/>
      <c r="G60" s="606" t="n"/>
      <c r="H60" s="606" t="n"/>
      <c r="I60" s="606" t="n"/>
      <c r="J60" s="606" t="n"/>
      <c r="K60" s="606" t="n"/>
      <c r="L60" s="606" t="n"/>
      <c r="M60" s="606" t="n"/>
      <c r="N60" s="606" t="n"/>
      <c r="O60" s="606" t="n"/>
      <c r="P60" s="606" t="n"/>
      <c r="Q60" s="606" t="n"/>
      <c r="R60" s="606" t="n"/>
      <c r="S60" s="606" t="n"/>
      <c r="T60" s="606" t="n"/>
      <c r="U60" s="606" t="n"/>
      <c r="V60" s="606" t="n"/>
      <c r="W60" s="606" t="n"/>
      <c r="X60" s="606" t="n"/>
      <c r="Y60" s="606" t="n"/>
      <c r="Z60" s="606" t="n"/>
      <c r="AA60" s="606" t="n"/>
      <c r="AB60" s="606" t="n"/>
      <c r="AC60" s="606" t="n"/>
      <c r="AD60" s="606" t="n"/>
      <c r="AE60" s="606" t="n"/>
      <c r="AF60" s="606" t="n"/>
      <c r="AG60" s="606" t="n"/>
      <c r="AH60" s="606" t="n"/>
      <c r="AI60" s="606" t="n"/>
      <c r="AJ60" s="606" t="n"/>
      <c r="AK60" s="606" t="n"/>
      <c r="AL60" s="606" t="n"/>
      <c r="AM60" s="606" t="n"/>
      <c r="AV60" s="329" t="n"/>
      <c r="AW60" s="329" t="n"/>
      <c r="AX60" s="329" t="n"/>
      <c r="AY60" s="329" t="n"/>
      <c r="BA60" s="329" t="n"/>
      <c r="BB60" s="329" t="n"/>
      <c r="BC60" s="329" t="n"/>
      <c r="BD60" s="329" t="n"/>
      <c r="BE60" s="329" t="n"/>
      <c r="BF60" s="329" t="n"/>
      <c r="BG60" s="329" t="n"/>
      <c r="BH60" s="329" t="n"/>
      <c r="BI60" s="329" t="n"/>
      <c r="BJ60" s="329" t="n"/>
      <c r="BK60" s="329" t="n"/>
      <c r="BL60" s="329" t="n"/>
      <c r="BM60" s="329" t="n"/>
      <c r="BN60" s="329" t="n"/>
      <c r="BO60" s="329" t="n"/>
      <c r="BP60" s="329" t="n"/>
      <c r="BQ60" s="329" t="n"/>
      <c r="BR60" s="329" t="n"/>
      <c r="BS60" s="329" t="n"/>
      <c r="BT60" s="329" t="n"/>
      <c r="BU60" s="329" t="n"/>
      <c r="BV60" s="329" t="n"/>
      <c r="BW60" s="329" t="n"/>
      <c r="BX60" s="329" t="n"/>
      <c r="BY60" s="329" t="n"/>
      <c r="BZ60" s="329" t="n"/>
      <c r="CA60" s="329" t="n"/>
      <c r="CE60" s="329" t="n"/>
      <c r="CF60" s="329" t="n"/>
      <c r="CG60" s="329" t="n"/>
      <c r="CH60" s="329" t="n"/>
      <c r="CI60" s="329" t="n"/>
    </row>
    <row r="61">
      <c r="A61" s="9977" t="inlineStr">
        <is>
          <t>TIPO DE INTERVENCIÓN</t>
        </is>
      </c>
      <c r="B61" s="10405" t="inlineStr">
        <is>
          <t>PROFESIONAL</t>
        </is>
      </c>
      <c r="C61" s="10718" t="inlineStr">
        <is>
          <t>TOTAL</t>
        </is>
      </c>
      <c r="D61" s="9602" t="n"/>
      <c r="E61" s="9602" t="n"/>
      <c r="F61" s="10396" t="inlineStr">
        <is>
          <t>RANGO ETARIO Y SEXO</t>
        </is>
      </c>
      <c r="G61" s="9584" t="n"/>
      <c r="H61" s="9584" t="n"/>
      <c r="I61" s="9584" t="n"/>
      <c r="J61" s="9584" t="n"/>
      <c r="K61" s="9584" t="n"/>
      <c r="L61" s="9584" t="n"/>
      <c r="M61" s="9584" t="n"/>
      <c r="N61" s="9584" t="n"/>
      <c r="O61" s="9584" t="n"/>
      <c r="P61" s="9584" t="n"/>
      <c r="Q61" s="9584" t="n"/>
      <c r="R61" s="9584" t="n"/>
      <c r="S61" s="9584" t="n"/>
      <c r="T61" s="9584" t="n"/>
      <c r="U61" s="9595" t="n"/>
      <c r="V61" s="10005" t="inlineStr">
        <is>
          <t>Ley 19.123, Ley 19.980, Ley 20.405 (DD Y EP)</t>
        </is>
      </c>
      <c r="W61" s="9630" t="n"/>
      <c r="X61" s="9946" t="inlineStr">
        <is>
          <t>Ley 19.992, Ley 20.405 (Prisión política y tortura)</t>
        </is>
      </c>
      <c r="Y61" s="9602" t="n"/>
      <c r="Z61" s="9630" t="n"/>
      <c r="AA61" s="10717" t="inlineStr">
        <is>
          <t>Exilio</t>
        </is>
      </c>
      <c r="AB61" s="9602" t="n"/>
      <c r="AC61" s="9630" t="n"/>
      <c r="AD61" s="10717" t="inlineStr">
        <is>
          <t>Exoneración Política</t>
        </is>
      </c>
      <c r="AE61" s="9602" t="n"/>
      <c r="AF61" s="9630" t="n"/>
      <c r="AG61" s="10709" t="inlineStr">
        <is>
          <t>Otros hechos represivos según Norma técnica N° 88</t>
        </is>
      </c>
      <c r="AH61" s="9602" t="n"/>
      <c r="AI61" s="9886" t="n"/>
      <c r="AJ61" s="10104" t="inlineStr">
        <is>
          <t>Pueblos Originarios</t>
        </is>
      </c>
      <c r="AK61" s="610" t="n"/>
      <c r="AL61" s="611" t="n"/>
      <c r="AO61" s="101" t="n"/>
      <c r="AQ61" s="101" t="n"/>
      <c r="AR61" s="101" t="n"/>
      <c r="AV61" s="329" t="n"/>
      <c r="AW61" s="329" t="n"/>
      <c r="AX61" s="329" t="n"/>
      <c r="AY61" s="329" t="n"/>
      <c r="BA61" s="329" t="n"/>
      <c r="BB61" s="329" t="n"/>
      <c r="BC61" s="329" t="n"/>
      <c r="BD61" s="329" t="n"/>
      <c r="BE61" s="329" t="n"/>
      <c r="BF61" s="329" t="n"/>
      <c r="BG61" s="329" t="n"/>
      <c r="BH61" s="329" t="n"/>
      <c r="BI61" s="329" t="n"/>
      <c r="BJ61" s="329" t="n"/>
      <c r="BK61" s="329" t="n"/>
      <c r="BL61" s="329" t="n"/>
      <c r="BM61" s="329" t="n"/>
      <c r="BN61" s="329" t="n"/>
      <c r="BO61" s="329" t="n"/>
      <c r="BP61" s="329" t="n"/>
      <c r="BQ61" s="329" t="n"/>
      <c r="BR61" s="329" t="n"/>
      <c r="BS61" s="329" t="n"/>
      <c r="BT61" s="329" t="n"/>
      <c r="BU61" s="329" t="n"/>
      <c r="BV61" s="329" t="n"/>
      <c r="BW61" s="329" t="n"/>
      <c r="BX61" s="329" t="n"/>
      <c r="BY61" s="329" t="n"/>
      <c r="BZ61" s="329" t="n"/>
      <c r="CA61" s="329" t="n"/>
      <c r="CE61" s="329" t="n"/>
      <c r="CF61" s="329" t="n"/>
      <c r="CG61" s="329" t="n"/>
      <c r="CH61" s="329" t="n"/>
      <c r="CI61" s="329" t="n"/>
    </row>
    <row r="62">
      <c r="A62" s="9614" t="n"/>
      <c r="B62" s="9625" t="n"/>
      <c r="C62" s="642" t="n"/>
      <c r="F62" s="10714" t="inlineStr">
        <is>
          <t>Menores de 15 años</t>
        </is>
      </c>
      <c r="G62" s="9584" t="n"/>
      <c r="H62" s="9917" t="inlineStr">
        <is>
          <t>15 a 24 años</t>
        </is>
      </c>
      <c r="I62" s="9582" t="n"/>
      <c r="J62" s="10715" t="inlineStr">
        <is>
          <t>25 - 34 años</t>
        </is>
      </c>
      <c r="K62" s="9648" t="n"/>
      <c r="L62" s="9917" t="inlineStr">
        <is>
          <t>35 - 44 años</t>
        </is>
      </c>
      <c r="M62" s="9582" t="n"/>
      <c r="N62" s="9917" t="inlineStr">
        <is>
          <t>45 - 54 años</t>
        </is>
      </c>
      <c r="O62" s="9582" t="n"/>
      <c r="P62" s="9917" t="inlineStr">
        <is>
          <t>55 - 64 años</t>
        </is>
      </c>
      <c r="Q62" s="9582" t="n"/>
      <c r="R62" s="9917" t="inlineStr">
        <is>
          <t>65 - 74 años</t>
        </is>
      </c>
      <c r="S62" s="9582" t="n"/>
      <c r="T62" s="10163" t="inlineStr">
        <is>
          <t>75 y más años</t>
        </is>
      </c>
      <c r="U62" s="9647" t="n"/>
      <c r="V62" s="9697" t="n"/>
      <c r="W62" s="9639" t="n"/>
      <c r="X62" s="9638" t="n"/>
      <c r="Y62" s="9697" t="n"/>
      <c r="Z62" s="9639" t="n"/>
      <c r="AA62" s="9638" t="n"/>
      <c r="AB62" s="9697" t="n"/>
      <c r="AC62" s="9639" t="n"/>
      <c r="AD62" s="9638" t="n"/>
      <c r="AE62" s="9697" t="n"/>
      <c r="AF62" s="9639" t="n"/>
      <c r="AG62" s="9698" t="n"/>
      <c r="AH62" s="9591" t="n"/>
      <c r="AI62" s="9865" t="n"/>
      <c r="AJ62" s="9625" t="n"/>
      <c r="AK62" s="612" t="n"/>
      <c r="AL62" s="611" t="n"/>
      <c r="AM62" s="101" t="n"/>
      <c r="AV62" s="329" t="n"/>
      <c r="AW62" s="329" t="n"/>
      <c r="AX62" s="329" t="n"/>
      <c r="AY62" s="329" t="n"/>
      <c r="BA62" s="329" t="n"/>
      <c r="BB62" s="329" t="n"/>
      <c r="BC62" s="329" t="n"/>
      <c r="BD62" s="329" t="n"/>
      <c r="BE62" s="329" t="n"/>
      <c r="BF62" s="329" t="n"/>
      <c r="BG62" s="329" t="n"/>
      <c r="BH62" s="329" t="n"/>
      <c r="BI62" s="329" t="n"/>
      <c r="BJ62" s="329" t="n"/>
      <c r="BK62" s="329" t="n"/>
      <c r="BL62" s="329" t="n"/>
      <c r="BM62" s="329" t="n"/>
      <c r="BN62" s="329" t="n"/>
      <c r="BO62" s="329" t="n"/>
      <c r="BP62" s="329" t="n"/>
      <c r="BQ62" s="329" t="n"/>
      <c r="BR62" s="329" t="n"/>
      <c r="BS62" s="329" t="n"/>
      <c r="BT62" s="329" t="n"/>
      <c r="BU62" s="329" t="n"/>
      <c r="BV62" s="329" t="n"/>
      <c r="BW62" s="329" t="n"/>
      <c r="BX62" s="329" t="n"/>
      <c r="BY62" s="329" t="n"/>
      <c r="BZ62" s="329" t="n"/>
      <c r="CA62" s="329" t="n"/>
      <c r="CE62" s="329" t="n"/>
      <c r="CF62" s="329" t="n"/>
      <c r="CG62" s="329" t="n"/>
      <c r="CH62" s="329" t="n"/>
      <c r="CI62" s="329" t="n"/>
    </row>
    <row r="63" ht="21" customHeight="1" s="8286">
      <c r="A63" s="9610" t="n"/>
      <c r="B63" s="9625" t="n"/>
      <c r="C63" s="4498" t="inlineStr">
        <is>
          <t>Ambos Sexos</t>
        </is>
      </c>
      <c r="D63" s="5030" t="inlineStr">
        <is>
          <t>Hombres</t>
        </is>
      </c>
      <c r="E63" s="9222" t="inlineStr">
        <is>
          <t>Mujeres</t>
        </is>
      </c>
      <c r="F63" s="5069" t="inlineStr">
        <is>
          <t>Hombres</t>
        </is>
      </c>
      <c r="G63" s="9222" t="inlineStr">
        <is>
          <t>Mujeres</t>
        </is>
      </c>
      <c r="H63" s="5070" t="inlineStr">
        <is>
          <t>Hombres</t>
        </is>
      </c>
      <c r="I63" s="8631" t="inlineStr">
        <is>
          <t>Mujeres</t>
        </is>
      </c>
      <c r="J63" s="5069" t="inlineStr">
        <is>
          <t>Hombres</t>
        </is>
      </c>
      <c r="K63" s="9222" t="inlineStr">
        <is>
          <t>Mujeres</t>
        </is>
      </c>
      <c r="L63" s="5070" t="inlineStr">
        <is>
          <t>Hombres</t>
        </is>
      </c>
      <c r="M63" s="8631" t="inlineStr">
        <is>
          <t>Mujeres</t>
        </is>
      </c>
      <c r="N63" s="5069" t="inlineStr">
        <is>
          <t>Hombres</t>
        </is>
      </c>
      <c r="O63" s="9222" t="inlineStr">
        <is>
          <t>Mujeres</t>
        </is>
      </c>
      <c r="P63" s="5070" t="inlineStr">
        <is>
          <t>Hombres</t>
        </is>
      </c>
      <c r="Q63" s="8631" t="inlineStr">
        <is>
          <t>Mujeres</t>
        </is>
      </c>
      <c r="R63" s="5069" t="inlineStr">
        <is>
          <t>Hombres</t>
        </is>
      </c>
      <c r="S63" s="9222" t="inlineStr">
        <is>
          <t>Mujeres</t>
        </is>
      </c>
      <c r="T63" s="5070" t="inlineStr">
        <is>
          <t>Hombres</t>
        </is>
      </c>
      <c r="U63" s="5071" t="inlineStr">
        <is>
          <t>Mujeres</t>
        </is>
      </c>
      <c r="V63" s="5033" t="inlineStr">
        <is>
          <t>Afectado Directo</t>
        </is>
      </c>
      <c r="W63" s="9246" t="inlineStr">
        <is>
          <t>Beneficiario</t>
        </is>
      </c>
      <c r="X63" s="4650" t="inlineStr">
        <is>
          <t>Índice</t>
        </is>
      </c>
      <c r="Y63" s="4669" t="inlineStr">
        <is>
          <t>Afectado Directo</t>
        </is>
      </c>
      <c r="Z63" s="9339" t="inlineStr">
        <is>
          <t>Beneficiario</t>
        </is>
      </c>
      <c r="AA63" s="4938" t="inlineStr">
        <is>
          <t>Índice</t>
        </is>
      </c>
      <c r="AB63" s="4939" t="inlineStr">
        <is>
          <t>Afectado Directo</t>
        </is>
      </c>
      <c r="AC63" s="9339" t="inlineStr">
        <is>
          <t>Beneficiario</t>
        </is>
      </c>
      <c r="AD63" s="4938" t="inlineStr">
        <is>
          <t>Índice</t>
        </is>
      </c>
      <c r="AE63" s="4939" t="inlineStr">
        <is>
          <t>Afectado Directo</t>
        </is>
      </c>
      <c r="AF63" s="9339" t="inlineStr">
        <is>
          <t>Beneficiario</t>
        </is>
      </c>
      <c r="AG63" s="4938" t="inlineStr">
        <is>
          <t>Índice</t>
        </is>
      </c>
      <c r="AH63" s="4939" t="inlineStr">
        <is>
          <t>Afectado Directo</t>
        </is>
      </c>
      <c r="AI63" s="5034" t="inlineStr">
        <is>
          <t>Beneficiario</t>
        </is>
      </c>
      <c r="AJ63" s="9625" t="n"/>
      <c r="AK63" s="612" t="n"/>
      <c r="AL63" s="611" t="n"/>
      <c r="AM63" s="101" t="n"/>
      <c r="AV63" s="329" t="n"/>
      <c r="AW63" s="329" t="n"/>
      <c r="AX63" s="329" t="n"/>
      <c r="AY63" s="329" t="n"/>
      <c r="BA63" s="329" t="n"/>
      <c r="BB63" s="329" t="n"/>
      <c r="BC63" s="329" t="n"/>
      <c r="BD63" s="329" t="n"/>
      <c r="BE63" s="329" t="n"/>
      <c r="BF63" s="329" t="n"/>
      <c r="BG63" s="329" t="n"/>
      <c r="BH63" s="329" t="n"/>
      <c r="BI63" s="329" t="n"/>
      <c r="BJ63" s="329" t="n"/>
      <c r="BK63" s="329" t="n"/>
      <c r="BL63" s="329" t="n"/>
      <c r="BM63" s="329" t="n"/>
      <c r="BN63" s="329" t="n"/>
      <c r="BO63" s="329" t="n"/>
      <c r="BP63" s="329" t="n"/>
      <c r="BQ63" s="329" t="n"/>
      <c r="BR63" s="329" t="n"/>
      <c r="BS63" s="329" t="n"/>
      <c r="BT63" s="329" t="n"/>
      <c r="BU63" s="329" t="n"/>
      <c r="BV63" s="329" t="n"/>
      <c r="BW63" s="329" t="n"/>
      <c r="BX63" s="329" t="n"/>
      <c r="BY63" s="329" t="n"/>
      <c r="BZ63" s="329" t="n"/>
      <c r="CA63" s="329" t="n"/>
      <c r="CE63" s="329" t="n"/>
      <c r="CF63" s="329" t="n"/>
      <c r="CG63" s="329" t="n"/>
      <c r="CH63" s="329" t="n"/>
      <c r="CI63" s="329" t="n"/>
    </row>
    <row r="64">
      <c r="A64" s="10339" t="inlineStr">
        <is>
          <t>Psicoterapia</t>
        </is>
      </c>
      <c r="B64" s="4382" t="inlineStr">
        <is>
          <t>Psicóloga/o</t>
        </is>
      </c>
      <c r="C64" s="5072">
        <f>SUM(D64:E64)</f>
        <v/>
      </c>
      <c r="D64" s="5073">
        <f>SUM(F64,H64,J64,L64,N64,P64,R64,T64)</f>
        <v/>
      </c>
      <c r="E64" s="5074">
        <f>SUM(G64,I64,K64,M64,O64,Q64,S64,U64)</f>
        <v/>
      </c>
      <c r="F64" s="4236" t="n"/>
      <c r="G64" s="4237" t="n"/>
      <c r="H64" s="4236" t="n"/>
      <c r="I64" s="2581" t="n"/>
      <c r="J64" s="4235" t="n"/>
      <c r="K64" s="2337" t="n"/>
      <c r="L64" s="4236" t="n"/>
      <c r="M64" s="2581" t="n"/>
      <c r="N64" s="4235" t="n"/>
      <c r="O64" s="2337" t="n"/>
      <c r="P64" s="4236" t="n"/>
      <c r="Q64" s="2581" t="n"/>
      <c r="R64" s="4235" t="n"/>
      <c r="S64" s="2337" t="n"/>
      <c r="T64" s="4236" t="n"/>
      <c r="U64" s="1940" t="n"/>
      <c r="V64" s="4236" t="n"/>
      <c r="W64" s="2337" t="n"/>
      <c r="X64" s="1124" t="n"/>
      <c r="Y64" s="882" t="n"/>
      <c r="Z64" s="2337" t="n"/>
      <c r="AA64" s="1124" t="n"/>
      <c r="AB64" s="882" t="n"/>
      <c r="AC64" s="2337" t="n"/>
      <c r="AD64" s="1124" t="n"/>
      <c r="AE64" s="882" t="n"/>
      <c r="AF64" s="2337" t="n"/>
      <c r="AG64" s="1124" t="n"/>
      <c r="AH64" s="882" t="n"/>
      <c r="AI64" s="1940" t="n"/>
      <c r="AJ64" s="5038" t="n"/>
      <c r="AK64" s="238">
        <f>$CA64</f>
        <v/>
      </c>
      <c r="AL64" s="5" t="n"/>
      <c r="AM64" s="226" t="n"/>
      <c r="AN64" s="226" t="n"/>
      <c r="AO64" s="226" t="n"/>
      <c r="AP64" s="226" t="n"/>
      <c r="AQ64" s="5" t="n"/>
      <c r="AR64" s="5" t="n"/>
      <c r="AS64" s="5" t="n"/>
      <c r="AT64" s="5" t="n"/>
      <c r="AU64" s="5" t="n"/>
      <c r="AV64" s="5" t="n"/>
      <c r="AW64" s="5" t="n"/>
      <c r="AX64" s="5" t="n"/>
      <c r="AY64" s="5" t="n"/>
      <c r="AZ64" s="5" t="n"/>
      <c r="BA64" s="5" t="n"/>
      <c r="BB64" s="5" t="n"/>
      <c r="BC64" s="5" t="n"/>
      <c r="BD64" s="5" t="n"/>
      <c r="BE64" s="5" t="n"/>
      <c r="BF64" s="5" t="n"/>
      <c r="BG64" s="5" t="n"/>
      <c r="BH64" s="5" t="n"/>
      <c r="BI64" s="5" t="n"/>
      <c r="BJ64" s="5" t="n"/>
      <c r="BK64" s="5" t="n"/>
      <c r="BL64" s="5" t="n"/>
      <c r="BM64" s="5" t="n"/>
      <c r="BN64" s="5" t="n"/>
      <c r="BO64" s="5" t="n"/>
      <c r="BP64" s="5" t="n"/>
      <c r="BQ64" s="5" t="n"/>
      <c r="BR64" s="5" t="n"/>
      <c r="BS64" s="5" t="n"/>
      <c r="BT64" s="5" t="n"/>
      <c r="BU64" s="5" t="n"/>
      <c r="BV64" s="5" t="n"/>
      <c r="CA64" s="405">
        <f>IF(AND($C64&lt;&gt;0,AJ64=""),"* No olvide ingresar la columna Pueblos Originarios, digite CERO si no tiene.  ",IF(AJ64&gt;$C64,"* El número de Pueblos Originarios no puede superar el Total Ambos Sexos.  ",""))</f>
        <v/>
      </c>
      <c r="CB64" s="239" t="n"/>
      <c r="CC64" s="239" t="n"/>
      <c r="CD64" s="239" t="n"/>
      <c r="CE64" s="5" t="n"/>
      <c r="CF64" s="5" t="n"/>
      <c r="CG64" s="5" t="n"/>
      <c r="CH64" s="5" t="n"/>
      <c r="CI64" s="29">
        <f>IF(AND($C64&lt;&gt;0,AJ64=""),1,IF(AJ64&gt;$C64,1,0))</f>
        <v/>
      </c>
    </row>
    <row r="65">
      <c r="A65" s="9610" t="n"/>
      <c r="B65" s="1417" t="inlineStr">
        <is>
          <t xml:space="preserve">Psiquiatra </t>
        </is>
      </c>
      <c r="C65" s="1926">
        <f>SUM(D65:E65)</f>
        <v/>
      </c>
      <c r="D65" s="708">
        <f>SUM(F65,H65,J65,L65,N65,P65,R65,T65)</f>
        <v/>
      </c>
      <c r="E65" s="5075">
        <f>SUM(G65,I65,K65,M65,O65,Q65,S65,U65)</f>
        <v/>
      </c>
      <c r="F65" s="3818" t="n"/>
      <c r="G65" s="1192" t="n"/>
      <c r="H65" s="3818" t="n"/>
      <c r="I65" s="3819" t="n"/>
      <c r="J65" s="3808" t="n"/>
      <c r="K65" s="3601" t="n"/>
      <c r="L65" s="3818" t="n"/>
      <c r="M65" s="3819" t="n"/>
      <c r="N65" s="3808" t="n"/>
      <c r="O65" s="3601" t="n"/>
      <c r="P65" s="3818" t="n"/>
      <c r="Q65" s="3819" t="n"/>
      <c r="R65" s="3808" t="n"/>
      <c r="S65" s="3601" t="n"/>
      <c r="T65" s="3808" t="n"/>
      <c r="U65" s="3897" t="n"/>
      <c r="V65" s="3898" t="n"/>
      <c r="W65" s="3601" t="n"/>
      <c r="X65" s="3678" t="n"/>
      <c r="Y65" s="3712" t="n"/>
      <c r="Z65" s="3601" t="n"/>
      <c r="AA65" s="3678" t="n"/>
      <c r="AB65" s="3712" t="n"/>
      <c r="AC65" s="3601" t="n"/>
      <c r="AD65" s="3678" t="n"/>
      <c r="AE65" s="3712" t="n"/>
      <c r="AF65" s="3601" t="n"/>
      <c r="AG65" s="3678" t="n"/>
      <c r="AH65" s="3712" t="n"/>
      <c r="AI65" s="3897" t="n"/>
      <c r="AJ65" s="1346" t="n"/>
      <c r="AK65" s="238">
        <f>$CA65</f>
        <v/>
      </c>
      <c r="AL65" s="5" t="n"/>
      <c r="AM65" s="5" t="n"/>
      <c r="AN65" s="5" t="n"/>
      <c r="AO65" s="5" t="n"/>
      <c r="AP65" s="5" t="n"/>
      <c r="AQ65" s="5" t="n"/>
      <c r="AR65" s="5" t="n"/>
      <c r="AS65" s="5" t="n"/>
      <c r="AT65" s="5" t="n"/>
      <c r="AU65" s="5" t="n"/>
      <c r="AV65" s="5" t="n"/>
      <c r="AW65" s="5" t="n"/>
      <c r="AX65" s="5" t="n"/>
      <c r="AY65" s="5" t="n"/>
      <c r="AZ65" s="5" t="n"/>
      <c r="BA65" s="5" t="n"/>
      <c r="BB65" s="5" t="n"/>
      <c r="BC65" s="5" t="n"/>
      <c r="BD65" s="5" t="n"/>
      <c r="BE65" s="5" t="n"/>
      <c r="BF65" s="5" t="n"/>
      <c r="BG65" s="5" t="n"/>
      <c r="BH65" s="5" t="n"/>
      <c r="BI65" s="5" t="n"/>
      <c r="BJ65" s="5" t="n"/>
      <c r="BK65" s="5" t="n"/>
      <c r="BL65" s="5" t="n"/>
      <c r="BM65" s="5" t="n"/>
      <c r="BN65" s="5" t="n"/>
      <c r="BO65" s="5" t="n"/>
      <c r="BP65" s="5" t="n"/>
      <c r="BQ65" s="5" t="n"/>
      <c r="BR65" s="5" t="n"/>
      <c r="BS65" s="5" t="n"/>
      <c r="BT65" s="5" t="n"/>
      <c r="BU65" s="5" t="n"/>
      <c r="BV65" s="5" t="n"/>
      <c r="CA65" s="405">
        <f>IF(AND($C65&lt;&gt;0,AJ65=""),"* No olvide ingresar la columna Pueblos Originarios, digite CERO si no tiene.  ",IF(AJ65&gt;$C65,"* El número de Pueblos Originarios no puede superar el Total Ambos Sexos.  ",""))</f>
        <v/>
      </c>
      <c r="CB65" s="239" t="n"/>
      <c r="CC65" s="239" t="n"/>
      <c r="CD65" s="239" t="n"/>
      <c r="CE65" s="5" t="n"/>
      <c r="CF65" s="5" t="n"/>
      <c r="CG65" s="5" t="n"/>
      <c r="CH65" s="5" t="n"/>
      <c r="CI65" s="29">
        <f>IF(AND($C65&lt;&gt;0,AJ65=""),1,IF(AJ65&gt;$C65,1,0))</f>
        <v/>
      </c>
    </row>
    <row r="66">
      <c r="A66" s="10339" t="inlineStr">
        <is>
          <t>Acompañamiento Psicosocial</t>
        </is>
      </c>
      <c r="B66" s="4245" t="inlineStr">
        <is>
          <t>Psicóloga/o</t>
        </is>
      </c>
      <c r="C66" s="5072">
        <f>SUM(D66:E66)</f>
        <v/>
      </c>
      <c r="D66" s="5073">
        <f>SUM(F66,H66,J66,L66,N66,P66,R66,T66)</f>
        <v/>
      </c>
      <c r="E66" s="5074">
        <f>SUM(G66,I66,K66,M66,O66,Q66,S66,U66)</f>
        <v/>
      </c>
      <c r="F66" s="204" t="n"/>
      <c r="G66" s="2057" t="n"/>
      <c r="H66" s="204" t="n"/>
      <c r="I66" s="3912" t="n"/>
      <c r="J66" s="645" t="n"/>
      <c r="K66" s="3933" t="n"/>
      <c r="L66" s="204" t="n"/>
      <c r="M66" s="3912" t="n"/>
      <c r="N66" s="645" t="n"/>
      <c r="O66" s="3933" t="n"/>
      <c r="P66" s="204" t="n"/>
      <c r="Q66" s="3912" t="n"/>
      <c r="R66" s="645" t="n"/>
      <c r="S66" s="3933" t="n"/>
      <c r="T66" s="204" t="n"/>
      <c r="U66" s="3905" t="n"/>
      <c r="V66" s="204" t="n"/>
      <c r="W66" s="3933" t="n"/>
      <c r="X66" s="1971" t="n"/>
      <c r="Y66" s="747" t="n"/>
      <c r="Z66" s="3933" t="n"/>
      <c r="AA66" s="1971" t="n"/>
      <c r="AB66" s="747" t="n"/>
      <c r="AC66" s="3933" t="n"/>
      <c r="AD66" s="1971" t="n"/>
      <c r="AE66" s="747" t="n"/>
      <c r="AF66" s="3933" t="n"/>
      <c r="AG66" s="1971" t="n"/>
      <c r="AH66" s="747" t="n"/>
      <c r="AI66" s="3905" t="n"/>
      <c r="AJ66" s="5076" t="n"/>
      <c r="AK66" s="238">
        <f>$CA66</f>
        <v/>
      </c>
      <c r="AL66" s="5" t="n"/>
      <c r="AM66" s="5" t="n"/>
      <c r="AN66" s="5" t="n"/>
      <c r="AO66" s="5" t="n"/>
      <c r="AP66" s="5" t="n"/>
      <c r="AQ66" s="5" t="n"/>
      <c r="AR66" s="5" t="n"/>
      <c r="AS66" s="5" t="n"/>
      <c r="AT66" s="5" t="n"/>
      <c r="AU66" s="5" t="n"/>
      <c r="AV66" s="5" t="n"/>
      <c r="AW66" s="5" t="n"/>
      <c r="AX66" s="5" t="n"/>
      <c r="AY66" s="5" t="n"/>
      <c r="AZ66" s="5" t="n"/>
      <c r="BA66" s="5" t="n"/>
      <c r="BB66" s="5" t="n"/>
      <c r="BC66" s="5" t="n"/>
      <c r="BD66" s="5" t="n"/>
      <c r="BE66" s="5" t="n"/>
      <c r="BF66" s="5" t="n"/>
      <c r="BG66" s="5" t="n"/>
      <c r="BH66" s="5" t="n"/>
      <c r="BI66" s="5" t="n"/>
      <c r="BJ66" s="5" t="n"/>
      <c r="BK66" s="5" t="n"/>
      <c r="BL66" s="5" t="n"/>
      <c r="BM66" s="5" t="n"/>
      <c r="BN66" s="5" t="n"/>
      <c r="BO66" s="5" t="n"/>
      <c r="BP66" s="5" t="n"/>
      <c r="BQ66" s="5" t="n"/>
      <c r="BR66" s="5" t="n"/>
      <c r="BS66" s="5" t="n"/>
      <c r="BT66" s="5" t="n"/>
      <c r="BU66" s="5" t="n"/>
      <c r="BV66" s="5" t="n"/>
      <c r="CA66" s="405">
        <f>IF(AND($C66&lt;&gt;0,AJ66=""),"* No olvide ingresar la columna Pueblos Originarios, digite CERO si no tiene.  ",IF(AJ66&gt;$C66,"* El número de Pueblos Originarios no puede superar el Total Ambos Sexos.  ",""))</f>
        <v/>
      </c>
      <c r="CB66" s="239" t="n"/>
      <c r="CC66" s="239" t="n"/>
      <c r="CD66" s="239" t="n"/>
      <c r="CE66" s="5" t="n"/>
      <c r="CF66" s="5" t="n"/>
      <c r="CG66" s="5" t="n"/>
      <c r="CH66" s="5" t="n"/>
      <c r="CI66" s="29">
        <f>IF(AND($C66&lt;&gt;0,AJ66=""),1,IF(AJ66&gt;$C66,1,0))</f>
        <v/>
      </c>
    </row>
    <row r="67">
      <c r="A67" s="9614" t="n"/>
      <c r="B67" s="1121" t="inlineStr">
        <is>
          <t>Trabajador/a Social</t>
        </is>
      </c>
      <c r="C67" s="640">
        <f>SUM(D67:E67)</f>
        <v/>
      </c>
      <c r="D67" s="1970">
        <f>SUM(F67,H67,J67,L67,N67,P67,R67,T67)</f>
        <v/>
      </c>
      <c r="E67" s="3760">
        <f>SUM(G67,I67,K67,M67,O67,Q67,S67,U67)</f>
        <v/>
      </c>
      <c r="F67" s="1181" t="n"/>
      <c r="G67" s="1180" t="n"/>
      <c r="H67" s="1181" t="n"/>
      <c r="I67" s="1182" t="n"/>
      <c r="J67" s="1179" t="n"/>
      <c r="K67" s="1183" t="n"/>
      <c r="L67" s="1181" t="n"/>
      <c r="M67" s="1182" t="n"/>
      <c r="N67" s="1179" t="n"/>
      <c r="O67" s="1183" t="n"/>
      <c r="P67" s="1181" t="n"/>
      <c r="Q67" s="1182" t="n"/>
      <c r="R67" s="1179" t="n"/>
      <c r="S67" s="1183" t="n"/>
      <c r="T67" s="1181" t="n"/>
      <c r="U67" s="1185" t="n"/>
      <c r="V67" s="1181" t="n"/>
      <c r="W67" s="1183" t="n"/>
      <c r="X67" s="1124" t="n"/>
      <c r="Y67" s="882" t="n"/>
      <c r="Z67" s="1183" t="n"/>
      <c r="AA67" s="1124" t="n"/>
      <c r="AB67" s="882" t="n"/>
      <c r="AC67" s="1183" t="n"/>
      <c r="AD67" s="1124" t="n"/>
      <c r="AE67" s="882" t="n"/>
      <c r="AF67" s="1183" t="n"/>
      <c r="AG67" s="1124" t="n"/>
      <c r="AH67" s="882" t="n"/>
      <c r="AI67" s="1185" t="n"/>
      <c r="AJ67" s="1329" t="n"/>
      <c r="AK67" s="238">
        <f>$CA67</f>
        <v/>
      </c>
      <c r="AL67" s="5" t="n"/>
      <c r="AM67" s="5" t="n"/>
      <c r="AN67" s="5" t="n"/>
      <c r="AO67" s="5" t="n"/>
      <c r="AP67" s="5" t="n"/>
      <c r="AQ67" s="5" t="n"/>
      <c r="AR67" s="5" t="n"/>
      <c r="AS67" s="5" t="n"/>
      <c r="AT67" s="5" t="n"/>
      <c r="AU67" s="5" t="n"/>
      <c r="AV67" s="5" t="n"/>
      <c r="AW67" s="5" t="n"/>
      <c r="AX67" s="5" t="n"/>
      <c r="AY67" s="5" t="n"/>
      <c r="AZ67" s="5" t="n"/>
      <c r="BA67" s="5" t="n"/>
      <c r="BB67" s="5" t="n"/>
      <c r="BC67" s="5" t="n"/>
      <c r="BD67" s="5" t="n"/>
      <c r="BE67" s="5" t="n"/>
      <c r="BF67" s="5" t="n"/>
      <c r="BG67" s="5" t="n"/>
      <c r="BH67" s="5" t="n"/>
      <c r="BI67" s="5" t="n"/>
      <c r="BJ67" s="5" t="n"/>
      <c r="BK67" s="5" t="n"/>
      <c r="BL67" s="5" t="n"/>
      <c r="BM67" s="5" t="n"/>
      <c r="BN67" s="5" t="n"/>
      <c r="BO67" s="5" t="n"/>
      <c r="BP67" s="5" t="n"/>
      <c r="BQ67" s="5" t="n"/>
      <c r="BR67" s="5" t="n"/>
      <c r="BS67" s="5" t="n"/>
      <c r="BT67" s="5" t="n"/>
      <c r="BU67" s="5" t="n"/>
      <c r="BV67" s="5" t="n"/>
      <c r="CA67" s="405">
        <f>IF(AND($C67&lt;&gt;0,AJ67=""),"* No olvide ingresar la columna Pueblos Originarios, digite CERO si no tiene.  ",IF(AJ67&gt;$C67,"* El número de Pueblos Originarios no puede superar el Total Ambos Sexos.  ",""))</f>
        <v/>
      </c>
      <c r="CB67" s="239" t="n"/>
      <c r="CC67" s="239" t="n"/>
      <c r="CD67" s="239" t="n"/>
      <c r="CE67" s="5" t="n"/>
      <c r="CF67" s="5" t="n"/>
      <c r="CG67" s="5" t="n"/>
      <c r="CH67" s="5" t="n"/>
      <c r="CI67" s="29">
        <f>IF(AND($C67&lt;&gt;0,AJ67=""),1,IF(AJ67&gt;$C67,1,0))</f>
        <v/>
      </c>
    </row>
    <row r="68">
      <c r="A68" s="9610" t="n"/>
      <c r="B68" s="2669" t="inlineStr">
        <is>
          <t>Médico/a General</t>
        </is>
      </c>
      <c r="C68" s="3794">
        <f>SUM(D68:E68)</f>
        <v/>
      </c>
      <c r="D68" s="5077">
        <f>SUM(F68,H68,J68,L68,N68,P68,R68,T68)</f>
        <v/>
      </c>
      <c r="E68" s="5075">
        <f>SUM(G68,I68,K68,M68,O68,Q68,S68,U68)</f>
        <v/>
      </c>
      <c r="F68" s="3808" t="n"/>
      <c r="G68" s="1192" t="n"/>
      <c r="H68" s="3818" t="n"/>
      <c r="I68" s="3819" t="n"/>
      <c r="J68" s="3808" t="n"/>
      <c r="K68" s="3601" t="n"/>
      <c r="L68" s="3818" t="n"/>
      <c r="M68" s="3819" t="n"/>
      <c r="N68" s="3808" t="n"/>
      <c r="O68" s="3601" t="n"/>
      <c r="P68" s="3818" t="n"/>
      <c r="Q68" s="3819" t="n"/>
      <c r="R68" s="3808" t="n"/>
      <c r="S68" s="3601" t="n"/>
      <c r="T68" s="3818" t="n"/>
      <c r="U68" s="3897" t="n"/>
      <c r="V68" s="3818" t="n"/>
      <c r="W68" s="3601" t="n"/>
      <c r="X68" s="3678" t="n"/>
      <c r="Y68" s="3712" t="n"/>
      <c r="Z68" s="3601" t="n"/>
      <c r="AA68" s="3678" t="n"/>
      <c r="AB68" s="3712" t="n"/>
      <c r="AC68" s="3601" t="n"/>
      <c r="AD68" s="3678" t="n"/>
      <c r="AE68" s="3712" t="n"/>
      <c r="AF68" s="3601" t="n"/>
      <c r="AG68" s="3678" t="n"/>
      <c r="AH68" s="3712" t="n"/>
      <c r="AI68" s="3897" t="n"/>
      <c r="AJ68" s="4076" t="n"/>
      <c r="AK68" s="238">
        <f>$CA68</f>
        <v/>
      </c>
      <c r="AL68" s="5" t="n"/>
      <c r="AM68" s="5" t="n"/>
      <c r="AN68" s="5" t="n"/>
      <c r="AO68" s="5" t="n"/>
      <c r="AP68" s="5" t="n"/>
      <c r="AQ68" s="5" t="n"/>
      <c r="AR68" s="5" t="n"/>
      <c r="AS68" s="5" t="n"/>
      <c r="AT68" s="5" t="n"/>
      <c r="AU68" s="5" t="n"/>
      <c r="AV68" s="5" t="n"/>
      <c r="AW68" s="5" t="n"/>
      <c r="AX68" s="5" t="n"/>
      <c r="AY68" s="5" t="n"/>
      <c r="AZ68" s="5" t="n"/>
      <c r="BA68" s="5" t="n"/>
      <c r="BB68" s="5" t="n"/>
      <c r="BC68" s="5" t="n"/>
      <c r="BD68" s="5" t="n"/>
      <c r="BE68" s="5" t="n"/>
      <c r="BF68" s="5" t="n"/>
      <c r="BG68" s="5" t="n"/>
      <c r="BH68" s="5" t="n"/>
      <c r="BI68" s="5" t="n"/>
      <c r="BJ68" s="5" t="n"/>
      <c r="BK68" s="5" t="n"/>
      <c r="BL68" s="5" t="n"/>
      <c r="BM68" s="5" t="n"/>
      <c r="BN68" s="5" t="n"/>
      <c r="BO68" s="5" t="n"/>
      <c r="BP68" s="5" t="n"/>
      <c r="BQ68" s="5" t="n"/>
      <c r="BR68" s="5" t="n"/>
      <c r="BS68" s="5" t="n"/>
      <c r="BT68" s="5" t="n"/>
      <c r="BU68" s="5" t="n"/>
      <c r="BV68" s="5" t="n"/>
      <c r="CA68" s="405">
        <f>IF(AND($C68&lt;&gt;0,AJ68=""),"* No olvide ingresar la columna Pueblos Originarios, digite CERO si no tiene.  ",IF(AJ68&gt;$C68,"* El número de Pueblos Originarios no puede superar el Total Ambos Sexos.  ",""))</f>
        <v/>
      </c>
      <c r="CB68" s="239" t="n"/>
      <c r="CC68" s="239" t="n"/>
      <c r="CD68" s="239" t="n"/>
      <c r="CE68" s="5" t="n"/>
      <c r="CF68" s="5" t="n"/>
      <c r="CG68" s="5" t="n"/>
      <c r="CH68" s="5" t="n"/>
      <c r="CI68" s="29">
        <f>IF(AND($C68&lt;&gt;0,AJ68=""),1,IF(AJ68&gt;$C68,1,0))</f>
        <v/>
      </c>
    </row>
    <row r="69">
      <c r="A69" s="8400" t="inlineStr">
        <is>
          <t>Visita Domiciliaria Integral</t>
        </is>
      </c>
      <c r="B69" s="4245" t="inlineStr">
        <is>
          <t>Psicóloga/o</t>
        </is>
      </c>
      <c r="C69" s="5078">
        <f>SUM(D69:E69)</f>
        <v/>
      </c>
      <c r="D69" s="5079">
        <f>SUM(F69,H69,J69,L69,N69,P69,R69,T69)</f>
        <v/>
      </c>
      <c r="E69" s="5074">
        <f>SUM(G69,I69,K69,M69,O69,Q69,S69,U69)</f>
        <v/>
      </c>
      <c r="F69" s="5061" t="n"/>
      <c r="G69" s="750" t="n"/>
      <c r="H69" s="5061" t="n"/>
      <c r="I69" s="750" t="n"/>
      <c r="J69" s="5061" t="n"/>
      <c r="K69" s="750" t="n"/>
      <c r="L69" s="5061" t="n"/>
      <c r="M69" s="750" t="n"/>
      <c r="N69" s="5061" t="n"/>
      <c r="O69" s="750" t="n"/>
      <c r="P69" s="5061" t="n"/>
      <c r="Q69" s="750" t="n"/>
      <c r="R69" s="5061" t="n"/>
      <c r="S69" s="750" t="n"/>
      <c r="T69" s="5061" t="n"/>
      <c r="U69" s="778" t="n"/>
      <c r="V69" s="204" t="n"/>
      <c r="W69" s="3933" t="n"/>
      <c r="X69" s="1971" t="n"/>
      <c r="Y69" s="747" t="n"/>
      <c r="Z69" s="3933" t="n"/>
      <c r="AA69" s="1971" t="n"/>
      <c r="AB69" s="747" t="n"/>
      <c r="AC69" s="3933" t="n"/>
      <c r="AD69" s="1971" t="n"/>
      <c r="AE69" s="747" t="n"/>
      <c r="AF69" s="3933" t="n"/>
      <c r="AG69" s="1971" t="n"/>
      <c r="AH69" s="747" t="n"/>
      <c r="AI69" s="3905" t="n"/>
      <c r="AJ69" s="2057" t="n"/>
      <c r="AK69" s="238">
        <f>$CA69</f>
        <v/>
      </c>
      <c r="AL69" s="5" t="n"/>
      <c r="AM69" s="5" t="n"/>
      <c r="AN69" s="5" t="n"/>
      <c r="AO69" s="5" t="n"/>
      <c r="AP69" s="5" t="n"/>
      <c r="AQ69" s="5" t="n"/>
      <c r="AR69" s="5" t="n"/>
      <c r="AS69" s="5" t="n"/>
      <c r="AT69" s="5" t="n"/>
      <c r="AU69" s="5" t="n"/>
      <c r="AV69" s="5" t="n"/>
      <c r="AW69" s="5" t="n"/>
      <c r="AX69" s="5" t="n"/>
      <c r="AY69" s="5" t="n"/>
      <c r="AZ69" s="5" t="n"/>
      <c r="BA69" s="5" t="n"/>
      <c r="BB69" s="5" t="n"/>
      <c r="BC69" s="5" t="n"/>
      <c r="BD69" s="5" t="n"/>
      <c r="BE69" s="5" t="n"/>
      <c r="BF69" s="5" t="n"/>
      <c r="BG69" s="5" t="n"/>
      <c r="BH69" s="5" t="n"/>
      <c r="BI69" s="5" t="n"/>
      <c r="BJ69" s="5" t="n"/>
      <c r="BK69" s="5" t="n"/>
      <c r="BL69" s="5" t="n"/>
      <c r="BM69" s="5" t="n"/>
      <c r="BN69" s="5" t="n"/>
      <c r="BO69" s="5" t="n"/>
      <c r="BP69" s="5" t="n"/>
      <c r="BQ69" s="5" t="n"/>
      <c r="BR69" s="5" t="n"/>
      <c r="BS69" s="5" t="n"/>
      <c r="BT69" s="5" t="n"/>
      <c r="BU69" s="5" t="n"/>
      <c r="BV69" s="5" t="n"/>
      <c r="CA69" s="405">
        <f>IF(AND($C69&lt;&gt;0,AJ69=""),"* No olvide ingresar la columna Pueblos Originarios, digite CERO si no tiene.  ",IF(AJ69&gt;$C69,"* El número de Pueblos Originarios no puede superar el Total Ambos Sexos.  ",""))</f>
        <v/>
      </c>
      <c r="CB69" s="239" t="n"/>
      <c r="CC69" s="239" t="n"/>
      <c r="CD69" s="239" t="n"/>
      <c r="CE69" s="5" t="n"/>
      <c r="CF69" s="5" t="n"/>
      <c r="CG69" s="5" t="n"/>
      <c r="CH69" s="5" t="n"/>
      <c r="CI69" s="29">
        <f>IF(AND($C69&lt;&gt;0,AJ69=""),1,IF(AJ69&gt;$C69,1,0))</f>
        <v/>
      </c>
    </row>
    <row r="70">
      <c r="A70" s="9614" t="n"/>
      <c r="B70" s="1121" t="inlineStr">
        <is>
          <t>Trabajador/a Social</t>
        </is>
      </c>
      <c r="C70" s="4181">
        <f>SUM(D70:E70)</f>
        <v/>
      </c>
      <c r="D70" s="3867">
        <f>SUM(F70,H70,J70,L70,N70,P70,R70,T70,)</f>
        <v/>
      </c>
      <c r="E70" s="3760">
        <f>SUM(G70,I70,K70,M70,O70,Q70,S70,U70)</f>
        <v/>
      </c>
      <c r="F70" s="3658" t="n"/>
      <c r="G70" s="878" t="n"/>
      <c r="H70" s="3658" t="n"/>
      <c r="I70" s="878" t="n"/>
      <c r="J70" s="3658" t="n"/>
      <c r="K70" s="878" t="n"/>
      <c r="L70" s="3658" t="n"/>
      <c r="M70" s="878" t="n"/>
      <c r="N70" s="3658" t="n"/>
      <c r="O70" s="878" t="n"/>
      <c r="P70" s="3658" t="n"/>
      <c r="Q70" s="878" t="n"/>
      <c r="R70" s="3658" t="n"/>
      <c r="S70" s="878" t="n"/>
      <c r="T70" s="3658" t="n"/>
      <c r="U70" s="880" t="n"/>
      <c r="V70" s="1181" t="n"/>
      <c r="W70" s="1183" t="n"/>
      <c r="X70" s="1124" t="n"/>
      <c r="Y70" s="882" t="n"/>
      <c r="Z70" s="1183" t="n"/>
      <c r="AA70" s="1124" t="n"/>
      <c r="AB70" s="882" t="n"/>
      <c r="AC70" s="1183" t="n"/>
      <c r="AD70" s="1124" t="n"/>
      <c r="AE70" s="882" t="n"/>
      <c r="AF70" s="1183" t="n"/>
      <c r="AG70" s="1124" t="n"/>
      <c r="AH70" s="882" t="n"/>
      <c r="AI70" s="1185" t="n"/>
      <c r="AJ70" s="1180" t="n"/>
      <c r="AK70" s="238">
        <f>$CA70</f>
        <v/>
      </c>
      <c r="AL70" s="5" t="n"/>
      <c r="AM70" s="5" t="n"/>
      <c r="AN70" s="5" t="n"/>
      <c r="AO70" s="5" t="n"/>
      <c r="AP70" s="5" t="n"/>
      <c r="AQ70" s="5" t="n"/>
      <c r="AR70" s="5" t="n"/>
      <c r="AS70" s="5" t="n"/>
      <c r="AT70" s="5" t="n"/>
      <c r="AU70" s="5" t="n"/>
      <c r="AV70" s="5" t="n"/>
      <c r="AW70" s="5" t="n"/>
      <c r="AX70" s="5" t="n"/>
      <c r="AY70" s="5" t="n"/>
      <c r="AZ70" s="5" t="n"/>
      <c r="BA70" s="5" t="n"/>
      <c r="BB70" s="5" t="n"/>
      <c r="BC70" s="5" t="n"/>
      <c r="BD70" s="5" t="n"/>
      <c r="BE70" s="5" t="n"/>
      <c r="BF70" s="5" t="n"/>
      <c r="BG70" s="5" t="n"/>
      <c r="BH70" s="5" t="n"/>
      <c r="BI70" s="5" t="n"/>
      <c r="BJ70" s="5" t="n"/>
      <c r="BK70" s="5" t="n"/>
      <c r="BL70" s="5" t="n"/>
      <c r="BM70" s="5" t="n"/>
      <c r="BN70" s="5" t="n"/>
      <c r="BO70" s="5" t="n"/>
      <c r="BP70" s="5" t="n"/>
      <c r="BQ70" s="5" t="n"/>
      <c r="BR70" s="5" t="n"/>
      <c r="BS70" s="5" t="n"/>
      <c r="BT70" s="5" t="n"/>
      <c r="BU70" s="5" t="n"/>
      <c r="BV70" s="5" t="n"/>
      <c r="CA70" s="405">
        <f>IF(AND($C70&lt;&gt;0,AJ70=""),"* No olvide ingresar la columna Pueblos Originarios, digite CERO si no tiene.  ",IF(AJ70&gt;$C70,"* El número de Pueblos Originarios no puede superar el Total Ambos Sexos.  ",""))</f>
        <v/>
      </c>
      <c r="CB70" s="239" t="n"/>
      <c r="CC70" s="239" t="n"/>
      <c r="CD70" s="239" t="n"/>
      <c r="CE70" s="5" t="n"/>
      <c r="CF70" s="5" t="n"/>
      <c r="CG70" s="5" t="n"/>
      <c r="CH70" s="5" t="n"/>
      <c r="CI70" s="29">
        <f>IF(AND($C70&lt;&gt;0,AJ70=""),1,IF(AJ70&gt;$C70,1,0))</f>
        <v/>
      </c>
    </row>
    <row r="71">
      <c r="A71" s="9610" t="n"/>
      <c r="B71" s="5080" t="inlineStr">
        <is>
          <t>Médico/a General</t>
        </is>
      </c>
      <c r="C71" s="3881">
        <f>SUM(D71:E71)</f>
        <v/>
      </c>
      <c r="D71" s="3869">
        <f>SUM(F71,H71,J71,L71,N71,P71,R71,T71,)</f>
        <v/>
      </c>
      <c r="E71" s="5075">
        <f>SUM(G71,I71,K71,M71,O71,Q71,S71,U71)</f>
        <v/>
      </c>
      <c r="F71" s="3678" t="n"/>
      <c r="G71" s="3679" t="n"/>
      <c r="H71" s="3680" t="n"/>
      <c r="I71" s="3679" t="n"/>
      <c r="J71" s="3680" t="n"/>
      <c r="K71" s="3679" t="n"/>
      <c r="L71" s="3680" t="n"/>
      <c r="M71" s="3679" t="n"/>
      <c r="N71" s="3680" t="n"/>
      <c r="O71" s="3679" t="n"/>
      <c r="P71" s="3680" t="n"/>
      <c r="Q71" s="3679" t="n"/>
      <c r="R71" s="3680" t="n"/>
      <c r="S71" s="3679" t="n"/>
      <c r="T71" s="3680" t="n"/>
      <c r="U71" s="3682" t="n"/>
      <c r="V71" s="3818" t="n"/>
      <c r="W71" s="3601" t="n"/>
      <c r="X71" s="3678" t="n"/>
      <c r="Y71" s="3712" t="n"/>
      <c r="Z71" s="3601" t="n"/>
      <c r="AA71" s="3678" t="n"/>
      <c r="AB71" s="3712" t="n"/>
      <c r="AC71" s="3601" t="n"/>
      <c r="AD71" s="3678" t="n"/>
      <c r="AE71" s="3712" t="n"/>
      <c r="AF71" s="3601" t="n"/>
      <c r="AG71" s="3678" t="n"/>
      <c r="AH71" s="3712" t="n"/>
      <c r="AI71" s="3897" t="n"/>
      <c r="AJ71" s="1192" t="n"/>
      <c r="AK71" s="238">
        <f>$CA71</f>
        <v/>
      </c>
      <c r="AL71" s="5" t="n"/>
      <c r="AM71" s="5" t="n"/>
      <c r="AN71" s="5" t="n"/>
      <c r="AO71" s="5" t="n"/>
      <c r="AP71" s="5" t="n"/>
      <c r="AQ71" s="5" t="n"/>
      <c r="AR71" s="5" t="n"/>
      <c r="AS71" s="5" t="n"/>
      <c r="AT71" s="5" t="n"/>
      <c r="AU71" s="5" t="n"/>
      <c r="AV71" s="5" t="n"/>
      <c r="AW71" s="5" t="n"/>
      <c r="AX71" s="5" t="n"/>
      <c r="AY71" s="5" t="n"/>
      <c r="AZ71" s="5" t="n"/>
      <c r="BA71" s="5" t="n"/>
      <c r="BB71" s="5" t="n"/>
      <c r="BC71" s="5" t="n"/>
      <c r="BD71" s="5" t="n"/>
      <c r="BE71" s="5" t="n"/>
      <c r="BF71" s="5" t="n"/>
      <c r="BG71" s="5" t="n"/>
      <c r="BH71" s="5" t="n"/>
      <c r="BI71" s="5" t="n"/>
      <c r="BJ71" s="5" t="n"/>
      <c r="BK71" s="5" t="n"/>
      <c r="BL71" s="5" t="n"/>
      <c r="BM71" s="5" t="n"/>
      <c r="BN71" s="5" t="n"/>
      <c r="BO71" s="5" t="n"/>
      <c r="BP71" s="5" t="n"/>
      <c r="BQ71" s="5" t="n"/>
      <c r="BR71" s="5" t="n"/>
      <c r="BS71" s="5" t="n"/>
      <c r="BT71" s="5" t="n"/>
      <c r="BU71" s="5" t="n"/>
      <c r="BV71" s="5" t="n"/>
      <c r="CA71" s="405">
        <f>IF(AND($C71&lt;&gt;0,AJ71=""),"* No olvide ingresar la columna Pueblos Originarios, digite CERO si no tiene.  ",IF(AJ71&gt;$C71,"* El número de Pueblos Originarios no puede superar el Total Ambos Sexos.  ",""))</f>
        <v/>
      </c>
      <c r="CB71" s="239" t="n"/>
      <c r="CC71" s="239" t="n"/>
      <c r="CD71" s="239" t="n"/>
      <c r="CE71" s="5" t="n"/>
      <c r="CF71" s="5" t="n"/>
      <c r="CG71" s="5" t="n"/>
      <c r="CH71" s="5" t="n"/>
      <c r="CI71" s="29">
        <f>IF(AND($C71&lt;&gt;0,AJ71=""),1,IF(AJ71&gt;$C71,1,0))</f>
        <v/>
      </c>
    </row>
    <row r="72" ht="17.1" customHeight="1" s="8286">
      <c r="A72" s="1" t="inlineStr">
        <is>
          <t>SECCIÓN D.2: INTERVENCIONES GRUPALES</t>
        </is>
      </c>
      <c r="B72" s="9" t="n"/>
      <c r="C72" s="606" t="n"/>
      <c r="D72" s="606" t="n"/>
      <c r="E72" s="606" t="n"/>
      <c r="F72" s="606" t="n"/>
      <c r="G72" s="606" t="n"/>
      <c r="H72" s="606" t="n"/>
      <c r="I72" s="606" t="n"/>
      <c r="J72" s="606" t="n"/>
      <c r="K72" s="606" t="n"/>
      <c r="L72" s="606" t="n"/>
      <c r="M72" s="606" t="n"/>
      <c r="N72" s="606" t="n"/>
      <c r="O72" s="606" t="n"/>
      <c r="P72" s="606" t="n"/>
      <c r="Q72" s="606" t="n"/>
      <c r="R72" s="606" t="n"/>
      <c r="S72" s="606" t="n"/>
      <c r="T72" s="606" t="n"/>
      <c r="U72" s="606" t="n"/>
      <c r="V72" s="606" t="n"/>
      <c r="W72" s="606" t="n"/>
      <c r="X72" s="606" t="n"/>
      <c r="Y72" s="606" t="n"/>
      <c r="Z72" s="606" t="n"/>
      <c r="AA72" s="606" t="n"/>
      <c r="AB72" s="606" t="n"/>
      <c r="AC72" s="606" t="n"/>
      <c r="AD72" s="606" t="n"/>
      <c r="AE72" s="606" t="n"/>
      <c r="AF72" s="606" t="n"/>
      <c r="AG72" s="606" t="n"/>
      <c r="AH72" s="606" t="n"/>
      <c r="AI72" s="606" t="n"/>
      <c r="AJ72" s="606" t="n"/>
      <c r="AK72" s="606" t="n"/>
      <c r="AL72" s="606" t="n"/>
      <c r="AM72" s="606" t="n"/>
      <c r="AV72" s="329" t="n"/>
      <c r="AW72" s="329" t="n"/>
      <c r="AX72" s="329" t="n"/>
      <c r="AY72" s="329" t="n"/>
      <c r="BA72" s="329" t="n"/>
      <c r="BB72" s="329" t="n"/>
      <c r="BC72" s="329" t="n"/>
      <c r="BD72" s="329" t="n"/>
      <c r="BE72" s="329" t="n"/>
      <c r="BF72" s="329" t="n"/>
      <c r="BG72" s="329" t="n"/>
      <c r="BH72" s="329" t="n"/>
      <c r="BI72" s="329" t="n"/>
      <c r="BJ72" s="329" t="n"/>
      <c r="BK72" s="329" t="n"/>
      <c r="BL72" s="329" t="n"/>
      <c r="BM72" s="329" t="n"/>
      <c r="BN72" s="329" t="n"/>
      <c r="BO72" s="329" t="n"/>
      <c r="BP72" s="329" t="n"/>
      <c r="BQ72" s="329" t="n"/>
      <c r="BR72" s="329" t="n"/>
      <c r="BS72" s="329" t="n"/>
      <c r="BT72" s="329" t="n"/>
      <c r="BU72" s="329" t="n"/>
      <c r="BV72" s="329" t="n"/>
      <c r="BW72" s="329" t="n"/>
      <c r="BX72" s="329" t="n"/>
      <c r="BY72" s="329" t="n"/>
      <c r="BZ72" s="329" t="n"/>
      <c r="CA72" s="329" t="n"/>
      <c r="CE72" s="329" t="n"/>
      <c r="CF72" s="329" t="n"/>
      <c r="CG72" s="329" t="n"/>
      <c r="CH72" s="329" t="n"/>
      <c r="CI72" s="329" t="n"/>
    </row>
    <row r="73">
      <c r="A73" s="8490" t="inlineStr">
        <is>
          <t>TIPO INTERVENCIÓN</t>
        </is>
      </c>
      <c r="B73" s="8490" t="inlineStr">
        <is>
          <t>Profesional</t>
        </is>
      </c>
      <c r="C73" s="8490" t="inlineStr">
        <is>
          <t>Nº Sesiones</t>
        </is>
      </c>
      <c r="D73" s="10719" t="inlineStr">
        <is>
          <t>Nº Participantes</t>
        </is>
      </c>
      <c r="E73" s="10720" t="inlineStr">
        <is>
          <t>CALIDAD DE ACREDITACIÓN</t>
        </is>
      </c>
      <c r="F73" s="9617" t="n"/>
      <c r="G73" s="9617" t="n"/>
      <c r="H73" s="9617" t="n"/>
      <c r="I73" s="9648" t="n"/>
      <c r="J73" s="606" t="n"/>
      <c r="K73" s="606" t="n"/>
      <c r="L73" s="606" t="n"/>
      <c r="M73" s="606" t="n"/>
      <c r="N73" s="606" t="n"/>
      <c r="O73" s="606" t="n"/>
      <c r="P73" s="606" t="n"/>
      <c r="Q73" s="606" t="n"/>
      <c r="R73" s="606" t="n"/>
      <c r="S73" s="606" t="n"/>
      <c r="T73" s="606" t="n"/>
      <c r="U73" s="606" t="n"/>
      <c r="V73" s="606" t="n"/>
      <c r="W73" s="606" t="n"/>
      <c r="X73" s="606" t="n"/>
      <c r="Y73" s="606" t="n"/>
      <c r="Z73" s="606" t="n"/>
      <c r="AA73" s="606" t="n"/>
      <c r="AB73" s="606" t="n"/>
      <c r="AC73" s="606" t="n"/>
      <c r="AD73" s="606" t="n"/>
      <c r="AE73" s="606" t="n"/>
      <c r="AF73" s="606" t="n"/>
      <c r="AG73" s="606" t="n"/>
      <c r="AH73" s="606" t="n"/>
      <c r="AI73" s="606" t="n"/>
      <c r="AJ73" s="606" t="n"/>
      <c r="AK73" s="606" t="n"/>
      <c r="AL73" s="606" t="n"/>
      <c r="AM73" s="606" t="n"/>
      <c r="AV73" s="329" t="n"/>
      <c r="AW73" s="329" t="n"/>
      <c r="AX73" s="329" t="n"/>
      <c r="AY73" s="329" t="n"/>
      <c r="BA73" s="329" t="n"/>
      <c r="BB73" s="329" t="n"/>
      <c r="BC73" s="329" t="n"/>
      <c r="BD73" s="329" t="n"/>
      <c r="BE73" s="329" t="n"/>
      <c r="BF73" s="329" t="n"/>
      <c r="BG73" s="329" t="n"/>
      <c r="BH73" s="329" t="n"/>
      <c r="BI73" s="329" t="n"/>
      <c r="BJ73" s="329" t="n"/>
      <c r="BK73" s="329" t="n"/>
      <c r="BL73" s="329" t="n"/>
      <c r="BM73" s="329" t="n"/>
      <c r="BN73" s="329" t="n"/>
      <c r="BO73" s="329" t="n"/>
      <c r="BP73" s="329" t="n"/>
      <c r="BQ73" s="329" t="n"/>
      <c r="BR73" s="329" t="n"/>
      <c r="BS73" s="329" t="n"/>
      <c r="BT73" s="329" t="n"/>
      <c r="BU73" s="329" t="n"/>
      <c r="BV73" s="329" t="n"/>
      <c r="BW73" s="329" t="n"/>
      <c r="BX73" s="329" t="n"/>
      <c r="BY73" s="329" t="n"/>
      <c r="BZ73" s="329" t="n"/>
      <c r="CA73" s="329" t="n"/>
      <c r="CE73" s="329" t="n"/>
      <c r="CF73" s="329" t="n"/>
      <c r="CG73" s="329" t="n"/>
      <c r="CH73" s="329" t="n"/>
      <c r="CI73" s="329" t="n"/>
    </row>
    <row r="74" ht="63.75" customHeight="1" s="8286">
      <c r="A74" s="9610" t="n"/>
      <c r="B74" s="9610" t="n"/>
      <c r="C74" s="9610" t="n"/>
      <c r="D74" s="10028" t="n"/>
      <c r="E74" s="5081" t="inlineStr">
        <is>
          <t>Ley 19.123, Ley 19.980, Ley 20.405 (DD Y EP)</t>
        </is>
      </c>
      <c r="F74" s="5082" t="inlineStr">
        <is>
          <t>Ley 19.992, Ley 20.405 (Prisión política y tortura)</t>
        </is>
      </c>
      <c r="G74" s="5082" t="inlineStr">
        <is>
          <t>Exilio</t>
        </is>
      </c>
      <c r="H74" s="5082" t="inlineStr">
        <is>
          <t>Exoneración Política</t>
        </is>
      </c>
      <c r="I74" s="5083" t="inlineStr">
        <is>
          <t>Otros hechos represivos según Norma técnica N° 88</t>
        </is>
      </c>
      <c r="J74" s="329" t="n"/>
      <c r="K74" s="113" t="n"/>
      <c r="L74" s="113" t="n"/>
      <c r="M74" s="329" t="n"/>
      <c r="N74" s="113" t="n"/>
      <c r="O74" s="113" t="n"/>
      <c r="P74" s="329" t="n"/>
      <c r="Q74" s="613" t="n"/>
      <c r="R74" s="613" t="n"/>
      <c r="S74" s="101" t="n"/>
      <c r="T74" s="101" t="n"/>
      <c r="U74" s="101" t="n"/>
      <c r="V74" s="101" t="n"/>
      <c r="W74" s="101" t="n"/>
      <c r="X74" s="101" t="n"/>
      <c r="Y74" s="101" t="n"/>
      <c r="Z74" s="101" t="n"/>
      <c r="AA74" s="101" t="n"/>
      <c r="AB74" s="101" t="n"/>
      <c r="AC74" s="101" t="n"/>
      <c r="AD74" s="101" t="n"/>
      <c r="AE74" s="101" t="n"/>
      <c r="AF74" s="101" t="n"/>
      <c r="AG74" s="101" t="n"/>
      <c r="AH74" s="101" t="n"/>
      <c r="AI74" s="101" t="n"/>
      <c r="AJ74" s="101" t="n"/>
      <c r="AK74" s="101" t="n"/>
      <c r="AL74" s="101" t="n"/>
      <c r="AM74" s="101" t="n"/>
      <c r="AV74" s="329" t="n"/>
      <c r="AW74" s="329" t="n"/>
      <c r="AX74" s="329" t="n"/>
      <c r="AY74" s="329" t="n"/>
      <c r="BA74" s="329" t="n"/>
      <c r="BB74" s="329" t="n"/>
      <c r="BC74" s="329" t="n"/>
      <c r="BD74" s="329" t="n"/>
      <c r="BE74" s="329" t="n"/>
      <c r="BF74" s="329" t="n"/>
      <c r="BG74" s="329" t="n"/>
      <c r="BH74" s="329" t="n"/>
      <c r="BI74" s="329" t="n"/>
      <c r="BJ74" s="329" t="n"/>
      <c r="BK74" s="329" t="n"/>
      <c r="BL74" s="329" t="n"/>
      <c r="BM74" s="329" t="n"/>
      <c r="BN74" s="329" t="n"/>
      <c r="BO74" s="329" t="n"/>
      <c r="BP74" s="329" t="n"/>
      <c r="BQ74" s="329" t="n"/>
      <c r="BR74" s="329" t="n"/>
      <c r="BS74" s="329" t="n"/>
      <c r="BT74" s="329" t="n"/>
      <c r="BU74" s="329" t="n"/>
      <c r="BV74" s="329" t="n"/>
      <c r="BW74" s="329" t="n"/>
      <c r="BX74" s="329" t="n"/>
      <c r="BY74" s="329" t="n"/>
      <c r="BZ74" s="329" t="n"/>
      <c r="CA74" s="329" t="n"/>
      <c r="CE74" s="329" t="n"/>
      <c r="CF74" s="329" t="n"/>
      <c r="CG74" s="329" t="n"/>
      <c r="CH74" s="329" t="n"/>
      <c r="CI74" s="329" t="n"/>
    </row>
    <row r="75" ht="12.75" customHeight="1" s="8286">
      <c r="A75" s="10721" t="inlineStr">
        <is>
          <t>Psicoterapia Familiar</t>
        </is>
      </c>
      <c r="B75" s="4382" t="inlineStr">
        <is>
          <t>Psicóloga/o</t>
        </is>
      </c>
      <c r="C75" s="5084" t="n"/>
      <c r="D75" s="5085" t="n"/>
      <c r="E75" s="3156" t="n"/>
      <c r="F75" s="1454" t="n"/>
      <c r="G75" s="1454" t="n"/>
      <c r="H75" s="1454" t="n"/>
      <c r="I75" s="5065" t="n"/>
      <c r="J75" s="113" t="n"/>
      <c r="K75" s="113" t="n"/>
      <c r="L75" s="113" t="n"/>
      <c r="M75" s="113" t="n"/>
      <c r="N75" s="113" t="n"/>
      <c r="O75" s="113" t="n"/>
      <c r="P75" s="613" t="n"/>
      <c r="Q75" s="613" t="n"/>
      <c r="R75" s="613" t="n"/>
      <c r="S75" s="101" t="n"/>
      <c r="T75" s="101" t="n"/>
      <c r="U75" s="101" t="n"/>
      <c r="V75" s="101" t="n"/>
      <c r="W75" s="101" t="n"/>
      <c r="X75" s="101" t="n"/>
      <c r="Y75" s="101" t="n"/>
      <c r="Z75" s="101" t="n"/>
      <c r="AA75" s="101" t="n"/>
      <c r="AB75" s="101" t="n"/>
      <c r="AC75" s="101" t="n"/>
      <c r="AD75" s="101" t="n"/>
      <c r="AE75" s="101" t="n"/>
      <c r="AF75" s="101" t="n"/>
      <c r="AG75" s="101" t="n"/>
      <c r="AH75" s="101" t="n"/>
      <c r="AI75" s="101" t="n"/>
      <c r="AJ75" s="101" t="n"/>
      <c r="AK75" s="101" t="n"/>
      <c r="AV75" s="329" t="n"/>
      <c r="AW75" s="329" t="n"/>
      <c r="AX75" s="329" t="n"/>
      <c r="AY75" s="329" t="n"/>
      <c r="BA75" s="329" t="n"/>
      <c r="BB75" s="329" t="n"/>
      <c r="BC75" s="329" t="n"/>
      <c r="BD75" s="329" t="n"/>
      <c r="BE75" s="329" t="n"/>
      <c r="BF75" s="329" t="n"/>
      <c r="BG75" s="329" t="n"/>
      <c r="BH75" s="329" t="n"/>
      <c r="BI75" s="329" t="n"/>
      <c r="BJ75" s="329" t="n"/>
      <c r="BK75" s="329" t="n"/>
      <c r="BL75" s="329" t="n"/>
      <c r="BM75" s="329" t="n"/>
      <c r="BN75" s="329" t="n"/>
      <c r="BO75" s="329" t="n"/>
      <c r="BP75" s="329" t="n"/>
      <c r="BQ75" s="329" t="n"/>
      <c r="BR75" s="329" t="n"/>
      <c r="BS75" s="329" t="n"/>
      <c r="BT75" s="329" t="n"/>
      <c r="BU75" s="329" t="n"/>
      <c r="BV75" s="329" t="n"/>
      <c r="BW75" s="329" t="n"/>
      <c r="BX75" s="329" t="n"/>
      <c r="BY75" s="329" t="n"/>
      <c r="BZ75" s="329" t="n"/>
      <c r="CA75" s="329" t="n"/>
      <c r="CE75" s="329" t="n"/>
      <c r="CF75" s="329" t="n"/>
      <c r="CG75" s="329" t="n"/>
      <c r="CH75" s="329" t="n"/>
      <c r="CI75" s="329" t="n"/>
    </row>
    <row r="76">
      <c r="A76" s="9614" t="n"/>
      <c r="B76" s="1417" t="inlineStr">
        <is>
          <t xml:space="preserve">Psiquiatra </t>
        </is>
      </c>
      <c r="C76" s="1418" t="n"/>
      <c r="D76" s="1419" t="n"/>
      <c r="E76" s="1146" t="n"/>
      <c r="F76" s="1147" t="n"/>
      <c r="G76" s="1147" t="n"/>
      <c r="H76" s="1147" t="n"/>
      <c r="I76" s="1148" t="n"/>
      <c r="J76" s="101" t="n"/>
      <c r="K76" s="101" t="n"/>
      <c r="L76" s="101" t="n"/>
      <c r="M76" s="101" t="n"/>
      <c r="N76" s="101" t="n"/>
      <c r="O76" s="101" t="n"/>
      <c r="P76" s="101" t="n"/>
      <c r="Q76" s="101" t="n"/>
      <c r="R76" s="101" t="n"/>
      <c r="S76" s="101" t="n"/>
      <c r="T76" s="101" t="n"/>
      <c r="U76" s="101" t="n"/>
      <c r="V76" s="101" t="n"/>
      <c r="W76" s="101" t="n"/>
      <c r="X76" s="101" t="n"/>
      <c r="Y76" s="101" t="n"/>
      <c r="Z76" s="101" t="n"/>
      <c r="AA76" s="101" t="n"/>
      <c r="AB76" s="101" t="n"/>
      <c r="AC76" s="101" t="n"/>
      <c r="AD76" s="101" t="n"/>
      <c r="AE76" s="101" t="n"/>
      <c r="AF76" s="101" t="n"/>
      <c r="AG76" s="101" t="n"/>
      <c r="AH76" s="101" t="n"/>
      <c r="AI76" s="101" t="n"/>
      <c r="AJ76" s="101" t="n"/>
      <c r="AK76" s="101" t="n"/>
      <c r="AV76" s="329" t="n"/>
      <c r="AW76" s="329" t="n"/>
      <c r="AX76" s="329" t="n"/>
      <c r="AY76" s="329" t="n"/>
      <c r="BA76" s="329" t="n"/>
      <c r="BB76" s="329" t="n"/>
      <c r="BC76" s="329" t="n"/>
      <c r="BD76" s="329" t="n"/>
      <c r="BE76" s="329" t="n"/>
      <c r="BF76" s="329" t="n"/>
      <c r="BG76" s="329" t="n"/>
      <c r="BH76" s="329" t="n"/>
      <c r="BI76" s="329" t="n"/>
      <c r="BJ76" s="329" t="n"/>
      <c r="BK76" s="329" t="n"/>
      <c r="BL76" s="329" t="n"/>
      <c r="BM76" s="329" t="n"/>
      <c r="BN76" s="329" t="n"/>
      <c r="BO76" s="329" t="n"/>
      <c r="BP76" s="329" t="n"/>
      <c r="BQ76" s="329" t="n"/>
      <c r="BR76" s="329" t="n"/>
      <c r="BS76" s="329" t="n"/>
      <c r="BT76" s="329" t="n"/>
      <c r="BU76" s="329" t="n"/>
      <c r="BV76" s="329" t="n"/>
      <c r="BW76" s="329" t="n"/>
      <c r="BX76" s="329" t="n"/>
      <c r="BY76" s="329" t="n"/>
      <c r="BZ76" s="329" t="n"/>
      <c r="CA76" s="329" t="n"/>
      <c r="CE76" s="329" t="n"/>
      <c r="CF76" s="329" t="n"/>
      <c r="CG76" s="329" t="n"/>
      <c r="CH76" s="329" t="n"/>
      <c r="CI76" s="329" t="n"/>
    </row>
    <row r="77">
      <c r="A77" s="8490" t="inlineStr">
        <is>
          <t>Psicoterapia Grupal</t>
        </is>
      </c>
      <c r="B77" s="4382" t="inlineStr">
        <is>
          <t>Psicóloga/o</t>
        </is>
      </c>
      <c r="C77" s="5084" t="n"/>
      <c r="D77" s="5085" t="n"/>
      <c r="E77" s="3156" t="n"/>
      <c r="F77" s="1454" t="n"/>
      <c r="G77" s="1454" t="n"/>
      <c r="H77" s="1454" t="n"/>
      <c r="I77" s="5065" t="n"/>
      <c r="J77" s="101" t="n"/>
      <c r="K77" s="101" t="n"/>
      <c r="L77" s="101" t="n"/>
      <c r="M77" s="101" t="n"/>
      <c r="N77" s="101" t="n"/>
      <c r="O77" s="101" t="n"/>
      <c r="P77" s="101" t="n"/>
      <c r="Q77" s="101" t="n"/>
      <c r="R77" s="101" t="n"/>
      <c r="S77" s="101" t="n"/>
      <c r="T77" s="101" t="n"/>
      <c r="U77" s="101" t="n"/>
      <c r="V77" s="101" t="n"/>
      <c r="W77" s="101" t="n"/>
      <c r="X77" s="101" t="n"/>
      <c r="Y77" s="101" t="n"/>
      <c r="Z77" s="101" t="n"/>
      <c r="AA77" s="101" t="n"/>
      <c r="AB77" s="101" t="n"/>
      <c r="AC77" s="101" t="n"/>
      <c r="AD77" s="101" t="n"/>
      <c r="AE77" s="101" t="n"/>
      <c r="AF77" s="101" t="n"/>
      <c r="AG77" s="101" t="n"/>
      <c r="AH77" s="101" t="n"/>
      <c r="AI77" s="101" t="n"/>
      <c r="AJ77" s="101" t="n"/>
      <c r="AK77" s="101" t="n"/>
      <c r="AV77" s="329" t="n"/>
      <c r="AW77" s="329" t="n"/>
      <c r="AX77" s="329" t="n"/>
      <c r="AY77" s="329" t="n"/>
      <c r="BA77" s="329" t="n"/>
      <c r="BB77" s="329" t="n"/>
      <c r="BC77" s="329" t="n"/>
      <c r="BD77" s="329" t="n"/>
      <c r="BE77" s="329" t="n"/>
      <c r="BF77" s="329" t="n"/>
      <c r="BG77" s="329" t="n"/>
      <c r="BH77" s="329" t="n"/>
      <c r="BI77" s="329" t="n"/>
      <c r="BJ77" s="329" t="n"/>
      <c r="BK77" s="329" t="n"/>
      <c r="BL77" s="329" t="n"/>
      <c r="BM77" s="329" t="n"/>
      <c r="BN77" s="329" t="n"/>
      <c r="BO77" s="329" t="n"/>
      <c r="BP77" s="329" t="n"/>
      <c r="BQ77" s="329" t="n"/>
      <c r="BR77" s="329" t="n"/>
      <c r="BS77" s="329" t="n"/>
      <c r="BT77" s="329" t="n"/>
      <c r="BU77" s="329" t="n"/>
      <c r="BV77" s="329" t="n"/>
      <c r="BW77" s="329" t="n"/>
      <c r="BX77" s="329" t="n"/>
      <c r="BY77" s="329" t="n"/>
      <c r="BZ77" s="329" t="n"/>
      <c r="CA77" s="329" t="n"/>
      <c r="CE77" s="329" t="n"/>
      <c r="CF77" s="329" t="n"/>
      <c r="CG77" s="329" t="n"/>
      <c r="CH77" s="329" t="n"/>
      <c r="CI77" s="329" t="n"/>
    </row>
    <row r="78">
      <c r="A78" s="9610" t="n"/>
      <c r="B78" s="3806" t="inlineStr">
        <is>
          <t xml:space="preserve">Psiquiatra </t>
        </is>
      </c>
      <c r="C78" s="4011" t="n"/>
      <c r="D78" s="5086" t="n"/>
      <c r="E78" s="3711" t="n"/>
      <c r="F78" s="3712" t="n"/>
      <c r="G78" s="3712" t="n"/>
      <c r="H78" s="3712" t="n"/>
      <c r="I78" s="1138" t="n"/>
      <c r="J78" s="101" t="n"/>
      <c r="K78" s="101" t="n"/>
      <c r="L78" s="101" t="n"/>
      <c r="M78" s="101" t="n"/>
      <c r="N78" s="101" t="n"/>
      <c r="O78" s="101" t="n"/>
      <c r="P78" s="101" t="n"/>
      <c r="Q78" s="101" t="n"/>
      <c r="R78" s="101" t="n"/>
      <c r="S78" s="101" t="n"/>
      <c r="T78" s="101" t="n"/>
      <c r="U78" s="101" t="n"/>
      <c r="V78" s="101" t="n"/>
      <c r="W78" s="101" t="n"/>
      <c r="X78" s="101" t="n"/>
      <c r="Y78" s="101" t="n"/>
      <c r="Z78" s="101" t="n"/>
      <c r="AA78" s="101" t="n"/>
      <c r="AB78" s="101" t="n"/>
      <c r="AC78" s="101" t="n"/>
      <c r="AD78" s="101" t="n"/>
      <c r="AE78" s="101" t="n"/>
      <c r="AF78" s="101" t="n"/>
      <c r="AG78" s="101" t="n"/>
      <c r="AH78" s="101" t="n"/>
      <c r="AI78" s="101" t="n"/>
      <c r="AJ78" s="101" t="n"/>
      <c r="AK78" s="101" t="n"/>
      <c r="AV78" s="329" t="n"/>
      <c r="AW78" s="329" t="n"/>
      <c r="AX78" s="329" t="n"/>
      <c r="AY78" s="329" t="n"/>
      <c r="BA78" s="329" t="n"/>
      <c r="BB78" s="329" t="n"/>
      <c r="BC78" s="329" t="n"/>
      <c r="BD78" s="329" t="n"/>
      <c r="BE78" s="329" t="n"/>
      <c r="BF78" s="329" t="n"/>
      <c r="BG78" s="329" t="n"/>
      <c r="BH78" s="329" t="n"/>
      <c r="BI78" s="329" t="n"/>
      <c r="BJ78" s="329" t="n"/>
      <c r="BK78" s="329" t="n"/>
      <c r="BL78" s="329" t="n"/>
      <c r="BM78" s="329" t="n"/>
      <c r="BN78" s="329" t="n"/>
      <c r="BO78" s="329" t="n"/>
      <c r="BP78" s="329" t="n"/>
      <c r="BQ78" s="329" t="n"/>
      <c r="BR78" s="329" t="n"/>
      <c r="BS78" s="329" t="n"/>
      <c r="BT78" s="329" t="n"/>
      <c r="BU78" s="329" t="n"/>
      <c r="BV78" s="329" t="n"/>
      <c r="BW78" s="329" t="n"/>
      <c r="BX78" s="329" t="n"/>
      <c r="BY78" s="329" t="n"/>
      <c r="BZ78" s="329" t="n"/>
      <c r="CA78" s="329" t="n"/>
      <c r="CE78" s="329" t="n"/>
      <c r="CF78" s="329" t="n"/>
      <c r="CG78" s="329" t="n"/>
      <c r="CH78" s="329" t="n"/>
      <c r="CI78" s="329" t="n"/>
    </row>
    <row r="79">
      <c r="A79" s="9539" t="inlineStr">
        <is>
          <t>Intervención Psicosocial Grupal</t>
        </is>
      </c>
      <c r="B79" s="8350" t="inlineStr">
        <is>
          <t>Trabajador/a Social</t>
        </is>
      </c>
      <c r="C79" s="3227" t="n"/>
      <c r="D79" s="2661" t="n"/>
      <c r="E79" s="1972" t="n"/>
      <c r="F79" s="747" t="n"/>
      <c r="G79" s="747" t="n"/>
      <c r="H79" s="747" t="n"/>
      <c r="I79" s="3649" t="n"/>
      <c r="J79" s="101" t="n"/>
      <c r="K79" s="101" t="n"/>
      <c r="L79" s="101" t="n"/>
      <c r="M79" s="101" t="n"/>
      <c r="N79" s="101" t="n"/>
      <c r="O79" s="101" t="n"/>
      <c r="P79" s="101" t="n"/>
      <c r="Q79" s="101" t="n"/>
      <c r="R79" s="101" t="n"/>
      <c r="S79" s="101" t="n"/>
      <c r="T79" s="101" t="n"/>
      <c r="U79" s="101" t="n"/>
      <c r="V79" s="101" t="n"/>
      <c r="W79" s="101" t="n"/>
      <c r="X79" s="101" t="n"/>
      <c r="Y79" s="101" t="n"/>
      <c r="Z79" s="101" t="n"/>
      <c r="AA79" s="101" t="n"/>
      <c r="AB79" s="101" t="n"/>
      <c r="AC79" s="101" t="n"/>
      <c r="AD79" s="101" t="n"/>
      <c r="AE79" s="101" t="n"/>
      <c r="AF79" s="101" t="n"/>
      <c r="AG79" s="101" t="n"/>
      <c r="AH79" s="101" t="n"/>
      <c r="AI79" s="101" t="n"/>
      <c r="AJ79" s="101" t="n"/>
      <c r="AK79" s="101" t="n"/>
      <c r="AV79" s="329" t="n"/>
      <c r="AW79" s="329" t="n"/>
      <c r="AX79" s="329" t="n"/>
      <c r="AY79" s="329" t="n"/>
      <c r="BA79" s="329" t="n"/>
      <c r="BB79" s="329" t="n"/>
      <c r="BC79" s="329" t="n"/>
      <c r="BD79" s="329" t="n"/>
      <c r="BE79" s="329" t="n"/>
      <c r="BF79" s="329" t="n"/>
      <c r="BG79" s="329" t="n"/>
      <c r="BH79" s="329" t="n"/>
      <c r="BI79" s="329" t="n"/>
      <c r="BJ79" s="329" t="n"/>
      <c r="BK79" s="329" t="n"/>
      <c r="BL79" s="329" t="n"/>
      <c r="BM79" s="329" t="n"/>
      <c r="BN79" s="329" t="n"/>
      <c r="BO79" s="329" t="n"/>
      <c r="BP79" s="329" t="n"/>
      <c r="BQ79" s="329" t="n"/>
      <c r="BR79" s="329" t="n"/>
      <c r="BS79" s="329" t="n"/>
      <c r="BT79" s="329" t="n"/>
      <c r="BU79" s="329" t="n"/>
      <c r="BV79" s="329" t="n"/>
      <c r="BW79" s="329" t="n"/>
      <c r="BX79" s="329" t="n"/>
      <c r="BY79" s="329" t="n"/>
      <c r="BZ79" s="329" t="n"/>
      <c r="CA79" s="329" t="n"/>
      <c r="CE79" s="329" t="n"/>
      <c r="CF79" s="329" t="n"/>
      <c r="CG79" s="329" t="n"/>
      <c r="CH79" s="329" t="n"/>
      <c r="CI79" s="329" t="n"/>
    </row>
    <row r="80">
      <c r="A80" s="9842" t="n"/>
      <c r="B80" s="5087" t="inlineStr">
        <is>
          <t>Psicóloga/o</t>
        </is>
      </c>
      <c r="C80" s="1298" t="n"/>
      <c r="D80" s="5088" t="n"/>
      <c r="E80" s="1114" t="n"/>
      <c r="F80" s="882" t="n"/>
      <c r="G80" s="882" t="n"/>
      <c r="H80" s="882" t="n"/>
      <c r="I80" s="3656" t="n"/>
      <c r="J80" s="101" t="n"/>
      <c r="K80" s="101" t="n"/>
      <c r="L80" s="101" t="n"/>
      <c r="M80" s="101" t="n"/>
      <c r="N80" s="101" t="n"/>
      <c r="O80" s="101" t="n"/>
      <c r="P80" s="101" t="n"/>
      <c r="Q80" s="101" t="n"/>
      <c r="R80" s="101" t="n"/>
      <c r="S80" s="101" t="n"/>
      <c r="T80" s="101" t="n"/>
      <c r="U80" s="101" t="n"/>
      <c r="V80" s="101" t="n"/>
      <c r="W80" s="101" t="n"/>
      <c r="X80" s="101" t="n"/>
      <c r="Y80" s="101" t="n"/>
      <c r="Z80" s="101" t="n"/>
      <c r="AA80" s="101" t="n"/>
      <c r="AB80" s="101" t="n"/>
      <c r="AC80" s="101" t="n"/>
      <c r="AD80" s="101" t="n"/>
      <c r="AE80" s="101" t="n"/>
      <c r="AF80" s="101" t="n"/>
      <c r="AG80" s="101" t="n"/>
      <c r="AH80" s="101" t="n"/>
      <c r="AI80" s="101" t="n"/>
      <c r="AJ80" s="101" t="n"/>
      <c r="AK80" s="101" t="n"/>
      <c r="AV80" s="329" t="n"/>
      <c r="AW80" s="329" t="n"/>
      <c r="AX80" s="329" t="n"/>
      <c r="AY80" s="329" t="n"/>
      <c r="BA80" s="329" t="n"/>
      <c r="BB80" s="329" t="n"/>
      <c r="BC80" s="329" t="n"/>
      <c r="BD80" s="329" t="n"/>
      <c r="BE80" s="329" t="n"/>
      <c r="BF80" s="329" t="n"/>
      <c r="BG80" s="329" t="n"/>
      <c r="BH80" s="329" t="n"/>
      <c r="BI80" s="329" t="n"/>
      <c r="BJ80" s="329" t="n"/>
      <c r="BK80" s="329" t="n"/>
      <c r="BL80" s="329" t="n"/>
      <c r="BM80" s="329" t="n"/>
      <c r="BN80" s="329" t="n"/>
      <c r="BO80" s="329" t="n"/>
      <c r="BP80" s="329" t="n"/>
      <c r="BQ80" s="329" t="n"/>
      <c r="BR80" s="329" t="n"/>
      <c r="BS80" s="329" t="n"/>
      <c r="BT80" s="329" t="n"/>
      <c r="BU80" s="329" t="n"/>
      <c r="BV80" s="329" t="n"/>
      <c r="BW80" s="329" t="n"/>
      <c r="BX80" s="329" t="n"/>
      <c r="BY80" s="329" t="n"/>
      <c r="BZ80" s="329" t="n"/>
      <c r="CA80" s="329" t="n"/>
      <c r="CE80" s="329" t="n"/>
      <c r="CF80" s="329" t="n"/>
      <c r="CG80" s="329" t="n"/>
      <c r="CH80" s="329" t="n"/>
      <c r="CI80" s="329" t="n"/>
    </row>
    <row r="81">
      <c r="A81" s="9843" t="n"/>
      <c r="B81" s="5089" t="inlineStr">
        <is>
          <t>Médico/a General</t>
        </is>
      </c>
      <c r="C81" s="4011" t="n"/>
      <c r="D81" s="5086" t="n"/>
      <c r="E81" s="3711" t="n"/>
      <c r="F81" s="3712" t="n"/>
      <c r="G81" s="3712" t="n"/>
      <c r="H81" s="3712" t="n"/>
      <c r="I81" s="1138" t="n"/>
      <c r="J81" s="101" t="n"/>
      <c r="K81" s="101" t="n"/>
      <c r="L81" s="101" t="n"/>
      <c r="M81" s="101" t="n"/>
      <c r="N81" s="101" t="n"/>
      <c r="O81" s="101" t="n"/>
      <c r="P81" s="101" t="n"/>
      <c r="Q81" s="101" t="n"/>
      <c r="R81" s="101" t="n"/>
      <c r="S81" s="101" t="n"/>
      <c r="T81" s="101" t="n"/>
      <c r="U81" s="101" t="n"/>
      <c r="V81" s="101" t="n"/>
      <c r="W81" s="101" t="n"/>
      <c r="X81" s="101" t="n"/>
      <c r="Y81" s="101" t="n"/>
      <c r="Z81" s="101" t="n"/>
      <c r="AA81" s="101" t="n"/>
      <c r="AB81" s="101" t="n"/>
      <c r="AC81" s="101" t="n"/>
      <c r="AD81" s="101" t="n"/>
      <c r="AE81" s="101" t="n"/>
      <c r="AF81" s="101" t="n"/>
      <c r="AG81" s="101" t="n"/>
      <c r="AH81" s="101" t="n"/>
      <c r="AI81" s="101" t="n"/>
      <c r="AJ81" s="101" t="n"/>
      <c r="AK81" s="101" t="n"/>
      <c r="AV81" s="329" t="n"/>
      <c r="AW81" s="329" t="n"/>
      <c r="AX81" s="329" t="n"/>
      <c r="AY81" s="329" t="n"/>
      <c r="BA81" s="329" t="n"/>
      <c r="BB81" s="329" t="n"/>
      <c r="BC81" s="329" t="n"/>
      <c r="BD81" s="329" t="n"/>
      <c r="BE81" s="329" t="n"/>
      <c r="BF81" s="329" t="n"/>
      <c r="BG81" s="329" t="n"/>
      <c r="BH81" s="329" t="n"/>
      <c r="BI81" s="329" t="n"/>
      <c r="BJ81" s="329" t="n"/>
      <c r="BK81" s="329" t="n"/>
      <c r="BL81" s="329" t="n"/>
      <c r="BM81" s="329" t="n"/>
      <c r="BN81" s="329" t="n"/>
      <c r="BO81" s="329" t="n"/>
      <c r="BP81" s="329" t="n"/>
      <c r="BQ81" s="329" t="n"/>
      <c r="BR81" s="329" t="n"/>
      <c r="BS81" s="329" t="n"/>
      <c r="BT81" s="329" t="n"/>
      <c r="BU81" s="329" t="n"/>
      <c r="BV81" s="329" t="n"/>
      <c r="BW81" s="329" t="n"/>
      <c r="BX81" s="329" t="n"/>
      <c r="BY81" s="329" t="n"/>
      <c r="BZ81" s="329" t="n"/>
      <c r="CA81" s="329" t="n"/>
      <c r="CE81" s="329" t="n"/>
      <c r="CF81" s="329" t="n"/>
      <c r="CG81" s="329" t="n"/>
      <c r="CH81" s="329" t="n"/>
      <c r="CI81" s="329" t="n"/>
    </row>
    <row r="82" ht="17.1" customHeight="1" s="8286">
      <c r="A82" s="8616" t="inlineStr">
        <is>
          <t>SECCIÓN E: ACTIVIDADES EN TERRENO EN CONTEXTO DEL PLAN NACIONAL DE BÚSQUEDA.</t>
        </is>
      </c>
      <c r="B82" s="8616" t="n"/>
      <c r="C82" s="20" t="n"/>
      <c r="D82" s="20" t="n"/>
      <c r="E82" s="606" t="n"/>
      <c r="F82" s="606" t="n"/>
      <c r="G82" s="606" t="n"/>
      <c r="H82" s="606" t="n"/>
      <c r="I82" s="606" t="n"/>
      <c r="J82" s="606" t="n"/>
      <c r="K82" s="606" t="n"/>
      <c r="L82" s="606" t="n"/>
      <c r="M82" s="606" t="n"/>
      <c r="N82" s="606" t="n"/>
      <c r="O82" s="606" t="n"/>
      <c r="P82" s="606" t="n"/>
      <c r="Q82" s="606" t="n"/>
      <c r="R82" s="606" t="n"/>
      <c r="S82" s="606" t="n"/>
      <c r="T82" s="606" t="n"/>
      <c r="U82" s="606" t="n"/>
      <c r="V82" s="606" t="n"/>
      <c r="W82" s="101" t="n"/>
      <c r="X82" s="101" t="n"/>
      <c r="Y82" s="101" t="n"/>
      <c r="Z82" s="101" t="n"/>
      <c r="AA82" s="101" t="n"/>
      <c r="AB82" s="101" t="n"/>
      <c r="AC82" s="101" t="n"/>
      <c r="AD82" s="101" t="n"/>
      <c r="AE82" s="101" t="n"/>
      <c r="AF82" s="101" t="n"/>
      <c r="AG82" s="101" t="n"/>
      <c r="AH82" s="101" t="n"/>
      <c r="AI82" s="101" t="n"/>
      <c r="AJ82" s="101" t="n"/>
      <c r="AK82" s="606" t="n"/>
      <c r="AV82" s="329" t="n"/>
      <c r="AW82" s="329" t="n"/>
      <c r="AX82" s="329" t="n"/>
      <c r="AY82" s="329" t="n"/>
      <c r="BA82" s="329" t="n"/>
      <c r="BB82" s="329" t="n"/>
      <c r="BC82" s="329" t="n"/>
      <c r="BD82" s="329" t="n"/>
      <c r="BE82" s="329" t="n"/>
      <c r="BF82" s="329" t="n"/>
      <c r="BG82" s="329" t="n"/>
      <c r="BH82" s="329" t="n"/>
      <c r="BI82" s="329" t="n"/>
      <c r="BJ82" s="329" t="n"/>
      <c r="BK82" s="329" t="n"/>
      <c r="BL82" s="329" t="n"/>
      <c r="BM82" s="329" t="n"/>
      <c r="BN82" s="329" t="n"/>
      <c r="BO82" s="329" t="n"/>
      <c r="BP82" s="329" t="n"/>
      <c r="BQ82" s="329" t="n"/>
      <c r="BR82" s="329" t="n"/>
      <c r="BS82" s="329" t="n"/>
      <c r="BT82" s="329" t="n"/>
      <c r="BU82" s="329" t="n"/>
      <c r="BV82" s="329" t="n"/>
      <c r="BW82" s="329" t="n"/>
      <c r="BX82" s="329" t="n"/>
      <c r="BY82" s="329" t="n"/>
      <c r="BZ82" s="329" t="n"/>
      <c r="CA82" s="329" t="n"/>
      <c r="CE82" s="329" t="n"/>
      <c r="CF82" s="329" t="n"/>
      <c r="CG82" s="329" t="n"/>
      <c r="CH82" s="329" t="n"/>
      <c r="CI82" s="329" t="n"/>
    </row>
    <row r="83" ht="15" customHeight="1" s="8286">
      <c r="A83" s="10722" t="inlineStr">
        <is>
          <t xml:space="preserve">TIPO ACTIVIDAD </t>
        </is>
      </c>
      <c r="B83" s="8490" t="inlineStr">
        <is>
          <t>PROFESIONAL</t>
        </is>
      </c>
      <c r="C83" s="10723" t="inlineStr">
        <is>
          <t>TOTAL</t>
        </is>
      </c>
      <c r="D83" s="9602" t="n"/>
      <c r="E83" s="9602" t="n"/>
      <c r="F83" s="10396" t="inlineStr">
        <is>
          <t>RANGO ETARIO Y SEXO</t>
        </is>
      </c>
      <c r="G83" s="9584" t="n"/>
      <c r="H83" s="9584" t="n"/>
      <c r="I83" s="9584" t="n"/>
      <c r="J83" s="9584" t="n"/>
      <c r="K83" s="9584" t="n"/>
      <c r="L83" s="9584" t="n"/>
      <c r="M83" s="9584" t="n"/>
      <c r="N83" s="9584" t="n"/>
      <c r="O83" s="9584" t="n"/>
      <c r="P83" s="9584" t="n"/>
      <c r="Q83" s="9584" t="n"/>
      <c r="R83" s="9584" t="n"/>
      <c r="S83" s="9584" t="n"/>
      <c r="T83" s="9584" t="n"/>
      <c r="U83" s="9595" t="n"/>
      <c r="V83" s="9920" t="inlineStr">
        <is>
          <t>Pueblos Originarios</t>
        </is>
      </c>
      <c r="W83" s="101" t="n"/>
      <c r="X83" s="101" t="n"/>
      <c r="Y83" s="101" t="n"/>
      <c r="Z83" s="101" t="n"/>
      <c r="AA83" s="101" t="n"/>
      <c r="AB83" s="101" t="n"/>
      <c r="AC83" s="101" t="n"/>
      <c r="AD83" s="101" t="n"/>
      <c r="AE83" s="101" t="n"/>
      <c r="AF83" s="101" t="n"/>
      <c r="AG83" s="101" t="n"/>
      <c r="AH83" s="101" t="n"/>
      <c r="AI83" s="101" t="n"/>
      <c r="AJ83" s="101" t="n"/>
      <c r="AK83" s="612" t="n"/>
      <c r="AV83" s="329" t="n"/>
      <c r="AW83" s="329" t="n"/>
      <c r="AX83" s="329" t="n"/>
      <c r="AY83" s="329" t="n"/>
      <c r="BA83" s="329" t="n"/>
      <c r="BB83" s="329" t="n"/>
      <c r="BC83" s="329" t="n"/>
      <c r="BD83" s="329" t="n"/>
      <c r="BE83" s="329" t="n"/>
      <c r="BF83" s="329" t="n"/>
      <c r="BG83" s="329" t="n"/>
      <c r="BH83" s="329" t="n"/>
      <c r="BI83" s="329" t="n"/>
      <c r="BJ83" s="329" t="n"/>
      <c r="BK83" s="329" t="n"/>
      <c r="BL83" s="329" t="n"/>
      <c r="BM83" s="329" t="n"/>
      <c r="BN83" s="329" t="n"/>
      <c r="BO83" s="329" t="n"/>
      <c r="BP83" s="329" t="n"/>
      <c r="BQ83" s="329" t="n"/>
      <c r="BR83" s="329" t="n"/>
      <c r="BS83" s="329" t="n"/>
      <c r="BT83" s="329" t="n"/>
      <c r="BU83" s="329" t="n"/>
      <c r="BV83" s="329" t="n"/>
      <c r="BW83" s="329" t="n"/>
      <c r="BX83" s="329" t="n"/>
      <c r="BY83" s="329" t="n"/>
      <c r="BZ83" s="329" t="n"/>
      <c r="CA83" s="329" t="n"/>
      <c r="CE83" s="329" t="n"/>
      <c r="CF83" s="329" t="n"/>
      <c r="CG83" s="329" t="n"/>
      <c r="CH83" s="329" t="n"/>
      <c r="CI83" s="329" t="n"/>
    </row>
    <row r="84" ht="21" customHeight="1" s="8286">
      <c r="A84" s="9625" t="n"/>
      <c r="B84" s="9614" t="n"/>
      <c r="F84" s="7857" t="inlineStr">
        <is>
          <t>Menores de 15 años</t>
        </is>
      </c>
      <c r="G84" s="9602" t="n"/>
      <c r="H84" s="10095" t="inlineStr">
        <is>
          <t>15 a 24 años</t>
        </is>
      </c>
      <c r="I84" s="9584" t="n"/>
      <c r="J84" s="10006" t="inlineStr">
        <is>
          <t>25 - 34 años</t>
        </is>
      </c>
      <c r="K84" s="9584" t="n"/>
      <c r="L84" s="7857" t="inlineStr">
        <is>
          <t>35 - 44 años</t>
        </is>
      </c>
      <c r="M84" s="9602" t="n"/>
      <c r="N84" s="7857" t="inlineStr">
        <is>
          <t>45 - 54 años</t>
        </is>
      </c>
      <c r="O84" s="9602" t="n"/>
      <c r="P84" s="10095" t="inlineStr">
        <is>
          <t>55 - 64 años</t>
        </is>
      </c>
      <c r="Q84" s="9584" t="n"/>
      <c r="R84" s="10718" t="inlineStr">
        <is>
          <t>65 - 74 años</t>
        </is>
      </c>
      <c r="S84" s="9602" t="n"/>
      <c r="T84" s="9915" t="inlineStr">
        <is>
          <t>75 y más años</t>
        </is>
      </c>
      <c r="U84" s="9595" t="n"/>
      <c r="V84" s="9625" t="n"/>
      <c r="W84" s="101" t="n"/>
      <c r="X84" s="101" t="n"/>
      <c r="Y84" s="101" t="n"/>
      <c r="Z84" s="101" t="n"/>
      <c r="AA84" s="101" t="n"/>
      <c r="AB84" s="101" t="n"/>
      <c r="AC84" s="101" t="n"/>
      <c r="AD84" s="101" t="n"/>
      <c r="AV84" s="329" t="n"/>
      <c r="AW84" s="329" t="n"/>
      <c r="AX84" s="329" t="n"/>
      <c r="AY84" s="329" t="n"/>
      <c r="BA84" s="329" t="n"/>
      <c r="BB84" s="329" t="n"/>
      <c r="BC84" s="329" t="n"/>
      <c r="BD84" s="329" t="n"/>
      <c r="BE84" s="329" t="n"/>
      <c r="BF84" s="329" t="n"/>
      <c r="BG84" s="329" t="n"/>
      <c r="BH84" s="329" t="n"/>
      <c r="BI84" s="329" t="n"/>
      <c r="BJ84" s="329" t="n"/>
      <c r="BK84" s="329" t="n"/>
      <c r="BL84" s="329" t="n"/>
      <c r="BM84" s="329" t="n"/>
      <c r="BN84" s="329" t="n"/>
      <c r="BO84" s="329" t="n"/>
      <c r="BP84" s="329" t="n"/>
      <c r="BQ84" s="329" t="n"/>
      <c r="BR84" s="329" t="n"/>
      <c r="BS84" s="329" t="n"/>
      <c r="BT84" s="329" t="n"/>
      <c r="BU84" s="329" t="n"/>
      <c r="BV84" s="329" t="n"/>
      <c r="BW84" s="329" t="n"/>
      <c r="BX84" s="329" t="n"/>
      <c r="BY84" s="329" t="n"/>
      <c r="BZ84" s="329" t="n"/>
      <c r="CA84" s="329" t="n"/>
      <c r="CE84" s="329" t="n"/>
      <c r="CF84" s="329" t="n"/>
      <c r="CG84" s="329" t="n"/>
      <c r="CH84" s="329" t="n"/>
      <c r="CI84" s="329" t="n"/>
    </row>
    <row r="85">
      <c r="A85" s="9625" t="n"/>
      <c r="B85" s="9610" t="n"/>
      <c r="C85" s="5090" t="inlineStr">
        <is>
          <t>Ambos Sexos</t>
        </is>
      </c>
      <c r="D85" s="5091" t="inlineStr">
        <is>
          <t>Hombres</t>
        </is>
      </c>
      <c r="E85" s="5092" t="inlineStr">
        <is>
          <t>Mujeres</t>
        </is>
      </c>
      <c r="F85" s="4498" t="inlineStr">
        <is>
          <t>Hombres</t>
        </is>
      </c>
      <c r="G85" s="4497" t="inlineStr">
        <is>
          <t>Mujeres</t>
        </is>
      </c>
      <c r="H85" s="5030" t="inlineStr">
        <is>
          <t>Hombres</t>
        </is>
      </c>
      <c r="I85" s="4497" t="inlineStr">
        <is>
          <t>Mujeres</t>
        </is>
      </c>
      <c r="J85" s="5030" t="inlineStr">
        <is>
          <t>Hombres</t>
        </is>
      </c>
      <c r="K85" s="4497" t="inlineStr">
        <is>
          <t>Mujeres</t>
        </is>
      </c>
      <c r="L85" s="5030" t="inlineStr">
        <is>
          <t>Hombres</t>
        </is>
      </c>
      <c r="M85" s="4497" t="inlineStr">
        <is>
          <t>Mujeres</t>
        </is>
      </c>
      <c r="N85" s="5030" t="inlineStr">
        <is>
          <t>Hombres</t>
        </is>
      </c>
      <c r="O85" s="4497" t="inlineStr">
        <is>
          <t>Mujeres</t>
        </is>
      </c>
      <c r="P85" s="5030" t="inlineStr">
        <is>
          <t>Hombres</t>
        </is>
      </c>
      <c r="Q85" s="4497" t="inlineStr">
        <is>
          <t>Mujeres</t>
        </is>
      </c>
      <c r="R85" s="5030" t="inlineStr">
        <is>
          <t>Hombres</t>
        </is>
      </c>
      <c r="S85" s="4497" t="inlineStr">
        <is>
          <t>Mujeres</t>
        </is>
      </c>
      <c r="T85" s="5030" t="inlineStr">
        <is>
          <t>Hombres</t>
        </is>
      </c>
      <c r="U85" s="4499" t="inlineStr">
        <is>
          <t>Mujeres</t>
        </is>
      </c>
      <c r="V85" s="9641" t="n"/>
      <c r="W85" s="101" t="n"/>
      <c r="X85" s="101" t="n"/>
      <c r="Y85" s="101" t="n"/>
      <c r="Z85" s="101" t="n"/>
      <c r="AA85" s="101" t="n"/>
      <c r="AB85" s="101" t="n"/>
      <c r="AC85" s="101" t="n"/>
      <c r="AD85" s="101" t="n"/>
      <c r="AV85" s="329" t="n"/>
      <c r="AW85" s="329" t="n"/>
      <c r="AX85" s="329" t="n"/>
      <c r="AY85" s="329" t="n"/>
      <c r="BA85" s="329" t="n"/>
      <c r="BB85" s="329" t="n"/>
      <c r="BC85" s="329" t="n"/>
      <c r="BD85" s="329" t="n"/>
      <c r="BE85" s="329" t="n"/>
      <c r="BF85" s="329" t="n"/>
      <c r="BG85" s="329" t="n"/>
      <c r="BH85" s="329" t="n"/>
      <c r="BI85" s="329" t="n"/>
      <c r="BJ85" s="329" t="n"/>
      <c r="BK85" s="329" t="n"/>
      <c r="BL85" s="329" t="n"/>
      <c r="BM85" s="329" t="n"/>
      <c r="BN85" s="329" t="n"/>
      <c r="BO85" s="329" t="n"/>
      <c r="BP85" s="329" t="n"/>
      <c r="BQ85" s="329" t="n"/>
      <c r="BR85" s="329" t="n"/>
      <c r="BS85" s="329" t="n"/>
      <c r="BT85" s="329" t="n"/>
      <c r="BU85" s="329" t="n"/>
      <c r="BV85" s="329" t="n"/>
      <c r="BW85" s="329" t="n"/>
      <c r="BX85" s="329" t="n"/>
      <c r="BY85" s="329" t="n"/>
      <c r="BZ85" s="329" t="n"/>
      <c r="CA85" s="329" t="n"/>
      <c r="CE85" s="101" t="n"/>
      <c r="CF85" s="101" t="n"/>
      <c r="CG85" s="101" t="n"/>
      <c r="CH85" s="101" t="n"/>
      <c r="CI85" s="101" t="n"/>
    </row>
    <row r="86" ht="15" customHeight="1" s="8286">
      <c r="A86" s="8490" t="inlineStr">
        <is>
          <t>Acompañamiento a familias en proceso de restitución de restos óseos identificados a sus familiares</t>
        </is>
      </c>
      <c r="B86" s="5093" t="inlineStr">
        <is>
          <t>Psicóloga/o</t>
        </is>
      </c>
      <c r="C86" s="5094">
        <f>SUM(D86:E86)</f>
        <v/>
      </c>
      <c r="D86" s="5079">
        <f>SUM(F86,H86,J86,L86,N86,P86,R86,T86,)</f>
        <v/>
      </c>
      <c r="E86" s="5009">
        <f>SUM(G86,I86,K86,M86,O86,Q86,S86,U86)</f>
        <v/>
      </c>
      <c r="F86" s="5095" t="n"/>
      <c r="G86" s="5096" t="n"/>
      <c r="H86" s="5095" t="n"/>
      <c r="I86" s="5096" t="n"/>
      <c r="J86" s="5095" t="n"/>
      <c r="K86" s="5096" t="n"/>
      <c r="L86" s="5095" t="n"/>
      <c r="M86" s="5096" t="n"/>
      <c r="N86" s="5095" t="n"/>
      <c r="O86" s="5096" t="n"/>
      <c r="P86" s="5095" t="n"/>
      <c r="Q86" s="5096" t="n"/>
      <c r="R86" s="5095" t="n"/>
      <c r="S86" s="5096" t="n"/>
      <c r="T86" s="5095" t="n"/>
      <c r="U86" s="5097" t="n"/>
      <c r="V86" s="5098" t="n"/>
      <c r="W86" s="238">
        <f>$CA86</f>
        <v/>
      </c>
      <c r="X86" s="226" t="n"/>
      <c r="Y86" s="5" t="n"/>
      <c r="Z86" s="5" t="n"/>
      <c r="AA86" s="5" t="n"/>
      <c r="AB86" s="5" t="n"/>
      <c r="AC86" s="5" t="n"/>
      <c r="AD86" s="5" t="n"/>
      <c r="AE86" s="5" t="n"/>
      <c r="AF86" s="5" t="n"/>
      <c r="AG86" s="5" t="n"/>
      <c r="AH86" s="5" t="n"/>
      <c r="AI86" s="5" t="n"/>
      <c r="AJ86" s="5" t="n"/>
      <c r="AK86" s="5" t="n"/>
      <c r="AL86" s="5" t="n"/>
      <c r="AM86" s="5" t="n"/>
      <c r="AN86" s="5" t="n"/>
      <c r="AO86" s="5" t="n"/>
      <c r="AP86" s="5" t="n"/>
      <c r="AQ86" s="5" t="n"/>
      <c r="AR86" s="5" t="n"/>
      <c r="AS86" s="5" t="n"/>
      <c r="AT86" s="5" t="n"/>
      <c r="AU86" s="5" t="n"/>
      <c r="AV86" s="5" t="n"/>
      <c r="AW86" s="5" t="n"/>
      <c r="AX86" s="5" t="n"/>
      <c r="AY86" s="5" t="n"/>
      <c r="AZ86" s="5" t="n"/>
      <c r="BA86" s="5" t="n"/>
      <c r="BB86" s="5" t="n"/>
      <c r="BC86" s="5" t="n"/>
      <c r="BD86" s="5" t="n"/>
      <c r="BE86" s="5" t="n"/>
      <c r="BF86" s="5" t="n"/>
      <c r="BG86" s="5" t="n"/>
      <c r="BH86" s="5" t="n"/>
      <c r="BY86" s="101" t="n"/>
      <c r="BZ86" s="101" t="n"/>
      <c r="CA86" s="405">
        <f>IF(AND($C86&lt;&gt;0,V86=""),"* No olvide ingresar la columna Pueblos Originarios, digite CERO si no tiene.  ",IF(V86&gt;$C86,"* El número de Pueblos Originarios no puede superar el Total Ambos Sexos.  ",""))</f>
        <v/>
      </c>
      <c r="CB86" s="239" t="n"/>
      <c r="CC86" s="239" t="n"/>
      <c r="CD86" s="239" t="n"/>
      <c r="CE86" s="5" t="n"/>
      <c r="CF86" s="5" t="n"/>
      <c r="CG86" s="5" t="n"/>
      <c r="CH86" s="5" t="n"/>
      <c r="CI86" s="29">
        <f>IF(AND($C86&lt;&gt;0,V86=""),1,IF(V86&gt;$C86,1,0))</f>
        <v/>
      </c>
    </row>
    <row r="87" ht="15" customHeight="1" s="8286">
      <c r="A87" s="9614" t="n"/>
      <c r="B87" s="5099" t="inlineStr">
        <is>
          <t>Trabajador/a Social</t>
        </is>
      </c>
      <c r="C87" s="695">
        <f>SUM(D87:E87)</f>
        <v/>
      </c>
      <c r="D87" s="3866">
        <f>SUM(F87,H87,J87,L87,N87,P87,R87,T87)</f>
        <v/>
      </c>
      <c r="E87" s="3879">
        <f>SUM(G87,I87,K87,M87,O87,Q87,S87,U87)</f>
        <v/>
      </c>
      <c r="F87" s="1200" t="n"/>
      <c r="G87" s="1199" t="n"/>
      <c r="H87" s="1200" t="n"/>
      <c r="I87" s="1199" t="n"/>
      <c r="J87" s="1200" t="n"/>
      <c r="K87" s="1199" t="n"/>
      <c r="L87" s="1200" t="n"/>
      <c r="M87" s="1199" t="n"/>
      <c r="N87" s="1200" t="n"/>
      <c r="O87" s="1199" t="n"/>
      <c r="P87" s="1200" t="n"/>
      <c r="Q87" s="1199" t="n"/>
      <c r="R87" s="1200" t="n"/>
      <c r="S87" s="1199" t="n"/>
      <c r="T87" s="1200" t="n"/>
      <c r="U87" s="1414" t="n"/>
      <c r="V87" s="1148" t="n"/>
      <c r="W87" s="238">
        <f>$CA87</f>
        <v/>
      </c>
      <c r="X87" s="5" t="n"/>
      <c r="Y87" s="5" t="n"/>
      <c r="Z87" s="5" t="n"/>
      <c r="AA87" s="5" t="n"/>
      <c r="AB87" s="5" t="n"/>
      <c r="AC87" s="5" t="n"/>
      <c r="AD87" s="5" t="n"/>
      <c r="AE87" s="5" t="n"/>
      <c r="AF87" s="5" t="n"/>
      <c r="AG87" s="5" t="n"/>
      <c r="AH87" s="5" t="n"/>
      <c r="AI87" s="5" t="n"/>
      <c r="AJ87" s="5" t="n"/>
      <c r="AK87" s="5" t="n"/>
      <c r="AL87" s="5" t="n"/>
      <c r="AM87" s="5" t="n"/>
      <c r="AN87" s="5" t="n"/>
      <c r="AO87" s="5" t="n"/>
      <c r="AP87" s="5" t="n"/>
      <c r="AQ87" s="5" t="n"/>
      <c r="AR87" s="5" t="n"/>
      <c r="AS87" s="5" t="n"/>
      <c r="AT87" s="5" t="n"/>
      <c r="AU87" s="5" t="n"/>
      <c r="AV87" s="5" t="n"/>
      <c r="AW87" s="5" t="n"/>
      <c r="AX87" s="5" t="n"/>
      <c r="AY87" s="5" t="n"/>
      <c r="AZ87" s="5" t="n"/>
      <c r="BA87" s="5" t="n"/>
      <c r="BB87" s="5" t="n"/>
      <c r="BC87" s="5" t="n"/>
      <c r="BD87" s="5" t="n"/>
      <c r="BE87" s="5" t="n"/>
      <c r="BF87" s="5" t="n"/>
      <c r="BG87" s="5" t="n"/>
      <c r="BH87" s="5" t="n"/>
      <c r="BY87" s="101" t="n"/>
      <c r="BZ87" s="101" t="n"/>
      <c r="CA87" s="405">
        <f>IF(AND($C87&lt;&gt;0,V87=""),"* No olvide ingresar la columna Pueblos Originarios, digite CERO si no tiene.  ",IF(V87&gt;$C87,"* El número de Pueblos Originarios no puede superar el Total Ambos Sexos.  ",""))</f>
        <v/>
      </c>
      <c r="CB87" s="239" t="n"/>
      <c r="CC87" s="239" t="n"/>
      <c r="CD87" s="239" t="n"/>
      <c r="CE87" s="5" t="n"/>
      <c r="CF87" s="5" t="n"/>
      <c r="CG87" s="5" t="n"/>
      <c r="CH87" s="5" t="n"/>
      <c r="CI87" s="29">
        <f>IF(AND($C87&lt;&gt;0,V87=""),1,IF(V87&gt;$C87,1,0))</f>
        <v/>
      </c>
    </row>
    <row r="88" ht="15" customHeight="1" s="8286">
      <c r="A88" s="9610" t="n"/>
      <c r="B88" s="5100" t="inlineStr">
        <is>
          <t>Médico/a General</t>
        </is>
      </c>
      <c r="C88" s="5101">
        <f>SUM(D88:E88)</f>
        <v/>
      </c>
      <c r="D88" s="3869">
        <f>SUM(F88,H88,J88,L88,N88,P88,R88,T88)</f>
        <v/>
      </c>
      <c r="E88" s="5102">
        <f>SUM(G88,I88,K88,M88,O88,Q88,S88,U88)</f>
        <v/>
      </c>
      <c r="F88" s="3680" t="n"/>
      <c r="G88" s="3679" t="n"/>
      <c r="H88" s="3680" t="n"/>
      <c r="I88" s="3679" t="n"/>
      <c r="J88" s="3680" t="n"/>
      <c r="K88" s="3679" t="n"/>
      <c r="L88" s="3680" t="n"/>
      <c r="M88" s="3679" t="n"/>
      <c r="N88" s="3680" t="n"/>
      <c r="O88" s="3679" t="n"/>
      <c r="P88" s="3680" t="n"/>
      <c r="Q88" s="3679" t="n"/>
      <c r="R88" s="3680" t="n"/>
      <c r="S88" s="3679" t="n"/>
      <c r="T88" s="3680" t="n"/>
      <c r="U88" s="3682" t="n"/>
      <c r="V88" s="1138" t="n"/>
      <c r="W88" s="238">
        <f>$CA88</f>
        <v/>
      </c>
      <c r="X88" s="5" t="n"/>
      <c r="Y88" s="5" t="n"/>
      <c r="Z88" s="5" t="n"/>
      <c r="AA88" s="5" t="n"/>
      <c r="AB88" s="5" t="n"/>
      <c r="AC88" s="5" t="n"/>
      <c r="AD88" s="5" t="n"/>
      <c r="AE88" s="5" t="n"/>
      <c r="AF88" s="5" t="n"/>
      <c r="AG88" s="5" t="n"/>
      <c r="AH88" s="5" t="n"/>
      <c r="AI88" s="5" t="n"/>
      <c r="AJ88" s="5" t="n"/>
      <c r="AK88" s="5" t="n"/>
      <c r="AL88" s="5" t="n"/>
      <c r="AM88" s="5" t="n"/>
      <c r="AN88" s="5" t="n"/>
      <c r="AO88" s="5" t="n"/>
      <c r="AP88" s="5" t="n"/>
      <c r="AQ88" s="5" t="n"/>
      <c r="AR88" s="5" t="n"/>
      <c r="AS88" s="5" t="n"/>
      <c r="AT88" s="5" t="n"/>
      <c r="AU88" s="5" t="n"/>
      <c r="AV88" s="5" t="n"/>
      <c r="AW88" s="5" t="n"/>
      <c r="AX88" s="5" t="n"/>
      <c r="AY88" s="5" t="n"/>
      <c r="AZ88" s="5" t="n"/>
      <c r="BA88" s="5" t="n"/>
      <c r="BB88" s="5" t="n"/>
      <c r="BC88" s="5" t="n"/>
      <c r="BD88" s="5" t="n"/>
      <c r="BE88" s="5" t="n"/>
      <c r="BF88" s="5" t="n"/>
      <c r="BG88" s="5" t="n"/>
      <c r="BH88" s="5" t="n"/>
      <c r="BY88" s="101" t="n"/>
      <c r="BZ88" s="101" t="n"/>
      <c r="CA88" s="405">
        <f>IF(AND($C88&lt;&gt;0,V88=""),"* No olvide ingresar la columna Pueblos Originarios, digite CERO si no tiene.  ",IF(V88&gt;$C88,"* El número de Pueblos Originarios no puede superar el Total Ambos Sexos.  ",""))</f>
        <v/>
      </c>
      <c r="CB88" s="239" t="n"/>
      <c r="CC88" s="239" t="n"/>
      <c r="CD88" s="239" t="n"/>
      <c r="CE88" s="5" t="n"/>
      <c r="CF88" s="5" t="n"/>
      <c r="CG88" s="5" t="n"/>
      <c r="CH88" s="5" t="n"/>
      <c r="CI88" s="29">
        <f>IF(AND($C88&lt;&gt;0,V88=""),1,IF(V88&gt;$C88,1,0))</f>
        <v/>
      </c>
    </row>
    <row r="89" ht="15" customHeight="1" s="8286">
      <c r="A89" s="8490" t="inlineStr">
        <is>
          <t>Acompañamiento en terreno en sitios de interés</t>
        </is>
      </c>
      <c r="B89" s="5093" t="inlineStr">
        <is>
          <t>Psicóloga/o</t>
        </is>
      </c>
      <c r="C89" s="5094">
        <f>SUM(D89:E89)</f>
        <v/>
      </c>
      <c r="D89" s="5079">
        <f>SUM(F89,H89,J89,L89,N89,P89,R89,T89)</f>
        <v/>
      </c>
      <c r="E89" s="5009">
        <f>SUM(G89,I89,K89,M89,O89,Q89,S89,U89)</f>
        <v/>
      </c>
      <c r="F89" s="5095" t="n"/>
      <c r="G89" s="5096" t="n"/>
      <c r="H89" s="5095" t="n"/>
      <c r="I89" s="5096" t="n"/>
      <c r="J89" s="5095" t="n"/>
      <c r="K89" s="5096" t="n"/>
      <c r="L89" s="5095" t="n"/>
      <c r="M89" s="5096" t="n"/>
      <c r="N89" s="5095" t="n"/>
      <c r="O89" s="5096" t="n"/>
      <c r="P89" s="5095" t="n"/>
      <c r="Q89" s="5096" t="n"/>
      <c r="R89" s="5095" t="n"/>
      <c r="S89" s="5096" t="n"/>
      <c r="T89" s="5095" t="n"/>
      <c r="U89" s="5097" t="n"/>
      <c r="V89" s="5098" t="n"/>
      <c r="W89" s="238">
        <f>$CA89</f>
        <v/>
      </c>
      <c r="X89" s="5" t="n"/>
      <c r="Y89" s="5" t="n"/>
      <c r="Z89" s="5" t="n"/>
      <c r="AA89" s="5" t="n"/>
      <c r="AB89" s="5" t="n"/>
      <c r="AC89" s="5" t="n"/>
      <c r="AD89" s="5" t="n"/>
      <c r="AE89" s="5" t="n"/>
      <c r="AF89" s="5" t="n"/>
      <c r="AG89" s="5" t="n"/>
      <c r="AH89" s="5" t="n"/>
      <c r="AI89" s="5" t="n"/>
      <c r="AJ89" s="5" t="n"/>
      <c r="AK89" s="5" t="n"/>
      <c r="AL89" s="5" t="n"/>
      <c r="AM89" s="5" t="n"/>
      <c r="AN89" s="5" t="n"/>
      <c r="AO89" s="5" t="n"/>
      <c r="AP89" s="5" t="n"/>
      <c r="AQ89" s="5" t="n"/>
      <c r="AR89" s="5" t="n"/>
      <c r="AS89" s="5" t="n"/>
      <c r="AT89" s="5" t="n"/>
      <c r="AU89" s="5" t="n"/>
      <c r="AV89" s="5" t="n"/>
      <c r="AW89" s="5" t="n"/>
      <c r="AX89" s="5" t="n"/>
      <c r="AY89" s="5" t="n"/>
      <c r="AZ89" s="5" t="n"/>
      <c r="BA89" s="5" t="n"/>
      <c r="BB89" s="5" t="n"/>
      <c r="BC89" s="5" t="n"/>
      <c r="BD89" s="5" t="n"/>
      <c r="BE89" s="5" t="n"/>
      <c r="BF89" s="5" t="n"/>
      <c r="BG89" s="5" t="n"/>
      <c r="BH89" s="5" t="n"/>
      <c r="BY89" s="101" t="n"/>
      <c r="BZ89" s="101" t="n"/>
      <c r="CA89" s="405">
        <f>IF(AND($C89&lt;&gt;0,V89=""),"* No olvide ingresar la columna Pueblos Originarios, digite CERO si no tiene.  ",IF(V89&gt;$C89,"* El número de Pueblos Originarios no puede superar el Total Ambos Sexos.  ",""))</f>
        <v/>
      </c>
      <c r="CB89" s="239" t="n"/>
      <c r="CC89" s="239" t="n"/>
      <c r="CD89" s="239" t="n"/>
      <c r="CE89" s="5" t="n"/>
      <c r="CF89" s="5" t="n"/>
      <c r="CG89" s="5" t="n"/>
      <c r="CH89" s="5" t="n"/>
      <c r="CI89" s="29">
        <f>IF(AND($C89&lt;&gt;0,V89=""),1,IF(V89&gt;$C89,1,0))</f>
        <v/>
      </c>
    </row>
    <row r="90" ht="15" customHeight="1" s="8286">
      <c r="A90" s="9614" t="n"/>
      <c r="B90" s="2316" t="inlineStr">
        <is>
          <t>Trabajador/a Social</t>
        </is>
      </c>
      <c r="C90" s="695">
        <f>SUM(D90:E90)</f>
        <v/>
      </c>
      <c r="D90" s="3866">
        <f>SUM(F90,H90,J90,L90,N90,P90,R90,T90)</f>
        <v/>
      </c>
      <c r="E90" s="3879">
        <f>SUM(G90,I90,K90,M90,O90,Q90,S90,U90)</f>
        <v/>
      </c>
      <c r="F90" s="1200" t="n"/>
      <c r="G90" s="1199" t="n"/>
      <c r="H90" s="1200" t="n"/>
      <c r="I90" s="1199" t="n"/>
      <c r="J90" s="1200" t="n"/>
      <c r="K90" s="1199" t="n"/>
      <c r="L90" s="1200" t="n"/>
      <c r="M90" s="1199" t="n"/>
      <c r="N90" s="1200" t="n"/>
      <c r="O90" s="1199" t="n"/>
      <c r="P90" s="1200" t="n"/>
      <c r="Q90" s="1199" t="n"/>
      <c r="R90" s="1200" t="n"/>
      <c r="S90" s="1199" t="n"/>
      <c r="T90" s="1200" t="n"/>
      <c r="U90" s="1414" t="n"/>
      <c r="V90" s="1148" t="n"/>
      <c r="W90" s="238">
        <f>$CA90</f>
        <v/>
      </c>
      <c r="X90" s="5" t="n"/>
      <c r="Y90" s="5" t="n"/>
      <c r="Z90" s="5" t="n"/>
      <c r="AA90" s="5" t="n"/>
      <c r="AB90" s="5" t="n"/>
      <c r="AC90" s="5" t="n"/>
      <c r="AD90" s="5" t="n"/>
      <c r="AE90" s="5" t="n"/>
      <c r="AF90" s="5" t="n"/>
      <c r="AG90" s="5" t="n"/>
      <c r="AH90" s="5" t="n"/>
      <c r="AI90" s="5" t="n"/>
      <c r="AJ90" s="5" t="n"/>
      <c r="AK90" s="5" t="n"/>
      <c r="AL90" s="5" t="n"/>
      <c r="AM90" s="5" t="n"/>
      <c r="AN90" s="5" t="n"/>
      <c r="AO90" s="5" t="n"/>
      <c r="AP90" s="5" t="n"/>
      <c r="AQ90" s="5" t="n"/>
      <c r="AR90" s="5" t="n"/>
      <c r="AS90" s="5" t="n"/>
      <c r="AT90" s="5" t="n"/>
      <c r="AU90" s="5" t="n"/>
      <c r="AV90" s="5" t="n"/>
      <c r="AW90" s="5" t="n"/>
      <c r="AX90" s="5" t="n"/>
      <c r="AY90" s="5" t="n"/>
      <c r="AZ90" s="5" t="n"/>
      <c r="BA90" s="5" t="n"/>
      <c r="BB90" s="5" t="n"/>
      <c r="BC90" s="5" t="n"/>
      <c r="BD90" s="5" t="n"/>
      <c r="BE90" s="5" t="n"/>
      <c r="BF90" s="5" t="n"/>
      <c r="BG90" s="5" t="n"/>
      <c r="BH90" s="5" t="n"/>
      <c r="BY90" s="101" t="n"/>
      <c r="BZ90" s="101" t="n"/>
      <c r="CA90" s="405">
        <f>IF(AND($C90&lt;&gt;0,V90=""),"* No olvide ingresar la columna Pueblos Originarios, digite CERO si no tiene.  ",IF(V90&gt;$C90,"* El número de Pueblos Originarios no puede superar el Total Ambos Sexos.  ",""))</f>
        <v/>
      </c>
      <c r="CB90" s="239" t="n"/>
      <c r="CC90" s="239" t="n"/>
      <c r="CD90" s="239" t="n"/>
      <c r="CE90" s="5" t="n"/>
      <c r="CF90" s="5" t="n"/>
      <c r="CG90" s="5" t="n"/>
      <c r="CH90" s="5" t="n"/>
      <c r="CI90" s="29">
        <f>IF(AND($C90&lt;&gt;0,V90=""),1,IF(V90&gt;$C90,1,0))</f>
        <v/>
      </c>
    </row>
    <row r="91" ht="15" customHeight="1" s="8286">
      <c r="A91" s="9610" t="n"/>
      <c r="B91" s="3829" t="inlineStr">
        <is>
          <t>Médico/a General</t>
        </is>
      </c>
      <c r="C91" s="5101">
        <f>SUM(D91:E91)</f>
        <v/>
      </c>
      <c r="D91" s="3869">
        <f>SUM(F91,H91,J91,L91,N91,P91,R91,T91)</f>
        <v/>
      </c>
      <c r="E91" s="5102">
        <f>SUM(G91,I91,K91,M91,O91,Q91,S91,U91)</f>
        <v/>
      </c>
      <c r="F91" s="3680" t="n"/>
      <c r="G91" s="3679" t="n"/>
      <c r="H91" s="3680" t="n"/>
      <c r="I91" s="3679" t="n"/>
      <c r="J91" s="3680" t="n"/>
      <c r="K91" s="3679" t="n"/>
      <c r="L91" s="3680" t="n"/>
      <c r="M91" s="3679" t="n"/>
      <c r="N91" s="3680" t="n"/>
      <c r="O91" s="3679" t="n"/>
      <c r="P91" s="3680" t="n"/>
      <c r="Q91" s="3679" t="n"/>
      <c r="R91" s="3680" t="n"/>
      <c r="S91" s="3679" t="n"/>
      <c r="T91" s="3680" t="n"/>
      <c r="U91" s="3682" t="n"/>
      <c r="V91" s="1138" t="n"/>
      <c r="W91" s="238">
        <f>$CA91</f>
        <v/>
      </c>
      <c r="X91" s="5" t="n"/>
      <c r="Y91" s="5" t="n"/>
      <c r="Z91" s="5" t="n"/>
      <c r="AA91" s="5" t="n"/>
      <c r="AB91" s="5" t="n"/>
      <c r="AC91" s="5" t="n"/>
      <c r="AD91" s="5" t="n"/>
      <c r="AE91" s="5" t="n"/>
      <c r="AF91" s="5" t="n"/>
      <c r="AG91" s="5" t="n"/>
      <c r="AH91" s="5" t="n"/>
      <c r="AI91" s="5" t="n"/>
      <c r="AJ91" s="5" t="n"/>
      <c r="AK91" s="5" t="n"/>
      <c r="AL91" s="5" t="n"/>
      <c r="AM91" s="5" t="n"/>
      <c r="AN91" s="5" t="n"/>
      <c r="AO91" s="5" t="n"/>
      <c r="AP91" s="5" t="n"/>
      <c r="AQ91" s="5" t="n"/>
      <c r="AR91" s="5" t="n"/>
      <c r="AS91" s="5" t="n"/>
      <c r="AT91" s="5" t="n"/>
      <c r="AU91" s="5" t="n"/>
      <c r="AV91" s="5" t="n"/>
      <c r="AW91" s="5" t="n"/>
      <c r="AX91" s="5" t="n"/>
      <c r="AY91" s="5" t="n"/>
      <c r="AZ91" s="5" t="n"/>
      <c r="BA91" s="5" t="n"/>
      <c r="BB91" s="5" t="n"/>
      <c r="BC91" s="5" t="n"/>
      <c r="BD91" s="5" t="n"/>
      <c r="BE91" s="5" t="n"/>
      <c r="BF91" s="5" t="n"/>
      <c r="BG91" s="5" t="n"/>
      <c r="BH91" s="5" t="n"/>
      <c r="BY91" s="101" t="n"/>
      <c r="BZ91" s="101" t="n"/>
      <c r="CA91" s="405">
        <f>IF(AND($C91&lt;&gt;0,V91=""),"* No olvide ingresar la columna Pueblos Originarios, digite CERO si no tiene.  ",IF(V91&gt;$C91,"* El número de Pueblos Originarios no puede superar el Total Ambos Sexos.  ",""))</f>
        <v/>
      </c>
      <c r="CB91" s="239" t="n"/>
      <c r="CC91" s="239" t="n"/>
      <c r="CD91" s="239" t="n"/>
      <c r="CE91" s="5" t="n"/>
      <c r="CF91" s="5" t="n"/>
      <c r="CG91" s="5" t="n"/>
      <c r="CH91" s="5" t="n"/>
      <c r="CI91" s="29">
        <f>IF(AND($C91&lt;&gt;0,V91=""),1,IF(V91&gt;$C91,1,0))</f>
        <v/>
      </c>
    </row>
    <row r="92" ht="15" customHeight="1" s="8286">
      <c r="A92" s="10724" t="inlineStr">
        <is>
          <t>Visita domiciliaria para búsqueda activa de familiares</t>
        </is>
      </c>
      <c r="B92" s="5103" t="inlineStr">
        <is>
          <t>Psicóloga/o</t>
        </is>
      </c>
      <c r="C92" s="2764">
        <f>SUM(D92:E92)</f>
        <v/>
      </c>
      <c r="D92" s="3866">
        <f>SUM(F92,H92,J92,L92,N92,P92,R92,T92)</f>
        <v/>
      </c>
      <c r="E92" s="3879">
        <f>SUM(G92,I92,K92,M92,O92,Q92,S92,U92)</f>
        <v/>
      </c>
      <c r="F92" s="248" t="n"/>
      <c r="G92" s="3329" t="n"/>
      <c r="H92" s="248" t="n"/>
      <c r="I92" s="3329" t="n"/>
      <c r="J92" s="248" t="n"/>
      <c r="K92" s="3329" t="n"/>
      <c r="L92" s="248" t="n"/>
      <c r="M92" s="3329" t="n"/>
      <c r="N92" s="248" t="n"/>
      <c r="O92" s="3329" t="n"/>
      <c r="P92" s="248" t="n"/>
      <c r="Q92" s="3329" t="n"/>
      <c r="R92" s="248" t="n"/>
      <c r="S92" s="3329" t="n"/>
      <c r="T92" s="248" t="n"/>
      <c r="U92" s="3380" t="n"/>
      <c r="V92" s="3125" t="n"/>
      <c r="W92" s="238">
        <f>$CA92</f>
        <v/>
      </c>
      <c r="X92" s="5" t="n"/>
      <c r="Y92" s="5" t="n"/>
      <c r="Z92" s="5" t="n"/>
      <c r="AA92" s="5" t="n"/>
      <c r="AB92" s="5" t="n"/>
      <c r="AC92" s="5" t="n"/>
      <c r="AD92" s="5" t="n"/>
      <c r="AE92" s="5" t="n"/>
      <c r="AF92" s="5" t="n"/>
      <c r="AG92" s="5" t="n"/>
      <c r="AH92" s="5" t="n"/>
      <c r="AI92" s="5" t="n"/>
      <c r="AJ92" s="5" t="n"/>
      <c r="AK92" s="5" t="n"/>
      <c r="AL92" s="5" t="n"/>
      <c r="AM92" s="5" t="n"/>
      <c r="AN92" s="5" t="n"/>
      <c r="AO92" s="5" t="n"/>
      <c r="AP92" s="5" t="n"/>
      <c r="AQ92" s="5" t="n"/>
      <c r="AR92" s="5" t="n"/>
      <c r="AS92" s="5" t="n"/>
      <c r="AT92" s="5" t="n"/>
      <c r="AU92" s="5" t="n"/>
      <c r="AV92" s="5" t="n"/>
      <c r="AW92" s="5" t="n"/>
      <c r="AX92" s="5" t="n"/>
      <c r="AY92" s="5" t="n"/>
      <c r="AZ92" s="5" t="n"/>
      <c r="BA92" s="5" t="n"/>
      <c r="BB92" s="5" t="n"/>
      <c r="BC92" s="5" t="n"/>
      <c r="BD92" s="5" t="n"/>
      <c r="BE92" s="5" t="n"/>
      <c r="BF92" s="5" t="n"/>
      <c r="BG92" s="5" t="n"/>
      <c r="BH92" s="5" t="n"/>
      <c r="BY92" s="101" t="n"/>
      <c r="BZ92" s="101" t="n"/>
      <c r="CA92" s="405">
        <f>IF(AND($C92&lt;&gt;0,V92=""),"* No olvide ingresar la columna Pueblos Originarios, digite CERO si no tiene.  ",IF(V92&gt;$C92,"* El número de Pueblos Originarios no puede superar el Total Ambos Sexos.  ",""))</f>
        <v/>
      </c>
      <c r="CB92" s="239" t="n"/>
      <c r="CC92" s="239" t="n"/>
      <c r="CD92" s="239" t="n"/>
      <c r="CE92" s="5" t="n"/>
      <c r="CF92" s="5" t="n"/>
      <c r="CG92" s="5" t="n"/>
      <c r="CH92" s="5" t="n"/>
      <c r="CI92" s="29">
        <f>IF(AND($C92&lt;&gt;0,V92=""),1,IF(V92&gt;$C92,1,0))</f>
        <v/>
      </c>
    </row>
    <row r="93" ht="15" customHeight="1" s="8286">
      <c r="A93" s="9614" t="n"/>
      <c r="B93" s="2316" t="inlineStr">
        <is>
          <t>Trabajador/a Social</t>
        </is>
      </c>
      <c r="C93" s="695">
        <f>SUM(D93:E93)</f>
        <v/>
      </c>
      <c r="D93" s="3866">
        <f>SUM(F93,H93,J93,L93,N93,P93,R93,T93)</f>
        <v/>
      </c>
      <c r="E93" s="3879">
        <f>SUM(G93,I93,K93,M93,O93,Q93,S93,U93)</f>
        <v/>
      </c>
      <c r="F93" s="1200" t="n"/>
      <c r="G93" s="1199" t="n"/>
      <c r="H93" s="1200" t="n"/>
      <c r="I93" s="1199" t="n"/>
      <c r="J93" s="1200" t="n"/>
      <c r="K93" s="1199" t="n"/>
      <c r="L93" s="1200" t="n"/>
      <c r="M93" s="1199" t="n"/>
      <c r="N93" s="1200" t="n"/>
      <c r="O93" s="1199" t="n"/>
      <c r="P93" s="1200" t="n"/>
      <c r="Q93" s="1199" t="n"/>
      <c r="R93" s="1200" t="n"/>
      <c r="S93" s="1199" t="n"/>
      <c r="T93" s="1200" t="n"/>
      <c r="U93" s="1414" t="n"/>
      <c r="V93" s="1148" t="n"/>
      <c r="W93" s="238">
        <f>$CA93</f>
        <v/>
      </c>
      <c r="X93" s="5" t="n"/>
      <c r="Y93" s="5" t="n"/>
      <c r="Z93" s="5" t="n"/>
      <c r="AA93" s="5" t="n"/>
      <c r="AB93" s="5" t="n"/>
      <c r="AC93" s="5" t="n"/>
      <c r="AD93" s="5" t="n"/>
      <c r="AE93" s="5" t="n"/>
      <c r="AF93" s="5" t="n"/>
      <c r="AG93" s="5" t="n"/>
      <c r="AH93" s="5" t="n"/>
      <c r="AI93" s="5" t="n"/>
      <c r="AJ93" s="5" t="n"/>
      <c r="AK93" s="5" t="n"/>
      <c r="AL93" s="5" t="n"/>
      <c r="AM93" s="5" t="n"/>
      <c r="AN93" s="5" t="n"/>
      <c r="AO93" s="5" t="n"/>
      <c r="AP93" s="5" t="n"/>
      <c r="AQ93" s="5" t="n"/>
      <c r="AR93" s="5" t="n"/>
      <c r="AS93" s="5" t="n"/>
      <c r="AT93" s="5" t="n"/>
      <c r="AU93" s="5" t="n"/>
      <c r="AV93" s="5" t="n"/>
      <c r="AW93" s="5" t="n"/>
      <c r="AX93" s="5" t="n"/>
      <c r="AY93" s="5" t="n"/>
      <c r="AZ93" s="5" t="n"/>
      <c r="BA93" s="5" t="n"/>
      <c r="BB93" s="5" t="n"/>
      <c r="BC93" s="5" t="n"/>
      <c r="BD93" s="5" t="n"/>
      <c r="BE93" s="5" t="n"/>
      <c r="BF93" s="5" t="n"/>
      <c r="BG93" s="5" t="n"/>
      <c r="BH93" s="5" t="n"/>
      <c r="BY93" s="101" t="n"/>
      <c r="BZ93" s="101" t="n"/>
      <c r="CA93" s="405">
        <f>IF(AND($C93&lt;&gt;0,V93=""),"* No olvide ingresar la columna Pueblos Originarios, digite CERO si no tiene.  ",IF(V93&gt;$C93,"* El número de Pueblos Originarios no puede superar el Total Ambos Sexos.  ",""))</f>
        <v/>
      </c>
      <c r="CB93" s="239" t="n"/>
      <c r="CC93" s="239" t="n"/>
      <c r="CD93" s="239" t="n"/>
      <c r="CE93" s="5" t="n"/>
      <c r="CF93" s="5" t="n"/>
      <c r="CG93" s="5" t="n"/>
      <c r="CH93" s="5" t="n"/>
      <c r="CI93" s="29">
        <f>IF(AND($C93&lt;&gt;0,V93=""),1,IF(V93&gt;$C93,1,0))</f>
        <v/>
      </c>
    </row>
    <row r="94" ht="15" customHeight="1" s="8286">
      <c r="A94" s="9610" t="n"/>
      <c r="B94" s="5100" t="inlineStr">
        <is>
          <t>Médico/a General</t>
        </is>
      </c>
      <c r="C94" s="5101">
        <f>SUM(D94:E94)</f>
        <v/>
      </c>
      <c r="D94" s="3869">
        <f>SUM(F94,H94,J94,L94,N94,P94,R94,T94)</f>
        <v/>
      </c>
      <c r="E94" s="5102">
        <f>SUM(G94,I94,K94,M94,O94,Q94,S94,U94)</f>
        <v/>
      </c>
      <c r="F94" s="1200" t="n"/>
      <c r="G94" s="1199" t="n"/>
      <c r="H94" s="1200" t="n"/>
      <c r="I94" s="3679" t="n"/>
      <c r="J94" s="3680" t="n"/>
      <c r="K94" s="3679" t="n"/>
      <c r="L94" s="3680" t="n"/>
      <c r="M94" s="3679" t="n"/>
      <c r="N94" s="3680" t="n"/>
      <c r="O94" s="3679" t="n"/>
      <c r="P94" s="3680" t="n"/>
      <c r="Q94" s="3679" t="n"/>
      <c r="R94" s="3680" t="n"/>
      <c r="S94" s="3679" t="n"/>
      <c r="T94" s="3680" t="n"/>
      <c r="U94" s="3682" t="n"/>
      <c r="V94" s="1138" t="n"/>
      <c r="W94" s="238">
        <f>$CA94</f>
        <v/>
      </c>
      <c r="X94" s="5" t="n"/>
      <c r="Y94" s="5" t="n"/>
      <c r="Z94" s="5" t="n"/>
      <c r="AA94" s="5" t="n"/>
      <c r="AB94" s="5" t="n"/>
      <c r="AC94" s="5" t="n"/>
      <c r="AD94" s="5" t="n"/>
      <c r="AE94" s="5" t="n"/>
      <c r="AF94" s="5" t="n"/>
      <c r="AG94" s="5" t="n"/>
      <c r="AH94" s="5" t="n"/>
      <c r="AI94" s="5" t="n"/>
      <c r="AJ94" s="5" t="n"/>
      <c r="AK94" s="5" t="n"/>
      <c r="AL94" s="5" t="n"/>
      <c r="AM94" s="5" t="n"/>
      <c r="AN94" s="5" t="n"/>
      <c r="AO94" s="5" t="n"/>
      <c r="AP94" s="5" t="n"/>
      <c r="AQ94" s="5" t="n"/>
      <c r="AR94" s="5" t="n"/>
      <c r="AS94" s="5" t="n"/>
      <c r="AT94" s="5" t="n"/>
      <c r="AU94" s="5" t="n"/>
      <c r="AV94" s="5" t="n"/>
      <c r="AW94" s="5" t="n"/>
      <c r="AX94" s="5" t="n"/>
      <c r="AY94" s="5" t="n"/>
      <c r="AZ94" s="5" t="n"/>
      <c r="BA94" s="5" t="n"/>
      <c r="BB94" s="5" t="n"/>
      <c r="BC94" s="5" t="n"/>
      <c r="BD94" s="5" t="n"/>
      <c r="BE94" s="5" t="n"/>
      <c r="BF94" s="5" t="n"/>
      <c r="BG94" s="5" t="n"/>
      <c r="BH94" s="5" t="n"/>
      <c r="BY94" s="101" t="n"/>
      <c r="BZ94" s="101" t="n"/>
      <c r="CA94" s="405">
        <f>IF(AND($C94&lt;&gt;0,V94=""),"* No olvide ingresar la columna Pueblos Originarios, digite CERO si no tiene.  ",IF(V94&gt;$C94,"* El número de Pueblos Originarios no puede superar el Total Ambos Sexos.  ",""))</f>
        <v/>
      </c>
      <c r="CB94" s="239" t="n"/>
      <c r="CC94" s="239" t="n"/>
      <c r="CD94" s="239" t="n"/>
      <c r="CE94" s="5" t="n"/>
      <c r="CF94" s="5" t="n"/>
      <c r="CG94" s="5" t="n"/>
      <c r="CH94" s="5" t="n"/>
      <c r="CI94" s="29">
        <f>IF(AND($C94&lt;&gt;0,V94=""),1,IF(V94&gt;$C94,1,0))</f>
        <v/>
      </c>
    </row>
    <row r="95" ht="17.1" customHeight="1" s="8286">
      <c r="A95" s="9546" t="inlineStr">
        <is>
          <t>SECCIÓN F: OTRAS ACTIVIDADES SEGÚN PROFESIONAL QUE LAS REALIZA</t>
        </is>
      </c>
      <c r="B95" s="9617" t="n"/>
      <c r="C95" s="9617" t="n"/>
      <c r="D95" s="9617" t="n"/>
      <c r="E95" s="9617" t="n"/>
      <c r="F95" s="9617" t="n"/>
      <c r="G95" s="9617" t="n"/>
      <c r="H95" s="9617" t="n"/>
      <c r="I95" s="614" t="n"/>
      <c r="J95" s="614" t="n"/>
      <c r="K95" s="614" t="n"/>
      <c r="L95" s="614" t="n"/>
      <c r="M95" s="614" t="n"/>
      <c r="N95" s="614" t="n"/>
      <c r="O95" s="614" t="n"/>
      <c r="P95" s="614" t="n"/>
      <c r="Q95" s="614" t="n"/>
      <c r="R95" s="614" t="n"/>
      <c r="S95" s="132" t="n"/>
      <c r="T95" s="132" t="n"/>
      <c r="U95" s="132" t="n"/>
      <c r="V95" s="132" t="n"/>
      <c r="W95" s="614" t="n"/>
      <c r="X95" s="614" t="n"/>
      <c r="Y95" s="614" t="n"/>
      <c r="Z95" s="614" t="n"/>
      <c r="AA95" s="614" t="n"/>
      <c r="AB95" s="614" t="n"/>
      <c r="AC95" s="614" t="n"/>
      <c r="AD95" s="614" t="n"/>
      <c r="AE95" s="614" t="n"/>
      <c r="AF95" s="614" t="n"/>
      <c r="AG95" s="614" t="n"/>
      <c r="AH95" s="614" t="n"/>
      <c r="AI95" s="614" t="n"/>
      <c r="AJ95" s="614" t="n"/>
      <c r="AK95" s="614" t="n"/>
      <c r="AL95" s="614" t="n"/>
      <c r="AM95" s="614" t="n"/>
      <c r="AO95" s="614" t="n"/>
      <c r="AP95" s="614" t="n"/>
      <c r="AQ95" s="614" t="n"/>
      <c r="AR95" s="614" t="n"/>
      <c r="AS95" s="614" t="n"/>
      <c r="AT95" s="614" t="n"/>
      <c r="AU95" s="614" t="n"/>
      <c r="AV95" s="614" t="n"/>
      <c r="AW95" s="614" t="n"/>
      <c r="AX95" s="614" t="n"/>
      <c r="AY95" s="614" t="n"/>
      <c r="AZ95" s="614" t="n"/>
      <c r="BA95" s="614" t="n"/>
      <c r="BB95" s="614" t="n"/>
      <c r="BC95" s="614" t="n"/>
      <c r="BD95" s="614" t="n"/>
      <c r="BE95" s="614" t="n"/>
      <c r="BF95" s="614" t="n"/>
      <c r="BG95" s="614" t="n"/>
      <c r="BH95" s="614" t="n"/>
      <c r="BI95" s="614" t="n"/>
      <c r="BJ95" s="614" t="n"/>
      <c r="BK95" s="614" t="n"/>
      <c r="BL95" s="614" t="n"/>
      <c r="BM95" s="614" t="n"/>
      <c r="BN95" s="614" t="n"/>
      <c r="BO95" s="614" t="n"/>
      <c r="BP95" s="614" t="n"/>
      <c r="BQ95" s="614" t="n"/>
      <c r="BR95" s="614" t="n"/>
      <c r="BS95" s="614" t="n"/>
      <c r="BT95" s="614" t="n"/>
      <c r="BU95" s="614" t="n"/>
      <c r="BV95" s="614" t="n"/>
      <c r="BW95" s="614" t="n"/>
      <c r="BX95" s="614" t="n"/>
      <c r="BY95" s="614" t="n"/>
      <c r="BZ95" s="614" t="n"/>
      <c r="CA95" s="614" t="n"/>
      <c r="CB95" s="614" t="n"/>
      <c r="CC95" s="614" t="n"/>
      <c r="CD95" s="614" t="n"/>
      <c r="CE95" s="614" t="n"/>
      <c r="CF95" s="614" t="n"/>
      <c r="CG95" s="614" t="n"/>
      <c r="CH95" s="614" t="n"/>
      <c r="CI95" s="614" t="n"/>
    </row>
    <row r="96" ht="25.5" customHeight="1" s="8286">
      <c r="A96" s="615" t="inlineStr">
        <is>
          <t xml:space="preserve">TIPO ACTIVIDAD </t>
        </is>
      </c>
      <c r="B96" s="9361" t="inlineStr">
        <is>
          <t>TOTAL ACTIVIDADES</t>
        </is>
      </c>
      <c r="C96" s="5104" t="inlineStr">
        <is>
          <t>Médico/a General</t>
        </is>
      </c>
      <c r="D96" s="4470" t="inlineStr">
        <is>
          <t>Psiquiatra</t>
        </is>
      </c>
      <c r="E96" s="5082" t="inlineStr">
        <is>
          <t>Psicóloga/o</t>
        </is>
      </c>
      <c r="F96" s="5083" t="inlineStr">
        <is>
          <t>Trabajador/a Social</t>
        </is>
      </c>
      <c r="G96" s="613" t="n"/>
      <c r="H96" s="614" t="n"/>
      <c r="I96" s="614" t="n"/>
      <c r="J96" s="614" t="n"/>
      <c r="K96" s="614" t="n"/>
      <c r="L96" s="614" t="n"/>
      <c r="M96" s="614" t="n"/>
      <c r="N96" s="614" t="n"/>
      <c r="O96" s="614" t="n"/>
      <c r="P96" s="614" t="n"/>
      <c r="Q96" s="614" t="n"/>
      <c r="R96" s="614" t="n"/>
      <c r="S96" s="614" t="n"/>
      <c r="T96" s="614" t="n"/>
      <c r="U96" s="614" t="n"/>
      <c r="V96" s="614" t="n"/>
      <c r="W96" s="614" t="n"/>
      <c r="X96" s="614" t="n"/>
      <c r="Y96" s="614" t="n"/>
      <c r="Z96" s="614" t="n"/>
      <c r="AA96" s="614" t="n"/>
      <c r="AB96" s="614" t="n"/>
      <c r="AC96" s="614" t="n"/>
      <c r="AD96" s="614" t="n"/>
      <c r="AE96" s="614" t="n"/>
      <c r="AF96" s="614" t="n"/>
      <c r="AG96" s="614" t="n"/>
      <c r="AH96" s="614" t="n"/>
      <c r="AI96" s="614" t="n"/>
      <c r="AJ96" s="614" t="n"/>
      <c r="AK96" s="614" t="n"/>
      <c r="AL96" s="614" t="n"/>
      <c r="AN96" s="614" t="n"/>
      <c r="AO96" s="614" t="n"/>
      <c r="AP96" s="614" t="n"/>
      <c r="AQ96" s="614" t="n"/>
      <c r="AR96" s="614" t="n"/>
      <c r="AS96" s="614" t="n"/>
      <c r="AT96" s="614" t="n"/>
      <c r="AU96" s="614" t="n"/>
      <c r="AV96" s="614" t="n"/>
      <c r="AW96" s="614" t="n"/>
      <c r="AX96" s="614" t="n"/>
      <c r="AY96" s="614" t="n"/>
      <c r="AZ96" s="614" t="n"/>
      <c r="BA96" s="614" t="n"/>
      <c r="BB96" s="614" t="n"/>
      <c r="BC96" s="614" t="n"/>
      <c r="BD96" s="614" t="n"/>
      <c r="BE96" s="614" t="n"/>
      <c r="BF96" s="614" t="n"/>
      <c r="BG96" s="614" t="n"/>
      <c r="BH96" s="614" t="n"/>
      <c r="BI96" s="614" t="n"/>
      <c r="BJ96" s="614" t="n"/>
      <c r="BK96" s="614" t="n"/>
      <c r="BL96" s="614" t="n"/>
      <c r="BM96" s="614" t="n"/>
      <c r="BN96" s="614" t="n"/>
      <c r="BO96" s="614" t="n"/>
      <c r="BP96" s="614" t="n"/>
      <c r="BQ96" s="614" t="n"/>
      <c r="BR96" s="614" t="n"/>
      <c r="BS96" s="614" t="n"/>
      <c r="BT96" s="614" t="n"/>
      <c r="BU96" s="614" t="n"/>
      <c r="BV96" s="614" t="n"/>
      <c r="BW96" s="614" t="n"/>
      <c r="BX96" s="614" t="n"/>
      <c r="BY96" s="614" t="n"/>
      <c r="BZ96" s="614" t="n"/>
      <c r="CA96" s="614" t="n"/>
      <c r="CB96" s="614" t="n"/>
      <c r="CC96" s="614" t="n"/>
      <c r="CD96" s="614" t="n"/>
      <c r="CE96" s="614" t="n"/>
      <c r="CF96" s="614" t="n"/>
      <c r="CG96" s="614" t="n"/>
      <c r="CH96" s="614" t="n"/>
      <c r="CI96" s="614" t="n"/>
    </row>
    <row r="97" ht="15" customHeight="1" s="8286">
      <c r="A97" s="5105" t="inlineStr">
        <is>
          <t>Testificación en calidad de experto</t>
        </is>
      </c>
      <c r="B97" s="5106">
        <f>SUM(C97:F97)</f>
        <v/>
      </c>
      <c r="C97" s="5107" t="n"/>
      <c r="D97" s="5108" t="n"/>
      <c r="E97" s="822" t="n"/>
      <c r="F97" s="5109" t="n"/>
      <c r="M97" s="614" t="n"/>
      <c r="N97" s="614" t="n"/>
      <c r="O97" s="614" t="n"/>
      <c r="P97" s="614" t="n"/>
      <c r="Q97" s="614" t="n"/>
      <c r="R97" s="614" t="n"/>
      <c r="S97" s="614" t="n"/>
      <c r="T97" s="614" t="n"/>
      <c r="U97" s="614" t="n"/>
      <c r="V97" s="614" t="n"/>
      <c r="W97" s="614" t="n"/>
      <c r="X97" s="614" t="n"/>
      <c r="Y97" s="614" t="n"/>
      <c r="Z97" s="614" t="n"/>
      <c r="AA97" s="614" t="n"/>
      <c r="AB97" s="614" t="n"/>
      <c r="AC97" s="614" t="n"/>
      <c r="AD97" s="614" t="n"/>
      <c r="AE97" s="614" t="n"/>
      <c r="AF97" s="614" t="n"/>
      <c r="AG97" s="614" t="n"/>
      <c r="AH97" s="614" t="n"/>
      <c r="AI97" s="614" t="n"/>
      <c r="AJ97" s="614" t="n"/>
      <c r="AK97" s="614" t="n"/>
      <c r="AL97" s="614" t="n"/>
      <c r="AN97" s="614" t="n"/>
      <c r="AO97" s="614" t="n"/>
      <c r="AP97" s="614" t="n"/>
      <c r="AQ97" s="614" t="n"/>
      <c r="AR97" s="614" t="n"/>
      <c r="AS97" s="614" t="n"/>
      <c r="AT97" s="614" t="n"/>
      <c r="AU97" s="614" t="n"/>
      <c r="AV97" s="614" t="n"/>
      <c r="AW97" s="614" t="n"/>
      <c r="AX97" s="614" t="n"/>
      <c r="AY97" s="614" t="n"/>
      <c r="AZ97" s="614" t="n"/>
      <c r="BA97" s="614" t="n"/>
      <c r="BB97" s="614" t="n"/>
      <c r="BC97" s="614" t="n"/>
      <c r="BD97" s="614" t="n"/>
      <c r="BE97" s="614" t="n"/>
      <c r="BF97" s="614" t="n"/>
      <c r="BG97" s="614" t="n"/>
      <c r="BH97" s="614" t="n"/>
      <c r="BI97" s="614" t="n"/>
      <c r="BJ97" s="614" t="n"/>
      <c r="BK97" s="614" t="n"/>
      <c r="BL97" s="614" t="n"/>
      <c r="BM97" s="614" t="n"/>
      <c r="BN97" s="614" t="n"/>
      <c r="BO97" s="614" t="n"/>
      <c r="BP97" s="614" t="n"/>
      <c r="BQ97" s="614" t="n"/>
      <c r="BR97" s="614" t="n"/>
      <c r="BS97" s="614" t="n"/>
      <c r="BT97" s="614" t="n"/>
      <c r="BU97" s="614" t="n"/>
      <c r="BV97" s="614" t="n"/>
      <c r="BW97" s="614" t="n"/>
      <c r="BX97" s="614" t="n"/>
      <c r="BY97" s="614" t="n"/>
      <c r="BZ97" s="614" t="n"/>
      <c r="CA97" s="614" t="n"/>
      <c r="CB97" s="614" t="n"/>
      <c r="CC97" s="614" t="n"/>
      <c r="CD97" s="614" t="n"/>
      <c r="CE97" s="614" t="n"/>
      <c r="CF97" s="614" t="n"/>
      <c r="CG97" s="614" t="n"/>
      <c r="CH97" s="614" t="n"/>
      <c r="CI97" s="614" t="n"/>
    </row>
    <row r="98" ht="15" customHeight="1" s="8286">
      <c r="A98" s="4660" t="inlineStr">
        <is>
          <t>Informes clínicos de daño</t>
        </is>
      </c>
      <c r="B98" s="5110">
        <f>SUM(C98:F98)</f>
        <v/>
      </c>
      <c r="C98" s="5107" t="n"/>
      <c r="D98" s="5108" t="n"/>
      <c r="E98" s="5108" t="n"/>
      <c r="F98" s="5111" t="n"/>
      <c r="M98" s="614" t="n"/>
      <c r="N98" s="614" t="n"/>
      <c r="O98" s="614" t="n"/>
      <c r="P98" s="614" t="n"/>
      <c r="Q98" s="614" t="n"/>
      <c r="R98" s="614" t="n"/>
      <c r="S98" s="614" t="n"/>
      <c r="T98" s="614" t="n"/>
      <c r="U98" s="614" t="n"/>
      <c r="V98" s="614" t="n"/>
      <c r="W98" s="614" t="n"/>
      <c r="X98" s="614" t="n"/>
      <c r="Y98" s="614" t="n"/>
      <c r="Z98" s="614" t="n"/>
      <c r="AA98" s="614" t="n"/>
      <c r="AB98" s="614" t="n"/>
      <c r="AC98" s="614" t="n"/>
      <c r="AD98" s="614" t="n"/>
      <c r="AE98" s="614" t="n"/>
      <c r="AF98" s="614" t="n"/>
      <c r="AG98" s="614" t="n"/>
      <c r="AH98" s="614" t="n"/>
      <c r="AI98" s="614" t="n"/>
      <c r="AJ98" s="614" t="n"/>
      <c r="AK98" s="614" t="n"/>
      <c r="AL98" s="614" t="n"/>
      <c r="AN98" s="614" t="n"/>
      <c r="AO98" s="614" t="n"/>
      <c r="AP98" s="614" t="n"/>
      <c r="AQ98" s="614" t="n"/>
      <c r="AR98" s="614" t="n"/>
      <c r="AS98" s="614" t="n"/>
      <c r="AT98" s="614" t="n"/>
      <c r="AU98" s="614" t="n"/>
      <c r="AV98" s="614" t="n"/>
      <c r="AW98" s="614" t="n"/>
      <c r="AX98" s="614" t="n"/>
      <c r="AY98" s="614" t="n"/>
      <c r="AZ98" s="614" t="n"/>
      <c r="BA98" s="614" t="n"/>
      <c r="BB98" s="614" t="n"/>
      <c r="BC98" s="614" t="n"/>
      <c r="BD98" s="614" t="n"/>
      <c r="BE98" s="614" t="n"/>
      <c r="BF98" s="614" t="n"/>
      <c r="BG98" s="614" t="n"/>
      <c r="BH98" s="614" t="n"/>
      <c r="BI98" s="614" t="n"/>
      <c r="BJ98" s="614" t="n"/>
      <c r="BK98" s="614" t="n"/>
      <c r="BL98" s="614" t="n"/>
      <c r="BM98" s="614" t="n"/>
      <c r="BN98" s="614" t="n"/>
      <c r="BO98" s="614" t="n"/>
      <c r="BP98" s="614" t="n"/>
      <c r="BQ98" s="614" t="n"/>
      <c r="BR98" s="614" t="n"/>
      <c r="BS98" s="614" t="n"/>
      <c r="BT98" s="614" t="n"/>
      <c r="BU98" s="614" t="n"/>
      <c r="BV98" s="614" t="n"/>
      <c r="BW98" s="614" t="n"/>
      <c r="BX98" s="614" t="n"/>
      <c r="BY98" s="614" t="n"/>
      <c r="BZ98" s="614" t="n"/>
      <c r="CA98" s="614" t="n"/>
      <c r="CB98" s="614" t="n"/>
      <c r="CC98" s="614" t="n"/>
      <c r="CD98" s="614" t="n"/>
      <c r="CE98" s="614" t="n"/>
      <c r="CF98" s="614" t="n"/>
      <c r="CG98" s="614" t="n"/>
      <c r="CH98" s="614" t="n"/>
      <c r="CI98" s="614" t="n"/>
    </row>
    <row r="99" ht="15" customHeight="1" s="8286">
      <c r="A99" s="5112" t="inlineStr">
        <is>
          <t>Consultoría en salud</t>
        </is>
      </c>
      <c r="B99" s="5113">
        <f>SUM(C99:F99)</f>
        <v/>
      </c>
      <c r="C99" s="5114" t="n"/>
      <c r="D99" s="5115" t="n"/>
      <c r="E99" s="5115" t="n"/>
      <c r="F99" s="5116" t="n"/>
      <c r="M99" s="614" t="n"/>
      <c r="N99" s="614" t="n"/>
      <c r="O99" s="614" t="n"/>
      <c r="P99" s="614" t="n"/>
      <c r="Q99" s="614" t="n"/>
      <c r="R99" s="614" t="n"/>
      <c r="S99" s="614" t="n"/>
      <c r="T99" s="614" t="n"/>
      <c r="U99" s="614" t="n"/>
      <c r="V99" s="614" t="n"/>
      <c r="W99" s="614" t="n"/>
      <c r="X99" s="614" t="n"/>
      <c r="Y99" s="614" t="n"/>
      <c r="Z99" s="614" t="n"/>
      <c r="AA99" s="614" t="n"/>
      <c r="AB99" s="614" t="n"/>
      <c r="AC99" s="614" t="n"/>
      <c r="AD99" s="614" t="n"/>
      <c r="AE99" s="614" t="n"/>
      <c r="AF99" s="614" t="n"/>
      <c r="AG99" s="614" t="n"/>
      <c r="AH99" s="614" t="n"/>
      <c r="AI99" s="614" t="n"/>
      <c r="AJ99" s="614" t="n"/>
      <c r="AK99" s="614" t="n"/>
      <c r="AM99" s="614" t="n"/>
      <c r="AN99" s="614" t="n"/>
      <c r="AO99" s="614" t="n"/>
      <c r="AP99" s="614" t="n"/>
      <c r="AQ99" s="614" t="n"/>
      <c r="AR99" s="614" t="n"/>
      <c r="AS99" s="614" t="n"/>
      <c r="AT99" s="614" t="n"/>
      <c r="AU99" s="614" t="n"/>
      <c r="AV99" s="614" t="n"/>
      <c r="AW99" s="614" t="n"/>
      <c r="AX99" s="614" t="n"/>
      <c r="AY99" s="614" t="n"/>
      <c r="AZ99" s="614" t="n"/>
      <c r="BA99" s="614" t="n"/>
      <c r="BB99" s="614" t="n"/>
      <c r="BC99" s="614" t="n"/>
      <c r="BD99" s="614" t="n"/>
      <c r="BE99" s="614" t="n"/>
      <c r="BF99" s="614" t="n"/>
      <c r="BG99" s="614" t="n"/>
      <c r="BH99" s="614" t="n"/>
      <c r="BI99" s="614" t="n"/>
      <c r="BJ99" s="614" t="n"/>
      <c r="BK99" s="614" t="n"/>
      <c r="BL99" s="614" t="n"/>
      <c r="BM99" s="614" t="n"/>
      <c r="BN99" s="614" t="n"/>
      <c r="BO99" s="614" t="n"/>
      <c r="BP99" s="614" t="n"/>
      <c r="BQ99" s="614" t="n"/>
      <c r="BR99" s="614" t="n"/>
      <c r="BS99" s="614" t="n"/>
      <c r="BT99" s="614" t="n"/>
      <c r="BU99" s="614" t="n"/>
      <c r="BV99" s="614" t="n"/>
      <c r="BW99" s="614" t="n"/>
      <c r="BX99" s="614" t="n"/>
      <c r="BY99" s="614" t="n"/>
      <c r="BZ99" s="614" t="n"/>
      <c r="CA99" s="614" t="n"/>
      <c r="CB99" s="614" t="n"/>
      <c r="CC99" s="614" t="n"/>
      <c r="CD99" s="614" t="n"/>
      <c r="CE99" s="329" t="n"/>
      <c r="CF99" s="329" t="n"/>
      <c r="CG99" s="329" t="n"/>
      <c r="CH99" s="329" t="n"/>
      <c r="CI99" s="329" t="n"/>
    </row>
    <row r="100" ht="17.1" customHeight="1" s="8286">
      <c r="A100" s="10725" t="inlineStr">
        <is>
          <t>SECCIÓN G: ACTIVIDADES DE PROMOCIÓN Y PREVENCIÓN DE SALUD</t>
        </is>
      </c>
      <c r="B100" s="9591" t="n"/>
      <c r="C100" s="9591" t="n"/>
      <c r="D100" s="9591" t="n"/>
      <c r="E100" s="606" t="n"/>
      <c r="F100" s="606" t="n"/>
      <c r="G100" s="606" t="n"/>
      <c r="H100" s="606" t="n"/>
      <c r="I100" s="606" t="n"/>
      <c r="J100" s="606" t="n"/>
      <c r="K100" s="606" t="n"/>
      <c r="L100" s="606" t="n"/>
      <c r="M100" s="606" t="n"/>
      <c r="N100" s="606" t="n"/>
      <c r="O100" s="606" t="n"/>
      <c r="P100" s="606" t="n"/>
      <c r="Q100" s="606" t="n"/>
      <c r="R100" s="606" t="n"/>
      <c r="S100" s="606" t="n"/>
      <c r="T100" s="606" t="n"/>
      <c r="U100" s="606" t="n"/>
      <c r="V100" s="606" t="n"/>
      <c r="W100" s="606" t="n"/>
      <c r="X100" s="606" t="n"/>
      <c r="Y100" s="606" t="n"/>
      <c r="Z100" s="606" t="n"/>
      <c r="AA100" s="606" t="n"/>
      <c r="AB100" s="606" t="n"/>
      <c r="AC100" s="606" t="n"/>
      <c r="AD100" s="606" t="n"/>
      <c r="AE100" s="606" t="n"/>
      <c r="AF100" s="606" t="n"/>
      <c r="AG100" s="606" t="n"/>
      <c r="AH100" s="606" t="n"/>
      <c r="AI100" s="606" t="n"/>
      <c r="AJ100" s="606" t="n"/>
      <c r="AK100" s="606" t="n"/>
      <c r="AL100" s="606" t="n"/>
      <c r="AM100" s="606" t="n"/>
      <c r="AV100" s="329" t="n"/>
      <c r="AW100" s="329" t="n"/>
      <c r="AX100" s="329" t="n"/>
      <c r="AY100" s="329" t="n"/>
      <c r="BA100" s="329" t="n"/>
      <c r="BB100" s="329" t="n"/>
      <c r="BC100" s="329" t="n"/>
      <c r="BD100" s="329" t="n"/>
      <c r="BE100" s="329" t="n"/>
      <c r="BF100" s="329" t="n"/>
      <c r="BG100" s="329" t="n"/>
      <c r="BH100" s="329" t="n"/>
      <c r="BI100" s="329" t="n"/>
      <c r="BJ100" s="329" t="n"/>
      <c r="BK100" s="329" t="n"/>
      <c r="BL100" s="329" t="n"/>
      <c r="BM100" s="329" t="n"/>
      <c r="BN100" s="329" t="n"/>
      <c r="BO100" s="329" t="n"/>
      <c r="BP100" s="329" t="n"/>
      <c r="BQ100" s="329" t="n"/>
      <c r="BR100" s="329" t="n"/>
      <c r="BS100" s="329" t="n"/>
      <c r="BT100" s="329" t="n"/>
      <c r="BU100" s="329" t="n"/>
      <c r="BV100" s="329" t="n"/>
      <c r="BW100" s="329" t="n"/>
      <c r="BX100" s="329" t="n"/>
      <c r="BY100" s="329" t="n"/>
      <c r="BZ100" s="329" t="n"/>
      <c r="CA100" s="329" t="n"/>
      <c r="CE100" s="329" t="n"/>
      <c r="CF100" s="329" t="n"/>
      <c r="CG100" s="329" t="n"/>
      <c r="CH100" s="329" t="n"/>
      <c r="CI100" s="329" t="n"/>
    </row>
    <row r="101" ht="21" customHeight="1" s="8286">
      <c r="A101" s="10273" t="inlineStr">
        <is>
          <t>ACTIVIDADES</t>
        </is>
      </c>
      <c r="B101" s="10726" t="inlineStr">
        <is>
          <t>Nº Sesiones</t>
        </is>
      </c>
      <c r="C101" s="10726" t="inlineStr">
        <is>
          <t>Nº Participantes</t>
        </is>
      </c>
      <c r="D101" s="10396" t="inlineStr">
        <is>
          <t>RANGO ETARIO Y SEXO</t>
        </is>
      </c>
      <c r="E101" s="9584" t="n"/>
      <c r="F101" s="9584" t="n"/>
      <c r="G101" s="9584" t="n"/>
      <c r="H101" s="9584" t="n"/>
      <c r="I101" s="9584" t="n"/>
      <c r="J101" s="9584" t="n"/>
      <c r="K101" s="9584" t="n"/>
      <c r="L101" s="9584" t="n"/>
      <c r="M101" s="9584" t="n"/>
      <c r="N101" s="9584" t="n"/>
      <c r="O101" s="9584" t="n"/>
      <c r="P101" s="9584" t="n"/>
      <c r="Q101" s="9584" t="n"/>
      <c r="R101" s="9584" t="n"/>
      <c r="S101" s="9595" t="n"/>
      <c r="T101" s="10727" t="inlineStr">
        <is>
          <t>Calidad de Acreditación de los participantes</t>
        </is>
      </c>
      <c r="U101" s="9754" t="n"/>
      <c r="V101" s="9754" t="n"/>
      <c r="W101" s="9754" t="n"/>
      <c r="X101" s="10728" t="n"/>
      <c r="Y101" s="7660" t="inlineStr">
        <is>
          <t>Pueblos Originarios</t>
        </is>
      </c>
      <c r="Z101" s="101" t="n"/>
      <c r="AA101" s="101" t="n"/>
      <c r="AB101" s="101" t="n"/>
      <c r="AC101" s="101" t="n"/>
      <c r="AD101" s="101" t="n"/>
      <c r="AV101" s="329" t="n"/>
      <c r="AW101" s="329" t="n"/>
      <c r="AX101" s="329" t="n"/>
      <c r="AY101" s="329" t="n"/>
      <c r="BA101" s="329" t="n"/>
      <c r="BB101" s="329" t="n"/>
      <c r="BC101" s="329" t="n"/>
      <c r="BD101" s="329" t="n"/>
      <c r="BE101" s="329" t="n"/>
      <c r="BF101" s="329" t="n"/>
      <c r="BG101" s="329" t="n"/>
      <c r="BH101" s="329" t="n"/>
      <c r="BI101" s="329" t="n"/>
      <c r="BJ101" s="329" t="n"/>
      <c r="BK101" s="329" t="n"/>
      <c r="BL101" s="329" t="n"/>
      <c r="BM101" s="329" t="n"/>
      <c r="BN101" s="329" t="n"/>
      <c r="BO101" s="329" t="n"/>
      <c r="BP101" s="329" t="n"/>
      <c r="BQ101" s="329" t="n"/>
      <c r="BR101" s="329" t="n"/>
      <c r="BS101" s="329" t="n"/>
      <c r="BT101" s="329" t="n"/>
      <c r="BU101" s="329" t="n"/>
      <c r="BV101" s="329" t="n"/>
      <c r="BW101" s="329" t="n"/>
      <c r="BX101" s="329" t="n"/>
      <c r="BY101" s="329" t="n"/>
      <c r="BZ101" s="329" t="n"/>
      <c r="CA101" s="329" t="n"/>
      <c r="CE101" s="329" t="n"/>
      <c r="CF101" s="329" t="n"/>
      <c r="CG101" s="329" t="n"/>
      <c r="CH101" s="329" t="n"/>
      <c r="CI101" s="329" t="n"/>
    </row>
    <row r="102" ht="47.25" customHeight="1" s="8286" thickBot="1">
      <c r="B102" s="9627" t="n"/>
      <c r="C102" s="9627" t="n"/>
      <c r="D102" s="9385" t="inlineStr">
        <is>
          <t>Menores de 15 años</t>
        </is>
      </c>
      <c r="E102" s="9584" t="n"/>
      <c r="F102" s="10326" t="inlineStr">
        <is>
          <t>15 a 24 años</t>
        </is>
      </c>
      <c r="G102" s="9582" t="n"/>
      <c r="H102" s="10729" t="inlineStr">
        <is>
          <t>25 - 34 años</t>
        </is>
      </c>
      <c r="I102" s="9648" t="n"/>
      <c r="J102" s="10326" t="inlineStr">
        <is>
          <t>35 - 44 años</t>
        </is>
      </c>
      <c r="K102" s="9582" t="n"/>
      <c r="L102" s="10326" t="inlineStr">
        <is>
          <t>45 - 54 años</t>
        </is>
      </c>
      <c r="M102" s="9582" t="n"/>
      <c r="N102" s="10326" t="inlineStr">
        <is>
          <t>55 - 64 años</t>
        </is>
      </c>
      <c r="O102" s="9582" t="n"/>
      <c r="P102" s="10326" t="inlineStr">
        <is>
          <t>65 - 74 años</t>
        </is>
      </c>
      <c r="Q102" s="9582" t="n"/>
      <c r="R102" s="4568" t="inlineStr">
        <is>
          <t>75 y más años</t>
        </is>
      </c>
      <c r="S102" s="9647" t="n"/>
      <c r="T102" s="9561" t="inlineStr">
        <is>
          <t>Ley 19.123, Ley 19.980, Ley 20.405 (DD Y EP)</t>
        </is>
      </c>
      <c r="U102" s="9555" t="inlineStr">
        <is>
          <t>Ley 19.992, Ley 20.405 (Prisión política y tortura)</t>
        </is>
      </c>
      <c r="V102" s="9555" t="inlineStr">
        <is>
          <t>Exilio</t>
        </is>
      </c>
      <c r="W102" s="9555" t="inlineStr">
        <is>
          <t>Exoneración Política</t>
        </is>
      </c>
      <c r="X102" s="9557" t="inlineStr">
        <is>
          <t>Otros hechos represivos según Norma técnica N° 88</t>
        </is>
      </c>
      <c r="Y102" s="9625" t="n"/>
      <c r="Z102" s="101" t="n"/>
      <c r="AA102" s="101" t="n"/>
      <c r="AB102" s="101" t="n"/>
      <c r="AV102" s="329" t="n"/>
      <c r="AW102" s="329" t="n"/>
      <c r="AX102" s="329" t="n"/>
      <c r="AY102" s="329" t="n"/>
      <c r="BA102" s="329" t="n"/>
      <c r="BB102" s="329" t="n"/>
      <c r="BC102" s="329" t="n"/>
      <c r="BD102" s="329" t="n"/>
      <c r="BE102" s="329" t="n"/>
      <c r="BF102" s="329" t="n"/>
      <c r="BG102" s="329" t="n"/>
      <c r="BH102" s="329" t="n"/>
      <c r="BI102" s="329" t="n"/>
      <c r="BJ102" s="329" t="n"/>
      <c r="BK102" s="329" t="n"/>
      <c r="BL102" s="329" t="n"/>
      <c r="BM102" s="329" t="n"/>
      <c r="BN102" s="329" t="n"/>
      <c r="BO102" s="329" t="n"/>
      <c r="BP102" s="329" t="n"/>
      <c r="BQ102" s="329" t="n"/>
      <c r="BR102" s="329" t="n"/>
      <c r="BS102" s="329" t="n"/>
      <c r="BT102" s="329" t="n"/>
      <c r="BU102" s="329" t="n"/>
      <c r="BV102" s="329" t="n"/>
      <c r="BW102" s="329" t="n"/>
      <c r="BX102" s="329" t="n"/>
      <c r="BY102" s="329" t="n"/>
      <c r="BZ102" s="329" t="n"/>
      <c r="CA102" s="329" t="n"/>
      <c r="CE102" s="329" t="n"/>
      <c r="CF102" s="329" t="n"/>
      <c r="CG102" s="329" t="n"/>
      <c r="CH102" s="329" t="n"/>
    </row>
    <row r="103">
      <c r="A103" s="9591" t="n"/>
      <c r="B103" s="9621" t="n"/>
      <c r="C103" s="9621" t="n"/>
      <c r="D103" s="5069" t="inlineStr">
        <is>
          <t>Hombres</t>
        </is>
      </c>
      <c r="E103" s="9222" t="inlineStr">
        <is>
          <t>Mujeres</t>
        </is>
      </c>
      <c r="F103" s="5070" t="inlineStr">
        <is>
          <t>Hombres</t>
        </is>
      </c>
      <c r="G103" s="8631" t="inlineStr">
        <is>
          <t>Mujeres</t>
        </is>
      </c>
      <c r="H103" s="5069" t="inlineStr">
        <is>
          <t>Hombres</t>
        </is>
      </c>
      <c r="I103" s="9222" t="inlineStr">
        <is>
          <t>Mujeres</t>
        </is>
      </c>
      <c r="J103" s="5070" t="inlineStr">
        <is>
          <t>Hombres</t>
        </is>
      </c>
      <c r="K103" s="8631" t="inlineStr">
        <is>
          <t>Mujeres</t>
        </is>
      </c>
      <c r="L103" s="5069" t="inlineStr">
        <is>
          <t>Hombres</t>
        </is>
      </c>
      <c r="M103" s="9222" t="inlineStr">
        <is>
          <t>Mujeres</t>
        </is>
      </c>
      <c r="N103" s="5070" t="inlineStr">
        <is>
          <t>Hombres</t>
        </is>
      </c>
      <c r="O103" s="8631" t="inlineStr">
        <is>
          <t>Mujeres</t>
        </is>
      </c>
      <c r="P103" s="5069" t="inlineStr">
        <is>
          <t>Hombres</t>
        </is>
      </c>
      <c r="Q103" s="9222" t="inlineStr">
        <is>
          <t>Mujeres</t>
        </is>
      </c>
      <c r="R103" s="5070" t="inlineStr">
        <is>
          <t>Hombres</t>
        </is>
      </c>
      <c r="S103" s="5032" t="inlineStr">
        <is>
          <t>Mujeres</t>
        </is>
      </c>
      <c r="T103" s="10730" t="n"/>
      <c r="U103" s="10731" t="n"/>
      <c r="V103" s="10731" t="n"/>
      <c r="W103" s="10731" t="n"/>
      <c r="X103" s="10732" t="n"/>
      <c r="Y103" s="9625" t="n"/>
      <c r="Z103" s="101" t="n"/>
      <c r="AA103" s="101" t="n"/>
      <c r="AB103" s="101" t="n"/>
      <c r="AV103" s="329" t="n"/>
      <c r="AW103" s="329" t="n"/>
      <c r="AX103" s="329" t="n"/>
      <c r="AY103" s="329" t="n"/>
      <c r="BA103" s="329" t="n"/>
      <c r="BB103" s="329" t="n"/>
      <c r="BC103" s="329" t="n"/>
      <c r="BD103" s="329" t="n"/>
      <c r="BE103" s="329" t="n"/>
      <c r="BF103" s="329" t="n"/>
      <c r="BG103" s="329" t="n"/>
      <c r="BH103" s="329" t="n"/>
      <c r="BI103" s="329" t="n"/>
      <c r="BJ103" s="329" t="n"/>
      <c r="BK103" s="329" t="n"/>
      <c r="BL103" s="329" t="n"/>
      <c r="BM103" s="329" t="n"/>
      <c r="BN103" s="329" t="n"/>
      <c r="BO103" s="329" t="n"/>
      <c r="BP103" s="329" t="n"/>
      <c r="BQ103" s="329" t="n"/>
      <c r="BR103" s="329" t="n"/>
      <c r="BS103" s="329" t="n"/>
      <c r="BT103" s="329" t="n"/>
      <c r="BU103" s="329" t="n"/>
      <c r="BV103" s="329" t="n"/>
      <c r="BW103" s="329" t="n"/>
      <c r="BX103" s="329" t="n"/>
      <c r="BY103" s="329" t="n"/>
      <c r="BZ103" s="329" t="n"/>
      <c r="CA103" s="329" t="n"/>
      <c r="CE103" s="329" t="n"/>
      <c r="CF103" s="329" t="n"/>
      <c r="CG103" s="329" t="n"/>
      <c r="CH103" s="329" t="n"/>
      <c r="CI103" s="329" t="n"/>
    </row>
    <row r="104">
      <c r="A104" s="5117" t="inlineStr">
        <is>
          <t xml:space="preserve">Educación en salud </t>
        </is>
      </c>
      <c r="B104" s="5118" t="n"/>
      <c r="C104" s="5084" t="n"/>
      <c r="D104" s="5037" t="n"/>
      <c r="E104" s="2455" t="n"/>
      <c r="F104" s="5037" t="n"/>
      <c r="G104" s="2455" t="n"/>
      <c r="H104" s="5037" t="n"/>
      <c r="I104" s="2455" t="n"/>
      <c r="J104" s="5037" t="n"/>
      <c r="K104" s="2455" t="n"/>
      <c r="L104" s="5037" t="n"/>
      <c r="M104" s="2455" t="n"/>
      <c r="N104" s="5037" t="n"/>
      <c r="O104" s="2455" t="n"/>
      <c r="P104" s="5037" t="n"/>
      <c r="Q104" s="2455" t="n"/>
      <c r="R104" s="5037" t="n"/>
      <c r="S104" s="1465" t="n"/>
      <c r="T104" s="3156" t="n"/>
      <c r="U104" s="1454" t="n"/>
      <c r="V104" s="1454" t="n"/>
      <c r="W104" s="1454" t="n"/>
      <c r="X104" s="5119" t="n"/>
      <c r="Y104" s="5065" t="n"/>
      <c r="Z104" s="238">
        <f>$CA104</f>
        <v/>
      </c>
      <c r="AA104" s="5" t="n"/>
      <c r="AB104" s="5" t="n"/>
      <c r="AU104" s="5" t="n"/>
      <c r="AV104" s="5" t="n"/>
      <c r="AW104" s="5" t="n"/>
      <c r="AX104" s="5" t="n"/>
      <c r="AY104" s="5" t="n"/>
      <c r="AZ104" s="5" t="n"/>
      <c r="BA104" s="5" t="n"/>
      <c r="BB104" s="5" t="n"/>
      <c r="BC104" s="5" t="n"/>
      <c r="BD104" s="5" t="n"/>
      <c r="BE104" s="5" t="n"/>
      <c r="BF104" s="5" t="n"/>
      <c r="BG104" s="5" t="n"/>
      <c r="BH104" s="5" t="n"/>
      <c r="BI104" s="5" t="n"/>
      <c r="BJ104" s="5" t="n"/>
      <c r="BK104" s="5" t="n"/>
      <c r="CA104" s="405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 t="n"/>
      <c r="CC104" s="101" t="n"/>
      <c r="CE104" s="329" t="n"/>
      <c r="CF104" s="329" t="n"/>
      <c r="CG104" s="329" t="n"/>
      <c r="CH104" s="329" t="n"/>
      <c r="CI104" s="29">
        <f>IF(AND($C104&lt;&gt;0,Y104=""),1,IF(Y104&gt;$C104,1,0))</f>
        <v/>
      </c>
    </row>
    <row r="105" ht="15" customHeight="1" s="8286">
      <c r="A105" s="5120" t="inlineStr">
        <is>
          <t>Operativos de salud preventivo</t>
        </is>
      </c>
      <c r="B105" s="3710" t="n"/>
      <c r="C105" s="4011" t="n"/>
      <c r="D105" s="3678" t="n"/>
      <c r="E105" s="3679" t="n"/>
      <c r="F105" s="3678" t="n"/>
      <c r="G105" s="3679" t="n"/>
      <c r="H105" s="3678" t="n"/>
      <c r="I105" s="3679" t="n"/>
      <c r="J105" s="3678" t="n"/>
      <c r="K105" s="3679" t="n"/>
      <c r="L105" s="3678" t="n"/>
      <c r="M105" s="3679" t="n"/>
      <c r="N105" s="3678" t="n"/>
      <c r="O105" s="3679" t="n"/>
      <c r="P105" s="3678" t="n"/>
      <c r="Q105" s="3679" t="n"/>
      <c r="R105" s="3678" t="n"/>
      <c r="S105" s="3682" t="n"/>
      <c r="T105" s="3711" t="n"/>
      <c r="U105" s="3712" t="n"/>
      <c r="V105" s="3712" t="n"/>
      <c r="W105" s="3712" t="n"/>
      <c r="X105" s="5066" t="n"/>
      <c r="Y105" s="1138" t="n"/>
      <c r="Z105" s="238">
        <f>$CA105</f>
        <v/>
      </c>
      <c r="AA105" s="5" t="n"/>
      <c r="AB105" s="5" t="n"/>
      <c r="AU105" s="5" t="n"/>
      <c r="AV105" s="5" t="n"/>
      <c r="AW105" s="5" t="n"/>
      <c r="AX105" s="5" t="n"/>
      <c r="AY105" s="5" t="n"/>
      <c r="AZ105" s="5" t="n"/>
      <c r="BA105" s="5" t="n"/>
      <c r="BB105" s="5" t="n"/>
      <c r="BC105" s="5" t="n"/>
      <c r="BD105" s="5" t="n"/>
      <c r="BE105" s="5" t="n"/>
      <c r="BF105" s="5" t="n"/>
      <c r="BG105" s="5" t="n"/>
      <c r="BH105" s="5" t="n"/>
      <c r="BI105" s="5" t="n"/>
      <c r="BJ105" s="5" t="n"/>
      <c r="BK105" s="5" t="n"/>
      <c r="CA105" s="405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 t="n"/>
      <c r="CC105" s="101" t="n"/>
      <c r="CE105" s="329" t="n"/>
      <c r="CF105" s="329" t="n"/>
      <c r="CG105" s="329" t="n"/>
      <c r="CH105" s="329" t="n"/>
      <c r="CI105" s="29">
        <f>IF(AND($C105&lt;&gt;0,Y105=""),1,IF(Y105&gt;$C105,1,0))</f>
        <v/>
      </c>
    </row>
    <row r="106" ht="17.1" customHeight="1" s="8286">
      <c r="A106" s="10733" t="inlineStr">
        <is>
          <t>SECCIÓN H: ACTIVIDADES DE COORDINACIÓN Y VINCULACIÓN</t>
        </is>
      </c>
      <c r="B106" s="9591" t="n"/>
      <c r="C106" s="9591" t="n"/>
      <c r="D106" s="9591" t="n"/>
      <c r="E106" s="616" t="n"/>
      <c r="F106" s="616" t="n"/>
      <c r="G106" s="616" t="n"/>
      <c r="H106" s="616" t="n"/>
      <c r="I106" s="616" t="n"/>
      <c r="J106" s="616" t="n"/>
      <c r="K106" s="616" t="n"/>
      <c r="L106" s="616" t="n"/>
      <c r="M106" s="616" t="n"/>
      <c r="N106" s="616" t="n"/>
      <c r="O106" s="616" t="n"/>
      <c r="P106" s="616" t="n"/>
      <c r="Q106" s="616" t="n"/>
      <c r="R106" s="616" t="n"/>
      <c r="S106" s="616" t="n"/>
      <c r="T106" s="616" t="n"/>
      <c r="U106" s="616" t="n"/>
      <c r="V106" s="616" t="n"/>
      <c r="W106" s="616" t="n"/>
      <c r="X106" s="616" t="n"/>
      <c r="Y106" s="616" t="n"/>
      <c r="Z106" s="616" t="n"/>
      <c r="AA106" s="616" t="n"/>
      <c r="AB106" s="616" t="n"/>
      <c r="AC106" s="616" t="n"/>
      <c r="AD106" s="616" t="n"/>
      <c r="AE106" s="616" t="n"/>
      <c r="AF106" s="616" t="n"/>
      <c r="AG106" s="616" t="n"/>
      <c r="AH106" s="616" t="n"/>
      <c r="AI106" s="616" t="n"/>
      <c r="AJ106" s="616" t="n"/>
      <c r="AK106" s="616" t="n"/>
      <c r="AL106" s="616" t="n"/>
      <c r="AM106" s="616" t="n"/>
      <c r="AV106" s="329" t="n"/>
      <c r="AW106" s="329" t="n"/>
      <c r="AX106" s="329" t="n"/>
      <c r="AY106" s="329" t="n"/>
      <c r="BA106" s="329" t="n"/>
      <c r="BB106" s="329" t="n"/>
      <c r="BC106" s="329" t="n"/>
      <c r="BD106" s="329" t="n"/>
      <c r="BE106" s="329" t="n"/>
      <c r="BF106" s="329" t="n"/>
      <c r="BG106" s="329" t="n"/>
      <c r="BH106" s="329" t="n"/>
      <c r="BI106" s="329" t="n"/>
      <c r="BJ106" s="329" t="n"/>
      <c r="BK106" s="329" t="n"/>
      <c r="BL106" s="329" t="n"/>
      <c r="BM106" s="329" t="n"/>
      <c r="BN106" s="329" t="n"/>
      <c r="BO106" s="329" t="n"/>
      <c r="BP106" s="329" t="n"/>
      <c r="BQ106" s="329" t="n"/>
      <c r="BR106" s="329" t="n"/>
      <c r="BS106" s="329" t="n"/>
      <c r="BT106" s="329" t="n"/>
      <c r="BU106" s="329" t="n"/>
      <c r="BV106" s="329" t="n"/>
      <c r="BW106" s="329" t="n"/>
      <c r="BX106" s="329" t="n"/>
      <c r="BY106" s="329" t="n"/>
      <c r="BZ106" s="329" t="n"/>
      <c r="CA106" s="329" t="n"/>
      <c r="CE106" s="614" t="n"/>
      <c r="CF106" s="614" t="n"/>
      <c r="CG106" s="614" t="n"/>
      <c r="CH106" s="614" t="n"/>
      <c r="CI106" s="614" t="n"/>
    </row>
    <row r="107" ht="31.5" customHeight="1" s="8286">
      <c r="A107" s="8602" t="inlineStr">
        <is>
          <t>ACTIVIDADES</t>
        </is>
      </c>
      <c r="B107" s="9310" t="inlineStr">
        <is>
          <t>TOTAL DE PARTICIPANTES</t>
        </is>
      </c>
      <c r="C107" s="5121" t="inlineStr">
        <is>
          <t>Nº  SESIONES</t>
        </is>
      </c>
      <c r="D107" s="9523" t="inlineStr">
        <is>
          <t>Nº   ORGANIZACIONES  PARTICIPANTES</t>
        </is>
      </c>
      <c r="E107" s="614" t="n"/>
      <c r="F107" s="614" t="n"/>
      <c r="G107" s="614" t="n"/>
      <c r="H107" s="614" t="n"/>
      <c r="I107" s="614" t="n"/>
      <c r="J107" s="614" t="n"/>
      <c r="K107" s="614" t="n"/>
      <c r="L107" s="614" t="n"/>
      <c r="M107" s="614" t="n"/>
      <c r="N107" s="614" t="n"/>
      <c r="O107" s="614" t="n"/>
      <c r="P107" s="614" t="n"/>
      <c r="Q107" s="614" t="n"/>
      <c r="R107" s="614" t="n"/>
      <c r="S107" s="614" t="n"/>
      <c r="T107" s="614" t="n"/>
      <c r="U107" s="614" t="n"/>
      <c r="V107" s="614" t="n"/>
      <c r="W107" s="614" t="n"/>
      <c r="X107" s="614" t="n"/>
      <c r="Y107" s="614" t="n"/>
      <c r="Z107" s="614" t="n"/>
      <c r="AA107" s="614" t="n"/>
      <c r="AB107" s="614" t="n"/>
      <c r="AC107" s="614" t="n"/>
      <c r="AD107" s="614" t="n"/>
      <c r="AE107" s="614" t="n"/>
      <c r="AF107" s="614" t="n"/>
      <c r="AG107" s="614" t="n"/>
      <c r="AH107" s="614" t="n"/>
      <c r="AI107" s="614" t="n"/>
      <c r="AJ107" s="614" t="n"/>
      <c r="AK107" s="614" t="n"/>
      <c r="AL107" s="614" t="n"/>
      <c r="AM107" s="614" t="n"/>
      <c r="AO107" s="101" t="n"/>
      <c r="AP107" s="101" t="n"/>
      <c r="AQ107" s="101" t="n"/>
      <c r="AR107" s="101" t="n"/>
      <c r="AS107" s="101" t="n"/>
      <c r="AT107" s="101" t="n"/>
      <c r="AU107" s="614" t="n"/>
      <c r="AV107" s="614" t="n"/>
      <c r="AW107" s="614" t="n"/>
      <c r="AX107" s="614" t="n"/>
      <c r="AY107" s="614" t="n"/>
      <c r="AZ107" s="614" t="n"/>
      <c r="BA107" s="614" t="n"/>
      <c r="BB107" s="101" t="n"/>
      <c r="BC107" s="614" t="n"/>
      <c r="BD107" s="614" t="n"/>
      <c r="BE107" s="614" t="n"/>
      <c r="BF107" s="614" t="n"/>
      <c r="BG107" s="614" t="n"/>
      <c r="BH107" s="614" t="n"/>
      <c r="BI107" s="614" t="n"/>
      <c r="BJ107" s="614" t="n"/>
      <c r="BK107" s="614" t="n"/>
      <c r="BL107" s="614" t="n"/>
      <c r="BM107" s="614" t="n"/>
      <c r="BN107" s="614" t="n"/>
      <c r="BO107" s="614" t="n"/>
      <c r="BP107" s="614" t="n"/>
      <c r="BQ107" s="614" t="n"/>
      <c r="BR107" s="614" t="n"/>
      <c r="BS107" s="614" t="n"/>
      <c r="BT107" s="614" t="n"/>
      <c r="BU107" s="614" t="n"/>
      <c r="BV107" s="614" t="n"/>
      <c r="BW107" s="614" t="n"/>
      <c r="BX107" s="614" t="n"/>
      <c r="BY107" s="614" t="n"/>
      <c r="BZ107" s="614" t="n"/>
      <c r="CA107" s="614" t="n"/>
      <c r="CB107" s="614" t="n"/>
      <c r="CC107" s="614" t="n"/>
      <c r="CD107" s="614" t="n"/>
      <c r="CE107" s="614" t="n"/>
      <c r="CF107" s="614" t="n"/>
      <c r="CG107" s="614" t="n"/>
      <c r="CH107" s="614" t="n"/>
      <c r="CI107" s="614" t="n"/>
    </row>
    <row r="108" ht="15" customHeight="1" s="8286">
      <c r="A108" s="5122" t="inlineStr">
        <is>
          <t>Trabajo Intersectorial</t>
        </is>
      </c>
      <c r="B108" s="5123" t="n"/>
      <c r="C108" s="5124" t="n"/>
      <c r="D108" s="5011" t="n"/>
      <c r="H108" s="614" t="n"/>
      <c r="I108" s="614" t="n"/>
      <c r="J108" s="614" t="n"/>
      <c r="K108" s="614" t="n"/>
      <c r="L108" s="614" t="n"/>
      <c r="M108" s="614" t="n"/>
      <c r="N108" s="614" t="n"/>
      <c r="O108" s="614" t="n"/>
      <c r="P108" s="614" t="n"/>
      <c r="Q108" s="614" t="n"/>
      <c r="R108" s="614" t="n"/>
      <c r="S108" s="614" t="n"/>
      <c r="T108" s="614" t="n"/>
      <c r="U108" s="614" t="n"/>
      <c r="V108" s="614" t="n"/>
      <c r="W108" s="614" t="n"/>
      <c r="X108" s="614" t="n"/>
      <c r="Y108" s="614" t="n"/>
      <c r="Z108" s="614" t="n"/>
      <c r="AA108" s="614" t="n"/>
      <c r="AB108" s="614" t="n"/>
      <c r="AC108" s="614" t="n"/>
      <c r="AD108" s="614" t="n"/>
      <c r="AE108" s="614" t="n"/>
      <c r="AF108" s="614" t="n"/>
      <c r="AG108" s="614" t="n"/>
      <c r="AH108" s="614" t="n"/>
      <c r="AI108" s="614" t="n"/>
      <c r="AJ108" s="614" t="n"/>
      <c r="AK108" s="614" t="n"/>
      <c r="AL108" s="614" t="n"/>
      <c r="AM108" s="614" t="n"/>
      <c r="AO108" s="101" t="n"/>
      <c r="AP108" s="101" t="n"/>
      <c r="AQ108" s="101" t="n"/>
      <c r="AR108" s="101" t="n"/>
      <c r="AS108" s="101" t="n"/>
      <c r="AT108" s="101" t="n"/>
      <c r="AU108" s="614" t="n"/>
      <c r="AV108" s="614" t="n"/>
      <c r="AW108" s="614" t="n"/>
      <c r="AX108" s="614" t="n"/>
      <c r="AY108" s="614" t="n"/>
      <c r="AZ108" s="614" t="n"/>
      <c r="BA108" s="614" t="n"/>
      <c r="BB108" s="101" t="n"/>
      <c r="BC108" s="614" t="n"/>
      <c r="BD108" s="614" t="n"/>
      <c r="BE108" s="614" t="n"/>
      <c r="BF108" s="614" t="n"/>
      <c r="BG108" s="614" t="n"/>
      <c r="BH108" s="614" t="n"/>
      <c r="BI108" s="614" t="n"/>
      <c r="BJ108" s="614" t="n"/>
      <c r="BK108" s="614" t="n"/>
      <c r="BL108" s="614" t="n"/>
      <c r="BM108" s="614" t="n"/>
      <c r="BN108" s="614" t="n"/>
      <c r="BO108" s="614" t="n"/>
      <c r="BP108" s="614" t="n"/>
      <c r="BQ108" s="614" t="n"/>
      <c r="BR108" s="614" t="n"/>
      <c r="BS108" s="614" t="n"/>
      <c r="BT108" s="614" t="n"/>
      <c r="BU108" s="614" t="n"/>
      <c r="BV108" s="614" t="n"/>
      <c r="BW108" s="614" t="n"/>
      <c r="BX108" s="614" t="n"/>
      <c r="BY108" s="614" t="n"/>
      <c r="BZ108" s="614" t="n"/>
      <c r="CA108" s="614" t="n"/>
      <c r="CB108" s="614" t="n"/>
      <c r="CC108" s="614" t="n"/>
      <c r="CD108" s="614" t="n"/>
      <c r="CE108" s="614" t="n"/>
      <c r="CF108" s="614" t="n"/>
      <c r="CG108" s="614" t="n"/>
      <c r="CH108" s="614" t="n"/>
      <c r="CI108" s="614" t="n"/>
    </row>
    <row r="109" ht="23.1" customHeight="1" s="8286">
      <c r="A109" s="4288" t="inlineStr">
        <is>
          <t>Trabajo con Organizaciones Comunitarias de Base</t>
        </is>
      </c>
      <c r="B109" s="5125" t="n"/>
      <c r="C109" s="1956" t="n"/>
      <c r="D109" s="5126" t="n"/>
      <c r="H109" s="614" t="n"/>
      <c r="I109" s="614" t="n"/>
      <c r="J109" s="614" t="n"/>
      <c r="K109" s="614" t="n"/>
      <c r="L109" s="614" t="n"/>
      <c r="M109" s="614" t="n"/>
      <c r="N109" s="614" t="n"/>
      <c r="O109" s="614" t="n"/>
      <c r="P109" s="614" t="n"/>
      <c r="Q109" s="614" t="n"/>
      <c r="R109" s="614" t="n"/>
      <c r="S109" s="614" t="n"/>
      <c r="T109" s="614" t="n"/>
      <c r="U109" s="614" t="n"/>
      <c r="V109" s="614" t="n"/>
      <c r="W109" s="614" t="n"/>
      <c r="X109" s="614" t="n"/>
      <c r="Y109" s="614" t="n"/>
      <c r="Z109" s="614" t="n"/>
      <c r="AA109" s="614" t="n"/>
      <c r="AB109" s="614" t="n"/>
      <c r="AC109" s="614" t="n"/>
      <c r="AD109" s="614" t="n"/>
      <c r="AE109" s="614" t="n"/>
      <c r="AF109" s="614" t="n"/>
      <c r="AG109" s="614" t="n"/>
      <c r="AH109" s="614" t="n"/>
      <c r="AI109" s="614" t="n"/>
      <c r="AJ109" s="614" t="n"/>
      <c r="AK109" s="614" t="n"/>
      <c r="AL109" s="614" t="n"/>
      <c r="AM109" s="614" t="n"/>
      <c r="AO109" s="101" t="n"/>
      <c r="AP109" s="101" t="n"/>
      <c r="AQ109" s="101" t="n"/>
      <c r="AR109" s="101" t="n"/>
      <c r="AS109" s="101" t="n"/>
      <c r="AT109" s="101" t="n"/>
      <c r="AU109" s="614" t="n"/>
      <c r="AV109" s="614" t="n"/>
      <c r="AW109" s="614" t="n"/>
      <c r="AX109" s="614" t="n"/>
      <c r="AY109" s="614" t="n"/>
      <c r="AZ109" s="614" t="n"/>
      <c r="BA109" s="614" t="n"/>
      <c r="BB109" s="101" t="n"/>
      <c r="BC109" s="614" t="n"/>
      <c r="BD109" s="614" t="n"/>
      <c r="BE109" s="614" t="n"/>
      <c r="BF109" s="614" t="n"/>
      <c r="BG109" s="614" t="n"/>
      <c r="BH109" s="614" t="n"/>
      <c r="BI109" s="614" t="n"/>
      <c r="BJ109" s="614" t="n"/>
      <c r="BK109" s="614" t="n"/>
      <c r="BL109" s="614" t="n"/>
      <c r="BM109" s="614" t="n"/>
      <c r="BN109" s="614" t="n"/>
      <c r="BO109" s="614" t="n"/>
      <c r="BP109" s="614" t="n"/>
      <c r="BQ109" s="614" t="n"/>
      <c r="BR109" s="614" t="n"/>
      <c r="BS109" s="614" t="n"/>
      <c r="BT109" s="614" t="n"/>
      <c r="BU109" s="614" t="n"/>
      <c r="BV109" s="614" t="n"/>
      <c r="BW109" s="614" t="n"/>
      <c r="BX109" s="614" t="n"/>
      <c r="BY109" s="614" t="n"/>
      <c r="BZ109" s="614" t="n"/>
      <c r="CA109" s="614" t="n"/>
      <c r="CB109" s="614" t="n"/>
      <c r="CC109" s="614" t="n"/>
      <c r="CD109" s="614" t="n"/>
      <c r="CE109" s="614" t="n"/>
      <c r="CF109" s="614" t="n"/>
      <c r="CG109" s="614" t="n"/>
      <c r="CH109" s="614" t="n"/>
      <c r="CI109" s="614" t="n"/>
    </row>
    <row r="110" ht="23.1" customHeight="1" s="8286">
      <c r="A110" s="4288" t="inlineStr">
        <is>
          <t>Trabajo con Organizaciones de Usuarios y Familiares</t>
        </is>
      </c>
      <c r="B110" s="5125" t="n"/>
      <c r="C110" s="1956" t="n"/>
      <c r="D110" s="5013" t="n"/>
      <c r="H110" s="614" t="n"/>
      <c r="I110" s="614" t="n"/>
      <c r="J110" s="614" t="n"/>
      <c r="K110" s="614" t="n"/>
      <c r="L110" s="614" t="n"/>
      <c r="M110" s="614" t="n"/>
      <c r="N110" s="614" t="n"/>
      <c r="O110" s="614" t="n"/>
      <c r="P110" s="614" t="n"/>
      <c r="Q110" s="614" t="n"/>
      <c r="R110" s="614" t="n"/>
      <c r="S110" s="614" t="n"/>
      <c r="T110" s="614" t="n"/>
      <c r="U110" s="614" t="n"/>
      <c r="V110" s="614" t="n"/>
      <c r="W110" s="614" t="n"/>
      <c r="X110" s="614" t="n"/>
      <c r="Y110" s="614" t="n"/>
      <c r="Z110" s="614" t="n"/>
      <c r="AA110" s="614" t="n"/>
      <c r="AB110" s="614" t="n"/>
      <c r="AC110" s="614" t="n"/>
      <c r="AD110" s="614" t="n"/>
      <c r="AE110" s="614" t="n"/>
      <c r="AF110" s="614" t="n"/>
      <c r="AG110" s="614" t="n"/>
      <c r="AH110" s="614" t="n"/>
      <c r="AI110" s="614" t="n"/>
      <c r="AJ110" s="614" t="n"/>
      <c r="AK110" s="614" t="n"/>
      <c r="AL110" s="614" t="n"/>
      <c r="AM110" s="614" t="n"/>
      <c r="AO110" s="101" t="n"/>
      <c r="AP110" s="101" t="n"/>
      <c r="AQ110" s="101" t="n"/>
      <c r="AR110" s="101" t="n"/>
      <c r="AS110" s="101" t="n"/>
      <c r="AT110" s="101" t="n"/>
      <c r="AU110" s="614" t="n"/>
      <c r="AV110" s="614" t="n"/>
      <c r="AW110" s="614" t="n"/>
      <c r="AX110" s="614" t="n"/>
      <c r="AY110" s="614" t="n"/>
      <c r="AZ110" s="614" t="n"/>
      <c r="BA110" s="614" t="n"/>
      <c r="BB110" s="101" t="n"/>
      <c r="BC110" s="614" t="n"/>
      <c r="BD110" s="614" t="n"/>
      <c r="BE110" s="614" t="n"/>
      <c r="BF110" s="614" t="n"/>
      <c r="BG110" s="614" t="n"/>
      <c r="BH110" s="614" t="n"/>
      <c r="BI110" s="614" t="n"/>
      <c r="BJ110" s="614" t="n"/>
      <c r="BK110" s="614" t="n"/>
      <c r="BL110" s="614" t="n"/>
      <c r="BM110" s="614" t="n"/>
      <c r="BN110" s="614" t="n"/>
      <c r="BO110" s="614" t="n"/>
      <c r="BP110" s="614" t="n"/>
      <c r="BQ110" s="614" t="n"/>
      <c r="BR110" s="614" t="n"/>
      <c r="BS110" s="614" t="n"/>
      <c r="BT110" s="614" t="n"/>
      <c r="BU110" s="614" t="n"/>
      <c r="BV110" s="614" t="n"/>
      <c r="BW110" s="614" t="n"/>
      <c r="BX110" s="614" t="n"/>
      <c r="BY110" s="614" t="n"/>
      <c r="BZ110" s="614" t="n"/>
      <c r="CA110" s="614" t="n"/>
      <c r="CB110" s="614" t="n"/>
      <c r="CC110" s="614" t="n"/>
      <c r="CD110" s="614" t="n"/>
      <c r="CE110" s="329" t="n"/>
      <c r="CF110" s="329" t="n"/>
      <c r="CG110" s="329" t="n"/>
      <c r="CH110" s="329" t="n"/>
      <c r="CI110" s="329" t="n"/>
    </row>
    <row r="111" ht="23.1" customHeight="1" s="8286">
      <c r="A111" s="5127" t="inlineStr">
        <is>
          <t>actividad comunitaria de promoción memoria y ddhh</t>
        </is>
      </c>
      <c r="B111" s="5125" t="n"/>
      <c r="C111" s="1956" t="n"/>
      <c r="D111" s="5013" t="n"/>
      <c r="H111" s="614" t="n"/>
      <c r="I111" s="614" t="n"/>
      <c r="J111" s="614" t="n"/>
      <c r="K111" s="614" t="n"/>
      <c r="L111" s="614" t="n"/>
      <c r="M111" s="614" t="n"/>
      <c r="N111" s="614" t="n"/>
      <c r="O111" s="614" t="n"/>
      <c r="P111" s="614" t="n"/>
      <c r="Q111" s="614" t="n"/>
      <c r="R111" s="614" t="n"/>
      <c r="S111" s="614" t="n"/>
      <c r="T111" s="614" t="n"/>
      <c r="U111" s="614" t="n"/>
      <c r="V111" s="614" t="n"/>
      <c r="W111" s="614" t="n"/>
      <c r="X111" s="614" t="n"/>
      <c r="Y111" s="614" t="n"/>
      <c r="Z111" s="614" t="n"/>
      <c r="AA111" s="614" t="n"/>
      <c r="AB111" s="614" t="n"/>
      <c r="AC111" s="614" t="n"/>
      <c r="AD111" s="614" t="n"/>
      <c r="AE111" s="614" t="n"/>
      <c r="AF111" s="614" t="n"/>
      <c r="AG111" s="614" t="n"/>
      <c r="AH111" s="614" t="n"/>
      <c r="AI111" s="614" t="n"/>
      <c r="AJ111" s="614" t="n"/>
      <c r="AK111" s="614" t="n"/>
      <c r="AL111" s="614" t="n"/>
      <c r="AM111" s="614" t="n"/>
      <c r="AV111" s="329" t="n"/>
      <c r="AW111" s="329" t="n"/>
      <c r="AX111" s="329" t="n"/>
      <c r="AY111" s="329" t="n"/>
      <c r="BA111" s="329" t="n"/>
      <c r="BB111" s="329" t="n"/>
      <c r="BC111" s="329" t="n"/>
      <c r="BD111" s="329" t="n"/>
      <c r="BE111" s="329" t="n"/>
      <c r="BF111" s="329" t="n"/>
      <c r="BG111" s="329" t="n"/>
      <c r="BH111" s="329" t="n"/>
      <c r="BI111" s="329" t="n"/>
      <c r="BJ111" s="329" t="n"/>
      <c r="BK111" s="329" t="n"/>
      <c r="BL111" s="329" t="n"/>
      <c r="BM111" s="329" t="n"/>
      <c r="BN111" s="329" t="n"/>
      <c r="BO111" s="329" t="n"/>
      <c r="BP111" s="329" t="n"/>
      <c r="BQ111" s="329" t="n"/>
      <c r="BR111" s="329" t="n"/>
      <c r="BS111" s="329" t="n"/>
      <c r="BT111" s="329" t="n"/>
      <c r="BU111" s="329" t="n"/>
      <c r="BV111" s="329" t="n"/>
      <c r="BW111" s="329" t="n"/>
      <c r="BX111" s="329" t="n"/>
      <c r="BY111" s="329" t="n"/>
      <c r="BZ111" s="329" t="n"/>
      <c r="CA111" s="329" t="n"/>
      <c r="CE111" s="614" t="n"/>
      <c r="CF111" s="614" t="n"/>
      <c r="CG111" s="614" t="n"/>
      <c r="CH111" s="614" t="n"/>
      <c r="CI111" s="614" t="n"/>
    </row>
    <row r="112" ht="23.1" customHeight="1" s="8286">
      <c r="A112" s="1426" t="inlineStr">
        <is>
          <t>trabajo sectorial de información y sensibilización</t>
        </is>
      </c>
      <c r="B112" s="5128" t="n"/>
      <c r="C112" s="2636" t="n"/>
      <c r="D112" s="5129" t="n"/>
      <c r="H112" s="614" t="n"/>
      <c r="I112" s="614" t="n"/>
      <c r="J112" s="614" t="n"/>
      <c r="K112" s="614" t="n"/>
      <c r="L112" s="614" t="n"/>
      <c r="M112" s="614" t="n"/>
      <c r="N112" s="614" t="n"/>
      <c r="O112" s="614" t="n"/>
      <c r="P112" s="614" t="n"/>
      <c r="Q112" s="614" t="n"/>
      <c r="R112" s="614" t="n"/>
      <c r="S112" s="614" t="n"/>
      <c r="T112" s="614" t="n"/>
      <c r="U112" s="614" t="n"/>
      <c r="V112" s="614" t="n"/>
      <c r="W112" s="614" t="n"/>
      <c r="X112" s="614" t="n"/>
      <c r="Y112" s="614" t="n"/>
      <c r="Z112" s="614" t="n"/>
      <c r="AA112" s="614" t="n"/>
      <c r="AB112" s="614" t="n"/>
      <c r="AC112" s="614" t="n"/>
      <c r="AD112" s="614" t="n"/>
      <c r="AE112" s="614" t="n"/>
      <c r="AF112" s="614" t="n"/>
      <c r="AG112" s="614" t="n"/>
      <c r="AH112" s="614" t="n"/>
      <c r="AI112" s="614" t="n"/>
      <c r="AJ112" s="614" t="n"/>
      <c r="AK112" s="614" t="n"/>
      <c r="AL112" s="614" t="n"/>
      <c r="AM112" s="614" t="n"/>
      <c r="AO112" s="614" t="n"/>
      <c r="AP112" s="614" t="n"/>
      <c r="AQ112" s="614" t="n"/>
      <c r="AR112" s="614" t="n"/>
      <c r="AS112" s="614" t="n"/>
      <c r="AT112" s="614" t="n"/>
      <c r="AU112" s="614" t="n"/>
      <c r="AV112" s="614" t="n"/>
      <c r="AW112" s="614" t="n"/>
      <c r="AX112" s="614" t="n"/>
      <c r="AY112" s="614" t="n"/>
      <c r="AZ112" s="614" t="n"/>
      <c r="BA112" s="614" t="n"/>
      <c r="BB112" s="614" t="n"/>
      <c r="BC112" s="614" t="n"/>
      <c r="BD112" s="614" t="n"/>
      <c r="BE112" s="614" t="n"/>
      <c r="BF112" s="614" t="n"/>
      <c r="BG112" s="614" t="n"/>
      <c r="BH112" s="614" t="n"/>
      <c r="BI112" s="614" t="n"/>
      <c r="BJ112" s="614" t="n"/>
      <c r="BK112" s="614" t="n"/>
      <c r="BL112" s="614" t="n"/>
      <c r="BM112" s="614" t="n"/>
      <c r="BN112" s="614" t="n"/>
      <c r="BO112" s="614" t="n"/>
      <c r="BP112" s="614" t="n"/>
      <c r="BQ112" s="614" t="n"/>
      <c r="BR112" s="614" t="n"/>
      <c r="BS112" s="614" t="n"/>
      <c r="BT112" s="614" t="n"/>
      <c r="BU112" s="614" t="n"/>
      <c r="BV112" s="614" t="n"/>
      <c r="BW112" s="614" t="n"/>
      <c r="BX112" s="614" t="n"/>
      <c r="BY112" s="614" t="n"/>
      <c r="BZ112" s="614" t="n"/>
      <c r="CA112" s="614" t="n"/>
      <c r="CB112" s="614" t="n"/>
      <c r="CC112" s="614" t="n"/>
      <c r="CD112" s="614" t="n"/>
      <c r="CE112" s="606" t="n"/>
      <c r="CF112" s="606" t="n"/>
      <c r="CG112" s="606" t="n"/>
      <c r="CH112" s="606" t="n"/>
      <c r="CI112" s="329" t="n"/>
    </row>
    <row r="113" ht="17.1" customHeight="1" s="8286">
      <c r="A113" s="249" t="inlineStr">
        <is>
          <t>SECCIÓN I: RESCATE DE PACIENTES INASISTENTES</t>
        </is>
      </c>
      <c r="B113" s="606" t="n"/>
      <c r="C113" s="606" t="n"/>
      <c r="D113" s="606" t="n"/>
      <c r="E113" s="606" t="n"/>
      <c r="F113" s="606" t="n"/>
      <c r="G113" s="606" t="n"/>
      <c r="H113" s="606" t="n"/>
      <c r="I113" s="606" t="n"/>
      <c r="J113" s="606" t="n"/>
      <c r="K113" s="606" t="n"/>
      <c r="L113" s="606" t="n"/>
      <c r="M113" s="606" t="n"/>
      <c r="N113" s="606" t="n"/>
      <c r="O113" s="606" t="n"/>
      <c r="P113" s="606" t="n"/>
      <c r="Q113" s="606" t="n"/>
      <c r="R113" s="606" t="n"/>
      <c r="S113" s="606" t="n"/>
      <c r="T113" s="606" t="n"/>
      <c r="U113" s="606" t="n"/>
      <c r="V113" s="606" t="n"/>
      <c r="W113" s="606" t="n"/>
      <c r="X113" s="606" t="n"/>
      <c r="Y113" s="606" t="n"/>
      <c r="Z113" s="606" t="n"/>
      <c r="AA113" s="606" t="n"/>
      <c r="AB113" s="606" t="n"/>
      <c r="AC113" s="606" t="n"/>
      <c r="AD113" s="606" t="n"/>
      <c r="AE113" s="606" t="n"/>
      <c r="AF113" s="606" t="n"/>
      <c r="AG113" s="606" t="n"/>
      <c r="AH113" s="606" t="n"/>
      <c r="AI113" s="606" t="n"/>
      <c r="AJ113" s="606" t="n"/>
      <c r="AK113" s="606" t="n"/>
      <c r="AL113" s="606" t="n"/>
      <c r="AM113" s="606" t="n"/>
      <c r="AO113" s="606" t="n"/>
    </row>
    <row r="114" ht="15" customHeight="1" s="8286">
      <c r="A114" s="10339" t="inlineStr">
        <is>
          <t>RANGO ETARIO</t>
        </is>
      </c>
      <c r="B114" s="10734" t="inlineStr">
        <is>
          <t>Rescate telefónico y/o correo electrónico</t>
        </is>
      </c>
      <c r="C114" s="10720" t="inlineStr">
        <is>
          <t>CALIDAD DE ACREDITACIÓN DE LOS PARTICIPANTES</t>
        </is>
      </c>
      <c r="D114" s="9617" t="n"/>
      <c r="E114" s="9617" t="n"/>
      <c r="F114" s="9617" t="n"/>
      <c r="G114" s="9648" t="n"/>
      <c r="H114" s="329" t="n"/>
      <c r="I114" s="101" t="n"/>
      <c r="J114" s="101" t="n"/>
      <c r="K114" s="101" t="n"/>
      <c r="L114" s="101" t="n"/>
      <c r="M114" s="101" t="n"/>
      <c r="N114" s="101" t="n"/>
      <c r="O114" s="101" t="n"/>
      <c r="P114" s="101" t="n"/>
      <c r="Q114" s="101" t="n"/>
      <c r="R114" s="101" t="n"/>
      <c r="S114" s="101" t="n"/>
      <c r="T114" s="101" t="n"/>
      <c r="U114" s="101" t="n"/>
      <c r="V114" s="101" t="n"/>
      <c r="W114" s="101" t="n"/>
      <c r="X114" s="101" t="n"/>
      <c r="Y114" s="101" t="n"/>
      <c r="Z114" s="101" t="n"/>
      <c r="AA114" s="101" t="n"/>
      <c r="AB114" s="101" t="n"/>
      <c r="AC114" s="101" t="n"/>
      <c r="AD114" s="101" t="n"/>
      <c r="AE114" s="101" t="n"/>
      <c r="AF114" s="101" t="n"/>
      <c r="AG114" s="101" t="n"/>
      <c r="AH114" s="101" t="n"/>
      <c r="AI114" s="101" t="n"/>
      <c r="AJ114" s="101" t="n"/>
      <c r="AK114" s="101" t="n"/>
      <c r="AL114" s="101" t="n"/>
      <c r="AN114" s="101" t="n"/>
      <c r="AO114" s="101" t="n"/>
    </row>
    <row r="115">
      <c r="A115" s="9614" t="n"/>
      <c r="B115" s="10735" t="n"/>
      <c r="C115" s="10736" t="inlineStr">
        <is>
          <t>Ley 19.123, ley 19.980, ley 20.405 (DD Y EP)</t>
        </is>
      </c>
      <c r="D115" s="10737" t="inlineStr">
        <is>
          <t>Ley 19.992, ley 20.405 (Prisión política y tortura)</t>
        </is>
      </c>
      <c r="E115" s="10737" t="inlineStr">
        <is>
          <t>Exilio</t>
        </is>
      </c>
      <c r="F115" s="10737" t="inlineStr">
        <is>
          <t>Exoneración Política</t>
        </is>
      </c>
      <c r="G115" s="10215" t="inlineStr">
        <is>
          <t>Otros hechos represivos según Norma técnica N° 88</t>
        </is>
      </c>
      <c r="H115" s="329" t="n"/>
      <c r="I115" s="101" t="n"/>
      <c r="J115" s="101" t="n"/>
      <c r="K115" s="101" t="n"/>
      <c r="L115" s="101" t="n"/>
      <c r="M115" s="101" t="n"/>
      <c r="N115" s="101" t="n"/>
      <c r="O115" s="101" t="n"/>
      <c r="P115" s="101" t="n"/>
      <c r="Q115" s="101" t="n"/>
      <c r="R115" s="101" t="n"/>
      <c r="S115" s="101" t="n"/>
      <c r="T115" s="101" t="n"/>
      <c r="U115" s="101" t="n"/>
      <c r="V115" s="101" t="n"/>
      <c r="W115" s="101" t="n"/>
      <c r="X115" s="101" t="n"/>
      <c r="Y115" s="101" t="n"/>
      <c r="Z115" s="101" t="n"/>
      <c r="AA115" s="101" t="n"/>
      <c r="AB115" s="101" t="n"/>
      <c r="AC115" s="101" t="n"/>
      <c r="AD115" s="101" t="n"/>
      <c r="AE115" s="101" t="n"/>
      <c r="AF115" s="101" t="n"/>
      <c r="AG115" s="101" t="n"/>
      <c r="AH115" s="101" t="n"/>
      <c r="AI115" s="101" t="n"/>
      <c r="AJ115" s="101" t="n"/>
      <c r="AK115" s="101" t="n"/>
      <c r="AL115" s="101" t="n"/>
      <c r="AN115" s="101" t="n"/>
      <c r="AO115" s="101" t="n"/>
    </row>
    <row r="116" ht="53.25" customHeight="1" s="8286">
      <c r="A116" s="9610" t="n"/>
      <c r="B116" s="10738" t="n"/>
      <c r="C116" s="9604" t="n"/>
      <c r="D116" s="9856" t="n"/>
      <c r="E116" s="9856" t="n"/>
      <c r="F116" s="9856" t="n"/>
      <c r="G116" s="9641" t="n"/>
      <c r="H116" s="329" t="n"/>
      <c r="I116" s="101" t="n"/>
      <c r="J116" s="101" t="n"/>
      <c r="K116" s="101" t="n"/>
      <c r="L116" s="101" t="n"/>
      <c r="M116" s="101" t="n"/>
      <c r="N116" s="101" t="n"/>
      <c r="O116" s="101" t="n"/>
      <c r="P116" s="101" t="n"/>
      <c r="Q116" s="101" t="n"/>
      <c r="R116" s="101" t="n"/>
      <c r="S116" s="101" t="n"/>
      <c r="T116" s="101" t="n"/>
      <c r="U116" s="101" t="n"/>
      <c r="V116" s="101" t="n"/>
      <c r="W116" s="101" t="n"/>
      <c r="X116" s="101" t="n"/>
      <c r="Y116" s="101" t="n"/>
      <c r="Z116" s="101" t="n"/>
      <c r="AA116" s="101" t="n"/>
      <c r="AB116" s="101" t="n"/>
      <c r="AC116" s="101" t="n"/>
      <c r="AD116" s="101" t="n"/>
      <c r="AE116" s="101" t="n"/>
      <c r="AF116" s="101" t="n"/>
      <c r="AG116" s="101" t="n"/>
      <c r="AH116" s="101" t="n"/>
      <c r="AI116" s="101" t="n"/>
      <c r="AJ116" s="101" t="n"/>
      <c r="AK116" s="101" t="n"/>
      <c r="AL116" s="101" t="n"/>
      <c r="AN116" s="101" t="n"/>
      <c r="AO116" s="101" t="n"/>
    </row>
    <row r="117" ht="15" customHeight="1" s="8286">
      <c r="A117" s="4970" t="inlineStr">
        <is>
          <t>Menores de 15 años</t>
        </is>
      </c>
      <c r="B117" s="5130" t="n"/>
      <c r="C117" s="5131" t="n"/>
      <c r="D117" s="5132" t="n"/>
      <c r="E117" s="5132" t="n"/>
      <c r="F117" s="5132" t="n"/>
      <c r="G117" s="5011" t="n"/>
      <c r="H117" s="329" t="n"/>
      <c r="P117" s="101" t="n"/>
      <c r="Q117" s="101" t="n"/>
      <c r="R117" s="101" t="n"/>
      <c r="S117" s="101" t="n"/>
      <c r="T117" s="101" t="n"/>
      <c r="U117" s="101" t="n"/>
      <c r="V117" s="101" t="n"/>
      <c r="W117" s="101" t="n"/>
      <c r="X117" s="101" t="n"/>
      <c r="Y117" s="101" t="n"/>
      <c r="Z117" s="101" t="n"/>
      <c r="AA117" s="101" t="n"/>
      <c r="AB117" s="101" t="n"/>
      <c r="AC117" s="101" t="n"/>
      <c r="AD117" s="101" t="n"/>
      <c r="AE117" s="101" t="n"/>
      <c r="AF117" s="101" t="n"/>
      <c r="AG117" s="101" t="n"/>
      <c r="AH117" s="101" t="n"/>
      <c r="AI117" s="101" t="n"/>
      <c r="AJ117" s="101" t="n"/>
      <c r="AK117" s="101" t="n"/>
      <c r="AL117" s="101" t="n"/>
      <c r="AN117" s="101" t="n"/>
      <c r="AO117" s="101" t="n"/>
    </row>
    <row r="118" ht="15" customHeight="1" s="8286">
      <c r="A118" s="1427" t="inlineStr">
        <is>
          <t>15 a 24 años</t>
        </is>
      </c>
      <c r="B118" s="5133" t="n"/>
      <c r="C118" s="5134" t="n"/>
      <c r="D118" s="5135" t="n"/>
      <c r="E118" s="823" t="n"/>
      <c r="F118" s="5135" t="n"/>
      <c r="G118" s="5013" t="n"/>
      <c r="H118" s="329" t="n"/>
      <c r="P118" s="101" t="n"/>
      <c r="Q118" s="101" t="n"/>
      <c r="R118" s="101" t="n"/>
      <c r="S118" s="101" t="n"/>
      <c r="T118" s="101" t="n"/>
      <c r="U118" s="101" t="n"/>
      <c r="V118" s="101" t="n"/>
      <c r="W118" s="101" t="n"/>
      <c r="X118" s="101" t="n"/>
      <c r="Y118" s="101" t="n"/>
      <c r="Z118" s="101" t="n"/>
      <c r="AA118" s="101" t="n"/>
      <c r="AB118" s="101" t="n"/>
      <c r="AC118" s="101" t="n"/>
      <c r="AD118" s="101" t="n"/>
      <c r="AE118" s="101" t="n"/>
      <c r="AF118" s="101" t="n"/>
      <c r="AG118" s="101" t="n"/>
      <c r="AH118" s="101" t="n"/>
      <c r="AI118" s="101" t="n"/>
      <c r="AJ118" s="101" t="n"/>
      <c r="AK118" s="101" t="n"/>
      <c r="AL118" s="101" t="n"/>
      <c r="AN118" s="101" t="n"/>
      <c r="AO118" s="101" t="n"/>
    </row>
    <row r="119" ht="15" customHeight="1" s="8286">
      <c r="A119" s="5136" t="inlineStr">
        <is>
          <t>25 - 34 años</t>
        </is>
      </c>
      <c r="B119" s="5133" t="n"/>
      <c r="C119" s="5134" t="n"/>
      <c r="D119" s="823" t="n"/>
      <c r="E119" s="823" t="n"/>
      <c r="F119" s="823" t="n"/>
      <c r="G119" s="5013" t="n"/>
      <c r="H119" s="329" t="n"/>
      <c r="P119" s="101" t="n"/>
      <c r="Q119" s="101" t="n"/>
      <c r="R119" s="101" t="n"/>
      <c r="S119" s="101" t="n"/>
      <c r="T119" s="101" t="n"/>
      <c r="U119" s="101" t="n"/>
      <c r="V119" s="101" t="n"/>
      <c r="W119" s="101" t="n"/>
      <c r="X119" s="101" t="n"/>
      <c r="Y119" s="101" t="n"/>
      <c r="Z119" s="101" t="n"/>
      <c r="AA119" s="101" t="n"/>
      <c r="AB119" s="101" t="n"/>
      <c r="AC119" s="101" t="n"/>
      <c r="AD119" s="101" t="n"/>
      <c r="AE119" s="101" t="n"/>
      <c r="AF119" s="101" t="n"/>
      <c r="AG119" s="101" t="n"/>
      <c r="AH119" s="101" t="n"/>
      <c r="AI119" s="101" t="n"/>
      <c r="AJ119" s="101" t="n"/>
      <c r="AK119" s="101" t="n"/>
      <c r="AL119" s="101" t="n"/>
      <c r="AN119" s="101" t="n"/>
      <c r="AO119" s="101" t="n"/>
    </row>
    <row r="120" ht="15" customHeight="1" s="8286">
      <c r="A120" s="1427" t="inlineStr">
        <is>
          <t>35 - 44 años</t>
        </is>
      </c>
      <c r="B120" s="5133" t="n"/>
      <c r="C120" s="5134" t="n"/>
      <c r="D120" s="823" t="n"/>
      <c r="E120" s="823" t="n"/>
      <c r="F120" s="823" t="n"/>
      <c r="G120" s="5013" t="n"/>
      <c r="H120" s="329" t="n"/>
      <c r="P120" s="101" t="n"/>
      <c r="Q120" s="101" t="n"/>
      <c r="R120" s="101" t="n"/>
      <c r="S120" s="101" t="n"/>
      <c r="T120" s="101" t="n"/>
      <c r="U120" s="101" t="n"/>
      <c r="V120" s="101" t="n"/>
      <c r="W120" s="101" t="n"/>
      <c r="X120" s="101" t="n"/>
      <c r="Y120" s="101" t="n"/>
      <c r="Z120" s="101" t="n"/>
      <c r="AA120" s="101" t="n"/>
      <c r="AB120" s="101" t="n"/>
      <c r="AC120" s="101" t="n"/>
      <c r="AD120" s="101" t="n"/>
      <c r="AE120" s="101" t="n"/>
      <c r="AF120" s="101" t="n"/>
      <c r="AG120" s="101" t="n"/>
      <c r="AH120" s="101" t="n"/>
      <c r="AI120" s="101" t="n"/>
      <c r="AJ120" s="101" t="n"/>
      <c r="AK120" s="101" t="n"/>
      <c r="AL120" s="101" t="n"/>
      <c r="AN120" s="101" t="n"/>
      <c r="AO120" s="101" t="n"/>
    </row>
    <row r="121" ht="15" customHeight="1" s="8286">
      <c r="A121" s="1427" t="inlineStr">
        <is>
          <t>45 - 54 años</t>
        </is>
      </c>
      <c r="B121" s="5133" t="n"/>
      <c r="C121" s="5134" t="n"/>
      <c r="D121" s="823" t="n"/>
      <c r="E121" s="823" t="n"/>
      <c r="F121" s="823" t="n"/>
      <c r="G121" s="5013" t="n"/>
      <c r="H121" s="329" t="n"/>
      <c r="P121" s="101" t="n"/>
      <c r="Q121" s="101" t="n"/>
      <c r="R121" s="101" t="n"/>
      <c r="S121" s="101" t="n"/>
      <c r="T121" s="101" t="n"/>
      <c r="U121" s="101" t="n"/>
      <c r="V121" s="101" t="n"/>
      <c r="W121" s="101" t="n"/>
      <c r="X121" s="101" t="n"/>
      <c r="Y121" s="101" t="n"/>
      <c r="Z121" s="101" t="n"/>
      <c r="AA121" s="101" t="n"/>
      <c r="AB121" s="101" t="n"/>
      <c r="AC121" s="101" t="n"/>
      <c r="AD121" s="101" t="n"/>
      <c r="AE121" s="101" t="n"/>
      <c r="AF121" s="101" t="n"/>
      <c r="AG121" s="101" t="n"/>
      <c r="AH121" s="101" t="n"/>
      <c r="AI121" s="101" t="n"/>
      <c r="AJ121" s="101" t="n"/>
      <c r="AK121" s="101" t="n"/>
      <c r="AL121" s="101" t="n"/>
      <c r="AN121" s="101" t="n"/>
      <c r="AO121" s="101" t="n"/>
    </row>
    <row r="122" ht="15" customHeight="1" s="8286">
      <c r="A122" s="1427" t="inlineStr">
        <is>
          <t>55 - 64 años</t>
        </is>
      </c>
      <c r="B122" s="5133" t="n"/>
      <c r="C122" s="5137" t="n"/>
      <c r="D122" s="5135" t="n"/>
      <c r="E122" s="5135" t="n"/>
      <c r="F122" s="5135" t="n"/>
      <c r="G122" s="5126" t="n"/>
      <c r="H122" s="329" t="n"/>
      <c r="P122" s="101" t="n"/>
      <c r="Q122" s="101" t="n"/>
      <c r="R122" s="101" t="n"/>
      <c r="S122" s="101" t="n"/>
      <c r="T122" s="101" t="n"/>
      <c r="U122" s="101" t="n"/>
      <c r="V122" s="101" t="n"/>
      <c r="W122" s="101" t="n"/>
      <c r="X122" s="101" t="n"/>
      <c r="Y122" s="101" t="n"/>
      <c r="Z122" s="101" t="n"/>
      <c r="AA122" s="101" t="n"/>
      <c r="AB122" s="101" t="n"/>
      <c r="AC122" s="101" t="n"/>
      <c r="AD122" s="101" t="n"/>
      <c r="AE122" s="101" t="n"/>
      <c r="AF122" s="101" t="n"/>
      <c r="AG122" s="101" t="n"/>
      <c r="AH122" s="101" t="n"/>
      <c r="AI122" s="101" t="n"/>
      <c r="AJ122" s="101" t="n"/>
      <c r="AK122" s="101" t="n"/>
      <c r="AL122" s="101" t="n"/>
      <c r="AN122" s="101" t="n"/>
      <c r="AO122" s="101" t="n"/>
    </row>
    <row r="123" ht="15" customHeight="1" s="8286">
      <c r="A123" s="1427" t="inlineStr">
        <is>
          <t>65 - 74 años</t>
        </is>
      </c>
      <c r="B123" s="5133" t="n"/>
      <c r="C123" s="5134" t="n"/>
      <c r="D123" s="823" t="n"/>
      <c r="E123" s="823" t="n"/>
      <c r="F123" s="823" t="n"/>
      <c r="G123" s="5013" t="n"/>
      <c r="H123" s="329" t="n"/>
      <c r="P123" s="329" t="n"/>
      <c r="Q123" s="329" t="n"/>
      <c r="R123" s="329" t="n"/>
      <c r="S123" s="329" t="n"/>
      <c r="T123" s="329" t="n"/>
      <c r="U123" s="329" t="n"/>
      <c r="V123" s="329" t="n"/>
      <c r="W123" s="329" t="n"/>
      <c r="X123" s="329" t="n"/>
      <c r="Y123" s="329" t="n"/>
    </row>
    <row r="124" ht="15" customHeight="1" s="8286">
      <c r="A124" s="5138" t="inlineStr">
        <is>
          <t>75 y más años</t>
        </is>
      </c>
      <c r="B124" s="617" t="n"/>
      <c r="C124" s="618" t="n"/>
      <c r="D124" s="5139" t="n"/>
      <c r="E124" s="254" t="n"/>
      <c r="F124" s="5139" t="n"/>
      <c r="G124" s="5129" t="n"/>
      <c r="H124" s="329" t="n"/>
      <c r="P124" s="329" t="n"/>
      <c r="Q124" s="329" t="n"/>
      <c r="R124" s="329" t="n"/>
      <c r="S124" s="329" t="n"/>
      <c r="T124" s="329" t="n"/>
      <c r="U124" s="329" t="n"/>
      <c r="V124" s="329" t="n"/>
      <c r="W124" s="329" t="n"/>
      <c r="X124" s="329" t="n"/>
      <c r="Y124" s="329" t="n"/>
    </row>
    <row r="125" ht="15" customHeight="1" s="8286">
      <c r="A125" s="9497" t="inlineStr">
        <is>
          <t>TOTAL</t>
        </is>
      </c>
      <c r="B125" s="5140">
        <f>SUM(B117:B124)</f>
        <v/>
      </c>
      <c r="C125" s="5141">
        <f>SUM(C117:C124)</f>
        <v/>
      </c>
      <c r="D125" s="5142">
        <f>SUM(D117:D124)</f>
        <v/>
      </c>
      <c r="E125" s="5142">
        <f>SUM(E117:E124)</f>
        <v/>
      </c>
      <c r="F125" s="5142">
        <f>SUM(F117:F124)</f>
        <v/>
      </c>
      <c r="G125" s="5019">
        <f>SUM(G117:G124)</f>
        <v/>
      </c>
      <c r="H125" s="329" t="n"/>
      <c r="I125" s="329" t="n"/>
      <c r="J125" s="329" t="n"/>
      <c r="K125" s="329" t="n"/>
      <c r="L125" s="329" t="n"/>
      <c r="M125" s="329" t="n"/>
      <c r="N125" s="329" t="n"/>
      <c r="O125" s="329" t="n"/>
      <c r="P125" s="329" t="n"/>
      <c r="Q125" s="329" t="n"/>
      <c r="R125" s="329" t="n"/>
      <c r="S125" s="329" t="n"/>
      <c r="T125" s="329" t="n"/>
      <c r="U125" s="329" t="n"/>
      <c r="V125" s="329" t="n"/>
      <c r="W125" s="329" t="n"/>
      <c r="X125" s="329" t="n"/>
      <c r="Y125" s="329" t="n"/>
    </row>
    <row r="150" hidden="1" s="8286">
      <c r="A150" s="251">
        <f>SUM(C13:C15,B21:B23,C29:C33,C35:C39,C41:C45,C47:C49,B55:B57,C64:C71,C75:I81,C86:C94,B97:B99,B104:X105,B108:D112,B117:G124)</f>
        <v/>
      </c>
      <c r="B150" s="251">
        <f>SUM(CI13:CI105)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Wz/I3rmnJUntQoZVhwJ9Fg==" formatRows="1" sort="1" spinCount="100000" hashValue="FaJNtB87ew73FCOFRYbWaPuqaFHJ7mWxserJFeYUi6Pn7E9O4+deIDK5SctryCtLnk9x6PC5UCU+i6t/DYjvOw=="/>
  <mergeCells count="158">
    <mergeCell ref="N11:O11"/>
    <mergeCell ref="A26:A28"/>
    <mergeCell ref="O53:P53"/>
    <mergeCell ref="X11:Y11"/>
    <mergeCell ref="Z11:AA11"/>
    <mergeCell ref="AD27:AF27"/>
    <mergeCell ref="F84:G84"/>
    <mergeCell ref="P84:Q84"/>
    <mergeCell ref="A13:A15"/>
    <mergeCell ref="AF52:AH53"/>
    <mergeCell ref="V102:V103"/>
    <mergeCell ref="R84:S84"/>
    <mergeCell ref="A29:A33"/>
    <mergeCell ref="A52:A54"/>
    <mergeCell ref="T62:U62"/>
    <mergeCell ref="B52:D53"/>
    <mergeCell ref="C101:C103"/>
    <mergeCell ref="L102:M102"/>
    <mergeCell ref="C10:E11"/>
    <mergeCell ref="A83:A85"/>
    <mergeCell ref="V61:W62"/>
    <mergeCell ref="A95:H95"/>
    <mergeCell ref="F83:U83"/>
    <mergeCell ref="A77:A78"/>
    <mergeCell ref="D73:D74"/>
    <mergeCell ref="D101:S101"/>
    <mergeCell ref="AD61:AF62"/>
    <mergeCell ref="E115:E116"/>
    <mergeCell ref="G115:G116"/>
    <mergeCell ref="K53:L53"/>
    <mergeCell ref="B10:B12"/>
    <mergeCell ref="H62:I62"/>
    <mergeCell ref="J62:K62"/>
    <mergeCell ref="E53:F53"/>
    <mergeCell ref="T27:U27"/>
    <mergeCell ref="W52:Y53"/>
    <mergeCell ref="Q53:R53"/>
    <mergeCell ref="AC52:AE53"/>
    <mergeCell ref="F61:U61"/>
    <mergeCell ref="H102:I102"/>
    <mergeCell ref="J102:K102"/>
    <mergeCell ref="B83:B85"/>
    <mergeCell ref="AJ26:AJ28"/>
    <mergeCell ref="A114:A116"/>
    <mergeCell ref="A46:B46"/>
    <mergeCell ref="N102:O102"/>
    <mergeCell ref="P11:Q11"/>
    <mergeCell ref="J27:K27"/>
    <mergeCell ref="AN10:AN12"/>
    <mergeCell ref="H19:H20"/>
    <mergeCell ref="C114:G114"/>
    <mergeCell ref="H11:I11"/>
    <mergeCell ref="J11:K11"/>
    <mergeCell ref="F62:G62"/>
    <mergeCell ref="E52:T52"/>
    <mergeCell ref="T11:U11"/>
    <mergeCell ref="F10:AM10"/>
    <mergeCell ref="X27:Z27"/>
    <mergeCell ref="V11:W11"/>
    <mergeCell ref="A69:A71"/>
    <mergeCell ref="AF11:AG11"/>
    <mergeCell ref="AH11:AI11"/>
    <mergeCell ref="P102:Q102"/>
    <mergeCell ref="L84:M84"/>
    <mergeCell ref="Z52:AB53"/>
    <mergeCell ref="I19:I20"/>
    <mergeCell ref="N84:O84"/>
    <mergeCell ref="K19:K20"/>
    <mergeCell ref="AJ52:AJ54"/>
    <mergeCell ref="C19:C20"/>
    <mergeCell ref="T102:T103"/>
    <mergeCell ref="B61:B63"/>
    <mergeCell ref="AA27:AC27"/>
    <mergeCell ref="P62:Q62"/>
    <mergeCell ref="A41:A45"/>
    <mergeCell ref="X102:X103"/>
    <mergeCell ref="M53:N53"/>
    <mergeCell ref="A18:A20"/>
    <mergeCell ref="A34:B34"/>
    <mergeCell ref="A101:A103"/>
    <mergeCell ref="C73:C74"/>
    <mergeCell ref="AG27:AI27"/>
    <mergeCell ref="A100:D100"/>
    <mergeCell ref="AI52:AI54"/>
    <mergeCell ref="A47:A49"/>
    <mergeCell ref="B73:B74"/>
    <mergeCell ref="X61:Z62"/>
    <mergeCell ref="C83:E84"/>
    <mergeCell ref="U52:V53"/>
    <mergeCell ref="C115:C116"/>
    <mergeCell ref="C18:F18"/>
    <mergeCell ref="A35:A39"/>
    <mergeCell ref="B26:B28"/>
    <mergeCell ref="A6:W6"/>
    <mergeCell ref="A92:A94"/>
    <mergeCell ref="A79:A81"/>
    <mergeCell ref="P27:Q27"/>
    <mergeCell ref="R27:S27"/>
    <mergeCell ref="F115:F116"/>
    <mergeCell ref="S53:T53"/>
    <mergeCell ref="AB11:AC11"/>
    <mergeCell ref="V27:W27"/>
    <mergeCell ref="AG61:AI62"/>
    <mergeCell ref="AD11:AE11"/>
    <mergeCell ref="H84:I84"/>
    <mergeCell ref="D102:E102"/>
    <mergeCell ref="A61:A63"/>
    <mergeCell ref="F102:G102"/>
    <mergeCell ref="T84:U84"/>
    <mergeCell ref="B101:B103"/>
    <mergeCell ref="R62:S62"/>
    <mergeCell ref="V26:AI26"/>
    <mergeCell ref="F26:U26"/>
    <mergeCell ref="L11:M11"/>
    <mergeCell ref="A40:B40"/>
    <mergeCell ref="AA61:AC62"/>
    <mergeCell ref="V83:V85"/>
    <mergeCell ref="T101:X101"/>
    <mergeCell ref="F11:G11"/>
    <mergeCell ref="A106:D106"/>
    <mergeCell ref="R11:S11"/>
    <mergeCell ref="AJ11:AK11"/>
    <mergeCell ref="AL11:AM11"/>
    <mergeCell ref="E19:E20"/>
    <mergeCell ref="G19:G20"/>
    <mergeCell ref="J84:K84"/>
    <mergeCell ref="B114:B116"/>
    <mergeCell ref="A75:A76"/>
    <mergeCell ref="Y101:Y103"/>
    <mergeCell ref="E73:I73"/>
    <mergeCell ref="A16:B16"/>
    <mergeCell ref="A10:A12"/>
    <mergeCell ref="L62:M62"/>
    <mergeCell ref="N62:O62"/>
    <mergeCell ref="G53:H53"/>
    <mergeCell ref="I53:J53"/>
    <mergeCell ref="G18:K18"/>
    <mergeCell ref="A50:B50"/>
    <mergeCell ref="C26:E27"/>
    <mergeCell ref="AJ61:AJ63"/>
    <mergeCell ref="U102:U103"/>
    <mergeCell ref="W102:W103"/>
    <mergeCell ref="F27:G27"/>
    <mergeCell ref="H27:I27"/>
    <mergeCell ref="B18:B20"/>
    <mergeCell ref="A66:A68"/>
    <mergeCell ref="D19:D20"/>
    <mergeCell ref="F19:F20"/>
    <mergeCell ref="C61:E62"/>
    <mergeCell ref="A64:A65"/>
    <mergeCell ref="A86:A88"/>
    <mergeCell ref="A73:A74"/>
    <mergeCell ref="R102:S102"/>
    <mergeCell ref="L27:M27"/>
    <mergeCell ref="N27:O27"/>
    <mergeCell ref="A89:A91"/>
    <mergeCell ref="J19:J20"/>
    <mergeCell ref="D115:D116"/>
  </mergeCells>
  <dataValidations count="4">
    <dataValidation sqref="B104:Y105 B108:D112 B117:G124 C21:K23 C75:I81 C97:F99 E55:T57 F13:AN15 F29:U50 F58:T58 F64:AJ71 F86:V94 AI58 AJ29:AJ50" showDropDown="0" showInputMessage="1" showErrorMessage="1" allowBlank="0" type="whole" operator="greaterThanOrEqual">
      <formula1>0</formula1>
    </dataValidation>
    <dataValidation sqref="B55:B58 C13:E16 C29:C32 C35:C39 C41:C49 C115 D29:E50 E19:G19 F16:AN16 H19:K20 V83 Y101:Y103 AI52:AJ54 AJ26 AJ61:AJ63 AN10:AN12" showDropDown="0" showInputMessage="1" showErrorMessage="1" allowBlank="0" type="whole">
      <formula1>0</formula1>
      <formula2>1E+30</formula2>
    </dataValidation>
    <dataValidation sqref="V29:AI50" showDropDown="0" showInputMessage="1" showErrorMessage="1" allowBlank="0" type="whole">
      <formula1>0</formula1>
      <formula2>9.99999999999999E+41</formula2>
    </dataValidation>
    <dataValidation sqref="U55:AH58 AI55:AI57" showDropDown="0" showInputMessage="1" showErrorMessage="1" allowBlank="0" type="whole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>
  <sheetPr codeName="Hoja28">
    <outlinePr summaryBelow="1" summaryRight="1"/>
    <pageSetUpPr/>
  </sheetPr>
  <dimension ref="C1:E32"/>
  <sheetViews>
    <sheetView showGridLines="0" workbookViewId="0">
      <selection activeCell="J11" sqref="J11"/>
    </sheetView>
  </sheetViews>
  <sheetFormatPr baseColWidth="10" defaultColWidth="11.42578125" defaultRowHeight="12.75"/>
  <cols>
    <col width="1.85546875" customWidth="1" style="72" min="1" max="2"/>
    <col width="34" customWidth="1" style="72" min="3" max="3"/>
    <col width="19.42578125" customWidth="1" style="72" min="4" max="4"/>
    <col width="38.7109375" customWidth="1" style="72" min="5" max="5"/>
    <col width="27.42578125" customWidth="1" style="72" min="6" max="6"/>
    <col width="11.42578125" customWidth="1" style="72" min="7" max="15"/>
    <col width="11.42578125" customWidth="1" style="71" min="16" max="146"/>
    <col width="11.42578125" customWidth="1" style="72" min="147" max="16384"/>
  </cols>
  <sheetData>
    <row r="1" ht="33" customHeight="1" s="8286">
      <c r="C1" s="10739" t="inlineStr">
        <is>
          <t>NUMERO DE ERRORES Y COMPLETITUD DE REM SERIE A</t>
        </is>
      </c>
      <c r="D1" s="9678" t="n"/>
      <c r="E1" s="9938" t="n"/>
    </row>
    <row r="2" ht="42.75" customHeight="1" s="8286">
      <c r="C2" s="697">
        <f>CONCATENATE("ESTABLECIMIENTO: ",NOMBRE!B3," - ",NOMBRE!C3,NOMBRE!D3,NOMBRE!E3,NOMBRE!F3,NOMBRE!G3,NOMBRE!H3,NOMBRE!I3," 
  "," / MES:  ",NOMBRE!B6,"  / AÑO:  ",NOMBRE!B7)</f>
        <v/>
      </c>
      <c r="D2" s="71" t="n"/>
      <c r="E2" s="5143" t="n"/>
    </row>
    <row r="3" ht="34.5" customHeight="1" s="8286">
      <c r="C3" s="5144" t="inlineStr">
        <is>
          <t>REM</t>
        </is>
      </c>
      <c r="D3" s="5144" t="inlineStr">
        <is>
          <t>Nº ERRORES</t>
        </is>
      </c>
      <c r="E3" s="5145" t="inlineStr">
        <is>
          <t>REM
SIN DATOS</t>
        </is>
      </c>
    </row>
    <row r="4" ht="22.5" customHeight="1" s="8286">
      <c r="C4" s="5146" t="inlineStr">
        <is>
          <t>HOJA NOMBRE</t>
        </is>
      </c>
      <c r="D4" s="5147">
        <f>NOMBRE!A32</f>
        <v/>
      </c>
      <c r="E4" s="5143" t="n"/>
    </row>
    <row r="5" ht="22.5" customHeight="1" s="8286">
      <c r="C5" s="5146" t="inlineStr">
        <is>
          <t>REM A01</t>
        </is>
      </c>
      <c r="D5" s="5148">
        <f>'A01'!B258</f>
        <v/>
      </c>
      <c r="E5" s="5149">
        <f>IF('A01'!A258=0,"SIN DATOS","")</f>
        <v/>
      </c>
    </row>
    <row r="6" ht="22.5" customHeight="1" s="8286">
      <c r="C6" s="5146" t="inlineStr">
        <is>
          <t>REM A02</t>
        </is>
      </c>
      <c r="D6" s="5148">
        <f>'A02'!B51</f>
        <v/>
      </c>
      <c r="E6" s="5149">
        <f>IF('A02'!A51=0,"SIN DATOS","")</f>
        <v/>
      </c>
    </row>
    <row r="7" ht="22.5" customHeight="1" s="8286">
      <c r="C7" s="5146" t="inlineStr">
        <is>
          <t>REM A03</t>
        </is>
      </c>
      <c r="D7" s="5150">
        <f>'A03'!B278</f>
        <v/>
      </c>
      <c r="E7" s="5149">
        <f>IF('A03'!A278=0,"SIN DATOS","")</f>
        <v/>
      </c>
    </row>
    <row r="8" ht="22.5" customHeight="1" s="8286">
      <c r="C8" s="5146" t="inlineStr">
        <is>
          <t>REM A04</t>
        </is>
      </c>
      <c r="D8" s="5148">
        <f>'A04'!A240</f>
        <v/>
      </c>
      <c r="E8" s="5149">
        <f>IF('A04'!A239=0,"SIN DATOS","")</f>
        <v/>
      </c>
    </row>
    <row r="9" ht="22.5" customHeight="1" s="8286">
      <c r="C9" s="5146" t="inlineStr">
        <is>
          <t>REM A05</t>
        </is>
      </c>
      <c r="D9" s="5148">
        <f>'A05'!B437</f>
        <v/>
      </c>
      <c r="E9" s="5149">
        <f>IF('A05'!A437=0,"SIN DATOS","")</f>
        <v/>
      </c>
    </row>
    <row r="10" ht="22.5" customHeight="1" s="8286">
      <c r="C10" s="5146" t="inlineStr">
        <is>
          <t>REM A06</t>
        </is>
      </c>
      <c r="D10" s="5148">
        <f>'A06'!B205</f>
        <v/>
      </c>
      <c r="E10" s="5149">
        <f>IF('A06'!A205=0,"SIN DATOS","")</f>
        <v/>
      </c>
    </row>
    <row r="11" ht="22.5" customHeight="1" s="8286">
      <c r="C11" s="5146" t="inlineStr">
        <is>
          <t>REM A07</t>
        </is>
      </c>
      <c r="D11" s="5148">
        <f>'A07'!B239</f>
        <v/>
      </c>
      <c r="E11" s="5149">
        <f>IF('A07'!A239=0,"SIN DATOS","")</f>
        <v/>
      </c>
    </row>
    <row r="12" ht="22.5" customHeight="1" s="8286">
      <c r="C12" s="5146" t="inlineStr">
        <is>
          <t>REM A08</t>
        </is>
      </c>
      <c r="D12" s="5148">
        <f>'A08'!B248</f>
        <v/>
      </c>
      <c r="E12" s="5149">
        <f>IF('A08'!A248=0,"SIN DATOS","")</f>
        <v/>
      </c>
    </row>
    <row r="13" ht="22.5" customHeight="1" s="8286">
      <c r="C13" s="5146" t="inlineStr">
        <is>
          <t>REM A09</t>
        </is>
      </c>
      <c r="D13" s="5148">
        <f>'A09'!B385</f>
        <v/>
      </c>
      <c r="E13" s="5149">
        <f>IF('A09'!A385=0,"SIN DATOS","")</f>
        <v/>
      </c>
    </row>
    <row r="14" ht="22.5" customHeight="1" s="8286">
      <c r="C14" s="5146" t="inlineStr">
        <is>
          <t>REM A11</t>
        </is>
      </c>
      <c r="D14" s="5148">
        <f>'A11'!B311</f>
        <v/>
      </c>
      <c r="E14" s="5149">
        <f>IF('A11'!A311=0,"SIN DATOS","")</f>
        <v/>
      </c>
    </row>
    <row r="15" ht="22.5" customHeight="1" s="8286">
      <c r="C15" s="5146" t="inlineStr">
        <is>
          <t>REM A11a</t>
        </is>
      </c>
      <c r="D15" s="5148">
        <f>A11a!B150</f>
        <v/>
      </c>
      <c r="E15" s="5149">
        <f>IF(A11a!A150=0,"SIN DATOS","")</f>
        <v/>
      </c>
    </row>
    <row r="16" ht="22.5" customHeight="1" s="8286">
      <c r="C16" s="5146" t="inlineStr">
        <is>
          <t>REM A19a</t>
        </is>
      </c>
      <c r="D16" s="5148">
        <f>A19a!B203</f>
        <v/>
      </c>
      <c r="E16" s="5149">
        <f>IF(A19a!A203=0,"SIN DATOS","")</f>
        <v/>
      </c>
    </row>
    <row r="17" ht="22.5" customHeight="1" s="8286">
      <c r="C17" s="5146" t="inlineStr">
        <is>
          <t>REM A19b</t>
        </is>
      </c>
      <c r="D17" s="5148">
        <f>A19b!B200</f>
        <v/>
      </c>
      <c r="E17" s="5149">
        <f>IF(A19b!A200=0,"SIN DATOS","")</f>
        <v/>
      </c>
    </row>
    <row r="18" ht="22.5" customHeight="1" s="8286">
      <c r="C18" s="5146" t="inlineStr">
        <is>
          <t>REM A21</t>
        </is>
      </c>
      <c r="D18" s="5151">
        <f>'A21'!B204</f>
        <v/>
      </c>
      <c r="E18" s="5149">
        <f>IF('A21'!A204=0,"SIN DATOS","")</f>
        <v/>
      </c>
    </row>
    <row r="19" ht="22.5" customHeight="1" s="8286">
      <c r="C19" s="5146" t="inlineStr">
        <is>
          <t>REM A23</t>
        </is>
      </c>
      <c r="D19" s="5152">
        <f>'A23'!B215</f>
        <v/>
      </c>
      <c r="E19" s="5149">
        <f>IF('A23'!A215=0,"SIN DATOS","")</f>
        <v/>
      </c>
    </row>
    <row r="20" ht="22.5" customHeight="1" s="8286">
      <c r="C20" s="5146" t="inlineStr">
        <is>
          <t>REM A24</t>
        </is>
      </c>
      <c r="D20" s="5151">
        <f>'A24'!B179</f>
        <v/>
      </c>
      <c r="E20" s="5149">
        <f>IF('A24'!A179=0,"SIN DATOS","")</f>
        <v/>
      </c>
    </row>
    <row r="21" ht="22.5" customHeight="1" s="8286">
      <c r="C21" s="5146" t="inlineStr">
        <is>
          <t>REM A25</t>
        </is>
      </c>
      <c r="D21" s="5151">
        <f>'A25'!B319</f>
        <v/>
      </c>
      <c r="E21" s="5149">
        <f>IF('A25'!A319=0,"SIN DATOS","")</f>
        <v/>
      </c>
    </row>
    <row r="22" ht="22.5" customHeight="1" s="8286">
      <c r="C22" s="5146" t="inlineStr">
        <is>
          <t>REM A26</t>
        </is>
      </c>
      <c r="D22" s="5151">
        <f>'A26'!B150</f>
        <v/>
      </c>
      <c r="E22" s="5149">
        <f>IF('A26'!A150=0,"SIN DATOS","")</f>
        <v/>
      </c>
    </row>
    <row r="23" ht="22.5" customHeight="1" s="8286">
      <c r="C23" s="5146" t="inlineStr">
        <is>
          <t>REM A27</t>
        </is>
      </c>
      <c r="D23" s="5151">
        <f>'A27'!B249</f>
        <v/>
      </c>
      <c r="E23" s="5149">
        <f>IF('A27'!A249=0,"SIN DATOS","")</f>
        <v/>
      </c>
    </row>
    <row r="24" ht="22.5" customHeight="1" s="8286">
      <c r="C24" s="5146" t="inlineStr">
        <is>
          <t>REM A28</t>
        </is>
      </c>
      <c r="D24" s="5151">
        <f>'A28'!B351</f>
        <v/>
      </c>
      <c r="E24" s="5149">
        <f>IF('A28'!A351=0,"SIN DATOS","")</f>
        <v/>
      </c>
    </row>
    <row r="25" ht="22.5" customHeight="1" s="8286">
      <c r="C25" s="5146" t="inlineStr">
        <is>
          <t>REM A29</t>
        </is>
      </c>
      <c r="D25" s="5151">
        <f>'A29'!B205</f>
        <v/>
      </c>
      <c r="E25" s="5149">
        <f>IF('A29'!A205=0,"SIN DATOS","")</f>
        <v/>
      </c>
    </row>
    <row r="26" ht="22.5" customHeight="1" s="8286">
      <c r="C26" s="5146" t="inlineStr">
        <is>
          <t>REM A30</t>
        </is>
      </c>
      <c r="D26" s="5151">
        <f>'A30'!B174</f>
        <v/>
      </c>
      <c r="E26" s="5149">
        <f>IF('A30'!A174=0,"SIN DATOS","")</f>
        <v/>
      </c>
    </row>
    <row r="27" ht="22.5" customHeight="1" s="8286">
      <c r="C27" s="5146" t="inlineStr">
        <is>
          <t>REM A30AR</t>
        </is>
      </c>
      <c r="D27" s="5151">
        <f>A30AR!B138</f>
        <v/>
      </c>
      <c r="E27" s="5149">
        <f>IF(A30AR!A138=0,"SIN DATOS","")</f>
        <v/>
      </c>
    </row>
    <row r="28" ht="22.5" customHeight="1" s="8286">
      <c r="C28" s="5146" t="inlineStr">
        <is>
          <t>REM A31</t>
        </is>
      </c>
      <c r="D28" s="5151">
        <f>'A31'!B130</f>
        <v/>
      </c>
      <c r="E28" s="5149">
        <f>IF('A31'!A130=0,"SIN DATOS","")</f>
        <v/>
      </c>
    </row>
    <row r="29" ht="22.5" customHeight="1" s="8286">
      <c r="C29" s="5146" t="inlineStr">
        <is>
          <t>REM A32</t>
        </is>
      </c>
      <c r="D29" s="5151">
        <f>'A32'!B236</f>
        <v/>
      </c>
      <c r="E29" s="5149">
        <f>IF('A32'!A236=0,"SIN DATOS","")</f>
        <v/>
      </c>
    </row>
    <row r="30" ht="22.5" customHeight="1" s="8286">
      <c r="C30" s="5146" t="inlineStr">
        <is>
          <t>REM A33</t>
        </is>
      </c>
      <c r="D30" s="5151">
        <f>'A33'!B101</f>
        <v/>
      </c>
      <c r="E30" s="5149">
        <f>IF('A33'!A101=0,"SIN DATOS","")</f>
        <v/>
      </c>
    </row>
    <row r="31" ht="22.5" customHeight="1" s="8286">
      <c r="C31" s="5146" t="inlineStr">
        <is>
          <t>REM A34</t>
        </is>
      </c>
      <c r="D31" s="5151">
        <f>'A34'!B150</f>
        <v/>
      </c>
      <c r="E31" s="5149">
        <f>IF('A34'!A150=0,"SIN DATOS","")</f>
        <v/>
      </c>
    </row>
    <row r="32" ht="27.75" customHeight="1" s="8286">
      <c r="C32" s="5153" t="inlineStr">
        <is>
          <t>TOTAL</t>
        </is>
      </c>
      <c r="D32" s="5154">
        <f>SUM(D4:D31)</f>
        <v/>
      </c>
      <c r="E32" s="5155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7An5fychUEVxPWSDyHgc0g==" formatRows="1" sort="1" spinCount="100000" hashValue="S/mSLDNi3AGIW77alaBW8Ddxv9NxG+AAioStlNenOnFt0ht1jrc59PmyyWwui/5bEsCP53g1RNWSuNaAbwDIEg=="/>
  <mergeCells count="1">
    <mergeCell ref="C1:E1"/>
  </mergeCells>
  <dataValidations disablePrompts="1" count="1">
    <dataValidation sqref="IO5:IO31 IO65548:IO65566 IO131084:IO131102 IO196620:IO196638 IO262156:IO262174 IO327692:IO327710 IO393228:IO393246 IO458764:IO458782 IO524300:IO524318 IO589836:IO589854 IO655372:IO655390 IO720908:IO720926 IO786444:IO786462 IO851980:IO851998 IO917516:IO917534 IO983052:IO983070 SK5:SK31 SK65548:SK65566 SK131084:SK131102 SK196620:SK196638 SK262156:SK262174 SK327692:SK327710 SK393228:SK393246 SK458764:SK458782 SK524300:SK524318 SK589836:SK589854 SK655372:SK655390 SK720908:SK720926 SK786444:SK786462 SK851980:SK851998 SK917516:SK917534 SK983052:SK983070 ACG5:ACG31 ACG65548:ACG65566 ACG131084:ACG131102 ACG196620:ACG196638 ACG262156:ACG262174 ACG327692:ACG327710 ACG393228:ACG393246 ACG458764:ACG458782 ACG524300:ACG524318 ACG589836:ACG589854 ACG655372:ACG655390 ACG720908:ACG720926 ACG786444:ACG786462 ACG851980:ACG851998 ACG917516:ACG917534 ACG983052:ACG983070 AMC5:AMC31 AMC65548:AMC65566 AMC131084:AMC131102 AMC196620:AMC196638 AMC262156:AMC262174 AMC327692:AMC327710 AMC393228:AMC393246 AMC458764:AMC458782 AMC524300:AMC524318 AMC589836:AMC589854 AMC655372:AMC655390 AMC720908:AMC720926 AMC786444:AMC786462 AMC851980:AMC851998 AMC917516:AMC917534 AMC983052:AMC983070 AVY5:AVY31 AVY65548:AVY65566 AVY131084:AVY131102 AVY196620:AVY196638 AVY262156:AVY262174 AVY327692:AVY327710 AVY393228:AVY393246 AVY458764:AVY458782 AVY524300:AVY524318 AVY589836:AVY589854 AVY655372:AVY655390 AVY720908:AVY720926 AVY786444:AVY786462 AVY851980:AVY851998 AVY917516:AVY917534 AVY983052:AVY983070 BFU5:BFU31 BFU65548:BFU65566 BFU131084:BFU131102 BFU196620:BFU196638 BFU262156:BFU262174 BFU327692:BFU327710 BFU393228:BFU393246 BFU458764:BFU458782 BFU524300:BFU524318 BFU589836:BFU589854 BFU655372:BFU655390 BFU720908:BFU720926 BFU786444:BFU786462 BFU851980:BFU851998 BFU917516:BFU917534 BFU983052:BFU983070 BPQ5:BPQ31 BPQ65548:BPQ65566 BPQ131084:BPQ131102 BPQ196620:BPQ196638 BPQ262156:BPQ262174 BPQ327692:BPQ327710 BPQ393228:BPQ393246 BPQ458764:BPQ458782 BPQ524300:BPQ524318 BPQ589836:BPQ589854 BPQ655372:BPQ655390 BPQ720908:BPQ720926 BPQ786444:BPQ786462 BPQ851980:BPQ851998 BPQ917516:BPQ917534 BPQ983052:BPQ983070 BZM5:BZM31 BZM65548:BZM65566 BZM131084:BZM131102 BZM196620:BZM196638 BZM262156:BZM262174 BZM327692:BZM327710 BZM393228:BZM393246 BZM458764:BZM458782 BZM524300:BZM524318 BZM589836:BZM589854 BZM655372:BZM655390 BZM720908:BZM720926 BZM786444:BZM786462 BZM851980:BZM851998 BZM917516:BZM917534 BZM983052:BZM983070 CJI5:CJI31 CJI65548:CJI65566 CJI131084:CJI131102 CJI196620:CJI196638 CJI262156:CJI262174 CJI327692:CJI327710 CJI393228:CJI393246 CJI458764:CJI458782 CJI524300:CJI524318 CJI589836:CJI589854 CJI655372:CJI655390 CJI720908:CJI720926 CJI786444:CJI786462 CJI851980:CJI851998 CJI917516:CJI917534 CJI983052:CJI983070 CTE5:CTE31 CTE65548:CTE65566 CTE131084:CTE131102 CTE196620:CTE196638 CTE262156:CTE262174 CTE327692:CTE327710 CTE393228:CTE393246 CTE458764:CTE458782 CTE524300:CTE524318 CTE589836:CTE589854 CTE655372:CTE655390 CTE720908:CTE720926 CTE786444:CTE786462 CTE851980:CTE851998 CTE917516:CTE917534 CTE983052:CTE983070 DDA5:DDA31 DDA65548:DDA65566 DDA131084:DDA131102 DDA196620:DDA196638 DDA262156:DDA262174 DDA327692:DDA327710 DDA393228:DDA393246 DDA458764:DDA458782 DDA524300:DDA524318 DDA589836:DDA589854 DDA655372:DDA655390 DDA720908:DDA720926 DDA786444:DDA786462 DDA851980:DDA851998 DDA917516:DDA917534 DDA983052:DDA983070 DMW5:DMW31 DMW65548:DMW65566 DMW131084:DMW131102 DMW196620:DMW196638 DMW262156:DMW262174 DMW327692:DMW327710 DMW393228:DMW393246 DMW458764:DMW458782 DMW524300:DMW524318 DMW589836:DMW589854 DMW655372:DMW655390 DMW720908:DMW720926 DMW786444:DMW786462 DMW851980:DMW851998 DMW917516:DMW917534 DMW983052:DMW983070 DWS5:DWS31 DWS65548:DWS65566 DWS131084:DWS131102 DWS196620:DWS196638 DWS262156:DWS262174 DWS327692:DWS327710 DWS393228:DWS393246 DWS458764:DWS458782 DWS524300:DWS524318 DWS589836:DWS589854 DWS655372:DWS655390 DWS720908:DWS720926 DWS786444:DWS786462 DWS851980:DWS851998 DWS917516:DWS917534 DWS983052:DWS983070 EGO5:EGO31 EGO65548:EGO65566 EGO131084:EGO131102 EGO196620:EGO196638 EGO262156:EGO262174 EGO327692:EGO327710 EGO393228:EGO393246 EGO458764:EGO458782 EGO524300:EGO524318 EGO589836:EGO589854 EGO655372:EGO655390 EGO720908:EGO720926 EGO786444:EGO786462 EGO851980:EGO851998 EGO917516:EGO917534 EGO983052:EGO983070 EQK5:EQK31 EQK65548:EQK65566 EQK131084:EQK131102 EQK196620:EQK196638 EQK262156:EQK262174 EQK327692:EQK327710 EQK393228:EQK393246 EQK458764:EQK458782 EQK524300:EQK524318 EQK589836:EQK589854 EQK655372:EQK655390 EQK720908:EQK720926 EQK786444:EQK786462 EQK851980:EQK851998 EQK917516:EQK917534 EQK983052:EQK983070 FAG5:FAG31 FAG65548:FAG65566 FAG131084:FAG131102 FAG196620:FAG196638 FAG262156:FAG262174 FAG327692:FAG327710 FAG393228:FAG393246 FAG458764:FAG458782 FAG524300:FAG524318 FAG589836:FAG589854 FAG655372:FAG655390 FAG720908:FAG720926 FAG786444:FAG786462 FAG851980:FAG851998 FAG917516:FAG917534 FAG983052:FAG983070 FKC5:FKC31 FKC65548:FKC65566 FKC131084:FKC131102 FKC196620:FKC196638 FKC262156:FKC262174 FKC327692:FKC327710 FKC393228:FKC393246 FKC458764:FKC458782 FKC524300:FKC524318 FKC589836:FKC589854 FKC655372:FKC655390 FKC720908:FKC720926 FKC786444:FKC786462 FKC851980:FKC851998 FKC917516:FKC917534 FKC983052:FKC983070 FTY5:FTY31 FTY65548:FTY65566 FTY131084:FTY131102 FTY196620:FTY196638 FTY262156:FTY262174 FTY327692:FTY327710 FTY393228:FTY393246 FTY458764:FTY458782 FTY524300:FTY524318 FTY589836:FTY589854 FTY655372:FTY655390 FTY720908:FTY720926 FTY786444:FTY786462 FTY851980:FTY851998 FTY917516:FTY917534 FTY983052:FTY983070 GDU5:GDU31 GDU65548:GDU65566 GDU131084:GDU131102 GDU196620:GDU196638 GDU262156:GDU262174 GDU327692:GDU327710 GDU393228:GDU393246 GDU458764:GDU458782 GDU524300:GDU524318 GDU589836:GDU589854 GDU655372:GDU655390 GDU720908:GDU720926 GDU786444:GDU786462 GDU851980:GDU851998 GDU917516:GDU917534 GDU983052:GDU983070 GNQ5:GNQ31 GNQ65548:GNQ65566 GNQ131084:GNQ131102 GNQ196620:GNQ196638 GNQ262156:GNQ262174 GNQ327692:GNQ327710 GNQ393228:GNQ393246 GNQ458764:GNQ458782 GNQ524300:GNQ524318 GNQ589836:GNQ589854 GNQ655372:GNQ655390 GNQ720908:GNQ720926 GNQ786444:GNQ786462 GNQ851980:GNQ851998 GNQ917516:GNQ917534 GNQ983052:GNQ983070 GXM5:GXM31 GXM65548:GXM65566 GXM131084:GXM131102 GXM196620:GXM196638 GXM262156:GXM262174 GXM327692:GXM327710 GXM393228:GXM393246 GXM458764:GXM458782 GXM524300:GXM524318 GXM589836:GXM589854 GXM655372:GXM655390 GXM720908:GXM720926 GXM786444:GXM786462 GXM851980:GXM851998 GXM917516:GXM917534 GXM983052:GXM983070 HHI5:HHI31 HHI65548:HHI65566 HHI131084:HHI131102 HHI196620:HHI196638 HHI262156:HHI262174 HHI327692:HHI327710 HHI393228:HHI393246 HHI458764:HHI458782 HHI524300:HHI524318 HHI589836:HHI589854 HHI655372:HHI655390 HHI720908:HHI720926 HHI786444:HHI786462 HHI851980:HHI851998 HHI917516:HHI917534 HHI983052:HHI983070 HRE5:HRE31 HRE65548:HRE65566 HRE131084:HRE131102 HRE196620:HRE196638 HRE262156:HRE262174 HRE327692:HRE327710 HRE393228:HRE393246 HRE458764:HRE458782 HRE524300:HRE524318 HRE589836:HRE589854 HRE655372:HRE655390 HRE720908:HRE720926 HRE786444:HRE786462 HRE851980:HRE851998 HRE917516:HRE917534 HRE983052:HRE983070 IBA5:IBA31 IBA65548:IBA65566 IBA131084:IBA131102 IBA196620:IBA196638 IBA262156:IBA262174 IBA327692:IBA327710 IBA393228:IBA393246 IBA458764:IBA458782 IBA524300:IBA524318 IBA589836:IBA589854 IBA655372:IBA655390 IBA720908:IBA720926 IBA786444:IBA786462 IBA851980:IBA851998 IBA917516:IBA917534 IBA983052:IBA983070 IKW5:IKW31 IKW65548:IKW65566 IKW131084:IKW131102 IKW196620:IKW196638 IKW262156:IKW262174 IKW327692:IKW327710 IKW393228:IKW393246 IKW458764:IKW458782 IKW524300:IKW524318 IKW589836:IKW589854 IKW655372:IKW655390 IKW720908:IKW720926 IKW786444:IKW786462 IKW851980:IKW851998 IKW917516:IKW917534 IKW983052:IKW983070 IUS5:IUS31 IUS65548:IUS65566 IUS131084:IUS131102 IUS196620:IUS196638 IUS262156:IUS262174 IUS327692:IUS327710 IUS393228:IUS393246 IUS458764:IUS458782 IUS524300:IUS524318 IUS589836:IUS589854 IUS655372:IUS655390 IUS720908:IUS720926 IUS786444:IUS786462 IUS851980:IUS851998 IUS917516:IUS917534 IUS983052:IUS983070 JEO5:JEO31 JEO65548:JEO65566 JEO131084:JEO131102 JEO196620:JEO196638 JEO262156:JEO262174 JEO327692:JEO327710 JEO393228:JEO393246 JEO458764:JEO458782 JEO524300:JEO524318 JEO589836:JEO589854 JEO655372:JEO655390 JEO720908:JEO720926 JEO786444:JEO786462 JEO851980:JEO851998 JEO917516:JEO917534 JEO983052:JEO983070 JOK5:JOK31 JOK65548:JOK65566 JOK131084:JOK131102 JOK196620:JOK196638 JOK262156:JOK262174 JOK327692:JOK327710 JOK393228:JOK393246 JOK458764:JOK458782 JOK524300:JOK524318 JOK589836:JOK589854 JOK655372:JOK655390 JOK720908:JOK720926 JOK786444:JOK786462 JOK851980:JOK851998 JOK917516:JOK917534 JOK983052:JOK983070 JYG5:JYG31 JYG65548:JYG65566 JYG131084:JYG131102 JYG196620:JYG196638 JYG262156:JYG262174 JYG327692:JYG327710 JYG393228:JYG393246 JYG458764:JYG458782 JYG524300:JYG524318 JYG589836:JYG589854 JYG655372:JYG655390 JYG720908:JYG720926 JYG786444:JYG786462 JYG851980:JYG851998 JYG917516:JYG917534 JYG983052:JYG983070 KIC5:KIC31 KIC65548:KIC65566 KIC131084:KIC131102 KIC196620:KIC196638 KIC262156:KIC262174 KIC327692:KIC327710 KIC393228:KIC393246 KIC458764:KIC458782 KIC524300:KIC524318 KIC589836:KIC589854 KIC655372:KIC655390 KIC720908:KIC720926 KIC786444:KIC786462 KIC851980:KIC851998 KIC917516:KIC917534 KIC983052:KIC983070 KRY5:KRY31 KRY65548:KRY65566 KRY131084:KRY131102 KRY196620:KRY196638 KRY262156:KRY262174 KRY327692:KRY327710 KRY393228:KRY393246 KRY458764:KRY458782 KRY524300:KRY524318 KRY589836:KRY589854 KRY655372:KRY655390 KRY720908:KRY720926 KRY786444:KRY786462 KRY851980:KRY851998 KRY917516:KRY917534 KRY983052:KRY983070 LBU5:LBU31 LBU65548:LBU65566 LBU131084:LBU131102 LBU196620:LBU196638 LBU262156:LBU262174 LBU327692:LBU327710 LBU393228:LBU393246 LBU458764:LBU458782 LBU524300:LBU524318 LBU589836:LBU589854 LBU655372:LBU655390 LBU720908:LBU720926 LBU786444:LBU786462 LBU851980:LBU851998 LBU917516:LBU917534 LBU983052:LBU983070 LLQ5:LLQ31 LLQ65548:LLQ65566 LLQ131084:LLQ131102 LLQ196620:LLQ196638 LLQ262156:LLQ262174 LLQ327692:LLQ327710 LLQ393228:LLQ393246 LLQ458764:LLQ458782 LLQ524300:LLQ524318 LLQ589836:LLQ589854 LLQ655372:LLQ655390 LLQ720908:LLQ720926 LLQ786444:LLQ786462 LLQ851980:LLQ851998 LLQ917516:LLQ917534 LLQ983052:LLQ983070 LVM5:LVM31 LVM65548:LVM65566 LVM131084:LVM131102 LVM196620:LVM196638 LVM262156:LVM262174 LVM327692:LVM327710 LVM393228:LVM393246 LVM458764:LVM458782 LVM524300:LVM524318 LVM589836:LVM589854 LVM655372:LVM655390 LVM720908:LVM720926 LVM786444:LVM786462 LVM851980:LVM851998 LVM917516:LVM917534 LVM983052:LVM983070 MFI5:MFI31 MFI65548:MFI65566 MFI131084:MFI131102 MFI196620:MFI196638 MFI262156:MFI262174 MFI327692:MFI327710 MFI393228:MFI393246 MFI458764:MFI458782 MFI524300:MFI524318 MFI589836:MFI589854 MFI655372:MFI655390 MFI720908:MFI720926 MFI786444:MFI786462 MFI851980:MFI851998 MFI917516:MFI917534 MFI983052:MFI983070 MPE5:MPE31 MPE65548:MPE65566 MPE131084:MPE131102 MPE196620:MPE196638 MPE262156:MPE262174 MPE327692:MPE327710 MPE393228:MPE393246 MPE458764:MPE458782 MPE524300:MPE524318 MPE589836:MPE589854 MPE655372:MPE655390 MPE720908:MPE720926 MPE786444:MPE786462 MPE851980:MPE851998 MPE917516:MPE917534 MPE983052:MPE983070 MZA5:MZA31 MZA65548:MZA65566 MZA131084:MZA131102 MZA196620:MZA196638 MZA262156:MZA262174 MZA327692:MZA327710 MZA393228:MZA393246 MZA458764:MZA458782 MZA524300:MZA524318 MZA589836:MZA589854 MZA655372:MZA655390 MZA720908:MZA720926 MZA786444:MZA786462 MZA851980:MZA851998 MZA917516:MZA917534 MZA983052:MZA983070 NIW5:NIW31 NIW65548:NIW65566 NIW131084:NIW131102 NIW196620:NIW196638 NIW262156:NIW262174 NIW327692:NIW327710 NIW393228:NIW393246 NIW458764:NIW458782 NIW524300:NIW524318 NIW589836:NIW589854 NIW655372:NIW655390 NIW720908:NIW720926 NIW786444:NIW786462 NIW851980:NIW851998 NIW917516:NIW917534 NIW983052:NIW983070 NSS5:NSS31 NSS65548:NSS65566 NSS131084:NSS131102 NSS196620:NSS196638 NSS262156:NSS262174 NSS327692:NSS327710 NSS393228:NSS393246 NSS458764:NSS458782 NSS524300:NSS524318 NSS589836:NSS589854 NSS655372:NSS655390 NSS720908:NSS720926 NSS786444:NSS786462 NSS851980:NSS851998 NSS917516:NSS917534 NSS983052:NSS983070 OCO5:OCO31 OCO65548:OCO65566 OCO131084:OCO131102 OCO196620:OCO196638 OCO262156:OCO262174 OCO327692:OCO327710 OCO393228:OCO393246 OCO458764:OCO458782 OCO524300:OCO524318 OCO589836:OCO589854 OCO655372:OCO655390 OCO720908:OCO720926 OCO786444:OCO786462 OCO851980:OCO851998 OCO917516:OCO917534 OCO983052:OCO983070 OMK5:OMK31 OMK65548:OMK65566 OMK131084:OMK131102 OMK196620:OMK196638 OMK262156:OMK262174 OMK327692:OMK327710 OMK393228:OMK393246 OMK458764:OMK458782 OMK524300:OMK524318 OMK589836:OMK589854 OMK655372:OMK655390 OMK720908:OMK720926 OMK786444:OMK786462 OMK851980:OMK851998 OMK917516:OMK917534 OMK983052:OMK983070 OWG5:OWG31 OWG65548:OWG65566 OWG131084:OWG131102 OWG196620:OWG196638 OWG262156:OWG262174 OWG327692:OWG327710 OWG393228:OWG393246 OWG458764:OWG458782 OWG524300:OWG524318 OWG589836:OWG589854 OWG655372:OWG655390 OWG720908:OWG720926 OWG786444:OWG786462 OWG851980:OWG851998 OWG917516:OWG917534 OWG983052:OWG983070 PGC5:PGC31 PGC65548:PGC65566 PGC131084:PGC131102 PGC196620:PGC196638 PGC262156:PGC262174 PGC327692:PGC327710 PGC393228:PGC393246 PGC458764:PGC458782 PGC524300:PGC524318 PGC589836:PGC589854 PGC655372:PGC655390 PGC720908:PGC720926 PGC786444:PGC786462 PGC851980:PGC851998 PGC917516:PGC917534 PGC983052:PGC983070 PPY5:PPY31 PPY65548:PPY65566 PPY131084:PPY131102 PPY196620:PPY196638 PPY262156:PPY262174 PPY327692:PPY327710 PPY393228:PPY393246 PPY458764:PPY458782 PPY524300:PPY524318 PPY589836:PPY589854 PPY655372:PPY655390 PPY720908:PPY720926 PPY786444:PPY786462 PPY851980:PPY851998 PPY917516:PPY917534 PPY983052:PPY983070 PZU5:PZU31 PZU65548:PZU65566 PZU131084:PZU131102 PZU196620:PZU196638 PZU262156:PZU262174 PZU327692:PZU327710 PZU393228:PZU393246 PZU458764:PZU458782 PZU524300:PZU524318 PZU589836:PZU589854 PZU655372:PZU655390 PZU720908:PZU720926 PZU786444:PZU786462 PZU851980:PZU851998 PZU917516:PZU917534 PZU983052:PZU983070 QJQ5:QJQ31 QJQ65548:QJQ65566 QJQ131084:QJQ131102 QJQ196620:QJQ196638 QJQ262156:QJQ262174 QJQ327692:QJQ327710 QJQ393228:QJQ393246 QJQ458764:QJQ458782 QJQ524300:QJQ524318 QJQ589836:QJQ589854 QJQ655372:QJQ655390 QJQ720908:QJQ720926 QJQ786444:QJQ786462 QJQ851980:QJQ851998 QJQ917516:QJQ917534 QJQ983052:QJQ983070 QTM5:QTM31 QTM65548:QTM65566 QTM131084:QTM131102 QTM196620:QTM196638 QTM262156:QTM262174 QTM327692:QTM327710 QTM393228:QTM393246 QTM458764:QTM458782 QTM524300:QTM524318 QTM589836:QTM589854 QTM655372:QTM655390 QTM720908:QTM720926 QTM786444:QTM786462 QTM851980:QTM851998 QTM917516:QTM917534 QTM983052:QTM983070 RDI5:RDI31 RDI65548:RDI65566 RDI131084:RDI131102 RDI196620:RDI196638 RDI262156:RDI262174 RDI327692:RDI327710 RDI393228:RDI393246 RDI458764:RDI458782 RDI524300:RDI524318 RDI589836:RDI589854 RDI655372:RDI655390 RDI720908:RDI720926 RDI786444:RDI786462 RDI851980:RDI851998 RDI917516:RDI917534 RDI983052:RDI983070 RNE5:RNE31 RNE65548:RNE65566 RNE131084:RNE131102 RNE196620:RNE196638 RNE262156:RNE262174 RNE327692:RNE327710 RNE393228:RNE393246 RNE458764:RNE458782 RNE524300:RNE524318 RNE589836:RNE589854 RNE655372:RNE655390 RNE720908:RNE720926 RNE786444:RNE786462 RNE851980:RNE851998 RNE917516:RNE917534 RNE983052:RNE983070 RXA5:RXA31 RXA65548:RXA65566 RXA131084:RXA131102 RXA196620:RXA196638 RXA262156:RXA262174 RXA327692:RXA327710 RXA393228:RXA393246 RXA458764:RXA458782 RXA524300:RXA524318 RXA589836:RXA589854 RXA655372:RXA655390 RXA720908:RXA720926 RXA786444:RXA786462 RXA851980:RXA851998 RXA917516:RXA917534 RXA983052:RXA983070 SGW5:SGW31 SGW65548:SGW65566 SGW131084:SGW131102 SGW196620:SGW196638 SGW262156:SGW262174 SGW327692:SGW327710 SGW393228:SGW393246 SGW458764:SGW458782 SGW524300:SGW524318 SGW589836:SGW589854 SGW655372:SGW655390 SGW720908:SGW720926 SGW786444:SGW786462 SGW851980:SGW851998 SGW917516:SGW917534 SGW983052:SGW983070 SQS5:SQS31 SQS65548:SQS65566 SQS131084:SQS131102 SQS196620:SQS196638 SQS262156:SQS262174 SQS327692:SQS327710 SQS393228:SQS393246 SQS458764:SQS458782 SQS524300:SQS524318 SQS589836:SQS589854 SQS655372:SQS655390 SQS720908:SQS720926 SQS786444:SQS786462 SQS851980:SQS851998 SQS917516:SQS917534 SQS983052:SQS983070 TAO5:TAO31 TAO65548:TAO65566 TAO131084:TAO131102 TAO196620:TAO196638 TAO262156:TAO262174 TAO327692:TAO327710 TAO393228:TAO393246 TAO458764:TAO458782 TAO524300:TAO524318 TAO589836:TAO589854 TAO655372:TAO655390 TAO720908:TAO720926 TAO786444:TAO786462 TAO851980:TAO851998 TAO917516:TAO917534 TAO983052:TAO983070 TKK5:TKK31 TKK65548:TKK65566 TKK131084:TKK131102 TKK196620:TKK196638 TKK262156:TKK262174 TKK327692:TKK327710 TKK393228:TKK393246 TKK458764:TKK458782 TKK524300:TKK524318 TKK589836:TKK589854 TKK655372:TKK655390 TKK720908:TKK720926 TKK786444:TKK786462 TKK851980:TKK851998 TKK917516:TKK917534 TKK983052:TKK983070 TUG5:TUG31 TUG65548:TUG65566 TUG131084:TUG131102 TUG196620:TUG196638 TUG262156:TUG262174 TUG327692:TUG327710 TUG393228:TUG393246 TUG458764:TUG458782 TUG524300:TUG524318 TUG589836:TUG589854 TUG655372:TUG655390 TUG720908:TUG720926 TUG786444:TUG786462 TUG851980:TUG851998 TUG917516:TUG917534 TUG983052:TUG983070 UEC5:UEC31 UEC65548:UEC65566 UEC131084:UEC131102 UEC196620:UEC196638 UEC262156:UEC262174 UEC327692:UEC327710 UEC393228:UEC393246 UEC458764:UEC458782 UEC524300:UEC524318 UEC589836:UEC589854 UEC655372:UEC655390 UEC720908:UEC720926 UEC786444:UEC786462 UEC851980:UEC851998 UEC917516:UEC917534 UEC983052:UEC983070 UNY5:UNY31 UNY65548:UNY65566 UNY131084:UNY131102 UNY196620:UNY196638 UNY262156:UNY262174 UNY327692:UNY327710 UNY393228:UNY393246 UNY458764:UNY458782 UNY524300:UNY524318 UNY589836:UNY589854 UNY655372:UNY655390 UNY720908:UNY720926 UNY786444:UNY786462 UNY851980:UNY851998 UNY917516:UNY917534 UNY983052:UNY983070 UXU5:UXU31 UXU65548:UXU65566 UXU131084:UXU131102 UXU196620:UXU196638 UXU262156:UXU262174 UXU327692:UXU327710 UXU393228:UXU393246 UXU458764:UXU458782 UXU524300:UXU524318 UXU589836:UXU589854 UXU655372:UXU655390 UXU720908:UXU720926 UXU786444:UXU786462 UXU851980:UXU851998 UXU917516:UXU917534 UXU983052:UXU983070 VHQ5:VHQ31 VHQ65548:VHQ65566 VHQ131084:VHQ131102 VHQ196620:VHQ196638 VHQ262156:VHQ262174 VHQ327692:VHQ327710 VHQ393228:VHQ393246 VHQ458764:VHQ458782 VHQ524300:VHQ524318 VHQ589836:VHQ589854 VHQ655372:VHQ655390 VHQ720908:VHQ720926 VHQ786444:VHQ786462 VHQ851980:VHQ851998 VHQ917516:VHQ917534 VHQ983052:VHQ983070 VRM5:VRM31 VRM65548:VRM65566 VRM131084:VRM131102 VRM196620:VRM196638 VRM262156:VRM262174 VRM327692:VRM327710 VRM393228:VRM393246 VRM458764:VRM458782 VRM524300:VRM524318 VRM589836:VRM589854 VRM655372:VRM655390 VRM720908:VRM720926 VRM786444:VRM786462 VRM851980:VRM851998 VRM917516:VRM917534 VRM983052:VRM983070 WBI5:WBI31 WBI65548:WBI65566 WBI131084:WBI131102 WBI196620:WBI196638 WBI262156:WBI262174 WBI327692:WBI327710 WBI393228:WBI393246 WBI458764:WBI458782 WBI524300:WBI524318 WBI589836:WBI589854 WBI655372:WBI655390 WBI720908:WBI720926 WBI786444:WBI786462 WBI851980:WBI851998 WBI917516:WBI917534 WBI983052:WBI983070 WLE5:WLE31 WLE65548:WLE65566 WLE131084:WLE131102 WLE196620:WLE196638 WLE262156:WLE262174 WLE327692:WLE327710 WLE393228:WLE393246 WLE458764:WLE458782 WLE524300:WLE524318 WLE589836:WLE589854 WLE655372:WLE655390 WLE720908:WLE720926 WLE786444:WLE786462 WLE851980:WLE851998 WLE917516:WLE917534 WLE983052:WLE983070 WVA5:WVA31 WVA65548:WVA65566 WVA131084:WVA131102 WVA196620:WVA196638 WVA262156:WVA262174 WVA327692:WVA327710 WVA393228:WVA393246 WVA458764:WVA458782 WVA524300:WVA524318 WVA589836:WVA589854 WVA655372:WVA655390 WVA720908:WVA720926 WVA786444:WVA786462 WVA851980:WVA851998 WVA917516:WVA917534 WVA983052:WVA983070" showDropDown="0" showInputMessage="1" showErrorMessage="1" allowBlank="0" type="list">
      <formula1>#REF!</formula1>
    </dataValidation>
  </dataValidations>
  <pageMargins left="0.7" right="0.7" top="0.75" bottom="0.75" header="0.3" footer="0.3"/>
  <pageSetup orientation="portrait" paperSize="9"/>
</worksheet>
</file>

<file path=xl/worksheets/sheet30.xml><?xml version="1.0" encoding="utf-8"?>
<worksheet xmlns="http://schemas.openxmlformats.org/spreadsheetml/2006/main">
  <sheetPr codeName="Hoja29">
    <outlinePr summaryBelow="1" summaryRight="1"/>
    <pageSetUpPr/>
  </sheetPr>
  <dimension ref="A1:F10"/>
  <sheetViews>
    <sheetView showGridLines="0" workbookViewId="0">
      <selection activeCell="A1" sqref="A1:F1"/>
    </sheetView>
  </sheetViews>
  <sheetFormatPr baseColWidth="10" defaultColWidth="11.42578125" defaultRowHeight="15"/>
  <cols>
    <col width="15.7109375" customWidth="1" style="8286" min="1" max="1"/>
    <col width="43.5703125" customWidth="1" style="8286" min="2" max="2"/>
    <col width="3.42578125" customWidth="1" style="8286" min="3" max="3"/>
    <col width="3.7109375" customWidth="1" style="8286" min="4" max="4"/>
    <col width="25.5703125" customWidth="1" style="8286" min="5" max="5"/>
    <col width="15.7109375" customWidth="1" style="8286" min="6" max="6"/>
  </cols>
  <sheetData>
    <row r="1" ht="48.75" customHeight="1" s="8286">
      <c r="A1" s="10740" t="inlineStr">
        <is>
          <t>Macros</t>
        </is>
      </c>
      <c r="B1" s="9584" t="n"/>
      <c r="C1" s="9584" t="n"/>
      <c r="D1" s="9584" t="n"/>
      <c r="E1" s="9584" t="n"/>
      <c r="F1" s="9582" t="n"/>
    </row>
    <row r="3">
      <c r="A3" s="96">
        <f>CONCATENATE("ESTABLECIMIENTO: ",NOMBRE!B3," - ",NOMBRE!C3,NOMBRE!D3,NOMBRE!E3,NOMBRE!F3,NOMBRE!G3,NOMBRE!H3,NOMBRE!I3," 
  "," / MES:  ",NOMBRE!B6,"  / AÑO:  ",NOMBRE!B7)</f>
        <v/>
      </c>
    </row>
    <row r="5" ht="58.5" customHeight="1" s="8286">
      <c r="B5" s="5156" t="inlineStr">
        <is>
          <t>CREA UNA COPIA  DEL ARCHIVO  (TRANFORMA HOJAS A VALORES)</t>
        </is>
      </c>
      <c r="E5" s="5156" t="n"/>
    </row>
    <row r="7">
      <c r="B7" s="10741">
        <f>IF(Control!D32&gt;0,"ANTES DE EJECUTAR LA MACRO REVISE LA HOJA CONTROL, EXISTEN ERRORES","")</f>
        <v/>
      </c>
      <c r="C7" s="10061" t="n"/>
      <c r="D7" s="10061" t="n"/>
      <c r="E7" s="10059" t="n"/>
    </row>
    <row r="8">
      <c r="B8" s="10064" t="n"/>
      <c r="C8" s="10065" t="n"/>
      <c r="D8" s="10065" t="n"/>
      <c r="E8" s="10066" t="n"/>
    </row>
    <row r="10">
      <c r="B10" s="97" t="inlineStr">
        <is>
          <t>Contraseña para copia del archivo :DEIS</t>
        </is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j5rCRdwFAao3He4BBv4FOg==" formatRows="1" sort="1" spinCount="100000" hashValue="alu+6rN+iQU+whJkuDSshiH+L185iEuLZF4uHUUUBXVLD7CwfyxptLeED4WjsVrTcetT8qusUr2In4f/PeUVmg=="/>
  <mergeCells count="2">
    <mergeCell ref="A1:F1"/>
    <mergeCell ref="B7:E8"/>
  </mergeCell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REM</dc:creator>
  <dcterms:created xmlns:dcterms="http://purl.org/dc/terms/" xmlns:xsi="http://www.w3.org/2001/XMLSchema-instance" xsi:type="dcterms:W3CDTF">2023-04-14T14:34:58Z</dcterms:created>
  <dcterms:modified xmlns:dcterms="http://purl.org/dc/terms/" xmlns:xsi="http://www.w3.org/2001/XMLSchema-instance" xsi:type="dcterms:W3CDTF">2026-04-06T21:15:48Z</dcterms:modified>
  <cp:lastModifiedBy>Alex Alfonso Elias Cavieres</cp:lastModifiedBy>
</cp:coreProperties>
</file>